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rat\Desktop\SX_Однолинейка\odnolineyka\_Разработка\2026-10-03_v4\out\"/>
    </mc:Choice>
  </mc:AlternateContent>
  <xr:revisionPtr revIDLastSave="0" documentId="13_ncr:1_{46FBA639-CDBE-44FB-8311-4B2FBD72A583}" xr6:coauthVersionLast="47" xr6:coauthVersionMax="47" xr10:uidLastSave="{00000000-0000-0000-0000-000000000000}"/>
  <bookViews>
    <workbookView xWindow="-108" yWindow="-108" windowWidth="23256" windowHeight="13896" xr2:uid="{6F064ABD-BBF2-4C61-AEC3-7F7A262BA80C}"/>
  </bookViews>
  <sheets>
    <sheet name="Гайд" sheetId="62" r:id="rId1"/>
    <sheet name="Проверка" sheetId="61" r:id="rId2"/>
    <sheet name="Объект" sheetId="52" r:id="rId3"/>
    <sheet name="Коды" sheetId="53" r:id="rId4"/>
    <sheet name="Щиты" sheetId="54" r:id="rId5"/>
    <sheet name="Итоги_щитов" sheetId="60" r:id="rId6"/>
    <sheet name="Шины" sheetId="56" r:id="rId7"/>
    <sheet name="Линии" sheetId="55" r:id="rId8"/>
    <sheet name="Режимы" sheetId="57" r:id="rId9"/>
    <sheet name="Расчёт_нагрузок" sheetId="58" r:id="rId10"/>
    <sheet name="Кабельный_журнал" sheetId="59" r:id="rId11"/>
    <sheet name="Однолинейка" sheetId="40" r:id="rId12"/>
    <sheet name="Каталог" sheetId="42" r:id="rId13"/>
    <sheet name="Спецификация" sheetId="44" r:id="rId14"/>
    <sheet name="Спецификация_авто" sheetId="16" r:id="rId15"/>
    <sheet name="Бирки" sheetId="43" r:id="rId16"/>
    <sheet name="Методика" sheetId="63" r:id="rId17"/>
    <sheet name="Таблицы_норм" sheetId="10" r:id="rId18"/>
    <sheet name="Справочная_потребители" sheetId="19" state="hidden" r:id="rId19"/>
  </sheets>
  <definedNames>
    <definedName name="_xlnm._FilterDatabase" localSheetId="12" hidden="1">Каталог!$A$3:$P$500</definedName>
    <definedName name="_xlnm._FilterDatabase" localSheetId="11" hidden="1">Однолинейка!$A$2:$AD$1000</definedName>
    <definedName name="c_min">Объект!$C$7</definedName>
    <definedName name="dU_пит">Таблицы_норм!$BQ$31</definedName>
    <definedName name="Iдоп_1ж">Таблицы_норм!$BY$4:$BY$18</definedName>
    <definedName name="Iдоп_2ж">Таблицы_норм!$BZ$4:$BZ$17</definedName>
    <definedName name="Iдоп_3ж">Таблицы_норм!$CA$4:$CA$17</definedName>
    <definedName name="Iдоп_S">Таблицы_норм!$BX$4:$BX$18</definedName>
    <definedName name="k_пк">Объект!$C$9</definedName>
    <definedName name="R_пер">Объект!$C$6</definedName>
    <definedName name="Uн_лин">Таблицы_норм!$BQ$29</definedName>
    <definedName name="ρкз_Al">Объект!$C$5</definedName>
    <definedName name="ρкз_Cu">Объект!$C$4</definedName>
    <definedName name="Автомат_номиналы">Таблицы_норм!$F$4:$G$23</definedName>
    <definedName name="гофра_пвх">Справочная_потребители!$Z$4:$AB$9</definedName>
    <definedName name="гофра_пнд">Справочная_потребители!$AD$4:$AF$9</definedName>
    <definedName name="Запас_кабеля">Кабельный_журнал!$P$2</definedName>
    <definedName name="ИБП_cos_вх">Объект!$C$22</definedName>
    <definedName name="ИБП_cos_вых">Объект!$C$16</definedName>
    <definedName name="ИБП_k">Объект!$C$20</definedName>
    <definedName name="ИБП_t">Объект!$C$17</definedName>
    <definedName name="ИБП_U">Объект!$C$18</definedName>
    <definedName name="ИБП_загрузка">Объект!$C$15</definedName>
    <definedName name="ИБП_заряд">Объект!$C$21</definedName>
    <definedName name="ИБП_КПД">Объект!$C$19</definedName>
    <definedName name="ИБП_ряд">Объект!$C$24:$N$24</definedName>
    <definedName name="К_прокл">Таблицы_норм!$BQ$30</definedName>
    <definedName name="Кабель_диаметр">Справочная_потребители!$T$4:$X$503</definedName>
    <definedName name="Кабель_номиналы">Таблицы_норм!$I$4:$J$19</definedName>
    <definedName name="Кабель_обозначение">Кабели[]</definedName>
    <definedName name="Кабель_сопротивление">Таблицы_норм!$B$4:$D$19</definedName>
    <definedName name="Категории_ПЗ">Таблицы_норм!$BT$4:$BT$33</definedName>
    <definedName name="Ко_сил">Таблицы_норм!$BQ$14</definedName>
    <definedName name="Коды_вид">Коды[Вид нагрузки]</definedName>
    <definedName name="Коды_группа">Коды[Группа Кс]</definedName>
    <definedName name="Коды_код">Коды[Код]</definedName>
    <definedName name="Коды_пожарная">Коды[Пожарная]</definedName>
    <definedName name="Кс_К">Таблицы_норм!$BQ$4:$BQ$11</definedName>
    <definedName name="Кс_Р">Таблицы_норм!$BP$4:$BP$11</definedName>
    <definedName name="Кс75_k">Объект!$G$3:$G$14</definedName>
    <definedName name="Кс75_n">Объект!$F$3:$F$14</definedName>
    <definedName name="Методика">Объект!$C$8</definedName>
    <definedName name="Мин_автомат_БП">Таблицы_норм!$BF$5</definedName>
    <definedName name="Модели_список">OFFSET(Каталог!$AB$3,0,0,1+MAX(Каталог!$AA$4:$AA$500),1)</definedName>
    <definedName name="Модули_спр">Каталог!$C$4:$F$500</definedName>
    <definedName name="Потребители_обозначение">Коды[[Код]:[Сечение]]</definedName>
    <definedName name="Спецификация">Спецификация!$B$3:$J$60</definedName>
    <definedName name="Список_автоматов">OFFSET(Каталог!$X$3,0,0,1+MAX(Каталог!$W$4:$W$500),1)</definedName>
    <definedName name="Список_аппаратов">OFFSET(Каталог!$Z$4,0,0,MAX(1,MAX(Каталог!$Y$4:$Y$500)),1)</definedName>
    <definedName name="Список_модулей">OFFSET(Каталог!$AB$3,0,0,1+MAX(Каталог!$AA$4:$AA$500),1)</definedName>
    <definedName name="Список_произв">OFFSET(Каталог!$AD$3,0,0,1+MAX(Каталог!$AC$4:$AC$500),1)</definedName>
    <definedName name="Список_щитов">Щиты[Щит]</definedName>
    <definedName name="Справочная_двигатели">Справочная_потребители!$B$4:$K$37</definedName>
    <definedName name="Справочная_ЛЭД">Справочная_потребители!$M$4:$O$19</definedName>
    <definedName name="Справочная_ПТО">Таблицы_норм!$AJ$4:$AK$200</definedName>
    <definedName name="Столбцов_на_лист">Таблицы_норм!$BF$4</definedName>
    <definedName name="УГО_блоки">Таблицы_норм!$BA$4:$BC$30</definedName>
    <definedName name="УГО_спр">УГО[]</definedName>
    <definedName name="Управление_цвета">Таблицы_норм!$AQ$4:$AS$10</definedName>
    <definedName name="Щит_спец">Спецификация!$L$1</definedName>
    <definedName name="Этаж_обозначение">Этажи[]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4" i="42" l="1"/>
  <c r="U5" i="42"/>
  <c r="U6" i="42"/>
  <c r="U7" i="42"/>
  <c r="U8" i="42"/>
  <c r="U9" i="42"/>
  <c r="U10" i="42"/>
  <c r="U11" i="42"/>
  <c r="U12" i="42"/>
  <c r="U13" i="42"/>
  <c r="U14" i="42"/>
  <c r="U15" i="42"/>
  <c r="U16" i="42"/>
  <c r="U17" i="42"/>
  <c r="U18" i="42"/>
  <c r="V18" i="42" s="1"/>
  <c r="U19" i="42"/>
  <c r="V19" i="42" s="1"/>
  <c r="U20" i="42"/>
  <c r="U21" i="42"/>
  <c r="U22" i="42"/>
  <c r="U23" i="42"/>
  <c r="U24" i="42"/>
  <c r="U25" i="42"/>
  <c r="U26" i="42"/>
  <c r="U27" i="42"/>
  <c r="U28" i="42"/>
  <c r="U29" i="42"/>
  <c r="U30" i="42"/>
  <c r="U31" i="42"/>
  <c r="U32" i="42"/>
  <c r="U33" i="42"/>
  <c r="U34" i="42"/>
  <c r="V34" i="42" s="1"/>
  <c r="U35" i="42"/>
  <c r="U36" i="42"/>
  <c r="U37" i="42"/>
  <c r="U38" i="42"/>
  <c r="U39" i="42"/>
  <c r="U40" i="42"/>
  <c r="U41" i="42"/>
  <c r="U42" i="42"/>
  <c r="U43" i="42"/>
  <c r="U44" i="42"/>
  <c r="U45" i="42"/>
  <c r="U46" i="42"/>
  <c r="U47" i="42"/>
  <c r="U48" i="42"/>
  <c r="U49" i="42"/>
  <c r="V49" i="42" s="1"/>
  <c r="U50" i="42"/>
  <c r="V50" i="42" s="1"/>
  <c r="U51" i="42"/>
  <c r="V51" i="42" s="1"/>
  <c r="U52" i="42"/>
  <c r="U53" i="42"/>
  <c r="U54" i="42"/>
  <c r="U55" i="42"/>
  <c r="U56" i="42"/>
  <c r="U57" i="42"/>
  <c r="U58" i="42"/>
  <c r="U59" i="42"/>
  <c r="U60" i="42"/>
  <c r="U61" i="42"/>
  <c r="U62" i="42"/>
  <c r="U63" i="42"/>
  <c r="U64" i="42"/>
  <c r="U65" i="42"/>
  <c r="V65" i="42" s="1"/>
  <c r="U66" i="42"/>
  <c r="U67" i="42"/>
  <c r="V67" i="42" s="1"/>
  <c r="U68" i="42"/>
  <c r="U69" i="42"/>
  <c r="U70" i="42"/>
  <c r="U71" i="42"/>
  <c r="U72" i="42"/>
  <c r="U73" i="42"/>
  <c r="U74" i="42"/>
  <c r="U75" i="42"/>
  <c r="U76" i="42"/>
  <c r="U77" i="42"/>
  <c r="U78" i="42"/>
  <c r="U79" i="42"/>
  <c r="U80" i="42"/>
  <c r="U81" i="42"/>
  <c r="U82" i="42"/>
  <c r="V82" i="42" s="1"/>
  <c r="U83" i="42"/>
  <c r="V83" i="42" s="1"/>
  <c r="U84" i="42"/>
  <c r="U85" i="42"/>
  <c r="U86" i="42"/>
  <c r="U87" i="42"/>
  <c r="U88" i="42"/>
  <c r="U89" i="42"/>
  <c r="U90" i="42"/>
  <c r="U91" i="42"/>
  <c r="U92" i="42"/>
  <c r="U93" i="42"/>
  <c r="U94" i="42"/>
  <c r="U95" i="42"/>
  <c r="U96" i="42"/>
  <c r="U97" i="42"/>
  <c r="V97" i="42" s="1"/>
  <c r="U98" i="42"/>
  <c r="U99" i="42"/>
  <c r="U100" i="42"/>
  <c r="U101" i="42"/>
  <c r="U102" i="42"/>
  <c r="U103" i="42"/>
  <c r="U104" i="42"/>
  <c r="U105" i="42"/>
  <c r="U106" i="42"/>
  <c r="U107" i="42"/>
  <c r="U108" i="42"/>
  <c r="U109" i="42"/>
  <c r="U110" i="42"/>
  <c r="U111" i="42"/>
  <c r="U112" i="42"/>
  <c r="U113" i="42"/>
  <c r="U114" i="42"/>
  <c r="U115" i="42"/>
  <c r="U116" i="42"/>
  <c r="U117" i="42"/>
  <c r="U118" i="42"/>
  <c r="U119" i="42"/>
  <c r="U120" i="42"/>
  <c r="U121" i="42"/>
  <c r="U122" i="42"/>
  <c r="U123" i="42"/>
  <c r="U124" i="42"/>
  <c r="U125" i="42"/>
  <c r="U126" i="42"/>
  <c r="U127" i="42"/>
  <c r="U128" i="42"/>
  <c r="U129" i="42"/>
  <c r="V129" i="42" s="1"/>
  <c r="U130" i="42"/>
  <c r="V130" i="42" s="1"/>
  <c r="U131" i="42"/>
  <c r="V131" i="42" s="1"/>
  <c r="U132" i="42"/>
  <c r="U133" i="42"/>
  <c r="U134" i="42"/>
  <c r="U135" i="42"/>
  <c r="U136" i="42"/>
  <c r="U137" i="42"/>
  <c r="U138" i="42"/>
  <c r="U139" i="42"/>
  <c r="U140" i="42"/>
  <c r="U141" i="42"/>
  <c r="U142" i="42"/>
  <c r="U143" i="42"/>
  <c r="U144" i="42"/>
  <c r="U145" i="42"/>
  <c r="U146" i="42"/>
  <c r="U147" i="42"/>
  <c r="U148" i="42"/>
  <c r="U149" i="42"/>
  <c r="U150" i="42"/>
  <c r="U151" i="42"/>
  <c r="U152" i="42"/>
  <c r="U153" i="42"/>
  <c r="U154" i="42"/>
  <c r="U155" i="42"/>
  <c r="U156" i="42"/>
  <c r="U157" i="42"/>
  <c r="U158" i="42"/>
  <c r="U159" i="42"/>
  <c r="U160" i="42"/>
  <c r="U161" i="42"/>
  <c r="U162" i="42"/>
  <c r="V162" i="42" s="1"/>
  <c r="U163" i="42"/>
  <c r="U164" i="42"/>
  <c r="U165" i="42"/>
  <c r="U166" i="42"/>
  <c r="U167" i="42"/>
  <c r="U168" i="42"/>
  <c r="U169" i="42"/>
  <c r="U170" i="42"/>
  <c r="U171" i="42"/>
  <c r="U172" i="42"/>
  <c r="U173" i="42"/>
  <c r="U174" i="42"/>
  <c r="U175" i="42"/>
  <c r="U176" i="42"/>
  <c r="U177" i="42"/>
  <c r="U178" i="42"/>
  <c r="U179" i="42"/>
  <c r="U180" i="42"/>
  <c r="U181" i="42"/>
  <c r="U182" i="42"/>
  <c r="U183" i="42"/>
  <c r="U184" i="42"/>
  <c r="U185" i="42"/>
  <c r="U186" i="42"/>
  <c r="U187" i="42"/>
  <c r="U188" i="42"/>
  <c r="U189" i="42"/>
  <c r="U190" i="42"/>
  <c r="U191" i="42"/>
  <c r="U192" i="42"/>
  <c r="U193" i="42"/>
  <c r="V193" i="42" s="1"/>
  <c r="U194" i="42"/>
  <c r="U195" i="42"/>
  <c r="U196" i="42"/>
  <c r="U197" i="42"/>
  <c r="U198" i="42"/>
  <c r="U199" i="42"/>
  <c r="U200" i="42"/>
  <c r="U201" i="42"/>
  <c r="U202" i="42"/>
  <c r="U203" i="42"/>
  <c r="U204" i="42"/>
  <c r="U205" i="42"/>
  <c r="U206" i="42"/>
  <c r="U207" i="42"/>
  <c r="U208" i="42"/>
  <c r="U209" i="42"/>
  <c r="U210" i="42"/>
  <c r="U211" i="42"/>
  <c r="V211" i="42" s="1"/>
  <c r="U212" i="42"/>
  <c r="U213" i="42"/>
  <c r="U214" i="42"/>
  <c r="U215" i="42"/>
  <c r="U216" i="42"/>
  <c r="U217" i="42"/>
  <c r="U218" i="42"/>
  <c r="U219" i="42"/>
  <c r="U220" i="42"/>
  <c r="U221" i="42"/>
  <c r="U222" i="42"/>
  <c r="U223" i="42"/>
  <c r="U224" i="42"/>
  <c r="U225" i="42"/>
  <c r="V225" i="42" s="1"/>
  <c r="U226" i="42"/>
  <c r="V226" i="42" s="1"/>
  <c r="U227" i="42"/>
  <c r="V227" i="42" s="1"/>
  <c r="U228" i="42"/>
  <c r="U229" i="42"/>
  <c r="U230" i="42"/>
  <c r="U231" i="42"/>
  <c r="U232" i="42"/>
  <c r="U233" i="42"/>
  <c r="U234" i="42"/>
  <c r="U235" i="42"/>
  <c r="U236" i="42"/>
  <c r="U237" i="42"/>
  <c r="U238" i="42"/>
  <c r="U239" i="42"/>
  <c r="U240" i="42"/>
  <c r="U241" i="42"/>
  <c r="U242" i="42"/>
  <c r="V242" i="42" s="1"/>
  <c r="U243" i="42"/>
  <c r="V243" i="42" s="1"/>
  <c r="U244" i="42"/>
  <c r="U245" i="42"/>
  <c r="U246" i="42"/>
  <c r="U247" i="42"/>
  <c r="U248" i="42"/>
  <c r="U249" i="42"/>
  <c r="U250" i="42"/>
  <c r="U251" i="42"/>
  <c r="U252" i="42"/>
  <c r="U253" i="42"/>
  <c r="U254" i="42"/>
  <c r="U255" i="42"/>
  <c r="U256" i="42"/>
  <c r="U257" i="42"/>
  <c r="U258" i="42"/>
  <c r="U259" i="42"/>
  <c r="V259" i="42" s="1"/>
  <c r="U260" i="42"/>
  <c r="U261" i="42"/>
  <c r="U262" i="42"/>
  <c r="U263" i="42"/>
  <c r="U264" i="42"/>
  <c r="U265" i="42"/>
  <c r="U266" i="42"/>
  <c r="U267" i="42"/>
  <c r="U268" i="42"/>
  <c r="U269" i="42"/>
  <c r="U270" i="42"/>
  <c r="U271" i="42"/>
  <c r="U272" i="42"/>
  <c r="U273" i="42"/>
  <c r="U274" i="42"/>
  <c r="V274" i="42" s="1"/>
  <c r="U275" i="42"/>
  <c r="U276" i="42"/>
  <c r="U277" i="42"/>
  <c r="U278" i="42"/>
  <c r="U279" i="42"/>
  <c r="U280" i="42"/>
  <c r="U281" i="42"/>
  <c r="U282" i="42"/>
  <c r="U283" i="42"/>
  <c r="U284" i="42"/>
  <c r="U285" i="42"/>
  <c r="U286" i="42"/>
  <c r="U287" i="42"/>
  <c r="U288" i="42"/>
  <c r="U289" i="42"/>
  <c r="V289" i="42" s="1"/>
  <c r="U290" i="42"/>
  <c r="U291" i="42"/>
  <c r="V291" i="42" s="1"/>
  <c r="U292" i="42"/>
  <c r="U293" i="42"/>
  <c r="U294" i="42"/>
  <c r="U295" i="42"/>
  <c r="U296" i="42"/>
  <c r="U297" i="42"/>
  <c r="U298" i="42"/>
  <c r="U299" i="42"/>
  <c r="U300" i="42"/>
  <c r="U301" i="42"/>
  <c r="U302" i="42"/>
  <c r="U303" i="42"/>
  <c r="U304" i="42"/>
  <c r="U305" i="42"/>
  <c r="V305" i="42" s="1"/>
  <c r="U306" i="42"/>
  <c r="V306" i="42" s="1"/>
  <c r="U307" i="42"/>
  <c r="V307" i="42" s="1"/>
  <c r="U308" i="42"/>
  <c r="U309" i="42"/>
  <c r="U310" i="42"/>
  <c r="U311" i="42"/>
  <c r="U312" i="42"/>
  <c r="U313" i="42"/>
  <c r="U314" i="42"/>
  <c r="U315" i="42"/>
  <c r="U316" i="42"/>
  <c r="U317" i="42"/>
  <c r="U318" i="42"/>
  <c r="U319" i="42"/>
  <c r="U320" i="42"/>
  <c r="U321" i="42"/>
  <c r="U322" i="42"/>
  <c r="V322" i="42" s="1"/>
  <c r="U323" i="42"/>
  <c r="V323" i="42" s="1"/>
  <c r="U324" i="42"/>
  <c r="U325" i="42"/>
  <c r="U326" i="42"/>
  <c r="U327" i="42"/>
  <c r="U328" i="42"/>
  <c r="U329" i="42"/>
  <c r="U330" i="42"/>
  <c r="U331" i="42"/>
  <c r="U332" i="42"/>
  <c r="U333" i="42"/>
  <c r="U334" i="42"/>
  <c r="U335" i="42"/>
  <c r="U336" i="42"/>
  <c r="U337" i="42"/>
  <c r="V337" i="42" s="1"/>
  <c r="U338" i="42"/>
  <c r="U339" i="42"/>
  <c r="V339" i="42" s="1"/>
  <c r="U340" i="42"/>
  <c r="U341" i="42"/>
  <c r="U342" i="42"/>
  <c r="U343" i="42"/>
  <c r="U344" i="42"/>
  <c r="U345" i="42"/>
  <c r="U346" i="42"/>
  <c r="U347" i="42"/>
  <c r="U348" i="42"/>
  <c r="U349" i="42"/>
  <c r="U350" i="42"/>
  <c r="U351" i="42"/>
  <c r="U352" i="42"/>
  <c r="U353" i="42"/>
  <c r="U354" i="42"/>
  <c r="U355" i="42"/>
  <c r="U356" i="42"/>
  <c r="U357" i="42"/>
  <c r="U358" i="42"/>
  <c r="U359" i="42"/>
  <c r="U360" i="42"/>
  <c r="U361" i="42"/>
  <c r="U362" i="42"/>
  <c r="U363" i="42"/>
  <c r="U364" i="42"/>
  <c r="U365" i="42"/>
  <c r="U366" i="42"/>
  <c r="U367" i="42"/>
  <c r="U368" i="42"/>
  <c r="U369" i="42"/>
  <c r="V369" i="42" s="1"/>
  <c r="U370" i="42"/>
  <c r="V370" i="42" s="1"/>
  <c r="U371" i="42"/>
  <c r="V371" i="42" s="1"/>
  <c r="U372" i="42"/>
  <c r="U373" i="42"/>
  <c r="U374" i="42"/>
  <c r="U375" i="42"/>
  <c r="U376" i="42"/>
  <c r="U377" i="42"/>
  <c r="U378" i="42"/>
  <c r="U379" i="42"/>
  <c r="U380" i="42"/>
  <c r="U381" i="42"/>
  <c r="U382" i="42"/>
  <c r="U383" i="42"/>
  <c r="U384" i="42"/>
  <c r="U385" i="42"/>
  <c r="U386" i="42"/>
  <c r="V386" i="42" s="1"/>
  <c r="U387" i="42"/>
  <c r="V387" i="42" s="1"/>
  <c r="U388" i="42"/>
  <c r="U389" i="42"/>
  <c r="U390" i="42"/>
  <c r="U391" i="42"/>
  <c r="U392" i="42"/>
  <c r="U393" i="42"/>
  <c r="U394" i="42"/>
  <c r="U395" i="42"/>
  <c r="U396" i="42"/>
  <c r="U397" i="42"/>
  <c r="U398" i="42"/>
  <c r="U399" i="42"/>
  <c r="U400" i="42"/>
  <c r="U401" i="42"/>
  <c r="U402" i="42"/>
  <c r="V402" i="42" s="1"/>
  <c r="U403" i="42"/>
  <c r="U404" i="42"/>
  <c r="U405" i="42"/>
  <c r="U406" i="42"/>
  <c r="U407" i="42"/>
  <c r="U408" i="42"/>
  <c r="U409" i="42"/>
  <c r="U410" i="42"/>
  <c r="U411" i="42"/>
  <c r="U412" i="42"/>
  <c r="U413" i="42"/>
  <c r="U414" i="42"/>
  <c r="U415" i="42"/>
  <c r="U416" i="42"/>
  <c r="U417" i="42"/>
  <c r="U418" i="42"/>
  <c r="V418" i="42" s="1"/>
  <c r="U419" i="42"/>
  <c r="V419" i="42" s="1"/>
  <c r="U420" i="42"/>
  <c r="U421" i="42"/>
  <c r="U422" i="42"/>
  <c r="U423" i="42"/>
  <c r="U424" i="42"/>
  <c r="U425" i="42"/>
  <c r="U426" i="42"/>
  <c r="U427" i="42"/>
  <c r="U428" i="42"/>
  <c r="U429" i="42"/>
  <c r="U430" i="42"/>
  <c r="U431" i="42"/>
  <c r="U432" i="42"/>
  <c r="U433" i="42"/>
  <c r="U434" i="42"/>
  <c r="V434" i="42" s="1"/>
  <c r="U435" i="42"/>
  <c r="U436" i="42"/>
  <c r="U437" i="42"/>
  <c r="U438" i="42"/>
  <c r="U439" i="42"/>
  <c r="U440" i="42"/>
  <c r="U441" i="42"/>
  <c r="U442" i="42"/>
  <c r="U443" i="42"/>
  <c r="U444" i="42"/>
  <c r="U445" i="42"/>
  <c r="U446" i="42"/>
  <c r="U447" i="42"/>
  <c r="U448" i="42"/>
  <c r="U449" i="42"/>
  <c r="V449" i="42" s="1"/>
  <c r="U450" i="42"/>
  <c r="V450" i="42" s="1"/>
  <c r="U451" i="42"/>
  <c r="U452" i="42"/>
  <c r="U453" i="42"/>
  <c r="U454" i="42"/>
  <c r="U455" i="42"/>
  <c r="U456" i="42"/>
  <c r="U457" i="42"/>
  <c r="U458" i="42"/>
  <c r="U459" i="42"/>
  <c r="U460" i="42"/>
  <c r="U461" i="42"/>
  <c r="U462" i="42"/>
  <c r="U463" i="42"/>
  <c r="U464" i="42"/>
  <c r="U465" i="42"/>
  <c r="V465" i="42" s="1"/>
  <c r="U466" i="42"/>
  <c r="U467" i="42"/>
  <c r="U468" i="42"/>
  <c r="U469" i="42"/>
  <c r="U470" i="42"/>
  <c r="U471" i="42"/>
  <c r="U472" i="42"/>
  <c r="U473" i="42"/>
  <c r="U474" i="42"/>
  <c r="U475" i="42"/>
  <c r="U476" i="42"/>
  <c r="U477" i="42"/>
  <c r="U478" i="42"/>
  <c r="U479" i="42"/>
  <c r="U480" i="42"/>
  <c r="U481" i="42"/>
  <c r="U482" i="42"/>
  <c r="U483" i="42"/>
  <c r="V483" i="42" s="1"/>
  <c r="U484" i="42"/>
  <c r="U485" i="42"/>
  <c r="U486" i="42"/>
  <c r="U487" i="42"/>
  <c r="U488" i="42"/>
  <c r="U489" i="42"/>
  <c r="U490" i="42"/>
  <c r="U491" i="42"/>
  <c r="U492" i="42"/>
  <c r="U493" i="42"/>
  <c r="U494" i="42"/>
  <c r="U495" i="42"/>
  <c r="U496" i="42"/>
  <c r="U497" i="42"/>
  <c r="V497" i="42" s="1"/>
  <c r="U498" i="42"/>
  <c r="U499" i="42"/>
  <c r="V499" i="42" s="1"/>
  <c r="U500" i="42"/>
  <c r="N35" i="42"/>
  <c r="N36" i="42"/>
  <c r="N37" i="42"/>
  <c r="N38" i="42"/>
  <c r="P38" i="42" s="1"/>
  <c r="AE38" i="42" s="1"/>
  <c r="AF38" i="42" s="1"/>
  <c r="N39" i="42"/>
  <c r="N40" i="42"/>
  <c r="P40" i="42" s="1"/>
  <c r="AE40" i="42" s="1"/>
  <c r="AF40" i="42" s="1"/>
  <c r="N41" i="42"/>
  <c r="N42" i="42"/>
  <c r="N43" i="42"/>
  <c r="N44" i="42"/>
  <c r="N45" i="42"/>
  <c r="P45" i="42" s="1"/>
  <c r="AE45" i="42" s="1"/>
  <c r="AF45" i="42" s="1"/>
  <c r="N46" i="42"/>
  <c r="N47" i="42"/>
  <c r="P47" i="42" s="1"/>
  <c r="AE47" i="42" s="1"/>
  <c r="AF47" i="42" s="1"/>
  <c r="N48" i="42"/>
  <c r="P48" i="42" s="1"/>
  <c r="AE48" i="42" s="1"/>
  <c r="AF48" i="42" s="1"/>
  <c r="N49" i="42"/>
  <c r="P49" i="42" s="1"/>
  <c r="AE49" i="42" s="1"/>
  <c r="AF49" i="42" s="1"/>
  <c r="N50" i="42"/>
  <c r="N51" i="42"/>
  <c r="N52" i="42"/>
  <c r="N53" i="42"/>
  <c r="P53" i="42" s="1"/>
  <c r="AE53" i="42" s="1"/>
  <c r="AF53" i="42" s="1"/>
  <c r="N54" i="42"/>
  <c r="N55" i="42"/>
  <c r="N56" i="42"/>
  <c r="P56" i="42" s="1"/>
  <c r="AE56" i="42" s="1"/>
  <c r="AF56" i="42" s="1"/>
  <c r="N57" i="42"/>
  <c r="N58" i="42"/>
  <c r="N59" i="42"/>
  <c r="N60" i="42"/>
  <c r="P60" i="42" s="1"/>
  <c r="AE60" i="42" s="1"/>
  <c r="AF60" i="42" s="1"/>
  <c r="N61" i="42"/>
  <c r="N62" i="42"/>
  <c r="P62" i="42" s="1"/>
  <c r="AE62" i="42" s="1"/>
  <c r="AF62" i="42" s="1"/>
  <c r="N63" i="42"/>
  <c r="P63" i="42" s="1"/>
  <c r="AE63" i="42" s="1"/>
  <c r="AF63" i="42" s="1"/>
  <c r="N64" i="42"/>
  <c r="P64" i="42" s="1"/>
  <c r="AE64" i="42" s="1"/>
  <c r="AF64" i="42" s="1"/>
  <c r="N65" i="42"/>
  <c r="P65" i="42" s="1"/>
  <c r="AE65" i="42" s="1"/>
  <c r="AF65" i="42" s="1"/>
  <c r="N66" i="42"/>
  <c r="N67" i="42"/>
  <c r="N68" i="42"/>
  <c r="N69" i="42"/>
  <c r="N70" i="42"/>
  <c r="N71" i="42"/>
  <c r="P71" i="42" s="1"/>
  <c r="AE71" i="42" s="1"/>
  <c r="AF71" i="42" s="1"/>
  <c r="N72" i="42"/>
  <c r="N73" i="42"/>
  <c r="N74" i="42"/>
  <c r="N75" i="42"/>
  <c r="N76" i="42"/>
  <c r="N77" i="42"/>
  <c r="N78" i="42"/>
  <c r="P78" i="42" s="1"/>
  <c r="AE78" i="42" s="1"/>
  <c r="AF78" i="42" s="1"/>
  <c r="N79" i="42"/>
  <c r="P79" i="42" s="1"/>
  <c r="AE79" i="42" s="1"/>
  <c r="AF79" i="42" s="1"/>
  <c r="N80" i="42"/>
  <c r="P80" i="42" s="1"/>
  <c r="AE80" i="42" s="1"/>
  <c r="AF80" i="42" s="1"/>
  <c r="N81" i="42"/>
  <c r="P81" i="42" s="1"/>
  <c r="AE81" i="42" s="1"/>
  <c r="AF81" i="42" s="1"/>
  <c r="N82" i="42"/>
  <c r="N83" i="42"/>
  <c r="N84" i="42"/>
  <c r="N85" i="42"/>
  <c r="N86" i="42"/>
  <c r="P86" i="42" s="1"/>
  <c r="AE86" i="42" s="1"/>
  <c r="AF86" i="42" s="1"/>
  <c r="N87" i="42"/>
  <c r="P87" i="42" s="1"/>
  <c r="AE87" i="42" s="1"/>
  <c r="AF87" i="42" s="1"/>
  <c r="N88" i="42"/>
  <c r="N89" i="42"/>
  <c r="N90" i="42"/>
  <c r="N91" i="42"/>
  <c r="N92" i="42"/>
  <c r="N93" i="42"/>
  <c r="P93" i="42" s="1"/>
  <c r="AE93" i="42" s="1"/>
  <c r="AF93" i="42" s="1"/>
  <c r="N94" i="42"/>
  <c r="P94" i="42" s="1"/>
  <c r="AE94" i="42" s="1"/>
  <c r="AF94" i="42" s="1"/>
  <c r="N95" i="42"/>
  <c r="N96" i="42"/>
  <c r="P96" i="42" s="1"/>
  <c r="AE96" i="42" s="1"/>
  <c r="AF96" i="42" s="1"/>
  <c r="N97" i="42"/>
  <c r="P97" i="42" s="1"/>
  <c r="AE97" i="42" s="1"/>
  <c r="AF97" i="42" s="1"/>
  <c r="N98" i="42"/>
  <c r="N99" i="42"/>
  <c r="N100" i="42"/>
  <c r="N101" i="42"/>
  <c r="P101" i="42" s="1"/>
  <c r="AE101" i="42" s="1"/>
  <c r="AF101" i="42" s="1"/>
  <c r="N102" i="42"/>
  <c r="P102" i="42" s="1"/>
  <c r="AE102" i="42" s="1"/>
  <c r="AF102" i="42" s="1"/>
  <c r="N103" i="42"/>
  <c r="N104" i="42"/>
  <c r="P104" i="42" s="1"/>
  <c r="AE104" i="42" s="1"/>
  <c r="AF104" i="42" s="1"/>
  <c r="N105" i="42"/>
  <c r="N106" i="42"/>
  <c r="N107" i="42"/>
  <c r="N108" i="42"/>
  <c r="N109" i="42"/>
  <c r="P109" i="42" s="1"/>
  <c r="AE109" i="42" s="1"/>
  <c r="AF109" i="42" s="1"/>
  <c r="N110" i="42"/>
  <c r="N111" i="42"/>
  <c r="P111" i="42" s="1"/>
  <c r="AE111" i="42" s="1"/>
  <c r="AF111" i="42" s="1"/>
  <c r="N112" i="42"/>
  <c r="P112" i="42" s="1"/>
  <c r="AE112" i="42" s="1"/>
  <c r="AF112" i="42" s="1"/>
  <c r="N113" i="42"/>
  <c r="P113" i="42" s="1"/>
  <c r="AE113" i="42" s="1"/>
  <c r="AF113" i="42" s="1"/>
  <c r="N114" i="42"/>
  <c r="N115" i="42"/>
  <c r="N116" i="42"/>
  <c r="N117" i="42"/>
  <c r="N118" i="42"/>
  <c r="N119" i="42"/>
  <c r="P119" i="42" s="1"/>
  <c r="AE119" i="42" s="1"/>
  <c r="AF119" i="42" s="1"/>
  <c r="N120" i="42"/>
  <c r="P120" i="42" s="1"/>
  <c r="AE120" i="42" s="1"/>
  <c r="AF120" i="42" s="1"/>
  <c r="N121" i="42"/>
  <c r="N122" i="42"/>
  <c r="N123" i="42"/>
  <c r="N124" i="42"/>
  <c r="P124" i="42" s="1"/>
  <c r="AE124" i="42" s="1"/>
  <c r="AF124" i="42" s="1"/>
  <c r="N125" i="42"/>
  <c r="N126" i="42"/>
  <c r="P126" i="42" s="1"/>
  <c r="AE126" i="42" s="1"/>
  <c r="AF126" i="42" s="1"/>
  <c r="N127" i="42"/>
  <c r="P127" i="42" s="1"/>
  <c r="AE127" i="42" s="1"/>
  <c r="AF127" i="42" s="1"/>
  <c r="N128" i="42"/>
  <c r="P128" i="42" s="1"/>
  <c r="AE128" i="42" s="1"/>
  <c r="AF128" i="42" s="1"/>
  <c r="N129" i="42"/>
  <c r="P129" i="42" s="1"/>
  <c r="AE129" i="42" s="1"/>
  <c r="AF129" i="42" s="1"/>
  <c r="N130" i="42"/>
  <c r="N131" i="42"/>
  <c r="N132" i="42"/>
  <c r="N133" i="42"/>
  <c r="N134" i="42"/>
  <c r="P134" i="42" s="1"/>
  <c r="AE134" i="42" s="1"/>
  <c r="AF134" i="42" s="1"/>
  <c r="N135" i="42"/>
  <c r="P135" i="42" s="1"/>
  <c r="AE135" i="42" s="1"/>
  <c r="AF135" i="42" s="1"/>
  <c r="N136" i="42"/>
  <c r="P136" i="42" s="1"/>
  <c r="AE136" i="42" s="1"/>
  <c r="AF136" i="42" s="1"/>
  <c r="N137" i="42"/>
  <c r="N138" i="42"/>
  <c r="N139" i="42"/>
  <c r="N140" i="42"/>
  <c r="N141" i="42"/>
  <c r="N142" i="42"/>
  <c r="P142" i="42" s="1"/>
  <c r="AE142" i="42" s="1"/>
  <c r="AF142" i="42" s="1"/>
  <c r="N143" i="42"/>
  <c r="P143" i="42" s="1"/>
  <c r="AE143" i="42" s="1"/>
  <c r="AF143" i="42" s="1"/>
  <c r="N144" i="42"/>
  <c r="P144" i="42" s="1"/>
  <c r="AE144" i="42" s="1"/>
  <c r="AF144" i="42" s="1"/>
  <c r="N145" i="42"/>
  <c r="P145" i="42" s="1"/>
  <c r="AE145" i="42" s="1"/>
  <c r="AF145" i="42" s="1"/>
  <c r="N146" i="42"/>
  <c r="N147" i="42"/>
  <c r="N148" i="42"/>
  <c r="N149" i="42"/>
  <c r="P149" i="42" s="1"/>
  <c r="AE149" i="42" s="1"/>
  <c r="AF149" i="42" s="1"/>
  <c r="N150" i="42"/>
  <c r="N151" i="42"/>
  <c r="P151" i="42" s="1"/>
  <c r="AE151" i="42" s="1"/>
  <c r="AF151" i="42" s="1"/>
  <c r="N152" i="42"/>
  <c r="P152" i="42" s="1"/>
  <c r="AE152" i="42" s="1"/>
  <c r="AF152" i="42" s="1"/>
  <c r="N153" i="42"/>
  <c r="N154" i="42"/>
  <c r="N155" i="42"/>
  <c r="N156" i="42"/>
  <c r="P156" i="42" s="1"/>
  <c r="AE156" i="42" s="1"/>
  <c r="AF156" i="42" s="1"/>
  <c r="N157" i="42"/>
  <c r="N158" i="42"/>
  <c r="P158" i="42" s="1"/>
  <c r="AE158" i="42" s="1"/>
  <c r="AF158" i="42" s="1"/>
  <c r="N159" i="42"/>
  <c r="P159" i="42" s="1"/>
  <c r="AE159" i="42" s="1"/>
  <c r="AF159" i="42" s="1"/>
  <c r="N160" i="42"/>
  <c r="P160" i="42" s="1"/>
  <c r="AE160" i="42" s="1"/>
  <c r="AF160" i="42" s="1"/>
  <c r="N161" i="42"/>
  <c r="P161" i="42" s="1"/>
  <c r="AE161" i="42" s="1"/>
  <c r="AF161" i="42" s="1"/>
  <c r="N162" i="42"/>
  <c r="N163" i="42"/>
  <c r="N164" i="42"/>
  <c r="N165" i="42"/>
  <c r="P165" i="42" s="1"/>
  <c r="AE165" i="42" s="1"/>
  <c r="AF165" i="42" s="1"/>
  <c r="N166" i="42"/>
  <c r="N167" i="42"/>
  <c r="N168" i="42"/>
  <c r="P168" i="42" s="1"/>
  <c r="AE168" i="42" s="1"/>
  <c r="AF168" i="42" s="1"/>
  <c r="N169" i="42"/>
  <c r="N170" i="42"/>
  <c r="N171" i="42"/>
  <c r="N172" i="42"/>
  <c r="P172" i="42" s="1"/>
  <c r="AE172" i="42" s="1"/>
  <c r="AF172" i="42" s="1"/>
  <c r="N173" i="42"/>
  <c r="N174" i="42"/>
  <c r="N175" i="42"/>
  <c r="P175" i="42" s="1"/>
  <c r="AE175" i="42" s="1"/>
  <c r="AF175" i="42" s="1"/>
  <c r="N176" i="42"/>
  <c r="P176" i="42" s="1"/>
  <c r="AE176" i="42" s="1"/>
  <c r="AF176" i="42" s="1"/>
  <c r="N177" i="42"/>
  <c r="P177" i="42" s="1"/>
  <c r="AE177" i="42" s="1"/>
  <c r="AF177" i="42" s="1"/>
  <c r="N178" i="42"/>
  <c r="N179" i="42"/>
  <c r="N180" i="42"/>
  <c r="N181" i="42"/>
  <c r="P181" i="42" s="1"/>
  <c r="AE181" i="42" s="1"/>
  <c r="AF181" i="42" s="1"/>
  <c r="N182" i="42"/>
  <c r="N183" i="42"/>
  <c r="P183" i="42" s="1"/>
  <c r="AE183" i="42" s="1"/>
  <c r="AF183" i="42" s="1"/>
  <c r="N184" i="42"/>
  <c r="P184" i="42" s="1"/>
  <c r="AE184" i="42" s="1"/>
  <c r="AF184" i="42" s="1"/>
  <c r="N185" i="42"/>
  <c r="N186" i="42"/>
  <c r="N187" i="42"/>
  <c r="N188" i="42"/>
  <c r="P188" i="42" s="1"/>
  <c r="AE188" i="42" s="1"/>
  <c r="AF188" i="42" s="1"/>
  <c r="N189" i="42"/>
  <c r="N190" i="42"/>
  <c r="P190" i="42" s="1"/>
  <c r="AE190" i="42" s="1"/>
  <c r="AF190" i="42" s="1"/>
  <c r="N191" i="42"/>
  <c r="P191" i="42" s="1"/>
  <c r="AE191" i="42" s="1"/>
  <c r="AF191" i="42" s="1"/>
  <c r="N192" i="42"/>
  <c r="P192" i="42" s="1"/>
  <c r="AE192" i="42" s="1"/>
  <c r="AF192" i="42" s="1"/>
  <c r="N193" i="42"/>
  <c r="P193" i="42" s="1"/>
  <c r="AE193" i="42" s="1"/>
  <c r="AF193" i="42" s="1"/>
  <c r="N194" i="42"/>
  <c r="N195" i="42"/>
  <c r="N196" i="42"/>
  <c r="N197" i="42"/>
  <c r="N198" i="42"/>
  <c r="N199" i="42"/>
  <c r="P199" i="42" s="1"/>
  <c r="AE199" i="42" s="1"/>
  <c r="AF199" i="42" s="1"/>
  <c r="N200" i="42"/>
  <c r="P200" i="42" s="1"/>
  <c r="AE200" i="42" s="1"/>
  <c r="AF200" i="42" s="1"/>
  <c r="N201" i="42"/>
  <c r="N202" i="42"/>
  <c r="N203" i="42"/>
  <c r="N204" i="42"/>
  <c r="N205" i="42"/>
  <c r="N206" i="42"/>
  <c r="P206" i="42" s="1"/>
  <c r="AE206" i="42" s="1"/>
  <c r="AF206" i="42" s="1"/>
  <c r="N207" i="42"/>
  <c r="P207" i="42" s="1"/>
  <c r="AE207" i="42" s="1"/>
  <c r="AF207" i="42" s="1"/>
  <c r="N208" i="42"/>
  <c r="P208" i="42" s="1"/>
  <c r="AE208" i="42" s="1"/>
  <c r="AF208" i="42" s="1"/>
  <c r="N209" i="42"/>
  <c r="P209" i="42" s="1"/>
  <c r="AE209" i="42" s="1"/>
  <c r="AF209" i="42" s="1"/>
  <c r="N210" i="42"/>
  <c r="N211" i="42"/>
  <c r="N212" i="42"/>
  <c r="N213" i="42"/>
  <c r="N214" i="42"/>
  <c r="P214" i="42" s="1"/>
  <c r="AE214" i="42" s="1"/>
  <c r="AF214" i="42" s="1"/>
  <c r="N215" i="42"/>
  <c r="N216" i="42"/>
  <c r="P216" i="42" s="1"/>
  <c r="AE216" i="42" s="1"/>
  <c r="AF216" i="42" s="1"/>
  <c r="N217" i="42"/>
  <c r="N218" i="42"/>
  <c r="N219" i="42"/>
  <c r="N220" i="42"/>
  <c r="N221" i="42"/>
  <c r="P221" i="42" s="1"/>
  <c r="AE221" i="42" s="1"/>
  <c r="AF221" i="42" s="1"/>
  <c r="N222" i="42"/>
  <c r="P222" i="42" s="1"/>
  <c r="AE222" i="42" s="1"/>
  <c r="AF222" i="42" s="1"/>
  <c r="N223" i="42"/>
  <c r="P223" i="42" s="1"/>
  <c r="AE223" i="42" s="1"/>
  <c r="AF223" i="42" s="1"/>
  <c r="N224" i="42"/>
  <c r="P224" i="42" s="1"/>
  <c r="AE224" i="42" s="1"/>
  <c r="AF224" i="42" s="1"/>
  <c r="N225" i="42"/>
  <c r="P225" i="42" s="1"/>
  <c r="AE225" i="42" s="1"/>
  <c r="AF225" i="42" s="1"/>
  <c r="N226" i="42"/>
  <c r="N227" i="42"/>
  <c r="N228" i="42"/>
  <c r="N229" i="42"/>
  <c r="N230" i="42"/>
  <c r="P230" i="42" s="1"/>
  <c r="AE230" i="42" s="1"/>
  <c r="AF230" i="42" s="1"/>
  <c r="N231" i="42"/>
  <c r="N232" i="42"/>
  <c r="P232" i="42" s="1"/>
  <c r="AE232" i="42" s="1"/>
  <c r="AF232" i="42" s="1"/>
  <c r="N233" i="42"/>
  <c r="N234" i="42"/>
  <c r="N235" i="42"/>
  <c r="N236" i="42"/>
  <c r="N237" i="42"/>
  <c r="P237" i="42" s="1"/>
  <c r="AE237" i="42" s="1"/>
  <c r="AF237" i="42" s="1"/>
  <c r="N238" i="42"/>
  <c r="N239" i="42"/>
  <c r="P239" i="42" s="1"/>
  <c r="AE239" i="42" s="1"/>
  <c r="AF239" i="42" s="1"/>
  <c r="N240" i="42"/>
  <c r="P240" i="42" s="1"/>
  <c r="AE240" i="42" s="1"/>
  <c r="AF240" i="42" s="1"/>
  <c r="N241" i="42"/>
  <c r="P241" i="42" s="1"/>
  <c r="AE241" i="42" s="1"/>
  <c r="AF241" i="42" s="1"/>
  <c r="N242" i="42"/>
  <c r="N243" i="42"/>
  <c r="N244" i="42"/>
  <c r="N245" i="42"/>
  <c r="P245" i="42" s="1"/>
  <c r="AE245" i="42" s="1"/>
  <c r="AF245" i="42" s="1"/>
  <c r="N246" i="42"/>
  <c r="P246" i="42" s="1"/>
  <c r="AE246" i="42" s="1"/>
  <c r="AF246" i="42" s="1"/>
  <c r="N247" i="42"/>
  <c r="N248" i="42"/>
  <c r="P248" i="42" s="1"/>
  <c r="AE248" i="42" s="1"/>
  <c r="AF248" i="42" s="1"/>
  <c r="N249" i="42"/>
  <c r="N250" i="42"/>
  <c r="N251" i="42"/>
  <c r="N252" i="42"/>
  <c r="P252" i="42" s="1"/>
  <c r="AE252" i="42" s="1"/>
  <c r="AF252" i="42" s="1"/>
  <c r="N253" i="42"/>
  <c r="P253" i="42" s="1"/>
  <c r="AE253" i="42" s="1"/>
  <c r="AF253" i="42" s="1"/>
  <c r="N254" i="42"/>
  <c r="N255" i="42"/>
  <c r="P255" i="42" s="1"/>
  <c r="AE255" i="42" s="1"/>
  <c r="AF255" i="42" s="1"/>
  <c r="N256" i="42"/>
  <c r="P256" i="42" s="1"/>
  <c r="AE256" i="42" s="1"/>
  <c r="AF256" i="42" s="1"/>
  <c r="N257" i="42"/>
  <c r="P257" i="42" s="1"/>
  <c r="AE257" i="42" s="1"/>
  <c r="AF257" i="42" s="1"/>
  <c r="N258" i="42"/>
  <c r="N259" i="42"/>
  <c r="N260" i="42"/>
  <c r="N261" i="42"/>
  <c r="P261" i="42" s="1"/>
  <c r="AE261" i="42" s="1"/>
  <c r="AF261" i="42" s="1"/>
  <c r="N262" i="42"/>
  <c r="N263" i="42"/>
  <c r="P263" i="42" s="1"/>
  <c r="AE263" i="42" s="1"/>
  <c r="AF263" i="42" s="1"/>
  <c r="N264" i="42"/>
  <c r="P264" i="42" s="1"/>
  <c r="AE264" i="42" s="1"/>
  <c r="AF264" i="42" s="1"/>
  <c r="N265" i="42"/>
  <c r="N266" i="42"/>
  <c r="N267" i="42"/>
  <c r="N268" i="42"/>
  <c r="P268" i="42" s="1"/>
  <c r="AE268" i="42" s="1"/>
  <c r="AF268" i="42" s="1"/>
  <c r="N269" i="42"/>
  <c r="N270" i="42"/>
  <c r="P270" i="42" s="1"/>
  <c r="AE270" i="42" s="1"/>
  <c r="AF270" i="42" s="1"/>
  <c r="N271" i="42"/>
  <c r="P271" i="42" s="1"/>
  <c r="AE271" i="42" s="1"/>
  <c r="AF271" i="42" s="1"/>
  <c r="N272" i="42"/>
  <c r="N273" i="42"/>
  <c r="P273" i="42" s="1"/>
  <c r="AE273" i="42" s="1"/>
  <c r="AF273" i="42" s="1"/>
  <c r="N274" i="42"/>
  <c r="N275" i="42"/>
  <c r="N276" i="42"/>
  <c r="N277" i="42"/>
  <c r="P277" i="42" s="1"/>
  <c r="AE277" i="42" s="1"/>
  <c r="AF277" i="42" s="1"/>
  <c r="N278" i="42"/>
  <c r="P278" i="42" s="1"/>
  <c r="AE278" i="42" s="1"/>
  <c r="AF278" i="42" s="1"/>
  <c r="N279" i="42"/>
  <c r="N280" i="42"/>
  <c r="P280" i="42" s="1"/>
  <c r="AE280" i="42" s="1"/>
  <c r="AF280" i="42" s="1"/>
  <c r="N281" i="42"/>
  <c r="N282" i="42"/>
  <c r="N283" i="42"/>
  <c r="N284" i="42"/>
  <c r="N285" i="42"/>
  <c r="P285" i="42" s="1"/>
  <c r="AE285" i="42" s="1"/>
  <c r="AF285" i="42" s="1"/>
  <c r="N286" i="42"/>
  <c r="N287" i="42"/>
  <c r="P287" i="42" s="1"/>
  <c r="AE287" i="42" s="1"/>
  <c r="AF287" i="42" s="1"/>
  <c r="N288" i="42"/>
  <c r="P288" i="42" s="1"/>
  <c r="AE288" i="42" s="1"/>
  <c r="AF288" i="42" s="1"/>
  <c r="N289" i="42"/>
  <c r="P289" i="42" s="1"/>
  <c r="AE289" i="42" s="1"/>
  <c r="AF289" i="42" s="1"/>
  <c r="N290" i="42"/>
  <c r="N291" i="42"/>
  <c r="N292" i="42"/>
  <c r="N293" i="42"/>
  <c r="P293" i="42" s="1"/>
  <c r="AE293" i="42" s="1"/>
  <c r="AF293" i="42" s="1"/>
  <c r="N294" i="42"/>
  <c r="N295" i="42"/>
  <c r="P295" i="42" s="1"/>
  <c r="AE295" i="42" s="1"/>
  <c r="AF295" i="42" s="1"/>
  <c r="N296" i="42"/>
  <c r="P296" i="42" s="1"/>
  <c r="AE296" i="42" s="1"/>
  <c r="AF296" i="42" s="1"/>
  <c r="N297" i="42"/>
  <c r="N298" i="42"/>
  <c r="N299" i="42"/>
  <c r="N300" i="42"/>
  <c r="N301" i="42"/>
  <c r="P301" i="42" s="1"/>
  <c r="AE301" i="42" s="1"/>
  <c r="AF301" i="42" s="1"/>
  <c r="N302" i="42"/>
  <c r="N303" i="42"/>
  <c r="P303" i="42" s="1"/>
  <c r="AE303" i="42" s="1"/>
  <c r="AF303" i="42" s="1"/>
  <c r="N304" i="42"/>
  <c r="P304" i="42" s="1"/>
  <c r="AE304" i="42" s="1"/>
  <c r="AF304" i="42" s="1"/>
  <c r="N305" i="42"/>
  <c r="P305" i="42" s="1"/>
  <c r="AE305" i="42" s="1"/>
  <c r="AF305" i="42" s="1"/>
  <c r="N306" i="42"/>
  <c r="N307" i="42"/>
  <c r="N308" i="42"/>
  <c r="N309" i="42"/>
  <c r="P309" i="42" s="1"/>
  <c r="AE309" i="42" s="1"/>
  <c r="AF309" i="42" s="1"/>
  <c r="N310" i="42"/>
  <c r="N311" i="42"/>
  <c r="N312" i="42"/>
  <c r="P312" i="42" s="1"/>
  <c r="AE312" i="42" s="1"/>
  <c r="AF312" i="42" s="1"/>
  <c r="N313" i="42"/>
  <c r="N314" i="42"/>
  <c r="N315" i="42"/>
  <c r="N316" i="42"/>
  <c r="P316" i="42" s="1"/>
  <c r="AE316" i="42" s="1"/>
  <c r="AF316" i="42" s="1"/>
  <c r="N317" i="42"/>
  <c r="P317" i="42" s="1"/>
  <c r="AE317" i="42" s="1"/>
  <c r="AF317" i="42" s="1"/>
  <c r="N318" i="42"/>
  <c r="N319" i="42"/>
  <c r="P319" i="42" s="1"/>
  <c r="AE319" i="42" s="1"/>
  <c r="AF319" i="42" s="1"/>
  <c r="N320" i="42"/>
  <c r="P320" i="42" s="1"/>
  <c r="AE320" i="42" s="1"/>
  <c r="AF320" i="42" s="1"/>
  <c r="N321" i="42"/>
  <c r="P321" i="42" s="1"/>
  <c r="AE321" i="42" s="1"/>
  <c r="AF321" i="42" s="1"/>
  <c r="N322" i="42"/>
  <c r="N323" i="42"/>
  <c r="N324" i="42"/>
  <c r="N325" i="42"/>
  <c r="P325" i="42" s="1"/>
  <c r="AE325" i="42" s="1"/>
  <c r="AF325" i="42" s="1"/>
  <c r="N326" i="42"/>
  <c r="N327" i="42"/>
  <c r="P327" i="42" s="1"/>
  <c r="AE327" i="42" s="1"/>
  <c r="AF327" i="42" s="1"/>
  <c r="N328" i="42"/>
  <c r="P328" i="42" s="1"/>
  <c r="AE328" i="42" s="1"/>
  <c r="AF328" i="42" s="1"/>
  <c r="N329" i="42"/>
  <c r="N330" i="42"/>
  <c r="N331" i="42"/>
  <c r="N332" i="42"/>
  <c r="P332" i="42" s="1"/>
  <c r="AE332" i="42" s="1"/>
  <c r="AF332" i="42" s="1"/>
  <c r="N333" i="42"/>
  <c r="N334" i="42"/>
  <c r="P334" i="42" s="1"/>
  <c r="AE334" i="42" s="1"/>
  <c r="AF334" i="42" s="1"/>
  <c r="N335" i="42"/>
  <c r="N336" i="42"/>
  <c r="P336" i="42" s="1"/>
  <c r="AE336" i="42" s="1"/>
  <c r="AF336" i="42" s="1"/>
  <c r="N337" i="42"/>
  <c r="P337" i="42" s="1"/>
  <c r="AE337" i="42" s="1"/>
  <c r="AF337" i="42" s="1"/>
  <c r="N338" i="42"/>
  <c r="N339" i="42"/>
  <c r="N340" i="42"/>
  <c r="N341" i="42"/>
  <c r="N342" i="42"/>
  <c r="P342" i="42" s="1"/>
  <c r="AE342" i="42" s="1"/>
  <c r="AF342" i="42" s="1"/>
  <c r="N343" i="42"/>
  <c r="P343" i="42" s="1"/>
  <c r="AE343" i="42" s="1"/>
  <c r="AF343" i="42" s="1"/>
  <c r="N344" i="42"/>
  <c r="N345" i="42"/>
  <c r="N346" i="42"/>
  <c r="N347" i="42"/>
  <c r="N348" i="42"/>
  <c r="N349" i="42"/>
  <c r="P349" i="42" s="1"/>
  <c r="AE349" i="42" s="1"/>
  <c r="AF349" i="42" s="1"/>
  <c r="N350" i="42"/>
  <c r="N351" i="42"/>
  <c r="P351" i="42" s="1"/>
  <c r="AE351" i="42" s="1"/>
  <c r="AF351" i="42" s="1"/>
  <c r="N352" i="42"/>
  <c r="P352" i="42" s="1"/>
  <c r="AE352" i="42" s="1"/>
  <c r="AF352" i="42" s="1"/>
  <c r="N353" i="42"/>
  <c r="P353" i="42" s="1"/>
  <c r="AE353" i="42" s="1"/>
  <c r="AF353" i="42" s="1"/>
  <c r="N354" i="42"/>
  <c r="N355" i="42"/>
  <c r="N356" i="42"/>
  <c r="N357" i="42"/>
  <c r="P357" i="42" s="1"/>
  <c r="AE357" i="42" s="1"/>
  <c r="AF357" i="42" s="1"/>
  <c r="N358" i="42"/>
  <c r="N359" i="42"/>
  <c r="N360" i="42"/>
  <c r="P360" i="42" s="1"/>
  <c r="AE360" i="42" s="1"/>
  <c r="AF360" i="42" s="1"/>
  <c r="N361" i="42"/>
  <c r="N362" i="42"/>
  <c r="N363" i="42"/>
  <c r="N364" i="42"/>
  <c r="N365" i="42"/>
  <c r="P365" i="42" s="1"/>
  <c r="AE365" i="42" s="1"/>
  <c r="AF365" i="42" s="1"/>
  <c r="N366" i="42"/>
  <c r="N367" i="42"/>
  <c r="P367" i="42" s="1"/>
  <c r="AE367" i="42" s="1"/>
  <c r="AF367" i="42" s="1"/>
  <c r="N368" i="42"/>
  <c r="P368" i="42" s="1"/>
  <c r="AE368" i="42" s="1"/>
  <c r="AF368" i="42" s="1"/>
  <c r="N369" i="42"/>
  <c r="P369" i="42" s="1"/>
  <c r="AE369" i="42" s="1"/>
  <c r="AF369" i="42" s="1"/>
  <c r="N370" i="42"/>
  <c r="N371" i="42"/>
  <c r="N372" i="42"/>
  <c r="N373" i="42"/>
  <c r="P373" i="42" s="1"/>
  <c r="AE373" i="42" s="1"/>
  <c r="AF373" i="42" s="1"/>
  <c r="N374" i="42"/>
  <c r="N375" i="42"/>
  <c r="P375" i="42" s="1"/>
  <c r="AE375" i="42" s="1"/>
  <c r="AF375" i="42" s="1"/>
  <c r="N376" i="42"/>
  <c r="P376" i="42" s="1"/>
  <c r="AE376" i="42" s="1"/>
  <c r="AF376" i="42" s="1"/>
  <c r="N377" i="42"/>
  <c r="N378" i="42"/>
  <c r="N379" i="42"/>
  <c r="N380" i="42"/>
  <c r="N381" i="42"/>
  <c r="P381" i="42" s="1"/>
  <c r="AE381" i="42" s="1"/>
  <c r="AF381" i="42" s="1"/>
  <c r="N382" i="42"/>
  <c r="N383" i="42"/>
  <c r="P383" i="42" s="1"/>
  <c r="AE383" i="42" s="1"/>
  <c r="AF383" i="42" s="1"/>
  <c r="N384" i="42"/>
  <c r="P384" i="42" s="1"/>
  <c r="AE384" i="42" s="1"/>
  <c r="AF384" i="42" s="1"/>
  <c r="N385" i="42"/>
  <c r="P385" i="42" s="1"/>
  <c r="AE385" i="42" s="1"/>
  <c r="AF385" i="42" s="1"/>
  <c r="N386" i="42"/>
  <c r="N387" i="42"/>
  <c r="N388" i="42"/>
  <c r="N389" i="42"/>
  <c r="P389" i="42" s="1"/>
  <c r="AE389" i="42" s="1"/>
  <c r="AF389" i="42" s="1"/>
  <c r="N390" i="42"/>
  <c r="N391" i="42"/>
  <c r="N392" i="42"/>
  <c r="P392" i="42" s="1"/>
  <c r="AE392" i="42" s="1"/>
  <c r="AF392" i="42" s="1"/>
  <c r="N393" i="42"/>
  <c r="N394" i="42"/>
  <c r="N395" i="42"/>
  <c r="N396" i="42"/>
  <c r="P396" i="42" s="1"/>
  <c r="AE396" i="42" s="1"/>
  <c r="AF396" i="42" s="1"/>
  <c r="N397" i="42"/>
  <c r="P397" i="42" s="1"/>
  <c r="AE397" i="42" s="1"/>
  <c r="AF397" i="42" s="1"/>
  <c r="N398" i="42"/>
  <c r="N399" i="42"/>
  <c r="P399" i="42" s="1"/>
  <c r="AE399" i="42" s="1"/>
  <c r="AF399" i="42" s="1"/>
  <c r="N400" i="42"/>
  <c r="P400" i="42" s="1"/>
  <c r="AE400" i="42" s="1"/>
  <c r="AF400" i="42" s="1"/>
  <c r="N401" i="42"/>
  <c r="P401" i="42" s="1"/>
  <c r="AE401" i="42" s="1"/>
  <c r="AF401" i="42" s="1"/>
  <c r="N402" i="42"/>
  <c r="N403" i="42"/>
  <c r="N404" i="42"/>
  <c r="N405" i="42"/>
  <c r="P405" i="42" s="1"/>
  <c r="AE405" i="42" s="1"/>
  <c r="AF405" i="42" s="1"/>
  <c r="N406" i="42"/>
  <c r="N407" i="42"/>
  <c r="P407" i="42" s="1"/>
  <c r="AE407" i="42" s="1"/>
  <c r="AF407" i="42" s="1"/>
  <c r="N408" i="42"/>
  <c r="P408" i="42" s="1"/>
  <c r="AE408" i="42" s="1"/>
  <c r="AF408" i="42" s="1"/>
  <c r="N409" i="42"/>
  <c r="N410" i="42"/>
  <c r="N411" i="42"/>
  <c r="N412" i="42"/>
  <c r="N413" i="42"/>
  <c r="P413" i="42" s="1"/>
  <c r="AE413" i="42" s="1"/>
  <c r="AF413" i="42" s="1"/>
  <c r="N414" i="42"/>
  <c r="N415" i="42"/>
  <c r="P415" i="42" s="1"/>
  <c r="AE415" i="42" s="1"/>
  <c r="AF415" i="42" s="1"/>
  <c r="N416" i="42"/>
  <c r="P416" i="42" s="1"/>
  <c r="AE416" i="42" s="1"/>
  <c r="AF416" i="42" s="1"/>
  <c r="N417" i="42"/>
  <c r="P417" i="42" s="1"/>
  <c r="AE417" i="42" s="1"/>
  <c r="AF417" i="42" s="1"/>
  <c r="N418" i="42"/>
  <c r="N419" i="42"/>
  <c r="N420" i="42"/>
  <c r="N421" i="42"/>
  <c r="P421" i="42" s="1"/>
  <c r="AE421" i="42" s="1"/>
  <c r="AF421" i="42" s="1"/>
  <c r="N422" i="42"/>
  <c r="P422" i="42" s="1"/>
  <c r="AE422" i="42" s="1"/>
  <c r="AF422" i="42" s="1"/>
  <c r="N423" i="42"/>
  <c r="N424" i="42"/>
  <c r="P424" i="42" s="1"/>
  <c r="AE424" i="42" s="1"/>
  <c r="AF424" i="42" s="1"/>
  <c r="N425" i="42"/>
  <c r="N426" i="42"/>
  <c r="N427" i="42"/>
  <c r="N428" i="42"/>
  <c r="N429" i="42"/>
  <c r="P429" i="42" s="1"/>
  <c r="AE429" i="42" s="1"/>
  <c r="AF429" i="42" s="1"/>
  <c r="N430" i="42"/>
  <c r="N431" i="42"/>
  <c r="P431" i="42" s="1"/>
  <c r="AE431" i="42" s="1"/>
  <c r="AF431" i="42" s="1"/>
  <c r="N432" i="42"/>
  <c r="P432" i="42" s="1"/>
  <c r="AE432" i="42" s="1"/>
  <c r="AF432" i="42" s="1"/>
  <c r="N433" i="42"/>
  <c r="P433" i="42" s="1"/>
  <c r="AE433" i="42" s="1"/>
  <c r="AF433" i="42" s="1"/>
  <c r="N434" i="42"/>
  <c r="N435" i="42"/>
  <c r="N436" i="42"/>
  <c r="N437" i="42"/>
  <c r="N438" i="42"/>
  <c r="P438" i="42" s="1"/>
  <c r="AE438" i="42" s="1"/>
  <c r="AF438" i="42" s="1"/>
  <c r="N439" i="42"/>
  <c r="P439" i="42" s="1"/>
  <c r="AE439" i="42" s="1"/>
  <c r="AF439" i="42" s="1"/>
  <c r="N440" i="42"/>
  <c r="N441" i="42"/>
  <c r="N442" i="42"/>
  <c r="N443" i="42"/>
  <c r="N444" i="42"/>
  <c r="N445" i="42"/>
  <c r="N446" i="42"/>
  <c r="P446" i="42" s="1"/>
  <c r="AE446" i="42" s="1"/>
  <c r="AF446" i="42" s="1"/>
  <c r="N447" i="42"/>
  <c r="P447" i="42" s="1"/>
  <c r="AE447" i="42" s="1"/>
  <c r="AF447" i="42" s="1"/>
  <c r="N448" i="42"/>
  <c r="P448" i="42" s="1"/>
  <c r="AE448" i="42" s="1"/>
  <c r="AF448" i="42" s="1"/>
  <c r="N449" i="42"/>
  <c r="P449" i="42" s="1"/>
  <c r="AE449" i="42" s="1"/>
  <c r="AF449" i="42" s="1"/>
  <c r="N450" i="42"/>
  <c r="N451" i="42"/>
  <c r="N452" i="42"/>
  <c r="N453" i="42"/>
  <c r="N454" i="42"/>
  <c r="N455" i="42"/>
  <c r="P455" i="42" s="1"/>
  <c r="AE455" i="42" s="1"/>
  <c r="AF455" i="42" s="1"/>
  <c r="N456" i="42"/>
  <c r="N457" i="42"/>
  <c r="N458" i="42"/>
  <c r="N459" i="42"/>
  <c r="N460" i="42"/>
  <c r="N461" i="42"/>
  <c r="N462" i="42"/>
  <c r="P462" i="42" s="1"/>
  <c r="AE462" i="42" s="1"/>
  <c r="AF462" i="42" s="1"/>
  <c r="N463" i="42"/>
  <c r="P463" i="42" s="1"/>
  <c r="AE463" i="42" s="1"/>
  <c r="AF463" i="42" s="1"/>
  <c r="N464" i="42"/>
  <c r="P464" i="42" s="1"/>
  <c r="AE464" i="42" s="1"/>
  <c r="AF464" i="42" s="1"/>
  <c r="N465" i="42"/>
  <c r="P465" i="42" s="1"/>
  <c r="AE465" i="42" s="1"/>
  <c r="AF465" i="42" s="1"/>
  <c r="N466" i="42"/>
  <c r="N467" i="42"/>
  <c r="N468" i="42"/>
  <c r="N469" i="42"/>
  <c r="N470" i="42"/>
  <c r="P470" i="42" s="1"/>
  <c r="AE470" i="42" s="1"/>
  <c r="AF470" i="42" s="1"/>
  <c r="N471" i="42"/>
  <c r="P471" i="42" s="1"/>
  <c r="AE471" i="42" s="1"/>
  <c r="AF471" i="42" s="1"/>
  <c r="N472" i="42"/>
  <c r="P472" i="42" s="1"/>
  <c r="AE472" i="42" s="1"/>
  <c r="AF472" i="42" s="1"/>
  <c r="N473" i="42"/>
  <c r="N474" i="42"/>
  <c r="N475" i="42"/>
  <c r="N476" i="42"/>
  <c r="N477" i="42"/>
  <c r="N478" i="42"/>
  <c r="P478" i="42" s="1"/>
  <c r="AE478" i="42" s="1"/>
  <c r="AF478" i="42" s="1"/>
  <c r="N479" i="42"/>
  <c r="P479" i="42" s="1"/>
  <c r="AE479" i="42" s="1"/>
  <c r="AF479" i="42" s="1"/>
  <c r="N480" i="42"/>
  <c r="P480" i="42" s="1"/>
  <c r="AE480" i="42" s="1"/>
  <c r="AF480" i="42" s="1"/>
  <c r="N481" i="42"/>
  <c r="P481" i="42" s="1"/>
  <c r="AE481" i="42" s="1"/>
  <c r="AF481" i="42" s="1"/>
  <c r="N482" i="42"/>
  <c r="N483" i="42"/>
  <c r="N484" i="42"/>
  <c r="N485" i="42"/>
  <c r="N486" i="42"/>
  <c r="N487" i="42"/>
  <c r="P487" i="42" s="1"/>
  <c r="AE487" i="42" s="1"/>
  <c r="AF487" i="42" s="1"/>
  <c r="N488" i="42"/>
  <c r="P488" i="42" s="1"/>
  <c r="AE488" i="42" s="1"/>
  <c r="AF488" i="42" s="1"/>
  <c r="N489" i="42"/>
  <c r="N490" i="42"/>
  <c r="N491" i="42"/>
  <c r="N492" i="42"/>
  <c r="N493" i="42"/>
  <c r="N494" i="42"/>
  <c r="P494" i="42" s="1"/>
  <c r="AE494" i="42" s="1"/>
  <c r="AF494" i="42" s="1"/>
  <c r="N495" i="42"/>
  <c r="N496" i="42"/>
  <c r="P496" i="42" s="1"/>
  <c r="AE496" i="42" s="1"/>
  <c r="AF496" i="42" s="1"/>
  <c r="N497" i="42"/>
  <c r="P497" i="42" s="1"/>
  <c r="AE497" i="42" s="1"/>
  <c r="AF497" i="42" s="1"/>
  <c r="N498" i="42"/>
  <c r="N499" i="42"/>
  <c r="N500" i="42"/>
  <c r="K1" i="16"/>
  <c r="L1" i="44"/>
  <c r="G4" i="58"/>
  <c r="E5" i="57"/>
  <c r="D3" i="57"/>
  <c r="BH10" i="54"/>
  <c r="BH11" i="54"/>
  <c r="BH12" i="54"/>
  <c r="BH13" i="54"/>
  <c r="BH14" i="54"/>
  <c r="BH15" i="54"/>
  <c r="BH16" i="54"/>
  <c r="BH17" i="54"/>
  <c r="BH18" i="54"/>
  <c r="BH19" i="54"/>
  <c r="BH20" i="54"/>
  <c r="BH21" i="54"/>
  <c r="BH22" i="54"/>
  <c r="BH23" i="54"/>
  <c r="BH24" i="54"/>
  <c r="BH25" i="54"/>
  <c r="BH26" i="54"/>
  <c r="BF10" i="54"/>
  <c r="BF11" i="54"/>
  <c r="BF12" i="54"/>
  <c r="BF13" i="54"/>
  <c r="BF14" i="54"/>
  <c r="BF15" i="54"/>
  <c r="BF16" i="54"/>
  <c r="BF17" i="54"/>
  <c r="BF18" i="54"/>
  <c r="BF19" i="54"/>
  <c r="BF20" i="54"/>
  <c r="BF21" i="54"/>
  <c r="BF22" i="54"/>
  <c r="BF23" i="54"/>
  <c r="BF24" i="54"/>
  <c r="BF25" i="54"/>
  <c r="BF26" i="54"/>
  <c r="AZ10" i="54"/>
  <c r="C12" i="60" s="1"/>
  <c r="AZ11" i="54"/>
  <c r="AZ12" i="54"/>
  <c r="AZ13" i="54"/>
  <c r="AZ14" i="54"/>
  <c r="AZ15" i="54"/>
  <c r="AZ16" i="54"/>
  <c r="AZ17" i="54"/>
  <c r="AZ18" i="54"/>
  <c r="AZ19" i="54"/>
  <c r="AZ20" i="54"/>
  <c r="AZ21" i="54"/>
  <c r="AZ22" i="54"/>
  <c r="AZ23" i="54"/>
  <c r="AZ24" i="54"/>
  <c r="AZ25" i="54"/>
  <c r="AZ26" i="54"/>
  <c r="GW3" i="55"/>
  <c r="GW4" i="55"/>
  <c r="GW5" i="55"/>
  <c r="GW6" i="55"/>
  <c r="GW7" i="55"/>
  <c r="GW8" i="55"/>
  <c r="GW9" i="55"/>
  <c r="GW10" i="55"/>
  <c r="GW11" i="55"/>
  <c r="GW12" i="55"/>
  <c r="GW13" i="55"/>
  <c r="GW14" i="55"/>
  <c r="GW15" i="55"/>
  <c r="GW16" i="55"/>
  <c r="GW17" i="55"/>
  <c r="GW18" i="55"/>
  <c r="GW19" i="55"/>
  <c r="GW20" i="55"/>
  <c r="GW21" i="55"/>
  <c r="GW22" i="55"/>
  <c r="GW23" i="55"/>
  <c r="GW24" i="55"/>
  <c r="GW25" i="55"/>
  <c r="GW26" i="55"/>
  <c r="GW27" i="55"/>
  <c r="GW28" i="55"/>
  <c r="GW29" i="55"/>
  <c r="GW30" i="55"/>
  <c r="GW31" i="55"/>
  <c r="GW32" i="55"/>
  <c r="GW33" i="55"/>
  <c r="GW34" i="55"/>
  <c r="GW35" i="55"/>
  <c r="GW36" i="55"/>
  <c r="GW37" i="55"/>
  <c r="GW38" i="55"/>
  <c r="GW39" i="55"/>
  <c r="GW40" i="55"/>
  <c r="GW41" i="55"/>
  <c r="GW42" i="55"/>
  <c r="GW43" i="55"/>
  <c r="GW44" i="55"/>
  <c r="GW45" i="55"/>
  <c r="GW46" i="55"/>
  <c r="GW47" i="55"/>
  <c r="GW48" i="55"/>
  <c r="GW49" i="55"/>
  <c r="GW50" i="55"/>
  <c r="GW51" i="55"/>
  <c r="GW52" i="55"/>
  <c r="GW53" i="55"/>
  <c r="GW54" i="55"/>
  <c r="GW55" i="55"/>
  <c r="GW56" i="55"/>
  <c r="GW57" i="55"/>
  <c r="GW58" i="55"/>
  <c r="GW59" i="55"/>
  <c r="GW60" i="55"/>
  <c r="GW61" i="55"/>
  <c r="GW62" i="55"/>
  <c r="GW63" i="55"/>
  <c r="GW64" i="55"/>
  <c r="GW65" i="55"/>
  <c r="GW66" i="55"/>
  <c r="GW67" i="55"/>
  <c r="GW68" i="55"/>
  <c r="GW69" i="55"/>
  <c r="GW70" i="55"/>
  <c r="GW71" i="55"/>
  <c r="GW72" i="55"/>
  <c r="GW73" i="55"/>
  <c r="GW74" i="55"/>
  <c r="GW75" i="55"/>
  <c r="GW76" i="55"/>
  <c r="GW77" i="55"/>
  <c r="GW78" i="55"/>
  <c r="GW79" i="55"/>
  <c r="GW80" i="55"/>
  <c r="GW81" i="55"/>
  <c r="GW82" i="55"/>
  <c r="GW83" i="55"/>
  <c r="GW84" i="55"/>
  <c r="GW85" i="55"/>
  <c r="GW86" i="55"/>
  <c r="GW87" i="55"/>
  <c r="GW88" i="55"/>
  <c r="GW89" i="55"/>
  <c r="GW90" i="55"/>
  <c r="GW91" i="55"/>
  <c r="GW92" i="55"/>
  <c r="GW93" i="55"/>
  <c r="GW94" i="55"/>
  <c r="GW95" i="55"/>
  <c r="GW96" i="55"/>
  <c r="GW97" i="55"/>
  <c r="GW98" i="55"/>
  <c r="GW99" i="55"/>
  <c r="GW100" i="55"/>
  <c r="GW101" i="55"/>
  <c r="GW102" i="55"/>
  <c r="GW103" i="55"/>
  <c r="GW104" i="55"/>
  <c r="GW105" i="55"/>
  <c r="GW106" i="55"/>
  <c r="GW107" i="55"/>
  <c r="GW108" i="55"/>
  <c r="GW109" i="55"/>
  <c r="GW110" i="55"/>
  <c r="GW111" i="55"/>
  <c r="GW112" i="55"/>
  <c r="GW113" i="55"/>
  <c r="GW114" i="55"/>
  <c r="GW115" i="55"/>
  <c r="GW116" i="55"/>
  <c r="GW117" i="55"/>
  <c r="GW118" i="55"/>
  <c r="GW119" i="55"/>
  <c r="GW120" i="55"/>
  <c r="GW121" i="55"/>
  <c r="GW122" i="55"/>
  <c r="GW123" i="55"/>
  <c r="GW124" i="55"/>
  <c r="GW125" i="55"/>
  <c r="GW126" i="55"/>
  <c r="GW127" i="55"/>
  <c r="GW128" i="55"/>
  <c r="GW129" i="55"/>
  <c r="GW130" i="55"/>
  <c r="GW131" i="55"/>
  <c r="GW132" i="55"/>
  <c r="GW133" i="55"/>
  <c r="GW134" i="55"/>
  <c r="GW135" i="55"/>
  <c r="GW136" i="55"/>
  <c r="GW137" i="55"/>
  <c r="GW138" i="55"/>
  <c r="GW139" i="55"/>
  <c r="GW140" i="55"/>
  <c r="GW141" i="55"/>
  <c r="GW142" i="55"/>
  <c r="GW143" i="55"/>
  <c r="GW144" i="55"/>
  <c r="GW145" i="55"/>
  <c r="GW146" i="55"/>
  <c r="GW147" i="55"/>
  <c r="GW148" i="55"/>
  <c r="GW149" i="55"/>
  <c r="GW150" i="55"/>
  <c r="GW151" i="55"/>
  <c r="GW152" i="55"/>
  <c r="GW153" i="55"/>
  <c r="GW154" i="55"/>
  <c r="GW155" i="55"/>
  <c r="GW156" i="55"/>
  <c r="GW157" i="55"/>
  <c r="GW158" i="55"/>
  <c r="GW159" i="55"/>
  <c r="GW160" i="55"/>
  <c r="GW161" i="55"/>
  <c r="GW162" i="55"/>
  <c r="GW163" i="55"/>
  <c r="GW164" i="55"/>
  <c r="GW165" i="55"/>
  <c r="GW166" i="55"/>
  <c r="GW167" i="55"/>
  <c r="GW168" i="55"/>
  <c r="GW169" i="55"/>
  <c r="GW170" i="55"/>
  <c r="GW171" i="55"/>
  <c r="GW172" i="55"/>
  <c r="GW173" i="55"/>
  <c r="GW174" i="55"/>
  <c r="GW175" i="55"/>
  <c r="GW176" i="55"/>
  <c r="GW177" i="55"/>
  <c r="GW178" i="55"/>
  <c r="GW179" i="55"/>
  <c r="GW180" i="55"/>
  <c r="GW181" i="55"/>
  <c r="GW182" i="55"/>
  <c r="GW183" i="55"/>
  <c r="GW184" i="55"/>
  <c r="GW185" i="55"/>
  <c r="GW186" i="55"/>
  <c r="GW187" i="55"/>
  <c r="GW188" i="55"/>
  <c r="GW189" i="55"/>
  <c r="GW190" i="55"/>
  <c r="GW191" i="55"/>
  <c r="GW192" i="55"/>
  <c r="GW193" i="55"/>
  <c r="GW194" i="55"/>
  <c r="GW195" i="55"/>
  <c r="GW196" i="55"/>
  <c r="GW197" i="55"/>
  <c r="GW198" i="55"/>
  <c r="GW199" i="55"/>
  <c r="GW200" i="55"/>
  <c r="GW201" i="55"/>
  <c r="GW202" i="55"/>
  <c r="GW203" i="55"/>
  <c r="GW204" i="55"/>
  <c r="GW205" i="55"/>
  <c r="GW206" i="55"/>
  <c r="GW207" i="55"/>
  <c r="GW208" i="55"/>
  <c r="GW209" i="55"/>
  <c r="GW210" i="55"/>
  <c r="GW211" i="55"/>
  <c r="GW212" i="55"/>
  <c r="GW213" i="55"/>
  <c r="GW214" i="55"/>
  <c r="GW215" i="55"/>
  <c r="GW216" i="55"/>
  <c r="GW217" i="55"/>
  <c r="GW218" i="55"/>
  <c r="GW219" i="55"/>
  <c r="GW220" i="55"/>
  <c r="GW221" i="55"/>
  <c r="GW222" i="55"/>
  <c r="GW223" i="55"/>
  <c r="GW224" i="55"/>
  <c r="GW225" i="55"/>
  <c r="GW226" i="55"/>
  <c r="GW227" i="55"/>
  <c r="GW228" i="55"/>
  <c r="GW229" i="55"/>
  <c r="GW230" i="55"/>
  <c r="GW231" i="55"/>
  <c r="GW232" i="55"/>
  <c r="GW233" i="55"/>
  <c r="GW234" i="55"/>
  <c r="GW235" i="55"/>
  <c r="GW236" i="55"/>
  <c r="GW237" i="55"/>
  <c r="GW238" i="55"/>
  <c r="GW239" i="55"/>
  <c r="GW240" i="55"/>
  <c r="GW241" i="55"/>
  <c r="GW242" i="55"/>
  <c r="GW243" i="55"/>
  <c r="GW244" i="55"/>
  <c r="GW245" i="55"/>
  <c r="GW246" i="55"/>
  <c r="GW247" i="55"/>
  <c r="GW248" i="55"/>
  <c r="GW249" i="55"/>
  <c r="GW250" i="55"/>
  <c r="GW251" i="55"/>
  <c r="GW252" i="55"/>
  <c r="GW253" i="55"/>
  <c r="GW254" i="55"/>
  <c r="GW255" i="55"/>
  <c r="GW256" i="55"/>
  <c r="GW257" i="55"/>
  <c r="GW258" i="55"/>
  <c r="GW259" i="55"/>
  <c r="GW260" i="55"/>
  <c r="GW261" i="55"/>
  <c r="GW262" i="55"/>
  <c r="GW263" i="55"/>
  <c r="GW264" i="55"/>
  <c r="GW265" i="55"/>
  <c r="GW266" i="55"/>
  <c r="GW267" i="55"/>
  <c r="GW268" i="55"/>
  <c r="GW269" i="55"/>
  <c r="GW270" i="55"/>
  <c r="GW271" i="55"/>
  <c r="GW272" i="55"/>
  <c r="GW273" i="55"/>
  <c r="GW274" i="55"/>
  <c r="GW275" i="55"/>
  <c r="GW276" i="55"/>
  <c r="GW277" i="55"/>
  <c r="GW278" i="55"/>
  <c r="GW279" i="55"/>
  <c r="GW280" i="55"/>
  <c r="GW281" i="55"/>
  <c r="GW282" i="55"/>
  <c r="GW283" i="55"/>
  <c r="GW284" i="55"/>
  <c r="GW285" i="55"/>
  <c r="GW286" i="55"/>
  <c r="GW287" i="55"/>
  <c r="GW288" i="55"/>
  <c r="GW289" i="55"/>
  <c r="GW290" i="55"/>
  <c r="GW291" i="55"/>
  <c r="GW292" i="55"/>
  <c r="GW293" i="55"/>
  <c r="GW294" i="55"/>
  <c r="GW295" i="55"/>
  <c r="GW296" i="55"/>
  <c r="GW297" i="55"/>
  <c r="GW298" i="55"/>
  <c r="GW299" i="55"/>
  <c r="GW300" i="55"/>
  <c r="GW301" i="55"/>
  <c r="GW302" i="55"/>
  <c r="GW303" i="55"/>
  <c r="GW304" i="55"/>
  <c r="GW305" i="55"/>
  <c r="GW306" i="55"/>
  <c r="GW307" i="55"/>
  <c r="GW308" i="55"/>
  <c r="GW309" i="55"/>
  <c r="GW310" i="55"/>
  <c r="GW311" i="55"/>
  <c r="GW312" i="55"/>
  <c r="GW313" i="55"/>
  <c r="GW314" i="55"/>
  <c r="GW315" i="55"/>
  <c r="GW316" i="55"/>
  <c r="GW317" i="55"/>
  <c r="GW318" i="55"/>
  <c r="GW319" i="55"/>
  <c r="GW320" i="55"/>
  <c r="GW321" i="55"/>
  <c r="GW322" i="55"/>
  <c r="GW323" i="55"/>
  <c r="GW324" i="55"/>
  <c r="GW325" i="55"/>
  <c r="GW326" i="55"/>
  <c r="GW327" i="55"/>
  <c r="GW328" i="55"/>
  <c r="GW329" i="55"/>
  <c r="GW330" i="55"/>
  <c r="GW331" i="55"/>
  <c r="GW332" i="55"/>
  <c r="GW333" i="55"/>
  <c r="GW334" i="55"/>
  <c r="GW335" i="55"/>
  <c r="GW336" i="55"/>
  <c r="GW337" i="55"/>
  <c r="GW338" i="55"/>
  <c r="GW339" i="55"/>
  <c r="GW340" i="55"/>
  <c r="GW341" i="55"/>
  <c r="GW342" i="55"/>
  <c r="GW343" i="55"/>
  <c r="GW344" i="55"/>
  <c r="GW345" i="55"/>
  <c r="GW346" i="55"/>
  <c r="GW347" i="55"/>
  <c r="GW348" i="55"/>
  <c r="GW349" i="55"/>
  <c r="GW350" i="55"/>
  <c r="GW351" i="55"/>
  <c r="GW352" i="55"/>
  <c r="GT160" i="55"/>
  <c r="GQ3" i="55"/>
  <c r="GQ4" i="55"/>
  <c r="GQ5" i="55"/>
  <c r="GQ6" i="55"/>
  <c r="GQ7" i="55"/>
  <c r="GQ8" i="55"/>
  <c r="GQ9" i="55"/>
  <c r="GQ10" i="55"/>
  <c r="GQ11" i="55"/>
  <c r="GQ12" i="55"/>
  <c r="GQ13" i="55"/>
  <c r="GQ14" i="55"/>
  <c r="GQ15" i="55"/>
  <c r="GQ16" i="55"/>
  <c r="GQ17" i="55"/>
  <c r="GQ18" i="55"/>
  <c r="GQ19" i="55"/>
  <c r="GQ20" i="55"/>
  <c r="GQ21" i="55"/>
  <c r="GQ22" i="55"/>
  <c r="GQ23" i="55"/>
  <c r="GQ24" i="55"/>
  <c r="GQ25" i="55"/>
  <c r="GQ26" i="55"/>
  <c r="GQ27" i="55"/>
  <c r="GQ28" i="55"/>
  <c r="GQ29" i="55"/>
  <c r="GQ30" i="55"/>
  <c r="GQ31" i="55"/>
  <c r="GQ32" i="55"/>
  <c r="GQ33" i="55"/>
  <c r="GQ34" i="55"/>
  <c r="GQ35" i="55"/>
  <c r="GQ36" i="55"/>
  <c r="GQ37" i="55"/>
  <c r="GQ38" i="55"/>
  <c r="GQ39" i="55"/>
  <c r="GQ40" i="55"/>
  <c r="GQ41" i="55"/>
  <c r="GQ42" i="55"/>
  <c r="GQ43" i="55"/>
  <c r="GQ44" i="55"/>
  <c r="GQ45" i="55"/>
  <c r="GQ46" i="55"/>
  <c r="GQ47" i="55"/>
  <c r="GQ48" i="55"/>
  <c r="GQ49" i="55"/>
  <c r="GQ50" i="55"/>
  <c r="GQ51" i="55"/>
  <c r="GQ52" i="55"/>
  <c r="GQ53" i="55"/>
  <c r="GQ54" i="55"/>
  <c r="GQ55" i="55"/>
  <c r="GQ56" i="55"/>
  <c r="GQ57" i="55"/>
  <c r="GQ58" i="55"/>
  <c r="GQ59" i="55"/>
  <c r="GQ60" i="55"/>
  <c r="GQ61" i="55"/>
  <c r="GQ62" i="55"/>
  <c r="GQ63" i="55"/>
  <c r="GQ64" i="55"/>
  <c r="GQ65" i="55"/>
  <c r="GQ66" i="55"/>
  <c r="GQ67" i="55"/>
  <c r="GQ68" i="55"/>
  <c r="GQ69" i="55"/>
  <c r="GQ70" i="55"/>
  <c r="GQ71" i="55"/>
  <c r="GQ72" i="55"/>
  <c r="GQ73" i="55"/>
  <c r="GQ74" i="55"/>
  <c r="GQ75" i="55"/>
  <c r="GQ76" i="55"/>
  <c r="GQ77" i="55"/>
  <c r="GQ78" i="55"/>
  <c r="GQ79" i="55"/>
  <c r="GQ80" i="55"/>
  <c r="GQ81" i="55"/>
  <c r="GQ82" i="55"/>
  <c r="GQ83" i="55"/>
  <c r="GQ84" i="55"/>
  <c r="GQ85" i="55"/>
  <c r="GQ86" i="55"/>
  <c r="GQ87" i="55"/>
  <c r="GQ88" i="55"/>
  <c r="GQ89" i="55"/>
  <c r="GQ90" i="55"/>
  <c r="GQ91" i="55"/>
  <c r="GQ92" i="55"/>
  <c r="GQ93" i="55"/>
  <c r="GQ94" i="55"/>
  <c r="GQ95" i="55"/>
  <c r="GQ96" i="55"/>
  <c r="GQ97" i="55"/>
  <c r="GQ98" i="55"/>
  <c r="GQ99" i="55"/>
  <c r="GQ100" i="55"/>
  <c r="GQ101" i="55"/>
  <c r="GQ102" i="55"/>
  <c r="GQ103" i="55"/>
  <c r="GQ104" i="55"/>
  <c r="GQ105" i="55"/>
  <c r="GQ106" i="55"/>
  <c r="GQ107" i="55"/>
  <c r="GQ108" i="55"/>
  <c r="GQ109" i="55"/>
  <c r="GQ110" i="55"/>
  <c r="GQ111" i="55"/>
  <c r="GQ112" i="55"/>
  <c r="GQ113" i="55"/>
  <c r="GQ114" i="55"/>
  <c r="GQ115" i="55"/>
  <c r="GQ116" i="55"/>
  <c r="GQ117" i="55"/>
  <c r="GQ118" i="55"/>
  <c r="GQ119" i="55"/>
  <c r="GQ120" i="55"/>
  <c r="GQ121" i="55"/>
  <c r="GQ122" i="55"/>
  <c r="GQ123" i="55"/>
  <c r="GQ124" i="55"/>
  <c r="GQ125" i="55"/>
  <c r="GQ126" i="55"/>
  <c r="GQ127" i="55"/>
  <c r="GQ128" i="55"/>
  <c r="GQ129" i="55"/>
  <c r="GQ130" i="55"/>
  <c r="GQ131" i="55"/>
  <c r="GQ132" i="55"/>
  <c r="GQ133" i="55"/>
  <c r="GQ134" i="55"/>
  <c r="GQ135" i="55"/>
  <c r="GQ136" i="55"/>
  <c r="GQ137" i="55"/>
  <c r="GQ138" i="55"/>
  <c r="GQ139" i="55"/>
  <c r="GQ140" i="55"/>
  <c r="GQ141" i="55"/>
  <c r="GQ142" i="55"/>
  <c r="GQ143" i="55"/>
  <c r="GQ144" i="55"/>
  <c r="GQ145" i="55"/>
  <c r="GQ146" i="55"/>
  <c r="GQ147" i="55"/>
  <c r="GQ148" i="55"/>
  <c r="GQ149" i="55"/>
  <c r="GQ150" i="55"/>
  <c r="GQ151" i="55"/>
  <c r="GQ152" i="55"/>
  <c r="GQ153" i="55"/>
  <c r="GQ154" i="55"/>
  <c r="GQ155" i="55"/>
  <c r="GQ156" i="55"/>
  <c r="GQ157" i="55"/>
  <c r="GQ158" i="55"/>
  <c r="GQ159" i="55"/>
  <c r="GQ160" i="55"/>
  <c r="GQ161" i="55"/>
  <c r="GQ162" i="55"/>
  <c r="GQ163" i="55"/>
  <c r="GQ164" i="55"/>
  <c r="GQ165" i="55"/>
  <c r="GQ166" i="55"/>
  <c r="GQ167" i="55"/>
  <c r="GQ168" i="55"/>
  <c r="GQ169" i="55"/>
  <c r="GQ170" i="55"/>
  <c r="GQ171" i="55"/>
  <c r="GQ172" i="55"/>
  <c r="GQ173" i="55"/>
  <c r="GQ174" i="55"/>
  <c r="GQ175" i="55"/>
  <c r="GQ176" i="55"/>
  <c r="GQ177" i="55"/>
  <c r="GQ178" i="55"/>
  <c r="GQ179" i="55"/>
  <c r="GQ180" i="55"/>
  <c r="GQ181" i="55"/>
  <c r="GQ182" i="55"/>
  <c r="GQ183" i="55"/>
  <c r="GQ184" i="55"/>
  <c r="GQ185" i="55"/>
  <c r="GQ186" i="55"/>
  <c r="GQ187" i="55"/>
  <c r="GQ188" i="55"/>
  <c r="GQ189" i="55"/>
  <c r="GQ190" i="55"/>
  <c r="GQ191" i="55"/>
  <c r="GQ192" i="55"/>
  <c r="GQ193" i="55"/>
  <c r="GQ194" i="55"/>
  <c r="GQ195" i="55"/>
  <c r="GQ196" i="55"/>
  <c r="GQ197" i="55"/>
  <c r="GQ198" i="55"/>
  <c r="GQ199" i="55"/>
  <c r="GQ200" i="55"/>
  <c r="GQ201" i="55"/>
  <c r="GQ202" i="55"/>
  <c r="GQ203" i="55"/>
  <c r="GQ204" i="55"/>
  <c r="GQ205" i="55"/>
  <c r="GQ206" i="55"/>
  <c r="GQ207" i="55"/>
  <c r="GQ208" i="55"/>
  <c r="GQ209" i="55"/>
  <c r="GQ210" i="55"/>
  <c r="GQ211" i="55"/>
  <c r="GQ212" i="55"/>
  <c r="GQ213" i="55"/>
  <c r="GQ214" i="55"/>
  <c r="GQ215" i="55"/>
  <c r="GQ216" i="55"/>
  <c r="GQ217" i="55"/>
  <c r="GQ218" i="55"/>
  <c r="GQ219" i="55"/>
  <c r="GQ220" i="55"/>
  <c r="GQ221" i="55"/>
  <c r="GQ222" i="55"/>
  <c r="GQ223" i="55"/>
  <c r="GQ224" i="55"/>
  <c r="GQ225" i="55"/>
  <c r="GQ226" i="55"/>
  <c r="GQ227" i="55"/>
  <c r="GQ228" i="55"/>
  <c r="GQ229" i="55"/>
  <c r="GQ230" i="55"/>
  <c r="GQ231" i="55"/>
  <c r="GQ232" i="55"/>
  <c r="GQ233" i="55"/>
  <c r="GQ234" i="55"/>
  <c r="GQ235" i="55"/>
  <c r="GQ236" i="55"/>
  <c r="GQ237" i="55"/>
  <c r="GQ238" i="55"/>
  <c r="GQ239" i="55"/>
  <c r="GQ240" i="55"/>
  <c r="GQ241" i="55"/>
  <c r="GQ242" i="55"/>
  <c r="GQ243" i="55"/>
  <c r="GQ244" i="55"/>
  <c r="GQ245" i="55"/>
  <c r="GQ246" i="55"/>
  <c r="GQ247" i="55"/>
  <c r="GQ248" i="55"/>
  <c r="GQ249" i="55"/>
  <c r="GQ250" i="55"/>
  <c r="GQ251" i="55"/>
  <c r="GQ252" i="55"/>
  <c r="GQ253" i="55"/>
  <c r="GQ254" i="55"/>
  <c r="GQ255" i="55"/>
  <c r="GQ256" i="55"/>
  <c r="GQ257" i="55"/>
  <c r="GQ258" i="55"/>
  <c r="GQ259" i="55"/>
  <c r="GQ260" i="55"/>
  <c r="GQ261" i="55"/>
  <c r="GQ262" i="55"/>
  <c r="GQ263" i="55"/>
  <c r="GQ264" i="55"/>
  <c r="GQ265" i="55"/>
  <c r="GQ266" i="55"/>
  <c r="GQ267" i="55"/>
  <c r="GQ268" i="55"/>
  <c r="GQ269" i="55"/>
  <c r="GQ270" i="55"/>
  <c r="GQ271" i="55"/>
  <c r="GQ272" i="55"/>
  <c r="GQ273" i="55"/>
  <c r="GQ274" i="55"/>
  <c r="GQ275" i="55"/>
  <c r="GQ276" i="55"/>
  <c r="GQ277" i="55"/>
  <c r="GQ278" i="55"/>
  <c r="GQ279" i="55"/>
  <c r="GQ280" i="55"/>
  <c r="GQ281" i="55"/>
  <c r="GQ282" i="55"/>
  <c r="GQ283" i="55"/>
  <c r="GQ284" i="55"/>
  <c r="GQ285" i="55"/>
  <c r="GQ286" i="55"/>
  <c r="GQ287" i="55"/>
  <c r="GQ288" i="55"/>
  <c r="GQ289" i="55"/>
  <c r="GQ290" i="55"/>
  <c r="GQ291" i="55"/>
  <c r="GQ292" i="55"/>
  <c r="GQ293" i="55"/>
  <c r="GQ294" i="55"/>
  <c r="GQ295" i="55"/>
  <c r="GQ296" i="55"/>
  <c r="GQ297" i="55"/>
  <c r="GQ298" i="55"/>
  <c r="GQ299" i="55"/>
  <c r="GQ300" i="55"/>
  <c r="GQ301" i="55"/>
  <c r="GQ302" i="55"/>
  <c r="GQ303" i="55"/>
  <c r="GQ304" i="55"/>
  <c r="GQ305" i="55"/>
  <c r="GQ306" i="55"/>
  <c r="GQ307" i="55"/>
  <c r="GQ308" i="55"/>
  <c r="GQ309" i="55"/>
  <c r="GQ310" i="55"/>
  <c r="GQ311" i="55"/>
  <c r="GQ312" i="55"/>
  <c r="GQ313" i="55"/>
  <c r="GQ314" i="55"/>
  <c r="GQ315" i="55"/>
  <c r="GQ316" i="55"/>
  <c r="GQ317" i="55"/>
  <c r="GQ318" i="55"/>
  <c r="GQ319" i="55"/>
  <c r="GQ320" i="55"/>
  <c r="GQ321" i="55"/>
  <c r="GQ322" i="55"/>
  <c r="GQ323" i="55"/>
  <c r="GQ324" i="55"/>
  <c r="GQ325" i="55"/>
  <c r="GQ326" i="55"/>
  <c r="GQ327" i="55"/>
  <c r="GQ328" i="55"/>
  <c r="GQ329" i="55"/>
  <c r="GQ330" i="55"/>
  <c r="GQ331" i="55"/>
  <c r="GQ332" i="55"/>
  <c r="GQ333" i="55"/>
  <c r="GQ334" i="55"/>
  <c r="GQ335" i="55"/>
  <c r="GQ336" i="55"/>
  <c r="GQ337" i="55"/>
  <c r="GQ338" i="55"/>
  <c r="GQ339" i="55"/>
  <c r="GQ340" i="55"/>
  <c r="GQ341" i="55"/>
  <c r="GQ342" i="55"/>
  <c r="GQ343" i="55"/>
  <c r="GQ344" i="55"/>
  <c r="GQ345" i="55"/>
  <c r="GQ346" i="55"/>
  <c r="GQ347" i="55"/>
  <c r="GQ348" i="55"/>
  <c r="GQ349" i="55"/>
  <c r="GQ350" i="55"/>
  <c r="GQ351" i="55"/>
  <c r="GQ352" i="55"/>
  <c r="GP3" i="55"/>
  <c r="GP4" i="55"/>
  <c r="GP5" i="55"/>
  <c r="GP6" i="55"/>
  <c r="GP7" i="55"/>
  <c r="GP8" i="55"/>
  <c r="GP9" i="55"/>
  <c r="GP10" i="55"/>
  <c r="GP11" i="55"/>
  <c r="GP12" i="55"/>
  <c r="GP13" i="55"/>
  <c r="GP14" i="55"/>
  <c r="GP15" i="55"/>
  <c r="GP16" i="55"/>
  <c r="GP17" i="55"/>
  <c r="GP18" i="55"/>
  <c r="GP19" i="55"/>
  <c r="GP20" i="55"/>
  <c r="GP21" i="55"/>
  <c r="GP22" i="55"/>
  <c r="GP23" i="55"/>
  <c r="GP24" i="55"/>
  <c r="GP25" i="55"/>
  <c r="GP26" i="55"/>
  <c r="GP27" i="55"/>
  <c r="GP28" i="55"/>
  <c r="GP29" i="55"/>
  <c r="GP30" i="55"/>
  <c r="GP31" i="55"/>
  <c r="GP32" i="55"/>
  <c r="GP33" i="55"/>
  <c r="GP34" i="55"/>
  <c r="GP35" i="55"/>
  <c r="GP36" i="55"/>
  <c r="GP37" i="55"/>
  <c r="GP38" i="55"/>
  <c r="GP39" i="55"/>
  <c r="GP40" i="55"/>
  <c r="GP41" i="55"/>
  <c r="GP42" i="55"/>
  <c r="GP43" i="55"/>
  <c r="GP44" i="55"/>
  <c r="GP45" i="55"/>
  <c r="GP46" i="55"/>
  <c r="GP47" i="55"/>
  <c r="GP48" i="55"/>
  <c r="GP49" i="55"/>
  <c r="GP50" i="55"/>
  <c r="GP51" i="55"/>
  <c r="GP52" i="55"/>
  <c r="GP53" i="55"/>
  <c r="GP54" i="55"/>
  <c r="GP55" i="55"/>
  <c r="GP56" i="55"/>
  <c r="GP57" i="55"/>
  <c r="GP58" i="55"/>
  <c r="GP59" i="55"/>
  <c r="GP60" i="55"/>
  <c r="GP61" i="55"/>
  <c r="GP62" i="55"/>
  <c r="GP63" i="55"/>
  <c r="GP64" i="55"/>
  <c r="GP65" i="55"/>
  <c r="GP66" i="55"/>
  <c r="GP67" i="55"/>
  <c r="GP68" i="55"/>
  <c r="GP69" i="55"/>
  <c r="GP70" i="55"/>
  <c r="GP71" i="55"/>
  <c r="GP72" i="55"/>
  <c r="GP73" i="55"/>
  <c r="GP74" i="55"/>
  <c r="GP75" i="55"/>
  <c r="GP76" i="55"/>
  <c r="GP77" i="55"/>
  <c r="GP78" i="55"/>
  <c r="GP79" i="55"/>
  <c r="GP80" i="55"/>
  <c r="GP81" i="55"/>
  <c r="GP82" i="55"/>
  <c r="GP83" i="55"/>
  <c r="GP84" i="55"/>
  <c r="GP85" i="55"/>
  <c r="GP86" i="55"/>
  <c r="GP87" i="55"/>
  <c r="GP88" i="55"/>
  <c r="GP89" i="55"/>
  <c r="GP90" i="55"/>
  <c r="GP91" i="55"/>
  <c r="GP92" i="55"/>
  <c r="GP93" i="55"/>
  <c r="GP94" i="55"/>
  <c r="GP95" i="55"/>
  <c r="GP96" i="55"/>
  <c r="GP97" i="55"/>
  <c r="GP98" i="55"/>
  <c r="GP99" i="55"/>
  <c r="GP100" i="55"/>
  <c r="GP101" i="55"/>
  <c r="GP102" i="55"/>
  <c r="GP103" i="55"/>
  <c r="GP104" i="55"/>
  <c r="GP105" i="55"/>
  <c r="GP106" i="55"/>
  <c r="GP107" i="55"/>
  <c r="GP108" i="55"/>
  <c r="GP109" i="55"/>
  <c r="GP110" i="55"/>
  <c r="GP111" i="55"/>
  <c r="GP112" i="55"/>
  <c r="GP113" i="55"/>
  <c r="GP114" i="55"/>
  <c r="GP115" i="55"/>
  <c r="GP116" i="55"/>
  <c r="GP117" i="55"/>
  <c r="GP118" i="55"/>
  <c r="GP119" i="55"/>
  <c r="GP120" i="55"/>
  <c r="GP121" i="55"/>
  <c r="GP122" i="55"/>
  <c r="GP123" i="55"/>
  <c r="GP124" i="55"/>
  <c r="GP125" i="55"/>
  <c r="GP126" i="55"/>
  <c r="GP127" i="55"/>
  <c r="GP128" i="55"/>
  <c r="GP129" i="55"/>
  <c r="GP130" i="55"/>
  <c r="GP131" i="55"/>
  <c r="GP132" i="55"/>
  <c r="GP133" i="55"/>
  <c r="GP134" i="55"/>
  <c r="GP135" i="55"/>
  <c r="GP136" i="55"/>
  <c r="GP137" i="55"/>
  <c r="GP138" i="55"/>
  <c r="GP139" i="55"/>
  <c r="GP140" i="55"/>
  <c r="GP141" i="55"/>
  <c r="GP142" i="55"/>
  <c r="GP143" i="55"/>
  <c r="GP144" i="55"/>
  <c r="GP145" i="55"/>
  <c r="GP146" i="55"/>
  <c r="GP147" i="55"/>
  <c r="GP148" i="55"/>
  <c r="GP149" i="55"/>
  <c r="GP150" i="55"/>
  <c r="GP151" i="55"/>
  <c r="GP152" i="55"/>
  <c r="GP153" i="55"/>
  <c r="GP154" i="55"/>
  <c r="GP155" i="55"/>
  <c r="GP156" i="55"/>
  <c r="GP157" i="55"/>
  <c r="GP158" i="55"/>
  <c r="GP159" i="55"/>
  <c r="GP160" i="55"/>
  <c r="GP161" i="55"/>
  <c r="GP162" i="55"/>
  <c r="GP163" i="55"/>
  <c r="GP164" i="55"/>
  <c r="GP165" i="55"/>
  <c r="GP166" i="55"/>
  <c r="GP167" i="55"/>
  <c r="GP168" i="55"/>
  <c r="GP169" i="55"/>
  <c r="GP170" i="55"/>
  <c r="GP171" i="55"/>
  <c r="GP172" i="55"/>
  <c r="GP173" i="55"/>
  <c r="GP174" i="55"/>
  <c r="GP175" i="55"/>
  <c r="GP176" i="55"/>
  <c r="GP177" i="55"/>
  <c r="GP178" i="55"/>
  <c r="GP179" i="55"/>
  <c r="GP180" i="55"/>
  <c r="GP181" i="55"/>
  <c r="GP182" i="55"/>
  <c r="GP183" i="55"/>
  <c r="GP184" i="55"/>
  <c r="GP185" i="55"/>
  <c r="GP186" i="55"/>
  <c r="GP187" i="55"/>
  <c r="GP188" i="55"/>
  <c r="GP189" i="55"/>
  <c r="GP190" i="55"/>
  <c r="GP191" i="55"/>
  <c r="GP192" i="55"/>
  <c r="GP193" i="55"/>
  <c r="GP194" i="55"/>
  <c r="GP195" i="55"/>
  <c r="GP196" i="55"/>
  <c r="GP197" i="55"/>
  <c r="GP198" i="55"/>
  <c r="GP199" i="55"/>
  <c r="GP200" i="55"/>
  <c r="GP201" i="55"/>
  <c r="GP202" i="55"/>
  <c r="GP203" i="55"/>
  <c r="GP204" i="55"/>
  <c r="GP205" i="55"/>
  <c r="GP206" i="55"/>
  <c r="GP207" i="55"/>
  <c r="GP208" i="55"/>
  <c r="GP209" i="55"/>
  <c r="GP210" i="55"/>
  <c r="GP211" i="55"/>
  <c r="GP212" i="55"/>
  <c r="GP213" i="55"/>
  <c r="GP214" i="55"/>
  <c r="GP215" i="55"/>
  <c r="GP216" i="55"/>
  <c r="GP217" i="55"/>
  <c r="GP218" i="55"/>
  <c r="GP219" i="55"/>
  <c r="GP220" i="55"/>
  <c r="GP221" i="55"/>
  <c r="GP222" i="55"/>
  <c r="GP223" i="55"/>
  <c r="GP224" i="55"/>
  <c r="GP225" i="55"/>
  <c r="GP226" i="55"/>
  <c r="GP227" i="55"/>
  <c r="GP228" i="55"/>
  <c r="GP229" i="55"/>
  <c r="GP230" i="55"/>
  <c r="GP231" i="55"/>
  <c r="GP232" i="55"/>
  <c r="GP233" i="55"/>
  <c r="GP234" i="55"/>
  <c r="GP235" i="55"/>
  <c r="GP236" i="55"/>
  <c r="GP237" i="55"/>
  <c r="GP238" i="55"/>
  <c r="GP239" i="55"/>
  <c r="GP240" i="55"/>
  <c r="GP241" i="55"/>
  <c r="GP242" i="55"/>
  <c r="GP243" i="55"/>
  <c r="GP244" i="55"/>
  <c r="GP245" i="55"/>
  <c r="GP246" i="55"/>
  <c r="GP247" i="55"/>
  <c r="GP248" i="55"/>
  <c r="GP249" i="55"/>
  <c r="GP250" i="55"/>
  <c r="GP251" i="55"/>
  <c r="GP252" i="55"/>
  <c r="GP253" i="55"/>
  <c r="GP254" i="55"/>
  <c r="GP255" i="55"/>
  <c r="GP256" i="55"/>
  <c r="GP257" i="55"/>
  <c r="GP258" i="55"/>
  <c r="GP259" i="55"/>
  <c r="GP260" i="55"/>
  <c r="GP261" i="55"/>
  <c r="GP262" i="55"/>
  <c r="GP263" i="55"/>
  <c r="GP264" i="55"/>
  <c r="GP265" i="55"/>
  <c r="GP266" i="55"/>
  <c r="GP267" i="55"/>
  <c r="GP268" i="55"/>
  <c r="GP269" i="55"/>
  <c r="GP270" i="55"/>
  <c r="GP271" i="55"/>
  <c r="GP272" i="55"/>
  <c r="GP273" i="55"/>
  <c r="GP274" i="55"/>
  <c r="GP275" i="55"/>
  <c r="GP276" i="55"/>
  <c r="GP277" i="55"/>
  <c r="GP278" i="55"/>
  <c r="GP279" i="55"/>
  <c r="GP280" i="55"/>
  <c r="GP281" i="55"/>
  <c r="GP282" i="55"/>
  <c r="GP283" i="55"/>
  <c r="GP284" i="55"/>
  <c r="GP285" i="55"/>
  <c r="GP286" i="55"/>
  <c r="GP287" i="55"/>
  <c r="GP288" i="55"/>
  <c r="GP289" i="55"/>
  <c r="GP290" i="55"/>
  <c r="GP291" i="55"/>
  <c r="GP292" i="55"/>
  <c r="GP293" i="55"/>
  <c r="GP294" i="55"/>
  <c r="GP295" i="55"/>
  <c r="GP296" i="55"/>
  <c r="GP297" i="55"/>
  <c r="GP298" i="55"/>
  <c r="GP299" i="55"/>
  <c r="GP300" i="55"/>
  <c r="GP301" i="55"/>
  <c r="GP302" i="55"/>
  <c r="GP303" i="55"/>
  <c r="GP304" i="55"/>
  <c r="GP305" i="55"/>
  <c r="GP306" i="55"/>
  <c r="GP307" i="55"/>
  <c r="GP308" i="55"/>
  <c r="GP309" i="55"/>
  <c r="GP310" i="55"/>
  <c r="GP311" i="55"/>
  <c r="GP312" i="55"/>
  <c r="GP313" i="55"/>
  <c r="GP314" i="55"/>
  <c r="GP315" i="55"/>
  <c r="GP316" i="55"/>
  <c r="GP317" i="55"/>
  <c r="GP318" i="55"/>
  <c r="GP319" i="55"/>
  <c r="GP320" i="55"/>
  <c r="GP321" i="55"/>
  <c r="GP322" i="55"/>
  <c r="GP323" i="55"/>
  <c r="GP324" i="55"/>
  <c r="GP325" i="55"/>
  <c r="GP326" i="55"/>
  <c r="GP327" i="55"/>
  <c r="GP328" i="55"/>
  <c r="GP329" i="55"/>
  <c r="GP330" i="55"/>
  <c r="GP331" i="55"/>
  <c r="GP332" i="55"/>
  <c r="GP333" i="55"/>
  <c r="GP334" i="55"/>
  <c r="GP335" i="55"/>
  <c r="GP336" i="55"/>
  <c r="GP337" i="55"/>
  <c r="GP338" i="55"/>
  <c r="GP339" i="55"/>
  <c r="GP340" i="55"/>
  <c r="GP341" i="55"/>
  <c r="GP342" i="55"/>
  <c r="GP343" i="55"/>
  <c r="GP344" i="55"/>
  <c r="GP345" i="55"/>
  <c r="GP346" i="55"/>
  <c r="GP347" i="55"/>
  <c r="GP348" i="55"/>
  <c r="GP349" i="55"/>
  <c r="GP350" i="55"/>
  <c r="GP351" i="55"/>
  <c r="GP352" i="55"/>
  <c r="GO3" i="55"/>
  <c r="GO4" i="55"/>
  <c r="GO5" i="55"/>
  <c r="GO6" i="55"/>
  <c r="GO7" i="55"/>
  <c r="GO8" i="55"/>
  <c r="GO9" i="55"/>
  <c r="GO10" i="55"/>
  <c r="GO11" i="55"/>
  <c r="GO12" i="55"/>
  <c r="GO13" i="55"/>
  <c r="GO14" i="55"/>
  <c r="GO15" i="55"/>
  <c r="GO16" i="55"/>
  <c r="GO17" i="55"/>
  <c r="GO18" i="55"/>
  <c r="GO19" i="55"/>
  <c r="GO20" i="55"/>
  <c r="GO21" i="55"/>
  <c r="GO22" i="55"/>
  <c r="GO23" i="55"/>
  <c r="GO24" i="55"/>
  <c r="GO25" i="55"/>
  <c r="GO26" i="55"/>
  <c r="GO27" i="55"/>
  <c r="GO28" i="55"/>
  <c r="GO29" i="55"/>
  <c r="GO30" i="55"/>
  <c r="GO31" i="55"/>
  <c r="GO32" i="55"/>
  <c r="GO33" i="55"/>
  <c r="GO34" i="55"/>
  <c r="GO35" i="55"/>
  <c r="GO36" i="55"/>
  <c r="GO37" i="55"/>
  <c r="GO38" i="55"/>
  <c r="GO39" i="55"/>
  <c r="GO40" i="55"/>
  <c r="GO41" i="55"/>
  <c r="GO42" i="55"/>
  <c r="GO43" i="55"/>
  <c r="GO44" i="55"/>
  <c r="GO45" i="55"/>
  <c r="GO46" i="55"/>
  <c r="GO47" i="55"/>
  <c r="GO48" i="55"/>
  <c r="GO49" i="55"/>
  <c r="GO50" i="55"/>
  <c r="GO51" i="55"/>
  <c r="GO52" i="55"/>
  <c r="GO53" i="55"/>
  <c r="GO54" i="55"/>
  <c r="GO55" i="55"/>
  <c r="GO56" i="55"/>
  <c r="GO57" i="55"/>
  <c r="GO58" i="55"/>
  <c r="GO59" i="55"/>
  <c r="GO60" i="55"/>
  <c r="GO61" i="55"/>
  <c r="GO62" i="55"/>
  <c r="GO63" i="55"/>
  <c r="GO64" i="55"/>
  <c r="GO65" i="55"/>
  <c r="GO66" i="55"/>
  <c r="GO67" i="55"/>
  <c r="GO68" i="55"/>
  <c r="GO69" i="55"/>
  <c r="GO70" i="55"/>
  <c r="GO71" i="55"/>
  <c r="GO72" i="55"/>
  <c r="GO73" i="55"/>
  <c r="GO74" i="55"/>
  <c r="GO75" i="55"/>
  <c r="GO76" i="55"/>
  <c r="GO77" i="55"/>
  <c r="GO78" i="55"/>
  <c r="GO79" i="55"/>
  <c r="GO80" i="55"/>
  <c r="GO81" i="55"/>
  <c r="GO82" i="55"/>
  <c r="GO83" i="55"/>
  <c r="GO84" i="55"/>
  <c r="GO85" i="55"/>
  <c r="GO86" i="55"/>
  <c r="GO87" i="55"/>
  <c r="GO88" i="55"/>
  <c r="GO89" i="55"/>
  <c r="GO90" i="55"/>
  <c r="GO91" i="55"/>
  <c r="GO92" i="55"/>
  <c r="GO93" i="55"/>
  <c r="GO94" i="55"/>
  <c r="GO95" i="55"/>
  <c r="GO96" i="55"/>
  <c r="GO97" i="55"/>
  <c r="GO98" i="55"/>
  <c r="GO99" i="55"/>
  <c r="GO100" i="55"/>
  <c r="GO101" i="55"/>
  <c r="GO102" i="55"/>
  <c r="GO103" i="55"/>
  <c r="GO104" i="55"/>
  <c r="GO105" i="55"/>
  <c r="GO106" i="55"/>
  <c r="GO107" i="55"/>
  <c r="GO108" i="55"/>
  <c r="GO109" i="55"/>
  <c r="GO110" i="55"/>
  <c r="GO111" i="55"/>
  <c r="GO112" i="55"/>
  <c r="GO113" i="55"/>
  <c r="GO114" i="55"/>
  <c r="GO115" i="55"/>
  <c r="GO116" i="55"/>
  <c r="GO117" i="55"/>
  <c r="GO118" i="55"/>
  <c r="GO119" i="55"/>
  <c r="GO120" i="55"/>
  <c r="GO121" i="55"/>
  <c r="GO122" i="55"/>
  <c r="GO123" i="55"/>
  <c r="GO124" i="55"/>
  <c r="GO125" i="55"/>
  <c r="GO126" i="55"/>
  <c r="GO127" i="55"/>
  <c r="GO128" i="55"/>
  <c r="GO129" i="55"/>
  <c r="GO130" i="55"/>
  <c r="GO131" i="55"/>
  <c r="GO132" i="55"/>
  <c r="GO133" i="55"/>
  <c r="GO134" i="55"/>
  <c r="GO135" i="55"/>
  <c r="GO136" i="55"/>
  <c r="GO137" i="55"/>
  <c r="GO138" i="55"/>
  <c r="GO139" i="55"/>
  <c r="GO140" i="55"/>
  <c r="GO141" i="55"/>
  <c r="GO142" i="55"/>
  <c r="GO143" i="55"/>
  <c r="GO144" i="55"/>
  <c r="GO145" i="55"/>
  <c r="GO146" i="55"/>
  <c r="GO147" i="55"/>
  <c r="GO148" i="55"/>
  <c r="GO149" i="55"/>
  <c r="GO150" i="55"/>
  <c r="GO151" i="55"/>
  <c r="GO152" i="55"/>
  <c r="GO153" i="55"/>
  <c r="GO154" i="55"/>
  <c r="GO155" i="55"/>
  <c r="GO156" i="55"/>
  <c r="GO157" i="55"/>
  <c r="GO158" i="55"/>
  <c r="GO159" i="55"/>
  <c r="GO160" i="55"/>
  <c r="GO161" i="55"/>
  <c r="GO162" i="55"/>
  <c r="GO163" i="55"/>
  <c r="GO164" i="55"/>
  <c r="GO165" i="55"/>
  <c r="GO166" i="55"/>
  <c r="GO167" i="55"/>
  <c r="GO168" i="55"/>
  <c r="GO169" i="55"/>
  <c r="GO170" i="55"/>
  <c r="GO171" i="55"/>
  <c r="GO172" i="55"/>
  <c r="GO173" i="55"/>
  <c r="GO174" i="55"/>
  <c r="GO175" i="55"/>
  <c r="GO176" i="55"/>
  <c r="GO177" i="55"/>
  <c r="GO178" i="55"/>
  <c r="GO179" i="55"/>
  <c r="GO180" i="55"/>
  <c r="GO181" i="55"/>
  <c r="GO182" i="55"/>
  <c r="GO183" i="55"/>
  <c r="GO184" i="55"/>
  <c r="GO185" i="55"/>
  <c r="GO186" i="55"/>
  <c r="GO187" i="55"/>
  <c r="GO188" i="55"/>
  <c r="GO189" i="55"/>
  <c r="GO190" i="55"/>
  <c r="GO191" i="55"/>
  <c r="GO192" i="55"/>
  <c r="GO193" i="55"/>
  <c r="GO194" i="55"/>
  <c r="GO195" i="55"/>
  <c r="GO196" i="55"/>
  <c r="GO197" i="55"/>
  <c r="GO198" i="55"/>
  <c r="GO199" i="55"/>
  <c r="GO200" i="55"/>
  <c r="GO201" i="55"/>
  <c r="GO202" i="55"/>
  <c r="GO203" i="55"/>
  <c r="GO204" i="55"/>
  <c r="GO205" i="55"/>
  <c r="GO206" i="55"/>
  <c r="GO207" i="55"/>
  <c r="GO208" i="55"/>
  <c r="GO209" i="55"/>
  <c r="GO210" i="55"/>
  <c r="GO211" i="55"/>
  <c r="GO212" i="55"/>
  <c r="GO213" i="55"/>
  <c r="GO214" i="55"/>
  <c r="GO215" i="55"/>
  <c r="GO216" i="55"/>
  <c r="GO217" i="55"/>
  <c r="GO218" i="55"/>
  <c r="GO219" i="55"/>
  <c r="GO220" i="55"/>
  <c r="GO221" i="55"/>
  <c r="GO222" i="55"/>
  <c r="GO223" i="55"/>
  <c r="GO224" i="55"/>
  <c r="GO225" i="55"/>
  <c r="GO226" i="55"/>
  <c r="GO227" i="55"/>
  <c r="GO228" i="55"/>
  <c r="GO229" i="55"/>
  <c r="GO230" i="55"/>
  <c r="GO231" i="55"/>
  <c r="GO232" i="55"/>
  <c r="GO233" i="55"/>
  <c r="GO234" i="55"/>
  <c r="GO235" i="55"/>
  <c r="GO236" i="55"/>
  <c r="GO237" i="55"/>
  <c r="GO238" i="55"/>
  <c r="GO239" i="55"/>
  <c r="GO240" i="55"/>
  <c r="GO241" i="55"/>
  <c r="GO242" i="55"/>
  <c r="GO243" i="55"/>
  <c r="GO244" i="55"/>
  <c r="GO245" i="55"/>
  <c r="GO246" i="55"/>
  <c r="GO247" i="55"/>
  <c r="GO248" i="55"/>
  <c r="GO249" i="55"/>
  <c r="GO250" i="55"/>
  <c r="GO251" i="55"/>
  <c r="GO252" i="55"/>
  <c r="GO253" i="55"/>
  <c r="GO254" i="55"/>
  <c r="GO255" i="55"/>
  <c r="GO256" i="55"/>
  <c r="GO257" i="55"/>
  <c r="GO258" i="55"/>
  <c r="GO259" i="55"/>
  <c r="GO260" i="55"/>
  <c r="GO261" i="55"/>
  <c r="GO262" i="55"/>
  <c r="GO263" i="55"/>
  <c r="GO264" i="55"/>
  <c r="GO265" i="55"/>
  <c r="GO266" i="55"/>
  <c r="GO267" i="55"/>
  <c r="GO268" i="55"/>
  <c r="GO269" i="55"/>
  <c r="GO270" i="55"/>
  <c r="GO271" i="55"/>
  <c r="GO272" i="55"/>
  <c r="GO273" i="55"/>
  <c r="GO274" i="55"/>
  <c r="GO275" i="55"/>
  <c r="GO276" i="55"/>
  <c r="GO277" i="55"/>
  <c r="GO278" i="55"/>
  <c r="GO279" i="55"/>
  <c r="GO280" i="55"/>
  <c r="GO281" i="55"/>
  <c r="GO282" i="55"/>
  <c r="GO283" i="55"/>
  <c r="GO284" i="55"/>
  <c r="GO285" i="55"/>
  <c r="GO286" i="55"/>
  <c r="GO287" i="55"/>
  <c r="GO288" i="55"/>
  <c r="GO289" i="55"/>
  <c r="GO290" i="55"/>
  <c r="GO291" i="55"/>
  <c r="GO292" i="55"/>
  <c r="GO293" i="55"/>
  <c r="GO294" i="55"/>
  <c r="GO295" i="55"/>
  <c r="GO296" i="55"/>
  <c r="GO297" i="55"/>
  <c r="GO298" i="55"/>
  <c r="GO299" i="55"/>
  <c r="GO300" i="55"/>
  <c r="GO301" i="55"/>
  <c r="GO302" i="55"/>
  <c r="GO303" i="55"/>
  <c r="GO304" i="55"/>
  <c r="GO305" i="55"/>
  <c r="GO306" i="55"/>
  <c r="GO307" i="55"/>
  <c r="GO308" i="55"/>
  <c r="GO309" i="55"/>
  <c r="GO310" i="55"/>
  <c r="GO311" i="55"/>
  <c r="GO312" i="55"/>
  <c r="GO313" i="55"/>
  <c r="GO314" i="55"/>
  <c r="GO315" i="55"/>
  <c r="GO316" i="55"/>
  <c r="GO317" i="55"/>
  <c r="GO318" i="55"/>
  <c r="GO319" i="55"/>
  <c r="GO320" i="55"/>
  <c r="GO321" i="55"/>
  <c r="GO322" i="55"/>
  <c r="GO323" i="55"/>
  <c r="GO324" i="55"/>
  <c r="GO325" i="55"/>
  <c r="GO326" i="55"/>
  <c r="GO327" i="55"/>
  <c r="GO328" i="55"/>
  <c r="GO329" i="55"/>
  <c r="GO330" i="55"/>
  <c r="GO331" i="55"/>
  <c r="GO332" i="55"/>
  <c r="GO333" i="55"/>
  <c r="GO334" i="55"/>
  <c r="GO335" i="55"/>
  <c r="GO336" i="55"/>
  <c r="GO337" i="55"/>
  <c r="GO338" i="55"/>
  <c r="GO339" i="55"/>
  <c r="GO340" i="55"/>
  <c r="GO341" i="55"/>
  <c r="GO342" i="55"/>
  <c r="GO343" i="55"/>
  <c r="GO344" i="55"/>
  <c r="GO345" i="55"/>
  <c r="GO346" i="55"/>
  <c r="GO347" i="55"/>
  <c r="GO348" i="55"/>
  <c r="GO349" i="55"/>
  <c r="GO350" i="55"/>
  <c r="GO351" i="55"/>
  <c r="GO352" i="55"/>
  <c r="GM3" i="55"/>
  <c r="GM4" i="55"/>
  <c r="GM5" i="55"/>
  <c r="GM6" i="55"/>
  <c r="GM7" i="55"/>
  <c r="GM8" i="55"/>
  <c r="GM9" i="55"/>
  <c r="GM10" i="55"/>
  <c r="GM11" i="55"/>
  <c r="GM12" i="55"/>
  <c r="GM13" i="55"/>
  <c r="GM14" i="55"/>
  <c r="GM15" i="55"/>
  <c r="GM16" i="55"/>
  <c r="GM17" i="55"/>
  <c r="GM18" i="55"/>
  <c r="GM19" i="55"/>
  <c r="GM20" i="55"/>
  <c r="GM21" i="55"/>
  <c r="GM22" i="55"/>
  <c r="GM23" i="55"/>
  <c r="GM24" i="55"/>
  <c r="GM25" i="55"/>
  <c r="GM26" i="55"/>
  <c r="GM27" i="55"/>
  <c r="GM28" i="55"/>
  <c r="GM29" i="55"/>
  <c r="GM30" i="55"/>
  <c r="GM31" i="55"/>
  <c r="GM32" i="55"/>
  <c r="GM33" i="55"/>
  <c r="GM34" i="55"/>
  <c r="GM35" i="55"/>
  <c r="GM36" i="55"/>
  <c r="GM37" i="55"/>
  <c r="GM38" i="55"/>
  <c r="GM39" i="55"/>
  <c r="GM40" i="55"/>
  <c r="GM41" i="55"/>
  <c r="GM42" i="55"/>
  <c r="GM43" i="55"/>
  <c r="GM44" i="55"/>
  <c r="GM45" i="55"/>
  <c r="GM46" i="55"/>
  <c r="GM47" i="55"/>
  <c r="GM48" i="55"/>
  <c r="GM49" i="55"/>
  <c r="GM50" i="55"/>
  <c r="GM51" i="55"/>
  <c r="GM52" i="55"/>
  <c r="GM53" i="55"/>
  <c r="GM54" i="55"/>
  <c r="GM55" i="55"/>
  <c r="GM56" i="55"/>
  <c r="GM57" i="55"/>
  <c r="GM58" i="55"/>
  <c r="GM59" i="55"/>
  <c r="GM60" i="55"/>
  <c r="GM61" i="55"/>
  <c r="GM62" i="55"/>
  <c r="GM63" i="55"/>
  <c r="GM64" i="55"/>
  <c r="GM65" i="55"/>
  <c r="GM66" i="55"/>
  <c r="GM67" i="55"/>
  <c r="GM68" i="55"/>
  <c r="GM69" i="55"/>
  <c r="GM70" i="55"/>
  <c r="GM71" i="55"/>
  <c r="GM72" i="55"/>
  <c r="GM73" i="55"/>
  <c r="GM74" i="55"/>
  <c r="GM75" i="55"/>
  <c r="GM76" i="55"/>
  <c r="GM77" i="55"/>
  <c r="GM78" i="55"/>
  <c r="GM79" i="55"/>
  <c r="GM80" i="55"/>
  <c r="GM81" i="55"/>
  <c r="GM82" i="55"/>
  <c r="GM83" i="55"/>
  <c r="GM84" i="55"/>
  <c r="GM85" i="55"/>
  <c r="GM86" i="55"/>
  <c r="GM87" i="55"/>
  <c r="GM88" i="55"/>
  <c r="GM89" i="55"/>
  <c r="GM90" i="55"/>
  <c r="GM91" i="55"/>
  <c r="GM92" i="55"/>
  <c r="GM93" i="55"/>
  <c r="GM94" i="55"/>
  <c r="GM95" i="55"/>
  <c r="GM96" i="55"/>
  <c r="GM97" i="55"/>
  <c r="GM98" i="55"/>
  <c r="GM99" i="55"/>
  <c r="GM100" i="55"/>
  <c r="GM101" i="55"/>
  <c r="GM102" i="55"/>
  <c r="GM103" i="55"/>
  <c r="GM104" i="55"/>
  <c r="GM105" i="55"/>
  <c r="GM106" i="55"/>
  <c r="GM107" i="55"/>
  <c r="GM108" i="55"/>
  <c r="GM109" i="55"/>
  <c r="GM110" i="55"/>
  <c r="GM111" i="55"/>
  <c r="GM112" i="55"/>
  <c r="GM113" i="55"/>
  <c r="GM114" i="55"/>
  <c r="GM115" i="55"/>
  <c r="GM116" i="55"/>
  <c r="GM117" i="55"/>
  <c r="GM118" i="55"/>
  <c r="GM119" i="55"/>
  <c r="GM120" i="55"/>
  <c r="GM121" i="55"/>
  <c r="GM122" i="55"/>
  <c r="GM123" i="55"/>
  <c r="GM124" i="55"/>
  <c r="GM125" i="55"/>
  <c r="GM126" i="55"/>
  <c r="GM127" i="55"/>
  <c r="GM128" i="55"/>
  <c r="GM129" i="55"/>
  <c r="GM130" i="55"/>
  <c r="GM131" i="55"/>
  <c r="GM132" i="55"/>
  <c r="GM133" i="55"/>
  <c r="GM134" i="55"/>
  <c r="GM135" i="55"/>
  <c r="GM136" i="55"/>
  <c r="GM137" i="55"/>
  <c r="GM138" i="55"/>
  <c r="GM139" i="55"/>
  <c r="GM140" i="55"/>
  <c r="GM141" i="55"/>
  <c r="GM142" i="55"/>
  <c r="GM143" i="55"/>
  <c r="GM144" i="55"/>
  <c r="GM145" i="55"/>
  <c r="GM146" i="55"/>
  <c r="GM147" i="55"/>
  <c r="GM148" i="55"/>
  <c r="GM149" i="55"/>
  <c r="GM150" i="55"/>
  <c r="GM151" i="55"/>
  <c r="GM152" i="55"/>
  <c r="GM153" i="55"/>
  <c r="GM154" i="55"/>
  <c r="GM155" i="55"/>
  <c r="GM156" i="55"/>
  <c r="GM157" i="55"/>
  <c r="GM158" i="55"/>
  <c r="GM159" i="55"/>
  <c r="GM160" i="55"/>
  <c r="GM161" i="55"/>
  <c r="GM162" i="55"/>
  <c r="GM163" i="55"/>
  <c r="GM164" i="55"/>
  <c r="GM165" i="55"/>
  <c r="GM166" i="55"/>
  <c r="GM167" i="55"/>
  <c r="GM168" i="55"/>
  <c r="GM169" i="55"/>
  <c r="GM170" i="55"/>
  <c r="GM171" i="55"/>
  <c r="GM172" i="55"/>
  <c r="GM173" i="55"/>
  <c r="GM174" i="55"/>
  <c r="GM175" i="55"/>
  <c r="GM176" i="55"/>
  <c r="GM177" i="55"/>
  <c r="GM178" i="55"/>
  <c r="GM179" i="55"/>
  <c r="GM180" i="55"/>
  <c r="GM181" i="55"/>
  <c r="GM182" i="55"/>
  <c r="GM183" i="55"/>
  <c r="GM184" i="55"/>
  <c r="GM185" i="55"/>
  <c r="GM186" i="55"/>
  <c r="GM187" i="55"/>
  <c r="GM188" i="55"/>
  <c r="GM189" i="55"/>
  <c r="GM190" i="55"/>
  <c r="GM191" i="55"/>
  <c r="GM192" i="55"/>
  <c r="GM193" i="55"/>
  <c r="GM194" i="55"/>
  <c r="GM195" i="55"/>
  <c r="GM196" i="55"/>
  <c r="GM197" i="55"/>
  <c r="GM198" i="55"/>
  <c r="GM199" i="55"/>
  <c r="GM200" i="55"/>
  <c r="GM201" i="55"/>
  <c r="GM202" i="55"/>
  <c r="GM203" i="55"/>
  <c r="GM204" i="55"/>
  <c r="GM205" i="55"/>
  <c r="GM206" i="55"/>
  <c r="GM207" i="55"/>
  <c r="GM208" i="55"/>
  <c r="GM209" i="55"/>
  <c r="GM210" i="55"/>
  <c r="GM211" i="55"/>
  <c r="GM212" i="55"/>
  <c r="GM213" i="55"/>
  <c r="GM214" i="55"/>
  <c r="GM215" i="55"/>
  <c r="GM216" i="55"/>
  <c r="GM217" i="55"/>
  <c r="GM218" i="55"/>
  <c r="GM219" i="55"/>
  <c r="GM220" i="55"/>
  <c r="GM221" i="55"/>
  <c r="GM222" i="55"/>
  <c r="GM223" i="55"/>
  <c r="GM224" i="55"/>
  <c r="GM225" i="55"/>
  <c r="GM226" i="55"/>
  <c r="GM227" i="55"/>
  <c r="GM228" i="55"/>
  <c r="GM229" i="55"/>
  <c r="GM230" i="55"/>
  <c r="GM231" i="55"/>
  <c r="GM232" i="55"/>
  <c r="GM233" i="55"/>
  <c r="GM234" i="55"/>
  <c r="GM235" i="55"/>
  <c r="GM236" i="55"/>
  <c r="GM237" i="55"/>
  <c r="GM238" i="55"/>
  <c r="GM239" i="55"/>
  <c r="GM240" i="55"/>
  <c r="GM241" i="55"/>
  <c r="GM242" i="55"/>
  <c r="GM243" i="55"/>
  <c r="GM244" i="55"/>
  <c r="GM245" i="55"/>
  <c r="GM246" i="55"/>
  <c r="GM247" i="55"/>
  <c r="GM248" i="55"/>
  <c r="GM249" i="55"/>
  <c r="GM250" i="55"/>
  <c r="GM251" i="55"/>
  <c r="GM252" i="55"/>
  <c r="GM253" i="55"/>
  <c r="GM254" i="55"/>
  <c r="GM255" i="55"/>
  <c r="GM256" i="55"/>
  <c r="GM257" i="55"/>
  <c r="GM258" i="55"/>
  <c r="GM259" i="55"/>
  <c r="GM260" i="55"/>
  <c r="GM261" i="55"/>
  <c r="GM262" i="55"/>
  <c r="GM263" i="55"/>
  <c r="GM264" i="55"/>
  <c r="GM265" i="55"/>
  <c r="GM266" i="55"/>
  <c r="GM267" i="55"/>
  <c r="GM268" i="55"/>
  <c r="GM269" i="55"/>
  <c r="GM270" i="55"/>
  <c r="GM271" i="55"/>
  <c r="GM272" i="55"/>
  <c r="GM273" i="55"/>
  <c r="GM274" i="55"/>
  <c r="GM275" i="55"/>
  <c r="GM276" i="55"/>
  <c r="GM277" i="55"/>
  <c r="GM278" i="55"/>
  <c r="GM279" i="55"/>
  <c r="GM280" i="55"/>
  <c r="GM281" i="55"/>
  <c r="GM282" i="55"/>
  <c r="GM283" i="55"/>
  <c r="GM284" i="55"/>
  <c r="GM285" i="55"/>
  <c r="GM286" i="55"/>
  <c r="GM287" i="55"/>
  <c r="GM288" i="55"/>
  <c r="GM289" i="55"/>
  <c r="GM290" i="55"/>
  <c r="GM291" i="55"/>
  <c r="GM292" i="55"/>
  <c r="GM293" i="55"/>
  <c r="GM294" i="55"/>
  <c r="GM295" i="55"/>
  <c r="GM296" i="55"/>
  <c r="GM297" i="55"/>
  <c r="GM298" i="55"/>
  <c r="GM299" i="55"/>
  <c r="GM300" i="55"/>
  <c r="GM301" i="55"/>
  <c r="GM302" i="55"/>
  <c r="GM303" i="55"/>
  <c r="GM304" i="55"/>
  <c r="GM305" i="55"/>
  <c r="GM306" i="55"/>
  <c r="GM307" i="55"/>
  <c r="GM308" i="55"/>
  <c r="GM309" i="55"/>
  <c r="GM310" i="55"/>
  <c r="GM311" i="55"/>
  <c r="GM312" i="55"/>
  <c r="GM313" i="55"/>
  <c r="GM314" i="55"/>
  <c r="GM315" i="55"/>
  <c r="GM316" i="55"/>
  <c r="GM317" i="55"/>
  <c r="GM318" i="55"/>
  <c r="GM319" i="55"/>
  <c r="GM320" i="55"/>
  <c r="GM321" i="55"/>
  <c r="GM322" i="55"/>
  <c r="GM323" i="55"/>
  <c r="GM324" i="55"/>
  <c r="GM325" i="55"/>
  <c r="GM326" i="55"/>
  <c r="GM327" i="55"/>
  <c r="GM328" i="55"/>
  <c r="GM329" i="55"/>
  <c r="GM330" i="55"/>
  <c r="GM331" i="55"/>
  <c r="GM332" i="55"/>
  <c r="GM333" i="55"/>
  <c r="GM334" i="55"/>
  <c r="GM335" i="55"/>
  <c r="GM336" i="55"/>
  <c r="GM337" i="55"/>
  <c r="GM338" i="55"/>
  <c r="GM339" i="55"/>
  <c r="GM340" i="55"/>
  <c r="GM341" i="55"/>
  <c r="GM342" i="55"/>
  <c r="GM343" i="55"/>
  <c r="GM344" i="55"/>
  <c r="GM345" i="55"/>
  <c r="GM346" i="55"/>
  <c r="GM347" i="55"/>
  <c r="GM348" i="55"/>
  <c r="GM349" i="55"/>
  <c r="GM350" i="55"/>
  <c r="GM351" i="55"/>
  <c r="GM352" i="55"/>
  <c r="GL26" i="55"/>
  <c r="GL27" i="55"/>
  <c r="GL31" i="55"/>
  <c r="GL53" i="55"/>
  <c r="GL102" i="55"/>
  <c r="GK3" i="55"/>
  <c r="GL3" i="55" s="1"/>
  <c r="GK4" i="55"/>
  <c r="GL4" i="55" s="1"/>
  <c r="GK16" i="55"/>
  <c r="GL16" i="55" s="1"/>
  <c r="GK26" i="55"/>
  <c r="GK27" i="55"/>
  <c r="GK28" i="55"/>
  <c r="GL28" i="55" s="1"/>
  <c r="GK31" i="55"/>
  <c r="GK53" i="55"/>
  <c r="GK88" i="55"/>
  <c r="GL88" i="55" s="1"/>
  <c r="GK102" i="55"/>
  <c r="GK130" i="55"/>
  <c r="GL130" i="55" s="1"/>
  <c r="GK154" i="55"/>
  <c r="GL154" i="55" s="1"/>
  <c r="GK184" i="55"/>
  <c r="GL184" i="55" s="1"/>
  <c r="GK224" i="55"/>
  <c r="GL224" i="55" s="1"/>
  <c r="GK283" i="55"/>
  <c r="GL283" i="55" s="1"/>
  <c r="GK313" i="55"/>
  <c r="GL313" i="55" s="1"/>
  <c r="GK317" i="55"/>
  <c r="GL317" i="55" s="1"/>
  <c r="GK325" i="55"/>
  <c r="GL325" i="55" s="1"/>
  <c r="GK330" i="55"/>
  <c r="GL330" i="55" s="1"/>
  <c r="GK335" i="55"/>
  <c r="GL335" i="55" s="1"/>
  <c r="GK336" i="55"/>
  <c r="GL336" i="55" s="1"/>
  <c r="GK341" i="55"/>
  <c r="GL341" i="55" s="1"/>
  <c r="GJ3" i="55"/>
  <c r="GJ4" i="55"/>
  <c r="GJ5" i="55"/>
  <c r="GJ6" i="55"/>
  <c r="GJ7" i="55"/>
  <c r="GJ8" i="55"/>
  <c r="GJ9" i="55"/>
  <c r="GJ10" i="55"/>
  <c r="GJ11" i="55"/>
  <c r="GJ12" i="55"/>
  <c r="GJ13" i="55"/>
  <c r="GJ14" i="55"/>
  <c r="GJ15" i="55"/>
  <c r="GJ16" i="55"/>
  <c r="GJ17" i="55"/>
  <c r="GJ18" i="55"/>
  <c r="GJ19" i="55"/>
  <c r="GJ20" i="55"/>
  <c r="GJ21" i="55"/>
  <c r="GJ22" i="55"/>
  <c r="GJ23" i="55"/>
  <c r="GJ24" i="55"/>
  <c r="GJ25" i="55"/>
  <c r="GJ26" i="55"/>
  <c r="GJ27" i="55"/>
  <c r="GJ28" i="55"/>
  <c r="GJ29" i="55"/>
  <c r="GJ30" i="55"/>
  <c r="GJ31" i="55"/>
  <c r="GJ32" i="55"/>
  <c r="GJ33" i="55"/>
  <c r="GJ34" i="55"/>
  <c r="GJ35" i="55"/>
  <c r="GJ36" i="55"/>
  <c r="GJ37" i="55"/>
  <c r="GJ38" i="55"/>
  <c r="GJ39" i="55"/>
  <c r="GJ40" i="55"/>
  <c r="GJ41" i="55"/>
  <c r="GJ42" i="55"/>
  <c r="GJ43" i="55"/>
  <c r="GJ44" i="55"/>
  <c r="GJ45" i="55"/>
  <c r="GJ46" i="55"/>
  <c r="GJ47" i="55"/>
  <c r="GJ48" i="55"/>
  <c r="GJ49" i="55"/>
  <c r="GJ50" i="55"/>
  <c r="GJ51" i="55"/>
  <c r="GJ52" i="55"/>
  <c r="GJ53" i="55"/>
  <c r="GJ54" i="55"/>
  <c r="GJ55" i="55"/>
  <c r="GJ56" i="55"/>
  <c r="GJ57" i="55"/>
  <c r="GJ58" i="55"/>
  <c r="GJ59" i="55"/>
  <c r="GJ60" i="55"/>
  <c r="GJ61" i="55"/>
  <c r="GJ62" i="55"/>
  <c r="GJ63" i="55"/>
  <c r="GJ64" i="55"/>
  <c r="GJ65" i="55"/>
  <c r="GJ66" i="55"/>
  <c r="GJ67" i="55"/>
  <c r="GJ68" i="55"/>
  <c r="GJ69" i="55"/>
  <c r="GJ70" i="55"/>
  <c r="GJ71" i="55"/>
  <c r="GJ72" i="55"/>
  <c r="GJ73" i="55"/>
  <c r="GJ74" i="55"/>
  <c r="GJ75" i="55"/>
  <c r="GJ76" i="55"/>
  <c r="GJ77" i="55"/>
  <c r="GJ78" i="55"/>
  <c r="GJ79" i="55"/>
  <c r="GJ80" i="55"/>
  <c r="GJ81" i="55"/>
  <c r="GJ82" i="55"/>
  <c r="GJ83" i="55"/>
  <c r="GJ84" i="55"/>
  <c r="GJ85" i="55"/>
  <c r="GJ86" i="55"/>
  <c r="GJ87" i="55"/>
  <c r="GJ88" i="55"/>
  <c r="GJ89" i="55"/>
  <c r="GJ90" i="55"/>
  <c r="GJ91" i="55"/>
  <c r="GJ92" i="55"/>
  <c r="GJ93" i="55"/>
  <c r="GJ94" i="55"/>
  <c r="GJ95" i="55"/>
  <c r="GJ96" i="55"/>
  <c r="GJ97" i="55"/>
  <c r="GJ98" i="55"/>
  <c r="GJ99" i="55"/>
  <c r="GJ100" i="55"/>
  <c r="GJ101" i="55"/>
  <c r="GJ102" i="55"/>
  <c r="GJ103" i="55"/>
  <c r="GJ104" i="55"/>
  <c r="GJ105" i="55"/>
  <c r="GJ106" i="55"/>
  <c r="GJ107" i="55"/>
  <c r="GJ108" i="55"/>
  <c r="GJ109" i="55"/>
  <c r="GJ110" i="55"/>
  <c r="GJ111" i="55"/>
  <c r="GJ112" i="55"/>
  <c r="GJ113" i="55"/>
  <c r="GJ114" i="55"/>
  <c r="GJ115" i="55"/>
  <c r="GJ116" i="55"/>
  <c r="GJ117" i="55"/>
  <c r="GJ118" i="55"/>
  <c r="GJ119" i="55"/>
  <c r="GJ120" i="55"/>
  <c r="GJ121" i="55"/>
  <c r="GJ122" i="55"/>
  <c r="GJ123" i="55"/>
  <c r="GJ124" i="55"/>
  <c r="GJ125" i="55"/>
  <c r="GJ126" i="55"/>
  <c r="GJ127" i="55"/>
  <c r="GJ128" i="55"/>
  <c r="GJ129" i="55"/>
  <c r="GJ130" i="55"/>
  <c r="GJ131" i="55"/>
  <c r="GJ132" i="55"/>
  <c r="GJ133" i="55"/>
  <c r="GJ134" i="55"/>
  <c r="GJ135" i="55"/>
  <c r="GJ136" i="55"/>
  <c r="GJ137" i="55"/>
  <c r="GJ138" i="55"/>
  <c r="GJ139" i="55"/>
  <c r="GJ140" i="55"/>
  <c r="GJ141" i="55"/>
  <c r="GJ142" i="55"/>
  <c r="GJ143" i="55"/>
  <c r="GJ144" i="55"/>
  <c r="GJ145" i="55"/>
  <c r="GJ146" i="55"/>
  <c r="GJ147" i="55"/>
  <c r="GJ148" i="55"/>
  <c r="GJ149" i="55"/>
  <c r="GJ150" i="55"/>
  <c r="GJ151" i="55"/>
  <c r="GJ152" i="55"/>
  <c r="GJ153" i="55"/>
  <c r="GJ154" i="55"/>
  <c r="GJ155" i="55"/>
  <c r="GJ156" i="55"/>
  <c r="GJ157" i="55"/>
  <c r="GJ158" i="55"/>
  <c r="GJ159" i="55"/>
  <c r="GJ160" i="55"/>
  <c r="GJ161" i="55"/>
  <c r="GJ162" i="55"/>
  <c r="GJ163" i="55"/>
  <c r="GJ164" i="55"/>
  <c r="GJ165" i="55"/>
  <c r="GJ166" i="55"/>
  <c r="GJ167" i="55"/>
  <c r="GJ168" i="55"/>
  <c r="GJ169" i="55"/>
  <c r="GJ170" i="55"/>
  <c r="GJ171" i="55"/>
  <c r="GJ172" i="55"/>
  <c r="GJ173" i="55"/>
  <c r="GJ174" i="55"/>
  <c r="GJ175" i="55"/>
  <c r="GJ176" i="55"/>
  <c r="GJ177" i="55"/>
  <c r="GJ178" i="55"/>
  <c r="GJ179" i="55"/>
  <c r="GJ180" i="55"/>
  <c r="GJ181" i="55"/>
  <c r="GJ182" i="55"/>
  <c r="GJ183" i="55"/>
  <c r="GJ184" i="55"/>
  <c r="GJ185" i="55"/>
  <c r="GJ186" i="55"/>
  <c r="GJ187" i="55"/>
  <c r="GJ188" i="55"/>
  <c r="GJ189" i="55"/>
  <c r="GJ190" i="55"/>
  <c r="GJ191" i="55"/>
  <c r="GJ192" i="55"/>
  <c r="GJ193" i="55"/>
  <c r="GJ194" i="55"/>
  <c r="GJ195" i="55"/>
  <c r="GJ196" i="55"/>
  <c r="GJ197" i="55"/>
  <c r="GJ198" i="55"/>
  <c r="GJ199" i="55"/>
  <c r="GJ200" i="55"/>
  <c r="GJ201" i="55"/>
  <c r="GJ202" i="55"/>
  <c r="GJ203" i="55"/>
  <c r="GJ204" i="55"/>
  <c r="GJ205" i="55"/>
  <c r="GJ206" i="55"/>
  <c r="GJ207" i="55"/>
  <c r="GJ208" i="55"/>
  <c r="GJ209" i="55"/>
  <c r="GJ210" i="55"/>
  <c r="GJ211" i="55"/>
  <c r="GJ212" i="55"/>
  <c r="GJ213" i="55"/>
  <c r="GJ214" i="55"/>
  <c r="GJ215" i="55"/>
  <c r="GJ216" i="55"/>
  <c r="GJ217" i="55"/>
  <c r="GJ218" i="55"/>
  <c r="GJ219" i="55"/>
  <c r="GJ220" i="55"/>
  <c r="GJ221" i="55"/>
  <c r="GJ222" i="55"/>
  <c r="GJ223" i="55"/>
  <c r="GJ224" i="55"/>
  <c r="GJ225" i="55"/>
  <c r="GJ226" i="55"/>
  <c r="GJ227" i="55"/>
  <c r="GJ228" i="55"/>
  <c r="GJ229" i="55"/>
  <c r="GJ230" i="55"/>
  <c r="GJ231" i="55"/>
  <c r="GJ232" i="55"/>
  <c r="GJ233" i="55"/>
  <c r="GJ234" i="55"/>
  <c r="GJ235" i="55"/>
  <c r="GJ236" i="55"/>
  <c r="GJ237" i="55"/>
  <c r="GJ238" i="55"/>
  <c r="GJ239" i="55"/>
  <c r="GJ240" i="55"/>
  <c r="GJ241" i="55"/>
  <c r="GJ242" i="55"/>
  <c r="GJ243" i="55"/>
  <c r="GJ244" i="55"/>
  <c r="GJ245" i="55"/>
  <c r="GJ246" i="55"/>
  <c r="GJ247" i="55"/>
  <c r="GJ248" i="55"/>
  <c r="GJ249" i="55"/>
  <c r="GJ250" i="55"/>
  <c r="GJ251" i="55"/>
  <c r="GJ252" i="55"/>
  <c r="GJ253" i="55"/>
  <c r="GJ254" i="55"/>
  <c r="GJ255" i="55"/>
  <c r="GJ256" i="55"/>
  <c r="GJ257" i="55"/>
  <c r="GJ258" i="55"/>
  <c r="GJ259" i="55"/>
  <c r="GJ260" i="55"/>
  <c r="GJ261" i="55"/>
  <c r="GJ262" i="55"/>
  <c r="GJ263" i="55"/>
  <c r="GJ264" i="55"/>
  <c r="GJ265" i="55"/>
  <c r="GJ266" i="55"/>
  <c r="GJ267" i="55"/>
  <c r="GJ268" i="55"/>
  <c r="GJ269" i="55"/>
  <c r="GJ270" i="55"/>
  <c r="GJ271" i="55"/>
  <c r="GJ272" i="55"/>
  <c r="GJ273" i="55"/>
  <c r="GJ274" i="55"/>
  <c r="GJ275" i="55"/>
  <c r="GJ276" i="55"/>
  <c r="GJ277" i="55"/>
  <c r="GJ278" i="55"/>
  <c r="GJ279" i="55"/>
  <c r="GJ280" i="55"/>
  <c r="GJ281" i="55"/>
  <c r="GJ282" i="55"/>
  <c r="GJ283" i="55"/>
  <c r="GJ284" i="55"/>
  <c r="GJ285" i="55"/>
  <c r="GJ286" i="55"/>
  <c r="GJ287" i="55"/>
  <c r="GJ288" i="55"/>
  <c r="GJ289" i="55"/>
  <c r="GJ290" i="55"/>
  <c r="GJ291" i="55"/>
  <c r="GJ292" i="55"/>
  <c r="GJ293" i="55"/>
  <c r="GJ294" i="55"/>
  <c r="GJ295" i="55"/>
  <c r="GJ296" i="55"/>
  <c r="GJ297" i="55"/>
  <c r="GJ298" i="55"/>
  <c r="GJ299" i="55"/>
  <c r="GJ300" i="55"/>
  <c r="GJ301" i="55"/>
  <c r="GJ302" i="55"/>
  <c r="GJ303" i="55"/>
  <c r="GJ304" i="55"/>
  <c r="GJ305" i="55"/>
  <c r="GJ306" i="55"/>
  <c r="GJ307" i="55"/>
  <c r="GJ308" i="55"/>
  <c r="GJ309" i="55"/>
  <c r="GJ310" i="55"/>
  <c r="GJ311" i="55"/>
  <c r="GJ312" i="55"/>
  <c r="GJ313" i="55"/>
  <c r="GJ314" i="55"/>
  <c r="GJ315" i="55"/>
  <c r="GJ316" i="55"/>
  <c r="GJ317" i="55"/>
  <c r="GJ318" i="55"/>
  <c r="GJ319" i="55"/>
  <c r="GJ320" i="55"/>
  <c r="GJ321" i="55"/>
  <c r="GJ322" i="55"/>
  <c r="GJ323" i="55"/>
  <c r="GJ324" i="55"/>
  <c r="GJ325" i="55"/>
  <c r="GJ326" i="55"/>
  <c r="GJ327" i="55"/>
  <c r="GJ328" i="55"/>
  <c r="GJ329" i="55"/>
  <c r="GJ330" i="55"/>
  <c r="GJ331" i="55"/>
  <c r="GJ332" i="55"/>
  <c r="GJ333" i="55"/>
  <c r="GJ334" i="55"/>
  <c r="GJ335" i="55"/>
  <c r="GJ336" i="55"/>
  <c r="GJ337" i="55"/>
  <c r="GJ338" i="55"/>
  <c r="GJ339" i="55"/>
  <c r="GJ340" i="55"/>
  <c r="GJ341" i="55"/>
  <c r="GJ342" i="55"/>
  <c r="GJ343" i="55"/>
  <c r="GJ344" i="55"/>
  <c r="GJ345" i="55"/>
  <c r="GJ346" i="55"/>
  <c r="GJ347" i="55"/>
  <c r="GJ348" i="55"/>
  <c r="GJ349" i="55"/>
  <c r="GJ350" i="55"/>
  <c r="GJ351" i="55"/>
  <c r="GJ352" i="55"/>
  <c r="GI3" i="55"/>
  <c r="GI4" i="55"/>
  <c r="GI5" i="55"/>
  <c r="GI6" i="55"/>
  <c r="GI7" i="55"/>
  <c r="GI8" i="55"/>
  <c r="GI9" i="55"/>
  <c r="GI10" i="55"/>
  <c r="GI11" i="55"/>
  <c r="GI12" i="55"/>
  <c r="GI13" i="55"/>
  <c r="GI14" i="55"/>
  <c r="GI15" i="55"/>
  <c r="GI16" i="55"/>
  <c r="GI17" i="55"/>
  <c r="GI18" i="55"/>
  <c r="GI19" i="55"/>
  <c r="GI20" i="55"/>
  <c r="GI21" i="55"/>
  <c r="GI22" i="55"/>
  <c r="GI23" i="55"/>
  <c r="GI24" i="55"/>
  <c r="GI25" i="55"/>
  <c r="GI26" i="55"/>
  <c r="GI27" i="55"/>
  <c r="GI28" i="55"/>
  <c r="GI29" i="55"/>
  <c r="GI30" i="55"/>
  <c r="GI31" i="55"/>
  <c r="GI32" i="55"/>
  <c r="GI33" i="55"/>
  <c r="GI34" i="55"/>
  <c r="GI35" i="55"/>
  <c r="GI36" i="55"/>
  <c r="GI37" i="55"/>
  <c r="GI38" i="55"/>
  <c r="GI39" i="55"/>
  <c r="GI40" i="55"/>
  <c r="GI41" i="55"/>
  <c r="GI42" i="55"/>
  <c r="GI43" i="55"/>
  <c r="GI44" i="55"/>
  <c r="GI45" i="55"/>
  <c r="GI46" i="55"/>
  <c r="GI47" i="55"/>
  <c r="GI48" i="55"/>
  <c r="GI49" i="55"/>
  <c r="GI50" i="55"/>
  <c r="GI51" i="55"/>
  <c r="GI52" i="55"/>
  <c r="GI53" i="55"/>
  <c r="GI54" i="55"/>
  <c r="GI55" i="55"/>
  <c r="GI56" i="55"/>
  <c r="GI57" i="55"/>
  <c r="GI58" i="55"/>
  <c r="GI59" i="55"/>
  <c r="GI60" i="55"/>
  <c r="GI61" i="55"/>
  <c r="GI62" i="55"/>
  <c r="GI63" i="55"/>
  <c r="GI64" i="55"/>
  <c r="GI65" i="55"/>
  <c r="GI66" i="55"/>
  <c r="GI67" i="55"/>
  <c r="GI68" i="55"/>
  <c r="GI69" i="55"/>
  <c r="GI70" i="55"/>
  <c r="GI71" i="55"/>
  <c r="GI72" i="55"/>
  <c r="GI73" i="55"/>
  <c r="GI74" i="55"/>
  <c r="GI75" i="55"/>
  <c r="GI76" i="55"/>
  <c r="GI77" i="55"/>
  <c r="GI78" i="55"/>
  <c r="GI79" i="55"/>
  <c r="GI80" i="55"/>
  <c r="GI81" i="55"/>
  <c r="GI82" i="55"/>
  <c r="GI83" i="55"/>
  <c r="GI84" i="55"/>
  <c r="GI85" i="55"/>
  <c r="GI86" i="55"/>
  <c r="GI87" i="55"/>
  <c r="GI88" i="55"/>
  <c r="GI89" i="55"/>
  <c r="GI90" i="55"/>
  <c r="GI91" i="55"/>
  <c r="GI92" i="55"/>
  <c r="GI93" i="55"/>
  <c r="GI94" i="55"/>
  <c r="GI95" i="55"/>
  <c r="GI96" i="55"/>
  <c r="GI97" i="55"/>
  <c r="GI98" i="55"/>
  <c r="GI99" i="55"/>
  <c r="GI100" i="55"/>
  <c r="GI101" i="55"/>
  <c r="GI102" i="55"/>
  <c r="GI103" i="55"/>
  <c r="GI104" i="55"/>
  <c r="GI105" i="55"/>
  <c r="GI106" i="55"/>
  <c r="GI107" i="55"/>
  <c r="GI108" i="55"/>
  <c r="GI109" i="55"/>
  <c r="GI110" i="55"/>
  <c r="GI111" i="55"/>
  <c r="GI112" i="55"/>
  <c r="GI113" i="55"/>
  <c r="GI114" i="55"/>
  <c r="GI115" i="55"/>
  <c r="GI116" i="55"/>
  <c r="GI117" i="55"/>
  <c r="GI118" i="55"/>
  <c r="GI119" i="55"/>
  <c r="GI120" i="55"/>
  <c r="GI121" i="55"/>
  <c r="GI122" i="55"/>
  <c r="GI123" i="55"/>
  <c r="GI124" i="55"/>
  <c r="GI125" i="55"/>
  <c r="GI126" i="55"/>
  <c r="GI127" i="55"/>
  <c r="GI128" i="55"/>
  <c r="GI129" i="55"/>
  <c r="GI130" i="55"/>
  <c r="GI131" i="55"/>
  <c r="GI132" i="55"/>
  <c r="GI133" i="55"/>
  <c r="GI134" i="55"/>
  <c r="GI135" i="55"/>
  <c r="GI136" i="55"/>
  <c r="GI137" i="55"/>
  <c r="GI138" i="55"/>
  <c r="GI139" i="55"/>
  <c r="GI140" i="55"/>
  <c r="GI141" i="55"/>
  <c r="GI142" i="55"/>
  <c r="GI143" i="55"/>
  <c r="GI144" i="55"/>
  <c r="GI145" i="55"/>
  <c r="GI146" i="55"/>
  <c r="GI147" i="55"/>
  <c r="GI148" i="55"/>
  <c r="GI149" i="55"/>
  <c r="GI150" i="55"/>
  <c r="GI151" i="55"/>
  <c r="GI152" i="55"/>
  <c r="GI153" i="55"/>
  <c r="GI154" i="55"/>
  <c r="GI155" i="55"/>
  <c r="GI156" i="55"/>
  <c r="GI157" i="55"/>
  <c r="GI158" i="55"/>
  <c r="GI159" i="55"/>
  <c r="GI160" i="55"/>
  <c r="GI161" i="55"/>
  <c r="GI162" i="55"/>
  <c r="GI163" i="55"/>
  <c r="GI164" i="55"/>
  <c r="GI165" i="55"/>
  <c r="GI166" i="55"/>
  <c r="GI167" i="55"/>
  <c r="GI168" i="55"/>
  <c r="GI169" i="55"/>
  <c r="GI170" i="55"/>
  <c r="GI171" i="55"/>
  <c r="GI172" i="55"/>
  <c r="GI173" i="55"/>
  <c r="GI174" i="55"/>
  <c r="GI175" i="55"/>
  <c r="GI176" i="55"/>
  <c r="GI177" i="55"/>
  <c r="GI178" i="55"/>
  <c r="GI179" i="55"/>
  <c r="GI180" i="55"/>
  <c r="GI181" i="55"/>
  <c r="GI182" i="55"/>
  <c r="GI183" i="55"/>
  <c r="GI184" i="55"/>
  <c r="GI185" i="55"/>
  <c r="GI186" i="55"/>
  <c r="GI187" i="55"/>
  <c r="GI188" i="55"/>
  <c r="GI189" i="55"/>
  <c r="GI190" i="55"/>
  <c r="GI191" i="55"/>
  <c r="GI192" i="55"/>
  <c r="GI193" i="55"/>
  <c r="GI194" i="55"/>
  <c r="GI195" i="55"/>
  <c r="GI196" i="55"/>
  <c r="GI197" i="55"/>
  <c r="GI198" i="55"/>
  <c r="GI199" i="55"/>
  <c r="GI200" i="55"/>
  <c r="GI201" i="55"/>
  <c r="GI202" i="55"/>
  <c r="GI203" i="55"/>
  <c r="GI204" i="55"/>
  <c r="GI205" i="55"/>
  <c r="GI206" i="55"/>
  <c r="GI207" i="55"/>
  <c r="GI208" i="55"/>
  <c r="GI209" i="55"/>
  <c r="GI210" i="55"/>
  <c r="GI211" i="55"/>
  <c r="GI212" i="55"/>
  <c r="GI213" i="55"/>
  <c r="GI214" i="55"/>
  <c r="GI215" i="55"/>
  <c r="GI216" i="55"/>
  <c r="GI217" i="55"/>
  <c r="GI218" i="55"/>
  <c r="GI219" i="55"/>
  <c r="GI220" i="55"/>
  <c r="GI221" i="55"/>
  <c r="GI222" i="55"/>
  <c r="GI223" i="55"/>
  <c r="GI224" i="55"/>
  <c r="GI225" i="55"/>
  <c r="GI226" i="55"/>
  <c r="GI227" i="55"/>
  <c r="GI228" i="55"/>
  <c r="GI229" i="55"/>
  <c r="GI230" i="55"/>
  <c r="GI231" i="55"/>
  <c r="GI232" i="55"/>
  <c r="GI233" i="55"/>
  <c r="GI234" i="55"/>
  <c r="GI235" i="55"/>
  <c r="GI236" i="55"/>
  <c r="GI237" i="55"/>
  <c r="GI238" i="55"/>
  <c r="GI239" i="55"/>
  <c r="GI240" i="55"/>
  <c r="GI241" i="55"/>
  <c r="GI242" i="55"/>
  <c r="GI243" i="55"/>
  <c r="GI244" i="55"/>
  <c r="GI245" i="55"/>
  <c r="GI246" i="55"/>
  <c r="GI247" i="55"/>
  <c r="GI248" i="55"/>
  <c r="GI249" i="55"/>
  <c r="GI250" i="55"/>
  <c r="GI251" i="55"/>
  <c r="GI252" i="55"/>
  <c r="GI253" i="55"/>
  <c r="GI254" i="55"/>
  <c r="GI255" i="55"/>
  <c r="GI256" i="55"/>
  <c r="GI257" i="55"/>
  <c r="GI258" i="55"/>
  <c r="GI259" i="55"/>
  <c r="GI260" i="55"/>
  <c r="GI261" i="55"/>
  <c r="GI262" i="55"/>
  <c r="GI263" i="55"/>
  <c r="GI264" i="55"/>
  <c r="GI265" i="55"/>
  <c r="GI266" i="55"/>
  <c r="GI267" i="55"/>
  <c r="GI268" i="55"/>
  <c r="GI269" i="55"/>
  <c r="GI270" i="55"/>
  <c r="GI271" i="55"/>
  <c r="GI272" i="55"/>
  <c r="GI273" i="55"/>
  <c r="GI274" i="55"/>
  <c r="GI275" i="55"/>
  <c r="GI276" i="55"/>
  <c r="GI277" i="55"/>
  <c r="GI278" i="55"/>
  <c r="GI279" i="55"/>
  <c r="GI280" i="55"/>
  <c r="GI281" i="55"/>
  <c r="GI282" i="55"/>
  <c r="GI283" i="55"/>
  <c r="GI284" i="55"/>
  <c r="GI285" i="55"/>
  <c r="GI286" i="55"/>
  <c r="GI287" i="55"/>
  <c r="GI288" i="55"/>
  <c r="GI289" i="55"/>
  <c r="GI290" i="55"/>
  <c r="GI291" i="55"/>
  <c r="GI292" i="55"/>
  <c r="GI293" i="55"/>
  <c r="GI294" i="55"/>
  <c r="GI295" i="55"/>
  <c r="GI296" i="55"/>
  <c r="GI297" i="55"/>
  <c r="GI298" i="55"/>
  <c r="GI299" i="55"/>
  <c r="GI300" i="55"/>
  <c r="GI301" i="55"/>
  <c r="GI302" i="55"/>
  <c r="GI303" i="55"/>
  <c r="GI304" i="55"/>
  <c r="GI305" i="55"/>
  <c r="GI306" i="55"/>
  <c r="GI307" i="55"/>
  <c r="GI308" i="55"/>
  <c r="GI309" i="55"/>
  <c r="GI310" i="55"/>
  <c r="GI311" i="55"/>
  <c r="GI312" i="55"/>
  <c r="GI313" i="55"/>
  <c r="GI314" i="55"/>
  <c r="GI315" i="55"/>
  <c r="GI316" i="55"/>
  <c r="GI317" i="55"/>
  <c r="GI318" i="55"/>
  <c r="GI319" i="55"/>
  <c r="GI320" i="55"/>
  <c r="GI321" i="55"/>
  <c r="GI322" i="55"/>
  <c r="GI323" i="55"/>
  <c r="GI324" i="55"/>
  <c r="GI325" i="55"/>
  <c r="GI326" i="55"/>
  <c r="GI327" i="55"/>
  <c r="GI328" i="55"/>
  <c r="GI329" i="55"/>
  <c r="GI330" i="55"/>
  <c r="GI331" i="55"/>
  <c r="GI332" i="55"/>
  <c r="GI333" i="55"/>
  <c r="GI334" i="55"/>
  <c r="GI335" i="55"/>
  <c r="GI336" i="55"/>
  <c r="GI337" i="55"/>
  <c r="GI338" i="55"/>
  <c r="GI339" i="55"/>
  <c r="GI340" i="55"/>
  <c r="GI341" i="55"/>
  <c r="GI342" i="55"/>
  <c r="GI343" i="55"/>
  <c r="GI344" i="55"/>
  <c r="GI345" i="55"/>
  <c r="GI346" i="55"/>
  <c r="GI347" i="55"/>
  <c r="GI348" i="55"/>
  <c r="GI349" i="55"/>
  <c r="GI350" i="55"/>
  <c r="GI351" i="55"/>
  <c r="GI352" i="55"/>
  <c r="GH3" i="55"/>
  <c r="GH4" i="55"/>
  <c r="GH5" i="55"/>
  <c r="GH6" i="55"/>
  <c r="GH7" i="55"/>
  <c r="GH8" i="55"/>
  <c r="GH9" i="55"/>
  <c r="GH10" i="55"/>
  <c r="GH11" i="55"/>
  <c r="GH12" i="55"/>
  <c r="GH13" i="55"/>
  <c r="GH14" i="55"/>
  <c r="GH15" i="55"/>
  <c r="GH16" i="55"/>
  <c r="GH17" i="55"/>
  <c r="GH18" i="55"/>
  <c r="GH19" i="55"/>
  <c r="GH20" i="55"/>
  <c r="GH21" i="55"/>
  <c r="GH22" i="55"/>
  <c r="GH23" i="55"/>
  <c r="GH24" i="55"/>
  <c r="GH25" i="55"/>
  <c r="GH26" i="55"/>
  <c r="GH27" i="55"/>
  <c r="GH28" i="55"/>
  <c r="GH29" i="55"/>
  <c r="GH30" i="55"/>
  <c r="GH31" i="55"/>
  <c r="GH32" i="55"/>
  <c r="GH33" i="55"/>
  <c r="GH34" i="55"/>
  <c r="GH35" i="55"/>
  <c r="GH36" i="55"/>
  <c r="GH37" i="55"/>
  <c r="GH38" i="55"/>
  <c r="GH39" i="55"/>
  <c r="GH40" i="55"/>
  <c r="GH41" i="55"/>
  <c r="GH42" i="55"/>
  <c r="GH43" i="55"/>
  <c r="GH44" i="55"/>
  <c r="GH45" i="55"/>
  <c r="GH46" i="55"/>
  <c r="GH47" i="55"/>
  <c r="GH48" i="55"/>
  <c r="GH49" i="55"/>
  <c r="GH50" i="55"/>
  <c r="GH51" i="55"/>
  <c r="GH52" i="55"/>
  <c r="GH53" i="55"/>
  <c r="GH54" i="55"/>
  <c r="GH55" i="55"/>
  <c r="GH56" i="55"/>
  <c r="GH57" i="55"/>
  <c r="GH58" i="55"/>
  <c r="GH59" i="55"/>
  <c r="GH60" i="55"/>
  <c r="GH61" i="55"/>
  <c r="GH62" i="55"/>
  <c r="GH63" i="55"/>
  <c r="GH64" i="55"/>
  <c r="GH65" i="55"/>
  <c r="GH66" i="55"/>
  <c r="GH67" i="55"/>
  <c r="GH68" i="55"/>
  <c r="GH69" i="55"/>
  <c r="GH70" i="55"/>
  <c r="GH71" i="55"/>
  <c r="GH72" i="55"/>
  <c r="GH73" i="55"/>
  <c r="GH74" i="55"/>
  <c r="GH75" i="55"/>
  <c r="GH76" i="55"/>
  <c r="GH77" i="55"/>
  <c r="GH78" i="55"/>
  <c r="GH79" i="55"/>
  <c r="GH80" i="55"/>
  <c r="GH81" i="55"/>
  <c r="GH82" i="55"/>
  <c r="GH83" i="55"/>
  <c r="GH84" i="55"/>
  <c r="GH85" i="55"/>
  <c r="GH86" i="55"/>
  <c r="GH87" i="55"/>
  <c r="GH88" i="55"/>
  <c r="GH89" i="55"/>
  <c r="GH90" i="55"/>
  <c r="GH91" i="55"/>
  <c r="GH92" i="55"/>
  <c r="GH93" i="55"/>
  <c r="GH94" i="55"/>
  <c r="GH95" i="55"/>
  <c r="GH96" i="55"/>
  <c r="GH97" i="55"/>
  <c r="GH98" i="55"/>
  <c r="GH99" i="55"/>
  <c r="GH100" i="55"/>
  <c r="GH101" i="55"/>
  <c r="GH102" i="55"/>
  <c r="GH103" i="55"/>
  <c r="GH104" i="55"/>
  <c r="GH105" i="55"/>
  <c r="GH106" i="55"/>
  <c r="GH107" i="55"/>
  <c r="GH108" i="55"/>
  <c r="GH109" i="55"/>
  <c r="GH110" i="55"/>
  <c r="GH111" i="55"/>
  <c r="GH112" i="55"/>
  <c r="GH113" i="55"/>
  <c r="GH114" i="55"/>
  <c r="GH115" i="55"/>
  <c r="GH116" i="55"/>
  <c r="GH117" i="55"/>
  <c r="GH118" i="55"/>
  <c r="GH119" i="55"/>
  <c r="GH120" i="55"/>
  <c r="GH121" i="55"/>
  <c r="GH122" i="55"/>
  <c r="GH123" i="55"/>
  <c r="GH124" i="55"/>
  <c r="GH125" i="55"/>
  <c r="GH126" i="55"/>
  <c r="GH127" i="55"/>
  <c r="GH128" i="55"/>
  <c r="GH129" i="55"/>
  <c r="GH130" i="55"/>
  <c r="GH131" i="55"/>
  <c r="GH132" i="55"/>
  <c r="GH133" i="55"/>
  <c r="GH134" i="55"/>
  <c r="GH135" i="55"/>
  <c r="GH136" i="55"/>
  <c r="GH137" i="55"/>
  <c r="GH138" i="55"/>
  <c r="GH139" i="55"/>
  <c r="GH140" i="55"/>
  <c r="GH141" i="55"/>
  <c r="GH142" i="55"/>
  <c r="GH143" i="55"/>
  <c r="GH144" i="55"/>
  <c r="GH145" i="55"/>
  <c r="GH146" i="55"/>
  <c r="GH147" i="55"/>
  <c r="GH148" i="55"/>
  <c r="GH149" i="55"/>
  <c r="GH150" i="55"/>
  <c r="GH151" i="55"/>
  <c r="GH152" i="55"/>
  <c r="GH153" i="55"/>
  <c r="GH154" i="55"/>
  <c r="GH155" i="55"/>
  <c r="GH156" i="55"/>
  <c r="GH157" i="55"/>
  <c r="GH158" i="55"/>
  <c r="GH159" i="55"/>
  <c r="GH160" i="55"/>
  <c r="GH161" i="55"/>
  <c r="GH162" i="55"/>
  <c r="GH163" i="55"/>
  <c r="GH164" i="55"/>
  <c r="GH165" i="55"/>
  <c r="GH166" i="55"/>
  <c r="GH167" i="55"/>
  <c r="GH168" i="55"/>
  <c r="GH169" i="55"/>
  <c r="GH170" i="55"/>
  <c r="GH171" i="55"/>
  <c r="GH172" i="55"/>
  <c r="GH173" i="55"/>
  <c r="GH174" i="55"/>
  <c r="GH175" i="55"/>
  <c r="GH176" i="55"/>
  <c r="GH177" i="55"/>
  <c r="GH178" i="55"/>
  <c r="GH179" i="55"/>
  <c r="GH180" i="55"/>
  <c r="GH181" i="55"/>
  <c r="GH182" i="55"/>
  <c r="GH183" i="55"/>
  <c r="GH184" i="55"/>
  <c r="GH185" i="55"/>
  <c r="GH186" i="55"/>
  <c r="GH187" i="55"/>
  <c r="GH188" i="55"/>
  <c r="GH189" i="55"/>
  <c r="GH190" i="55"/>
  <c r="GH191" i="55"/>
  <c r="GH192" i="55"/>
  <c r="GH193" i="55"/>
  <c r="GH194" i="55"/>
  <c r="GH195" i="55"/>
  <c r="GH196" i="55"/>
  <c r="GH197" i="55"/>
  <c r="GH198" i="55"/>
  <c r="GH199" i="55"/>
  <c r="GH200" i="55"/>
  <c r="GH201" i="55"/>
  <c r="GH202" i="55"/>
  <c r="GH203" i="55"/>
  <c r="GH204" i="55"/>
  <c r="GH205" i="55"/>
  <c r="GH206" i="55"/>
  <c r="GH207" i="55"/>
  <c r="GH208" i="55"/>
  <c r="GH209" i="55"/>
  <c r="GH210" i="55"/>
  <c r="GH211" i="55"/>
  <c r="GH212" i="55"/>
  <c r="GH213" i="55"/>
  <c r="GH214" i="55"/>
  <c r="GH215" i="55"/>
  <c r="GH216" i="55"/>
  <c r="GH217" i="55"/>
  <c r="GH218" i="55"/>
  <c r="GH219" i="55"/>
  <c r="GH220" i="55"/>
  <c r="GH221" i="55"/>
  <c r="GH222" i="55"/>
  <c r="GH223" i="55"/>
  <c r="GH224" i="55"/>
  <c r="GH225" i="55"/>
  <c r="GH226" i="55"/>
  <c r="GH227" i="55"/>
  <c r="GH228" i="55"/>
  <c r="GH229" i="55"/>
  <c r="GH230" i="55"/>
  <c r="GH231" i="55"/>
  <c r="GH232" i="55"/>
  <c r="GH233" i="55"/>
  <c r="GH234" i="55"/>
  <c r="GH235" i="55"/>
  <c r="GH236" i="55"/>
  <c r="GH237" i="55"/>
  <c r="GH238" i="55"/>
  <c r="GH239" i="55"/>
  <c r="GH240" i="55"/>
  <c r="GH241" i="55"/>
  <c r="GH242" i="55"/>
  <c r="GH243" i="55"/>
  <c r="GH244" i="55"/>
  <c r="GH245" i="55"/>
  <c r="GH246" i="55"/>
  <c r="GH247" i="55"/>
  <c r="GH248" i="55"/>
  <c r="GH249" i="55"/>
  <c r="GH250" i="55"/>
  <c r="GH251" i="55"/>
  <c r="GH252" i="55"/>
  <c r="GH253" i="55"/>
  <c r="GH254" i="55"/>
  <c r="GH255" i="55"/>
  <c r="GH256" i="55"/>
  <c r="GH257" i="55"/>
  <c r="GH258" i="55"/>
  <c r="GH259" i="55"/>
  <c r="GH260" i="55"/>
  <c r="GH261" i="55"/>
  <c r="GH262" i="55"/>
  <c r="GH263" i="55"/>
  <c r="GH264" i="55"/>
  <c r="GH265" i="55"/>
  <c r="GH266" i="55"/>
  <c r="GH267" i="55"/>
  <c r="GH268" i="55"/>
  <c r="GH269" i="55"/>
  <c r="GH270" i="55"/>
  <c r="GH271" i="55"/>
  <c r="GH272" i="55"/>
  <c r="GH273" i="55"/>
  <c r="GH274" i="55"/>
  <c r="GH275" i="55"/>
  <c r="GH276" i="55"/>
  <c r="GH277" i="55"/>
  <c r="GH278" i="55"/>
  <c r="GH279" i="55"/>
  <c r="GH280" i="55"/>
  <c r="GH281" i="55"/>
  <c r="GH282" i="55"/>
  <c r="GH283" i="55"/>
  <c r="GH284" i="55"/>
  <c r="GH285" i="55"/>
  <c r="GH286" i="55"/>
  <c r="GH287" i="55"/>
  <c r="GH288" i="55"/>
  <c r="GH289" i="55"/>
  <c r="GH290" i="55"/>
  <c r="GH291" i="55"/>
  <c r="GH292" i="55"/>
  <c r="GH293" i="55"/>
  <c r="GH294" i="55"/>
  <c r="GH295" i="55"/>
  <c r="GH296" i="55"/>
  <c r="GH297" i="55"/>
  <c r="GH298" i="55"/>
  <c r="GH299" i="55"/>
  <c r="GH300" i="55"/>
  <c r="GH301" i="55"/>
  <c r="GH302" i="55"/>
  <c r="GH303" i="55"/>
  <c r="GH304" i="55"/>
  <c r="GH305" i="55"/>
  <c r="GH306" i="55"/>
  <c r="GH307" i="55"/>
  <c r="GH308" i="55"/>
  <c r="GH309" i="55"/>
  <c r="GH310" i="55"/>
  <c r="GH311" i="55"/>
  <c r="GH312" i="55"/>
  <c r="GH313" i="55"/>
  <c r="GH314" i="55"/>
  <c r="GH315" i="55"/>
  <c r="GH316" i="55"/>
  <c r="GH317" i="55"/>
  <c r="GH318" i="55"/>
  <c r="GH319" i="55"/>
  <c r="GH320" i="55"/>
  <c r="GH321" i="55"/>
  <c r="GH322" i="55"/>
  <c r="GH323" i="55"/>
  <c r="GH324" i="55"/>
  <c r="GH325" i="55"/>
  <c r="GH326" i="55"/>
  <c r="GH327" i="55"/>
  <c r="GH328" i="55"/>
  <c r="GH329" i="55"/>
  <c r="GH330" i="55"/>
  <c r="GH331" i="55"/>
  <c r="GH332" i="55"/>
  <c r="GH333" i="55"/>
  <c r="GH334" i="55"/>
  <c r="GH335" i="55"/>
  <c r="GH336" i="55"/>
  <c r="GH337" i="55"/>
  <c r="GH338" i="55"/>
  <c r="GH339" i="55"/>
  <c r="GH340" i="55"/>
  <c r="GH341" i="55"/>
  <c r="GH342" i="55"/>
  <c r="GH343" i="55"/>
  <c r="GH344" i="55"/>
  <c r="GH345" i="55"/>
  <c r="GH346" i="55"/>
  <c r="GH347" i="55"/>
  <c r="GH348" i="55"/>
  <c r="GH349" i="55"/>
  <c r="GH350" i="55"/>
  <c r="GH351" i="55"/>
  <c r="GH352" i="55"/>
  <c r="GG3" i="55"/>
  <c r="GG4" i="55"/>
  <c r="GG5" i="55"/>
  <c r="GG6" i="55"/>
  <c r="GG7" i="55"/>
  <c r="GG8" i="55"/>
  <c r="GG9" i="55"/>
  <c r="GG10" i="55"/>
  <c r="GG11" i="55"/>
  <c r="GG12" i="55"/>
  <c r="GG13" i="55"/>
  <c r="GG14" i="55"/>
  <c r="GG15" i="55"/>
  <c r="GG16" i="55"/>
  <c r="GG17" i="55"/>
  <c r="GG18" i="55"/>
  <c r="GG19" i="55"/>
  <c r="GG20" i="55"/>
  <c r="GG21" i="55"/>
  <c r="GG22" i="55"/>
  <c r="GG23" i="55"/>
  <c r="GG24" i="55"/>
  <c r="GG25" i="55"/>
  <c r="GG26" i="55"/>
  <c r="GG27" i="55"/>
  <c r="GG28" i="55"/>
  <c r="GG29" i="55"/>
  <c r="GG30" i="55"/>
  <c r="GG31" i="55"/>
  <c r="GG32" i="55"/>
  <c r="GG33" i="55"/>
  <c r="GG34" i="55"/>
  <c r="GG35" i="55"/>
  <c r="GG36" i="55"/>
  <c r="GG37" i="55"/>
  <c r="GG38" i="55"/>
  <c r="GG39" i="55"/>
  <c r="GG40" i="55"/>
  <c r="GG41" i="55"/>
  <c r="GG42" i="55"/>
  <c r="GG43" i="55"/>
  <c r="GG44" i="55"/>
  <c r="GG45" i="55"/>
  <c r="GG46" i="55"/>
  <c r="GG47" i="55"/>
  <c r="GG48" i="55"/>
  <c r="GG49" i="55"/>
  <c r="GG50" i="55"/>
  <c r="GG51" i="55"/>
  <c r="GG52" i="55"/>
  <c r="GG53" i="55"/>
  <c r="GG54" i="55"/>
  <c r="GG55" i="55"/>
  <c r="GG56" i="55"/>
  <c r="GG57" i="55"/>
  <c r="GG58" i="55"/>
  <c r="GG59" i="55"/>
  <c r="GG60" i="55"/>
  <c r="GG61" i="55"/>
  <c r="GG62" i="55"/>
  <c r="GG63" i="55"/>
  <c r="GG64" i="55"/>
  <c r="GG65" i="55"/>
  <c r="GG66" i="55"/>
  <c r="GG67" i="55"/>
  <c r="GG68" i="55"/>
  <c r="GG69" i="55"/>
  <c r="GG70" i="55"/>
  <c r="GG71" i="55"/>
  <c r="GG72" i="55"/>
  <c r="GG73" i="55"/>
  <c r="GG74" i="55"/>
  <c r="GG75" i="55"/>
  <c r="GG76" i="55"/>
  <c r="GG77" i="55"/>
  <c r="GG78" i="55"/>
  <c r="GG79" i="55"/>
  <c r="GG80" i="55"/>
  <c r="GG81" i="55"/>
  <c r="GG82" i="55"/>
  <c r="GG83" i="55"/>
  <c r="GG84" i="55"/>
  <c r="GG85" i="55"/>
  <c r="GG86" i="55"/>
  <c r="GG87" i="55"/>
  <c r="GG88" i="55"/>
  <c r="GG89" i="55"/>
  <c r="GG90" i="55"/>
  <c r="GG91" i="55"/>
  <c r="GG92" i="55"/>
  <c r="GG93" i="55"/>
  <c r="GG94" i="55"/>
  <c r="GG95" i="55"/>
  <c r="GG96" i="55"/>
  <c r="GG97" i="55"/>
  <c r="GG98" i="55"/>
  <c r="GG99" i="55"/>
  <c r="GG100" i="55"/>
  <c r="GG101" i="55"/>
  <c r="GG102" i="55"/>
  <c r="GG103" i="55"/>
  <c r="GG104" i="55"/>
  <c r="GG105" i="55"/>
  <c r="GG106" i="55"/>
  <c r="GG107" i="55"/>
  <c r="GG108" i="55"/>
  <c r="GG109" i="55"/>
  <c r="GG110" i="55"/>
  <c r="GG111" i="55"/>
  <c r="GG112" i="55"/>
  <c r="GG113" i="55"/>
  <c r="GG114" i="55"/>
  <c r="GG115" i="55"/>
  <c r="GG116" i="55"/>
  <c r="GG117" i="55"/>
  <c r="GG118" i="55"/>
  <c r="GG119" i="55"/>
  <c r="GG120" i="55"/>
  <c r="GG121" i="55"/>
  <c r="GG122" i="55"/>
  <c r="GG123" i="55"/>
  <c r="GG124" i="55"/>
  <c r="GG125" i="55"/>
  <c r="GG126" i="55"/>
  <c r="GG127" i="55"/>
  <c r="GG128" i="55"/>
  <c r="GG129" i="55"/>
  <c r="GG130" i="55"/>
  <c r="GG131" i="55"/>
  <c r="GG132" i="55"/>
  <c r="GG133" i="55"/>
  <c r="GG134" i="55"/>
  <c r="GG135" i="55"/>
  <c r="GG136" i="55"/>
  <c r="GG137" i="55"/>
  <c r="GG138" i="55"/>
  <c r="GG139" i="55"/>
  <c r="GG140" i="55"/>
  <c r="GG141" i="55"/>
  <c r="GG142" i="55"/>
  <c r="GG143" i="55"/>
  <c r="GG144" i="55"/>
  <c r="GG145" i="55"/>
  <c r="GG146" i="55"/>
  <c r="GG147" i="55"/>
  <c r="GG148" i="55"/>
  <c r="GG149" i="55"/>
  <c r="GG150" i="55"/>
  <c r="GG151" i="55"/>
  <c r="GG152" i="55"/>
  <c r="GG153" i="55"/>
  <c r="GG154" i="55"/>
  <c r="GG155" i="55"/>
  <c r="GG156" i="55"/>
  <c r="GG157" i="55"/>
  <c r="GG158" i="55"/>
  <c r="GG159" i="55"/>
  <c r="GG160" i="55"/>
  <c r="GG161" i="55"/>
  <c r="GG162" i="55"/>
  <c r="GG163" i="55"/>
  <c r="GG164" i="55"/>
  <c r="GG165" i="55"/>
  <c r="GG166" i="55"/>
  <c r="GG167" i="55"/>
  <c r="GG168" i="55"/>
  <c r="GG169" i="55"/>
  <c r="GG170" i="55"/>
  <c r="GG171" i="55"/>
  <c r="GG172" i="55"/>
  <c r="GG173" i="55"/>
  <c r="GG174" i="55"/>
  <c r="GG175" i="55"/>
  <c r="GG176" i="55"/>
  <c r="GG177" i="55"/>
  <c r="GG178" i="55"/>
  <c r="GG179" i="55"/>
  <c r="GG180" i="55"/>
  <c r="GG181" i="55"/>
  <c r="GG182" i="55"/>
  <c r="GG183" i="55"/>
  <c r="GG184" i="55"/>
  <c r="GG185" i="55"/>
  <c r="GG186" i="55"/>
  <c r="GG187" i="55"/>
  <c r="GG188" i="55"/>
  <c r="GG189" i="55"/>
  <c r="GG190" i="55"/>
  <c r="GG191" i="55"/>
  <c r="GG192" i="55"/>
  <c r="GG193" i="55"/>
  <c r="GG194" i="55"/>
  <c r="GG195" i="55"/>
  <c r="GG196" i="55"/>
  <c r="GG197" i="55"/>
  <c r="GG198" i="55"/>
  <c r="GG199" i="55"/>
  <c r="GG200" i="55"/>
  <c r="GG201" i="55"/>
  <c r="GG202" i="55"/>
  <c r="GG203" i="55"/>
  <c r="GG204" i="55"/>
  <c r="GG205" i="55"/>
  <c r="GG206" i="55"/>
  <c r="GG207" i="55"/>
  <c r="GG208" i="55"/>
  <c r="GG209" i="55"/>
  <c r="GG210" i="55"/>
  <c r="GG211" i="55"/>
  <c r="GG212" i="55"/>
  <c r="GG213" i="55"/>
  <c r="GG214" i="55"/>
  <c r="GG215" i="55"/>
  <c r="GG216" i="55"/>
  <c r="GG217" i="55"/>
  <c r="GG218" i="55"/>
  <c r="GG219" i="55"/>
  <c r="GG220" i="55"/>
  <c r="GG221" i="55"/>
  <c r="GG222" i="55"/>
  <c r="GG223" i="55"/>
  <c r="GG224" i="55"/>
  <c r="GG225" i="55"/>
  <c r="GG226" i="55"/>
  <c r="GG227" i="55"/>
  <c r="GG228" i="55"/>
  <c r="GG229" i="55"/>
  <c r="GG230" i="55"/>
  <c r="GG231" i="55"/>
  <c r="GG232" i="55"/>
  <c r="GG233" i="55"/>
  <c r="GG234" i="55"/>
  <c r="GG235" i="55"/>
  <c r="GG236" i="55"/>
  <c r="GG237" i="55"/>
  <c r="GG238" i="55"/>
  <c r="GG239" i="55"/>
  <c r="GG240" i="55"/>
  <c r="GG241" i="55"/>
  <c r="GG242" i="55"/>
  <c r="GG243" i="55"/>
  <c r="GG244" i="55"/>
  <c r="GG245" i="55"/>
  <c r="GG246" i="55"/>
  <c r="GG247" i="55"/>
  <c r="GG248" i="55"/>
  <c r="GG249" i="55"/>
  <c r="GG250" i="55"/>
  <c r="GG251" i="55"/>
  <c r="GG252" i="55"/>
  <c r="GG253" i="55"/>
  <c r="GG254" i="55"/>
  <c r="GG255" i="55"/>
  <c r="GG256" i="55"/>
  <c r="GG257" i="55"/>
  <c r="GG258" i="55"/>
  <c r="GG259" i="55"/>
  <c r="GG260" i="55"/>
  <c r="GG261" i="55"/>
  <c r="GG262" i="55"/>
  <c r="GG263" i="55"/>
  <c r="GG264" i="55"/>
  <c r="GG265" i="55"/>
  <c r="GG266" i="55"/>
  <c r="GG267" i="55"/>
  <c r="GG268" i="55"/>
  <c r="GG269" i="55"/>
  <c r="GG270" i="55"/>
  <c r="GG271" i="55"/>
  <c r="GG272" i="55"/>
  <c r="GG273" i="55"/>
  <c r="GG274" i="55"/>
  <c r="GG275" i="55"/>
  <c r="GG276" i="55"/>
  <c r="GG277" i="55"/>
  <c r="GG278" i="55"/>
  <c r="GG279" i="55"/>
  <c r="GG280" i="55"/>
  <c r="GG281" i="55"/>
  <c r="GG282" i="55"/>
  <c r="GG283" i="55"/>
  <c r="GG284" i="55"/>
  <c r="GG285" i="55"/>
  <c r="GG286" i="55"/>
  <c r="GG287" i="55"/>
  <c r="GG288" i="55"/>
  <c r="GG289" i="55"/>
  <c r="GG290" i="55"/>
  <c r="GG291" i="55"/>
  <c r="GG292" i="55"/>
  <c r="GG293" i="55"/>
  <c r="GG294" i="55"/>
  <c r="GG295" i="55"/>
  <c r="GG296" i="55"/>
  <c r="GG297" i="55"/>
  <c r="GG298" i="55"/>
  <c r="GG299" i="55"/>
  <c r="GG300" i="55"/>
  <c r="GG301" i="55"/>
  <c r="GG302" i="55"/>
  <c r="GG303" i="55"/>
  <c r="GG304" i="55"/>
  <c r="GG305" i="55"/>
  <c r="GG306" i="55"/>
  <c r="GG307" i="55"/>
  <c r="GG308" i="55"/>
  <c r="GG309" i="55"/>
  <c r="GG310" i="55"/>
  <c r="GG311" i="55"/>
  <c r="GG312" i="55"/>
  <c r="GG313" i="55"/>
  <c r="GG314" i="55"/>
  <c r="GG315" i="55"/>
  <c r="GG316" i="55"/>
  <c r="GG317" i="55"/>
  <c r="GG318" i="55"/>
  <c r="GG319" i="55"/>
  <c r="GG320" i="55"/>
  <c r="GG321" i="55"/>
  <c r="GG322" i="55"/>
  <c r="GG323" i="55"/>
  <c r="GG324" i="55"/>
  <c r="GG325" i="55"/>
  <c r="GG326" i="55"/>
  <c r="GG327" i="55"/>
  <c r="GG328" i="55"/>
  <c r="GG329" i="55"/>
  <c r="GG330" i="55"/>
  <c r="GG331" i="55"/>
  <c r="GG332" i="55"/>
  <c r="GG333" i="55"/>
  <c r="GG334" i="55"/>
  <c r="GG335" i="55"/>
  <c r="GG336" i="55"/>
  <c r="GG337" i="55"/>
  <c r="GG338" i="55"/>
  <c r="GG339" i="55"/>
  <c r="GG340" i="55"/>
  <c r="GG341" i="55"/>
  <c r="GG342" i="55"/>
  <c r="GG343" i="55"/>
  <c r="GG344" i="55"/>
  <c r="GG345" i="55"/>
  <c r="GG346" i="55"/>
  <c r="GG347" i="55"/>
  <c r="GG348" i="55"/>
  <c r="GG349" i="55"/>
  <c r="GG350" i="55"/>
  <c r="GG351" i="55"/>
  <c r="GG352" i="55"/>
  <c r="GE3" i="55"/>
  <c r="GE4" i="55"/>
  <c r="GE5" i="55"/>
  <c r="GE6" i="55"/>
  <c r="GE7" i="55"/>
  <c r="GE8" i="55"/>
  <c r="GE9" i="55"/>
  <c r="GE10" i="55"/>
  <c r="GE11" i="55"/>
  <c r="GE12" i="55"/>
  <c r="GE13" i="55"/>
  <c r="GE14" i="55"/>
  <c r="GE15" i="55"/>
  <c r="GE16" i="55"/>
  <c r="GE17" i="55"/>
  <c r="GE18" i="55"/>
  <c r="GE19" i="55"/>
  <c r="GE20" i="55"/>
  <c r="GE21" i="55"/>
  <c r="GE22" i="55"/>
  <c r="GE23" i="55"/>
  <c r="GE24" i="55"/>
  <c r="GE25" i="55"/>
  <c r="GE26" i="55"/>
  <c r="GE27" i="55"/>
  <c r="GE28" i="55"/>
  <c r="GE29" i="55"/>
  <c r="GE30" i="55"/>
  <c r="GE31" i="55"/>
  <c r="GE32" i="55"/>
  <c r="GE33" i="55"/>
  <c r="GE34" i="55"/>
  <c r="GE35" i="55"/>
  <c r="GE36" i="55"/>
  <c r="GE37" i="55"/>
  <c r="GE38" i="55"/>
  <c r="GE39" i="55"/>
  <c r="GE40" i="55"/>
  <c r="GE41" i="55"/>
  <c r="GE42" i="55"/>
  <c r="GE43" i="55"/>
  <c r="GE44" i="55"/>
  <c r="GE45" i="55"/>
  <c r="GE46" i="55"/>
  <c r="GE47" i="55"/>
  <c r="GE48" i="55"/>
  <c r="GE49" i="55"/>
  <c r="GE50" i="55"/>
  <c r="GE51" i="55"/>
  <c r="GE52" i="55"/>
  <c r="GE53" i="55"/>
  <c r="GE54" i="55"/>
  <c r="GE55" i="55"/>
  <c r="GE56" i="55"/>
  <c r="GE57" i="55"/>
  <c r="GE58" i="55"/>
  <c r="GE59" i="55"/>
  <c r="GE60" i="55"/>
  <c r="GE61" i="55"/>
  <c r="GE62" i="55"/>
  <c r="GE63" i="55"/>
  <c r="GE64" i="55"/>
  <c r="GE65" i="55"/>
  <c r="GE66" i="55"/>
  <c r="GE67" i="55"/>
  <c r="GE68" i="55"/>
  <c r="GE69" i="55"/>
  <c r="GE70" i="55"/>
  <c r="GE71" i="55"/>
  <c r="GE72" i="55"/>
  <c r="GE73" i="55"/>
  <c r="GE74" i="55"/>
  <c r="GE75" i="55"/>
  <c r="GE76" i="55"/>
  <c r="GE77" i="55"/>
  <c r="GE78" i="55"/>
  <c r="GE79" i="55"/>
  <c r="GE80" i="55"/>
  <c r="GE81" i="55"/>
  <c r="GE82" i="55"/>
  <c r="GE83" i="55"/>
  <c r="GE84" i="55"/>
  <c r="GE85" i="55"/>
  <c r="GE86" i="55"/>
  <c r="GE87" i="55"/>
  <c r="GE88" i="55"/>
  <c r="GE89" i="55"/>
  <c r="GE90" i="55"/>
  <c r="GE91" i="55"/>
  <c r="GE92" i="55"/>
  <c r="GE93" i="55"/>
  <c r="GE94" i="55"/>
  <c r="GE95" i="55"/>
  <c r="GE96" i="55"/>
  <c r="GE97" i="55"/>
  <c r="GE98" i="55"/>
  <c r="GE99" i="55"/>
  <c r="GE100" i="55"/>
  <c r="GE101" i="55"/>
  <c r="GE102" i="55"/>
  <c r="GE103" i="55"/>
  <c r="GE104" i="55"/>
  <c r="GE105" i="55"/>
  <c r="GE106" i="55"/>
  <c r="GE107" i="55"/>
  <c r="GE108" i="55"/>
  <c r="GE109" i="55"/>
  <c r="GE110" i="55"/>
  <c r="GE111" i="55"/>
  <c r="GE112" i="55"/>
  <c r="GE113" i="55"/>
  <c r="GE114" i="55"/>
  <c r="GE115" i="55"/>
  <c r="GE116" i="55"/>
  <c r="GE117" i="55"/>
  <c r="GE118" i="55"/>
  <c r="GE119" i="55"/>
  <c r="GE120" i="55"/>
  <c r="GE121" i="55"/>
  <c r="GE122" i="55"/>
  <c r="GE123" i="55"/>
  <c r="GE124" i="55"/>
  <c r="GE125" i="55"/>
  <c r="GE126" i="55"/>
  <c r="GE127" i="55"/>
  <c r="GE128" i="55"/>
  <c r="GE129" i="55"/>
  <c r="GE130" i="55"/>
  <c r="GE131" i="55"/>
  <c r="GE132" i="55"/>
  <c r="GE133" i="55"/>
  <c r="GE134" i="55"/>
  <c r="GE135" i="55"/>
  <c r="GE136" i="55"/>
  <c r="GE137" i="55"/>
  <c r="GE138" i="55"/>
  <c r="GE139" i="55"/>
  <c r="GE140" i="55"/>
  <c r="GE141" i="55"/>
  <c r="GE142" i="55"/>
  <c r="GE143" i="55"/>
  <c r="GE144" i="55"/>
  <c r="GE145" i="55"/>
  <c r="GE146" i="55"/>
  <c r="GE147" i="55"/>
  <c r="GE148" i="55"/>
  <c r="GE149" i="55"/>
  <c r="GE150" i="55"/>
  <c r="GE151" i="55"/>
  <c r="GE152" i="55"/>
  <c r="GE153" i="55"/>
  <c r="GE154" i="55"/>
  <c r="GE155" i="55"/>
  <c r="GE156" i="55"/>
  <c r="GE157" i="55"/>
  <c r="GE158" i="55"/>
  <c r="GE159" i="55"/>
  <c r="GE160" i="55"/>
  <c r="GE161" i="55"/>
  <c r="GE162" i="55"/>
  <c r="GE163" i="55"/>
  <c r="GE164" i="55"/>
  <c r="GE165" i="55"/>
  <c r="GE166" i="55"/>
  <c r="GE167" i="55"/>
  <c r="GE168" i="55"/>
  <c r="GE169" i="55"/>
  <c r="GE170" i="55"/>
  <c r="GE171" i="55"/>
  <c r="GE172" i="55"/>
  <c r="GE173" i="55"/>
  <c r="GE174" i="55"/>
  <c r="GE175" i="55"/>
  <c r="GE176" i="55"/>
  <c r="GE177" i="55"/>
  <c r="GE178" i="55"/>
  <c r="GE179" i="55"/>
  <c r="GE180" i="55"/>
  <c r="GE181" i="55"/>
  <c r="GE182" i="55"/>
  <c r="GE183" i="55"/>
  <c r="GE184" i="55"/>
  <c r="GE185" i="55"/>
  <c r="GE186" i="55"/>
  <c r="GE187" i="55"/>
  <c r="GE188" i="55"/>
  <c r="GE189" i="55"/>
  <c r="GE190" i="55"/>
  <c r="GE191" i="55"/>
  <c r="GE192" i="55"/>
  <c r="GE193" i="55"/>
  <c r="GE194" i="55"/>
  <c r="GE195" i="55"/>
  <c r="GE196" i="55"/>
  <c r="GE197" i="55"/>
  <c r="GE198" i="55"/>
  <c r="GE199" i="55"/>
  <c r="GE200" i="55"/>
  <c r="GE201" i="55"/>
  <c r="GE202" i="55"/>
  <c r="GE203" i="55"/>
  <c r="GE204" i="55"/>
  <c r="GE205" i="55"/>
  <c r="GE206" i="55"/>
  <c r="GE207" i="55"/>
  <c r="GE208" i="55"/>
  <c r="GE209" i="55"/>
  <c r="GE210" i="55"/>
  <c r="GE211" i="55"/>
  <c r="GE212" i="55"/>
  <c r="GE213" i="55"/>
  <c r="GE214" i="55"/>
  <c r="GE215" i="55"/>
  <c r="GE216" i="55"/>
  <c r="GE217" i="55"/>
  <c r="GE218" i="55"/>
  <c r="GE219" i="55"/>
  <c r="GE220" i="55"/>
  <c r="GE221" i="55"/>
  <c r="GE222" i="55"/>
  <c r="GE223" i="55"/>
  <c r="GE224" i="55"/>
  <c r="GE225" i="55"/>
  <c r="GE226" i="55"/>
  <c r="GE227" i="55"/>
  <c r="GE228" i="55"/>
  <c r="GE229" i="55"/>
  <c r="GE230" i="55"/>
  <c r="GE231" i="55"/>
  <c r="GE232" i="55"/>
  <c r="GE233" i="55"/>
  <c r="GE234" i="55"/>
  <c r="GE235" i="55"/>
  <c r="GE236" i="55"/>
  <c r="GE237" i="55"/>
  <c r="GE238" i="55"/>
  <c r="GE239" i="55"/>
  <c r="GE240" i="55"/>
  <c r="GE241" i="55"/>
  <c r="GE242" i="55"/>
  <c r="GE243" i="55"/>
  <c r="GE244" i="55"/>
  <c r="GE245" i="55"/>
  <c r="GE246" i="55"/>
  <c r="GE247" i="55"/>
  <c r="GE248" i="55"/>
  <c r="GE249" i="55"/>
  <c r="GE250" i="55"/>
  <c r="GE251" i="55"/>
  <c r="GE252" i="55"/>
  <c r="GE253" i="55"/>
  <c r="GE254" i="55"/>
  <c r="GE255" i="55"/>
  <c r="GE256" i="55"/>
  <c r="GE257" i="55"/>
  <c r="GE258" i="55"/>
  <c r="GE259" i="55"/>
  <c r="GE260" i="55"/>
  <c r="GE261" i="55"/>
  <c r="GE262" i="55"/>
  <c r="GE263" i="55"/>
  <c r="GE264" i="55"/>
  <c r="GE265" i="55"/>
  <c r="GE266" i="55"/>
  <c r="GE267" i="55"/>
  <c r="GE268" i="55"/>
  <c r="GE269" i="55"/>
  <c r="GE270" i="55"/>
  <c r="GE271" i="55"/>
  <c r="GE272" i="55"/>
  <c r="GE273" i="55"/>
  <c r="GE274" i="55"/>
  <c r="GE275" i="55"/>
  <c r="GE276" i="55"/>
  <c r="GE277" i="55"/>
  <c r="GE278" i="55"/>
  <c r="GE279" i="55"/>
  <c r="GE280" i="55"/>
  <c r="GE281" i="55"/>
  <c r="GE282" i="55"/>
  <c r="GE283" i="55"/>
  <c r="GE284" i="55"/>
  <c r="GE285" i="55"/>
  <c r="GE286" i="55"/>
  <c r="GE287" i="55"/>
  <c r="GE288" i="55"/>
  <c r="GE289" i="55"/>
  <c r="GE290" i="55"/>
  <c r="GE291" i="55"/>
  <c r="GE292" i="55"/>
  <c r="GE293" i="55"/>
  <c r="GE294" i="55"/>
  <c r="GE295" i="55"/>
  <c r="GE296" i="55"/>
  <c r="GE297" i="55"/>
  <c r="GE298" i="55"/>
  <c r="GE299" i="55"/>
  <c r="GE300" i="55"/>
  <c r="GE301" i="55"/>
  <c r="GE302" i="55"/>
  <c r="GE303" i="55"/>
  <c r="GE304" i="55"/>
  <c r="GE305" i="55"/>
  <c r="GE306" i="55"/>
  <c r="GE307" i="55"/>
  <c r="GE308" i="55"/>
  <c r="GE309" i="55"/>
  <c r="GE310" i="55"/>
  <c r="GE311" i="55"/>
  <c r="GE312" i="55"/>
  <c r="GE313" i="55"/>
  <c r="GE314" i="55"/>
  <c r="GE315" i="55"/>
  <c r="GE316" i="55"/>
  <c r="GE317" i="55"/>
  <c r="GE318" i="55"/>
  <c r="GE319" i="55"/>
  <c r="GE320" i="55"/>
  <c r="GE321" i="55"/>
  <c r="GE322" i="55"/>
  <c r="GE323" i="55"/>
  <c r="GE324" i="55"/>
  <c r="GE325" i="55"/>
  <c r="GE326" i="55"/>
  <c r="GE327" i="55"/>
  <c r="GE328" i="55"/>
  <c r="GE329" i="55"/>
  <c r="GE330" i="55"/>
  <c r="GE331" i="55"/>
  <c r="GE332" i="55"/>
  <c r="GE333" i="55"/>
  <c r="GE334" i="55"/>
  <c r="GE335" i="55"/>
  <c r="GE336" i="55"/>
  <c r="GE337" i="55"/>
  <c r="GE338" i="55"/>
  <c r="GE339" i="55"/>
  <c r="GE340" i="55"/>
  <c r="GE341" i="55"/>
  <c r="GE342" i="55"/>
  <c r="GE343" i="55"/>
  <c r="GE344" i="55"/>
  <c r="GE345" i="55"/>
  <c r="GE346" i="55"/>
  <c r="GE347" i="55"/>
  <c r="GE348" i="55"/>
  <c r="GE349" i="55"/>
  <c r="GE350" i="55"/>
  <c r="GE351" i="55"/>
  <c r="GE352" i="55"/>
  <c r="FM6" i="55"/>
  <c r="FM22" i="55"/>
  <c r="FM283" i="55"/>
  <c r="FL3" i="55"/>
  <c r="FM3" i="55" s="1"/>
  <c r="FL4" i="55"/>
  <c r="FM4" i="55" s="1"/>
  <c r="FL5" i="55"/>
  <c r="FM5" i="55" s="1"/>
  <c r="FL6" i="55"/>
  <c r="FL7" i="55"/>
  <c r="FM7" i="55" s="1"/>
  <c r="FL8" i="55"/>
  <c r="FM8" i="55" s="1"/>
  <c r="FL9" i="55"/>
  <c r="FM9" i="55" s="1"/>
  <c r="FL10" i="55"/>
  <c r="FM10" i="55" s="1"/>
  <c r="FL11" i="55"/>
  <c r="FM11" i="55" s="1"/>
  <c r="FL12" i="55"/>
  <c r="FM12" i="55" s="1"/>
  <c r="FL13" i="55"/>
  <c r="FM13" i="55" s="1"/>
  <c r="FL14" i="55"/>
  <c r="FM14" i="55" s="1"/>
  <c r="FL15" i="55"/>
  <c r="FM15" i="55" s="1"/>
  <c r="FL16" i="55"/>
  <c r="FM16" i="55" s="1"/>
  <c r="FL17" i="55"/>
  <c r="FM17" i="55" s="1"/>
  <c r="FL18" i="55"/>
  <c r="FM18" i="55" s="1"/>
  <c r="FL19" i="55"/>
  <c r="FM19" i="55" s="1"/>
  <c r="FL20" i="55"/>
  <c r="FM20" i="55" s="1"/>
  <c r="FL21" i="55"/>
  <c r="FM21" i="55" s="1"/>
  <c r="FL22" i="55"/>
  <c r="FL23" i="55"/>
  <c r="FM23" i="55" s="1"/>
  <c r="FL24" i="55"/>
  <c r="FM24" i="55" s="1"/>
  <c r="FL25" i="55"/>
  <c r="FM25" i="55" s="1"/>
  <c r="FL26" i="55"/>
  <c r="FM26" i="55" s="1"/>
  <c r="FL31" i="55"/>
  <c r="FM31" i="55" s="1"/>
  <c r="FL32" i="55"/>
  <c r="FM32" i="55" s="1"/>
  <c r="FL33" i="55"/>
  <c r="FM33" i="55" s="1"/>
  <c r="FL34" i="55"/>
  <c r="FM34" i="55" s="1"/>
  <c r="FL35" i="55"/>
  <c r="FM35" i="55" s="1"/>
  <c r="FL36" i="55"/>
  <c r="FM36" i="55" s="1"/>
  <c r="FL37" i="55"/>
  <c r="FM37" i="55" s="1"/>
  <c r="FL38" i="55"/>
  <c r="FM38" i="55" s="1"/>
  <c r="FL39" i="55"/>
  <c r="FM39" i="55" s="1"/>
  <c r="FL40" i="55"/>
  <c r="FM40" i="55" s="1"/>
  <c r="FL41" i="55"/>
  <c r="FM41" i="55" s="1"/>
  <c r="FL42" i="55"/>
  <c r="FM42" i="55" s="1"/>
  <c r="FL43" i="55"/>
  <c r="FM43" i="55" s="1"/>
  <c r="FL44" i="55"/>
  <c r="FM44" i="55" s="1"/>
  <c r="FL45" i="55"/>
  <c r="FM45" i="55" s="1"/>
  <c r="FL46" i="55"/>
  <c r="FM46" i="55" s="1"/>
  <c r="FL47" i="55"/>
  <c r="FM47" i="55" s="1"/>
  <c r="FL48" i="55"/>
  <c r="FM48" i="55" s="1"/>
  <c r="FL49" i="55"/>
  <c r="FM49" i="55" s="1"/>
  <c r="FL50" i="55"/>
  <c r="FM50" i="55" s="1"/>
  <c r="FL51" i="55"/>
  <c r="FM51" i="55" s="1"/>
  <c r="FL52" i="55"/>
  <c r="FM52" i="55" s="1"/>
  <c r="FL53" i="55"/>
  <c r="FM53" i="55" s="1"/>
  <c r="FL88" i="55"/>
  <c r="FM88" i="55" s="1"/>
  <c r="FL102" i="55"/>
  <c r="FM102" i="55" s="1"/>
  <c r="FL129" i="55"/>
  <c r="FM129" i="55" s="1"/>
  <c r="FL130" i="55"/>
  <c r="FM130" i="55" s="1"/>
  <c r="FL154" i="55"/>
  <c r="FM154" i="55" s="1"/>
  <c r="FL184" i="55"/>
  <c r="FM184" i="55" s="1"/>
  <c r="FL224" i="55"/>
  <c r="FM224" i="55" s="1"/>
  <c r="FL283" i="55"/>
  <c r="FL313" i="55"/>
  <c r="FM313" i="55" s="1"/>
  <c r="FL317" i="55"/>
  <c r="FM317" i="55" s="1"/>
  <c r="FL325" i="55"/>
  <c r="FM325" i="55" s="1"/>
  <c r="FL330" i="55"/>
  <c r="FM330" i="55" s="1"/>
  <c r="FL335" i="55"/>
  <c r="FM335" i="55" s="1"/>
  <c r="FL336" i="55"/>
  <c r="FM336" i="55" s="1"/>
  <c r="FL341" i="55"/>
  <c r="FM341" i="55" s="1"/>
  <c r="FB3" i="55"/>
  <c r="FB4" i="55"/>
  <c r="FB5" i="55"/>
  <c r="FB6" i="55"/>
  <c r="FB7" i="55"/>
  <c r="FB8" i="55"/>
  <c r="FB9" i="55"/>
  <c r="FB10" i="55"/>
  <c r="FB11" i="55"/>
  <c r="FB12" i="55"/>
  <c r="FB13" i="55"/>
  <c r="FB14" i="55"/>
  <c r="FB15" i="55"/>
  <c r="FB16" i="55"/>
  <c r="FB17" i="55"/>
  <c r="FB18" i="55"/>
  <c r="FB19" i="55"/>
  <c r="FB20" i="55"/>
  <c r="FB21" i="55"/>
  <c r="FB22" i="55"/>
  <c r="FB23" i="55"/>
  <c r="FB24" i="55"/>
  <c r="FB25" i="55"/>
  <c r="FB26" i="55"/>
  <c r="FB31" i="55"/>
  <c r="FB32" i="55"/>
  <c r="FB33" i="55"/>
  <c r="FB34" i="55"/>
  <c r="FB35" i="55"/>
  <c r="FB36" i="55"/>
  <c r="FB37" i="55"/>
  <c r="FB38" i="55"/>
  <c r="FB39" i="55"/>
  <c r="FB40" i="55"/>
  <c r="FB41" i="55"/>
  <c r="FB42" i="55"/>
  <c r="FB43" i="55"/>
  <c r="FB44" i="55"/>
  <c r="FB45" i="55"/>
  <c r="FB46" i="55"/>
  <c r="FB47" i="55"/>
  <c r="FB48" i="55"/>
  <c r="FB49" i="55"/>
  <c r="FB50" i="55"/>
  <c r="FB51" i="55"/>
  <c r="FB52" i="55"/>
  <c r="FB53" i="55"/>
  <c r="FB88" i="55"/>
  <c r="FB102" i="55"/>
  <c r="FB129" i="55"/>
  <c r="FB130" i="55"/>
  <c r="FB154" i="55"/>
  <c r="FB184" i="55"/>
  <c r="FB224" i="55"/>
  <c r="FB283" i="55"/>
  <c r="FB313" i="55"/>
  <c r="FB317" i="55"/>
  <c r="FB325" i="55"/>
  <c r="FB330" i="55"/>
  <c r="FB335" i="55"/>
  <c r="FB336" i="55"/>
  <c r="FB341" i="55"/>
  <c r="EY7" i="55"/>
  <c r="EY9" i="55"/>
  <c r="EY10" i="55"/>
  <c r="EY11" i="55"/>
  <c r="EY12" i="55"/>
  <c r="EY13" i="55"/>
  <c r="EY14" i="55"/>
  <c r="EY15" i="55"/>
  <c r="EY16" i="55"/>
  <c r="EY17" i="55"/>
  <c r="EY18" i="55"/>
  <c r="EY19" i="55"/>
  <c r="EY20" i="55"/>
  <c r="EY21" i="55"/>
  <c r="EY24" i="55"/>
  <c r="EY57" i="55"/>
  <c r="EY59" i="55"/>
  <c r="EY60" i="55"/>
  <c r="EY61" i="55"/>
  <c r="EY62" i="55"/>
  <c r="EY63" i="55"/>
  <c r="EY64" i="55"/>
  <c r="EY65" i="55"/>
  <c r="EY66" i="55"/>
  <c r="EY67" i="55"/>
  <c r="EY68" i="55"/>
  <c r="EY69" i="55"/>
  <c r="EY70" i="55"/>
  <c r="EY71" i="55"/>
  <c r="EY74" i="55"/>
  <c r="EY75" i="55"/>
  <c r="EY76" i="55"/>
  <c r="EY77" i="55"/>
  <c r="EY78" i="55"/>
  <c r="EY79" i="55"/>
  <c r="EY80" i="55"/>
  <c r="EY89" i="55"/>
  <c r="EY91" i="55"/>
  <c r="EY92" i="55"/>
  <c r="EY93" i="55"/>
  <c r="EY94" i="55"/>
  <c r="EY95" i="55"/>
  <c r="EY96" i="55"/>
  <c r="EY97" i="55"/>
  <c r="EY98" i="55"/>
  <c r="EY99" i="55"/>
  <c r="EY100" i="55"/>
  <c r="EY101" i="55"/>
  <c r="EY107" i="55"/>
  <c r="EY109" i="55"/>
  <c r="EY110" i="55"/>
  <c r="EY111" i="55"/>
  <c r="EY112" i="55"/>
  <c r="EY113" i="55"/>
  <c r="EY114" i="55"/>
  <c r="EY115" i="55"/>
  <c r="EY116" i="55"/>
  <c r="EY117" i="55"/>
  <c r="EY118" i="55"/>
  <c r="EY119" i="55"/>
  <c r="EY120" i="55"/>
  <c r="EY121" i="55"/>
  <c r="EY124" i="55"/>
  <c r="EY125" i="55"/>
  <c r="EY126" i="55"/>
  <c r="EY127" i="55"/>
  <c r="EY128" i="55"/>
  <c r="EY135" i="55"/>
  <c r="EY137" i="55"/>
  <c r="EY138" i="55"/>
  <c r="EY139" i="55"/>
  <c r="EY140" i="55"/>
  <c r="EY141" i="55"/>
  <c r="EY142" i="55"/>
  <c r="EY143" i="55"/>
  <c r="EY144" i="55"/>
  <c r="EY145" i="55"/>
  <c r="EY146" i="55"/>
  <c r="EY147" i="55"/>
  <c r="EY148" i="55"/>
  <c r="EY149" i="55"/>
  <c r="EY152" i="55"/>
  <c r="EY153" i="55"/>
  <c r="EY164" i="55"/>
  <c r="EY166" i="55"/>
  <c r="EY167" i="55"/>
  <c r="EY168" i="55"/>
  <c r="EY169" i="55"/>
  <c r="EY170" i="55"/>
  <c r="EY171" i="55"/>
  <c r="EY172" i="55"/>
  <c r="EY173" i="55"/>
  <c r="EY174" i="55"/>
  <c r="EY175" i="55"/>
  <c r="EY176" i="55"/>
  <c r="EY177" i="55"/>
  <c r="EY178" i="55"/>
  <c r="EY181" i="55"/>
  <c r="EY182" i="55"/>
  <c r="EY183" i="55"/>
  <c r="EY193" i="55"/>
  <c r="EY195" i="55"/>
  <c r="EY196" i="55"/>
  <c r="EY197" i="55"/>
  <c r="EY198" i="55"/>
  <c r="EY199" i="55"/>
  <c r="EY200" i="55"/>
  <c r="EY201" i="55"/>
  <c r="EY202" i="55"/>
  <c r="EY203" i="55"/>
  <c r="EY204" i="55"/>
  <c r="EY205" i="55"/>
  <c r="EY206" i="55"/>
  <c r="EY207" i="55"/>
  <c r="EY210" i="55"/>
  <c r="EY211" i="55"/>
  <c r="EY212" i="55"/>
  <c r="EY213" i="55"/>
  <c r="EY214" i="55"/>
  <c r="EY215" i="55"/>
  <c r="EY216" i="55"/>
  <c r="EY217" i="55"/>
  <c r="EY218" i="55"/>
  <c r="EY219" i="55"/>
  <c r="EY233" i="55"/>
  <c r="EY235" i="55"/>
  <c r="EY236" i="55"/>
  <c r="EY237" i="55"/>
  <c r="EY238" i="55"/>
  <c r="EY239" i="55"/>
  <c r="EY240" i="55"/>
  <c r="EY241" i="55"/>
  <c r="EY242" i="55"/>
  <c r="EY243" i="55"/>
  <c r="EY244" i="55"/>
  <c r="EY245" i="55"/>
  <c r="EY246" i="55"/>
  <c r="EY247" i="55"/>
  <c r="EY250" i="55"/>
  <c r="EY251" i="55"/>
  <c r="EY252" i="55"/>
  <c r="EY253" i="55"/>
  <c r="EY254" i="55"/>
  <c r="EY255" i="55"/>
  <c r="EY256" i="55"/>
  <c r="EY257" i="55"/>
  <c r="EY258" i="55"/>
  <c r="EY259" i="55"/>
  <c r="EY292" i="55"/>
  <c r="EY294" i="55"/>
  <c r="EY295" i="55"/>
  <c r="EY296" i="55"/>
  <c r="EY297" i="55"/>
  <c r="EY298" i="55"/>
  <c r="EY299" i="55"/>
  <c r="EY300" i="55"/>
  <c r="EY301" i="55"/>
  <c r="EY302" i="55"/>
  <c r="EY303" i="55"/>
  <c r="EY304" i="55"/>
  <c r="EY305" i="55"/>
  <c r="EY306" i="55"/>
  <c r="EY309" i="55"/>
  <c r="EY310" i="55"/>
  <c r="EY311" i="55"/>
  <c r="EY312" i="55"/>
  <c r="EY344" i="55"/>
  <c r="EY346" i="55"/>
  <c r="EY347" i="55"/>
  <c r="EY348" i="55"/>
  <c r="EY349" i="55"/>
  <c r="EY350" i="55"/>
  <c r="EY351" i="55"/>
  <c r="EY352" i="55"/>
  <c r="ES3" i="55"/>
  <c r="ES4" i="55"/>
  <c r="ES5" i="55"/>
  <c r="ES17" i="55"/>
  <c r="ES18" i="55"/>
  <c r="ES19" i="55"/>
  <c r="ES20" i="55"/>
  <c r="ES35" i="55"/>
  <c r="ES36" i="55"/>
  <c r="ES37" i="55"/>
  <c r="ES38" i="55"/>
  <c r="ES49" i="55"/>
  <c r="ES50" i="55"/>
  <c r="ES51" i="55"/>
  <c r="ES52" i="55"/>
  <c r="ES53" i="55"/>
  <c r="ES54" i="55"/>
  <c r="ES66" i="55"/>
  <c r="ES67" i="55"/>
  <c r="ES82" i="55"/>
  <c r="ES83" i="55"/>
  <c r="ES84" i="55"/>
  <c r="ES86" i="55"/>
  <c r="ES98" i="55"/>
  <c r="ES100" i="55"/>
  <c r="ES114" i="55"/>
  <c r="ES117" i="55"/>
  <c r="ES146" i="55"/>
  <c r="ES162" i="55"/>
  <c r="ES163" i="55"/>
  <c r="ES178" i="55"/>
  <c r="ES194" i="55"/>
  <c r="ES195" i="55"/>
  <c r="ES207" i="55"/>
  <c r="ES211" i="55"/>
  <c r="ES226" i="55"/>
  <c r="ES227" i="55"/>
  <c r="ES228" i="55"/>
  <c r="ES229" i="55"/>
  <c r="ES242" i="55"/>
  <c r="ES243" i="55"/>
  <c r="ES255" i="55"/>
  <c r="ES257" i="55"/>
  <c r="ES259" i="55"/>
  <c r="ES274" i="55"/>
  <c r="ES275" i="55"/>
  <c r="ES276" i="55"/>
  <c r="ES278" i="55"/>
  <c r="ES287" i="55"/>
  <c r="ES291" i="55"/>
  <c r="ES292" i="55"/>
  <c r="ES293" i="55"/>
  <c r="ES306" i="55"/>
  <c r="ES307" i="55"/>
  <c r="ES322" i="55"/>
  <c r="ES323" i="55"/>
  <c r="ES324" i="55"/>
  <c r="ES339" i="55"/>
  <c r="ES340" i="55"/>
  <c r="ES342" i="55"/>
  <c r="ER3" i="55"/>
  <c r="ER4" i="55"/>
  <c r="ER5" i="55"/>
  <c r="ER6" i="55"/>
  <c r="ES6" i="55" s="1"/>
  <c r="ER7" i="55"/>
  <c r="ES7" i="55" s="1"/>
  <c r="ER8" i="55"/>
  <c r="ES8" i="55" s="1"/>
  <c r="ER9" i="55"/>
  <c r="ES9" i="55" s="1"/>
  <c r="ER10" i="55"/>
  <c r="ES10" i="55" s="1"/>
  <c r="ER11" i="55"/>
  <c r="ES11" i="55" s="1"/>
  <c r="ER12" i="55"/>
  <c r="ES12" i="55" s="1"/>
  <c r="ER13" i="55"/>
  <c r="ES13" i="55" s="1"/>
  <c r="ER14" i="55"/>
  <c r="ES14" i="55" s="1"/>
  <c r="ER15" i="55"/>
  <c r="ES15" i="55" s="1"/>
  <c r="ER16" i="55"/>
  <c r="ES16" i="55" s="1"/>
  <c r="ER17" i="55"/>
  <c r="ER18" i="55"/>
  <c r="ER19" i="55"/>
  <c r="ER20" i="55"/>
  <c r="ER21" i="55"/>
  <c r="ES21" i="55" s="1"/>
  <c r="ER22" i="55"/>
  <c r="ES22" i="55" s="1"/>
  <c r="ER23" i="55"/>
  <c r="ES23" i="55" s="1"/>
  <c r="ER24" i="55"/>
  <c r="ES24" i="55" s="1"/>
  <c r="ER25" i="55"/>
  <c r="ES25" i="55" s="1"/>
  <c r="ER26" i="55"/>
  <c r="ES26" i="55" s="1"/>
  <c r="ER27" i="55"/>
  <c r="ES27" i="55" s="1"/>
  <c r="ER28" i="55"/>
  <c r="ES28" i="55" s="1"/>
  <c r="ER29" i="55"/>
  <c r="ES29" i="55" s="1"/>
  <c r="ER30" i="55"/>
  <c r="ES30" i="55" s="1"/>
  <c r="ER31" i="55"/>
  <c r="ES31" i="55" s="1"/>
  <c r="ER32" i="55"/>
  <c r="ES32" i="55" s="1"/>
  <c r="ER33" i="55"/>
  <c r="ES33" i="55" s="1"/>
  <c r="ER34" i="55"/>
  <c r="ES34" i="55" s="1"/>
  <c r="ER35" i="55"/>
  <c r="ER36" i="55"/>
  <c r="ER37" i="55"/>
  <c r="ER38" i="55"/>
  <c r="ER39" i="55"/>
  <c r="ES39" i="55" s="1"/>
  <c r="ER40" i="55"/>
  <c r="ES40" i="55" s="1"/>
  <c r="ER41" i="55"/>
  <c r="ES41" i="55" s="1"/>
  <c r="ER42" i="55"/>
  <c r="ES42" i="55" s="1"/>
  <c r="ER43" i="55"/>
  <c r="ES43" i="55" s="1"/>
  <c r="ER44" i="55"/>
  <c r="ES44" i="55" s="1"/>
  <c r="ER45" i="55"/>
  <c r="ES45" i="55" s="1"/>
  <c r="ER46" i="55"/>
  <c r="ES46" i="55" s="1"/>
  <c r="ER47" i="55"/>
  <c r="ES47" i="55" s="1"/>
  <c r="ER48" i="55"/>
  <c r="ES48" i="55" s="1"/>
  <c r="ER49" i="55"/>
  <c r="ER50" i="55"/>
  <c r="ER51" i="55"/>
  <c r="ER52" i="55"/>
  <c r="ER53" i="55"/>
  <c r="ER54" i="55"/>
  <c r="ER55" i="55"/>
  <c r="ES55" i="55" s="1"/>
  <c r="ER56" i="55"/>
  <c r="ES56" i="55" s="1"/>
  <c r="ER57" i="55"/>
  <c r="ES57" i="55" s="1"/>
  <c r="ER58" i="55"/>
  <c r="ES58" i="55" s="1"/>
  <c r="ER59" i="55"/>
  <c r="ES59" i="55" s="1"/>
  <c r="ER60" i="55"/>
  <c r="ES60" i="55" s="1"/>
  <c r="ER61" i="55"/>
  <c r="ES61" i="55" s="1"/>
  <c r="ER62" i="55"/>
  <c r="ES62" i="55" s="1"/>
  <c r="ER63" i="55"/>
  <c r="ES63" i="55" s="1"/>
  <c r="ER64" i="55"/>
  <c r="ES64" i="55" s="1"/>
  <c r="ER65" i="55"/>
  <c r="ES65" i="55" s="1"/>
  <c r="ER66" i="55"/>
  <c r="ER67" i="55"/>
  <c r="ER68" i="55"/>
  <c r="ES68" i="55" s="1"/>
  <c r="ER69" i="55"/>
  <c r="ES69" i="55" s="1"/>
  <c r="ER70" i="55"/>
  <c r="ES70" i="55" s="1"/>
  <c r="ER71" i="55"/>
  <c r="ES71" i="55" s="1"/>
  <c r="ER72" i="55"/>
  <c r="ES72" i="55" s="1"/>
  <c r="ER73" i="55"/>
  <c r="ES73" i="55" s="1"/>
  <c r="ER74" i="55"/>
  <c r="ES74" i="55" s="1"/>
  <c r="ER75" i="55"/>
  <c r="ES75" i="55" s="1"/>
  <c r="ER76" i="55"/>
  <c r="ES76" i="55" s="1"/>
  <c r="ER77" i="55"/>
  <c r="ES77" i="55" s="1"/>
  <c r="ER78" i="55"/>
  <c r="ES78" i="55" s="1"/>
  <c r="ER79" i="55"/>
  <c r="ES79" i="55" s="1"/>
  <c r="ER80" i="55"/>
  <c r="ES80" i="55" s="1"/>
  <c r="ER81" i="55"/>
  <c r="ES81" i="55" s="1"/>
  <c r="ER82" i="55"/>
  <c r="ER83" i="55"/>
  <c r="ER84" i="55"/>
  <c r="ER85" i="55"/>
  <c r="ES85" i="55" s="1"/>
  <c r="ER86" i="55"/>
  <c r="ER87" i="55"/>
  <c r="ES87" i="55" s="1"/>
  <c r="ER88" i="55"/>
  <c r="ES88" i="55" s="1"/>
  <c r="ER89" i="55"/>
  <c r="ES89" i="55" s="1"/>
  <c r="ER90" i="55"/>
  <c r="ES90" i="55" s="1"/>
  <c r="ER91" i="55"/>
  <c r="ES91" i="55" s="1"/>
  <c r="ER92" i="55"/>
  <c r="ES92" i="55" s="1"/>
  <c r="ER93" i="55"/>
  <c r="ES93" i="55" s="1"/>
  <c r="ER94" i="55"/>
  <c r="ES94" i="55" s="1"/>
  <c r="ER95" i="55"/>
  <c r="ES95" i="55" s="1"/>
  <c r="ER96" i="55"/>
  <c r="ES96" i="55" s="1"/>
  <c r="ER97" i="55"/>
  <c r="ES97" i="55" s="1"/>
  <c r="ER98" i="55"/>
  <c r="ER99" i="55"/>
  <c r="ES99" i="55" s="1"/>
  <c r="ER100" i="55"/>
  <c r="ER101" i="55"/>
  <c r="ES101" i="55" s="1"/>
  <c r="ER102" i="55"/>
  <c r="ES102" i="55" s="1"/>
  <c r="ER103" i="55"/>
  <c r="ES103" i="55" s="1"/>
  <c r="ER104" i="55"/>
  <c r="ES104" i="55" s="1"/>
  <c r="ER105" i="55"/>
  <c r="ES105" i="55" s="1"/>
  <c r="ER106" i="55"/>
  <c r="ES106" i="55" s="1"/>
  <c r="ER107" i="55"/>
  <c r="ES107" i="55" s="1"/>
  <c r="ER108" i="55"/>
  <c r="ES108" i="55" s="1"/>
  <c r="ER109" i="55"/>
  <c r="ES109" i="55" s="1"/>
  <c r="ER110" i="55"/>
  <c r="ES110" i="55" s="1"/>
  <c r="ER111" i="55"/>
  <c r="ES111" i="55" s="1"/>
  <c r="ER112" i="55"/>
  <c r="ES112" i="55" s="1"/>
  <c r="ER113" i="55"/>
  <c r="ES113" i="55" s="1"/>
  <c r="ER114" i="55"/>
  <c r="ER115" i="55"/>
  <c r="ES115" i="55" s="1"/>
  <c r="ER116" i="55"/>
  <c r="ES116" i="55" s="1"/>
  <c r="ER117" i="55"/>
  <c r="ER118" i="55"/>
  <c r="ES118" i="55" s="1"/>
  <c r="ER119" i="55"/>
  <c r="ES119" i="55" s="1"/>
  <c r="ER120" i="55"/>
  <c r="ES120" i="55" s="1"/>
  <c r="ER121" i="55"/>
  <c r="ES121" i="55" s="1"/>
  <c r="ER122" i="55"/>
  <c r="ES122" i="55" s="1"/>
  <c r="ER123" i="55"/>
  <c r="ES123" i="55" s="1"/>
  <c r="ER124" i="55"/>
  <c r="ES124" i="55" s="1"/>
  <c r="ER125" i="55"/>
  <c r="ES125" i="55" s="1"/>
  <c r="ER126" i="55"/>
  <c r="ES126" i="55" s="1"/>
  <c r="ER127" i="55"/>
  <c r="ES127" i="55" s="1"/>
  <c r="ER128" i="55"/>
  <c r="ES128" i="55" s="1"/>
  <c r="ER129" i="55"/>
  <c r="ES129" i="55" s="1"/>
  <c r="ER130" i="55"/>
  <c r="ES130" i="55" s="1"/>
  <c r="ER131" i="55"/>
  <c r="ES131" i="55" s="1"/>
  <c r="ER132" i="55"/>
  <c r="ES132" i="55" s="1"/>
  <c r="ER133" i="55"/>
  <c r="ES133" i="55" s="1"/>
  <c r="ER134" i="55"/>
  <c r="ES134" i="55" s="1"/>
  <c r="ER135" i="55"/>
  <c r="ES135" i="55" s="1"/>
  <c r="ER136" i="55"/>
  <c r="ES136" i="55" s="1"/>
  <c r="ER137" i="55"/>
  <c r="ES137" i="55" s="1"/>
  <c r="ER138" i="55"/>
  <c r="ES138" i="55" s="1"/>
  <c r="ER139" i="55"/>
  <c r="ES139" i="55" s="1"/>
  <c r="ER140" i="55"/>
  <c r="ES140" i="55" s="1"/>
  <c r="ER141" i="55"/>
  <c r="ES141" i="55" s="1"/>
  <c r="ER142" i="55"/>
  <c r="ES142" i="55" s="1"/>
  <c r="ER143" i="55"/>
  <c r="ES143" i="55" s="1"/>
  <c r="ER144" i="55"/>
  <c r="ES144" i="55" s="1"/>
  <c r="ER145" i="55"/>
  <c r="ES145" i="55" s="1"/>
  <c r="ER146" i="55"/>
  <c r="ER147" i="55"/>
  <c r="ES147" i="55" s="1"/>
  <c r="ER148" i="55"/>
  <c r="ES148" i="55" s="1"/>
  <c r="ER149" i="55"/>
  <c r="ES149" i="55" s="1"/>
  <c r="ER150" i="55"/>
  <c r="ES150" i="55" s="1"/>
  <c r="ER151" i="55"/>
  <c r="ES151" i="55" s="1"/>
  <c r="ER152" i="55"/>
  <c r="ES152" i="55" s="1"/>
  <c r="ER153" i="55"/>
  <c r="ES153" i="55" s="1"/>
  <c r="ER154" i="55"/>
  <c r="ES154" i="55" s="1"/>
  <c r="ER155" i="55"/>
  <c r="ES155" i="55" s="1"/>
  <c r="ER156" i="55"/>
  <c r="ES156" i="55" s="1"/>
  <c r="ER157" i="55"/>
  <c r="ES157" i="55" s="1"/>
  <c r="ER158" i="55"/>
  <c r="ES158" i="55" s="1"/>
  <c r="ER159" i="55"/>
  <c r="ES159" i="55" s="1"/>
  <c r="ER160" i="55"/>
  <c r="ES160" i="55" s="1"/>
  <c r="ER161" i="55"/>
  <c r="ES161" i="55" s="1"/>
  <c r="ER162" i="55"/>
  <c r="ER163" i="55"/>
  <c r="ER164" i="55"/>
  <c r="ES164" i="55" s="1"/>
  <c r="ER165" i="55"/>
  <c r="ES165" i="55" s="1"/>
  <c r="ER166" i="55"/>
  <c r="ES166" i="55" s="1"/>
  <c r="ER167" i="55"/>
  <c r="ES167" i="55" s="1"/>
  <c r="ER168" i="55"/>
  <c r="ES168" i="55" s="1"/>
  <c r="ER169" i="55"/>
  <c r="ES169" i="55" s="1"/>
  <c r="ER170" i="55"/>
  <c r="ES170" i="55" s="1"/>
  <c r="ER171" i="55"/>
  <c r="ES171" i="55" s="1"/>
  <c r="ER172" i="55"/>
  <c r="ES172" i="55" s="1"/>
  <c r="ER173" i="55"/>
  <c r="ES173" i="55" s="1"/>
  <c r="ER174" i="55"/>
  <c r="ES174" i="55" s="1"/>
  <c r="ER175" i="55"/>
  <c r="ES175" i="55" s="1"/>
  <c r="ER176" i="55"/>
  <c r="ES176" i="55" s="1"/>
  <c r="ER177" i="55"/>
  <c r="ES177" i="55" s="1"/>
  <c r="ER178" i="55"/>
  <c r="ER179" i="55"/>
  <c r="ES179" i="55" s="1"/>
  <c r="ER180" i="55"/>
  <c r="ES180" i="55" s="1"/>
  <c r="ER181" i="55"/>
  <c r="ES181" i="55" s="1"/>
  <c r="ER182" i="55"/>
  <c r="ES182" i="55" s="1"/>
  <c r="ER183" i="55"/>
  <c r="ES183" i="55" s="1"/>
  <c r="ER184" i="55"/>
  <c r="ES184" i="55" s="1"/>
  <c r="ER185" i="55"/>
  <c r="ES185" i="55" s="1"/>
  <c r="ER186" i="55"/>
  <c r="ES186" i="55" s="1"/>
  <c r="ER187" i="55"/>
  <c r="ES187" i="55" s="1"/>
  <c r="ER188" i="55"/>
  <c r="ES188" i="55" s="1"/>
  <c r="ER189" i="55"/>
  <c r="ES189" i="55" s="1"/>
  <c r="ER190" i="55"/>
  <c r="ES190" i="55" s="1"/>
  <c r="ER191" i="55"/>
  <c r="ES191" i="55" s="1"/>
  <c r="ER192" i="55"/>
  <c r="ES192" i="55" s="1"/>
  <c r="ER193" i="55"/>
  <c r="ES193" i="55" s="1"/>
  <c r="ER194" i="55"/>
  <c r="ER195" i="55"/>
  <c r="ER196" i="55"/>
  <c r="ES196" i="55" s="1"/>
  <c r="ER197" i="55"/>
  <c r="ES197" i="55" s="1"/>
  <c r="ER198" i="55"/>
  <c r="ES198" i="55" s="1"/>
  <c r="ER199" i="55"/>
  <c r="ES199" i="55" s="1"/>
  <c r="ER200" i="55"/>
  <c r="ES200" i="55" s="1"/>
  <c r="ER201" i="55"/>
  <c r="ES201" i="55" s="1"/>
  <c r="ER202" i="55"/>
  <c r="ES202" i="55" s="1"/>
  <c r="ER203" i="55"/>
  <c r="ES203" i="55" s="1"/>
  <c r="ER204" i="55"/>
  <c r="ES204" i="55" s="1"/>
  <c r="ER205" i="55"/>
  <c r="ES205" i="55" s="1"/>
  <c r="ER206" i="55"/>
  <c r="ES206" i="55" s="1"/>
  <c r="ER207" i="55"/>
  <c r="ER208" i="55"/>
  <c r="ES208" i="55" s="1"/>
  <c r="ER209" i="55"/>
  <c r="ES209" i="55" s="1"/>
  <c r="ER210" i="55"/>
  <c r="ES210" i="55" s="1"/>
  <c r="ER211" i="55"/>
  <c r="ER212" i="55"/>
  <c r="ES212" i="55" s="1"/>
  <c r="ER213" i="55"/>
  <c r="ES213" i="55" s="1"/>
  <c r="ER214" i="55"/>
  <c r="ES214" i="55" s="1"/>
  <c r="ER215" i="55"/>
  <c r="ES215" i="55" s="1"/>
  <c r="ER216" i="55"/>
  <c r="ES216" i="55" s="1"/>
  <c r="ER217" i="55"/>
  <c r="ES217" i="55" s="1"/>
  <c r="ER218" i="55"/>
  <c r="ES218" i="55" s="1"/>
  <c r="ER219" i="55"/>
  <c r="ES219" i="55" s="1"/>
  <c r="ER220" i="55"/>
  <c r="ES220" i="55" s="1"/>
  <c r="ER221" i="55"/>
  <c r="ES221" i="55" s="1"/>
  <c r="ER222" i="55"/>
  <c r="ES222" i="55" s="1"/>
  <c r="ER223" i="55"/>
  <c r="ES223" i="55" s="1"/>
  <c r="ER224" i="55"/>
  <c r="ES224" i="55" s="1"/>
  <c r="ER225" i="55"/>
  <c r="ES225" i="55" s="1"/>
  <c r="ER226" i="55"/>
  <c r="ER227" i="55"/>
  <c r="ER228" i="55"/>
  <c r="ER229" i="55"/>
  <c r="ER230" i="55"/>
  <c r="ES230" i="55" s="1"/>
  <c r="ER231" i="55"/>
  <c r="ES231" i="55" s="1"/>
  <c r="ER232" i="55"/>
  <c r="ES232" i="55" s="1"/>
  <c r="ER233" i="55"/>
  <c r="ES233" i="55" s="1"/>
  <c r="ER234" i="55"/>
  <c r="ES234" i="55" s="1"/>
  <c r="ER235" i="55"/>
  <c r="ES235" i="55" s="1"/>
  <c r="ER236" i="55"/>
  <c r="ES236" i="55" s="1"/>
  <c r="ER237" i="55"/>
  <c r="ES237" i="55" s="1"/>
  <c r="ER238" i="55"/>
  <c r="ES238" i="55" s="1"/>
  <c r="ER239" i="55"/>
  <c r="ES239" i="55" s="1"/>
  <c r="ER240" i="55"/>
  <c r="ES240" i="55" s="1"/>
  <c r="ER241" i="55"/>
  <c r="ES241" i="55" s="1"/>
  <c r="ER242" i="55"/>
  <c r="ER243" i="55"/>
  <c r="ER244" i="55"/>
  <c r="ES244" i="55" s="1"/>
  <c r="ER245" i="55"/>
  <c r="ES245" i="55" s="1"/>
  <c r="ER246" i="55"/>
  <c r="ES246" i="55" s="1"/>
  <c r="ER247" i="55"/>
  <c r="ES247" i="55" s="1"/>
  <c r="ER248" i="55"/>
  <c r="ES248" i="55" s="1"/>
  <c r="ER249" i="55"/>
  <c r="ES249" i="55" s="1"/>
  <c r="ER250" i="55"/>
  <c r="ES250" i="55" s="1"/>
  <c r="ER251" i="55"/>
  <c r="ES251" i="55" s="1"/>
  <c r="ER252" i="55"/>
  <c r="ES252" i="55" s="1"/>
  <c r="ER253" i="55"/>
  <c r="ES253" i="55" s="1"/>
  <c r="ER254" i="55"/>
  <c r="ES254" i="55" s="1"/>
  <c r="ER255" i="55"/>
  <c r="ER256" i="55"/>
  <c r="ES256" i="55" s="1"/>
  <c r="ER257" i="55"/>
  <c r="ER258" i="55"/>
  <c r="ES258" i="55" s="1"/>
  <c r="ER259" i="55"/>
  <c r="ER260" i="55"/>
  <c r="ES260" i="55" s="1"/>
  <c r="ER261" i="55"/>
  <c r="ES261" i="55" s="1"/>
  <c r="ER262" i="55"/>
  <c r="ES262" i="55" s="1"/>
  <c r="ER263" i="55"/>
  <c r="ES263" i="55" s="1"/>
  <c r="ER264" i="55"/>
  <c r="ES264" i="55" s="1"/>
  <c r="ER265" i="55"/>
  <c r="ES265" i="55" s="1"/>
  <c r="ER266" i="55"/>
  <c r="ES266" i="55" s="1"/>
  <c r="ER267" i="55"/>
  <c r="ES267" i="55" s="1"/>
  <c r="ER268" i="55"/>
  <c r="ES268" i="55" s="1"/>
  <c r="ER269" i="55"/>
  <c r="ES269" i="55" s="1"/>
  <c r="ER270" i="55"/>
  <c r="ES270" i="55" s="1"/>
  <c r="ER271" i="55"/>
  <c r="ES271" i="55" s="1"/>
  <c r="ER272" i="55"/>
  <c r="ES272" i="55" s="1"/>
  <c r="ER273" i="55"/>
  <c r="ES273" i="55" s="1"/>
  <c r="ER274" i="55"/>
  <c r="ER275" i="55"/>
  <c r="ER276" i="55"/>
  <c r="ER277" i="55"/>
  <c r="ES277" i="55" s="1"/>
  <c r="ER278" i="55"/>
  <c r="ER279" i="55"/>
  <c r="ES279" i="55" s="1"/>
  <c r="ER280" i="55"/>
  <c r="ES280" i="55" s="1"/>
  <c r="ER281" i="55"/>
  <c r="ES281" i="55" s="1"/>
  <c r="ER282" i="55"/>
  <c r="ES282" i="55" s="1"/>
  <c r="ER283" i="55"/>
  <c r="ES283" i="55" s="1"/>
  <c r="ER284" i="55"/>
  <c r="ES284" i="55" s="1"/>
  <c r="ER285" i="55"/>
  <c r="ES285" i="55" s="1"/>
  <c r="ER286" i="55"/>
  <c r="ES286" i="55" s="1"/>
  <c r="ER287" i="55"/>
  <c r="ER288" i="55"/>
  <c r="ES288" i="55" s="1"/>
  <c r="ER289" i="55"/>
  <c r="ES289" i="55" s="1"/>
  <c r="ER290" i="55"/>
  <c r="ES290" i="55" s="1"/>
  <c r="ER291" i="55"/>
  <c r="ER292" i="55"/>
  <c r="ER293" i="55"/>
  <c r="ER294" i="55"/>
  <c r="ES294" i="55" s="1"/>
  <c r="ER295" i="55"/>
  <c r="ES295" i="55" s="1"/>
  <c r="ER296" i="55"/>
  <c r="ES296" i="55" s="1"/>
  <c r="ER297" i="55"/>
  <c r="ES297" i="55" s="1"/>
  <c r="ER298" i="55"/>
  <c r="ES298" i="55" s="1"/>
  <c r="ER299" i="55"/>
  <c r="ES299" i="55" s="1"/>
  <c r="ER300" i="55"/>
  <c r="ES300" i="55" s="1"/>
  <c r="ER301" i="55"/>
  <c r="ES301" i="55" s="1"/>
  <c r="ER302" i="55"/>
  <c r="ES302" i="55" s="1"/>
  <c r="ER303" i="55"/>
  <c r="ES303" i="55" s="1"/>
  <c r="ER304" i="55"/>
  <c r="ES304" i="55" s="1"/>
  <c r="ER305" i="55"/>
  <c r="ES305" i="55" s="1"/>
  <c r="ER306" i="55"/>
  <c r="ER307" i="55"/>
  <c r="ER308" i="55"/>
  <c r="ES308" i="55" s="1"/>
  <c r="ER309" i="55"/>
  <c r="ES309" i="55" s="1"/>
  <c r="ER310" i="55"/>
  <c r="ES310" i="55" s="1"/>
  <c r="ER311" i="55"/>
  <c r="ES311" i="55" s="1"/>
  <c r="ER312" i="55"/>
  <c r="ES312" i="55" s="1"/>
  <c r="ER313" i="55"/>
  <c r="ES313" i="55" s="1"/>
  <c r="ER314" i="55"/>
  <c r="ES314" i="55" s="1"/>
  <c r="ER315" i="55"/>
  <c r="ES315" i="55" s="1"/>
  <c r="ER316" i="55"/>
  <c r="ES316" i="55" s="1"/>
  <c r="ER317" i="55"/>
  <c r="ES317" i="55" s="1"/>
  <c r="ER318" i="55"/>
  <c r="ES318" i="55" s="1"/>
  <c r="ER319" i="55"/>
  <c r="ES319" i="55" s="1"/>
  <c r="ER320" i="55"/>
  <c r="ES320" i="55" s="1"/>
  <c r="ER321" i="55"/>
  <c r="ES321" i="55" s="1"/>
  <c r="ER322" i="55"/>
  <c r="ER323" i="55"/>
  <c r="ER324" i="55"/>
  <c r="ER325" i="55"/>
  <c r="ES325" i="55" s="1"/>
  <c r="ER326" i="55"/>
  <c r="ES326" i="55" s="1"/>
  <c r="ER327" i="55"/>
  <c r="ES327" i="55" s="1"/>
  <c r="ER328" i="55"/>
  <c r="ES328" i="55" s="1"/>
  <c r="ER329" i="55"/>
  <c r="ES329" i="55" s="1"/>
  <c r="ER330" i="55"/>
  <c r="ES330" i="55" s="1"/>
  <c r="ER331" i="55"/>
  <c r="ES331" i="55" s="1"/>
  <c r="ER332" i="55"/>
  <c r="ES332" i="55" s="1"/>
  <c r="ER333" i="55"/>
  <c r="ES333" i="55" s="1"/>
  <c r="ER334" i="55"/>
  <c r="ES334" i="55" s="1"/>
  <c r="ER335" i="55"/>
  <c r="ES335" i="55" s="1"/>
  <c r="ER336" i="55"/>
  <c r="ES336" i="55" s="1"/>
  <c r="ER337" i="55"/>
  <c r="ES337" i="55" s="1"/>
  <c r="ER338" i="55"/>
  <c r="ES338" i="55" s="1"/>
  <c r="ER339" i="55"/>
  <c r="ER340" i="55"/>
  <c r="ER341" i="55"/>
  <c r="ES341" i="55" s="1"/>
  <c r="ER342" i="55"/>
  <c r="ER343" i="55"/>
  <c r="ES343" i="55" s="1"/>
  <c r="ER344" i="55"/>
  <c r="ES344" i="55" s="1"/>
  <c r="ER345" i="55"/>
  <c r="ES345" i="55" s="1"/>
  <c r="ER346" i="55"/>
  <c r="ES346" i="55" s="1"/>
  <c r="ER347" i="55"/>
  <c r="ES347" i="55" s="1"/>
  <c r="ER348" i="55"/>
  <c r="ES348" i="55" s="1"/>
  <c r="ER349" i="55"/>
  <c r="ES349" i="55" s="1"/>
  <c r="ER350" i="55"/>
  <c r="ES350" i="55" s="1"/>
  <c r="ER351" i="55"/>
  <c r="ES351" i="55" s="1"/>
  <c r="ER352" i="55"/>
  <c r="ES352" i="55" s="1"/>
  <c r="EQ18" i="55"/>
  <c r="EQ31" i="55"/>
  <c r="EQ32" i="55"/>
  <c r="EQ102" i="55"/>
  <c r="EQ129" i="55"/>
  <c r="EQ154" i="55"/>
  <c r="EQ283" i="55"/>
  <c r="EP3" i="55"/>
  <c r="GN3" i="55" s="1"/>
  <c r="EP4" i="55"/>
  <c r="EP5" i="55"/>
  <c r="EP6" i="55"/>
  <c r="GN6" i="55" s="1"/>
  <c r="EP7" i="55"/>
  <c r="EP8" i="55"/>
  <c r="EP9" i="55"/>
  <c r="EP10" i="55"/>
  <c r="EP11" i="55"/>
  <c r="EP12" i="55"/>
  <c r="GN12" i="55" s="1"/>
  <c r="EP13" i="55"/>
  <c r="EP14" i="55"/>
  <c r="GN14" i="55" s="1"/>
  <c r="EP15" i="55"/>
  <c r="EP16" i="55"/>
  <c r="EQ16" i="55" s="1"/>
  <c r="EP17" i="55"/>
  <c r="GN17" i="55" s="1"/>
  <c r="EP18" i="55"/>
  <c r="GN18" i="55" s="1"/>
  <c r="EP19" i="55"/>
  <c r="EP20" i="55"/>
  <c r="EP21" i="55"/>
  <c r="GN21" i="55" s="1"/>
  <c r="EP22" i="55"/>
  <c r="GN22" i="55" s="1"/>
  <c r="EP23" i="55"/>
  <c r="EP24" i="55"/>
  <c r="EP25" i="55"/>
  <c r="EP26" i="55"/>
  <c r="EP31" i="55"/>
  <c r="GN31" i="55" s="1"/>
  <c r="EP32" i="55"/>
  <c r="GN32" i="55" s="1"/>
  <c r="EP33" i="55"/>
  <c r="GN33" i="55" s="1"/>
  <c r="EP34" i="55"/>
  <c r="GN34" i="55" s="1"/>
  <c r="EP35" i="55"/>
  <c r="EP36" i="55"/>
  <c r="EP37" i="55"/>
  <c r="EP38" i="55"/>
  <c r="GN38" i="55" s="1"/>
  <c r="EP39" i="55"/>
  <c r="EP40" i="55"/>
  <c r="EP41" i="55"/>
  <c r="EP42" i="55"/>
  <c r="GN42" i="55" s="1"/>
  <c r="EP43" i="55"/>
  <c r="EP44" i="55"/>
  <c r="EP45" i="55"/>
  <c r="GN45" i="55" s="1"/>
  <c r="EP46" i="55"/>
  <c r="GN46" i="55" s="1"/>
  <c r="EP47" i="55"/>
  <c r="GN47" i="55" s="1"/>
  <c r="EP48" i="55"/>
  <c r="GN48" i="55" s="1"/>
  <c r="EP49" i="55"/>
  <c r="GN49" i="55" s="1"/>
  <c r="EP50" i="55"/>
  <c r="EP51" i="55"/>
  <c r="GN51" i="55" s="1"/>
  <c r="EP52" i="55"/>
  <c r="EP53" i="55"/>
  <c r="GN53" i="55" s="1"/>
  <c r="EP88" i="55"/>
  <c r="EP102" i="55"/>
  <c r="GN102" i="55" s="1"/>
  <c r="EP129" i="55"/>
  <c r="GN129" i="55" s="1"/>
  <c r="EP130" i="55"/>
  <c r="EP154" i="55"/>
  <c r="GN154" i="55" s="1"/>
  <c r="EP184" i="55"/>
  <c r="EP224" i="55"/>
  <c r="EP283" i="55"/>
  <c r="GN283" i="55" s="1"/>
  <c r="EP313" i="55"/>
  <c r="EP317" i="55"/>
  <c r="GN317" i="55" s="1"/>
  <c r="EP325" i="55"/>
  <c r="EP330" i="55"/>
  <c r="EP335" i="55"/>
  <c r="EP336" i="55"/>
  <c r="EP341" i="55"/>
  <c r="EO3" i="55"/>
  <c r="EO4" i="55"/>
  <c r="EO5" i="55"/>
  <c r="EO6" i="55"/>
  <c r="EO7" i="55"/>
  <c r="EO8" i="55"/>
  <c r="EO9" i="55"/>
  <c r="EO10" i="55"/>
  <c r="EO11" i="55"/>
  <c r="EO12" i="55"/>
  <c r="EO13" i="55"/>
  <c r="EO14" i="55"/>
  <c r="EO15" i="55"/>
  <c r="EO16" i="55"/>
  <c r="EO17" i="55"/>
  <c r="EO18" i="55"/>
  <c r="EO19" i="55"/>
  <c r="EO20" i="55"/>
  <c r="EO21" i="55"/>
  <c r="EO22" i="55"/>
  <c r="EO23" i="55"/>
  <c r="EO24" i="55"/>
  <c r="EO25" i="55"/>
  <c r="EO26" i="55"/>
  <c r="EO31" i="55"/>
  <c r="EO32" i="55"/>
  <c r="EO33" i="55"/>
  <c r="EO34" i="55"/>
  <c r="EO35" i="55"/>
  <c r="EO36" i="55"/>
  <c r="EO37" i="55"/>
  <c r="EO38" i="55"/>
  <c r="EO39" i="55"/>
  <c r="EO40" i="55"/>
  <c r="EO41" i="55"/>
  <c r="EO42" i="55"/>
  <c r="EO43" i="55"/>
  <c r="EO44" i="55"/>
  <c r="EO45" i="55"/>
  <c r="EO46" i="55"/>
  <c r="EO47" i="55"/>
  <c r="EO48" i="55"/>
  <c r="EO49" i="55"/>
  <c r="EO50" i="55"/>
  <c r="EO51" i="55"/>
  <c r="EO52" i="55"/>
  <c r="EO53" i="55"/>
  <c r="EO88" i="55"/>
  <c r="EO102" i="55"/>
  <c r="EO129" i="55"/>
  <c r="EO130" i="55"/>
  <c r="EO154" i="55"/>
  <c r="EO184" i="55"/>
  <c r="EO224" i="55"/>
  <c r="EO283" i="55"/>
  <c r="EO313" i="55"/>
  <c r="EO317" i="55"/>
  <c r="EO325" i="55"/>
  <c r="EO330" i="55"/>
  <c r="EO335" i="55"/>
  <c r="EO336" i="55"/>
  <c r="EO341" i="55"/>
  <c r="EN3" i="55"/>
  <c r="EN4" i="55"/>
  <c r="EN5" i="55"/>
  <c r="EN6" i="55"/>
  <c r="EN7" i="55"/>
  <c r="EN8" i="55"/>
  <c r="EN9" i="55"/>
  <c r="EN10" i="55"/>
  <c r="EN11" i="55"/>
  <c r="EN12" i="55"/>
  <c r="EN13" i="55"/>
  <c r="EN14" i="55"/>
  <c r="EN15" i="55"/>
  <c r="EN16" i="55"/>
  <c r="EN17" i="55"/>
  <c r="EN18" i="55"/>
  <c r="EN19" i="55"/>
  <c r="EN20" i="55"/>
  <c r="EN21" i="55"/>
  <c r="EN22" i="55"/>
  <c r="EN23" i="55"/>
  <c r="EN24" i="55"/>
  <c r="EN25" i="55"/>
  <c r="EN26" i="55"/>
  <c r="EN31" i="55"/>
  <c r="EN32" i="55"/>
  <c r="EN33" i="55"/>
  <c r="EN34" i="55"/>
  <c r="EN35" i="55"/>
  <c r="EN36" i="55"/>
  <c r="EN37" i="55"/>
  <c r="EN38" i="55"/>
  <c r="EN39" i="55"/>
  <c r="EN40" i="55"/>
  <c r="EN41" i="55"/>
  <c r="EN42" i="55"/>
  <c r="EN43" i="55"/>
  <c r="EN44" i="55"/>
  <c r="EN45" i="55"/>
  <c r="EN46" i="55"/>
  <c r="EN47" i="55"/>
  <c r="EN48" i="55"/>
  <c r="EN49" i="55"/>
  <c r="EN50" i="55"/>
  <c r="EN51" i="55"/>
  <c r="EN52" i="55"/>
  <c r="EN53" i="55"/>
  <c r="EN88" i="55"/>
  <c r="EN102" i="55"/>
  <c r="EN129" i="55"/>
  <c r="EN130" i="55"/>
  <c r="EN154" i="55"/>
  <c r="EN184" i="55"/>
  <c r="EN224" i="55"/>
  <c r="EN283" i="55"/>
  <c r="EN313" i="55"/>
  <c r="EN317" i="55"/>
  <c r="EN325" i="55"/>
  <c r="EN330" i="55"/>
  <c r="EN335" i="55"/>
  <c r="EN336" i="55"/>
  <c r="EN341" i="55"/>
  <c r="EJ3" i="55"/>
  <c r="GF3" i="55" s="1"/>
  <c r="EJ4" i="55"/>
  <c r="EJ5" i="55"/>
  <c r="GF5" i="55" s="1"/>
  <c r="EJ6" i="55"/>
  <c r="EJ7" i="55"/>
  <c r="GF7" i="55" s="1"/>
  <c r="EJ8" i="55"/>
  <c r="GF8" i="55" s="1"/>
  <c r="EJ9" i="55"/>
  <c r="EJ10" i="55"/>
  <c r="EJ11" i="55"/>
  <c r="GF11" i="55" s="1"/>
  <c r="EJ12" i="55"/>
  <c r="GF12" i="55" s="1"/>
  <c r="EJ13" i="55"/>
  <c r="GF13" i="55" s="1"/>
  <c r="EJ14" i="55"/>
  <c r="EJ15" i="55"/>
  <c r="EJ16" i="55"/>
  <c r="EJ17" i="55"/>
  <c r="EJ18" i="55"/>
  <c r="GF18" i="55" s="1"/>
  <c r="EJ19" i="55"/>
  <c r="GF19" i="55" s="1"/>
  <c r="EJ20" i="55"/>
  <c r="GF20" i="55" s="1"/>
  <c r="EJ21" i="55"/>
  <c r="EJ22" i="55"/>
  <c r="GF22" i="55" s="1"/>
  <c r="EJ23" i="55"/>
  <c r="GF23" i="55" s="1"/>
  <c r="EJ24" i="55"/>
  <c r="EJ25" i="55"/>
  <c r="GF25" i="55" s="1"/>
  <c r="EJ26" i="55"/>
  <c r="EJ31" i="55"/>
  <c r="GF31" i="55" s="1"/>
  <c r="EJ32" i="55"/>
  <c r="EJ33" i="55"/>
  <c r="EJ34" i="55"/>
  <c r="GF34" i="55" s="1"/>
  <c r="EJ35" i="55"/>
  <c r="GF35" i="55" s="1"/>
  <c r="EJ36" i="55"/>
  <c r="EJ37" i="55"/>
  <c r="GF37" i="55" s="1"/>
  <c r="EJ38" i="55"/>
  <c r="EJ39" i="55"/>
  <c r="GF39" i="55" s="1"/>
  <c r="EJ40" i="55"/>
  <c r="GF40" i="55" s="1"/>
  <c r="EJ41" i="55"/>
  <c r="GF41" i="55" s="1"/>
  <c r="EJ42" i="55"/>
  <c r="EJ43" i="55"/>
  <c r="EJ44" i="55"/>
  <c r="GF44" i="55" s="1"/>
  <c r="EJ45" i="55"/>
  <c r="EJ46" i="55"/>
  <c r="EJ47" i="55"/>
  <c r="EJ48" i="55"/>
  <c r="EJ49" i="55"/>
  <c r="EJ50" i="55"/>
  <c r="GF50" i="55" s="1"/>
  <c r="EJ51" i="55"/>
  <c r="GF51" i="55" s="1"/>
  <c r="EJ52" i="55"/>
  <c r="EJ53" i="55"/>
  <c r="EJ88" i="55"/>
  <c r="EJ102" i="55"/>
  <c r="GF102" i="55" s="1"/>
  <c r="EJ129" i="55"/>
  <c r="EJ130" i="55"/>
  <c r="GF130" i="55" s="1"/>
  <c r="EJ154" i="55"/>
  <c r="GF154" i="55" s="1"/>
  <c r="EJ184" i="55"/>
  <c r="EJ224" i="55"/>
  <c r="EJ283" i="55"/>
  <c r="EJ313" i="55"/>
  <c r="GF313" i="55" s="1"/>
  <c r="EJ317" i="55"/>
  <c r="EJ325" i="55"/>
  <c r="EJ330" i="55"/>
  <c r="GF330" i="55" s="1"/>
  <c r="EJ335" i="55"/>
  <c r="GF335" i="55" s="1"/>
  <c r="EJ336" i="55"/>
  <c r="EJ341" i="55"/>
  <c r="GF341" i="55" s="1"/>
  <c r="EI3" i="55"/>
  <c r="EI4" i="55"/>
  <c r="EI5" i="55"/>
  <c r="EI6" i="55"/>
  <c r="EI7" i="55"/>
  <c r="EI8" i="55"/>
  <c r="EI9" i="55"/>
  <c r="EI10" i="55"/>
  <c r="EI11" i="55"/>
  <c r="EI12" i="55"/>
  <c r="EI13" i="55"/>
  <c r="EI14" i="55"/>
  <c r="EI15" i="55"/>
  <c r="EI16" i="55"/>
  <c r="EI17" i="55"/>
  <c r="EI18" i="55"/>
  <c r="EI19" i="55"/>
  <c r="EI20" i="55"/>
  <c r="EI21" i="55"/>
  <c r="EI22" i="55"/>
  <c r="EI23" i="55"/>
  <c r="EI24" i="55"/>
  <c r="EI25" i="55"/>
  <c r="EI26" i="55"/>
  <c r="EI31" i="55"/>
  <c r="EI32" i="55"/>
  <c r="EI33" i="55"/>
  <c r="EI34" i="55"/>
  <c r="EI35" i="55"/>
  <c r="EI36" i="55"/>
  <c r="EI37" i="55"/>
  <c r="EI38" i="55"/>
  <c r="EI39" i="55"/>
  <c r="EI40" i="55"/>
  <c r="EI41" i="55"/>
  <c r="EI42" i="55"/>
  <c r="EI43" i="55"/>
  <c r="EI44" i="55"/>
  <c r="EI45" i="55"/>
  <c r="EI46" i="55"/>
  <c r="EI47" i="55"/>
  <c r="EI48" i="55"/>
  <c r="EI49" i="55"/>
  <c r="EI50" i="55"/>
  <c r="EI51" i="55"/>
  <c r="EI52" i="55"/>
  <c r="EI53" i="55"/>
  <c r="EI88" i="55"/>
  <c r="EI102" i="55"/>
  <c r="EI129" i="55"/>
  <c r="EI130" i="55"/>
  <c r="EI154" i="55"/>
  <c r="EI184" i="55"/>
  <c r="EI224" i="55"/>
  <c r="EI283" i="55"/>
  <c r="EI313" i="55"/>
  <c r="EI317" i="55"/>
  <c r="EI325" i="55"/>
  <c r="EI330" i="55"/>
  <c r="EI335" i="55"/>
  <c r="EI336" i="55"/>
  <c r="EI341" i="55"/>
  <c r="EH3" i="55"/>
  <c r="EH4" i="55"/>
  <c r="EH5" i="55"/>
  <c r="EH6" i="55"/>
  <c r="EH7" i="55"/>
  <c r="EH8" i="55"/>
  <c r="EH9" i="55"/>
  <c r="EH10" i="55"/>
  <c r="EH11" i="55"/>
  <c r="EH12" i="55"/>
  <c r="EH13" i="55"/>
  <c r="EH14" i="55"/>
  <c r="EH15" i="55"/>
  <c r="EH16" i="55"/>
  <c r="EH17" i="55"/>
  <c r="EH18" i="55"/>
  <c r="EH19" i="55"/>
  <c r="EH20" i="55"/>
  <c r="EH21" i="55"/>
  <c r="EH22" i="55"/>
  <c r="EH23" i="55"/>
  <c r="EH24" i="55"/>
  <c r="EH25" i="55"/>
  <c r="EH26" i="55"/>
  <c r="EH31" i="55"/>
  <c r="EH32" i="55"/>
  <c r="EH33" i="55"/>
  <c r="EH34" i="55"/>
  <c r="EH35" i="55"/>
  <c r="EH36" i="55"/>
  <c r="EH37" i="55"/>
  <c r="EH38" i="55"/>
  <c r="EH39" i="55"/>
  <c r="EH40" i="55"/>
  <c r="EH41" i="55"/>
  <c r="EH42" i="55"/>
  <c r="EH43" i="55"/>
  <c r="EH44" i="55"/>
  <c r="EH45" i="55"/>
  <c r="EH46" i="55"/>
  <c r="EH47" i="55"/>
  <c r="EH48" i="55"/>
  <c r="EH49" i="55"/>
  <c r="EH50" i="55"/>
  <c r="EH51" i="55"/>
  <c r="EH52" i="55"/>
  <c r="EH53" i="55"/>
  <c r="EH88" i="55"/>
  <c r="EH102" i="55"/>
  <c r="EH129" i="55"/>
  <c r="EH130" i="55"/>
  <c r="EH154" i="55"/>
  <c r="EH184" i="55"/>
  <c r="EH224" i="55"/>
  <c r="EH283" i="55"/>
  <c r="EH313" i="55"/>
  <c r="EH317" i="55"/>
  <c r="EH325" i="55"/>
  <c r="EH330" i="55"/>
  <c r="EH335" i="55"/>
  <c r="EH336" i="55"/>
  <c r="EH341" i="55"/>
  <c r="EG3" i="55"/>
  <c r="EG4" i="55"/>
  <c r="EG5" i="55"/>
  <c r="EG6" i="55"/>
  <c r="EG7" i="55"/>
  <c r="EG8" i="55"/>
  <c r="EG9" i="55"/>
  <c r="EG10" i="55"/>
  <c r="EG11" i="55"/>
  <c r="EG12" i="55"/>
  <c r="EG13" i="55"/>
  <c r="EG14" i="55"/>
  <c r="EG15" i="55"/>
  <c r="EG16" i="55"/>
  <c r="EG17" i="55"/>
  <c r="EG18" i="55"/>
  <c r="EG19" i="55"/>
  <c r="EG20" i="55"/>
  <c r="EG21" i="55"/>
  <c r="EG22" i="55"/>
  <c r="EG23" i="55"/>
  <c r="EG24" i="55"/>
  <c r="EG25" i="55"/>
  <c r="EG26" i="55"/>
  <c r="EG31" i="55"/>
  <c r="EG32" i="55"/>
  <c r="EG33" i="55"/>
  <c r="EG34" i="55"/>
  <c r="EG35" i="55"/>
  <c r="EG36" i="55"/>
  <c r="EG37" i="55"/>
  <c r="EG38" i="55"/>
  <c r="EG39" i="55"/>
  <c r="EG40" i="55"/>
  <c r="EG41" i="55"/>
  <c r="EG42" i="55"/>
  <c r="EG43" i="55"/>
  <c r="EG44" i="55"/>
  <c r="EG45" i="55"/>
  <c r="EG46" i="55"/>
  <c r="EG47" i="55"/>
  <c r="EG48" i="55"/>
  <c r="EG49" i="55"/>
  <c r="EG50" i="55"/>
  <c r="EG51" i="55"/>
  <c r="EG52" i="55"/>
  <c r="EG53" i="55"/>
  <c r="EG88" i="55"/>
  <c r="EG102" i="55"/>
  <c r="EG129" i="55"/>
  <c r="EG130" i="55"/>
  <c r="EG154" i="55"/>
  <c r="EG184" i="55"/>
  <c r="EG224" i="55"/>
  <c r="EG283" i="55"/>
  <c r="EG313" i="55"/>
  <c r="EG317" i="55"/>
  <c r="EG325" i="55"/>
  <c r="EG330" i="55"/>
  <c r="EG335" i="55"/>
  <c r="EG336" i="55"/>
  <c r="EG341" i="55"/>
  <c r="EF3" i="55"/>
  <c r="EF4" i="55"/>
  <c r="EF5" i="55"/>
  <c r="EF6" i="55"/>
  <c r="EF7" i="55"/>
  <c r="EF8" i="55"/>
  <c r="EF9" i="55"/>
  <c r="EF10" i="55"/>
  <c r="EF11" i="55"/>
  <c r="EF12" i="55"/>
  <c r="EF13" i="55"/>
  <c r="EF14" i="55"/>
  <c r="EF15" i="55"/>
  <c r="EF16" i="55"/>
  <c r="EF17" i="55"/>
  <c r="EF18" i="55"/>
  <c r="EF19" i="55"/>
  <c r="EF20" i="55"/>
  <c r="EF21" i="55"/>
  <c r="EF22" i="55"/>
  <c r="EF23" i="55"/>
  <c r="EF24" i="55"/>
  <c r="EF25" i="55"/>
  <c r="EF26" i="55"/>
  <c r="EF31" i="55"/>
  <c r="EF32" i="55"/>
  <c r="EF33" i="55"/>
  <c r="EF34" i="55"/>
  <c r="EF35" i="55"/>
  <c r="EF36" i="55"/>
  <c r="EF37" i="55"/>
  <c r="EF38" i="55"/>
  <c r="EF39" i="55"/>
  <c r="EF40" i="55"/>
  <c r="EF41" i="55"/>
  <c r="EF42" i="55"/>
  <c r="EF43" i="55"/>
  <c r="EF44" i="55"/>
  <c r="EF45" i="55"/>
  <c r="EF46" i="55"/>
  <c r="EF47" i="55"/>
  <c r="EF48" i="55"/>
  <c r="EF49" i="55"/>
  <c r="EF50" i="55"/>
  <c r="EF51" i="55"/>
  <c r="EF52" i="55"/>
  <c r="EF53" i="55"/>
  <c r="EF88" i="55"/>
  <c r="EF102" i="55"/>
  <c r="EF129" i="55"/>
  <c r="EF130" i="55"/>
  <c r="EF154" i="55"/>
  <c r="EF184" i="55"/>
  <c r="EF224" i="55"/>
  <c r="EF283" i="55"/>
  <c r="EF313" i="55"/>
  <c r="EF317" i="55"/>
  <c r="EF325" i="55"/>
  <c r="EF330" i="55"/>
  <c r="EF335" i="55"/>
  <c r="EF336" i="55"/>
  <c r="EF341" i="55"/>
  <c r="EE3" i="55"/>
  <c r="EE4" i="55"/>
  <c r="EE5" i="55"/>
  <c r="EE6" i="55"/>
  <c r="EE7" i="55"/>
  <c r="EE8" i="55"/>
  <c r="EE9" i="55"/>
  <c r="EE10" i="55"/>
  <c r="EE11" i="55"/>
  <c r="EE12" i="55"/>
  <c r="EE13" i="55"/>
  <c r="EE14" i="55"/>
  <c r="EE15" i="55"/>
  <c r="EE16" i="55"/>
  <c r="EE17" i="55"/>
  <c r="EE18" i="55"/>
  <c r="EE19" i="55"/>
  <c r="EE20" i="55"/>
  <c r="EE21" i="55"/>
  <c r="EE22" i="55"/>
  <c r="EE23" i="55"/>
  <c r="EE24" i="55"/>
  <c r="EE25" i="55"/>
  <c r="EE26" i="55"/>
  <c r="EE31" i="55"/>
  <c r="EE32" i="55"/>
  <c r="EE33" i="55"/>
  <c r="EE34" i="55"/>
  <c r="EE35" i="55"/>
  <c r="EE36" i="55"/>
  <c r="EE37" i="55"/>
  <c r="EE38" i="55"/>
  <c r="EE39" i="55"/>
  <c r="EE40" i="55"/>
  <c r="EE41" i="55"/>
  <c r="EE42" i="55"/>
  <c r="EE43" i="55"/>
  <c r="EE44" i="55"/>
  <c r="EE45" i="55"/>
  <c r="EE46" i="55"/>
  <c r="EE47" i="55"/>
  <c r="EE48" i="55"/>
  <c r="EE49" i="55"/>
  <c r="EE50" i="55"/>
  <c r="EE51" i="55"/>
  <c r="EE52" i="55"/>
  <c r="EE53" i="55"/>
  <c r="EE88" i="55"/>
  <c r="EE102" i="55"/>
  <c r="EE129" i="55"/>
  <c r="EE130" i="55"/>
  <c r="EE154" i="55"/>
  <c r="EE184" i="55"/>
  <c r="EE224" i="55"/>
  <c r="EE283" i="55"/>
  <c r="EE313" i="55"/>
  <c r="EE317" i="55"/>
  <c r="EE325" i="55"/>
  <c r="EE330" i="55"/>
  <c r="EE335" i="55"/>
  <c r="EE336" i="55"/>
  <c r="EE341" i="55"/>
  <c r="ED3" i="55"/>
  <c r="ED4" i="55"/>
  <c r="ED5" i="55"/>
  <c r="ED6" i="55"/>
  <c r="ED7" i="55"/>
  <c r="ED8" i="55"/>
  <c r="ED9" i="55"/>
  <c r="ED10" i="55"/>
  <c r="ED11" i="55"/>
  <c r="ED12" i="55"/>
  <c r="ED13" i="55"/>
  <c r="ED14" i="55"/>
  <c r="ED15" i="55"/>
  <c r="ED16" i="55"/>
  <c r="ED17" i="55"/>
  <c r="ED18" i="55"/>
  <c r="ED19" i="55"/>
  <c r="ED20" i="55"/>
  <c r="ED21" i="55"/>
  <c r="ED22" i="55"/>
  <c r="ED23" i="55"/>
  <c r="ED24" i="55"/>
  <c r="ED25" i="55"/>
  <c r="ED26" i="55"/>
  <c r="ED31" i="55"/>
  <c r="ED32" i="55"/>
  <c r="ED33" i="55"/>
  <c r="ED34" i="55"/>
  <c r="ED35" i="55"/>
  <c r="ED36" i="55"/>
  <c r="ED37" i="55"/>
  <c r="ED38" i="55"/>
  <c r="ED39" i="55"/>
  <c r="ED40" i="55"/>
  <c r="ED41" i="55"/>
  <c r="ED42" i="55"/>
  <c r="ED43" i="55"/>
  <c r="ED44" i="55"/>
  <c r="ED45" i="55"/>
  <c r="ED46" i="55"/>
  <c r="ED47" i="55"/>
  <c r="ED48" i="55"/>
  <c r="ED49" i="55"/>
  <c r="ED50" i="55"/>
  <c r="ED51" i="55"/>
  <c r="ED52" i="55"/>
  <c r="ED53" i="55"/>
  <c r="ED88" i="55"/>
  <c r="ED102" i="55"/>
  <c r="ED129" i="55"/>
  <c r="ED130" i="55"/>
  <c r="ED154" i="55"/>
  <c r="ED184" i="55"/>
  <c r="ED224" i="55"/>
  <c r="ED283" i="55"/>
  <c r="ED313" i="55"/>
  <c r="ED317" i="55"/>
  <c r="ED325" i="55"/>
  <c r="ED330" i="55"/>
  <c r="ED335" i="55"/>
  <c r="ED336" i="55"/>
  <c r="ED341" i="55"/>
  <c r="EC3" i="55"/>
  <c r="EC4" i="55"/>
  <c r="EC5" i="55"/>
  <c r="EC6" i="55"/>
  <c r="EC7" i="55"/>
  <c r="EC8" i="55"/>
  <c r="EC9" i="55"/>
  <c r="EC10" i="55"/>
  <c r="EC11" i="55"/>
  <c r="EC12" i="55"/>
  <c r="EC13" i="55"/>
  <c r="EC14" i="55"/>
  <c r="EC15" i="55"/>
  <c r="EC16" i="55"/>
  <c r="EC17" i="55"/>
  <c r="EC18" i="55"/>
  <c r="EC19" i="55"/>
  <c r="EC20" i="55"/>
  <c r="EC21" i="55"/>
  <c r="EC22" i="55"/>
  <c r="EC23" i="55"/>
  <c r="EC24" i="55"/>
  <c r="EC25" i="55"/>
  <c r="EC26" i="55"/>
  <c r="EC31" i="55"/>
  <c r="EC32" i="55"/>
  <c r="EC33" i="55"/>
  <c r="EC34" i="55"/>
  <c r="EC35" i="55"/>
  <c r="EC36" i="55"/>
  <c r="EC37" i="55"/>
  <c r="EC38" i="55"/>
  <c r="EC39" i="55"/>
  <c r="EC40" i="55"/>
  <c r="EC41" i="55"/>
  <c r="EC42" i="55"/>
  <c r="EC43" i="55"/>
  <c r="EC44" i="55"/>
  <c r="EC45" i="55"/>
  <c r="EC46" i="55"/>
  <c r="EC47" i="55"/>
  <c r="EC48" i="55"/>
  <c r="EC49" i="55"/>
  <c r="EC50" i="55"/>
  <c r="EC51" i="55"/>
  <c r="EC52" i="55"/>
  <c r="EC53" i="55"/>
  <c r="EC88" i="55"/>
  <c r="EC102" i="55"/>
  <c r="EC129" i="55"/>
  <c r="EC130" i="55"/>
  <c r="EC154" i="55"/>
  <c r="EC184" i="55"/>
  <c r="EC224" i="55"/>
  <c r="EC283" i="55"/>
  <c r="EC313" i="55"/>
  <c r="EC317" i="55"/>
  <c r="EC325" i="55"/>
  <c r="EC330" i="55"/>
  <c r="EC335" i="55"/>
  <c r="EC336" i="55"/>
  <c r="EC341" i="55"/>
  <c r="EA3" i="55"/>
  <c r="EA4" i="55"/>
  <c r="EA16" i="55"/>
  <c r="EA26" i="55"/>
  <c r="EA27" i="55"/>
  <c r="EA28" i="55"/>
  <c r="EA31" i="55"/>
  <c r="EA53" i="55"/>
  <c r="EA88" i="55"/>
  <c r="EA102" i="55"/>
  <c r="EA130" i="55"/>
  <c r="EA154" i="55"/>
  <c r="EA184" i="55"/>
  <c r="EA224" i="55"/>
  <c r="EA283" i="55"/>
  <c r="EA313" i="55"/>
  <c r="EA317" i="55"/>
  <c r="EA325" i="55"/>
  <c r="EA330" i="55"/>
  <c r="EA335" i="55"/>
  <c r="EA336" i="55"/>
  <c r="EA341" i="55"/>
  <c r="DW95" i="55"/>
  <c r="DV11" i="55"/>
  <c r="DV58" i="55"/>
  <c r="DR21" i="55"/>
  <c r="DR30" i="55"/>
  <c r="DR286" i="55"/>
  <c r="DQ5" i="55"/>
  <c r="DQ6" i="55"/>
  <c r="DQ7" i="55"/>
  <c r="DQ8" i="55"/>
  <c r="DQ9" i="55"/>
  <c r="DQ10" i="55"/>
  <c r="DQ11" i="55"/>
  <c r="DQ12" i="55"/>
  <c r="DQ13" i="55"/>
  <c r="DQ14" i="55"/>
  <c r="DQ15" i="55"/>
  <c r="DQ16" i="55"/>
  <c r="DQ17" i="55"/>
  <c r="DQ18" i="55"/>
  <c r="DQ19" i="55"/>
  <c r="DQ20" i="55"/>
  <c r="DQ21" i="55"/>
  <c r="DQ22" i="55"/>
  <c r="DQ23" i="55"/>
  <c r="DQ24" i="55"/>
  <c r="DQ29" i="55"/>
  <c r="DQ30" i="55"/>
  <c r="DQ32" i="55"/>
  <c r="DQ33" i="55"/>
  <c r="DQ34" i="55"/>
  <c r="DQ35" i="55"/>
  <c r="DQ36" i="55"/>
  <c r="DQ37" i="55"/>
  <c r="DQ38" i="55"/>
  <c r="DQ39" i="55"/>
  <c r="DQ40" i="55"/>
  <c r="DQ41" i="55"/>
  <c r="DQ42" i="55"/>
  <c r="DQ43" i="55"/>
  <c r="DQ44" i="55"/>
  <c r="DQ45" i="55"/>
  <c r="DQ46" i="55"/>
  <c r="DQ47" i="55"/>
  <c r="DQ48" i="55"/>
  <c r="DQ49" i="55"/>
  <c r="DQ50" i="55"/>
  <c r="DQ51" i="55"/>
  <c r="DQ52" i="55"/>
  <c r="DQ54" i="55"/>
  <c r="DQ55" i="55"/>
  <c r="DQ56" i="55"/>
  <c r="DQ57" i="55"/>
  <c r="DQ58" i="55"/>
  <c r="DQ59" i="55"/>
  <c r="DQ60" i="55"/>
  <c r="DQ61" i="55"/>
  <c r="DQ62" i="55"/>
  <c r="DQ63" i="55"/>
  <c r="DQ64" i="55"/>
  <c r="DQ65" i="55"/>
  <c r="DQ66" i="55"/>
  <c r="DQ67" i="55"/>
  <c r="DQ68" i="55"/>
  <c r="DQ69" i="55"/>
  <c r="DQ70" i="55"/>
  <c r="DQ71" i="55"/>
  <c r="DQ72" i="55"/>
  <c r="DQ73" i="55"/>
  <c r="DQ74" i="55"/>
  <c r="DQ75" i="55"/>
  <c r="DQ76" i="55"/>
  <c r="DQ77" i="55"/>
  <c r="DQ78" i="55"/>
  <c r="DQ79" i="55"/>
  <c r="DQ80" i="55"/>
  <c r="DQ81" i="55"/>
  <c r="DQ82" i="55"/>
  <c r="DQ83" i="55"/>
  <c r="DQ84" i="55"/>
  <c r="DQ85" i="55"/>
  <c r="DQ86" i="55"/>
  <c r="DQ87" i="55"/>
  <c r="DQ89" i="55"/>
  <c r="DQ90" i="55"/>
  <c r="DQ91" i="55"/>
  <c r="DQ92" i="55"/>
  <c r="DQ93" i="55"/>
  <c r="DQ94" i="55"/>
  <c r="DQ95" i="55"/>
  <c r="DQ96" i="55"/>
  <c r="DQ97" i="55"/>
  <c r="DQ98" i="55"/>
  <c r="DQ99" i="55"/>
  <c r="DQ100" i="55"/>
  <c r="DQ101" i="55"/>
  <c r="DQ103" i="55"/>
  <c r="DQ104" i="55"/>
  <c r="DQ105" i="55"/>
  <c r="DQ106" i="55"/>
  <c r="DQ107" i="55"/>
  <c r="DQ108" i="55"/>
  <c r="DQ109" i="55"/>
  <c r="DQ110" i="55"/>
  <c r="DQ111" i="55"/>
  <c r="DQ112" i="55"/>
  <c r="DQ113" i="55"/>
  <c r="DQ114" i="55"/>
  <c r="DQ115" i="55"/>
  <c r="DQ116" i="55"/>
  <c r="DQ117" i="55"/>
  <c r="DQ118" i="55"/>
  <c r="DQ119" i="55"/>
  <c r="DQ120" i="55"/>
  <c r="DQ121" i="55"/>
  <c r="DQ122" i="55"/>
  <c r="DQ123" i="55"/>
  <c r="DQ124" i="55"/>
  <c r="DQ125" i="55"/>
  <c r="DQ126" i="55"/>
  <c r="DQ127" i="55"/>
  <c r="DQ128" i="55"/>
  <c r="DQ129" i="55"/>
  <c r="DQ131" i="55"/>
  <c r="DQ132" i="55"/>
  <c r="DQ133" i="55"/>
  <c r="DQ134" i="55"/>
  <c r="DQ135" i="55"/>
  <c r="DQ136" i="55"/>
  <c r="DQ137" i="55"/>
  <c r="DQ138" i="55"/>
  <c r="DQ139" i="55"/>
  <c r="DQ140" i="55"/>
  <c r="DQ141" i="55"/>
  <c r="DQ142" i="55"/>
  <c r="DQ143" i="55"/>
  <c r="DQ144" i="55"/>
  <c r="DQ145" i="55"/>
  <c r="DQ146" i="55"/>
  <c r="DQ147" i="55"/>
  <c r="DQ148" i="55"/>
  <c r="DQ149" i="55"/>
  <c r="DQ150" i="55"/>
  <c r="DQ151" i="55"/>
  <c r="DQ152" i="55"/>
  <c r="DQ153" i="55"/>
  <c r="DQ155" i="55"/>
  <c r="DQ156" i="55"/>
  <c r="DQ157" i="55"/>
  <c r="DQ158" i="55"/>
  <c r="DQ159" i="55"/>
  <c r="DQ160" i="55"/>
  <c r="DQ161" i="55"/>
  <c r="DQ162" i="55"/>
  <c r="DQ163" i="55"/>
  <c r="DQ164" i="55"/>
  <c r="DQ165" i="55"/>
  <c r="DQ166" i="55"/>
  <c r="DQ167" i="55"/>
  <c r="DQ168" i="55"/>
  <c r="DQ169" i="55"/>
  <c r="DQ170" i="55"/>
  <c r="DQ171" i="55"/>
  <c r="DQ172" i="55"/>
  <c r="DQ173" i="55"/>
  <c r="DQ174" i="55"/>
  <c r="DQ175" i="55"/>
  <c r="DQ176" i="55"/>
  <c r="DQ177" i="55"/>
  <c r="DQ178" i="55"/>
  <c r="DQ179" i="55"/>
  <c r="DQ180" i="55"/>
  <c r="DQ181" i="55"/>
  <c r="DQ182" i="55"/>
  <c r="DQ183" i="55"/>
  <c r="DQ185" i="55"/>
  <c r="DQ186" i="55"/>
  <c r="DQ187" i="55"/>
  <c r="DQ188" i="55"/>
  <c r="DQ189" i="55"/>
  <c r="DQ190" i="55"/>
  <c r="DQ191" i="55"/>
  <c r="DQ192" i="55"/>
  <c r="DQ193" i="55"/>
  <c r="DQ194" i="55"/>
  <c r="DQ195" i="55"/>
  <c r="DQ196" i="55"/>
  <c r="DQ197" i="55"/>
  <c r="DQ198" i="55"/>
  <c r="DQ199" i="55"/>
  <c r="DQ200" i="55"/>
  <c r="DQ201" i="55"/>
  <c r="DQ202" i="55"/>
  <c r="DQ203" i="55"/>
  <c r="DQ204" i="55"/>
  <c r="DQ205" i="55"/>
  <c r="DQ206" i="55"/>
  <c r="DQ207" i="55"/>
  <c r="DQ208" i="55"/>
  <c r="DQ209" i="55"/>
  <c r="DQ210" i="55"/>
  <c r="DQ211" i="55"/>
  <c r="DQ212" i="55"/>
  <c r="DQ213" i="55"/>
  <c r="DQ214" i="55"/>
  <c r="DQ215" i="55"/>
  <c r="DQ216" i="55"/>
  <c r="DQ217" i="55"/>
  <c r="DQ218" i="55"/>
  <c r="DQ219" i="55"/>
  <c r="DQ220" i="55"/>
  <c r="DQ221" i="55"/>
  <c r="DQ222" i="55"/>
  <c r="DQ223" i="55"/>
  <c r="DQ225" i="55"/>
  <c r="DQ226" i="55"/>
  <c r="DQ227" i="55"/>
  <c r="DQ228" i="55"/>
  <c r="DQ229" i="55"/>
  <c r="DQ230" i="55"/>
  <c r="DQ231" i="55"/>
  <c r="DQ232" i="55"/>
  <c r="DQ233" i="55"/>
  <c r="DQ234" i="55"/>
  <c r="DQ235" i="55"/>
  <c r="DQ236" i="55"/>
  <c r="DQ237" i="55"/>
  <c r="DQ238" i="55"/>
  <c r="DQ239" i="55"/>
  <c r="DQ240" i="55"/>
  <c r="DQ241" i="55"/>
  <c r="DQ242" i="55"/>
  <c r="DQ243" i="55"/>
  <c r="DQ244" i="55"/>
  <c r="DQ245" i="55"/>
  <c r="DQ246" i="55"/>
  <c r="DQ247" i="55"/>
  <c r="DQ248" i="55"/>
  <c r="DQ249" i="55"/>
  <c r="DQ250" i="55"/>
  <c r="DQ251" i="55"/>
  <c r="DQ252" i="55"/>
  <c r="DQ253" i="55"/>
  <c r="DQ254" i="55"/>
  <c r="DQ255" i="55"/>
  <c r="DQ256" i="55"/>
  <c r="DQ257" i="55"/>
  <c r="DQ258" i="55"/>
  <c r="DQ259" i="55"/>
  <c r="DQ260" i="55"/>
  <c r="DQ261" i="55"/>
  <c r="DQ262" i="55"/>
  <c r="DQ263" i="55"/>
  <c r="DQ264" i="55"/>
  <c r="DQ265" i="55"/>
  <c r="DQ266" i="55"/>
  <c r="DQ267" i="55"/>
  <c r="DQ268" i="55"/>
  <c r="DQ269" i="55"/>
  <c r="DQ270" i="55"/>
  <c r="DQ271" i="55"/>
  <c r="DQ272" i="55"/>
  <c r="DQ273" i="55"/>
  <c r="DQ274" i="55"/>
  <c r="DQ275" i="55"/>
  <c r="DQ276" i="55"/>
  <c r="DQ277" i="55"/>
  <c r="DQ278" i="55"/>
  <c r="DQ279" i="55"/>
  <c r="DQ280" i="55"/>
  <c r="DQ281" i="55"/>
  <c r="DQ282" i="55"/>
  <c r="DQ284" i="55"/>
  <c r="DQ285" i="55"/>
  <c r="DQ286" i="55"/>
  <c r="DQ287" i="55"/>
  <c r="DQ288" i="55"/>
  <c r="DQ289" i="55"/>
  <c r="DQ290" i="55"/>
  <c r="DQ291" i="55"/>
  <c r="DQ292" i="55"/>
  <c r="DQ293" i="55"/>
  <c r="DQ294" i="55"/>
  <c r="DQ295" i="55"/>
  <c r="DQ296" i="55"/>
  <c r="DQ297" i="55"/>
  <c r="DQ298" i="55"/>
  <c r="DQ299" i="55"/>
  <c r="DQ300" i="55"/>
  <c r="DQ301" i="55"/>
  <c r="DQ302" i="55"/>
  <c r="DQ303" i="55"/>
  <c r="DQ304" i="55"/>
  <c r="DQ305" i="55"/>
  <c r="DQ306" i="55"/>
  <c r="DQ307" i="55"/>
  <c r="DQ308" i="55"/>
  <c r="DQ309" i="55"/>
  <c r="DQ310" i="55"/>
  <c r="DQ311" i="55"/>
  <c r="DQ312" i="55"/>
  <c r="DQ314" i="55"/>
  <c r="DQ315" i="55"/>
  <c r="DQ316" i="55"/>
  <c r="DQ318" i="55"/>
  <c r="DQ319" i="55"/>
  <c r="DQ320" i="55"/>
  <c r="DQ321" i="55"/>
  <c r="DQ322" i="55"/>
  <c r="DQ323" i="55"/>
  <c r="DQ324" i="55"/>
  <c r="DQ326" i="55"/>
  <c r="DQ327" i="55"/>
  <c r="DQ328" i="55"/>
  <c r="DQ329" i="55"/>
  <c r="DQ331" i="55"/>
  <c r="DQ332" i="55"/>
  <c r="DQ333" i="55"/>
  <c r="DQ334" i="55"/>
  <c r="DQ337" i="55"/>
  <c r="DQ338" i="55"/>
  <c r="DQ339" i="55"/>
  <c r="DQ340" i="55"/>
  <c r="DQ342" i="55"/>
  <c r="DQ343" i="55"/>
  <c r="DQ344" i="55"/>
  <c r="DQ345" i="55"/>
  <c r="DQ346" i="55"/>
  <c r="DQ347" i="55"/>
  <c r="DQ348" i="55"/>
  <c r="DQ349" i="55"/>
  <c r="DQ350" i="55"/>
  <c r="DQ351" i="55"/>
  <c r="DQ352" i="55"/>
  <c r="DM13" i="55"/>
  <c r="DM108" i="55"/>
  <c r="DM109" i="55"/>
  <c r="DM137" i="55"/>
  <c r="DM139" i="55"/>
  <c r="DM148" i="55"/>
  <c r="DM168" i="55"/>
  <c r="DM177" i="55"/>
  <c r="DM179" i="55"/>
  <c r="DM184" i="55"/>
  <c r="DM203" i="55"/>
  <c r="DM210" i="55"/>
  <c r="DM211" i="55"/>
  <c r="DM212" i="55"/>
  <c r="DM235" i="55"/>
  <c r="DM253" i="55"/>
  <c r="DM272" i="55"/>
  <c r="DM283" i="55"/>
  <c r="DM307" i="55"/>
  <c r="DM313" i="55"/>
  <c r="DM321" i="55"/>
  <c r="DM345" i="55"/>
  <c r="DJ79" i="55" a="1"/>
  <c r="DJ79" i="55" s="1"/>
  <c r="DJ97" i="55" a="1"/>
  <c r="DJ97" i="55" s="1"/>
  <c r="DJ133" i="55" a="1"/>
  <c r="DJ133" i="55" s="1"/>
  <c r="DJ139" i="55" a="1"/>
  <c r="DJ139" i="55" s="1"/>
  <c r="DJ213" i="55" a="1"/>
  <c r="DJ213" i="55" s="1"/>
  <c r="DJ279" i="55" a="1"/>
  <c r="DJ279" i="55" s="1"/>
  <c r="DJ286" i="55" a="1"/>
  <c r="DJ286" i="55" s="1"/>
  <c r="DJ293" i="55" a="1"/>
  <c r="DJ293" i="55" s="1"/>
  <c r="DN293" i="55" s="1"/>
  <c r="DI3" i="55"/>
  <c r="DI4" i="55"/>
  <c r="DI5" i="55"/>
  <c r="DI6" i="55"/>
  <c r="DI7" i="55"/>
  <c r="DI8" i="55"/>
  <c r="DI9" i="55"/>
  <c r="DI10" i="55"/>
  <c r="DI11" i="55"/>
  <c r="DI12" i="55"/>
  <c r="DI13" i="55"/>
  <c r="DI14" i="55"/>
  <c r="DI15" i="55"/>
  <c r="DI16" i="55"/>
  <c r="DI17" i="55"/>
  <c r="DI18" i="55"/>
  <c r="DI19" i="55"/>
  <c r="DI20" i="55"/>
  <c r="DI21" i="55"/>
  <c r="DI22" i="55"/>
  <c r="DI23" i="55"/>
  <c r="DI24" i="55"/>
  <c r="DI25" i="55"/>
  <c r="DI26" i="55"/>
  <c r="DI27" i="55"/>
  <c r="DI28" i="55"/>
  <c r="DI29" i="55"/>
  <c r="DI30" i="55"/>
  <c r="DI31" i="55"/>
  <c r="DI32" i="55"/>
  <c r="DI33" i="55"/>
  <c r="DI34" i="55"/>
  <c r="DI35" i="55"/>
  <c r="DI36" i="55"/>
  <c r="DI37" i="55"/>
  <c r="DI38" i="55"/>
  <c r="DI39" i="55"/>
  <c r="DI40" i="55"/>
  <c r="DI41" i="55"/>
  <c r="DI42" i="55"/>
  <c r="DI43" i="55"/>
  <c r="DI44" i="55"/>
  <c r="DI45" i="55"/>
  <c r="DI46" i="55"/>
  <c r="DI47" i="55"/>
  <c r="DI48" i="55"/>
  <c r="DI49" i="55"/>
  <c r="DI50" i="55"/>
  <c r="DI51" i="55"/>
  <c r="DI52" i="55"/>
  <c r="DI53" i="55"/>
  <c r="DI54" i="55"/>
  <c r="DI55" i="55"/>
  <c r="DI56" i="55"/>
  <c r="DI57" i="55"/>
  <c r="DI58" i="55"/>
  <c r="DI59" i="55"/>
  <c r="DI60" i="55"/>
  <c r="DI61" i="55"/>
  <c r="DI62" i="55"/>
  <c r="DI63" i="55"/>
  <c r="DI64" i="55"/>
  <c r="DI65" i="55"/>
  <c r="DI66" i="55"/>
  <c r="DI67" i="55"/>
  <c r="DI68" i="55"/>
  <c r="DI69" i="55"/>
  <c r="DI70" i="55"/>
  <c r="DI71" i="55"/>
  <c r="DI72" i="55"/>
  <c r="DI73" i="55"/>
  <c r="DI74" i="55"/>
  <c r="DI75" i="55"/>
  <c r="DI76" i="55"/>
  <c r="DI77" i="55"/>
  <c r="DI78" i="55"/>
  <c r="DI79" i="55"/>
  <c r="DI80" i="55"/>
  <c r="DI81" i="55"/>
  <c r="DI82" i="55"/>
  <c r="DI83" i="55"/>
  <c r="DI84" i="55"/>
  <c r="DI85" i="55"/>
  <c r="DI86" i="55"/>
  <c r="DI87" i="55"/>
  <c r="DI88" i="55"/>
  <c r="DI89" i="55"/>
  <c r="DI90" i="55"/>
  <c r="DI91" i="55"/>
  <c r="DI92" i="55"/>
  <c r="DI93" i="55"/>
  <c r="DI94" i="55"/>
  <c r="DI95" i="55"/>
  <c r="DI96" i="55"/>
  <c r="DI97" i="55"/>
  <c r="DI98" i="55"/>
  <c r="DI99" i="55"/>
  <c r="DI100" i="55"/>
  <c r="DI101" i="55"/>
  <c r="DI102" i="55"/>
  <c r="DI103" i="55"/>
  <c r="DI104" i="55"/>
  <c r="DI105" i="55"/>
  <c r="DI106" i="55"/>
  <c r="DI107" i="55"/>
  <c r="DI108" i="55"/>
  <c r="DI109" i="55"/>
  <c r="DI110" i="55"/>
  <c r="DI111" i="55"/>
  <c r="DI112" i="55"/>
  <c r="DI113" i="55"/>
  <c r="DI114" i="55"/>
  <c r="DI115" i="55"/>
  <c r="DI116" i="55"/>
  <c r="DI117" i="55"/>
  <c r="DI118" i="55"/>
  <c r="DI119" i="55"/>
  <c r="DI120" i="55"/>
  <c r="DI121" i="55"/>
  <c r="DI122" i="55"/>
  <c r="DI123" i="55"/>
  <c r="DI124" i="55"/>
  <c r="DI125" i="55"/>
  <c r="DI126" i="55"/>
  <c r="DI127" i="55"/>
  <c r="DI128" i="55"/>
  <c r="DI129" i="55"/>
  <c r="DI130" i="55"/>
  <c r="DI131" i="55"/>
  <c r="DI132" i="55"/>
  <c r="DI133" i="55"/>
  <c r="DI134" i="55"/>
  <c r="DI135" i="55"/>
  <c r="DI136" i="55"/>
  <c r="DI137" i="55"/>
  <c r="DI138" i="55"/>
  <c r="DI139" i="55"/>
  <c r="DI140" i="55"/>
  <c r="DI141" i="55"/>
  <c r="DI142" i="55"/>
  <c r="DI143" i="55"/>
  <c r="DI144" i="55"/>
  <c r="DI145" i="55"/>
  <c r="DI146" i="55"/>
  <c r="DI147" i="55"/>
  <c r="DI148" i="55"/>
  <c r="DI149" i="55"/>
  <c r="DI150" i="55"/>
  <c r="DI151" i="55"/>
  <c r="DI152" i="55"/>
  <c r="DI153" i="55"/>
  <c r="DI154" i="55"/>
  <c r="DI155" i="55"/>
  <c r="DI156" i="55"/>
  <c r="DI157" i="55"/>
  <c r="DI158" i="55"/>
  <c r="DI159" i="55"/>
  <c r="DI160" i="55"/>
  <c r="DI161" i="55"/>
  <c r="DI162" i="55"/>
  <c r="DI163" i="55"/>
  <c r="DI164" i="55"/>
  <c r="DI165" i="55"/>
  <c r="DI166" i="55"/>
  <c r="DI167" i="55"/>
  <c r="DI168" i="55"/>
  <c r="DI169" i="55"/>
  <c r="DI170" i="55"/>
  <c r="DI171" i="55"/>
  <c r="DI172" i="55"/>
  <c r="DI173" i="55"/>
  <c r="DI174" i="55"/>
  <c r="DI175" i="55"/>
  <c r="DI176" i="55"/>
  <c r="DI177" i="55"/>
  <c r="DI178" i="55"/>
  <c r="DI179" i="55"/>
  <c r="DI180" i="55"/>
  <c r="DI181" i="55"/>
  <c r="DI182" i="55"/>
  <c r="DI183" i="55"/>
  <c r="DI184" i="55"/>
  <c r="DI185" i="55"/>
  <c r="DI186" i="55"/>
  <c r="DI187" i="55"/>
  <c r="DI188" i="55"/>
  <c r="DI189" i="55"/>
  <c r="DI190" i="55"/>
  <c r="DI191" i="55"/>
  <c r="DI192" i="55"/>
  <c r="DI193" i="55"/>
  <c r="DI194" i="55"/>
  <c r="DI195" i="55"/>
  <c r="DI196" i="55"/>
  <c r="DI197" i="55"/>
  <c r="DI198" i="55"/>
  <c r="DI199" i="55"/>
  <c r="DI200" i="55"/>
  <c r="DI201" i="55"/>
  <c r="DI202" i="55"/>
  <c r="DI203" i="55"/>
  <c r="DI204" i="55"/>
  <c r="DI205" i="55"/>
  <c r="DI206" i="55"/>
  <c r="DI207" i="55"/>
  <c r="DI208" i="55"/>
  <c r="DI209" i="55"/>
  <c r="DI210" i="55"/>
  <c r="DI211" i="55"/>
  <c r="DI212" i="55"/>
  <c r="DI213" i="55"/>
  <c r="DI214" i="55"/>
  <c r="DI215" i="55"/>
  <c r="DI216" i="55"/>
  <c r="DI217" i="55"/>
  <c r="DI218" i="55"/>
  <c r="DI219" i="55"/>
  <c r="DI220" i="55"/>
  <c r="DI221" i="55"/>
  <c r="DI222" i="55"/>
  <c r="DI223" i="55"/>
  <c r="DI224" i="55"/>
  <c r="DI225" i="55"/>
  <c r="DI226" i="55"/>
  <c r="DI227" i="55"/>
  <c r="DI228" i="55"/>
  <c r="DI229" i="55"/>
  <c r="DI230" i="55"/>
  <c r="DI231" i="55"/>
  <c r="DI232" i="55"/>
  <c r="DI233" i="55"/>
  <c r="DI234" i="55"/>
  <c r="DI235" i="55"/>
  <c r="DI236" i="55"/>
  <c r="DI237" i="55"/>
  <c r="DI238" i="55"/>
  <c r="DI239" i="55"/>
  <c r="DI240" i="55"/>
  <c r="DI241" i="55"/>
  <c r="DI242" i="55"/>
  <c r="DI243" i="55"/>
  <c r="DI244" i="55"/>
  <c r="DI245" i="55"/>
  <c r="DI246" i="55"/>
  <c r="DI247" i="55"/>
  <c r="DI248" i="55"/>
  <c r="DI249" i="55"/>
  <c r="DI250" i="55"/>
  <c r="DI251" i="55"/>
  <c r="DI252" i="55"/>
  <c r="DI253" i="55"/>
  <c r="DI254" i="55"/>
  <c r="DI255" i="55"/>
  <c r="DI256" i="55"/>
  <c r="DI257" i="55"/>
  <c r="DI258" i="55"/>
  <c r="DI259" i="55"/>
  <c r="DI260" i="55"/>
  <c r="DI261" i="55"/>
  <c r="DI262" i="55"/>
  <c r="DI263" i="55"/>
  <c r="DI264" i="55"/>
  <c r="DI265" i="55"/>
  <c r="DI266" i="55"/>
  <c r="DI267" i="55"/>
  <c r="DI268" i="55"/>
  <c r="DI269" i="55"/>
  <c r="DI270" i="55"/>
  <c r="DI271" i="55"/>
  <c r="DI272" i="55"/>
  <c r="DI273" i="55"/>
  <c r="DI274" i="55"/>
  <c r="DI275" i="55"/>
  <c r="DI276" i="55"/>
  <c r="DI277" i="55"/>
  <c r="DI278" i="55"/>
  <c r="DI279" i="55"/>
  <c r="DI280" i="55"/>
  <c r="DI281" i="55"/>
  <c r="DI282" i="55"/>
  <c r="DI283" i="55"/>
  <c r="DI284" i="55"/>
  <c r="DI285" i="55"/>
  <c r="DI286" i="55"/>
  <c r="DI287" i="55"/>
  <c r="DI288" i="55"/>
  <c r="DI289" i="55"/>
  <c r="DI290" i="55"/>
  <c r="DI291" i="55"/>
  <c r="DI292" i="55"/>
  <c r="DI293" i="55"/>
  <c r="DI294" i="55"/>
  <c r="DI295" i="55"/>
  <c r="DJ295" i="55" s="1" a="1"/>
  <c r="DJ295" i="55" s="1"/>
  <c r="DI296" i="55"/>
  <c r="DI297" i="55"/>
  <c r="DI298" i="55"/>
  <c r="DI299" i="55"/>
  <c r="DI300" i="55"/>
  <c r="DI301" i="55"/>
  <c r="DI302" i="55"/>
  <c r="DI303" i="55"/>
  <c r="DI304" i="55"/>
  <c r="DI305" i="55"/>
  <c r="DI306" i="55"/>
  <c r="DI307" i="55"/>
  <c r="DI308" i="55"/>
  <c r="DI309" i="55"/>
  <c r="DI310" i="55"/>
  <c r="DI311" i="55"/>
  <c r="DI312" i="55"/>
  <c r="DI313" i="55"/>
  <c r="DI314" i="55"/>
  <c r="DI315" i="55"/>
  <c r="DI316" i="55"/>
  <c r="DI317" i="55"/>
  <c r="DI318" i="55"/>
  <c r="DI319" i="55"/>
  <c r="DI320" i="55"/>
  <c r="DI321" i="55"/>
  <c r="DI322" i="55"/>
  <c r="DI323" i="55"/>
  <c r="DI324" i="55"/>
  <c r="DI325" i="55"/>
  <c r="DI326" i="55"/>
  <c r="DI327" i="55"/>
  <c r="DI328" i="55"/>
  <c r="DI329" i="55"/>
  <c r="DI330" i="55"/>
  <c r="DI331" i="55"/>
  <c r="DI332" i="55"/>
  <c r="DI333" i="55"/>
  <c r="DI334" i="55"/>
  <c r="DI335" i="55"/>
  <c r="DI336" i="55"/>
  <c r="DI337" i="55"/>
  <c r="DI338" i="55"/>
  <c r="DI339" i="55"/>
  <c r="DI340" i="55"/>
  <c r="DI341" i="55"/>
  <c r="DI342" i="55"/>
  <c r="DI343" i="55"/>
  <c r="DI344" i="55"/>
  <c r="DI345" i="55"/>
  <c r="DI346" i="55"/>
  <c r="DI347" i="55"/>
  <c r="DI348" i="55"/>
  <c r="DI349" i="55"/>
  <c r="DI350" i="55"/>
  <c r="DI351" i="55"/>
  <c r="DI352" i="55"/>
  <c r="DH55" i="55"/>
  <c r="DH57" i="55"/>
  <c r="DJ57" i="55" s="1" a="1"/>
  <c r="DJ57" i="55" s="1"/>
  <c r="DH104" i="55"/>
  <c r="DH105" i="55"/>
  <c r="DJ105" i="55" s="1" a="1"/>
  <c r="DJ105" i="55" s="1"/>
  <c r="DH147" i="55"/>
  <c r="DJ147" i="55" s="1" a="1"/>
  <c r="DJ147" i="55" s="1"/>
  <c r="DK147" i="55" s="1"/>
  <c r="DH148" i="55"/>
  <c r="DJ148" i="55" s="1" a="1"/>
  <c r="DJ148" i="55" s="1"/>
  <c r="DH156" i="55"/>
  <c r="DH180" i="55"/>
  <c r="DJ180" i="55" s="1" a="1"/>
  <c r="DJ180" i="55" s="1"/>
  <c r="DH182" i="55"/>
  <c r="DJ182" i="55" s="1" a="1"/>
  <c r="DJ182" i="55" s="1"/>
  <c r="DH183" i="55"/>
  <c r="DJ183" i="55" s="1" a="1"/>
  <c r="DJ183" i="55" s="1"/>
  <c r="DH230" i="55"/>
  <c r="DJ230" i="55" s="1" a="1"/>
  <c r="DJ230" i="55" s="1"/>
  <c r="DH231" i="55"/>
  <c r="DJ231" i="55" s="1" a="1"/>
  <c r="DJ231" i="55" s="1"/>
  <c r="DH232" i="55"/>
  <c r="DH244" i="55"/>
  <c r="DJ244" i="55" s="1" a="1"/>
  <c r="DJ244" i="55" s="1"/>
  <c r="DH247" i="55"/>
  <c r="DH263" i="55"/>
  <c r="DJ263" i="55" s="1" a="1"/>
  <c r="DJ263" i="55" s="1"/>
  <c r="DH265" i="55"/>
  <c r="DH269" i="55"/>
  <c r="DH275" i="55"/>
  <c r="DJ275" i="55" s="1" a="1"/>
  <c r="DJ275" i="55" s="1"/>
  <c r="DH311" i="55"/>
  <c r="DJ311" i="55" s="1" a="1"/>
  <c r="DJ311" i="55" s="1"/>
  <c r="DH312" i="55"/>
  <c r="DH318" i="55"/>
  <c r="DH319" i="55"/>
  <c r="DJ319" i="55" s="1" a="1"/>
  <c r="DJ319" i="55" s="1"/>
  <c r="DG27" i="55"/>
  <c r="DH27" i="55" s="1"/>
  <c r="DG28" i="55"/>
  <c r="DH28" i="55" s="1"/>
  <c r="DJ28" i="55" s="1" a="1"/>
  <c r="DJ28" i="55" s="1"/>
  <c r="DK28" i="55" s="1"/>
  <c r="DG29" i="55"/>
  <c r="DH29" i="55" s="1"/>
  <c r="DJ29" i="55" s="1" a="1"/>
  <c r="DJ29" i="55" s="1"/>
  <c r="DG30" i="55"/>
  <c r="DH30" i="55" s="1"/>
  <c r="DJ30" i="55" s="1" a="1"/>
  <c r="DJ30" i="55" s="1"/>
  <c r="DG54" i="55"/>
  <c r="DH54" i="55" s="1"/>
  <c r="DG55" i="55"/>
  <c r="DG56" i="55"/>
  <c r="DH56" i="55" s="1"/>
  <c r="DG57" i="55"/>
  <c r="DG58" i="55"/>
  <c r="DH58" i="55" s="1"/>
  <c r="DJ58" i="55" s="1" a="1"/>
  <c r="DJ58" i="55" s="1"/>
  <c r="DG59" i="55"/>
  <c r="DH59" i="55" s="1"/>
  <c r="DJ59" i="55" s="1" a="1"/>
  <c r="DJ59" i="55" s="1"/>
  <c r="DG60" i="55"/>
  <c r="DH60" i="55" s="1"/>
  <c r="DG61" i="55"/>
  <c r="DH61" i="55" s="1"/>
  <c r="DG62" i="55"/>
  <c r="DH62" i="55" s="1"/>
  <c r="DG63" i="55"/>
  <c r="DH63" i="55" s="1"/>
  <c r="DJ63" i="55" s="1" a="1"/>
  <c r="DJ63" i="55" s="1"/>
  <c r="DK63" i="55" s="1"/>
  <c r="DG64" i="55"/>
  <c r="DH64" i="55" s="1"/>
  <c r="DJ64" i="55" s="1" a="1"/>
  <c r="DJ64" i="55" s="1"/>
  <c r="DG65" i="55"/>
  <c r="DH65" i="55" s="1"/>
  <c r="DG66" i="55"/>
  <c r="DH66" i="55" s="1"/>
  <c r="DG67" i="55"/>
  <c r="DH67" i="55" s="1"/>
  <c r="DJ67" i="55" s="1" a="1"/>
  <c r="DJ67" i="55" s="1"/>
  <c r="DG68" i="55"/>
  <c r="DH68" i="55" s="1"/>
  <c r="DJ68" i="55" s="1" a="1"/>
  <c r="DJ68" i="55" s="1"/>
  <c r="DG69" i="55"/>
  <c r="DH69" i="55" s="1"/>
  <c r="DJ69" i="55" s="1" a="1"/>
  <c r="DJ69" i="55" s="1"/>
  <c r="DG70" i="55"/>
  <c r="DH70" i="55" s="1"/>
  <c r="DG71" i="55"/>
  <c r="DH71" i="55" s="1"/>
  <c r="DG72" i="55"/>
  <c r="DH72" i="55" s="1"/>
  <c r="DJ72" i="55" s="1" a="1"/>
  <c r="DJ72" i="55" s="1"/>
  <c r="DG73" i="55"/>
  <c r="DH73" i="55" s="1"/>
  <c r="DJ73" i="55" s="1" a="1"/>
  <c r="DJ73" i="55" s="1"/>
  <c r="DG74" i="55"/>
  <c r="DH74" i="55" s="1"/>
  <c r="DJ74" i="55" s="1" a="1"/>
  <c r="DJ74" i="55" s="1"/>
  <c r="DG75" i="55"/>
  <c r="DH75" i="55" s="1"/>
  <c r="DJ75" i="55" s="1" a="1"/>
  <c r="DJ75" i="55" s="1"/>
  <c r="DG76" i="55"/>
  <c r="DH76" i="55" s="1"/>
  <c r="DG77" i="55"/>
  <c r="DH77" i="55" s="1"/>
  <c r="DG78" i="55"/>
  <c r="DH78" i="55" s="1"/>
  <c r="DG79" i="55"/>
  <c r="DH79" i="55" s="1"/>
  <c r="DG80" i="55"/>
  <c r="DH80" i="55" s="1"/>
  <c r="DJ80" i="55" s="1" a="1"/>
  <c r="DJ80" i="55" s="1"/>
  <c r="DG81" i="55"/>
  <c r="DH81" i="55" s="1"/>
  <c r="DG82" i="55"/>
  <c r="DH82" i="55" s="1"/>
  <c r="DG83" i="55"/>
  <c r="DH83" i="55" s="1"/>
  <c r="DJ83" i="55" s="1" a="1"/>
  <c r="DJ83" i="55" s="1"/>
  <c r="DG84" i="55"/>
  <c r="DH84" i="55" s="1"/>
  <c r="DJ84" i="55" s="1" a="1"/>
  <c r="DJ84" i="55" s="1"/>
  <c r="DK84" i="55" s="1"/>
  <c r="DG85" i="55"/>
  <c r="DH85" i="55" s="1"/>
  <c r="DJ85" i="55" s="1" a="1"/>
  <c r="DJ85" i="55" s="1"/>
  <c r="DK85" i="55" s="1"/>
  <c r="DG86" i="55"/>
  <c r="DH86" i="55" s="1"/>
  <c r="DJ86" i="55" s="1" a="1"/>
  <c r="DJ86" i="55" s="1"/>
  <c r="DN86" i="55" s="1"/>
  <c r="DG87" i="55"/>
  <c r="DH87" i="55" s="1"/>
  <c r="DG89" i="55"/>
  <c r="DH89" i="55" s="1"/>
  <c r="DJ89" i="55" s="1" a="1"/>
  <c r="DJ89" i="55" s="1"/>
  <c r="DG90" i="55"/>
  <c r="DH90" i="55" s="1"/>
  <c r="DJ90" i="55" s="1" a="1"/>
  <c r="DJ90" i="55" s="1"/>
  <c r="DG91" i="55"/>
  <c r="DH91" i="55" s="1"/>
  <c r="DJ91" i="55" s="1" a="1"/>
  <c r="DJ91" i="55" s="1"/>
  <c r="DG92" i="55"/>
  <c r="DH92" i="55" s="1"/>
  <c r="DJ92" i="55" s="1" a="1"/>
  <c r="DJ92" i="55" s="1"/>
  <c r="DG93" i="55"/>
  <c r="DH93" i="55" s="1"/>
  <c r="DG94" i="55"/>
  <c r="DH94" i="55" s="1"/>
  <c r="DG95" i="55"/>
  <c r="DH95" i="55" s="1"/>
  <c r="DJ95" i="55" s="1" a="1"/>
  <c r="DJ95" i="55" s="1"/>
  <c r="DG96" i="55"/>
  <c r="DH96" i="55" s="1"/>
  <c r="DJ96" i="55" s="1" a="1"/>
  <c r="DJ96" i="55" s="1"/>
  <c r="DK96" i="55" s="1"/>
  <c r="DG97" i="55"/>
  <c r="DH97" i="55" s="1"/>
  <c r="DG98" i="55"/>
  <c r="DH98" i="55" s="1"/>
  <c r="DG99" i="55"/>
  <c r="DH99" i="55" s="1"/>
  <c r="DJ99" i="55" s="1" a="1"/>
  <c r="DJ99" i="55" s="1"/>
  <c r="DG100" i="55"/>
  <c r="DH100" i="55" s="1"/>
  <c r="DJ100" i="55" s="1" a="1"/>
  <c r="DJ100" i="55" s="1"/>
  <c r="DG101" i="55"/>
  <c r="DH101" i="55" s="1"/>
  <c r="DJ101" i="55" s="1" a="1"/>
  <c r="DJ101" i="55" s="1"/>
  <c r="DG103" i="55"/>
  <c r="DH103" i="55" s="1"/>
  <c r="DJ103" i="55" s="1" a="1"/>
  <c r="DJ103" i="55" s="1"/>
  <c r="DG104" i="55"/>
  <c r="DG105" i="55"/>
  <c r="DG106" i="55"/>
  <c r="DH106" i="55" s="1"/>
  <c r="DJ106" i="55" s="1" a="1"/>
  <c r="DJ106" i="55" s="1"/>
  <c r="DG107" i="55"/>
  <c r="DH107" i="55" s="1"/>
  <c r="DJ107" i="55" s="1" a="1"/>
  <c r="DJ107" i="55" s="1"/>
  <c r="DG108" i="55"/>
  <c r="DH108" i="55" s="1"/>
  <c r="DJ108" i="55" s="1" a="1"/>
  <c r="DJ108" i="55" s="1"/>
  <c r="DG109" i="55"/>
  <c r="DH109" i="55" s="1"/>
  <c r="DJ109" i="55" s="1" a="1"/>
  <c r="DJ109" i="55" s="1"/>
  <c r="DG110" i="55"/>
  <c r="DH110" i="55" s="1"/>
  <c r="DG111" i="55"/>
  <c r="DH111" i="55" s="1"/>
  <c r="DJ111" i="55" s="1" a="1"/>
  <c r="DJ111" i="55" s="1"/>
  <c r="DG112" i="55"/>
  <c r="DH112" i="55" s="1"/>
  <c r="DG113" i="55"/>
  <c r="DH113" i="55" s="1"/>
  <c r="DG114" i="55"/>
  <c r="DH114" i="55" s="1"/>
  <c r="DG115" i="55"/>
  <c r="DH115" i="55" s="1"/>
  <c r="DJ115" i="55" s="1" a="1"/>
  <c r="DJ115" i="55" s="1"/>
  <c r="DG116" i="55"/>
  <c r="DH116" i="55" s="1"/>
  <c r="DJ116" i="55" s="1" a="1"/>
  <c r="DJ116" i="55" s="1"/>
  <c r="DG117" i="55"/>
  <c r="DH117" i="55" s="1"/>
  <c r="DJ117" i="55" s="1" a="1"/>
  <c r="DJ117" i="55" s="1"/>
  <c r="DK117" i="55" s="1"/>
  <c r="DG118" i="55"/>
  <c r="DH118" i="55" s="1"/>
  <c r="DJ118" i="55" s="1" a="1"/>
  <c r="DJ118" i="55" s="1"/>
  <c r="DG119" i="55"/>
  <c r="DH119" i="55" s="1"/>
  <c r="DJ119" i="55" s="1" a="1"/>
  <c r="DJ119" i="55" s="1"/>
  <c r="DG120" i="55"/>
  <c r="DH120" i="55" s="1"/>
  <c r="DG121" i="55"/>
  <c r="DH121" i="55" s="1"/>
  <c r="DJ121" i="55" s="1" a="1"/>
  <c r="DJ121" i="55" s="1"/>
  <c r="DG122" i="55"/>
  <c r="DH122" i="55" s="1"/>
  <c r="DJ122" i="55" s="1" a="1"/>
  <c r="DJ122" i="55" s="1"/>
  <c r="DG123" i="55"/>
  <c r="DH123" i="55" s="1"/>
  <c r="DJ123" i="55" s="1" a="1"/>
  <c r="DJ123" i="55" s="1"/>
  <c r="DG124" i="55"/>
  <c r="DH124" i="55" s="1"/>
  <c r="DJ124" i="55" s="1" a="1"/>
  <c r="DJ124" i="55" s="1"/>
  <c r="DG125" i="55"/>
  <c r="DH125" i="55" s="1"/>
  <c r="DJ125" i="55" s="1" a="1"/>
  <c r="DJ125" i="55" s="1"/>
  <c r="DG126" i="55"/>
  <c r="DH126" i="55" s="1"/>
  <c r="DG127" i="55"/>
  <c r="DH127" i="55" s="1"/>
  <c r="DJ127" i="55" s="1" a="1"/>
  <c r="DJ127" i="55" s="1"/>
  <c r="DG128" i="55"/>
  <c r="DH128" i="55" s="1"/>
  <c r="DJ128" i="55" s="1" a="1"/>
  <c r="DJ128" i="55" s="1"/>
  <c r="DG131" i="55"/>
  <c r="DH131" i="55" s="1"/>
  <c r="DG132" i="55"/>
  <c r="DH132" i="55" s="1"/>
  <c r="DJ132" i="55" s="1" a="1"/>
  <c r="DJ132" i="55" s="1"/>
  <c r="DG133" i="55"/>
  <c r="DH133" i="55" s="1"/>
  <c r="DG134" i="55"/>
  <c r="DH134" i="55" s="1"/>
  <c r="DG135" i="55"/>
  <c r="DH135" i="55" s="1"/>
  <c r="DJ135" i="55" s="1" a="1"/>
  <c r="DJ135" i="55" s="1"/>
  <c r="DG136" i="55"/>
  <c r="DH136" i="55" s="1"/>
  <c r="DG137" i="55"/>
  <c r="DH137" i="55" s="1"/>
  <c r="DG138" i="55"/>
  <c r="DH138" i="55" s="1"/>
  <c r="DJ138" i="55" s="1" a="1"/>
  <c r="DJ138" i="55" s="1"/>
  <c r="DG139" i="55"/>
  <c r="DH139" i="55" s="1"/>
  <c r="DG140" i="55"/>
  <c r="DH140" i="55" s="1"/>
  <c r="DJ140" i="55" s="1" a="1"/>
  <c r="DJ140" i="55" s="1"/>
  <c r="DG141" i="55"/>
  <c r="DH141" i="55" s="1"/>
  <c r="DJ141" i="55" s="1" a="1"/>
  <c r="DJ141" i="55" s="1"/>
  <c r="DG142" i="55"/>
  <c r="DH142" i="55" s="1"/>
  <c r="DJ142" i="55" s="1" a="1"/>
  <c r="DJ142" i="55" s="1"/>
  <c r="DG143" i="55"/>
  <c r="DH143" i="55" s="1"/>
  <c r="DJ143" i="55" s="1" a="1"/>
  <c r="DJ143" i="55" s="1"/>
  <c r="DG144" i="55"/>
  <c r="DH144" i="55" s="1"/>
  <c r="DJ144" i="55" s="1" a="1"/>
  <c r="DJ144" i="55" s="1"/>
  <c r="DG145" i="55"/>
  <c r="DH145" i="55" s="1"/>
  <c r="DG146" i="55"/>
  <c r="DH146" i="55" s="1"/>
  <c r="DG147" i="55"/>
  <c r="DG148" i="55"/>
  <c r="DG149" i="55"/>
  <c r="DH149" i="55" s="1"/>
  <c r="DJ149" i="55" s="1" a="1"/>
  <c r="DJ149" i="55" s="1"/>
  <c r="DN149" i="55" s="1"/>
  <c r="DG150" i="55"/>
  <c r="DH150" i="55" s="1"/>
  <c r="DG151" i="55"/>
  <c r="DH151" i="55" s="1"/>
  <c r="DG152" i="55"/>
  <c r="DH152" i="55" s="1"/>
  <c r="DG153" i="55"/>
  <c r="DH153" i="55" s="1"/>
  <c r="DG155" i="55"/>
  <c r="DH155" i="55" s="1"/>
  <c r="DG156" i="55"/>
  <c r="DG157" i="55"/>
  <c r="DH157" i="55" s="1"/>
  <c r="DG158" i="55"/>
  <c r="DH158" i="55" s="1"/>
  <c r="DG159" i="55"/>
  <c r="DH159" i="55" s="1"/>
  <c r="DJ159" i="55" s="1" a="1"/>
  <c r="DJ159" i="55" s="1"/>
  <c r="DK159" i="55" s="1"/>
  <c r="DG160" i="55"/>
  <c r="DH160" i="55" s="1"/>
  <c r="DJ160" i="55" s="1" a="1"/>
  <c r="DJ160" i="55" s="1"/>
  <c r="DK160" i="55" s="1"/>
  <c r="DG161" i="55"/>
  <c r="DH161" i="55" s="1"/>
  <c r="DG162" i="55"/>
  <c r="DH162" i="55" s="1"/>
  <c r="DG163" i="55"/>
  <c r="DH163" i="55" s="1"/>
  <c r="DJ163" i="55" s="1" a="1"/>
  <c r="DJ163" i="55" s="1"/>
  <c r="DK163" i="55" s="1"/>
  <c r="DG164" i="55"/>
  <c r="DH164" i="55" s="1"/>
  <c r="DJ164" i="55" s="1" a="1"/>
  <c r="DJ164" i="55" s="1"/>
  <c r="DG165" i="55"/>
  <c r="DH165" i="55" s="1"/>
  <c r="DJ165" i="55" s="1" a="1"/>
  <c r="DJ165" i="55" s="1"/>
  <c r="DG166" i="55"/>
  <c r="DH166" i="55" s="1"/>
  <c r="DJ166" i="55" s="1" a="1"/>
  <c r="DJ166" i="55" s="1"/>
  <c r="DG167" i="55"/>
  <c r="DH167" i="55" s="1"/>
  <c r="DG168" i="55"/>
  <c r="DH168" i="55" s="1"/>
  <c r="DG169" i="55"/>
  <c r="DH169" i="55" s="1"/>
  <c r="DG170" i="55"/>
  <c r="DH170" i="55" s="1"/>
  <c r="DJ170" i="55" s="1" a="1"/>
  <c r="DJ170" i="55" s="1"/>
  <c r="DG171" i="55"/>
  <c r="DH171" i="55" s="1"/>
  <c r="DG172" i="55"/>
  <c r="DH172" i="55" s="1"/>
  <c r="DG173" i="55"/>
  <c r="DH173" i="55" s="1"/>
  <c r="DG174" i="55"/>
  <c r="DH174" i="55" s="1"/>
  <c r="DJ174" i="55" s="1" a="1"/>
  <c r="DJ174" i="55" s="1"/>
  <c r="DG175" i="55"/>
  <c r="DH175" i="55" s="1"/>
  <c r="DJ175" i="55" s="1" a="1"/>
  <c r="DJ175" i="55" s="1"/>
  <c r="DG176" i="55"/>
  <c r="DH176" i="55" s="1"/>
  <c r="DJ176" i="55" s="1" a="1"/>
  <c r="DJ176" i="55" s="1"/>
  <c r="DG177" i="55"/>
  <c r="DH177" i="55" s="1"/>
  <c r="DG178" i="55"/>
  <c r="DH178" i="55" s="1"/>
  <c r="DG179" i="55"/>
  <c r="DH179" i="55" s="1"/>
  <c r="DG180" i="55"/>
  <c r="DG181" i="55"/>
  <c r="DH181" i="55" s="1"/>
  <c r="DJ181" i="55" s="1" a="1"/>
  <c r="DJ181" i="55" s="1"/>
  <c r="DG182" i="55"/>
  <c r="DG183" i="55"/>
  <c r="DG185" i="55"/>
  <c r="DH185" i="55" s="1"/>
  <c r="DG186" i="55"/>
  <c r="DH186" i="55" s="1"/>
  <c r="DJ186" i="55" s="1" a="1"/>
  <c r="DJ186" i="55" s="1"/>
  <c r="DG187" i="55"/>
  <c r="DH187" i="55" s="1"/>
  <c r="DG188" i="55"/>
  <c r="DH188" i="55" s="1"/>
  <c r="DG189" i="55"/>
  <c r="DH189" i="55" s="1"/>
  <c r="DG190" i="55"/>
  <c r="DH190" i="55" s="1"/>
  <c r="DG191" i="55"/>
  <c r="DH191" i="55" s="1"/>
  <c r="DJ191" i="55" s="1" a="1"/>
  <c r="DJ191" i="55" s="1"/>
  <c r="DG192" i="55"/>
  <c r="DH192" i="55" s="1"/>
  <c r="DJ192" i="55" s="1" a="1"/>
  <c r="DJ192" i="55" s="1"/>
  <c r="DG193" i="55"/>
  <c r="DH193" i="55" s="1"/>
  <c r="DG194" i="55"/>
  <c r="DH194" i="55" s="1"/>
  <c r="DG195" i="55"/>
  <c r="DH195" i="55" s="1"/>
  <c r="DJ195" i="55" s="1" a="1"/>
  <c r="DJ195" i="55" s="1"/>
  <c r="DG196" i="55"/>
  <c r="DH196" i="55" s="1"/>
  <c r="DJ196" i="55" s="1" a="1"/>
  <c r="DJ196" i="55" s="1"/>
  <c r="DG197" i="55"/>
  <c r="DH197" i="55" s="1"/>
  <c r="DJ197" i="55" s="1" a="1"/>
  <c r="DJ197" i="55" s="1"/>
  <c r="DG198" i="55"/>
  <c r="DH198" i="55" s="1"/>
  <c r="DG199" i="55"/>
  <c r="DH199" i="55" s="1"/>
  <c r="DG200" i="55"/>
  <c r="DH200" i="55" s="1"/>
  <c r="DG201" i="55"/>
  <c r="DH201" i="55" s="1"/>
  <c r="DG202" i="55"/>
  <c r="DH202" i="55" s="1"/>
  <c r="DJ202" i="55" s="1" a="1"/>
  <c r="DJ202" i="55" s="1"/>
  <c r="DG203" i="55"/>
  <c r="DH203" i="55" s="1"/>
  <c r="DG204" i="55"/>
  <c r="DH204" i="55" s="1"/>
  <c r="DG205" i="55"/>
  <c r="DH205" i="55" s="1"/>
  <c r="DG206" i="55"/>
  <c r="DH206" i="55" s="1"/>
  <c r="DG207" i="55"/>
  <c r="DH207" i="55" s="1"/>
  <c r="DJ207" i="55" s="1" a="1"/>
  <c r="DJ207" i="55" s="1"/>
  <c r="DK207" i="55" s="1"/>
  <c r="DG208" i="55"/>
  <c r="DH208" i="55" s="1"/>
  <c r="DJ208" i="55" s="1" a="1"/>
  <c r="DJ208" i="55" s="1"/>
  <c r="DG209" i="55"/>
  <c r="DH209" i="55" s="1"/>
  <c r="DG210" i="55"/>
  <c r="DH210" i="55" s="1"/>
  <c r="DG211" i="55"/>
  <c r="DH211" i="55" s="1"/>
  <c r="DJ211" i="55" s="1" a="1"/>
  <c r="DJ211" i="55" s="1"/>
  <c r="DK211" i="55" s="1"/>
  <c r="DG212" i="55"/>
  <c r="DH212" i="55" s="1"/>
  <c r="DJ212" i="55" s="1" a="1"/>
  <c r="DJ212" i="55" s="1"/>
  <c r="DK212" i="55" s="1"/>
  <c r="DG213" i="55"/>
  <c r="DH213" i="55" s="1"/>
  <c r="DG214" i="55"/>
  <c r="DH214" i="55" s="1"/>
  <c r="DG215" i="55"/>
  <c r="DH215" i="55" s="1"/>
  <c r="DG216" i="55"/>
  <c r="DH216" i="55" s="1"/>
  <c r="DG217" i="55"/>
  <c r="DH217" i="55" s="1"/>
  <c r="DJ217" i="55" s="1" a="1"/>
  <c r="DJ217" i="55" s="1"/>
  <c r="DG218" i="55"/>
  <c r="DH218" i="55" s="1"/>
  <c r="DJ218" i="55" s="1" a="1"/>
  <c r="DJ218" i="55" s="1"/>
  <c r="DG219" i="55"/>
  <c r="DH219" i="55" s="1"/>
  <c r="DG220" i="55"/>
  <c r="DH220" i="55" s="1"/>
  <c r="DG221" i="55"/>
  <c r="DH221" i="55" s="1"/>
  <c r="DG222" i="55"/>
  <c r="DH222" i="55" s="1"/>
  <c r="DG223" i="55"/>
  <c r="DH223" i="55" s="1"/>
  <c r="DJ223" i="55" s="1" a="1"/>
  <c r="DJ223" i="55" s="1"/>
  <c r="DG225" i="55"/>
  <c r="DH225" i="55" s="1"/>
  <c r="DG226" i="55"/>
  <c r="DH226" i="55" s="1"/>
  <c r="DG227" i="55"/>
  <c r="DH227" i="55" s="1"/>
  <c r="DJ227" i="55" s="1" a="1"/>
  <c r="DJ227" i="55" s="1"/>
  <c r="DK227" i="55" s="1"/>
  <c r="DG228" i="55"/>
  <c r="DH228" i="55" s="1"/>
  <c r="DJ228" i="55" s="1" a="1"/>
  <c r="DJ228" i="55" s="1"/>
  <c r="DK228" i="55" s="1"/>
  <c r="DG229" i="55"/>
  <c r="DH229" i="55" s="1"/>
  <c r="DJ229" i="55" s="1" a="1"/>
  <c r="DJ229" i="55" s="1"/>
  <c r="DK229" i="55" s="1"/>
  <c r="DG230" i="55"/>
  <c r="DG231" i="55"/>
  <c r="DG232" i="55"/>
  <c r="DG233" i="55"/>
  <c r="DH233" i="55" s="1"/>
  <c r="DG234" i="55"/>
  <c r="DH234" i="55" s="1"/>
  <c r="DJ234" i="55" s="1" a="1"/>
  <c r="DJ234" i="55" s="1"/>
  <c r="DG235" i="55"/>
  <c r="DH235" i="55" s="1"/>
  <c r="DJ235" i="55" s="1" a="1"/>
  <c r="DJ235" i="55" s="1"/>
  <c r="DG236" i="55"/>
  <c r="DH236" i="55" s="1"/>
  <c r="DG237" i="55"/>
  <c r="DH237" i="55" s="1"/>
  <c r="DG238" i="55"/>
  <c r="DH238" i="55" s="1"/>
  <c r="DG239" i="55"/>
  <c r="DH239" i="55" s="1"/>
  <c r="DJ239" i="55" s="1" a="1"/>
  <c r="DJ239" i="55" s="1"/>
  <c r="DK239" i="55" s="1"/>
  <c r="DG240" i="55"/>
  <c r="DH240" i="55" s="1"/>
  <c r="DJ240" i="55" s="1" a="1"/>
  <c r="DJ240" i="55" s="1"/>
  <c r="DK240" i="55" s="1"/>
  <c r="DG241" i="55"/>
  <c r="DH241" i="55" s="1"/>
  <c r="DJ241" i="55" s="1" a="1"/>
  <c r="DJ241" i="55" s="1"/>
  <c r="DK241" i="55" s="1"/>
  <c r="DG242" i="55"/>
  <c r="DH242" i="55" s="1"/>
  <c r="DG243" i="55"/>
  <c r="DH243" i="55" s="1"/>
  <c r="DG244" i="55"/>
  <c r="DG245" i="55"/>
  <c r="DH245" i="55" s="1"/>
  <c r="DJ245" i="55" s="1" a="1"/>
  <c r="DJ245" i="55" s="1"/>
  <c r="DG246" i="55"/>
  <c r="DH246" i="55" s="1"/>
  <c r="DJ246" i="55" s="1" a="1"/>
  <c r="DJ246" i="55" s="1"/>
  <c r="DG247" i="55"/>
  <c r="DG248" i="55"/>
  <c r="DH248" i="55" s="1"/>
  <c r="DG249" i="55"/>
  <c r="DH249" i="55" s="1"/>
  <c r="DG250" i="55"/>
  <c r="DH250" i="55" s="1"/>
  <c r="DJ250" i="55" s="1" a="1"/>
  <c r="DJ250" i="55" s="1"/>
  <c r="DG251" i="55"/>
  <c r="DH251" i="55" s="1"/>
  <c r="DJ251" i="55" s="1" a="1"/>
  <c r="DJ251" i="55" s="1"/>
  <c r="DG252" i="55"/>
  <c r="DH252" i="55" s="1"/>
  <c r="DG253" i="55"/>
  <c r="DH253" i="55" s="1"/>
  <c r="DG254" i="55"/>
  <c r="DH254" i="55" s="1"/>
  <c r="DG255" i="55"/>
  <c r="DH255" i="55" s="1"/>
  <c r="DJ255" i="55" s="1" a="1"/>
  <c r="DJ255" i="55" s="1"/>
  <c r="DG256" i="55"/>
  <c r="DH256" i="55" s="1"/>
  <c r="DJ256" i="55" s="1" a="1"/>
  <c r="DJ256" i="55" s="1"/>
  <c r="DG257" i="55"/>
  <c r="DH257" i="55" s="1"/>
  <c r="DG258" i="55"/>
  <c r="DH258" i="55" s="1"/>
  <c r="DJ258" i="55" s="1" a="1"/>
  <c r="DJ258" i="55" s="1"/>
  <c r="DG259" i="55"/>
  <c r="DH259" i="55" s="1"/>
  <c r="DJ259" i="55" s="1" a="1"/>
  <c r="DJ259" i="55" s="1"/>
  <c r="DK259" i="55" s="1"/>
  <c r="DG260" i="55"/>
  <c r="DH260" i="55" s="1"/>
  <c r="DJ260" i="55" s="1" a="1"/>
  <c r="DJ260" i="55" s="1"/>
  <c r="DG261" i="55"/>
  <c r="DH261" i="55" s="1"/>
  <c r="DJ261" i="55" s="1" a="1"/>
  <c r="DJ261" i="55" s="1"/>
  <c r="DG262" i="55"/>
  <c r="DH262" i="55" s="1"/>
  <c r="DG263" i="55"/>
  <c r="DG264" i="55"/>
  <c r="DH264" i="55" s="1"/>
  <c r="DG265" i="55"/>
  <c r="DG266" i="55"/>
  <c r="DH266" i="55" s="1"/>
  <c r="DJ266" i="55" s="1" a="1"/>
  <c r="DJ266" i="55" s="1"/>
  <c r="DG267" i="55"/>
  <c r="DH267" i="55" s="1"/>
  <c r="DJ267" i="55" s="1" a="1"/>
  <c r="DJ267" i="55" s="1"/>
  <c r="DG268" i="55"/>
  <c r="DH268" i="55" s="1"/>
  <c r="DG269" i="55"/>
  <c r="DG270" i="55"/>
  <c r="DH270" i="55" s="1"/>
  <c r="DG271" i="55"/>
  <c r="DH271" i="55" s="1"/>
  <c r="DJ271" i="55" s="1" a="1"/>
  <c r="DJ271" i="55" s="1"/>
  <c r="DG272" i="55"/>
  <c r="DH272" i="55" s="1"/>
  <c r="DJ272" i="55" s="1" a="1"/>
  <c r="DJ272" i="55" s="1"/>
  <c r="DG273" i="55"/>
  <c r="DH273" i="55" s="1"/>
  <c r="DG274" i="55"/>
  <c r="DH274" i="55" s="1"/>
  <c r="DG275" i="55"/>
  <c r="DG276" i="55"/>
  <c r="DH276" i="55" s="1"/>
  <c r="DJ276" i="55" s="1" a="1"/>
  <c r="DJ276" i="55" s="1"/>
  <c r="DK276" i="55" s="1"/>
  <c r="DG277" i="55"/>
  <c r="DH277" i="55" s="1"/>
  <c r="DJ277" i="55" s="1" a="1"/>
  <c r="DJ277" i="55" s="1"/>
  <c r="DG278" i="55"/>
  <c r="DH278" i="55" s="1"/>
  <c r="DG279" i="55"/>
  <c r="DH279" i="55" s="1"/>
  <c r="DG280" i="55"/>
  <c r="DH280" i="55" s="1"/>
  <c r="DG281" i="55"/>
  <c r="DH281" i="55" s="1"/>
  <c r="DG282" i="55"/>
  <c r="DH282" i="55" s="1"/>
  <c r="DJ282" i="55" s="1" a="1"/>
  <c r="DJ282" i="55" s="1"/>
  <c r="DG284" i="55"/>
  <c r="DH284" i="55" s="1"/>
  <c r="DJ284" i="55" s="1" a="1"/>
  <c r="DJ284" i="55" s="1"/>
  <c r="DG285" i="55"/>
  <c r="DH285" i="55" s="1"/>
  <c r="DJ285" i="55" s="1" a="1"/>
  <c r="DJ285" i="55" s="1"/>
  <c r="DG286" i="55"/>
  <c r="DH286" i="55" s="1"/>
  <c r="DG287" i="55"/>
  <c r="DH287" i="55" s="1"/>
  <c r="DJ287" i="55" s="1" a="1"/>
  <c r="DJ287" i="55" s="1"/>
  <c r="DK287" i="55" s="1"/>
  <c r="DG288" i="55"/>
  <c r="DH288" i="55" s="1"/>
  <c r="DJ288" i="55" s="1" a="1"/>
  <c r="DJ288" i="55" s="1"/>
  <c r="DG289" i="55"/>
  <c r="DH289" i="55" s="1"/>
  <c r="DG290" i="55"/>
  <c r="DH290" i="55" s="1"/>
  <c r="DG291" i="55"/>
  <c r="DH291" i="55" s="1"/>
  <c r="DJ291" i="55" s="1" a="1"/>
  <c r="DJ291" i="55" s="1"/>
  <c r="DG292" i="55"/>
  <c r="DH292" i="55" s="1"/>
  <c r="DJ292" i="55" s="1" a="1"/>
  <c r="DJ292" i="55" s="1"/>
  <c r="DK292" i="55" s="1"/>
  <c r="DG293" i="55"/>
  <c r="DH293" i="55" s="1"/>
  <c r="DG294" i="55"/>
  <c r="DH294" i="55" s="1"/>
  <c r="DJ294" i="55" s="1" a="1"/>
  <c r="DJ294" i="55" s="1"/>
  <c r="DG295" i="55"/>
  <c r="DH295" i="55" s="1"/>
  <c r="DG296" i="55"/>
  <c r="DH296" i="55" s="1"/>
  <c r="DG297" i="55"/>
  <c r="DH297" i="55" s="1"/>
  <c r="DG298" i="55"/>
  <c r="DH298" i="55" s="1"/>
  <c r="DJ298" i="55" s="1" a="1"/>
  <c r="DJ298" i="55" s="1"/>
  <c r="DG299" i="55"/>
  <c r="DH299" i="55" s="1"/>
  <c r="DJ299" i="55" s="1" a="1"/>
  <c r="DJ299" i="55" s="1"/>
  <c r="DG300" i="55"/>
  <c r="DH300" i="55" s="1"/>
  <c r="DJ300" i="55" s="1" a="1"/>
  <c r="DJ300" i="55" s="1"/>
  <c r="DG301" i="55"/>
  <c r="DH301" i="55" s="1"/>
  <c r="DG302" i="55"/>
  <c r="DH302" i="55" s="1"/>
  <c r="DG303" i="55"/>
  <c r="DH303" i="55" s="1"/>
  <c r="DJ303" i="55" s="1" a="1"/>
  <c r="DJ303" i="55" s="1"/>
  <c r="DG304" i="55"/>
  <c r="DH304" i="55" s="1"/>
  <c r="DJ304" i="55" s="1" a="1"/>
  <c r="DJ304" i="55" s="1"/>
  <c r="DG305" i="55"/>
  <c r="DH305" i="55" s="1"/>
  <c r="DG306" i="55"/>
  <c r="DH306" i="55" s="1"/>
  <c r="DG307" i="55"/>
  <c r="DH307" i="55" s="1"/>
  <c r="DJ307" i="55" s="1" a="1"/>
  <c r="DJ307" i="55" s="1"/>
  <c r="DN307" i="55" s="1"/>
  <c r="DG308" i="55"/>
  <c r="DH308" i="55" s="1"/>
  <c r="DJ308" i="55" s="1" a="1"/>
  <c r="DJ308" i="55" s="1"/>
  <c r="DG309" i="55"/>
  <c r="DH309" i="55" s="1"/>
  <c r="DG310" i="55"/>
  <c r="DH310" i="55" s="1"/>
  <c r="DG311" i="55"/>
  <c r="DG312" i="55"/>
  <c r="DG314" i="55"/>
  <c r="DH314" i="55" s="1"/>
  <c r="DJ314" i="55" s="1" a="1"/>
  <c r="DJ314" i="55" s="1"/>
  <c r="DG315" i="55"/>
  <c r="DH315" i="55" s="1"/>
  <c r="DG316" i="55"/>
  <c r="DH316" i="55" s="1"/>
  <c r="DJ316" i="55" s="1" a="1"/>
  <c r="DJ316" i="55" s="1"/>
  <c r="DG318" i="55"/>
  <c r="DG319" i="55"/>
  <c r="DG320" i="55"/>
  <c r="DH320" i="55" s="1"/>
  <c r="DJ320" i="55" s="1" a="1"/>
  <c r="DJ320" i="55" s="1"/>
  <c r="DG321" i="55"/>
  <c r="DH321" i="55" s="1"/>
  <c r="DG322" i="55"/>
  <c r="DH322" i="55" s="1"/>
  <c r="DJ322" i="55" s="1" a="1"/>
  <c r="DJ322" i="55" s="1"/>
  <c r="DG323" i="55"/>
  <c r="DH323" i="55" s="1"/>
  <c r="DJ323" i="55" s="1" a="1"/>
  <c r="DJ323" i="55" s="1"/>
  <c r="DK323" i="55" s="1"/>
  <c r="DG324" i="55"/>
  <c r="DH324" i="55" s="1"/>
  <c r="DJ324" i="55" s="1" a="1"/>
  <c r="DJ324" i="55" s="1"/>
  <c r="DG326" i="55"/>
  <c r="DH326" i="55" s="1"/>
  <c r="DJ326" i="55" s="1" a="1"/>
  <c r="DJ326" i="55" s="1"/>
  <c r="DG327" i="55"/>
  <c r="DH327" i="55" s="1"/>
  <c r="DJ327" i="55" s="1" a="1"/>
  <c r="DJ327" i="55" s="1"/>
  <c r="DG328" i="55"/>
  <c r="DH328" i="55" s="1"/>
  <c r="DG329" i="55"/>
  <c r="DH329" i="55" s="1"/>
  <c r="DG331" i="55"/>
  <c r="DH331" i="55" s="1"/>
  <c r="DG332" i="55"/>
  <c r="DH332" i="55" s="1"/>
  <c r="DG333" i="55"/>
  <c r="DH333" i="55" s="1"/>
  <c r="DG334" i="55"/>
  <c r="DH334" i="55" s="1"/>
  <c r="DG337" i="55"/>
  <c r="DH337" i="55" s="1"/>
  <c r="DG338" i="55"/>
  <c r="DH338" i="55" s="1"/>
  <c r="DG339" i="55"/>
  <c r="DH339" i="55" s="1"/>
  <c r="DJ339" i="55" s="1" a="1"/>
  <c r="DJ339" i="55" s="1"/>
  <c r="DG340" i="55"/>
  <c r="DH340" i="55" s="1"/>
  <c r="DJ340" i="55" s="1" a="1"/>
  <c r="DJ340" i="55" s="1"/>
  <c r="DG342" i="55"/>
  <c r="DH342" i="55" s="1"/>
  <c r="DJ342" i="55" s="1" a="1"/>
  <c r="DJ342" i="55" s="1"/>
  <c r="DG343" i="55"/>
  <c r="DH343" i="55" s="1"/>
  <c r="DJ343" i="55" s="1" a="1"/>
  <c r="DJ343" i="55" s="1"/>
  <c r="DG344" i="55"/>
  <c r="DH344" i="55" s="1"/>
  <c r="DG345" i="55"/>
  <c r="DH345" i="55" s="1"/>
  <c r="DG346" i="55"/>
  <c r="DH346" i="55" s="1"/>
  <c r="DJ346" i="55" s="1" a="1"/>
  <c r="DJ346" i="55" s="1"/>
  <c r="DG347" i="55"/>
  <c r="DH347" i="55" s="1"/>
  <c r="DG348" i="55"/>
  <c r="DH348" i="55" s="1"/>
  <c r="DG349" i="55"/>
  <c r="DH349" i="55" s="1"/>
  <c r="DG350" i="55"/>
  <c r="DH350" i="55" s="1"/>
  <c r="DG351" i="55"/>
  <c r="DH351" i="55" s="1"/>
  <c r="DJ351" i="55" s="1" a="1"/>
  <c r="DJ351" i="55" s="1"/>
  <c r="DG352" i="55"/>
  <c r="DH352" i="55" s="1"/>
  <c r="DJ352" i="55" s="1" a="1"/>
  <c r="DJ352" i="55" s="1"/>
  <c r="DF5" i="55"/>
  <c r="DF6" i="55"/>
  <c r="DF311" i="55"/>
  <c r="DF319" i="55"/>
  <c r="DF337" i="55"/>
  <c r="DF338" i="55"/>
  <c r="DF339" i="55"/>
  <c r="DF340" i="55"/>
  <c r="DE3" i="55" a="1"/>
  <c r="DE3" i="55" s="1"/>
  <c r="DM3" i="55" s="1"/>
  <c r="DE4" i="55" a="1"/>
  <c r="DE4" i="55" s="1"/>
  <c r="DM4" i="55" s="1"/>
  <c r="DE5" i="55" a="1"/>
  <c r="DE5" i="55" s="1"/>
  <c r="DM5" i="55" s="1"/>
  <c r="DE6" i="55" a="1"/>
  <c r="DE6" i="55" s="1"/>
  <c r="DM6" i="55" s="1"/>
  <c r="DE7" i="55" a="1"/>
  <c r="DE7" i="55"/>
  <c r="DM7" i="55" s="1"/>
  <c r="DE8" i="55" a="1"/>
  <c r="DE8" i="55" s="1"/>
  <c r="DM8" i="55" s="1"/>
  <c r="DE9" i="55" a="1"/>
  <c r="DE9" i="55" s="1"/>
  <c r="DM9" i="55" s="1"/>
  <c r="DE10" i="55" a="1"/>
  <c r="DE10" i="55" s="1"/>
  <c r="DM10" i="55" s="1"/>
  <c r="DE11" i="55" a="1"/>
  <c r="DE11" i="55" s="1"/>
  <c r="DM11" i="55" s="1"/>
  <c r="DE12" i="55" a="1"/>
  <c r="DE12" i="55" s="1"/>
  <c r="DM12" i="55" s="1"/>
  <c r="DE13" i="55" a="1"/>
  <c r="DE13" i="55" s="1"/>
  <c r="DE14" i="55" a="1"/>
  <c r="DE14" i="55" s="1"/>
  <c r="DM14" i="55" s="1"/>
  <c r="DE15" i="55" a="1"/>
  <c r="DE15" i="55"/>
  <c r="DM15" i="55" s="1"/>
  <c r="DE16" i="55" a="1"/>
  <c r="DE16" i="55" s="1"/>
  <c r="DM16" i="55" s="1"/>
  <c r="DE17" i="55" a="1"/>
  <c r="DE17" i="55" s="1"/>
  <c r="DM17" i="55" s="1"/>
  <c r="DE18" i="55" a="1"/>
  <c r="DE18" i="55" s="1"/>
  <c r="DM18" i="55" s="1"/>
  <c r="DE19" i="55" a="1"/>
  <c r="DE19" i="55" s="1"/>
  <c r="DM19" i="55" s="1"/>
  <c r="DE20" i="55" a="1"/>
  <c r="DE20" i="55" s="1"/>
  <c r="DM20" i="55" s="1"/>
  <c r="DE21" i="55" a="1"/>
  <c r="DE21" i="55" s="1"/>
  <c r="DM21" i="55" s="1"/>
  <c r="DE22" i="55" a="1"/>
  <c r="DE22" i="55" s="1"/>
  <c r="DM22" i="55" s="1"/>
  <c r="DE23" i="55" a="1"/>
  <c r="DE23" i="55" s="1"/>
  <c r="DM23" i="55" s="1"/>
  <c r="DE24" i="55" a="1"/>
  <c r="DE24" i="55" s="1"/>
  <c r="DM24" i="55" s="1"/>
  <c r="DE25" i="55" a="1"/>
  <c r="DE25" i="55" s="1"/>
  <c r="DM25" i="55" s="1"/>
  <c r="DE26" i="55" a="1"/>
  <c r="DE26" i="55"/>
  <c r="DM26" i="55" s="1"/>
  <c r="DE27" i="55" a="1"/>
  <c r="DE27" i="55" s="1"/>
  <c r="DM27" i="55" s="1"/>
  <c r="DE28" i="55" a="1"/>
  <c r="DE28" i="55" s="1"/>
  <c r="DM28" i="55" s="1"/>
  <c r="DE29" i="55" a="1"/>
  <c r="DE29" i="55" s="1"/>
  <c r="DM29" i="55" s="1"/>
  <c r="DE30" i="55" a="1"/>
  <c r="DE30" i="55" s="1"/>
  <c r="DM30" i="55" s="1"/>
  <c r="DE31" i="55" a="1"/>
  <c r="DE31" i="55" s="1"/>
  <c r="DM31" i="55" s="1"/>
  <c r="DE32" i="55" a="1"/>
  <c r="DE32" i="55"/>
  <c r="DM32" i="55" s="1"/>
  <c r="DE33" i="55" a="1"/>
  <c r="DE33" i="55" s="1"/>
  <c r="DM33" i="55" s="1"/>
  <c r="DE34" i="55" a="1"/>
  <c r="DE34" i="55" s="1"/>
  <c r="DM34" i="55" s="1"/>
  <c r="DE35" i="55" a="1"/>
  <c r="DE35" i="55" s="1"/>
  <c r="DM35" i="55" s="1"/>
  <c r="DE36" i="55" a="1"/>
  <c r="DE36" i="55" s="1"/>
  <c r="DM36" i="55" s="1"/>
  <c r="DE37" i="55" a="1"/>
  <c r="DE37" i="55" s="1"/>
  <c r="DM37" i="55" s="1"/>
  <c r="DE38" i="55" a="1"/>
  <c r="DE38" i="55"/>
  <c r="DM38" i="55" s="1"/>
  <c r="DE39" i="55" a="1"/>
  <c r="DE39" i="55" s="1"/>
  <c r="DM39" i="55" s="1"/>
  <c r="DE40" i="55" a="1"/>
  <c r="DE40" i="55" s="1"/>
  <c r="DM40" i="55" s="1"/>
  <c r="DE41" i="55" a="1"/>
  <c r="DE41" i="55" s="1"/>
  <c r="DM41" i="55" s="1"/>
  <c r="DE42" i="55" a="1"/>
  <c r="DE42" i="55" s="1"/>
  <c r="DM42" i="55" s="1"/>
  <c r="DE43" i="55" a="1"/>
  <c r="DE43" i="55" s="1"/>
  <c r="DM43" i="55" s="1"/>
  <c r="DE44" i="55" a="1"/>
  <c r="DE44" i="55" s="1"/>
  <c r="DM44" i="55" s="1"/>
  <c r="DE45" i="55" a="1"/>
  <c r="DE45" i="55"/>
  <c r="DM45" i="55" s="1"/>
  <c r="DE46" i="55" a="1"/>
  <c r="DE46" i="55"/>
  <c r="DM46" i="55" s="1"/>
  <c r="DE47" i="55" a="1"/>
  <c r="DE47" i="55" s="1"/>
  <c r="DM47" i="55" s="1"/>
  <c r="DE48" i="55" a="1"/>
  <c r="DE48" i="55"/>
  <c r="DM48" i="55" s="1"/>
  <c r="DE49" i="55" a="1"/>
  <c r="DE49" i="55"/>
  <c r="DM49" i="55" s="1"/>
  <c r="DE50" i="55" a="1"/>
  <c r="DE50" i="55" s="1"/>
  <c r="DM50" i="55" s="1"/>
  <c r="DE51" i="55" a="1"/>
  <c r="DE51" i="55" s="1"/>
  <c r="DM51" i="55" s="1"/>
  <c r="DE52" i="55" a="1"/>
  <c r="DE52" i="55" s="1"/>
  <c r="DM52" i="55" s="1"/>
  <c r="DE53" i="55" a="1"/>
  <c r="DE53" i="55" s="1"/>
  <c r="DM53" i="55" s="1"/>
  <c r="DE54" i="55" a="1"/>
  <c r="DE54" i="55" s="1"/>
  <c r="DM54" i="55" s="1"/>
  <c r="DE55" i="55" a="1"/>
  <c r="DE55" i="55"/>
  <c r="DM55" i="55" s="1"/>
  <c r="DE56" i="55" a="1"/>
  <c r="DE56" i="55" s="1"/>
  <c r="DM56" i="55" s="1"/>
  <c r="DE57" i="55" a="1"/>
  <c r="DE57" i="55" s="1"/>
  <c r="DM57" i="55" s="1"/>
  <c r="DE58" i="55" a="1"/>
  <c r="DE58" i="55" s="1"/>
  <c r="DM58" i="55" s="1"/>
  <c r="DE59" i="55" a="1"/>
  <c r="DE59" i="55" s="1"/>
  <c r="DM59" i="55" s="1"/>
  <c r="DE60" i="55" a="1"/>
  <c r="DE60" i="55" s="1"/>
  <c r="DM60" i="55" s="1"/>
  <c r="DE61" i="55" a="1"/>
  <c r="DE61" i="55" s="1"/>
  <c r="DM61" i="55" s="1"/>
  <c r="DE62" i="55" a="1"/>
  <c r="DE62" i="55"/>
  <c r="DM62" i="55" s="1"/>
  <c r="DE63" i="55" a="1"/>
  <c r="DE63" i="55" s="1"/>
  <c r="DM63" i="55" s="1"/>
  <c r="DE64" i="55" a="1"/>
  <c r="DE64" i="55" s="1"/>
  <c r="DM64" i="55" s="1"/>
  <c r="DE65" i="55" a="1"/>
  <c r="DE65" i="55" s="1"/>
  <c r="DM65" i="55" s="1"/>
  <c r="DE66" i="55" a="1"/>
  <c r="DE66" i="55" s="1"/>
  <c r="DM66" i="55" s="1"/>
  <c r="DE67" i="55" a="1"/>
  <c r="DE67" i="55" s="1"/>
  <c r="DM67" i="55" s="1"/>
  <c r="DE68" i="55" a="1"/>
  <c r="DE68" i="55"/>
  <c r="DM68" i="55" s="1"/>
  <c r="DE69" i="55" a="1"/>
  <c r="DE69" i="55" s="1"/>
  <c r="DM69" i="55" s="1"/>
  <c r="DE70" i="55" a="1"/>
  <c r="DE70" i="55"/>
  <c r="DM70" i="55" s="1"/>
  <c r="DE71" i="55" a="1"/>
  <c r="DE71" i="55" s="1"/>
  <c r="DM71" i="55" s="1"/>
  <c r="DE72" i="55" a="1"/>
  <c r="DE72" i="55" s="1"/>
  <c r="DM72" i="55" s="1"/>
  <c r="DE73" i="55" a="1"/>
  <c r="DE73" i="55" s="1"/>
  <c r="DM73" i="55" s="1"/>
  <c r="DE74" i="55" a="1"/>
  <c r="DE74" i="55" s="1"/>
  <c r="DM74" i="55" s="1"/>
  <c r="DE75" i="55" a="1"/>
  <c r="DE75" i="55" s="1"/>
  <c r="DM75" i="55" s="1"/>
  <c r="DE76" i="55" a="1"/>
  <c r="DE76" i="55" s="1"/>
  <c r="DM76" i="55" s="1"/>
  <c r="DE77" i="55" a="1"/>
  <c r="DE77" i="55" s="1"/>
  <c r="DM77" i="55" s="1"/>
  <c r="DE78" i="55" a="1"/>
  <c r="DE78" i="55" s="1"/>
  <c r="DM78" i="55" s="1"/>
  <c r="DE79" i="55" a="1"/>
  <c r="DE79" i="55" s="1"/>
  <c r="DM79" i="55" s="1"/>
  <c r="DE80" i="55" a="1"/>
  <c r="DE80" i="55" s="1"/>
  <c r="DM80" i="55" s="1"/>
  <c r="DE81" i="55" a="1"/>
  <c r="DE81" i="55" s="1"/>
  <c r="DM81" i="55" s="1"/>
  <c r="DE82" i="55" a="1"/>
  <c r="DE82" i="55" s="1"/>
  <c r="DM82" i="55" s="1"/>
  <c r="DE83" i="55" a="1"/>
  <c r="DE83" i="55" s="1"/>
  <c r="DM83" i="55" s="1"/>
  <c r="DE84" i="55" a="1"/>
  <c r="DE84" i="55"/>
  <c r="DM84" i="55" s="1"/>
  <c r="DE85" i="55" a="1"/>
  <c r="DE85" i="55" s="1"/>
  <c r="DM85" i="55" s="1"/>
  <c r="DE86" i="55" a="1"/>
  <c r="DE86" i="55" s="1"/>
  <c r="DM86" i="55" s="1"/>
  <c r="DE87" i="55" a="1"/>
  <c r="DE87" i="55"/>
  <c r="DM87" i="55" s="1"/>
  <c r="DE88" i="55" a="1"/>
  <c r="DE88" i="55"/>
  <c r="DM88" i="55" s="1"/>
  <c r="DE89" i="55" a="1"/>
  <c r="DE89" i="55" s="1"/>
  <c r="DM89" i="55" s="1"/>
  <c r="DE90" i="55" a="1"/>
  <c r="DE90" i="55" s="1"/>
  <c r="DM90" i="55" s="1"/>
  <c r="DE91" i="55" a="1"/>
  <c r="DE91" i="55" s="1"/>
  <c r="DM91" i="55" s="1"/>
  <c r="DE92" i="55" a="1"/>
  <c r="DE92" i="55" s="1"/>
  <c r="DM92" i="55" s="1"/>
  <c r="DE93" i="55" a="1"/>
  <c r="DE93" i="55" s="1"/>
  <c r="DM93" i="55" s="1"/>
  <c r="DE94" i="55" a="1"/>
  <c r="DE94" i="55" s="1"/>
  <c r="DM94" i="55" s="1"/>
  <c r="DE95" i="55" a="1"/>
  <c r="DE95" i="55" s="1"/>
  <c r="DM95" i="55" s="1"/>
  <c r="DE96" i="55" a="1"/>
  <c r="DE96" i="55"/>
  <c r="DM96" i="55" s="1"/>
  <c r="DE97" i="55" a="1"/>
  <c r="DE97" i="55"/>
  <c r="DM97" i="55" s="1"/>
  <c r="DE98" i="55" a="1"/>
  <c r="DE98" i="55" s="1"/>
  <c r="DM98" i="55" s="1"/>
  <c r="DE99" i="55" a="1"/>
  <c r="DE99" i="55" s="1"/>
  <c r="DM99" i="55" s="1"/>
  <c r="DE100" i="55" a="1"/>
  <c r="DE100" i="55" s="1"/>
  <c r="DM100" i="55" s="1"/>
  <c r="DE101" i="55" a="1"/>
  <c r="DE101" i="55"/>
  <c r="DM101" i="55" s="1"/>
  <c r="DE102" i="55" a="1"/>
  <c r="DE102" i="55" s="1"/>
  <c r="DM102" i="55" s="1"/>
  <c r="DE103" i="55" a="1"/>
  <c r="DE103" i="55" s="1"/>
  <c r="DM103" i="55" s="1"/>
  <c r="DE104" i="55" a="1"/>
  <c r="DE104" i="55" s="1"/>
  <c r="DM104" i="55" s="1"/>
  <c r="DE105" i="55" a="1"/>
  <c r="DE105" i="55" s="1"/>
  <c r="DM105" i="55" s="1"/>
  <c r="DE106" i="55" a="1"/>
  <c r="DE106" i="55" s="1"/>
  <c r="DM106" i="55" s="1"/>
  <c r="DE107" i="55" a="1"/>
  <c r="DE107" i="55" s="1"/>
  <c r="DM107" i="55" s="1"/>
  <c r="DE108" i="55" a="1"/>
  <c r="DE108" i="55" s="1"/>
  <c r="DE109" i="55" a="1"/>
  <c r="DE109" i="55"/>
  <c r="DE110" i="55" a="1"/>
  <c r="DE110" i="55"/>
  <c r="DM110" i="55" s="1"/>
  <c r="DE111" i="55" a="1"/>
  <c r="DE111" i="55" s="1"/>
  <c r="DM111" i="55" s="1"/>
  <c r="DE112" i="55" a="1"/>
  <c r="DE112" i="55" s="1"/>
  <c r="DM112" i="55" s="1"/>
  <c r="DE113" i="55" a="1"/>
  <c r="DE113" i="55" s="1"/>
  <c r="DM113" i="55" s="1"/>
  <c r="DE114" i="55" a="1"/>
  <c r="DE114" i="55" s="1"/>
  <c r="DM114" i="55" s="1"/>
  <c r="DE115" i="55" a="1"/>
  <c r="DE115" i="55" s="1"/>
  <c r="DM115" i="55" s="1"/>
  <c r="DE116" i="55" a="1"/>
  <c r="DE116" i="55" s="1"/>
  <c r="DM116" i="55" s="1"/>
  <c r="DE117" i="55" a="1"/>
  <c r="DE117" i="55" s="1"/>
  <c r="DM117" i="55" s="1"/>
  <c r="DE118" i="55" a="1"/>
  <c r="DE118" i="55" s="1"/>
  <c r="DM118" i="55" s="1"/>
  <c r="DE119" i="55" a="1"/>
  <c r="DE119" i="55"/>
  <c r="DM119" i="55" s="1"/>
  <c r="DE120" i="55" a="1"/>
  <c r="DE120" i="55" s="1"/>
  <c r="DM120" i="55" s="1"/>
  <c r="DE121" i="55" a="1"/>
  <c r="DE121" i="55"/>
  <c r="DM121" i="55" s="1"/>
  <c r="DE122" i="55" a="1"/>
  <c r="DE122" i="55" s="1"/>
  <c r="DM122" i="55" s="1"/>
  <c r="DE123" i="55" a="1"/>
  <c r="DE123" i="55" s="1"/>
  <c r="DM123" i="55" s="1"/>
  <c r="DE124" i="55" a="1"/>
  <c r="DE124" i="55" s="1"/>
  <c r="DM124" i="55" s="1"/>
  <c r="DE125" i="55" a="1"/>
  <c r="DE125" i="55" s="1"/>
  <c r="DM125" i="55" s="1"/>
  <c r="DE126" i="55" a="1"/>
  <c r="DE126" i="55"/>
  <c r="DM126" i="55" s="1"/>
  <c r="DE127" i="55" a="1"/>
  <c r="DE127" i="55"/>
  <c r="DM127" i="55" s="1"/>
  <c r="DE128" i="55" a="1"/>
  <c r="DE128" i="55" s="1"/>
  <c r="DM128" i="55" s="1"/>
  <c r="DE129" i="55" a="1"/>
  <c r="DE129" i="55" s="1"/>
  <c r="DM129" i="55" s="1"/>
  <c r="DE130" i="55" a="1"/>
  <c r="DE130" i="55" s="1"/>
  <c r="DM130" i="55" s="1"/>
  <c r="DE131" i="55" a="1"/>
  <c r="DE131" i="55" s="1"/>
  <c r="DM131" i="55" s="1"/>
  <c r="DE132" i="55" a="1"/>
  <c r="DE132" i="55"/>
  <c r="DM132" i="55" s="1"/>
  <c r="DE133" i="55" a="1"/>
  <c r="DE133" i="55" s="1"/>
  <c r="DM133" i="55" s="1"/>
  <c r="DE134" i="55" a="1"/>
  <c r="DE134" i="55" s="1"/>
  <c r="DM134" i="55" s="1"/>
  <c r="DE135" i="55" a="1"/>
  <c r="DE135" i="55" s="1"/>
  <c r="DM135" i="55" s="1"/>
  <c r="DE136" i="55" a="1"/>
  <c r="DE136" i="55" s="1"/>
  <c r="DM136" i="55" s="1"/>
  <c r="DE137" i="55" a="1"/>
  <c r="DE137" i="55" s="1"/>
  <c r="DE138" i="55" a="1"/>
  <c r="DE138" i="55" s="1"/>
  <c r="DM138" i="55" s="1"/>
  <c r="DE139" i="55" a="1"/>
  <c r="DE139" i="55" s="1"/>
  <c r="DE140" i="55" a="1"/>
  <c r="DE140" i="55"/>
  <c r="DM140" i="55" s="1"/>
  <c r="DE141" i="55" a="1"/>
  <c r="DE141" i="55" s="1"/>
  <c r="DM141" i="55" s="1"/>
  <c r="DE142" i="55" a="1"/>
  <c r="DE142" i="55" s="1"/>
  <c r="DM142" i="55" s="1"/>
  <c r="DE143" i="55" a="1"/>
  <c r="DE143" i="55"/>
  <c r="DM143" i="55" s="1"/>
  <c r="DE144" i="55" a="1"/>
  <c r="DE144" i="55"/>
  <c r="DM144" i="55" s="1"/>
  <c r="DE145" i="55" a="1"/>
  <c r="DE145" i="55" s="1"/>
  <c r="DM145" i="55" s="1"/>
  <c r="DE146" i="55" a="1"/>
  <c r="DE146" i="55" s="1"/>
  <c r="DM146" i="55" s="1"/>
  <c r="DE147" i="55" a="1"/>
  <c r="DE147" i="55" s="1"/>
  <c r="DM147" i="55" s="1"/>
  <c r="DE148" i="55" a="1"/>
  <c r="DE148" i="55" s="1"/>
  <c r="DE149" i="55" a="1"/>
  <c r="DE149" i="55"/>
  <c r="DM149" i="55" s="1"/>
  <c r="DE150" i="55" a="1"/>
  <c r="DE150" i="55" s="1"/>
  <c r="DM150" i="55" s="1"/>
  <c r="DE151" i="55" a="1"/>
  <c r="DE151" i="55"/>
  <c r="DM151" i="55" s="1"/>
  <c r="DE152" i="55" a="1"/>
  <c r="DE152" i="55" s="1"/>
  <c r="DM152" i="55" s="1"/>
  <c r="DE153" i="55" a="1"/>
  <c r="DE153" i="55" s="1"/>
  <c r="DM153" i="55" s="1"/>
  <c r="DE154" i="55" a="1"/>
  <c r="DE154" i="55"/>
  <c r="DM154" i="55" s="1"/>
  <c r="DE155" i="55" a="1"/>
  <c r="DE155" i="55" s="1"/>
  <c r="DM155" i="55" s="1"/>
  <c r="DE156" i="55" a="1"/>
  <c r="DE156" i="55" s="1"/>
  <c r="DM156" i="55" s="1"/>
  <c r="DE157" i="55" a="1"/>
  <c r="DE157" i="55" s="1"/>
  <c r="DM157" i="55" s="1"/>
  <c r="DE158" i="55" a="1"/>
  <c r="DE158" i="55" s="1"/>
  <c r="DM158" i="55" s="1"/>
  <c r="DE159" i="55" a="1"/>
  <c r="DE159" i="55" s="1"/>
  <c r="DM159" i="55" s="1"/>
  <c r="DE160" i="55" a="1"/>
  <c r="DE160" i="55" s="1"/>
  <c r="DM160" i="55" s="1"/>
  <c r="DE161" i="55" a="1"/>
  <c r="DE161" i="55" s="1"/>
  <c r="DM161" i="55" s="1"/>
  <c r="DE162" i="55" a="1"/>
  <c r="DE162" i="55" s="1"/>
  <c r="DM162" i="55" s="1"/>
  <c r="DE163" i="55" a="1"/>
  <c r="DE163" i="55" s="1"/>
  <c r="DM163" i="55" s="1"/>
  <c r="DE164" i="55" a="1"/>
  <c r="DE164" i="55" s="1"/>
  <c r="DM164" i="55" s="1"/>
  <c r="DE165" i="55" a="1"/>
  <c r="DE165" i="55" s="1"/>
  <c r="DM165" i="55" s="1"/>
  <c r="DE166" i="55" a="1"/>
  <c r="DE166" i="55" s="1"/>
  <c r="DM166" i="55" s="1"/>
  <c r="DE167" i="55" a="1"/>
  <c r="DE167" i="55" s="1"/>
  <c r="DM167" i="55" s="1"/>
  <c r="DE168" i="55" a="1"/>
  <c r="DE168" i="55"/>
  <c r="DE169" i="55" a="1"/>
  <c r="DE169" i="55" s="1"/>
  <c r="DM169" i="55" s="1"/>
  <c r="DE170" i="55" a="1"/>
  <c r="DE170" i="55" s="1"/>
  <c r="DM170" i="55" s="1"/>
  <c r="DE171" i="55" a="1"/>
  <c r="DE171" i="55" s="1"/>
  <c r="DM171" i="55" s="1"/>
  <c r="DE172" i="55" a="1"/>
  <c r="DE172" i="55" s="1"/>
  <c r="DM172" i="55" s="1"/>
  <c r="DE173" i="55" a="1"/>
  <c r="DE173" i="55" s="1"/>
  <c r="DM173" i="55" s="1"/>
  <c r="DE174" i="55" a="1"/>
  <c r="DE174" i="55" s="1"/>
  <c r="DM174" i="55" s="1"/>
  <c r="DE175" i="55" a="1"/>
  <c r="DE175" i="55" s="1"/>
  <c r="DM175" i="55" s="1"/>
  <c r="DE176" i="55" a="1"/>
  <c r="DE176" i="55" s="1"/>
  <c r="DM176" i="55" s="1"/>
  <c r="DE177" i="55" a="1"/>
  <c r="DE177" i="55" s="1"/>
  <c r="DE178" i="55" a="1"/>
  <c r="DE178" i="55" s="1"/>
  <c r="DM178" i="55" s="1"/>
  <c r="DE179" i="55" a="1"/>
  <c r="DE179" i="55" s="1"/>
  <c r="DE180" i="55" a="1"/>
  <c r="DE180" i="55"/>
  <c r="DM180" i="55" s="1"/>
  <c r="DE181" i="55" a="1"/>
  <c r="DE181" i="55" s="1"/>
  <c r="DM181" i="55" s="1"/>
  <c r="DE182" i="55" a="1"/>
  <c r="DE182" i="55" s="1"/>
  <c r="DM182" i="55" s="1"/>
  <c r="DE183" i="55" a="1"/>
  <c r="DE183" i="55" s="1"/>
  <c r="DM183" i="55" s="1"/>
  <c r="DE184" i="55" a="1"/>
  <c r="DE184" i="55" s="1"/>
  <c r="DE185" i="55" a="1"/>
  <c r="DE185" i="55"/>
  <c r="DM185" i="55" s="1"/>
  <c r="DE186" i="55" a="1"/>
  <c r="DE186" i="55" s="1"/>
  <c r="DM186" i="55" s="1"/>
  <c r="DE187" i="55" a="1"/>
  <c r="DE187" i="55" s="1"/>
  <c r="DM187" i="55" s="1"/>
  <c r="DE188" i="55" a="1"/>
  <c r="DE188" i="55" s="1"/>
  <c r="DM188" i="55" s="1"/>
  <c r="DE189" i="55" a="1"/>
  <c r="DE189" i="55" s="1"/>
  <c r="DM189" i="55" s="1"/>
  <c r="DE190" i="55" a="1"/>
  <c r="DE190" i="55" s="1"/>
  <c r="DM190" i="55" s="1"/>
  <c r="DE191" i="55" a="1"/>
  <c r="DE191" i="55" s="1"/>
  <c r="DM191" i="55" s="1"/>
  <c r="DE192" i="55" a="1"/>
  <c r="DE192" i="55" s="1"/>
  <c r="DM192" i="55" s="1"/>
  <c r="DE193" i="55" a="1"/>
  <c r="DE193" i="55" s="1"/>
  <c r="DM193" i="55" s="1"/>
  <c r="DE194" i="55" a="1"/>
  <c r="DE194" i="55"/>
  <c r="DM194" i="55" s="1"/>
  <c r="DE195" i="55" a="1"/>
  <c r="DE195" i="55" s="1"/>
  <c r="DM195" i="55" s="1"/>
  <c r="DE196" i="55" a="1"/>
  <c r="DE196" i="55" s="1"/>
  <c r="DM196" i="55" s="1"/>
  <c r="DE197" i="55" a="1"/>
  <c r="DE197" i="55" s="1"/>
  <c r="DM197" i="55" s="1"/>
  <c r="DE198" i="55" a="1"/>
  <c r="DE198" i="55" s="1"/>
  <c r="DM198" i="55" s="1"/>
  <c r="DE199" i="55" a="1"/>
  <c r="DE199" i="55" s="1"/>
  <c r="DM199" i="55" s="1"/>
  <c r="DE200" i="55" a="1"/>
  <c r="DE200" i="55"/>
  <c r="DM200" i="55" s="1"/>
  <c r="DE201" i="55" a="1"/>
  <c r="DE201" i="55" s="1"/>
  <c r="DM201" i="55" s="1"/>
  <c r="DE202" i="55" a="1"/>
  <c r="DE202" i="55"/>
  <c r="DM202" i="55" s="1"/>
  <c r="DE203" i="55" a="1"/>
  <c r="DE203" i="55" s="1"/>
  <c r="DE204" i="55" a="1"/>
  <c r="DE204" i="55"/>
  <c r="DM204" i="55" s="1"/>
  <c r="DE205" i="55" a="1"/>
  <c r="DE205" i="55" s="1"/>
  <c r="DM205" i="55" s="1"/>
  <c r="DE206" i="55" a="1"/>
  <c r="DE206" i="55" s="1"/>
  <c r="DM206" i="55" s="1"/>
  <c r="DE207" i="55" a="1"/>
  <c r="DE207" i="55" s="1"/>
  <c r="DM207" i="55" s="1"/>
  <c r="DE208" i="55" a="1"/>
  <c r="DE208" i="55" s="1"/>
  <c r="DM208" i="55" s="1"/>
  <c r="DE209" i="55" a="1"/>
  <c r="DE209" i="55" s="1"/>
  <c r="DM209" i="55" s="1"/>
  <c r="DE210" i="55" a="1"/>
  <c r="DE210" i="55" s="1"/>
  <c r="DE211" i="55" a="1"/>
  <c r="DE211" i="55" s="1"/>
  <c r="DE212" i="55" a="1"/>
  <c r="DE212" i="55" s="1"/>
  <c r="DE213" i="55" a="1"/>
  <c r="DE213" i="55" s="1"/>
  <c r="DM213" i="55" s="1"/>
  <c r="DE214" i="55" a="1"/>
  <c r="DE214" i="55" s="1"/>
  <c r="DM214" i="55" s="1"/>
  <c r="DE215" i="55" a="1"/>
  <c r="DE215" i="55"/>
  <c r="DM215" i="55" s="1"/>
  <c r="DE216" i="55" a="1"/>
  <c r="DE216" i="55" s="1"/>
  <c r="DM216" i="55" s="1"/>
  <c r="DE217" i="55" a="1"/>
  <c r="DE217" i="55" s="1"/>
  <c r="DM217" i="55" s="1"/>
  <c r="DE218" i="55" a="1"/>
  <c r="DE218" i="55" s="1"/>
  <c r="DM218" i="55" s="1"/>
  <c r="DE219" i="55" a="1"/>
  <c r="DE219" i="55" s="1"/>
  <c r="DM219" i="55" s="1"/>
  <c r="DE220" i="55" a="1"/>
  <c r="DE220" i="55"/>
  <c r="DM220" i="55" s="1"/>
  <c r="DE221" i="55" a="1"/>
  <c r="DE221" i="55"/>
  <c r="DM221" i="55" s="1"/>
  <c r="DE222" i="55" a="1"/>
  <c r="DE222" i="55" s="1"/>
  <c r="DM222" i="55" s="1"/>
  <c r="DE223" i="55" a="1"/>
  <c r="DE223" i="55" s="1"/>
  <c r="DM223" i="55" s="1"/>
  <c r="DE224" i="55" a="1"/>
  <c r="DE224" i="55" s="1"/>
  <c r="DM224" i="55" s="1"/>
  <c r="DE225" i="55" a="1"/>
  <c r="DE225" i="55"/>
  <c r="DM225" i="55" s="1"/>
  <c r="DE226" i="55" a="1"/>
  <c r="DE226" i="55" s="1"/>
  <c r="DM226" i="55" s="1"/>
  <c r="DE227" i="55" a="1"/>
  <c r="DE227" i="55" s="1"/>
  <c r="DM227" i="55" s="1"/>
  <c r="DE228" i="55" a="1"/>
  <c r="DE228" i="55"/>
  <c r="DM228" i="55" s="1"/>
  <c r="DE229" i="55" a="1"/>
  <c r="DE229" i="55" s="1"/>
  <c r="DM229" i="55" s="1"/>
  <c r="DE230" i="55" a="1"/>
  <c r="DE230" i="55" s="1"/>
  <c r="DM230" i="55" s="1"/>
  <c r="DE231" i="55" a="1"/>
  <c r="DE231" i="55" s="1"/>
  <c r="DM231" i="55" s="1"/>
  <c r="DE232" i="55" a="1"/>
  <c r="DE232" i="55" s="1"/>
  <c r="DM232" i="55" s="1"/>
  <c r="DE233" i="55" a="1"/>
  <c r="DE233" i="55"/>
  <c r="DM233" i="55" s="1"/>
  <c r="DE234" i="55" a="1"/>
  <c r="DE234" i="55" s="1"/>
  <c r="DM234" i="55" s="1"/>
  <c r="DE235" i="55" a="1"/>
  <c r="DE235" i="55" s="1"/>
  <c r="DE236" i="55" a="1"/>
  <c r="DE236" i="55" s="1"/>
  <c r="DM236" i="55" s="1"/>
  <c r="DE237" i="55" a="1"/>
  <c r="DE237" i="55"/>
  <c r="DM237" i="55" s="1"/>
  <c r="DE238" i="55" a="1"/>
  <c r="DE238" i="55" s="1"/>
  <c r="DM238" i="55" s="1"/>
  <c r="DE239" i="55" a="1"/>
  <c r="DE239" i="55" s="1"/>
  <c r="DM239" i="55" s="1"/>
  <c r="DE240" i="55" a="1"/>
  <c r="DE240" i="55" s="1"/>
  <c r="DM240" i="55" s="1"/>
  <c r="DE241" i="55" a="1"/>
  <c r="DE241" i="55" s="1"/>
  <c r="DM241" i="55" s="1"/>
  <c r="DE242" i="55" a="1"/>
  <c r="DE242" i="55"/>
  <c r="DM242" i="55" s="1"/>
  <c r="DE243" i="55" a="1"/>
  <c r="DE243" i="55" s="1"/>
  <c r="DM243" i="55" s="1"/>
  <c r="DE244" i="55" a="1"/>
  <c r="DE244" i="55" s="1"/>
  <c r="DM244" i="55" s="1"/>
  <c r="DE245" i="55" a="1"/>
  <c r="DE245" i="55" s="1"/>
  <c r="DM245" i="55" s="1"/>
  <c r="DE246" i="55" a="1"/>
  <c r="DE246" i="55" s="1"/>
  <c r="DM246" i="55" s="1"/>
  <c r="DE247" i="55" a="1"/>
  <c r="DE247" i="55" s="1"/>
  <c r="DM247" i="55" s="1"/>
  <c r="DE248" i="55" a="1"/>
  <c r="DE248" i="55" s="1"/>
  <c r="DM248" i="55" s="1"/>
  <c r="DE249" i="55" a="1"/>
  <c r="DE249" i="55" s="1"/>
  <c r="DM249" i="55" s="1"/>
  <c r="DE250" i="55" a="1"/>
  <c r="DE250" i="55" s="1"/>
  <c r="DM250" i="55" s="1"/>
  <c r="DE251" i="55" a="1"/>
  <c r="DE251" i="55" s="1"/>
  <c r="DM251" i="55" s="1"/>
  <c r="DE252" i="55" a="1"/>
  <c r="DE252" i="55" s="1"/>
  <c r="DM252" i="55" s="1"/>
  <c r="DE253" i="55" a="1"/>
  <c r="DE253" i="55" s="1"/>
  <c r="DE254" i="55" a="1"/>
  <c r="DE254" i="55"/>
  <c r="DM254" i="55" s="1"/>
  <c r="DE255" i="55" a="1"/>
  <c r="DE255" i="55" s="1"/>
  <c r="DM255" i="55" s="1"/>
  <c r="DE256" i="55" a="1"/>
  <c r="DE256" i="55"/>
  <c r="DM256" i="55" s="1"/>
  <c r="DE257" i="55" a="1"/>
  <c r="DE257" i="55" s="1"/>
  <c r="DM257" i="55" s="1"/>
  <c r="DE258" i="55" a="1"/>
  <c r="DE258" i="55" s="1"/>
  <c r="DM258" i="55" s="1"/>
  <c r="DE259" i="55" a="1"/>
  <c r="DE259" i="55" s="1"/>
  <c r="DM259" i="55" s="1"/>
  <c r="DE260" i="55" a="1"/>
  <c r="DE260" i="55" s="1"/>
  <c r="DM260" i="55" s="1"/>
  <c r="DE261" i="55" a="1"/>
  <c r="DE261" i="55" s="1"/>
  <c r="DM261" i="55" s="1"/>
  <c r="DE262" i="55" a="1"/>
  <c r="DE262" i="55"/>
  <c r="DM262" i="55" s="1"/>
  <c r="DE263" i="55" a="1"/>
  <c r="DE263" i="55" s="1"/>
  <c r="DM263" i="55" s="1"/>
  <c r="DE264" i="55" a="1"/>
  <c r="DE264" i="55" s="1"/>
  <c r="DM264" i="55" s="1"/>
  <c r="DE265" i="55" a="1"/>
  <c r="DE265" i="55" s="1"/>
  <c r="DM265" i="55" s="1"/>
  <c r="DE266" i="55" a="1"/>
  <c r="DE266" i="55"/>
  <c r="DM266" i="55" s="1"/>
  <c r="DE267" i="55" a="1"/>
  <c r="DE267" i="55" s="1"/>
  <c r="DM267" i="55" s="1"/>
  <c r="DE268" i="55" a="1"/>
  <c r="DE268" i="55" s="1"/>
  <c r="DM268" i="55" s="1"/>
  <c r="DE269" i="55" a="1"/>
  <c r="DE269" i="55" s="1"/>
  <c r="DM269" i="55" s="1"/>
  <c r="DE270" i="55" a="1"/>
  <c r="DE270" i="55" s="1"/>
  <c r="DM270" i="55" s="1"/>
  <c r="DE271" i="55" a="1"/>
  <c r="DE271" i="55" s="1"/>
  <c r="DM271" i="55" s="1"/>
  <c r="DE272" i="55" a="1"/>
  <c r="DE272" i="55" s="1"/>
  <c r="DE273" i="55" a="1"/>
  <c r="DE273" i="55" s="1"/>
  <c r="DM273" i="55" s="1"/>
  <c r="DE274" i="55" a="1"/>
  <c r="DE274" i="55" s="1"/>
  <c r="DM274" i="55" s="1"/>
  <c r="DE275" i="55" a="1"/>
  <c r="DE275" i="55" s="1"/>
  <c r="DM275" i="55" s="1"/>
  <c r="DE276" i="55" a="1"/>
  <c r="DE276" i="55" s="1"/>
  <c r="DM276" i="55" s="1"/>
  <c r="DE277" i="55" a="1"/>
  <c r="DE277" i="55" s="1"/>
  <c r="DM277" i="55" s="1"/>
  <c r="DE278" i="55" a="1"/>
  <c r="DE278" i="55" s="1"/>
  <c r="DM278" i="55" s="1"/>
  <c r="DE279" i="55" a="1"/>
  <c r="DE279" i="55"/>
  <c r="DM279" i="55" s="1"/>
  <c r="DE280" i="55" a="1"/>
  <c r="DE280" i="55" s="1"/>
  <c r="DM280" i="55" s="1"/>
  <c r="DE281" i="55" a="1"/>
  <c r="DE281" i="55" s="1"/>
  <c r="DM281" i="55" s="1"/>
  <c r="DE282" i="55" a="1"/>
  <c r="DE282" i="55" s="1"/>
  <c r="DM282" i="55" s="1"/>
  <c r="DE283" i="55" a="1"/>
  <c r="DE283" i="55" s="1"/>
  <c r="DE284" i="55" a="1"/>
  <c r="DE284" i="55" s="1"/>
  <c r="DM284" i="55" s="1"/>
  <c r="DE285" i="55" a="1"/>
  <c r="DE285" i="55" s="1"/>
  <c r="DM285" i="55" s="1"/>
  <c r="DE286" i="55" a="1"/>
  <c r="DE286" i="55" s="1"/>
  <c r="DM286" i="55" s="1"/>
  <c r="DE287" i="55" a="1"/>
  <c r="DE287" i="55" s="1"/>
  <c r="DM287" i="55" s="1"/>
  <c r="DE288" i="55" a="1"/>
  <c r="DE288" i="55"/>
  <c r="DM288" i="55" s="1"/>
  <c r="DE289" i="55" a="1"/>
  <c r="DE289" i="55" s="1"/>
  <c r="DM289" i="55" s="1"/>
  <c r="DE290" i="55" a="1"/>
  <c r="DE290" i="55" s="1"/>
  <c r="DM290" i="55" s="1"/>
  <c r="DE291" i="55" a="1"/>
  <c r="DE291" i="55" s="1"/>
  <c r="DM291" i="55" s="1"/>
  <c r="DE292" i="55" a="1"/>
  <c r="DE292" i="55" s="1"/>
  <c r="DM292" i="55" s="1"/>
  <c r="DE293" i="55" a="1"/>
  <c r="DE293" i="55" s="1"/>
  <c r="DM293" i="55" s="1"/>
  <c r="DE294" i="55" a="1"/>
  <c r="DE294" i="55" s="1"/>
  <c r="DM294" i="55" s="1"/>
  <c r="DE295" i="55" a="1"/>
  <c r="DE295" i="55" s="1"/>
  <c r="DM295" i="55" s="1"/>
  <c r="DE296" i="55" a="1"/>
  <c r="DE296" i="55"/>
  <c r="DM296" i="55" s="1"/>
  <c r="DE297" i="55" a="1"/>
  <c r="DE297" i="55"/>
  <c r="DM297" i="55" s="1"/>
  <c r="DE298" i="55" a="1"/>
  <c r="DE298" i="55" s="1"/>
  <c r="DM298" i="55" s="1"/>
  <c r="DE299" i="55" a="1"/>
  <c r="DE299" i="55" s="1"/>
  <c r="DM299" i="55" s="1"/>
  <c r="DE300" i="55" a="1"/>
  <c r="DE300" i="55" s="1"/>
  <c r="DM300" i="55" s="1"/>
  <c r="DE301" i="55" a="1"/>
  <c r="DE301" i="55" s="1"/>
  <c r="DM301" i="55" s="1"/>
  <c r="DE302" i="55" a="1"/>
  <c r="DE302" i="55" s="1"/>
  <c r="DM302" i="55" s="1"/>
  <c r="DE303" i="55" a="1"/>
  <c r="DE303" i="55" s="1"/>
  <c r="DM303" i="55" s="1"/>
  <c r="DE304" i="55" a="1"/>
  <c r="DE304" i="55" s="1"/>
  <c r="DM304" i="55" s="1"/>
  <c r="DE305" i="55" a="1"/>
  <c r="DE305" i="55" s="1"/>
  <c r="DM305" i="55" s="1"/>
  <c r="DE306" i="55" a="1"/>
  <c r="DE306" i="55" s="1"/>
  <c r="DM306" i="55" s="1"/>
  <c r="DE307" i="55" a="1"/>
  <c r="DE307" i="55" s="1"/>
  <c r="DE308" i="55" a="1"/>
  <c r="DE308" i="55" s="1"/>
  <c r="DM308" i="55" s="1"/>
  <c r="DE309" i="55" a="1"/>
  <c r="DE309" i="55" s="1"/>
  <c r="DM309" i="55" s="1"/>
  <c r="DE310" i="55" a="1"/>
  <c r="DE310" i="55" s="1"/>
  <c r="DM310" i="55" s="1"/>
  <c r="DE311" i="55" a="1"/>
  <c r="DE311" i="55" s="1"/>
  <c r="DM311" i="55" s="1"/>
  <c r="DE312" i="55" a="1"/>
  <c r="DE312" i="55" s="1"/>
  <c r="DM312" i="55" s="1"/>
  <c r="DE313" i="55" a="1"/>
  <c r="DE313" i="55"/>
  <c r="DE314" i="55" a="1"/>
  <c r="DE314" i="55" s="1"/>
  <c r="DM314" i="55" s="1"/>
  <c r="DE315" i="55" a="1"/>
  <c r="DE315" i="55" s="1"/>
  <c r="DM315" i="55" s="1"/>
  <c r="DE316" i="55" a="1"/>
  <c r="DE316" i="55"/>
  <c r="DM316" i="55" s="1"/>
  <c r="DE317" i="55" a="1"/>
  <c r="DE317" i="55" s="1"/>
  <c r="DM317" i="55" s="1"/>
  <c r="DE318" i="55" a="1"/>
  <c r="DE318" i="55" s="1"/>
  <c r="DM318" i="55" s="1"/>
  <c r="DE319" i="55" a="1"/>
  <c r="DE319" i="55" s="1"/>
  <c r="DM319" i="55" s="1"/>
  <c r="DE320" i="55" a="1"/>
  <c r="DE320" i="55" s="1"/>
  <c r="DM320" i="55" s="1"/>
  <c r="DE321" i="55" a="1"/>
  <c r="DE321" i="55"/>
  <c r="DE322" i="55" a="1"/>
  <c r="DE322" i="55"/>
  <c r="DM322" i="55" s="1"/>
  <c r="DE323" i="55" a="1"/>
  <c r="DE323" i="55" s="1"/>
  <c r="DM323" i="55" s="1"/>
  <c r="DE324" i="55" a="1"/>
  <c r="DE324" i="55" s="1"/>
  <c r="DM324" i="55" s="1"/>
  <c r="DE325" i="55" a="1"/>
  <c r="DE325" i="55" s="1"/>
  <c r="DM325" i="55" s="1"/>
  <c r="DE326" i="55" a="1"/>
  <c r="DE326" i="55" s="1"/>
  <c r="DM326" i="55" s="1"/>
  <c r="DE327" i="55" a="1"/>
  <c r="DE327" i="55" s="1"/>
  <c r="DM327" i="55" s="1"/>
  <c r="DE328" i="55" a="1"/>
  <c r="DE328" i="55" s="1"/>
  <c r="DM328" i="55" s="1"/>
  <c r="DE329" i="55" a="1"/>
  <c r="DE329" i="55" s="1"/>
  <c r="DM329" i="55" s="1"/>
  <c r="DE330" i="55" a="1"/>
  <c r="DE330" i="55" s="1"/>
  <c r="DM330" i="55" s="1"/>
  <c r="DE331" i="55" a="1"/>
  <c r="DE331" i="55" s="1"/>
  <c r="DM331" i="55" s="1"/>
  <c r="DE332" i="55" a="1"/>
  <c r="DE332" i="55" s="1"/>
  <c r="DM332" i="55" s="1"/>
  <c r="DE333" i="55" a="1"/>
  <c r="DE333" i="55" s="1"/>
  <c r="DM333" i="55" s="1"/>
  <c r="DE334" i="55" a="1"/>
  <c r="DE334" i="55" s="1"/>
  <c r="DM334" i="55" s="1"/>
  <c r="DE335" i="55" a="1"/>
  <c r="DE335" i="55" s="1"/>
  <c r="DM335" i="55" s="1"/>
  <c r="DE336" i="55" a="1"/>
  <c r="DE336" i="55" s="1"/>
  <c r="DM336" i="55" s="1"/>
  <c r="DE337" i="55" a="1"/>
  <c r="DE337" i="55" s="1"/>
  <c r="DM337" i="55" s="1"/>
  <c r="DE338" i="55" a="1"/>
  <c r="DE338" i="55" s="1"/>
  <c r="DM338" i="55" s="1"/>
  <c r="DE339" i="55" a="1"/>
  <c r="DE339" i="55" s="1"/>
  <c r="DM339" i="55" s="1"/>
  <c r="DE340" i="55" a="1"/>
  <c r="DE340" i="55" s="1"/>
  <c r="DM340" i="55" s="1"/>
  <c r="DE341" i="55" a="1"/>
  <c r="DE341" i="55" s="1"/>
  <c r="DM341" i="55" s="1"/>
  <c r="DE342" i="55" a="1"/>
  <c r="DE342" i="55"/>
  <c r="DM342" i="55" s="1"/>
  <c r="DE343" i="55" a="1"/>
  <c r="DE343" i="55" s="1"/>
  <c r="DM343" i="55" s="1"/>
  <c r="DE344" i="55" a="1"/>
  <c r="DE344" i="55" s="1"/>
  <c r="DM344" i="55" s="1"/>
  <c r="DE345" i="55" a="1"/>
  <c r="DE345" i="55"/>
  <c r="DE346" i="55" a="1"/>
  <c r="DE346" i="55" s="1"/>
  <c r="DM346" i="55" s="1"/>
  <c r="DE347" i="55" a="1"/>
  <c r="DE347" i="55" s="1"/>
  <c r="DM347" i="55" s="1"/>
  <c r="DE348" i="55" a="1"/>
  <c r="DE348" i="55"/>
  <c r="DM348" i="55" s="1"/>
  <c r="DE349" i="55" a="1"/>
  <c r="DE349" i="55" s="1"/>
  <c r="DM349" i="55" s="1"/>
  <c r="DE350" i="55" a="1"/>
  <c r="DE350" i="55" s="1"/>
  <c r="DM350" i="55" s="1"/>
  <c r="DE351" i="55" a="1"/>
  <c r="DE351" i="55" s="1"/>
  <c r="DM351" i="55" s="1"/>
  <c r="DE352" i="55" a="1"/>
  <c r="DE352" i="55" s="1"/>
  <c r="DM352" i="55" s="1"/>
  <c r="DD3" i="55"/>
  <c r="DD4" i="55"/>
  <c r="DD5" i="55"/>
  <c r="DD6" i="55"/>
  <c r="DD7" i="55"/>
  <c r="DD8" i="55"/>
  <c r="DD9" i="55"/>
  <c r="DD10" i="55"/>
  <c r="DD11" i="55"/>
  <c r="DD12" i="55"/>
  <c r="DD13" i="55"/>
  <c r="DD14" i="55"/>
  <c r="DD15" i="55"/>
  <c r="DD16" i="55"/>
  <c r="DD17" i="55"/>
  <c r="DD18" i="55"/>
  <c r="DD19" i="55"/>
  <c r="DD20" i="55"/>
  <c r="DD21" i="55"/>
  <c r="DD22" i="55"/>
  <c r="DD23" i="55"/>
  <c r="DD24" i="55"/>
  <c r="DD26" i="55"/>
  <c r="DD27" i="55"/>
  <c r="DD28" i="55"/>
  <c r="DD29" i="55"/>
  <c r="DD30" i="55"/>
  <c r="DD31" i="55"/>
  <c r="DD53" i="55"/>
  <c r="DD54" i="55"/>
  <c r="DD55" i="55"/>
  <c r="DD56" i="55"/>
  <c r="DD57" i="55"/>
  <c r="DD58" i="55"/>
  <c r="DD59" i="55"/>
  <c r="DD60" i="55"/>
  <c r="DD61" i="55"/>
  <c r="DD62" i="55"/>
  <c r="DD63" i="55"/>
  <c r="DD64" i="55"/>
  <c r="DD65" i="55"/>
  <c r="DD66" i="55"/>
  <c r="DD67" i="55"/>
  <c r="DD68" i="55"/>
  <c r="DD69" i="55"/>
  <c r="DD70" i="55"/>
  <c r="DD71" i="55"/>
  <c r="DD72" i="55"/>
  <c r="DD73" i="55"/>
  <c r="DD74" i="55"/>
  <c r="DD75" i="55"/>
  <c r="DD76" i="55"/>
  <c r="DD77" i="55"/>
  <c r="DD78" i="55"/>
  <c r="DD79" i="55"/>
  <c r="DD80" i="55"/>
  <c r="DD81" i="55"/>
  <c r="DD82" i="55"/>
  <c r="DD83" i="55"/>
  <c r="DD84" i="55"/>
  <c r="DD85" i="55"/>
  <c r="DD86" i="55"/>
  <c r="DD87" i="55"/>
  <c r="DD88" i="55"/>
  <c r="DD89" i="55"/>
  <c r="DD90" i="55"/>
  <c r="DD91" i="55"/>
  <c r="DD92" i="55"/>
  <c r="DD93" i="55"/>
  <c r="DD94" i="55"/>
  <c r="DD95" i="55"/>
  <c r="DD96" i="55"/>
  <c r="DD97" i="55"/>
  <c r="DD98" i="55"/>
  <c r="DD99" i="55"/>
  <c r="DD100" i="55"/>
  <c r="DD101" i="55"/>
  <c r="DD102" i="55"/>
  <c r="DD103" i="55"/>
  <c r="DD104" i="55"/>
  <c r="DD105" i="55"/>
  <c r="DD106" i="55"/>
  <c r="DD107" i="55"/>
  <c r="DD108" i="55"/>
  <c r="DD109" i="55"/>
  <c r="DD110" i="55"/>
  <c r="DD111" i="55"/>
  <c r="DD112" i="55"/>
  <c r="DD113" i="55"/>
  <c r="DD114" i="55"/>
  <c r="DD115" i="55"/>
  <c r="DD116" i="55"/>
  <c r="DD117" i="55"/>
  <c r="DD118" i="55"/>
  <c r="DD119" i="55"/>
  <c r="DD120" i="55"/>
  <c r="DD121" i="55"/>
  <c r="DD122" i="55"/>
  <c r="DD123" i="55"/>
  <c r="DD124" i="55"/>
  <c r="DD125" i="55"/>
  <c r="DD126" i="55"/>
  <c r="DD127" i="55"/>
  <c r="DD128" i="55"/>
  <c r="DD130" i="55"/>
  <c r="DD131" i="55"/>
  <c r="DD132" i="55"/>
  <c r="DD133" i="55"/>
  <c r="DD134" i="55"/>
  <c r="DD135" i="55"/>
  <c r="DD136" i="55"/>
  <c r="DD137" i="55"/>
  <c r="DD138" i="55"/>
  <c r="DD139" i="55"/>
  <c r="DD140" i="55"/>
  <c r="DD141" i="55"/>
  <c r="DD142" i="55"/>
  <c r="DD143" i="55"/>
  <c r="DD144" i="55"/>
  <c r="DD145" i="55"/>
  <c r="DD146" i="55"/>
  <c r="DD147" i="55"/>
  <c r="DD148" i="55"/>
  <c r="DD149" i="55"/>
  <c r="DD150" i="55"/>
  <c r="DD151" i="55"/>
  <c r="DD152" i="55"/>
  <c r="DD153" i="55"/>
  <c r="DD154" i="55"/>
  <c r="DD155" i="55"/>
  <c r="DD156" i="55"/>
  <c r="DD157" i="55"/>
  <c r="DD158" i="55"/>
  <c r="DD159" i="55"/>
  <c r="DD160" i="55"/>
  <c r="DD161" i="55"/>
  <c r="DD162" i="55"/>
  <c r="DD163" i="55"/>
  <c r="DD164" i="55"/>
  <c r="DD165" i="55"/>
  <c r="DD166" i="55"/>
  <c r="DD167" i="55"/>
  <c r="DD168" i="55"/>
  <c r="DD169" i="55"/>
  <c r="DD170" i="55"/>
  <c r="DD171" i="55"/>
  <c r="DD172" i="55"/>
  <c r="DD173" i="55"/>
  <c r="DD174" i="55"/>
  <c r="DD175" i="55"/>
  <c r="DD176" i="55"/>
  <c r="DD177" i="55"/>
  <c r="DD178" i="55"/>
  <c r="DD179" i="55"/>
  <c r="DD180" i="55"/>
  <c r="DD181" i="55"/>
  <c r="DD182" i="55"/>
  <c r="DD183" i="55"/>
  <c r="DD184" i="55"/>
  <c r="DD185" i="55"/>
  <c r="DD186" i="55"/>
  <c r="DD187" i="55"/>
  <c r="DD188" i="55"/>
  <c r="DD189" i="55"/>
  <c r="DD190" i="55"/>
  <c r="DD191" i="55"/>
  <c r="DD192" i="55"/>
  <c r="DD193" i="55"/>
  <c r="DD194" i="55"/>
  <c r="DD195" i="55"/>
  <c r="DD196" i="55"/>
  <c r="DD197" i="55"/>
  <c r="DD198" i="55"/>
  <c r="DD199" i="55"/>
  <c r="DD200" i="55"/>
  <c r="DD201" i="55"/>
  <c r="DD202" i="55"/>
  <c r="DD203" i="55"/>
  <c r="DD204" i="55"/>
  <c r="DD205" i="55"/>
  <c r="DD206" i="55"/>
  <c r="DD207" i="55"/>
  <c r="DD208" i="55"/>
  <c r="DD209" i="55"/>
  <c r="DD210" i="55"/>
  <c r="DD211" i="55"/>
  <c r="DD212" i="55"/>
  <c r="DD213" i="55"/>
  <c r="DD214" i="55"/>
  <c r="DD215" i="55"/>
  <c r="DD216" i="55"/>
  <c r="DD217" i="55"/>
  <c r="DD218" i="55"/>
  <c r="DD219" i="55"/>
  <c r="DD220" i="55"/>
  <c r="DD221" i="55"/>
  <c r="DD222" i="55"/>
  <c r="DD223" i="55"/>
  <c r="DD224" i="55"/>
  <c r="DD225" i="55"/>
  <c r="DD226" i="55"/>
  <c r="DD227" i="55"/>
  <c r="DD228" i="55"/>
  <c r="DD229" i="55"/>
  <c r="DD230" i="55"/>
  <c r="DD231" i="55"/>
  <c r="DD232" i="55"/>
  <c r="DD233" i="55"/>
  <c r="DD234" i="55"/>
  <c r="DD235" i="55"/>
  <c r="DD236" i="55"/>
  <c r="DD237" i="55"/>
  <c r="DD238" i="55"/>
  <c r="DD239" i="55"/>
  <c r="DD240" i="55"/>
  <c r="DD241" i="55"/>
  <c r="DD242" i="55"/>
  <c r="DD243" i="55"/>
  <c r="DD244" i="55"/>
  <c r="DD245" i="55"/>
  <c r="DD246" i="55"/>
  <c r="DD247" i="55"/>
  <c r="DD248" i="55"/>
  <c r="DD249" i="55"/>
  <c r="DD250" i="55"/>
  <c r="DD251" i="55"/>
  <c r="DD252" i="55"/>
  <c r="DD253" i="55"/>
  <c r="DD254" i="55"/>
  <c r="DD255" i="55"/>
  <c r="DD256" i="55"/>
  <c r="DD257" i="55"/>
  <c r="DD258" i="55"/>
  <c r="DD259" i="55"/>
  <c r="DD260" i="55"/>
  <c r="DD261" i="55"/>
  <c r="DD262" i="55"/>
  <c r="DD263" i="55"/>
  <c r="DD264" i="55"/>
  <c r="DD265" i="55"/>
  <c r="DD266" i="55"/>
  <c r="DD267" i="55"/>
  <c r="DD268" i="55"/>
  <c r="DD269" i="55"/>
  <c r="DD270" i="55"/>
  <c r="DD271" i="55"/>
  <c r="DD272" i="55"/>
  <c r="DD273" i="55"/>
  <c r="DD274" i="55"/>
  <c r="DD275" i="55"/>
  <c r="DD276" i="55"/>
  <c r="DD277" i="55"/>
  <c r="DD278" i="55"/>
  <c r="DD279" i="55"/>
  <c r="DD280" i="55"/>
  <c r="DD281" i="55"/>
  <c r="DD282" i="55"/>
  <c r="DD283" i="55"/>
  <c r="DD284" i="55"/>
  <c r="DD285" i="55"/>
  <c r="DD286" i="55"/>
  <c r="DD287" i="55"/>
  <c r="DD288" i="55"/>
  <c r="DD289" i="55"/>
  <c r="DD290" i="55"/>
  <c r="DD291" i="55"/>
  <c r="DD292" i="55"/>
  <c r="DD293" i="55"/>
  <c r="DD294" i="55"/>
  <c r="DD295" i="55"/>
  <c r="DD296" i="55"/>
  <c r="DD297" i="55"/>
  <c r="DD298" i="55"/>
  <c r="DD299" i="55"/>
  <c r="DD300" i="55"/>
  <c r="DD301" i="55"/>
  <c r="DD302" i="55"/>
  <c r="DD303" i="55"/>
  <c r="DD304" i="55"/>
  <c r="DD305" i="55"/>
  <c r="DD306" i="55"/>
  <c r="DD307" i="55"/>
  <c r="DD308" i="55"/>
  <c r="DD309" i="55"/>
  <c r="DD310" i="55"/>
  <c r="DD311" i="55"/>
  <c r="DD312" i="55"/>
  <c r="DD313" i="55"/>
  <c r="DD314" i="55"/>
  <c r="DD315" i="55"/>
  <c r="DD316" i="55"/>
  <c r="DD317" i="55"/>
  <c r="DD318" i="55"/>
  <c r="DD319" i="55"/>
  <c r="DD320" i="55"/>
  <c r="DD321" i="55"/>
  <c r="DD322" i="55"/>
  <c r="DD323" i="55"/>
  <c r="DD324" i="55"/>
  <c r="DD325" i="55"/>
  <c r="DD326" i="55"/>
  <c r="DD327" i="55"/>
  <c r="DD328" i="55"/>
  <c r="DD329" i="55"/>
  <c r="DD330" i="55"/>
  <c r="DD331" i="55"/>
  <c r="DD332" i="55"/>
  <c r="DD333" i="55"/>
  <c r="DD334" i="55"/>
  <c r="DD335" i="55"/>
  <c r="DD336" i="55"/>
  <c r="DD337" i="55"/>
  <c r="DD338" i="55"/>
  <c r="DD339" i="55"/>
  <c r="DD340" i="55"/>
  <c r="DD341" i="55"/>
  <c r="DD342" i="55"/>
  <c r="DD343" i="55"/>
  <c r="DD344" i="55"/>
  <c r="DD345" i="55"/>
  <c r="DD346" i="55"/>
  <c r="DD347" i="55"/>
  <c r="DD348" i="55"/>
  <c r="DD349" i="55"/>
  <c r="DD350" i="55"/>
  <c r="DD351" i="55"/>
  <c r="DD352" i="55"/>
  <c r="CV340" i="55"/>
  <c r="CU52" i="55"/>
  <c r="CR102" i="55"/>
  <c r="CO150" i="55"/>
  <c r="CN52" i="55"/>
  <c r="CN53" i="55"/>
  <c r="CP53" i="55" s="1"/>
  <c r="CN149" i="55"/>
  <c r="CF24" i="55"/>
  <c r="CF43" i="55"/>
  <c r="CF77" i="55"/>
  <c r="CF136" i="55"/>
  <c r="CF153" i="55"/>
  <c r="CF161" i="55"/>
  <c r="CF171" i="55"/>
  <c r="CF201" i="55"/>
  <c r="CF225" i="55"/>
  <c r="CG225" i="55" s="1"/>
  <c r="CF267" i="55"/>
  <c r="CE99" i="55"/>
  <c r="CE111" i="55"/>
  <c r="CE195" i="55"/>
  <c r="BZ19" i="55"/>
  <c r="BZ26" i="55"/>
  <c r="BZ61" i="55"/>
  <c r="BZ63" i="55"/>
  <c r="BZ72" i="55"/>
  <c r="BZ96" i="55"/>
  <c r="BZ140" i="55"/>
  <c r="BZ172" i="55"/>
  <c r="BZ173" i="55"/>
  <c r="BZ175" i="55"/>
  <c r="BZ200" i="55"/>
  <c r="BZ202" i="55"/>
  <c r="BZ252" i="55"/>
  <c r="BZ284" i="55"/>
  <c r="BZ303" i="55"/>
  <c r="BZ317" i="55"/>
  <c r="BZ323" i="55"/>
  <c r="BZ351" i="55"/>
  <c r="BY4" i="55"/>
  <c r="BY7" i="55"/>
  <c r="BY8" i="55"/>
  <c r="BY9" i="55"/>
  <c r="BY10" i="55"/>
  <c r="BY11" i="55"/>
  <c r="BY12" i="55"/>
  <c r="BY13" i="55"/>
  <c r="BY14" i="55"/>
  <c r="BY15" i="55"/>
  <c r="BY16" i="55"/>
  <c r="BY17" i="55"/>
  <c r="BY18" i="55"/>
  <c r="BY19" i="55"/>
  <c r="BY20" i="55"/>
  <c r="BY21" i="55"/>
  <c r="BY29" i="55"/>
  <c r="BY30" i="55"/>
  <c r="BY32" i="55"/>
  <c r="BY33" i="55"/>
  <c r="BY34" i="55"/>
  <c r="BY35" i="55"/>
  <c r="BY36" i="55"/>
  <c r="BY37" i="55"/>
  <c r="BY38" i="55"/>
  <c r="BY39" i="55"/>
  <c r="BY40" i="55"/>
  <c r="BY41" i="55"/>
  <c r="BY42" i="55"/>
  <c r="BY44" i="55"/>
  <c r="BY47" i="55"/>
  <c r="BY48" i="55"/>
  <c r="BY49" i="55"/>
  <c r="BY54" i="55"/>
  <c r="BY60" i="55"/>
  <c r="BY62" i="55"/>
  <c r="BY70" i="55"/>
  <c r="BY73" i="55"/>
  <c r="BY76" i="55"/>
  <c r="BY78" i="55"/>
  <c r="BY80" i="55"/>
  <c r="BY81" i="55"/>
  <c r="BY82" i="55"/>
  <c r="BY83" i="55"/>
  <c r="BY84" i="55"/>
  <c r="BY85" i="55"/>
  <c r="BY86" i="55"/>
  <c r="BY87" i="55"/>
  <c r="BY92" i="55"/>
  <c r="BY100" i="55"/>
  <c r="BY102" i="55"/>
  <c r="BY124" i="55"/>
  <c r="BY130" i="55"/>
  <c r="BY132" i="55"/>
  <c r="BY142" i="55"/>
  <c r="BY149" i="55"/>
  <c r="BY155" i="55"/>
  <c r="BY156" i="55"/>
  <c r="BY157" i="55"/>
  <c r="BY158" i="55"/>
  <c r="BY159" i="55"/>
  <c r="BY160" i="55"/>
  <c r="BY161" i="55"/>
  <c r="BY162" i="55"/>
  <c r="BY163" i="55"/>
  <c r="BY164" i="55"/>
  <c r="BY166" i="55"/>
  <c r="BY167" i="55"/>
  <c r="BY168" i="55"/>
  <c r="BY169" i="55"/>
  <c r="BY170" i="55"/>
  <c r="BY171" i="55"/>
  <c r="BY172" i="55"/>
  <c r="BY173" i="55"/>
  <c r="BY174" i="55"/>
  <c r="BY175" i="55"/>
  <c r="BY176" i="55"/>
  <c r="BY177" i="55"/>
  <c r="BY178" i="55"/>
  <c r="BY181" i="55"/>
  <c r="BY185" i="55"/>
  <c r="BY186" i="55"/>
  <c r="BY187" i="55"/>
  <c r="BY188" i="55"/>
  <c r="BY189" i="55"/>
  <c r="BY190" i="55"/>
  <c r="BY191" i="55"/>
  <c r="BY192" i="55"/>
  <c r="BY193" i="55"/>
  <c r="BY194" i="55"/>
  <c r="BY195" i="55"/>
  <c r="BY196" i="55"/>
  <c r="BY197" i="55"/>
  <c r="BY198" i="55"/>
  <c r="BY199" i="55"/>
  <c r="BY200" i="55"/>
  <c r="BY201" i="55"/>
  <c r="BY202" i="55"/>
  <c r="BY203" i="55"/>
  <c r="BY204" i="55"/>
  <c r="BY205" i="55"/>
  <c r="BY206" i="55"/>
  <c r="BY207" i="55"/>
  <c r="BY208" i="55"/>
  <c r="BY209" i="55"/>
  <c r="BY210" i="55"/>
  <c r="BY211" i="55"/>
  <c r="BY212" i="55"/>
  <c r="BY213" i="55"/>
  <c r="BY214" i="55"/>
  <c r="BY215" i="55"/>
  <c r="BY216" i="55"/>
  <c r="BY217" i="55"/>
  <c r="BY219" i="55"/>
  <c r="BY220" i="55"/>
  <c r="BY223" i="55"/>
  <c r="BY225" i="55"/>
  <c r="BY226" i="55"/>
  <c r="BY227" i="55"/>
  <c r="BY228" i="55"/>
  <c r="BY229" i="55"/>
  <c r="BY230" i="55"/>
  <c r="BY231" i="55"/>
  <c r="BY232" i="55"/>
  <c r="BY233" i="55"/>
  <c r="BY234" i="55"/>
  <c r="BY235" i="55"/>
  <c r="BY236" i="55"/>
  <c r="BY237" i="55"/>
  <c r="BY238" i="55"/>
  <c r="BY239" i="55"/>
  <c r="BY240" i="55"/>
  <c r="BY241" i="55"/>
  <c r="BY242" i="55"/>
  <c r="BY244" i="55"/>
  <c r="BY245" i="55"/>
  <c r="BY246" i="55"/>
  <c r="BY247" i="55"/>
  <c r="BY248" i="55"/>
  <c r="BY249" i="55"/>
  <c r="BY250" i="55"/>
  <c r="BY251" i="55"/>
  <c r="BY252" i="55"/>
  <c r="BY253" i="55"/>
  <c r="BY254" i="55"/>
  <c r="BY255" i="55"/>
  <c r="BY256" i="55"/>
  <c r="BY257" i="55"/>
  <c r="BY258" i="55"/>
  <c r="BY259" i="55"/>
  <c r="BY260" i="55"/>
  <c r="BY261" i="55"/>
  <c r="BY262" i="55"/>
  <c r="BY263" i="55"/>
  <c r="BY264" i="55"/>
  <c r="BY265" i="55"/>
  <c r="BY266" i="55"/>
  <c r="BY267" i="55"/>
  <c r="BY268" i="55"/>
  <c r="BY269" i="55"/>
  <c r="BY270" i="55"/>
  <c r="BY271" i="55"/>
  <c r="BY272" i="55"/>
  <c r="BY273" i="55"/>
  <c r="BY274" i="55"/>
  <c r="BY275" i="55"/>
  <c r="BY276" i="55"/>
  <c r="BY277" i="55"/>
  <c r="BY278" i="55"/>
  <c r="BY279" i="55"/>
  <c r="BY280" i="55"/>
  <c r="BY281" i="55"/>
  <c r="BY282" i="55"/>
  <c r="BY284" i="55"/>
  <c r="BY288" i="55"/>
  <c r="BY289" i="55"/>
  <c r="BY291" i="55"/>
  <c r="BY294" i="55"/>
  <c r="BY295" i="55"/>
  <c r="BY296" i="55"/>
  <c r="BY297" i="55"/>
  <c r="BY298" i="55"/>
  <c r="BY299" i="55"/>
  <c r="BY303" i="55"/>
  <c r="BY304" i="55"/>
  <c r="BY310" i="55"/>
  <c r="BY316" i="55"/>
  <c r="BY318" i="55"/>
  <c r="BY319" i="55"/>
  <c r="BY320" i="55"/>
  <c r="BY321" i="55"/>
  <c r="BY322" i="55"/>
  <c r="BY323" i="55"/>
  <c r="BY324" i="55"/>
  <c r="BY326" i="55"/>
  <c r="BY327" i="55"/>
  <c r="BY328" i="55"/>
  <c r="BY329" i="55"/>
  <c r="BY333" i="55"/>
  <c r="BY334" i="55"/>
  <c r="BY340" i="55"/>
  <c r="BY342" i="55"/>
  <c r="BY343" i="55"/>
  <c r="BY344" i="55"/>
  <c r="BY345" i="55"/>
  <c r="BY346" i="55"/>
  <c r="BY347" i="55"/>
  <c r="BY348" i="55"/>
  <c r="BY349" i="55"/>
  <c r="BY350" i="55"/>
  <c r="BY351" i="55"/>
  <c r="BY352" i="55"/>
  <c r="BX3" i="55"/>
  <c r="BX5" i="55"/>
  <c r="BX6" i="55"/>
  <c r="BX7" i="55"/>
  <c r="BX8" i="55"/>
  <c r="BX9" i="55"/>
  <c r="BX10" i="55"/>
  <c r="BX11" i="55"/>
  <c r="BX12" i="55"/>
  <c r="BX13" i="55"/>
  <c r="BX14" i="55"/>
  <c r="BX15" i="55"/>
  <c r="BX16" i="55"/>
  <c r="BX17" i="55"/>
  <c r="BX18" i="55"/>
  <c r="BX19" i="55"/>
  <c r="BX20" i="55"/>
  <c r="BX21" i="55"/>
  <c r="BX22" i="55"/>
  <c r="BX23" i="55"/>
  <c r="BX24" i="55"/>
  <c r="BX26" i="55"/>
  <c r="BX29" i="55"/>
  <c r="BX30" i="55"/>
  <c r="BX32" i="55"/>
  <c r="BX33" i="55"/>
  <c r="BX34" i="55"/>
  <c r="BX35" i="55"/>
  <c r="BX36" i="55"/>
  <c r="BX37" i="55"/>
  <c r="BX38" i="55"/>
  <c r="BX39" i="55"/>
  <c r="BX40" i="55"/>
  <c r="BX41" i="55"/>
  <c r="BX42" i="55"/>
  <c r="BX43" i="55"/>
  <c r="BX44" i="55"/>
  <c r="BX45" i="55"/>
  <c r="BX46" i="55"/>
  <c r="BX47" i="55"/>
  <c r="BX48" i="55"/>
  <c r="BX49" i="55"/>
  <c r="BX51" i="55"/>
  <c r="BX52" i="55"/>
  <c r="BX53" i="55"/>
  <c r="BX54" i="55"/>
  <c r="BX55" i="55"/>
  <c r="BX56" i="55"/>
  <c r="BX57" i="55"/>
  <c r="BX58" i="55"/>
  <c r="BX59" i="55"/>
  <c r="BX60" i="55"/>
  <c r="BX61" i="55"/>
  <c r="BX62" i="55"/>
  <c r="BX63" i="55"/>
  <c r="BX64" i="55"/>
  <c r="BX65" i="55"/>
  <c r="BX66" i="55"/>
  <c r="BX67" i="55"/>
  <c r="BX68" i="55"/>
  <c r="BX69" i="55"/>
  <c r="BX70" i="55"/>
  <c r="BX71" i="55"/>
  <c r="BX72" i="55"/>
  <c r="BX73" i="55"/>
  <c r="BX74" i="55"/>
  <c r="BX75" i="55"/>
  <c r="BX76" i="55"/>
  <c r="BX77" i="55"/>
  <c r="BX78" i="55"/>
  <c r="BX79" i="55"/>
  <c r="BX80" i="55"/>
  <c r="BX81" i="55"/>
  <c r="BX82" i="55"/>
  <c r="BX83" i="55"/>
  <c r="BX84" i="55"/>
  <c r="BX85" i="55"/>
  <c r="BX86" i="55"/>
  <c r="BX87" i="55"/>
  <c r="BX88" i="55"/>
  <c r="BX89" i="55"/>
  <c r="BX90" i="55"/>
  <c r="BX91" i="55"/>
  <c r="BX92" i="55"/>
  <c r="BX93" i="55"/>
  <c r="BX94" i="55"/>
  <c r="BX95" i="55"/>
  <c r="BX96" i="55"/>
  <c r="BX97" i="55"/>
  <c r="BX98" i="55"/>
  <c r="BX99" i="55"/>
  <c r="BX100" i="55"/>
  <c r="BX101" i="55"/>
  <c r="BX102" i="55"/>
  <c r="BX103" i="55"/>
  <c r="BX104" i="55"/>
  <c r="BX105" i="55"/>
  <c r="BX106" i="55"/>
  <c r="BX107" i="55"/>
  <c r="BX108" i="55"/>
  <c r="BX109" i="55"/>
  <c r="BX110" i="55"/>
  <c r="BX111" i="55"/>
  <c r="BX112" i="55"/>
  <c r="BX113" i="55"/>
  <c r="BX114" i="55"/>
  <c r="BX115" i="55"/>
  <c r="BX116" i="55"/>
  <c r="BX117" i="55"/>
  <c r="BX118" i="55"/>
  <c r="BX119" i="55"/>
  <c r="BX120" i="55"/>
  <c r="BX121" i="55"/>
  <c r="BX122" i="55"/>
  <c r="BX123" i="55"/>
  <c r="BX124" i="55"/>
  <c r="BX125" i="55"/>
  <c r="BX126" i="55"/>
  <c r="BX127" i="55"/>
  <c r="BX128" i="55"/>
  <c r="BX129" i="55"/>
  <c r="BX130" i="55"/>
  <c r="BX131" i="55"/>
  <c r="BX132" i="55"/>
  <c r="BX133" i="55"/>
  <c r="BX134" i="55"/>
  <c r="BX135" i="55"/>
  <c r="BX136" i="55"/>
  <c r="BX137" i="55"/>
  <c r="BX138" i="55"/>
  <c r="BX139" i="55"/>
  <c r="BX140" i="55"/>
  <c r="BX141" i="55"/>
  <c r="BX142" i="55"/>
  <c r="BX143" i="55"/>
  <c r="BX144" i="55"/>
  <c r="BX145" i="55"/>
  <c r="BX146" i="55"/>
  <c r="BX147" i="55"/>
  <c r="BX148" i="55"/>
  <c r="BX149" i="55"/>
  <c r="BX150" i="55"/>
  <c r="BX151" i="55"/>
  <c r="BX152" i="55"/>
  <c r="BX153" i="55"/>
  <c r="BX154" i="55"/>
  <c r="BX155" i="55"/>
  <c r="BX156" i="55"/>
  <c r="BX157" i="55"/>
  <c r="BX158" i="55"/>
  <c r="BX159" i="55"/>
  <c r="BX160" i="55"/>
  <c r="BX161" i="55"/>
  <c r="BX162" i="55"/>
  <c r="BX163" i="55"/>
  <c r="BX164" i="55"/>
  <c r="BX165" i="55"/>
  <c r="BX166" i="55"/>
  <c r="BX167" i="55"/>
  <c r="BX168" i="55"/>
  <c r="BX169" i="55"/>
  <c r="BX170" i="55"/>
  <c r="BX171" i="55"/>
  <c r="BX172" i="55"/>
  <c r="BX173" i="55"/>
  <c r="BX174" i="55"/>
  <c r="BX175" i="55"/>
  <c r="BX176" i="55"/>
  <c r="BX177" i="55"/>
  <c r="BX178" i="55"/>
  <c r="BX179" i="55"/>
  <c r="BX180" i="55"/>
  <c r="BX181" i="55"/>
  <c r="BX182" i="55"/>
  <c r="BX183" i="55"/>
  <c r="BX185" i="55"/>
  <c r="BX186" i="55"/>
  <c r="BX187" i="55"/>
  <c r="BX188" i="55"/>
  <c r="BX189" i="55"/>
  <c r="BX190" i="55"/>
  <c r="BX191" i="55"/>
  <c r="BX192" i="55"/>
  <c r="BX193" i="55"/>
  <c r="BX194" i="55"/>
  <c r="BX195" i="55"/>
  <c r="BX196" i="55"/>
  <c r="BX197" i="55"/>
  <c r="BX198" i="55"/>
  <c r="BX199" i="55"/>
  <c r="BX200" i="55"/>
  <c r="BX201" i="55"/>
  <c r="BX202" i="55"/>
  <c r="BX203" i="55"/>
  <c r="BX204" i="55"/>
  <c r="BX205" i="55"/>
  <c r="BX206" i="55"/>
  <c r="BX207" i="55"/>
  <c r="BX208" i="55"/>
  <c r="BX209" i="55"/>
  <c r="BX210" i="55"/>
  <c r="BX211" i="55"/>
  <c r="BX212" i="55"/>
  <c r="BX213" i="55"/>
  <c r="BX214" i="55"/>
  <c r="BX215" i="55"/>
  <c r="BX216" i="55"/>
  <c r="BX217" i="55"/>
  <c r="BX218" i="55"/>
  <c r="BX219" i="55"/>
  <c r="BX220" i="55"/>
  <c r="BX221" i="55"/>
  <c r="BX222" i="55"/>
  <c r="BX223" i="55"/>
  <c r="BX225" i="55"/>
  <c r="BX226" i="55"/>
  <c r="BX227" i="55"/>
  <c r="BX228" i="55"/>
  <c r="BX229" i="55"/>
  <c r="BX230" i="55"/>
  <c r="BX231" i="55"/>
  <c r="BX232" i="55"/>
  <c r="BX233" i="55"/>
  <c r="BX234" i="55"/>
  <c r="BX235" i="55"/>
  <c r="BX236" i="55"/>
  <c r="BX237" i="55"/>
  <c r="BX238" i="55"/>
  <c r="BX239" i="55"/>
  <c r="BX240" i="55"/>
  <c r="BX241" i="55"/>
  <c r="BX242" i="55"/>
  <c r="BX243" i="55"/>
  <c r="BX244" i="55"/>
  <c r="BX245" i="55"/>
  <c r="BX246" i="55"/>
  <c r="BX247" i="55"/>
  <c r="BX248" i="55"/>
  <c r="BX249" i="55"/>
  <c r="BX250" i="55"/>
  <c r="BX251" i="55"/>
  <c r="BX252" i="55"/>
  <c r="BX253" i="55"/>
  <c r="BX254" i="55"/>
  <c r="BX255" i="55"/>
  <c r="BX256" i="55"/>
  <c r="BX257" i="55"/>
  <c r="BX258" i="55"/>
  <c r="BX259" i="55"/>
  <c r="BX260" i="55"/>
  <c r="BX261" i="55"/>
  <c r="BX262" i="55"/>
  <c r="BX263" i="55"/>
  <c r="BX264" i="55"/>
  <c r="BX266" i="55"/>
  <c r="BX267" i="55"/>
  <c r="BX268" i="55"/>
  <c r="BX269" i="55"/>
  <c r="BX270" i="55"/>
  <c r="BX271" i="55"/>
  <c r="BX272" i="55"/>
  <c r="BX273" i="55"/>
  <c r="BX274" i="55"/>
  <c r="BX275" i="55"/>
  <c r="BX276" i="55"/>
  <c r="BX277" i="55"/>
  <c r="BX278" i="55"/>
  <c r="BX279" i="55"/>
  <c r="BX280" i="55"/>
  <c r="BX281" i="55"/>
  <c r="BX282" i="55"/>
  <c r="BX284" i="55"/>
  <c r="BX285" i="55"/>
  <c r="BX286" i="55"/>
  <c r="BX287" i="55"/>
  <c r="BX288" i="55"/>
  <c r="BX289" i="55"/>
  <c r="BX290" i="55"/>
  <c r="BX291" i="55"/>
  <c r="BX292" i="55"/>
  <c r="BX293" i="55"/>
  <c r="BX294" i="55"/>
  <c r="BX295" i="55"/>
  <c r="BX296" i="55"/>
  <c r="BX297" i="55"/>
  <c r="BX298" i="55"/>
  <c r="BX299" i="55"/>
  <c r="BX300" i="55"/>
  <c r="BX301" i="55"/>
  <c r="BX302" i="55"/>
  <c r="BX303" i="55"/>
  <c r="BX304" i="55"/>
  <c r="BX305" i="55"/>
  <c r="BX306" i="55"/>
  <c r="BX307" i="55"/>
  <c r="BX308" i="55"/>
  <c r="BX309" i="55"/>
  <c r="BX310" i="55"/>
  <c r="BX311" i="55"/>
  <c r="BX312" i="55"/>
  <c r="BX313" i="55"/>
  <c r="BX314" i="55"/>
  <c r="BX315" i="55"/>
  <c r="BX316" i="55"/>
  <c r="BX317" i="55"/>
  <c r="BX318" i="55"/>
  <c r="BX319" i="55"/>
  <c r="BX320" i="55"/>
  <c r="BX321" i="55"/>
  <c r="BX322" i="55"/>
  <c r="BX323" i="55"/>
  <c r="BX324" i="55"/>
  <c r="BX325" i="55"/>
  <c r="BX326" i="55"/>
  <c r="BX327" i="55"/>
  <c r="BX328" i="55"/>
  <c r="BX329" i="55"/>
  <c r="BX330" i="55"/>
  <c r="BX331" i="55"/>
  <c r="BX332" i="55"/>
  <c r="BX333" i="55"/>
  <c r="BX334" i="55"/>
  <c r="BX335" i="55"/>
  <c r="BX336" i="55"/>
  <c r="BX337" i="55"/>
  <c r="BX338" i="55"/>
  <c r="BX339" i="55"/>
  <c r="BX340" i="55"/>
  <c r="BX341" i="55"/>
  <c r="BX342" i="55"/>
  <c r="BX343" i="55"/>
  <c r="BX344" i="55"/>
  <c r="BX345" i="55"/>
  <c r="BX346" i="55"/>
  <c r="BX347" i="55"/>
  <c r="BX348" i="55"/>
  <c r="BX349" i="55"/>
  <c r="BX350" i="55"/>
  <c r="BX351" i="55"/>
  <c r="BX352" i="55"/>
  <c r="BW343" i="55"/>
  <c r="CI343" i="55" s="1"/>
  <c r="BW344" i="55"/>
  <c r="BW351" i="55"/>
  <c r="BV3" i="55"/>
  <c r="BY3" i="55" s="1"/>
  <c r="BV4" i="55"/>
  <c r="BX4" i="55" s="1"/>
  <c r="BV5" i="55"/>
  <c r="BY5" i="55" s="1"/>
  <c r="BV6" i="55"/>
  <c r="BY6" i="55" s="1"/>
  <c r="BV7" i="55"/>
  <c r="BV8" i="55"/>
  <c r="BV9" i="55"/>
  <c r="BV10" i="55"/>
  <c r="BV11" i="55"/>
  <c r="BV12" i="55"/>
  <c r="BV13" i="55"/>
  <c r="BV14" i="55"/>
  <c r="BV15" i="55"/>
  <c r="BV16" i="55"/>
  <c r="BV17" i="55"/>
  <c r="BV18" i="55"/>
  <c r="BV19" i="55"/>
  <c r="BV20" i="55"/>
  <c r="BV21" i="55"/>
  <c r="BV22" i="55"/>
  <c r="BY22" i="55" s="1"/>
  <c r="BV23" i="55"/>
  <c r="BY23" i="55" s="1"/>
  <c r="BV24" i="55"/>
  <c r="BY24" i="55" s="1"/>
  <c r="BV25" i="55"/>
  <c r="BV26" i="55"/>
  <c r="BY26" i="55" s="1"/>
  <c r="BV27" i="55"/>
  <c r="BV28" i="55"/>
  <c r="BV29" i="55"/>
  <c r="BV30" i="55"/>
  <c r="BV31" i="55"/>
  <c r="BX31" i="55" s="1"/>
  <c r="BV32" i="55"/>
  <c r="BV33" i="55"/>
  <c r="BV34" i="55"/>
  <c r="BV35" i="55"/>
  <c r="BV36" i="55"/>
  <c r="BV37" i="55"/>
  <c r="BV38" i="55"/>
  <c r="BV39" i="55"/>
  <c r="BV40" i="55"/>
  <c r="BV41" i="55"/>
  <c r="BV42" i="55"/>
  <c r="BV43" i="55"/>
  <c r="BY43" i="55" s="1"/>
  <c r="BV44" i="55"/>
  <c r="BV45" i="55"/>
  <c r="BY45" i="55" s="1"/>
  <c r="BV46" i="55"/>
  <c r="BY46" i="55" s="1"/>
  <c r="BV47" i="55"/>
  <c r="BV48" i="55"/>
  <c r="BV49" i="55"/>
  <c r="BV50" i="55"/>
  <c r="BV51" i="55"/>
  <c r="BY51" i="55" s="1"/>
  <c r="BV52" i="55"/>
  <c r="BY52" i="55" s="1"/>
  <c r="BV53" i="55"/>
  <c r="BY53" i="55" s="1"/>
  <c r="BV54" i="55"/>
  <c r="BV55" i="55"/>
  <c r="BY55" i="55" s="1"/>
  <c r="BV56" i="55"/>
  <c r="BY56" i="55" s="1"/>
  <c r="BV57" i="55"/>
  <c r="BY57" i="55" s="1"/>
  <c r="BV58" i="55"/>
  <c r="BY58" i="55" s="1"/>
  <c r="BV59" i="55"/>
  <c r="BY59" i="55" s="1"/>
  <c r="BV60" i="55"/>
  <c r="BV61" i="55"/>
  <c r="BY61" i="55" s="1"/>
  <c r="BV62" i="55"/>
  <c r="BV63" i="55"/>
  <c r="BY63" i="55" s="1"/>
  <c r="BV64" i="55"/>
  <c r="BY64" i="55" s="1"/>
  <c r="BV65" i="55"/>
  <c r="BY65" i="55" s="1"/>
  <c r="BV66" i="55"/>
  <c r="BY66" i="55" s="1"/>
  <c r="BV67" i="55"/>
  <c r="BY67" i="55" s="1"/>
  <c r="BV68" i="55"/>
  <c r="BY68" i="55" s="1"/>
  <c r="BV69" i="55"/>
  <c r="BY69" i="55" s="1"/>
  <c r="BV70" i="55"/>
  <c r="BV71" i="55"/>
  <c r="BY71" i="55" s="1"/>
  <c r="BV72" i="55"/>
  <c r="BY72" i="55" s="1"/>
  <c r="BV73" i="55"/>
  <c r="BV74" i="55"/>
  <c r="BY74" i="55" s="1"/>
  <c r="BV75" i="55"/>
  <c r="BY75" i="55" s="1"/>
  <c r="BV76" i="55"/>
  <c r="BV77" i="55"/>
  <c r="BY77" i="55" s="1"/>
  <c r="BV78" i="55"/>
  <c r="BV79" i="55"/>
  <c r="BY79" i="55" s="1"/>
  <c r="BV80" i="55"/>
  <c r="BV81" i="55"/>
  <c r="BV82" i="55"/>
  <c r="BV83" i="55"/>
  <c r="BV84" i="55"/>
  <c r="BV85" i="55"/>
  <c r="BV86" i="55"/>
  <c r="BV87" i="55"/>
  <c r="BV88" i="55"/>
  <c r="BY88" i="55" s="1"/>
  <c r="BV89" i="55"/>
  <c r="BY89" i="55" s="1"/>
  <c r="BV90" i="55"/>
  <c r="BY90" i="55" s="1"/>
  <c r="BV91" i="55"/>
  <c r="BY91" i="55" s="1"/>
  <c r="BV92" i="55"/>
  <c r="BV93" i="55"/>
  <c r="BY93" i="55" s="1"/>
  <c r="BV94" i="55"/>
  <c r="BY94" i="55" s="1"/>
  <c r="BV95" i="55"/>
  <c r="BY95" i="55" s="1"/>
  <c r="BV96" i="55"/>
  <c r="BY96" i="55" s="1"/>
  <c r="BV97" i="55"/>
  <c r="BY97" i="55" s="1"/>
  <c r="BV98" i="55"/>
  <c r="BY98" i="55" s="1"/>
  <c r="BV99" i="55"/>
  <c r="BY99" i="55" s="1"/>
  <c r="BV100" i="55"/>
  <c r="BV101" i="55"/>
  <c r="BY101" i="55" s="1"/>
  <c r="BV102" i="55"/>
  <c r="BV103" i="55"/>
  <c r="BY103" i="55" s="1"/>
  <c r="BV104" i="55"/>
  <c r="BY104" i="55" s="1"/>
  <c r="BV105" i="55"/>
  <c r="BY105" i="55" s="1"/>
  <c r="BV106" i="55"/>
  <c r="BY106" i="55" s="1"/>
  <c r="BV107" i="55"/>
  <c r="BY107" i="55" s="1"/>
  <c r="BV108" i="55"/>
  <c r="BY108" i="55" s="1"/>
  <c r="BV109" i="55"/>
  <c r="BY109" i="55" s="1"/>
  <c r="BV110" i="55"/>
  <c r="BY110" i="55" s="1"/>
  <c r="BV111" i="55"/>
  <c r="BY111" i="55" s="1"/>
  <c r="BV112" i="55"/>
  <c r="BY112" i="55" s="1"/>
  <c r="BV113" i="55"/>
  <c r="BY113" i="55" s="1"/>
  <c r="BV114" i="55"/>
  <c r="BY114" i="55" s="1"/>
  <c r="BV115" i="55"/>
  <c r="BY115" i="55" s="1"/>
  <c r="BV116" i="55"/>
  <c r="BY116" i="55" s="1"/>
  <c r="BV117" i="55"/>
  <c r="BY117" i="55" s="1"/>
  <c r="BV118" i="55"/>
  <c r="BY118" i="55" s="1"/>
  <c r="BV119" i="55"/>
  <c r="BY119" i="55" s="1"/>
  <c r="BV120" i="55"/>
  <c r="BY120" i="55" s="1"/>
  <c r="BV121" i="55"/>
  <c r="BY121" i="55" s="1"/>
  <c r="BV122" i="55"/>
  <c r="BY122" i="55" s="1"/>
  <c r="BV123" i="55"/>
  <c r="BY123" i="55" s="1"/>
  <c r="BV124" i="55"/>
  <c r="BV125" i="55"/>
  <c r="BY125" i="55" s="1"/>
  <c r="BV126" i="55"/>
  <c r="BY126" i="55" s="1"/>
  <c r="BV127" i="55"/>
  <c r="BY127" i="55" s="1"/>
  <c r="BV128" i="55"/>
  <c r="BY128" i="55" s="1"/>
  <c r="BV129" i="55"/>
  <c r="BY129" i="55" s="1"/>
  <c r="BV130" i="55"/>
  <c r="BV131" i="55"/>
  <c r="BY131" i="55" s="1"/>
  <c r="BV132" i="55"/>
  <c r="BV133" i="55"/>
  <c r="BY133" i="55" s="1"/>
  <c r="BV134" i="55"/>
  <c r="BY134" i="55" s="1"/>
  <c r="BV135" i="55"/>
  <c r="BY135" i="55" s="1"/>
  <c r="BV136" i="55"/>
  <c r="BY136" i="55" s="1"/>
  <c r="BV137" i="55"/>
  <c r="BY137" i="55" s="1"/>
  <c r="BV138" i="55"/>
  <c r="BY138" i="55" s="1"/>
  <c r="BV139" i="55"/>
  <c r="BY139" i="55" s="1"/>
  <c r="BV140" i="55"/>
  <c r="BY140" i="55" s="1"/>
  <c r="BV141" i="55"/>
  <c r="BY141" i="55" s="1"/>
  <c r="BV142" i="55"/>
  <c r="BV143" i="55"/>
  <c r="BY143" i="55" s="1"/>
  <c r="BV144" i="55"/>
  <c r="BY144" i="55" s="1"/>
  <c r="BV145" i="55"/>
  <c r="BY145" i="55" s="1"/>
  <c r="BV146" i="55"/>
  <c r="BY146" i="55" s="1"/>
  <c r="BV147" i="55"/>
  <c r="BY147" i="55" s="1"/>
  <c r="BV148" i="55"/>
  <c r="BY148" i="55" s="1"/>
  <c r="BV149" i="55"/>
  <c r="BV150" i="55"/>
  <c r="BY150" i="55" s="1"/>
  <c r="BV151" i="55"/>
  <c r="BY151" i="55" s="1"/>
  <c r="BV152" i="55"/>
  <c r="BY152" i="55" s="1"/>
  <c r="BV153" i="55"/>
  <c r="BY153" i="55" s="1"/>
  <c r="BV154" i="55"/>
  <c r="BY154" i="55" s="1"/>
  <c r="BV155" i="55"/>
  <c r="BV156" i="55"/>
  <c r="BV157" i="55"/>
  <c r="BV158" i="55"/>
  <c r="BV159" i="55"/>
  <c r="BV160" i="55"/>
  <c r="BV161" i="55"/>
  <c r="BV162" i="55"/>
  <c r="BV163" i="55"/>
  <c r="BV164" i="55"/>
  <c r="BV165" i="55"/>
  <c r="BY165" i="55" s="1"/>
  <c r="BV166" i="55"/>
  <c r="BV167" i="55"/>
  <c r="BV168" i="55"/>
  <c r="BV169" i="55"/>
  <c r="BV170" i="55"/>
  <c r="BV171" i="55"/>
  <c r="BV172" i="55"/>
  <c r="BV173" i="55"/>
  <c r="BV174" i="55"/>
  <c r="BV175" i="55"/>
  <c r="BV176" i="55"/>
  <c r="BV177" i="55"/>
  <c r="BV178" i="55"/>
  <c r="BV179" i="55"/>
  <c r="BY179" i="55" s="1"/>
  <c r="BV180" i="55"/>
  <c r="BY180" i="55" s="1"/>
  <c r="BV181" i="55"/>
  <c r="BV182" i="55"/>
  <c r="BY182" i="55" s="1"/>
  <c r="BV183" i="55"/>
  <c r="BY183" i="55" s="1"/>
  <c r="BV184" i="55"/>
  <c r="BV185" i="55"/>
  <c r="BV186" i="55"/>
  <c r="BV187" i="55"/>
  <c r="BV188" i="55"/>
  <c r="BV189" i="55"/>
  <c r="BV190" i="55"/>
  <c r="BV191" i="55"/>
  <c r="BV192" i="55"/>
  <c r="BV193" i="55"/>
  <c r="BV194" i="55"/>
  <c r="BV195" i="55"/>
  <c r="BV196" i="55"/>
  <c r="BV197" i="55"/>
  <c r="BV198" i="55"/>
  <c r="BV199" i="55"/>
  <c r="BV200" i="55"/>
  <c r="BV201" i="55"/>
  <c r="BV202" i="55"/>
  <c r="BV203" i="55"/>
  <c r="BV204" i="55"/>
  <c r="BV205" i="55"/>
  <c r="BV206" i="55"/>
  <c r="BV207" i="55"/>
  <c r="BV208" i="55"/>
  <c r="BV209" i="55"/>
  <c r="BV210" i="55"/>
  <c r="BV211" i="55"/>
  <c r="BV212" i="55"/>
  <c r="BV213" i="55"/>
  <c r="BV214" i="55"/>
  <c r="BV215" i="55"/>
  <c r="BV216" i="55"/>
  <c r="BV217" i="55"/>
  <c r="BV218" i="55"/>
  <c r="BY218" i="55" s="1"/>
  <c r="BV219" i="55"/>
  <c r="BV220" i="55"/>
  <c r="BV221" i="55"/>
  <c r="BY221" i="55" s="1"/>
  <c r="BV222" i="55"/>
  <c r="BY222" i="55" s="1"/>
  <c r="BV223" i="55"/>
  <c r="BV224" i="55"/>
  <c r="BV225" i="55"/>
  <c r="BV226" i="55"/>
  <c r="BV227" i="55"/>
  <c r="BV228" i="55"/>
  <c r="BV229" i="55"/>
  <c r="BV230" i="55"/>
  <c r="BV231" i="55"/>
  <c r="BV232" i="55"/>
  <c r="BV233" i="55"/>
  <c r="BV234" i="55"/>
  <c r="BV235" i="55"/>
  <c r="BV236" i="55"/>
  <c r="BV237" i="55"/>
  <c r="BV238" i="55"/>
  <c r="BV239" i="55"/>
  <c r="BV240" i="55"/>
  <c r="BV241" i="55"/>
  <c r="BV242" i="55"/>
  <c r="BV243" i="55"/>
  <c r="BY243" i="55" s="1"/>
  <c r="BV244" i="55"/>
  <c r="BV245" i="55"/>
  <c r="BV246" i="55"/>
  <c r="BV247" i="55"/>
  <c r="BV248" i="55"/>
  <c r="BV249" i="55"/>
  <c r="BV250" i="55"/>
  <c r="BV251" i="55"/>
  <c r="BV252" i="55"/>
  <c r="BV253" i="55"/>
  <c r="BV254" i="55"/>
  <c r="BV255" i="55"/>
  <c r="BV256" i="55"/>
  <c r="BV257" i="55"/>
  <c r="BV258" i="55"/>
  <c r="BV259" i="55"/>
  <c r="BV260" i="55"/>
  <c r="BV261" i="55"/>
  <c r="BV262" i="55"/>
  <c r="BV263" i="55"/>
  <c r="BV264" i="55"/>
  <c r="BV265" i="55"/>
  <c r="BX265" i="55" s="1"/>
  <c r="BV266" i="55"/>
  <c r="BV267" i="55"/>
  <c r="BV268" i="55"/>
  <c r="BV269" i="55"/>
  <c r="BV270" i="55"/>
  <c r="BV271" i="55"/>
  <c r="BV272" i="55"/>
  <c r="BV273" i="55"/>
  <c r="BV274" i="55"/>
  <c r="BV275" i="55"/>
  <c r="BV276" i="55"/>
  <c r="BV277" i="55"/>
  <c r="BV278" i="55"/>
  <c r="BV279" i="55"/>
  <c r="BV280" i="55"/>
  <c r="BV281" i="55"/>
  <c r="BV282" i="55"/>
  <c r="BV283" i="55"/>
  <c r="BY283" i="55" s="1"/>
  <c r="BV284" i="55"/>
  <c r="BV285" i="55"/>
  <c r="BV286" i="55"/>
  <c r="BV287" i="55"/>
  <c r="BV288" i="55"/>
  <c r="BV289" i="55"/>
  <c r="BV290" i="55"/>
  <c r="BV291" i="55"/>
  <c r="BV292" i="55"/>
  <c r="BY292" i="55" s="1"/>
  <c r="BV293" i="55"/>
  <c r="BV294" i="55"/>
  <c r="BV295" i="55"/>
  <c r="BV296" i="55"/>
  <c r="BV297" i="55"/>
  <c r="BV298" i="55"/>
  <c r="BV299" i="55"/>
  <c r="BV300" i="55"/>
  <c r="BV301" i="55"/>
  <c r="BV302" i="55"/>
  <c r="BV303" i="55"/>
  <c r="BV304" i="55"/>
  <c r="BV305" i="55"/>
  <c r="BV306" i="55"/>
  <c r="BV307" i="55"/>
  <c r="BV308" i="55"/>
  <c r="BV309" i="55"/>
  <c r="BV310" i="55"/>
  <c r="BV311" i="55"/>
  <c r="BY311" i="55" s="1"/>
  <c r="BV312" i="55"/>
  <c r="BY312" i="55" s="1"/>
  <c r="BV313" i="55"/>
  <c r="BY313" i="55" s="1"/>
  <c r="BV314" i="55"/>
  <c r="BY314" i="55" s="1"/>
  <c r="BV315" i="55"/>
  <c r="BY315" i="55" s="1"/>
  <c r="BV316" i="55"/>
  <c r="BV317" i="55"/>
  <c r="BY317" i="55" s="1"/>
  <c r="BV318" i="55"/>
  <c r="BV319" i="55"/>
  <c r="BV320" i="55"/>
  <c r="BV321" i="55"/>
  <c r="BV322" i="55"/>
  <c r="BV323" i="55"/>
  <c r="BV324" i="55"/>
  <c r="BV325" i="55"/>
  <c r="BY325" i="55" s="1"/>
  <c r="BV326" i="55"/>
  <c r="BV327" i="55"/>
  <c r="BV328" i="55"/>
  <c r="BV329" i="55"/>
  <c r="BV330" i="55"/>
  <c r="BY330" i="55" s="1"/>
  <c r="BV331" i="55"/>
  <c r="BY331" i="55" s="1"/>
  <c r="BV332" i="55"/>
  <c r="BY332" i="55" s="1"/>
  <c r="BV333" i="55"/>
  <c r="BV334" i="55"/>
  <c r="BV335" i="55"/>
  <c r="BY335" i="55" s="1"/>
  <c r="BV336" i="55"/>
  <c r="BY336" i="55" s="1"/>
  <c r="BV337" i="55"/>
  <c r="BY337" i="55" s="1"/>
  <c r="BV338" i="55"/>
  <c r="BY338" i="55" s="1"/>
  <c r="BV339" i="55"/>
  <c r="BY339" i="55" s="1"/>
  <c r="BV340" i="55"/>
  <c r="BV341" i="55"/>
  <c r="BY341" i="55" s="1"/>
  <c r="BV342" i="55"/>
  <c r="BV343" i="55"/>
  <c r="BV344" i="55"/>
  <c r="BV345" i="55"/>
  <c r="BV346" i="55"/>
  <c r="BV347" i="55"/>
  <c r="BV348" i="55"/>
  <c r="BV349" i="55"/>
  <c r="BV350" i="55"/>
  <c r="BV351" i="55"/>
  <c r="BV352" i="55"/>
  <c r="BU12" i="55"/>
  <c r="BU13" i="55"/>
  <c r="BU14" i="55"/>
  <c r="BU33" i="55"/>
  <c r="BU84" i="55"/>
  <c r="BU89" i="55"/>
  <c r="BU217" i="55"/>
  <c r="BU221" i="55"/>
  <c r="BT76" i="55"/>
  <c r="BT81" i="55"/>
  <c r="BT89" i="55"/>
  <c r="BT92" i="55"/>
  <c r="BT153" i="55"/>
  <c r="BT187" i="55"/>
  <c r="BT274" i="55"/>
  <c r="BT321" i="55"/>
  <c r="BS7" i="55"/>
  <c r="BT7" i="55" s="1"/>
  <c r="BS18" i="55" a="1"/>
  <c r="BS18" i="55" s="1"/>
  <c r="BS23" i="55" a="1"/>
  <c r="BS23" i="55" s="1"/>
  <c r="BS41" i="55" a="1"/>
  <c r="BS41" i="55" s="1"/>
  <c r="BU41" i="55" s="1"/>
  <c r="BS48" i="55" a="1"/>
  <c r="BS48" i="55" s="1"/>
  <c r="BS54" i="55" a="1"/>
  <c r="BS54" i="55" s="1"/>
  <c r="BS55" i="55" a="1"/>
  <c r="BS55" i="55" s="1"/>
  <c r="BS70" i="55" a="1"/>
  <c r="BS70" i="55"/>
  <c r="BS73" i="55" a="1"/>
  <c r="BS73" i="55" s="1"/>
  <c r="BS74" i="55" a="1"/>
  <c r="BS74" i="55" s="1"/>
  <c r="BS86" i="55" a="1"/>
  <c r="BS86" i="55" s="1"/>
  <c r="BU86" i="55" s="1"/>
  <c r="BS90" i="55" a="1"/>
  <c r="BS90" i="55" s="1"/>
  <c r="BS106" i="55" a="1"/>
  <c r="BS106" i="55" s="1"/>
  <c r="BS114" i="55" a="1"/>
  <c r="BS114" i="55" s="1"/>
  <c r="BS115" i="55" a="1"/>
  <c r="BS115" i="55" s="1"/>
  <c r="BS118" i="55" a="1"/>
  <c r="BS118" i="55"/>
  <c r="BS122" i="55" a="1"/>
  <c r="BS122" i="55" s="1"/>
  <c r="BS134" i="55" a="1"/>
  <c r="BS134" i="55" s="1"/>
  <c r="BS138" i="55" a="1"/>
  <c r="BS138" i="55" s="1"/>
  <c r="BS154" i="55" a="1"/>
  <c r="BS154" i="55"/>
  <c r="BU154" i="55" s="1"/>
  <c r="BS155" i="55" a="1"/>
  <c r="BS155" i="55" s="1"/>
  <c r="BS169" i="55" a="1"/>
  <c r="BS169" i="55" s="1"/>
  <c r="BT169" i="55" s="1"/>
  <c r="BS170" i="55" a="1"/>
  <c r="BS170" i="55" s="1"/>
  <c r="BS182" i="55" a="1"/>
  <c r="BS182" i="55"/>
  <c r="BS183" i="55" a="1"/>
  <c r="BS183" i="55" s="1"/>
  <c r="BS186" i="55" a="1"/>
  <c r="BS186" i="55" s="1"/>
  <c r="BS196" i="55"/>
  <c r="BS198" i="55"/>
  <c r="BS204" i="55"/>
  <c r="BS217" i="55" a="1"/>
  <c r="BS217" i="55" s="1"/>
  <c r="BS218" i="55" a="1"/>
  <c r="BS218" i="55" s="1"/>
  <c r="BT218" i="55" s="1"/>
  <c r="BS219" i="55"/>
  <c r="BS220" i="55"/>
  <c r="BU220" i="55" s="1"/>
  <c r="BS234" i="55" a="1"/>
  <c r="BS234" i="55" s="1"/>
  <c r="BS249" i="55" a="1"/>
  <c r="BS249" i="55" s="1"/>
  <c r="BU249" i="55" s="1"/>
  <c r="BS250" i="55" a="1"/>
  <c r="BS250" i="55"/>
  <c r="BU250" i="55" s="1"/>
  <c r="BS251" i="55" a="1"/>
  <c r="BS251" i="55" s="1"/>
  <c r="BS262" i="55" a="1"/>
  <c r="BS262" i="55" s="1"/>
  <c r="BS265" i="55"/>
  <c r="BT265" i="55" s="1"/>
  <c r="BS268" i="55"/>
  <c r="BT268" i="55" s="1"/>
  <c r="BS272" i="55" a="1"/>
  <c r="BS272" i="55" s="1"/>
  <c r="BT272" i="55" s="1"/>
  <c r="BS275" i="55"/>
  <c r="BS278" i="55" a="1"/>
  <c r="BS278" i="55"/>
  <c r="BS279" i="55" a="1"/>
  <c r="BS279" i="55"/>
  <c r="BS294" i="55" a="1"/>
  <c r="BS294" i="55" s="1"/>
  <c r="BU294" i="55" s="1"/>
  <c r="BS298" i="55" a="1"/>
  <c r="BS298" i="55" s="1"/>
  <c r="BS310" i="55" a="1"/>
  <c r="BS310" i="55" s="1"/>
  <c r="BS313" i="55" a="1"/>
  <c r="BS313" i="55" s="1"/>
  <c r="BS315" i="55" a="1"/>
  <c r="BS315" i="55"/>
  <c r="BS316" i="55"/>
  <c r="BT316" i="55" s="1"/>
  <c r="BS318" i="55" a="1"/>
  <c r="BS318" i="55" s="1"/>
  <c r="BS330" i="55"/>
  <c r="BS332" i="55"/>
  <c r="BS343" i="55" a="1"/>
  <c r="BS343" i="55" s="1"/>
  <c r="BS345" i="55" a="1"/>
  <c r="BS345" i="55" s="1"/>
  <c r="BS346" i="55" a="1"/>
  <c r="BS346" i="55"/>
  <c r="BS348" i="55"/>
  <c r="BR8" i="55"/>
  <c r="BR78" i="55"/>
  <c r="BR90" i="55"/>
  <c r="BR95" i="55"/>
  <c r="BR106" i="55"/>
  <c r="BR111" i="55"/>
  <c r="BR115" i="55"/>
  <c r="BR147" i="55"/>
  <c r="BR168" i="55"/>
  <c r="BR202" i="55"/>
  <c r="BR239" i="55"/>
  <c r="BR346" i="55"/>
  <c r="BR350" i="55"/>
  <c r="BR351" i="55"/>
  <c r="BQ3" i="55"/>
  <c r="BQ4" i="55"/>
  <c r="BQ5" i="55"/>
  <c r="BQ6" i="55"/>
  <c r="BQ7" i="55"/>
  <c r="BQ8" i="55"/>
  <c r="BQ9" i="55"/>
  <c r="BQ10" i="55"/>
  <c r="BQ11" i="55"/>
  <c r="BQ12" i="55"/>
  <c r="BQ13" i="55"/>
  <c r="BQ14" i="55"/>
  <c r="BQ15" i="55"/>
  <c r="BQ16" i="55"/>
  <c r="BQ17" i="55"/>
  <c r="BQ18" i="55"/>
  <c r="BQ19" i="55"/>
  <c r="BQ20" i="55"/>
  <c r="BQ21" i="55"/>
  <c r="BQ22" i="55"/>
  <c r="BQ23" i="55"/>
  <c r="BQ24" i="55"/>
  <c r="BQ25" i="55"/>
  <c r="BQ26" i="55"/>
  <c r="BQ27" i="55"/>
  <c r="BQ28" i="55"/>
  <c r="BQ29" i="55"/>
  <c r="BQ30" i="55"/>
  <c r="BQ31" i="55"/>
  <c r="BQ32" i="55"/>
  <c r="BQ33" i="55"/>
  <c r="BQ34" i="55"/>
  <c r="BQ35" i="55"/>
  <c r="BQ36" i="55"/>
  <c r="BQ37" i="55"/>
  <c r="BQ38" i="55"/>
  <c r="BQ39" i="55"/>
  <c r="BQ40" i="55"/>
  <c r="BQ41" i="55"/>
  <c r="BQ42" i="55"/>
  <c r="BQ43" i="55"/>
  <c r="BQ44" i="55"/>
  <c r="BQ45" i="55"/>
  <c r="BQ46" i="55"/>
  <c r="BQ47" i="55"/>
  <c r="BQ48" i="55"/>
  <c r="BQ49" i="55"/>
  <c r="BQ50" i="55"/>
  <c r="BQ51" i="55"/>
  <c r="BQ52" i="55"/>
  <c r="BQ53" i="55"/>
  <c r="BQ54" i="55"/>
  <c r="BQ55" i="55"/>
  <c r="BQ56" i="55"/>
  <c r="BQ57" i="55"/>
  <c r="BQ58" i="55"/>
  <c r="BQ59" i="55"/>
  <c r="BQ60" i="55"/>
  <c r="BQ61" i="55"/>
  <c r="BQ62" i="55"/>
  <c r="BQ63" i="55"/>
  <c r="BQ64" i="55"/>
  <c r="BQ65" i="55"/>
  <c r="BQ66" i="55"/>
  <c r="BQ67" i="55"/>
  <c r="BQ68" i="55"/>
  <c r="BQ69" i="55"/>
  <c r="BQ70" i="55"/>
  <c r="BQ71" i="55"/>
  <c r="BQ72" i="55"/>
  <c r="BQ73" i="55"/>
  <c r="BQ74" i="55"/>
  <c r="BQ75" i="55"/>
  <c r="BQ76" i="55"/>
  <c r="BQ77" i="55"/>
  <c r="BQ78" i="55"/>
  <c r="BQ79" i="55"/>
  <c r="BQ80" i="55"/>
  <c r="BQ81" i="55"/>
  <c r="BQ82" i="55"/>
  <c r="BQ83" i="55"/>
  <c r="BQ84" i="55"/>
  <c r="BQ85" i="55"/>
  <c r="BQ86" i="55"/>
  <c r="BQ87" i="55"/>
  <c r="BQ88" i="55"/>
  <c r="BQ89" i="55"/>
  <c r="BQ90" i="55"/>
  <c r="BQ91" i="55"/>
  <c r="BQ92" i="55"/>
  <c r="BQ93" i="55"/>
  <c r="BQ94" i="55"/>
  <c r="BQ95" i="55"/>
  <c r="BQ96" i="55"/>
  <c r="BQ97" i="55"/>
  <c r="BQ98" i="55"/>
  <c r="BQ99" i="55"/>
  <c r="BQ100" i="55"/>
  <c r="BQ101" i="55"/>
  <c r="BQ102" i="55"/>
  <c r="BQ103" i="55"/>
  <c r="BQ104" i="55"/>
  <c r="BQ105" i="55"/>
  <c r="BQ106" i="55"/>
  <c r="BQ107" i="55"/>
  <c r="BQ108" i="55"/>
  <c r="BQ109" i="55"/>
  <c r="BQ110" i="55"/>
  <c r="BQ111" i="55"/>
  <c r="BQ112" i="55"/>
  <c r="BQ113" i="55"/>
  <c r="BQ114" i="55"/>
  <c r="BQ115" i="55"/>
  <c r="BQ116" i="55"/>
  <c r="BQ117" i="55"/>
  <c r="BQ118" i="55"/>
  <c r="BQ119" i="55"/>
  <c r="BQ120" i="55"/>
  <c r="BQ121" i="55"/>
  <c r="BQ122" i="55"/>
  <c r="BQ123" i="55"/>
  <c r="BQ124" i="55"/>
  <c r="BQ125" i="55"/>
  <c r="BQ126" i="55"/>
  <c r="BQ127" i="55"/>
  <c r="BQ128" i="55"/>
  <c r="BQ129" i="55"/>
  <c r="BQ130" i="55"/>
  <c r="BQ131" i="55"/>
  <c r="BQ132" i="55"/>
  <c r="BQ133" i="55"/>
  <c r="BQ134" i="55"/>
  <c r="BQ135" i="55"/>
  <c r="BQ136" i="55"/>
  <c r="BQ137" i="55"/>
  <c r="BQ138" i="55"/>
  <c r="BQ139" i="55"/>
  <c r="BQ140" i="55"/>
  <c r="BQ141" i="55"/>
  <c r="BQ142" i="55"/>
  <c r="BQ143" i="55"/>
  <c r="BQ144" i="55"/>
  <c r="BQ145" i="55"/>
  <c r="BQ146" i="55"/>
  <c r="BQ147" i="55"/>
  <c r="BQ148" i="55"/>
  <c r="BQ149" i="55"/>
  <c r="BQ150" i="55"/>
  <c r="BQ151" i="55"/>
  <c r="BQ152" i="55"/>
  <c r="BQ153" i="55"/>
  <c r="BQ154" i="55"/>
  <c r="BQ155" i="55"/>
  <c r="BQ156" i="55"/>
  <c r="BQ157" i="55"/>
  <c r="BQ158" i="55"/>
  <c r="BQ159" i="55"/>
  <c r="BQ160" i="55"/>
  <c r="BQ161" i="55"/>
  <c r="BQ162" i="55"/>
  <c r="BQ163" i="55"/>
  <c r="BQ164" i="55"/>
  <c r="BQ165" i="55"/>
  <c r="BQ166" i="55"/>
  <c r="BQ167" i="55"/>
  <c r="BQ168" i="55"/>
  <c r="BQ169" i="55"/>
  <c r="BQ170" i="55"/>
  <c r="BQ171" i="55"/>
  <c r="BQ172" i="55"/>
  <c r="BQ173" i="55"/>
  <c r="BQ174" i="55"/>
  <c r="BQ175" i="55"/>
  <c r="BQ176" i="55"/>
  <c r="BQ177" i="55"/>
  <c r="BQ178" i="55"/>
  <c r="BQ179" i="55"/>
  <c r="BQ180" i="55"/>
  <c r="BQ181" i="55"/>
  <c r="BQ182" i="55"/>
  <c r="BQ183" i="55"/>
  <c r="BQ184" i="55"/>
  <c r="BQ185" i="55"/>
  <c r="BQ186" i="55"/>
  <c r="BQ187" i="55"/>
  <c r="BQ188" i="55"/>
  <c r="BQ189" i="55"/>
  <c r="BQ190" i="55"/>
  <c r="BQ191" i="55"/>
  <c r="BQ192" i="55"/>
  <c r="BQ193" i="55"/>
  <c r="BQ194" i="55"/>
  <c r="BQ195" i="55"/>
  <c r="BQ196" i="55"/>
  <c r="BQ197" i="55"/>
  <c r="BQ198" i="55"/>
  <c r="BQ199" i="55"/>
  <c r="BQ200" i="55"/>
  <c r="BQ201" i="55"/>
  <c r="BQ202" i="55"/>
  <c r="BQ203" i="55"/>
  <c r="BQ204" i="55"/>
  <c r="BQ205" i="55"/>
  <c r="BQ206" i="55"/>
  <c r="BQ207" i="55"/>
  <c r="BQ208" i="55"/>
  <c r="BQ209" i="55"/>
  <c r="BQ210" i="55"/>
  <c r="BQ211" i="55"/>
  <c r="BQ212" i="55"/>
  <c r="BQ213" i="55"/>
  <c r="BQ214" i="55"/>
  <c r="BQ215" i="55"/>
  <c r="BQ216" i="55"/>
  <c r="BQ217" i="55"/>
  <c r="BQ218" i="55"/>
  <c r="BQ219" i="55"/>
  <c r="BQ220" i="55"/>
  <c r="BQ221" i="55"/>
  <c r="BQ222" i="55"/>
  <c r="BQ223" i="55"/>
  <c r="BQ224" i="55"/>
  <c r="BQ225" i="55"/>
  <c r="BQ226" i="55"/>
  <c r="BQ227" i="55"/>
  <c r="BQ228" i="55"/>
  <c r="BQ229" i="55"/>
  <c r="BQ230" i="55"/>
  <c r="BQ231" i="55"/>
  <c r="BQ232" i="55"/>
  <c r="BQ233" i="55"/>
  <c r="BQ234" i="55"/>
  <c r="BQ235" i="55"/>
  <c r="BQ236" i="55"/>
  <c r="BQ237" i="55"/>
  <c r="BQ238" i="55"/>
  <c r="BQ239" i="55"/>
  <c r="BQ240" i="55"/>
  <c r="BQ241" i="55"/>
  <c r="BQ242" i="55"/>
  <c r="BQ243" i="55"/>
  <c r="BQ244" i="55"/>
  <c r="BQ245" i="55"/>
  <c r="BQ246" i="55"/>
  <c r="BQ247" i="55"/>
  <c r="BQ248" i="55"/>
  <c r="BQ249" i="55"/>
  <c r="BQ250" i="55"/>
  <c r="BQ251" i="55"/>
  <c r="BQ252" i="55"/>
  <c r="BQ253" i="55"/>
  <c r="BQ254" i="55"/>
  <c r="BQ255" i="55"/>
  <c r="BQ256" i="55"/>
  <c r="BQ257" i="55"/>
  <c r="BQ258" i="55"/>
  <c r="BQ259" i="55"/>
  <c r="BQ260" i="55"/>
  <c r="BQ261" i="55"/>
  <c r="BQ262" i="55"/>
  <c r="BQ263" i="55"/>
  <c r="BQ264" i="55"/>
  <c r="BQ265" i="55"/>
  <c r="BQ266" i="55"/>
  <c r="BQ267" i="55"/>
  <c r="BQ268" i="55"/>
  <c r="BQ269" i="55"/>
  <c r="BQ270" i="55"/>
  <c r="BQ271" i="55"/>
  <c r="BQ272" i="55"/>
  <c r="BQ273" i="55"/>
  <c r="BQ274" i="55"/>
  <c r="BQ275" i="55"/>
  <c r="BQ276" i="55"/>
  <c r="BQ277" i="55"/>
  <c r="BQ278" i="55"/>
  <c r="BQ279" i="55"/>
  <c r="BQ280" i="55"/>
  <c r="BQ281" i="55"/>
  <c r="BQ282" i="55"/>
  <c r="BQ283" i="55"/>
  <c r="BQ284" i="55"/>
  <c r="BQ285" i="55"/>
  <c r="BQ286" i="55"/>
  <c r="BQ287" i="55"/>
  <c r="BQ288" i="55"/>
  <c r="BQ289" i="55"/>
  <c r="BQ290" i="55"/>
  <c r="BQ291" i="55"/>
  <c r="BQ292" i="55"/>
  <c r="BQ293" i="55"/>
  <c r="BQ294" i="55"/>
  <c r="BQ295" i="55"/>
  <c r="BQ296" i="55"/>
  <c r="BQ297" i="55"/>
  <c r="BQ298" i="55"/>
  <c r="BQ299" i="55"/>
  <c r="BQ300" i="55"/>
  <c r="BQ301" i="55"/>
  <c r="BQ302" i="55"/>
  <c r="BQ303" i="55"/>
  <c r="BQ304" i="55"/>
  <c r="BQ305" i="55"/>
  <c r="BQ306" i="55"/>
  <c r="BQ307" i="55"/>
  <c r="BQ308" i="55"/>
  <c r="BQ309" i="55"/>
  <c r="BQ310" i="55"/>
  <c r="BQ311" i="55"/>
  <c r="BQ312" i="55"/>
  <c r="BQ313" i="55"/>
  <c r="BQ314" i="55"/>
  <c r="BQ315" i="55"/>
  <c r="BQ316" i="55"/>
  <c r="BQ317" i="55"/>
  <c r="BQ318" i="55"/>
  <c r="BQ319" i="55"/>
  <c r="BQ320" i="55"/>
  <c r="BQ321" i="55"/>
  <c r="BQ322" i="55"/>
  <c r="BQ323" i="55"/>
  <c r="BQ324" i="55"/>
  <c r="BQ325" i="55"/>
  <c r="BQ326" i="55"/>
  <c r="BQ327" i="55"/>
  <c r="BQ328" i="55"/>
  <c r="BQ329" i="55"/>
  <c r="BQ330" i="55"/>
  <c r="BQ331" i="55"/>
  <c r="BQ332" i="55"/>
  <c r="BQ333" i="55"/>
  <c r="BQ334" i="55"/>
  <c r="BQ335" i="55"/>
  <c r="BQ336" i="55"/>
  <c r="BQ337" i="55"/>
  <c r="BQ338" i="55"/>
  <c r="BQ339" i="55"/>
  <c r="BQ340" i="55"/>
  <c r="BQ341" i="55"/>
  <c r="BQ342" i="55"/>
  <c r="BQ343" i="55"/>
  <c r="BQ344" i="55"/>
  <c r="BQ345" i="55"/>
  <c r="BQ346" i="55"/>
  <c r="BQ347" i="55"/>
  <c r="BQ348" i="55"/>
  <c r="BQ349" i="55"/>
  <c r="BQ350" i="55"/>
  <c r="BQ351" i="55"/>
  <c r="BQ352" i="55"/>
  <c r="BP8" i="55"/>
  <c r="BP40" i="55"/>
  <c r="BP43" i="55"/>
  <c r="BP57" i="55"/>
  <c r="BP62" i="55"/>
  <c r="BP73" i="55"/>
  <c r="BP156" i="55"/>
  <c r="BP188" i="55"/>
  <c r="BP190" i="55"/>
  <c r="BP193" i="55"/>
  <c r="BP195" i="55"/>
  <c r="BP217" i="55"/>
  <c r="BP219" i="55"/>
  <c r="BP234" i="55"/>
  <c r="BP298" i="55"/>
  <c r="BP334" i="55"/>
  <c r="BP346" i="55"/>
  <c r="BP347" i="55"/>
  <c r="BO5" i="55"/>
  <c r="BO6" i="55"/>
  <c r="BO7" i="55"/>
  <c r="BO8" i="55"/>
  <c r="BO9" i="55"/>
  <c r="BO10" i="55"/>
  <c r="BO12" i="55"/>
  <c r="BO13" i="55"/>
  <c r="BO14" i="55"/>
  <c r="BO15" i="55"/>
  <c r="BO16" i="55"/>
  <c r="BO17" i="55"/>
  <c r="BO18" i="55"/>
  <c r="BO19" i="55"/>
  <c r="BO20" i="55"/>
  <c r="BO21" i="55"/>
  <c r="BO22" i="55"/>
  <c r="BO23" i="55"/>
  <c r="BO24" i="55"/>
  <c r="BO26" i="55"/>
  <c r="BO31" i="55"/>
  <c r="BO53" i="55"/>
  <c r="BO54" i="55"/>
  <c r="BO55" i="55"/>
  <c r="BO56" i="55"/>
  <c r="BO57" i="55"/>
  <c r="BO58" i="55"/>
  <c r="BO59" i="55"/>
  <c r="BO60" i="55"/>
  <c r="BO61" i="55"/>
  <c r="BO62" i="55"/>
  <c r="BO63" i="55"/>
  <c r="BO64" i="55"/>
  <c r="BO65" i="55"/>
  <c r="BO66" i="55"/>
  <c r="BO67" i="55"/>
  <c r="BO68" i="55"/>
  <c r="BO69" i="55"/>
  <c r="BO70" i="55"/>
  <c r="BO71" i="55"/>
  <c r="BO72" i="55"/>
  <c r="BO73" i="55"/>
  <c r="BO74" i="55"/>
  <c r="BO75" i="55"/>
  <c r="BO76" i="55"/>
  <c r="BO77" i="55"/>
  <c r="BO78" i="55"/>
  <c r="BO79" i="55"/>
  <c r="BO80" i="55"/>
  <c r="BO81" i="55"/>
  <c r="BO82" i="55"/>
  <c r="BO83" i="55"/>
  <c r="BO84" i="55"/>
  <c r="BO85" i="55"/>
  <c r="BO86" i="55"/>
  <c r="BO87" i="55"/>
  <c r="BO88" i="55"/>
  <c r="BO89" i="55"/>
  <c r="BO90" i="55"/>
  <c r="BO91" i="55"/>
  <c r="BO92" i="55"/>
  <c r="BO93" i="55"/>
  <c r="BO94" i="55"/>
  <c r="BO95" i="55"/>
  <c r="BO96" i="55"/>
  <c r="BO97" i="55"/>
  <c r="BO98" i="55"/>
  <c r="BO99" i="55"/>
  <c r="BO100" i="55"/>
  <c r="BO101" i="55"/>
  <c r="BO102" i="55"/>
  <c r="BO103" i="55"/>
  <c r="BO104" i="55"/>
  <c r="BO105" i="55"/>
  <c r="BO106" i="55"/>
  <c r="BO107" i="55"/>
  <c r="BO108" i="55"/>
  <c r="BO109" i="55"/>
  <c r="BO110" i="55"/>
  <c r="BO111" i="55"/>
  <c r="BO112" i="55"/>
  <c r="BO113" i="55"/>
  <c r="BO114" i="55"/>
  <c r="BO115" i="55"/>
  <c r="BO116" i="55"/>
  <c r="BO117" i="55"/>
  <c r="BO118" i="55"/>
  <c r="BO119" i="55"/>
  <c r="BO120" i="55"/>
  <c r="BO121" i="55"/>
  <c r="BO122" i="55"/>
  <c r="BO123" i="55"/>
  <c r="BO124" i="55"/>
  <c r="BO125" i="55"/>
  <c r="BO126" i="55"/>
  <c r="BO127" i="55"/>
  <c r="BO128" i="55"/>
  <c r="BO129" i="55"/>
  <c r="BO130" i="55"/>
  <c r="BO154" i="55"/>
  <c r="BO155" i="55"/>
  <c r="BO156" i="55"/>
  <c r="BO157" i="55"/>
  <c r="BO158" i="55"/>
  <c r="BO159" i="55"/>
  <c r="BO160" i="55"/>
  <c r="BO161" i="55"/>
  <c r="BO162" i="55"/>
  <c r="BO163" i="55"/>
  <c r="BO164" i="55"/>
  <c r="BO165" i="55"/>
  <c r="BO166" i="55"/>
  <c r="BO167" i="55"/>
  <c r="BO168" i="55"/>
  <c r="BO169" i="55"/>
  <c r="BO170" i="55"/>
  <c r="BO171" i="55"/>
  <c r="BO172" i="55"/>
  <c r="BO173" i="55"/>
  <c r="BO174" i="55"/>
  <c r="BO175" i="55"/>
  <c r="BO176" i="55"/>
  <c r="BO177" i="55"/>
  <c r="BO178" i="55"/>
  <c r="BO179" i="55"/>
  <c r="BO180" i="55"/>
  <c r="BO181" i="55"/>
  <c r="BO182" i="55"/>
  <c r="BO183" i="55"/>
  <c r="BO184" i="55"/>
  <c r="BO220" i="55"/>
  <c r="BO221" i="55"/>
  <c r="BO222" i="55"/>
  <c r="BO223" i="55"/>
  <c r="BO224" i="55"/>
  <c r="BO283" i="55"/>
  <c r="BO284" i="55"/>
  <c r="BO285" i="55"/>
  <c r="BO286" i="55"/>
  <c r="BO287" i="55"/>
  <c r="BO288" i="55"/>
  <c r="BO289" i="55"/>
  <c r="BO290" i="55"/>
  <c r="BO291" i="55"/>
  <c r="BO292" i="55"/>
  <c r="BO293" i="55"/>
  <c r="BO294" i="55"/>
  <c r="BO295" i="55"/>
  <c r="BO296" i="55"/>
  <c r="BO297" i="55"/>
  <c r="BO298" i="55"/>
  <c r="BO299" i="55"/>
  <c r="BO300" i="55"/>
  <c r="BO301" i="55"/>
  <c r="BO302" i="55"/>
  <c r="BO303" i="55"/>
  <c r="BO304" i="55"/>
  <c r="BO305" i="55"/>
  <c r="BO306" i="55"/>
  <c r="BO307" i="55"/>
  <c r="BO308" i="55"/>
  <c r="BO309" i="55"/>
  <c r="BO310" i="55"/>
  <c r="BO311" i="55"/>
  <c r="BO312" i="55"/>
  <c r="BO313" i="55"/>
  <c r="BO314" i="55"/>
  <c r="BO315" i="55"/>
  <c r="BO316" i="55"/>
  <c r="BO317" i="55"/>
  <c r="BO318" i="55"/>
  <c r="BO319" i="55"/>
  <c r="BO320" i="55"/>
  <c r="BO321" i="55"/>
  <c r="BO322" i="55"/>
  <c r="BO323" i="55"/>
  <c r="BO324" i="55"/>
  <c r="BO325" i="55"/>
  <c r="BO326" i="55"/>
  <c r="BO327" i="55"/>
  <c r="BO328" i="55"/>
  <c r="BO329" i="55"/>
  <c r="BO330" i="55"/>
  <c r="BO331" i="55"/>
  <c r="BO332" i="55"/>
  <c r="BO333" i="55"/>
  <c r="BO334" i="55"/>
  <c r="BO335" i="55"/>
  <c r="BO336" i="55"/>
  <c r="BO337" i="55"/>
  <c r="BO338" i="55"/>
  <c r="BO339" i="55"/>
  <c r="BO340" i="55"/>
  <c r="BO341" i="55"/>
  <c r="BO344" i="55"/>
  <c r="BO345" i="55"/>
  <c r="BO346" i="55"/>
  <c r="BO347" i="55"/>
  <c r="BO348" i="55"/>
  <c r="BO349" i="55"/>
  <c r="BO350" i="55"/>
  <c r="BO351" i="55"/>
  <c r="BO352" i="55"/>
  <c r="BL31" i="55"/>
  <c r="BL47" i="55"/>
  <c r="BL51" i="55"/>
  <c r="BL53" i="55"/>
  <c r="BL77" i="55"/>
  <c r="BL95" i="55"/>
  <c r="DB95" i="55" s="1"/>
  <c r="BL157" i="55"/>
  <c r="BL159" i="55"/>
  <c r="BL176" i="55"/>
  <c r="BL177" i="55"/>
  <c r="BL198" i="55"/>
  <c r="BL255" i="55"/>
  <c r="BL256" i="55"/>
  <c r="BL259" i="55"/>
  <c r="BL262" i="55"/>
  <c r="BL272" i="55"/>
  <c r="BL319" i="55"/>
  <c r="BL351" i="55"/>
  <c r="BK5" i="55"/>
  <c r="BS5" i="55" s="1" a="1"/>
  <c r="BS5" i="55" s="1"/>
  <c r="BK6" i="55"/>
  <c r="BS6" i="55" s="1" a="1"/>
  <c r="BS6" i="55" s="1"/>
  <c r="BK7" i="55"/>
  <c r="BS7" i="55" s="1" a="1"/>
  <c r="BK8" i="55"/>
  <c r="BS8" i="55" s="1" a="1"/>
  <c r="BS8" i="55" s="1"/>
  <c r="BT8" i="55" s="1"/>
  <c r="BK9" i="55"/>
  <c r="BS9" i="55" s="1" a="1"/>
  <c r="BS9" i="55" s="1"/>
  <c r="BT9" i="55" s="1"/>
  <c r="BK10" i="55"/>
  <c r="BS10" i="55" s="1" a="1"/>
  <c r="BS10" i="55" s="1"/>
  <c r="BK12" i="55"/>
  <c r="BS12" i="55" s="1" a="1"/>
  <c r="BS12" i="55" s="1"/>
  <c r="BT12" i="55" s="1"/>
  <c r="BK13" i="55"/>
  <c r="BS13" i="55" s="1" a="1"/>
  <c r="BS13" i="55" s="1"/>
  <c r="BT13" i="55" s="1"/>
  <c r="BK14" i="55"/>
  <c r="BS14" i="55" s="1" a="1"/>
  <c r="BS14" i="55" s="1"/>
  <c r="BK15" i="55"/>
  <c r="BS15" i="55" s="1" a="1"/>
  <c r="BS15" i="55" s="1"/>
  <c r="BK16" i="55"/>
  <c r="BS16" i="55" s="1" a="1"/>
  <c r="BS16" i="55" s="1"/>
  <c r="BK17" i="55"/>
  <c r="BS17" i="55" s="1" a="1"/>
  <c r="BS17" i="55" s="1"/>
  <c r="BK18" i="55"/>
  <c r="BK19" i="55"/>
  <c r="BS19" i="55" s="1" a="1"/>
  <c r="BS19" i="55" s="1"/>
  <c r="BK20" i="55"/>
  <c r="BS20" i="55" s="1" a="1"/>
  <c r="BS20" i="55" s="1"/>
  <c r="BU20" i="55" s="1"/>
  <c r="BK21" i="55"/>
  <c r="BS21" i="55" s="1" a="1"/>
  <c r="BS21" i="55" s="1"/>
  <c r="BK22" i="55"/>
  <c r="BS22" i="55" s="1" a="1"/>
  <c r="BS22" i="55" s="1"/>
  <c r="BK23" i="55"/>
  <c r="BK24" i="55"/>
  <c r="BS24" i="55" s="1" a="1"/>
  <c r="BS24" i="55" s="1"/>
  <c r="CI24" i="55" s="1"/>
  <c r="BK26" i="55"/>
  <c r="BS26" i="55" s="1" a="1"/>
  <c r="BS26" i="55" s="1"/>
  <c r="CI26" i="55" s="1"/>
  <c r="BK29" i="55"/>
  <c r="BS29" i="55" s="1" a="1"/>
  <c r="BS29" i="55" s="1"/>
  <c r="BT29" i="55" s="1"/>
  <c r="BK30" i="55"/>
  <c r="BS30" i="55" s="1" a="1"/>
  <c r="BS30" i="55" s="1"/>
  <c r="BK31" i="55"/>
  <c r="BS31" i="55" s="1" a="1"/>
  <c r="BS31" i="55" s="1"/>
  <c r="BK32" i="55"/>
  <c r="BS32" i="55" s="1" a="1"/>
  <c r="BS32" i="55" s="1"/>
  <c r="BK33" i="55"/>
  <c r="BS33" i="55" s="1" a="1"/>
  <c r="BS33" i="55" s="1"/>
  <c r="BK34" i="55"/>
  <c r="BS34" i="55" s="1" a="1"/>
  <c r="BS34" i="55" s="1"/>
  <c r="BK35" i="55"/>
  <c r="BS35" i="55" s="1" a="1"/>
  <c r="BS35" i="55" s="1"/>
  <c r="BK36" i="55"/>
  <c r="BS36" i="55" s="1" a="1"/>
  <c r="BS36" i="55" s="1"/>
  <c r="BK37" i="55"/>
  <c r="BS37" i="55" s="1" a="1"/>
  <c r="BS37" i="55" s="1"/>
  <c r="BK38" i="55"/>
  <c r="BS38" i="55" s="1" a="1"/>
  <c r="BS38" i="55" s="1"/>
  <c r="BK39" i="55"/>
  <c r="BS39" i="55" s="1" a="1"/>
  <c r="BS39" i="55" s="1"/>
  <c r="BU39" i="55" s="1"/>
  <c r="BK40" i="55"/>
  <c r="BS40" i="55" s="1" a="1"/>
  <c r="BS40" i="55" s="1"/>
  <c r="BK41" i="55"/>
  <c r="BK42" i="55"/>
  <c r="BS42" i="55" s="1" a="1"/>
  <c r="BS42" i="55" s="1"/>
  <c r="BT42" i="55" s="1"/>
  <c r="BK43" i="55"/>
  <c r="BS43" i="55" s="1" a="1"/>
  <c r="BS43" i="55" s="1"/>
  <c r="BT43" i="55" s="1"/>
  <c r="BK44" i="55"/>
  <c r="BS44" i="55" s="1" a="1"/>
  <c r="BS44" i="55" s="1"/>
  <c r="BT44" i="55" s="1"/>
  <c r="BK45" i="55"/>
  <c r="BS45" i="55" s="1" a="1"/>
  <c r="BS45" i="55" s="1"/>
  <c r="BK46" i="55"/>
  <c r="BS46" i="55" s="1" a="1"/>
  <c r="BS46" i="55" s="1"/>
  <c r="BT46" i="55" s="1"/>
  <c r="BK47" i="55"/>
  <c r="BS47" i="55" s="1" a="1"/>
  <c r="BS47" i="55" s="1"/>
  <c r="BK48" i="55"/>
  <c r="BK49" i="55"/>
  <c r="BS49" i="55" s="1" a="1"/>
  <c r="BS49" i="55" s="1"/>
  <c r="BK51" i="55"/>
  <c r="BS51" i="55" s="1" a="1"/>
  <c r="BS51" i="55" s="1"/>
  <c r="BK52" i="55"/>
  <c r="BS52" i="55" s="1" a="1"/>
  <c r="BS52" i="55" s="1"/>
  <c r="BK53" i="55"/>
  <c r="BS53" i="55" s="1" a="1"/>
  <c r="BS53" i="55" s="1"/>
  <c r="BK54" i="55"/>
  <c r="BK55" i="55"/>
  <c r="BK56" i="55"/>
  <c r="BS56" i="55" s="1" a="1"/>
  <c r="BS56" i="55" s="1"/>
  <c r="BK57" i="55"/>
  <c r="BS57" i="55" s="1" a="1"/>
  <c r="BS57" i="55" s="1"/>
  <c r="BK58" i="55"/>
  <c r="BS58" i="55" s="1" a="1"/>
  <c r="BS58" i="55" s="1"/>
  <c r="BK59" i="55"/>
  <c r="BS59" i="55" s="1" a="1"/>
  <c r="BS59" i="55" s="1"/>
  <c r="BK60" i="55"/>
  <c r="BS60" i="55" s="1" a="1"/>
  <c r="BS60" i="55" s="1"/>
  <c r="BU60" i="55" s="1"/>
  <c r="BK61" i="55"/>
  <c r="BS61" i="55" s="1" a="1"/>
  <c r="BS61" i="55" s="1"/>
  <c r="BU61" i="55" s="1"/>
  <c r="BK62" i="55"/>
  <c r="BS62" i="55" s="1" a="1"/>
  <c r="BS62" i="55" s="1"/>
  <c r="BK63" i="55"/>
  <c r="BS63" i="55" s="1" a="1"/>
  <c r="BS63" i="55" s="1"/>
  <c r="BU63" i="55" s="1"/>
  <c r="BK64" i="55"/>
  <c r="BS64" i="55" s="1" a="1"/>
  <c r="BS64" i="55" s="1"/>
  <c r="BU64" i="55" s="1"/>
  <c r="BK65" i="55"/>
  <c r="BS65" i="55" s="1" a="1"/>
  <c r="BS65" i="55" s="1"/>
  <c r="BU65" i="55" s="1"/>
  <c r="BK66" i="55"/>
  <c r="BS66" i="55" s="1" a="1"/>
  <c r="BS66" i="55" s="1"/>
  <c r="BU66" i="55" s="1"/>
  <c r="BK67" i="55"/>
  <c r="BS67" i="55" s="1" a="1"/>
  <c r="BS67" i="55" s="1"/>
  <c r="BU67" i="55" s="1"/>
  <c r="BK68" i="55"/>
  <c r="BS68" i="55" s="1" a="1"/>
  <c r="BS68" i="55" s="1"/>
  <c r="BK69" i="55"/>
  <c r="BS69" i="55" s="1" a="1"/>
  <c r="BS69" i="55" s="1"/>
  <c r="BK70" i="55"/>
  <c r="BK71" i="55"/>
  <c r="BS71" i="55" s="1" a="1"/>
  <c r="BS71" i="55" s="1"/>
  <c r="BT71" i="55" s="1"/>
  <c r="BK72" i="55"/>
  <c r="BS72" i="55" s="1" a="1"/>
  <c r="BS72" i="55" s="1"/>
  <c r="BK73" i="55"/>
  <c r="BK74" i="55"/>
  <c r="BK75" i="55"/>
  <c r="BS75" i="55" s="1" a="1"/>
  <c r="BS75" i="55" s="1"/>
  <c r="BK76" i="55"/>
  <c r="BS76" i="55" s="1" a="1"/>
  <c r="BS76" i="55" s="1"/>
  <c r="BK77" i="55"/>
  <c r="BS77" i="55" s="1" a="1"/>
  <c r="BS77" i="55" s="1"/>
  <c r="BU77" i="55" s="1"/>
  <c r="BK78" i="55"/>
  <c r="BS78" i="55" s="1" a="1"/>
  <c r="BS78" i="55" s="1"/>
  <c r="BK79" i="55"/>
  <c r="BS79" i="55" s="1" a="1"/>
  <c r="BS79" i="55" s="1"/>
  <c r="BK80" i="55"/>
  <c r="BS80" i="55" s="1" a="1"/>
  <c r="BS80" i="55" s="1"/>
  <c r="BK81" i="55"/>
  <c r="BS81" i="55" s="1" a="1"/>
  <c r="BS81" i="55" s="1"/>
  <c r="BK82" i="55"/>
  <c r="BS82" i="55" s="1" a="1"/>
  <c r="BS82" i="55" s="1"/>
  <c r="BK83" i="55"/>
  <c r="BS83" i="55" s="1" a="1"/>
  <c r="BS83" i="55" s="1"/>
  <c r="BK84" i="55"/>
  <c r="BS84" i="55" s="1" a="1"/>
  <c r="BS84" i="55" s="1"/>
  <c r="BK85" i="55"/>
  <c r="BS85" i="55" s="1" a="1"/>
  <c r="BS85" i="55" s="1"/>
  <c r="BK86" i="55"/>
  <c r="BK87" i="55"/>
  <c r="BS87" i="55" s="1" a="1"/>
  <c r="BS87" i="55" s="1"/>
  <c r="BK88" i="55"/>
  <c r="BS88" i="55" s="1" a="1"/>
  <c r="BS88" i="55" s="1"/>
  <c r="BK89" i="55"/>
  <c r="BS89" i="55" s="1" a="1"/>
  <c r="BS89" i="55" s="1"/>
  <c r="BK90" i="55"/>
  <c r="BK91" i="55"/>
  <c r="BS91" i="55" s="1" a="1"/>
  <c r="BS91" i="55" s="1"/>
  <c r="BK92" i="55"/>
  <c r="BS92" i="55" s="1" a="1"/>
  <c r="BS92" i="55" s="1"/>
  <c r="BK93" i="55"/>
  <c r="BS93" i="55" s="1" a="1"/>
  <c r="BS93" i="55" s="1"/>
  <c r="BT93" i="55" s="1"/>
  <c r="BK94" i="55"/>
  <c r="BS94" i="55" s="1" a="1"/>
  <c r="BS94" i="55" s="1"/>
  <c r="BK95" i="55"/>
  <c r="BS95" i="55" s="1" a="1"/>
  <c r="BS95" i="55" s="1"/>
  <c r="BK96" i="55"/>
  <c r="BS96" i="55" s="1" a="1"/>
  <c r="BS96" i="55" s="1"/>
  <c r="BK97" i="55"/>
  <c r="BS97" i="55" s="1" a="1"/>
  <c r="BS97" i="55" s="1"/>
  <c r="BK98" i="55"/>
  <c r="BS98" i="55" s="1" a="1"/>
  <c r="BS98" i="55" s="1"/>
  <c r="BK99" i="55"/>
  <c r="BS99" i="55" s="1" a="1"/>
  <c r="BS99" i="55" s="1"/>
  <c r="BK100" i="55"/>
  <c r="BS100" i="55" s="1" a="1"/>
  <c r="BS100" i="55" s="1"/>
  <c r="BK101" i="55"/>
  <c r="BS101" i="55" s="1" a="1"/>
  <c r="BS101" i="55" s="1"/>
  <c r="BK102" i="55"/>
  <c r="BS102" i="55" s="1" a="1"/>
  <c r="BS102" i="55" s="1"/>
  <c r="BK103" i="55"/>
  <c r="BS103" i="55" s="1" a="1"/>
  <c r="BS103" i="55" s="1"/>
  <c r="BK104" i="55"/>
  <c r="BS104" i="55" s="1" a="1"/>
  <c r="BS104" i="55" s="1"/>
  <c r="BK105" i="55"/>
  <c r="BS105" i="55" s="1" a="1"/>
  <c r="BS105" i="55" s="1"/>
  <c r="BK106" i="55"/>
  <c r="BK107" i="55"/>
  <c r="BS107" i="55" s="1" a="1"/>
  <c r="BS107" i="55" s="1"/>
  <c r="BK108" i="55"/>
  <c r="BS108" i="55" s="1" a="1"/>
  <c r="BS108" i="55" s="1"/>
  <c r="BT108" i="55" s="1"/>
  <c r="BK109" i="55"/>
  <c r="BS109" i="55" s="1" a="1"/>
  <c r="BS109" i="55" s="1"/>
  <c r="BT109" i="55" s="1"/>
  <c r="BK110" i="55"/>
  <c r="BS110" i="55" s="1" a="1"/>
  <c r="BS110" i="55" s="1"/>
  <c r="BK111" i="55"/>
  <c r="BS111" i="55" s="1" a="1"/>
  <c r="BS111" i="55" s="1"/>
  <c r="BK112" i="55"/>
  <c r="BS112" i="55" s="1" a="1"/>
  <c r="BS112" i="55" s="1"/>
  <c r="BK113" i="55"/>
  <c r="BS113" i="55" s="1" a="1"/>
  <c r="BS113" i="55" s="1"/>
  <c r="BK114" i="55"/>
  <c r="BK115" i="55"/>
  <c r="BK116" i="55"/>
  <c r="BS116" i="55" s="1" a="1"/>
  <c r="BS116" i="55" s="1"/>
  <c r="BU116" i="55" s="1"/>
  <c r="BK117" i="55"/>
  <c r="BS117" i="55" s="1" a="1"/>
  <c r="BS117" i="55" s="1"/>
  <c r="BK118" i="55"/>
  <c r="BK119" i="55"/>
  <c r="BS119" i="55" s="1" a="1"/>
  <c r="BS119" i="55" s="1"/>
  <c r="BK120" i="55"/>
  <c r="BS120" i="55" s="1" a="1"/>
  <c r="BS120" i="55" s="1"/>
  <c r="BK121" i="55"/>
  <c r="BS121" i="55" s="1" a="1"/>
  <c r="BS121" i="55" s="1"/>
  <c r="BK122" i="55"/>
  <c r="BK123" i="55"/>
  <c r="BS123" i="55" s="1" a="1"/>
  <c r="BS123" i="55" s="1"/>
  <c r="BK124" i="55"/>
  <c r="BS124" i="55" s="1" a="1"/>
  <c r="BS124" i="55" s="1"/>
  <c r="BT124" i="55" s="1"/>
  <c r="BK125" i="55"/>
  <c r="BS125" i="55" s="1" a="1"/>
  <c r="BS125" i="55" s="1"/>
  <c r="BT125" i="55" s="1"/>
  <c r="BK126" i="55"/>
  <c r="BS126" i="55" s="1" a="1"/>
  <c r="BS126" i="55" s="1"/>
  <c r="BK127" i="55"/>
  <c r="BS127" i="55" s="1" a="1"/>
  <c r="BS127" i="55" s="1"/>
  <c r="BT127" i="55" s="1"/>
  <c r="BK128" i="55"/>
  <c r="BS128" i="55" s="1" a="1"/>
  <c r="BS128" i="55" s="1"/>
  <c r="BT128" i="55" s="1"/>
  <c r="BK129" i="55"/>
  <c r="BS129" i="55" s="1" a="1"/>
  <c r="BS129" i="55" s="1"/>
  <c r="BK130" i="55"/>
  <c r="BS130" i="55" s="1" a="1"/>
  <c r="BS130" i="55" s="1"/>
  <c r="BK131" i="55"/>
  <c r="BS131" i="55" s="1" a="1"/>
  <c r="BS131" i="55" s="1"/>
  <c r="BU131" i="55" s="1"/>
  <c r="BK132" i="55"/>
  <c r="BS132" i="55" s="1" a="1"/>
  <c r="BS132" i="55" s="1"/>
  <c r="BU132" i="55" s="1"/>
  <c r="BK133" i="55"/>
  <c r="BS133" i="55" s="1" a="1"/>
  <c r="BS133" i="55" s="1"/>
  <c r="BK134" i="55"/>
  <c r="BK135" i="55"/>
  <c r="BS135" i="55" s="1" a="1"/>
  <c r="BS135" i="55" s="1"/>
  <c r="BK136" i="55"/>
  <c r="BS136" i="55" s="1" a="1"/>
  <c r="BS136" i="55" s="1"/>
  <c r="BK137" i="55"/>
  <c r="BS137" i="55" s="1" a="1"/>
  <c r="BS137" i="55" s="1"/>
  <c r="BK138" i="55"/>
  <c r="BK139" i="55"/>
  <c r="BS139" i="55" s="1" a="1"/>
  <c r="BS139" i="55" s="1"/>
  <c r="BK140" i="55"/>
  <c r="BS140" i="55" s="1" a="1"/>
  <c r="BS140" i="55" s="1"/>
  <c r="BT140" i="55" s="1"/>
  <c r="BK141" i="55"/>
  <c r="BS141" i="55" s="1" a="1"/>
  <c r="BS141" i="55" s="1"/>
  <c r="BU141" i="55" s="1"/>
  <c r="BK142" i="55"/>
  <c r="BS142" i="55" s="1" a="1"/>
  <c r="BS142" i="55" s="1"/>
  <c r="BU142" i="55" s="1"/>
  <c r="BK143" i="55"/>
  <c r="BS143" i="55" s="1" a="1"/>
  <c r="BS143" i="55" s="1"/>
  <c r="BK144" i="55"/>
  <c r="BS144" i="55" s="1" a="1"/>
  <c r="BS144" i="55" s="1"/>
  <c r="BT144" i="55" s="1"/>
  <c r="BK145" i="55"/>
  <c r="BS145" i="55" s="1" a="1"/>
  <c r="BS145" i="55" s="1"/>
  <c r="BK146" i="55"/>
  <c r="BS146" i="55" s="1" a="1"/>
  <c r="BS146" i="55" s="1"/>
  <c r="BK147" i="55"/>
  <c r="BS147" i="55" s="1" a="1"/>
  <c r="BS147" i="55" s="1"/>
  <c r="BK148" i="55"/>
  <c r="BS148" i="55" s="1" a="1"/>
  <c r="BS148" i="55" s="1"/>
  <c r="BK149" i="55"/>
  <c r="BS149" i="55" s="1" a="1"/>
  <c r="BS149" i="55" s="1"/>
  <c r="BK150" i="55"/>
  <c r="BS150" i="55" s="1" a="1"/>
  <c r="BS150" i="55" s="1"/>
  <c r="BK151" i="55"/>
  <c r="BS151" i="55" s="1" a="1"/>
  <c r="BS151" i="55" s="1"/>
  <c r="BT151" i="55" s="1"/>
  <c r="BK152" i="55"/>
  <c r="BS152" i="55" s="1" a="1"/>
  <c r="BS152" i="55" s="1"/>
  <c r="BK153" i="55"/>
  <c r="BS153" i="55" s="1" a="1"/>
  <c r="BS153" i="55" s="1"/>
  <c r="BU153" i="55" s="1"/>
  <c r="BK154" i="55"/>
  <c r="BK155" i="55"/>
  <c r="BK156" i="55"/>
  <c r="BS156" i="55" s="1" a="1"/>
  <c r="BS156" i="55" s="1"/>
  <c r="BT156" i="55" s="1"/>
  <c r="BK157" i="55"/>
  <c r="BS157" i="55" s="1" a="1"/>
  <c r="BS157" i="55" s="1"/>
  <c r="BT157" i="55" s="1"/>
  <c r="BK158" i="55"/>
  <c r="BS158" i="55" s="1" a="1"/>
  <c r="BS158" i="55" s="1"/>
  <c r="BU158" i="55" s="1"/>
  <c r="BK159" i="55"/>
  <c r="BS159" i="55" s="1" a="1"/>
  <c r="BS159" i="55" s="1"/>
  <c r="BK160" i="55"/>
  <c r="BS160" i="55" s="1" a="1"/>
  <c r="BS160" i="55" s="1"/>
  <c r="BK161" i="55"/>
  <c r="BS161" i="55" s="1" a="1"/>
  <c r="BS161" i="55" s="1"/>
  <c r="BK162" i="55"/>
  <c r="BS162" i="55" s="1" a="1"/>
  <c r="BS162" i="55" s="1"/>
  <c r="BK163" i="55"/>
  <c r="BS163" i="55" s="1" a="1"/>
  <c r="BS163" i="55" s="1"/>
  <c r="BK164" i="55"/>
  <c r="BS164" i="55" s="1" a="1"/>
  <c r="BS164" i="55" s="1"/>
  <c r="BK165" i="55"/>
  <c r="BS165" i="55" s="1" a="1"/>
  <c r="BS165" i="55" s="1"/>
  <c r="BK166" i="55"/>
  <c r="BS166" i="55" s="1" a="1"/>
  <c r="BS166" i="55" s="1"/>
  <c r="BU166" i="55" s="1"/>
  <c r="BK167" i="55"/>
  <c r="BS167" i="55" s="1" a="1"/>
  <c r="BS167" i="55" s="1"/>
  <c r="BK168" i="55"/>
  <c r="BS168" i="55" s="1" a="1"/>
  <c r="BS168" i="55" s="1"/>
  <c r="BK169" i="55"/>
  <c r="BK170" i="55"/>
  <c r="BK171" i="55"/>
  <c r="BS171" i="55" s="1" a="1"/>
  <c r="BS171" i="55" s="1"/>
  <c r="BK172" i="55"/>
  <c r="BS172" i="55" s="1" a="1"/>
  <c r="BS172" i="55" s="1"/>
  <c r="BU172" i="55" s="1"/>
  <c r="BK173" i="55"/>
  <c r="BS173" i="55" s="1" a="1"/>
  <c r="BS173" i="55" s="1"/>
  <c r="BU173" i="55" s="1"/>
  <c r="BK174" i="55"/>
  <c r="BS174" i="55" s="1" a="1"/>
  <c r="BS174" i="55" s="1"/>
  <c r="BK175" i="55"/>
  <c r="BS175" i="55" s="1" a="1"/>
  <c r="BS175" i="55" s="1"/>
  <c r="BK176" i="55"/>
  <c r="BS176" i="55" s="1" a="1"/>
  <c r="BS176" i="55" s="1"/>
  <c r="BT176" i="55" s="1"/>
  <c r="BK177" i="55"/>
  <c r="BS177" i="55" s="1" a="1"/>
  <c r="BS177" i="55" s="1"/>
  <c r="BT177" i="55" s="1"/>
  <c r="BK178" i="55"/>
  <c r="BS178" i="55" s="1" a="1"/>
  <c r="BS178" i="55" s="1"/>
  <c r="BK179" i="55"/>
  <c r="BS179" i="55" s="1" a="1"/>
  <c r="BS179" i="55" s="1"/>
  <c r="BK180" i="55"/>
  <c r="BS180" i="55" s="1" a="1"/>
  <c r="BS180" i="55" s="1"/>
  <c r="BK181" i="55"/>
  <c r="BS181" i="55" s="1" a="1"/>
  <c r="BS181" i="55" s="1"/>
  <c r="BK182" i="55"/>
  <c r="BK183" i="55"/>
  <c r="BK184" i="55"/>
  <c r="BS184" i="55" s="1" a="1"/>
  <c r="BS184" i="55" s="1"/>
  <c r="BT184" i="55" s="1"/>
  <c r="BK185" i="55"/>
  <c r="BS185" i="55" s="1" a="1"/>
  <c r="BS185" i="55" s="1"/>
  <c r="BU185" i="55" s="1"/>
  <c r="BK186" i="55"/>
  <c r="BK187" i="55"/>
  <c r="BS187" i="55" s="1" a="1"/>
  <c r="BS187" i="55" s="1"/>
  <c r="BK188" i="55"/>
  <c r="BS188" i="55" s="1" a="1"/>
  <c r="BS188" i="55" s="1"/>
  <c r="BU188" i="55" s="1"/>
  <c r="BK189" i="55"/>
  <c r="BS189" i="55" s="1" a="1"/>
  <c r="BS189" i="55" s="1"/>
  <c r="BT189" i="55" s="1"/>
  <c r="BK190" i="55"/>
  <c r="BS190" i="55" s="1" a="1"/>
  <c r="BS190" i="55" s="1"/>
  <c r="BK191" i="55"/>
  <c r="BS191" i="55" s="1" a="1"/>
  <c r="BS191" i="55" s="1"/>
  <c r="BK192" i="55"/>
  <c r="BS192" i="55" s="1" a="1"/>
  <c r="BS192" i="55" s="1"/>
  <c r="BK193" i="55"/>
  <c r="BS193" i="55" s="1" a="1"/>
  <c r="BS193" i="55" s="1"/>
  <c r="BK194" i="55"/>
  <c r="BS194" i="55" s="1" a="1"/>
  <c r="BS194" i="55" s="1"/>
  <c r="BK195" i="55"/>
  <c r="BS195" i="55" s="1" a="1"/>
  <c r="BS195" i="55" s="1"/>
  <c r="BK196" i="55"/>
  <c r="BS196" i="55" s="1" a="1"/>
  <c r="BK197" i="55"/>
  <c r="BS197" i="55" s="1" a="1"/>
  <c r="BS197" i="55" s="1"/>
  <c r="BK198" i="55"/>
  <c r="BS198" i="55" s="1" a="1"/>
  <c r="BK199" i="55"/>
  <c r="BS199" i="55" s="1" a="1"/>
  <c r="BS199" i="55" s="1"/>
  <c r="BK200" i="55"/>
  <c r="BS200" i="55" s="1" a="1"/>
  <c r="BS200" i="55" s="1"/>
  <c r="BK201" i="55"/>
  <c r="BS201" i="55" s="1" a="1"/>
  <c r="BS201" i="55" s="1"/>
  <c r="BK202" i="55"/>
  <c r="BS202" i="55" s="1" a="1"/>
  <c r="BS202" i="55" s="1"/>
  <c r="BK203" i="55"/>
  <c r="BS203" i="55" s="1" a="1"/>
  <c r="BS203" i="55" s="1"/>
  <c r="BU203" i="55" s="1"/>
  <c r="BK204" i="55"/>
  <c r="BS204" i="55" s="1" a="1"/>
  <c r="BK205" i="55"/>
  <c r="BS205" i="55" s="1" a="1"/>
  <c r="BS205" i="55" s="1"/>
  <c r="BU205" i="55" s="1"/>
  <c r="BK206" i="55"/>
  <c r="BS206" i="55" s="1" a="1"/>
  <c r="BS206" i="55" s="1"/>
  <c r="BU206" i="55" s="1"/>
  <c r="BK207" i="55"/>
  <c r="BS207" i="55" s="1" a="1"/>
  <c r="BS207" i="55" s="1"/>
  <c r="BT207" i="55" s="1"/>
  <c r="BK208" i="55"/>
  <c r="BS208" i="55" s="1" a="1"/>
  <c r="BS208" i="55" s="1"/>
  <c r="BK209" i="55"/>
  <c r="BS209" i="55" s="1" a="1"/>
  <c r="BS209" i="55" s="1"/>
  <c r="BK210" i="55"/>
  <c r="BS210" i="55" s="1" a="1"/>
  <c r="BS210" i="55" s="1"/>
  <c r="BK211" i="55"/>
  <c r="BS211" i="55" s="1" a="1"/>
  <c r="BS211" i="55" s="1"/>
  <c r="BK212" i="55"/>
  <c r="BS212" i="55" s="1" a="1"/>
  <c r="BS212" i="55" s="1"/>
  <c r="BK213" i="55"/>
  <c r="BS213" i="55" s="1" a="1"/>
  <c r="BS213" i="55" s="1"/>
  <c r="BK214" i="55"/>
  <c r="BS214" i="55" s="1" a="1"/>
  <c r="BS214" i="55" s="1"/>
  <c r="BU214" i="55" s="1"/>
  <c r="BK215" i="55"/>
  <c r="BS215" i="55" s="1" a="1"/>
  <c r="BS215" i="55" s="1"/>
  <c r="BT215" i="55" s="1"/>
  <c r="BK216" i="55"/>
  <c r="BS216" i="55" s="1" a="1"/>
  <c r="BS216" i="55" s="1"/>
  <c r="BK217" i="55"/>
  <c r="BK218" i="55"/>
  <c r="BK219" i="55"/>
  <c r="BS219" i="55" s="1" a="1"/>
  <c r="BK220" i="55"/>
  <c r="BS220" i="55" s="1" a="1"/>
  <c r="BK221" i="55"/>
  <c r="BS221" i="55" s="1" a="1"/>
  <c r="BS221" i="55" s="1"/>
  <c r="BT221" i="55" s="1"/>
  <c r="BK222" i="55"/>
  <c r="BS222" i="55" s="1" a="1"/>
  <c r="BS222" i="55" s="1"/>
  <c r="BK223" i="55"/>
  <c r="BS223" i="55" s="1" a="1"/>
  <c r="BS223" i="55" s="1"/>
  <c r="BK224" i="55"/>
  <c r="BS224" i="55" s="1" a="1"/>
  <c r="BS224" i="55" s="1"/>
  <c r="BK225" i="55"/>
  <c r="BS225" i="55" s="1" a="1"/>
  <c r="BS225" i="55" s="1"/>
  <c r="BK226" i="55"/>
  <c r="BS226" i="55" s="1" a="1"/>
  <c r="BS226" i="55" s="1"/>
  <c r="BK227" i="55"/>
  <c r="BS227" i="55" s="1" a="1"/>
  <c r="BS227" i="55" s="1"/>
  <c r="BK228" i="55"/>
  <c r="BS228" i="55" s="1" a="1"/>
  <c r="BS228" i="55" s="1"/>
  <c r="BK229" i="55"/>
  <c r="BS229" i="55" s="1" a="1"/>
  <c r="BS229" i="55" s="1"/>
  <c r="BK230" i="55"/>
  <c r="BS230" i="55" s="1" a="1"/>
  <c r="BS230" i="55" s="1"/>
  <c r="BK231" i="55"/>
  <c r="BS231" i="55" s="1" a="1"/>
  <c r="BS231" i="55" s="1"/>
  <c r="BK232" i="55"/>
  <c r="BS232" i="55" s="1" a="1"/>
  <c r="BS232" i="55" s="1"/>
  <c r="BK233" i="55"/>
  <c r="BS233" i="55" s="1" a="1"/>
  <c r="BS233" i="55" s="1"/>
  <c r="BT233" i="55" s="1"/>
  <c r="BK234" i="55"/>
  <c r="BK235" i="55"/>
  <c r="BS235" i="55" s="1" a="1"/>
  <c r="BS235" i="55" s="1"/>
  <c r="BK236" i="55"/>
  <c r="BS236" i="55" s="1" a="1"/>
  <c r="BS236" i="55" s="1"/>
  <c r="BK237" i="55"/>
  <c r="BS237" i="55" s="1" a="1"/>
  <c r="BS237" i="55" s="1"/>
  <c r="BT237" i="55" s="1"/>
  <c r="BK238" i="55"/>
  <c r="BS238" i="55" s="1" a="1"/>
  <c r="BS238" i="55" s="1"/>
  <c r="BK239" i="55"/>
  <c r="BS239" i="55" s="1" a="1"/>
  <c r="BS239" i="55" s="1"/>
  <c r="BK240" i="55"/>
  <c r="BS240" i="55" s="1" a="1"/>
  <c r="BS240" i="55" s="1"/>
  <c r="BK241" i="55"/>
  <c r="BS241" i="55" s="1" a="1"/>
  <c r="BS241" i="55" s="1"/>
  <c r="BK242" i="55"/>
  <c r="BS242" i="55" s="1" a="1"/>
  <c r="BS242" i="55" s="1"/>
  <c r="BK243" i="55"/>
  <c r="BS243" i="55" s="1" a="1"/>
  <c r="BS243" i="55" s="1"/>
  <c r="BK244" i="55"/>
  <c r="BS244" i="55" s="1" a="1"/>
  <c r="BS244" i="55" s="1"/>
  <c r="BK245" i="55"/>
  <c r="BS245" i="55" s="1" a="1"/>
  <c r="BS245" i="55" s="1"/>
  <c r="BK246" i="55"/>
  <c r="BS246" i="55" s="1" a="1"/>
  <c r="BS246" i="55" s="1"/>
  <c r="BK247" i="55"/>
  <c r="BS247" i="55" s="1" a="1"/>
  <c r="BS247" i="55" s="1"/>
  <c r="BU247" i="55" s="1"/>
  <c r="BK248" i="55"/>
  <c r="BS248" i="55" s="1" a="1"/>
  <c r="BS248" i="55" s="1"/>
  <c r="BK249" i="55"/>
  <c r="BK250" i="55"/>
  <c r="BK251" i="55"/>
  <c r="BK252" i="55"/>
  <c r="BS252" i="55" s="1" a="1"/>
  <c r="BS252" i="55" s="1"/>
  <c r="BK253" i="55"/>
  <c r="BS253" i="55" s="1" a="1"/>
  <c r="BS253" i="55" s="1"/>
  <c r="BT253" i="55" s="1"/>
  <c r="BK254" i="55"/>
  <c r="BS254" i="55" s="1" a="1"/>
  <c r="BS254" i="55" s="1"/>
  <c r="BK255" i="55"/>
  <c r="BS255" i="55" s="1" a="1"/>
  <c r="BS255" i="55" s="1"/>
  <c r="BK256" i="55"/>
  <c r="BS256" i="55" s="1" a="1"/>
  <c r="BS256" i="55" s="1"/>
  <c r="BK257" i="55"/>
  <c r="BS257" i="55" s="1" a="1"/>
  <c r="BS257" i="55" s="1"/>
  <c r="BK258" i="55"/>
  <c r="BS258" i="55" s="1" a="1"/>
  <c r="BS258" i="55" s="1"/>
  <c r="BK259" i="55"/>
  <c r="BS259" i="55" s="1" a="1"/>
  <c r="BS259" i="55" s="1"/>
  <c r="BK260" i="55"/>
  <c r="BS260" i="55" s="1" a="1"/>
  <c r="BS260" i="55" s="1"/>
  <c r="BK261" i="55"/>
  <c r="BS261" i="55" s="1" a="1"/>
  <c r="BS261" i="55" s="1"/>
  <c r="BK262" i="55"/>
  <c r="BK263" i="55"/>
  <c r="BS263" i="55" s="1" a="1"/>
  <c r="BS263" i="55" s="1"/>
  <c r="BU263" i="55" s="1"/>
  <c r="BK264" i="55"/>
  <c r="BS264" i="55" s="1" a="1"/>
  <c r="BS264" i="55" s="1"/>
  <c r="BK265" i="55"/>
  <c r="BS265" i="55" s="1" a="1"/>
  <c r="BK266" i="55"/>
  <c r="BS266" i="55" s="1" a="1"/>
  <c r="BS266" i="55" s="1"/>
  <c r="BU266" i="55" s="1"/>
  <c r="BK267" i="55"/>
  <c r="BS267" i="55" s="1" a="1"/>
  <c r="BS267" i="55" s="1"/>
  <c r="BK268" i="55"/>
  <c r="BS268" i="55" s="1" a="1"/>
  <c r="BK269" i="55"/>
  <c r="BS269" i="55" s="1" a="1"/>
  <c r="BS269" i="55" s="1"/>
  <c r="BK270" i="55"/>
  <c r="BS270" i="55" s="1" a="1"/>
  <c r="BS270" i="55" s="1"/>
  <c r="BK271" i="55"/>
  <c r="BS271" i="55" s="1" a="1"/>
  <c r="BS271" i="55" s="1"/>
  <c r="BT271" i="55" s="1"/>
  <c r="BK272" i="55"/>
  <c r="BK273" i="55"/>
  <c r="BS273" i="55" s="1" a="1"/>
  <c r="BS273" i="55" s="1"/>
  <c r="BK274" i="55"/>
  <c r="BS274" i="55" s="1" a="1"/>
  <c r="BS274" i="55" s="1"/>
  <c r="BK275" i="55"/>
  <c r="BS275" i="55" s="1" a="1"/>
  <c r="BK276" i="55"/>
  <c r="BS276" i="55" s="1" a="1"/>
  <c r="BS276" i="55" s="1"/>
  <c r="BK277" i="55"/>
  <c r="BS277" i="55" s="1" a="1"/>
  <c r="BS277" i="55" s="1"/>
  <c r="BK278" i="55"/>
  <c r="BK279" i="55"/>
  <c r="BK280" i="55"/>
  <c r="BS280" i="55" s="1" a="1"/>
  <c r="BS280" i="55" s="1"/>
  <c r="BK281" i="55"/>
  <c r="BS281" i="55" s="1" a="1"/>
  <c r="BS281" i="55" s="1"/>
  <c r="BK282" i="55"/>
  <c r="BS282" i="55" s="1" a="1"/>
  <c r="BS282" i="55" s="1"/>
  <c r="BU282" i="55" s="1"/>
  <c r="BK283" i="55"/>
  <c r="BS283" i="55" s="1" a="1"/>
  <c r="BS283" i="55" s="1"/>
  <c r="BK284" i="55"/>
  <c r="BS284" i="55" s="1" a="1"/>
  <c r="BS284" i="55" s="1"/>
  <c r="BK285" i="55"/>
  <c r="BS285" i="55" s="1" a="1"/>
  <c r="BS285" i="55" s="1"/>
  <c r="BK286" i="55"/>
  <c r="BS286" i="55" s="1" a="1"/>
  <c r="BS286" i="55" s="1"/>
  <c r="BK287" i="55"/>
  <c r="BS287" i="55" s="1" a="1"/>
  <c r="BS287" i="55" s="1"/>
  <c r="BU287" i="55" s="1"/>
  <c r="BK288" i="55"/>
  <c r="BS288" i="55" s="1" a="1"/>
  <c r="BS288" i="55" s="1"/>
  <c r="BK289" i="55"/>
  <c r="BS289" i="55" s="1" a="1"/>
  <c r="BS289" i="55" s="1"/>
  <c r="BK290" i="55"/>
  <c r="BS290" i="55" s="1" a="1"/>
  <c r="BS290" i="55" s="1"/>
  <c r="BK291" i="55"/>
  <c r="BS291" i="55" s="1" a="1"/>
  <c r="BS291" i="55" s="1"/>
  <c r="BK292" i="55"/>
  <c r="BS292" i="55" s="1" a="1"/>
  <c r="BS292" i="55" s="1"/>
  <c r="BK293" i="55"/>
  <c r="BS293" i="55" s="1" a="1"/>
  <c r="BS293" i="55" s="1"/>
  <c r="BK294" i="55"/>
  <c r="BK295" i="55"/>
  <c r="BS295" i="55" s="1" a="1"/>
  <c r="BS295" i="55" s="1"/>
  <c r="BK296" i="55"/>
  <c r="BS296" i="55" s="1" a="1"/>
  <c r="BS296" i="55" s="1"/>
  <c r="BK297" i="55"/>
  <c r="BS297" i="55" s="1" a="1"/>
  <c r="BS297" i="55" s="1"/>
  <c r="BK298" i="55"/>
  <c r="BK299" i="55"/>
  <c r="BS299" i="55" s="1" a="1"/>
  <c r="BS299" i="55" s="1"/>
  <c r="BK300" i="55"/>
  <c r="BS300" i="55" s="1" a="1"/>
  <c r="BS300" i="55" s="1"/>
  <c r="BT300" i="55" s="1"/>
  <c r="BK301" i="55"/>
  <c r="BS301" i="55" s="1" a="1"/>
  <c r="BS301" i="55" s="1"/>
  <c r="BK302" i="55"/>
  <c r="BS302" i="55" s="1" a="1"/>
  <c r="BS302" i="55" s="1"/>
  <c r="BK303" i="55"/>
  <c r="BS303" i="55" s="1" a="1"/>
  <c r="BS303" i="55" s="1"/>
  <c r="BU303" i="55" s="1"/>
  <c r="BK304" i="55"/>
  <c r="BS304" i="55" s="1" a="1"/>
  <c r="BS304" i="55" s="1"/>
  <c r="BU304" i="55" s="1"/>
  <c r="BK305" i="55"/>
  <c r="BS305" i="55" s="1" a="1"/>
  <c r="BS305" i="55" s="1"/>
  <c r="BK306" i="55"/>
  <c r="BS306" i="55" s="1" a="1"/>
  <c r="BS306" i="55" s="1"/>
  <c r="BK307" i="55"/>
  <c r="BS307" i="55" s="1" a="1"/>
  <c r="BS307" i="55" s="1"/>
  <c r="BK308" i="55"/>
  <c r="BS308" i="55" s="1" a="1"/>
  <c r="BS308" i="55" s="1"/>
  <c r="BK309" i="55"/>
  <c r="BS309" i="55" s="1" a="1"/>
  <c r="BS309" i="55" s="1"/>
  <c r="BK310" i="55"/>
  <c r="BK311" i="55"/>
  <c r="BS311" i="55" s="1" a="1"/>
  <c r="BS311" i="55" s="1"/>
  <c r="BK312" i="55"/>
  <c r="BS312" i="55" s="1" a="1"/>
  <c r="BS312" i="55" s="1"/>
  <c r="BU312" i="55" s="1"/>
  <c r="BK313" i="55"/>
  <c r="BK314" i="55"/>
  <c r="BS314" i="55" s="1" a="1"/>
  <c r="BS314" i="55" s="1"/>
  <c r="BK315" i="55"/>
  <c r="BK316" i="55"/>
  <c r="BS316" i="55" s="1" a="1"/>
  <c r="BK317" i="55"/>
  <c r="BS317" i="55" s="1" a="1"/>
  <c r="BS317" i="55" s="1"/>
  <c r="BT317" i="55" s="1"/>
  <c r="BK318" i="55"/>
  <c r="BK319" i="55"/>
  <c r="BS319" i="55" s="1" a="1"/>
  <c r="BS319" i="55" s="1"/>
  <c r="BK320" i="55"/>
  <c r="BS320" i="55" s="1" a="1"/>
  <c r="BS320" i="55" s="1"/>
  <c r="BK321" i="55"/>
  <c r="BS321" i="55" s="1" a="1"/>
  <c r="BS321" i="55" s="1"/>
  <c r="BK322" i="55"/>
  <c r="BS322" i="55" s="1" a="1"/>
  <c r="BS322" i="55" s="1"/>
  <c r="BK323" i="55"/>
  <c r="BS323" i="55" s="1" a="1"/>
  <c r="BS323" i="55" s="1"/>
  <c r="BK324" i="55"/>
  <c r="BS324" i="55" s="1" a="1"/>
  <c r="BS324" i="55" s="1"/>
  <c r="BK325" i="55"/>
  <c r="BS325" i="55" s="1" a="1"/>
  <c r="BS325" i="55" s="1"/>
  <c r="BK326" i="55"/>
  <c r="BS326" i="55" s="1" a="1"/>
  <c r="BS326" i="55" s="1"/>
  <c r="BK327" i="55"/>
  <c r="BS327" i="55" s="1" a="1"/>
  <c r="BS327" i="55" s="1"/>
  <c r="BK328" i="55"/>
  <c r="BS328" i="55" s="1" a="1"/>
  <c r="BS328" i="55" s="1"/>
  <c r="BK329" i="55"/>
  <c r="BS329" i="55" s="1" a="1"/>
  <c r="BS329" i="55" s="1"/>
  <c r="BK330" i="55"/>
  <c r="BS330" i="55" s="1" a="1"/>
  <c r="BK331" i="55"/>
  <c r="BS331" i="55" s="1" a="1"/>
  <c r="BS331" i="55" s="1"/>
  <c r="BK332" i="55"/>
  <c r="BS332" i="55" s="1" a="1"/>
  <c r="BK333" i="55"/>
  <c r="BS333" i="55" s="1" a="1"/>
  <c r="BS333" i="55" s="1"/>
  <c r="BU333" i="55" s="1"/>
  <c r="BK334" i="55"/>
  <c r="BS334" i="55" s="1" a="1"/>
  <c r="BS334" i="55" s="1"/>
  <c r="BU334" i="55" s="1"/>
  <c r="BK335" i="55"/>
  <c r="BS335" i="55" s="1" a="1"/>
  <c r="BS335" i="55" s="1"/>
  <c r="BK336" i="55"/>
  <c r="BS336" i="55" s="1" a="1"/>
  <c r="BS336" i="55" s="1"/>
  <c r="BK337" i="55"/>
  <c r="BS337" i="55" s="1" a="1"/>
  <c r="BS337" i="55" s="1"/>
  <c r="BK338" i="55"/>
  <c r="BS338" i="55" s="1" a="1"/>
  <c r="BS338" i="55" s="1"/>
  <c r="BK339" i="55"/>
  <c r="BS339" i="55" s="1" a="1"/>
  <c r="BS339" i="55" s="1"/>
  <c r="BK340" i="55"/>
  <c r="BS340" i="55" s="1" a="1"/>
  <c r="BS340" i="55" s="1"/>
  <c r="BK341" i="55"/>
  <c r="BS341" i="55" s="1" a="1"/>
  <c r="BS341" i="55" s="1"/>
  <c r="BK342" i="55"/>
  <c r="BS342" i="55" s="1" a="1"/>
  <c r="BS342" i="55" s="1"/>
  <c r="BU342" i="55" s="1"/>
  <c r="BK343" i="55"/>
  <c r="BK344" i="55"/>
  <c r="BS344" i="55" s="1" a="1"/>
  <c r="BS344" i="55" s="1"/>
  <c r="BK345" i="55"/>
  <c r="BK346" i="55"/>
  <c r="BK347" i="55"/>
  <c r="BS347" i="55" s="1" a="1"/>
  <c r="BS347" i="55" s="1"/>
  <c r="BK348" i="55"/>
  <c r="BS348" i="55" s="1" a="1"/>
  <c r="BK349" i="55"/>
  <c r="BS349" i="55" s="1" a="1"/>
  <c r="BS349" i="55" s="1"/>
  <c r="BT349" i="55" s="1"/>
  <c r="BK350" i="55"/>
  <c r="BS350" i="55" s="1" a="1"/>
  <c r="BS350" i="55" s="1"/>
  <c r="BU350" i="55" s="1"/>
  <c r="BK351" i="55"/>
  <c r="BS351" i="55" s="1" a="1"/>
  <c r="BS351" i="55" s="1"/>
  <c r="BK352" i="55"/>
  <c r="BS352" i="55" s="1" a="1"/>
  <c r="BS352" i="55" s="1"/>
  <c r="BT352" i="55" s="1"/>
  <c r="BJ5" i="55"/>
  <c r="BJ6" i="55"/>
  <c r="BJ7" i="55"/>
  <c r="BJ8" i="55"/>
  <c r="BJ9" i="55"/>
  <c r="BJ10" i="55"/>
  <c r="BJ12" i="55"/>
  <c r="BJ13" i="55"/>
  <c r="BJ14" i="55"/>
  <c r="BJ15" i="55"/>
  <c r="BR15" i="55" s="1"/>
  <c r="BJ16" i="55"/>
  <c r="BJ17" i="55"/>
  <c r="BJ18" i="55"/>
  <c r="BJ19" i="55"/>
  <c r="BJ20" i="55"/>
  <c r="BJ21" i="55"/>
  <c r="BP21" i="55" s="1"/>
  <c r="BJ22" i="55"/>
  <c r="BJ23" i="55"/>
  <c r="BJ24" i="55"/>
  <c r="BJ26" i="55"/>
  <c r="BJ29" i="55"/>
  <c r="BJ30" i="55"/>
  <c r="BJ31" i="55"/>
  <c r="BR31" i="55" s="1"/>
  <c r="BJ32" i="55"/>
  <c r="BJ33" i="55"/>
  <c r="BJ34" i="55"/>
  <c r="BJ35" i="55"/>
  <c r="BJ36" i="55"/>
  <c r="BJ37" i="55"/>
  <c r="BJ38" i="55"/>
  <c r="BJ39" i="55"/>
  <c r="BJ40" i="55"/>
  <c r="BR40" i="55" s="1"/>
  <c r="BJ41" i="55"/>
  <c r="BJ42" i="55"/>
  <c r="BJ43" i="55"/>
  <c r="BJ44" i="55"/>
  <c r="BJ45" i="55"/>
  <c r="BJ46" i="55"/>
  <c r="BR46" i="55" s="1"/>
  <c r="BJ47" i="55"/>
  <c r="BR47" i="55" s="1"/>
  <c r="BJ48" i="55"/>
  <c r="BJ49" i="55"/>
  <c r="BJ51" i="55"/>
  <c r="BJ52" i="55"/>
  <c r="BJ53" i="55"/>
  <c r="BJ54" i="55"/>
  <c r="BJ55" i="55"/>
  <c r="BJ56" i="55"/>
  <c r="BR56" i="55" s="1"/>
  <c r="BJ57" i="55"/>
  <c r="BJ58" i="55"/>
  <c r="BJ59" i="55"/>
  <c r="BJ60" i="55"/>
  <c r="BJ61" i="55"/>
  <c r="BJ62" i="55"/>
  <c r="BJ63" i="55"/>
  <c r="BJ64" i="55"/>
  <c r="BJ65" i="55"/>
  <c r="BJ66" i="55"/>
  <c r="BJ67" i="55"/>
  <c r="BJ68" i="55"/>
  <c r="BJ69" i="55"/>
  <c r="BJ70" i="55"/>
  <c r="BJ71" i="55"/>
  <c r="BJ72" i="55"/>
  <c r="BJ73" i="55"/>
  <c r="BJ74" i="55"/>
  <c r="BJ75" i="55"/>
  <c r="BJ76" i="55"/>
  <c r="BJ77" i="55"/>
  <c r="BJ78" i="55"/>
  <c r="BJ79" i="55"/>
  <c r="BR79" i="55" s="1"/>
  <c r="BJ80" i="55"/>
  <c r="BJ81" i="55"/>
  <c r="BJ82" i="55"/>
  <c r="BJ83" i="55"/>
  <c r="BJ84" i="55"/>
  <c r="BJ85" i="55"/>
  <c r="BJ86" i="55"/>
  <c r="BJ87" i="55"/>
  <c r="BJ88" i="55"/>
  <c r="BR88" i="55" s="1"/>
  <c r="BJ89" i="55"/>
  <c r="BJ90" i="55"/>
  <c r="BP90" i="55" s="1"/>
  <c r="BJ91" i="55"/>
  <c r="BJ92" i="55"/>
  <c r="BJ93" i="55"/>
  <c r="BJ94" i="55"/>
  <c r="BJ95" i="55"/>
  <c r="BJ96" i="55"/>
  <c r="BJ97" i="55"/>
  <c r="BJ98" i="55"/>
  <c r="BJ99" i="55"/>
  <c r="BJ100" i="55"/>
  <c r="BJ101" i="55"/>
  <c r="BJ102" i="55"/>
  <c r="BJ103" i="55"/>
  <c r="BJ104" i="55"/>
  <c r="BJ105" i="55"/>
  <c r="BJ106" i="55"/>
  <c r="BP106" i="55" s="1"/>
  <c r="BJ107" i="55"/>
  <c r="CG107" i="55" s="1"/>
  <c r="BJ108" i="55"/>
  <c r="BJ109" i="55"/>
  <c r="BJ110" i="55"/>
  <c r="BJ111" i="55"/>
  <c r="BJ112" i="55"/>
  <c r="BJ113" i="55"/>
  <c r="BJ114" i="55"/>
  <c r="BJ115" i="55"/>
  <c r="BJ116" i="55"/>
  <c r="BJ117" i="55"/>
  <c r="BJ118" i="55"/>
  <c r="BJ119" i="55"/>
  <c r="BP119" i="55" s="1"/>
  <c r="BJ120" i="55"/>
  <c r="BJ121" i="55"/>
  <c r="BJ122" i="55"/>
  <c r="BR122" i="55" s="1"/>
  <c r="BJ123" i="55"/>
  <c r="BJ124" i="55"/>
  <c r="BJ125" i="55"/>
  <c r="BJ126" i="55"/>
  <c r="BR126" i="55" s="1"/>
  <c r="BJ127" i="55"/>
  <c r="BR127" i="55" s="1"/>
  <c r="BJ128" i="55"/>
  <c r="BJ129" i="55"/>
  <c r="BJ130" i="55"/>
  <c r="BJ131" i="55"/>
  <c r="BJ132" i="55"/>
  <c r="BJ133" i="55"/>
  <c r="BJ134" i="55"/>
  <c r="BJ135" i="55"/>
  <c r="BJ136" i="55"/>
  <c r="BJ137" i="55"/>
  <c r="BP137" i="55" s="1"/>
  <c r="BJ138" i="55"/>
  <c r="BR138" i="55" s="1"/>
  <c r="BJ139" i="55"/>
  <c r="BJ140" i="55"/>
  <c r="BP140" i="55" s="1"/>
  <c r="BJ141" i="55"/>
  <c r="BJ142" i="55"/>
  <c r="BJ143" i="55"/>
  <c r="BJ144" i="55"/>
  <c r="BJ145" i="55"/>
  <c r="BJ146" i="55"/>
  <c r="BJ147" i="55"/>
  <c r="BJ148" i="55"/>
  <c r="BJ149" i="55"/>
  <c r="BJ150" i="55"/>
  <c r="BJ151" i="55"/>
  <c r="BJ152" i="55"/>
  <c r="BP152" i="55" s="1"/>
  <c r="BJ153" i="55"/>
  <c r="BJ154" i="55"/>
  <c r="BJ155" i="55"/>
  <c r="BP155" i="55" s="1"/>
  <c r="BJ156" i="55"/>
  <c r="BJ157" i="55"/>
  <c r="BJ158" i="55"/>
  <c r="BJ159" i="55"/>
  <c r="BJ160" i="55"/>
  <c r="BJ161" i="55"/>
  <c r="BJ162" i="55"/>
  <c r="BJ163" i="55"/>
  <c r="BJ164" i="55"/>
  <c r="BJ165" i="55"/>
  <c r="BJ166" i="55"/>
  <c r="BJ167" i="55"/>
  <c r="BJ168" i="55"/>
  <c r="BJ169" i="55"/>
  <c r="BJ170" i="55"/>
  <c r="BJ171" i="55"/>
  <c r="BJ172" i="55"/>
  <c r="BJ173" i="55"/>
  <c r="BJ174" i="55"/>
  <c r="BJ175" i="55"/>
  <c r="BR175" i="55" s="1"/>
  <c r="BJ176" i="55"/>
  <c r="BJ177" i="55"/>
  <c r="BJ178" i="55"/>
  <c r="BJ179" i="55"/>
  <c r="BJ180" i="55"/>
  <c r="BJ181" i="55"/>
  <c r="BJ182" i="55"/>
  <c r="BJ183" i="55"/>
  <c r="BJ184" i="55"/>
  <c r="BJ185" i="55"/>
  <c r="BP185" i="55" s="1"/>
  <c r="BJ186" i="55"/>
  <c r="BJ187" i="55"/>
  <c r="BJ188" i="55"/>
  <c r="BJ189" i="55"/>
  <c r="BJ190" i="55"/>
  <c r="BJ191" i="55"/>
  <c r="BR191" i="55" s="1"/>
  <c r="BJ192" i="55"/>
  <c r="BJ193" i="55"/>
  <c r="BJ194" i="55"/>
  <c r="BJ195" i="55"/>
  <c r="BJ196" i="55"/>
  <c r="BJ197" i="55"/>
  <c r="BJ198" i="55"/>
  <c r="BJ199" i="55"/>
  <c r="BJ200" i="55"/>
  <c r="BJ201" i="55"/>
  <c r="BJ202" i="55"/>
  <c r="BP202" i="55" s="1"/>
  <c r="BJ203" i="55"/>
  <c r="BJ204" i="55"/>
  <c r="BJ205" i="55"/>
  <c r="BJ206" i="55"/>
  <c r="BJ207" i="55"/>
  <c r="BR207" i="55" s="1"/>
  <c r="BJ208" i="55"/>
  <c r="BJ209" i="55"/>
  <c r="BJ210" i="55"/>
  <c r="BJ211" i="55"/>
  <c r="BJ212" i="55"/>
  <c r="BJ213" i="55"/>
  <c r="BJ214" i="55"/>
  <c r="BJ215" i="55"/>
  <c r="BJ216" i="55"/>
  <c r="BP216" i="55" s="1"/>
  <c r="BJ217" i="55"/>
  <c r="BJ218" i="55"/>
  <c r="BR218" i="55" s="1"/>
  <c r="BJ219" i="55"/>
  <c r="BJ220" i="55"/>
  <c r="BJ221" i="55"/>
  <c r="BJ222" i="55"/>
  <c r="BJ223" i="55"/>
  <c r="BR223" i="55" s="1"/>
  <c r="BJ224" i="55"/>
  <c r="BJ225" i="55"/>
  <c r="BJ226" i="55"/>
  <c r="BJ227" i="55"/>
  <c r="BJ228" i="55"/>
  <c r="BJ229" i="55"/>
  <c r="BJ230" i="55"/>
  <c r="BJ231" i="55"/>
  <c r="BJ232" i="55"/>
  <c r="BJ233" i="55"/>
  <c r="BJ234" i="55"/>
  <c r="BR234" i="55" s="1"/>
  <c r="BJ235" i="55"/>
  <c r="BP235" i="55" s="1"/>
  <c r="BJ236" i="55"/>
  <c r="BP236" i="55" s="1"/>
  <c r="BJ237" i="55"/>
  <c r="BJ238" i="55"/>
  <c r="BJ239" i="55"/>
  <c r="BJ240" i="55"/>
  <c r="BJ241" i="55"/>
  <c r="BJ242" i="55"/>
  <c r="BJ243" i="55"/>
  <c r="BJ244" i="55"/>
  <c r="BJ245" i="55"/>
  <c r="BJ246" i="55"/>
  <c r="BJ247" i="55"/>
  <c r="BJ248" i="55"/>
  <c r="BR248" i="55" s="1"/>
  <c r="BJ249" i="55"/>
  <c r="BP249" i="55" s="1"/>
  <c r="BJ250" i="55"/>
  <c r="BP250" i="55" s="1"/>
  <c r="BJ251" i="55"/>
  <c r="BJ252" i="55"/>
  <c r="BJ253" i="55"/>
  <c r="BJ254" i="55"/>
  <c r="BJ255" i="55"/>
  <c r="BR255" i="55" s="1"/>
  <c r="BJ256" i="55"/>
  <c r="BJ257" i="55"/>
  <c r="BJ258" i="55"/>
  <c r="BJ259" i="55"/>
  <c r="BJ260" i="55"/>
  <c r="BJ261" i="55"/>
  <c r="BJ262" i="55"/>
  <c r="BJ263" i="55"/>
  <c r="BJ264" i="55"/>
  <c r="BP264" i="55" s="1"/>
  <c r="BJ265" i="55"/>
  <c r="BJ266" i="55"/>
  <c r="BJ267" i="55"/>
  <c r="BP267" i="55" s="1"/>
  <c r="BJ268" i="55"/>
  <c r="BJ269" i="55"/>
  <c r="BJ270" i="55"/>
  <c r="BJ271" i="55"/>
  <c r="BR271" i="55" s="1"/>
  <c r="BJ272" i="55"/>
  <c r="BJ273" i="55"/>
  <c r="BJ274" i="55"/>
  <c r="BJ275" i="55"/>
  <c r="BJ276" i="55"/>
  <c r="BJ277" i="55"/>
  <c r="BJ278" i="55"/>
  <c r="BJ279" i="55"/>
  <c r="BJ280" i="55"/>
  <c r="BJ281" i="55"/>
  <c r="BJ282" i="55"/>
  <c r="BP282" i="55" s="1"/>
  <c r="BJ283" i="55"/>
  <c r="BJ284" i="55"/>
  <c r="BJ285" i="55"/>
  <c r="BJ286" i="55"/>
  <c r="BJ287" i="55"/>
  <c r="BR287" i="55" s="1"/>
  <c r="BJ288" i="55"/>
  <c r="BJ289" i="55"/>
  <c r="BJ290" i="55"/>
  <c r="BJ291" i="55"/>
  <c r="BJ292" i="55"/>
  <c r="BJ293" i="55"/>
  <c r="BJ294" i="55"/>
  <c r="BJ295" i="55"/>
  <c r="BJ296" i="55"/>
  <c r="BR296" i="55" s="1"/>
  <c r="BJ297" i="55"/>
  <c r="BP297" i="55" s="1"/>
  <c r="BJ298" i="55"/>
  <c r="BR298" i="55" s="1"/>
  <c r="BJ299" i="55"/>
  <c r="BJ300" i="55"/>
  <c r="BJ301" i="55"/>
  <c r="BJ302" i="55"/>
  <c r="BJ303" i="55"/>
  <c r="BR303" i="55" s="1"/>
  <c r="BJ304" i="55"/>
  <c r="BJ305" i="55"/>
  <c r="BJ306" i="55"/>
  <c r="BJ307" i="55"/>
  <c r="BJ308" i="55"/>
  <c r="BJ309" i="55"/>
  <c r="BJ310" i="55"/>
  <c r="BJ311" i="55"/>
  <c r="BJ312" i="55"/>
  <c r="BR312" i="55" s="1"/>
  <c r="BJ313" i="55"/>
  <c r="BP313" i="55" s="1"/>
  <c r="BJ314" i="55"/>
  <c r="BR314" i="55" s="1"/>
  <c r="BJ315" i="55"/>
  <c r="BJ316" i="55"/>
  <c r="BJ317" i="55"/>
  <c r="BJ318" i="55"/>
  <c r="BJ319" i="55"/>
  <c r="BJ320" i="55"/>
  <c r="BJ321" i="55"/>
  <c r="BJ322" i="55"/>
  <c r="BJ323" i="55"/>
  <c r="BJ324" i="55"/>
  <c r="BJ325" i="55"/>
  <c r="BJ326" i="55"/>
  <c r="BJ327" i="55"/>
  <c r="BJ328" i="55"/>
  <c r="BR328" i="55" s="1"/>
  <c r="BJ329" i="55"/>
  <c r="BJ330" i="55"/>
  <c r="BR330" i="55" s="1"/>
  <c r="BJ331" i="55"/>
  <c r="BJ332" i="55"/>
  <c r="BJ333" i="55"/>
  <c r="BJ334" i="55"/>
  <c r="BJ335" i="55"/>
  <c r="BR335" i="55" s="1"/>
  <c r="BJ336" i="55"/>
  <c r="BJ337" i="55"/>
  <c r="BJ338" i="55"/>
  <c r="BJ339" i="55"/>
  <c r="BJ340" i="55"/>
  <c r="BJ341" i="55"/>
  <c r="BJ342" i="55"/>
  <c r="BJ343" i="55"/>
  <c r="BP343" i="55" s="1"/>
  <c r="BJ344" i="55"/>
  <c r="BJ345" i="55"/>
  <c r="BJ346" i="55"/>
  <c r="BJ347" i="55"/>
  <c r="BJ348" i="55"/>
  <c r="BP348" i="55" s="1"/>
  <c r="BJ349" i="55"/>
  <c r="BJ350" i="55"/>
  <c r="BP350" i="55" s="1"/>
  <c r="BJ351" i="55"/>
  <c r="BJ352" i="55"/>
  <c r="BI5" i="55"/>
  <c r="BI6" i="55"/>
  <c r="BI7" i="55"/>
  <c r="BI8" i="55"/>
  <c r="CF8" i="55" s="1"/>
  <c r="BI9" i="55"/>
  <c r="CF9" i="55" s="1"/>
  <c r="BI10" i="55"/>
  <c r="CF10" i="55" s="1"/>
  <c r="BI12" i="55"/>
  <c r="BI13" i="55"/>
  <c r="BI14" i="55"/>
  <c r="CF14" i="55" s="1"/>
  <c r="BI15" i="55"/>
  <c r="BI16" i="55"/>
  <c r="CF16" i="55" s="1"/>
  <c r="BI17" i="55"/>
  <c r="CF17" i="55" s="1"/>
  <c r="BI18" i="55"/>
  <c r="BI19" i="55"/>
  <c r="BI20" i="55"/>
  <c r="BI21" i="55"/>
  <c r="BI22" i="55"/>
  <c r="BI23" i="55"/>
  <c r="BI24" i="55"/>
  <c r="BI26" i="55"/>
  <c r="BI29" i="55"/>
  <c r="CF29" i="55" s="1"/>
  <c r="BI30" i="55"/>
  <c r="CF30" i="55" s="1"/>
  <c r="BI31" i="55"/>
  <c r="BI32" i="55"/>
  <c r="CF32" i="55" s="1"/>
  <c r="BI33" i="55"/>
  <c r="BI34" i="55"/>
  <c r="BI35" i="55"/>
  <c r="BI36" i="55"/>
  <c r="BI37" i="55"/>
  <c r="BI38" i="55"/>
  <c r="BI39" i="55"/>
  <c r="BI40" i="55"/>
  <c r="BI41" i="55"/>
  <c r="BI42" i="55"/>
  <c r="BI43" i="55"/>
  <c r="BI44" i="55"/>
  <c r="BI45" i="55"/>
  <c r="BI46" i="55"/>
  <c r="CF46" i="55" s="1"/>
  <c r="BI47" i="55"/>
  <c r="BI48" i="55"/>
  <c r="CF48" i="55" s="1"/>
  <c r="BI49" i="55"/>
  <c r="CF49" i="55" s="1"/>
  <c r="BI51" i="55"/>
  <c r="BI52" i="55"/>
  <c r="BI53" i="55"/>
  <c r="BI54" i="55"/>
  <c r="BI55" i="55"/>
  <c r="BI56" i="55"/>
  <c r="BI57" i="55"/>
  <c r="BI58" i="55"/>
  <c r="CF58" i="55" s="1"/>
  <c r="BI59" i="55"/>
  <c r="CF59" i="55" s="1"/>
  <c r="BI60" i="55"/>
  <c r="BI61" i="55"/>
  <c r="CF61" i="55" s="1"/>
  <c r="BI62" i="55"/>
  <c r="CF62" i="55" s="1"/>
  <c r="BI63" i="55"/>
  <c r="BI64" i="55"/>
  <c r="CF64" i="55" s="1"/>
  <c r="BI65" i="55"/>
  <c r="CF65" i="55" s="1"/>
  <c r="BI66" i="55"/>
  <c r="BI67" i="55"/>
  <c r="BI68" i="55"/>
  <c r="BI69" i="55"/>
  <c r="BI70" i="55"/>
  <c r="BI71" i="55"/>
  <c r="BI72" i="55"/>
  <c r="BI73" i="55"/>
  <c r="CF73" i="55" s="1"/>
  <c r="BI74" i="55"/>
  <c r="BI75" i="55"/>
  <c r="BI76" i="55"/>
  <c r="BI77" i="55"/>
  <c r="BI78" i="55"/>
  <c r="CF78" i="55" s="1"/>
  <c r="BI79" i="55"/>
  <c r="BI80" i="55"/>
  <c r="CF80" i="55" s="1"/>
  <c r="BI81" i="55"/>
  <c r="CF81" i="55" s="1"/>
  <c r="BI82" i="55"/>
  <c r="BI83" i="55"/>
  <c r="BI84" i="55"/>
  <c r="BI85" i="55"/>
  <c r="BI86" i="55"/>
  <c r="BI87" i="55"/>
  <c r="BI88" i="55"/>
  <c r="BI89" i="55"/>
  <c r="BI90" i="55"/>
  <c r="BI91" i="55"/>
  <c r="CF91" i="55" s="1"/>
  <c r="BI92" i="55"/>
  <c r="BI93" i="55"/>
  <c r="CF93" i="55" s="1"/>
  <c r="BI94" i="55"/>
  <c r="CF94" i="55" s="1"/>
  <c r="BI95" i="55"/>
  <c r="BI96" i="55"/>
  <c r="CF96" i="55" s="1"/>
  <c r="BI97" i="55"/>
  <c r="CF97" i="55" s="1"/>
  <c r="BI98" i="55"/>
  <c r="BI99" i="55"/>
  <c r="BI100" i="55"/>
  <c r="BI101" i="55"/>
  <c r="BI102" i="55"/>
  <c r="BI103" i="55"/>
  <c r="BI104" i="55"/>
  <c r="CF104" i="55" s="1"/>
  <c r="BI105" i="55"/>
  <c r="BI106" i="55"/>
  <c r="BI107" i="55"/>
  <c r="CF107" i="55" s="1"/>
  <c r="BI108" i="55"/>
  <c r="BI109" i="55"/>
  <c r="CF109" i="55" s="1"/>
  <c r="BI110" i="55"/>
  <c r="BI111" i="55"/>
  <c r="BI112" i="55"/>
  <c r="BI113" i="55"/>
  <c r="CF113" i="55" s="1"/>
  <c r="BI114" i="55"/>
  <c r="BI115" i="55"/>
  <c r="BI116" i="55"/>
  <c r="BI117" i="55"/>
  <c r="BI118" i="55"/>
  <c r="BI119" i="55"/>
  <c r="BI120" i="55"/>
  <c r="BI121" i="55"/>
  <c r="BI122" i="55"/>
  <c r="CF122" i="55" s="1"/>
  <c r="BI123" i="55"/>
  <c r="BI124" i="55"/>
  <c r="BI125" i="55"/>
  <c r="CF125" i="55" s="1"/>
  <c r="BI126" i="55"/>
  <c r="CF126" i="55" s="1"/>
  <c r="BI127" i="55"/>
  <c r="BI128" i="55"/>
  <c r="CF128" i="55" s="1"/>
  <c r="BI129" i="55"/>
  <c r="CF129" i="55" s="1"/>
  <c r="BI130" i="55"/>
  <c r="BI131" i="55"/>
  <c r="BI132" i="55"/>
  <c r="BI133" i="55"/>
  <c r="BI134" i="55"/>
  <c r="BI135" i="55"/>
  <c r="BI136" i="55"/>
  <c r="BI137" i="55"/>
  <c r="CF137" i="55" s="1"/>
  <c r="BI138" i="55"/>
  <c r="CF138" i="55" s="1"/>
  <c r="BI139" i="55"/>
  <c r="CF139" i="55" s="1"/>
  <c r="BI140" i="55"/>
  <c r="BI141" i="55"/>
  <c r="CF141" i="55" s="1"/>
  <c r="BI142" i="55"/>
  <c r="CF142" i="55" s="1"/>
  <c r="BI143" i="55"/>
  <c r="BI144" i="55"/>
  <c r="BI145" i="55"/>
  <c r="CF145" i="55" s="1"/>
  <c r="BI146" i="55"/>
  <c r="BI147" i="55"/>
  <c r="BI148" i="55"/>
  <c r="CF148" i="55" s="1"/>
  <c r="BI149" i="55"/>
  <c r="BI150" i="55"/>
  <c r="BI151" i="55"/>
  <c r="CF151" i="55" s="1"/>
  <c r="BI152" i="55"/>
  <c r="CF152" i="55" s="1"/>
  <c r="BI153" i="55"/>
  <c r="BI154" i="55"/>
  <c r="CF154" i="55" s="1"/>
  <c r="CH154" i="55" s="1"/>
  <c r="BI155" i="55"/>
  <c r="BI156" i="55"/>
  <c r="BI157" i="55"/>
  <c r="CF157" i="55" s="1"/>
  <c r="BI158" i="55"/>
  <c r="BI159" i="55"/>
  <c r="BI160" i="55"/>
  <c r="CF160" i="55" s="1"/>
  <c r="BI161" i="55"/>
  <c r="BI162" i="55"/>
  <c r="BI163" i="55"/>
  <c r="BI164" i="55"/>
  <c r="BI165" i="55"/>
  <c r="BI166" i="55"/>
  <c r="BI167" i="55"/>
  <c r="BI168" i="55"/>
  <c r="BI169" i="55"/>
  <c r="BI170" i="55"/>
  <c r="BI171" i="55"/>
  <c r="BI172" i="55"/>
  <c r="BI173" i="55"/>
  <c r="CF173" i="55" s="1"/>
  <c r="BI174" i="55"/>
  <c r="CF174" i="55" s="1"/>
  <c r="BI175" i="55"/>
  <c r="BI176" i="55"/>
  <c r="CF176" i="55" s="1"/>
  <c r="BI177" i="55"/>
  <c r="BI178" i="55"/>
  <c r="BI179" i="55"/>
  <c r="BI180" i="55"/>
  <c r="BI181" i="55"/>
  <c r="BI182" i="55"/>
  <c r="BI183" i="55"/>
  <c r="BI184" i="55"/>
  <c r="CF184" i="55" s="1"/>
  <c r="CH184" i="55" s="1"/>
  <c r="BI185" i="55"/>
  <c r="BI186" i="55"/>
  <c r="CF186" i="55" s="1"/>
  <c r="BI187" i="55"/>
  <c r="BI188" i="55"/>
  <c r="CF188" i="55" s="1"/>
  <c r="BI189" i="55"/>
  <c r="CF189" i="55" s="1"/>
  <c r="BI190" i="55"/>
  <c r="CF190" i="55" s="1"/>
  <c r="BI191" i="55"/>
  <c r="BI192" i="55"/>
  <c r="CF192" i="55" s="1"/>
  <c r="BI193" i="55"/>
  <c r="CF193" i="55" s="1"/>
  <c r="BI194" i="55"/>
  <c r="BI195" i="55"/>
  <c r="BI196" i="55"/>
  <c r="BI197" i="55"/>
  <c r="BI198" i="55"/>
  <c r="CF198" i="55" s="1"/>
  <c r="BI199" i="55"/>
  <c r="BI200" i="55"/>
  <c r="BI201" i="55"/>
  <c r="BI202" i="55"/>
  <c r="BI203" i="55"/>
  <c r="BI204" i="55"/>
  <c r="BI205" i="55"/>
  <c r="CF205" i="55" s="1"/>
  <c r="BI206" i="55"/>
  <c r="CF206" i="55" s="1"/>
  <c r="BI207" i="55"/>
  <c r="BI208" i="55"/>
  <c r="CF208" i="55" s="1"/>
  <c r="BI209" i="55"/>
  <c r="CF209" i="55" s="1"/>
  <c r="BI210" i="55"/>
  <c r="BI211" i="55"/>
  <c r="BI212" i="55"/>
  <c r="BI213" i="55"/>
  <c r="BI214" i="55"/>
  <c r="BI215" i="55"/>
  <c r="BI216" i="55"/>
  <c r="BI217" i="55"/>
  <c r="BI218" i="55"/>
  <c r="BI219" i="55"/>
  <c r="BI220" i="55"/>
  <c r="BI221" i="55"/>
  <c r="CF221" i="55" s="1"/>
  <c r="BI222" i="55"/>
  <c r="CF222" i="55" s="1"/>
  <c r="BI223" i="55"/>
  <c r="BI224" i="55"/>
  <c r="CF224" i="55" s="1"/>
  <c r="BI225" i="55"/>
  <c r="BI226" i="55"/>
  <c r="BI227" i="55"/>
  <c r="BI228" i="55"/>
  <c r="BI229" i="55"/>
  <c r="BI230" i="55"/>
  <c r="BI231" i="55"/>
  <c r="BI232" i="55"/>
  <c r="BI233" i="55"/>
  <c r="BI234" i="55"/>
  <c r="BI235" i="55"/>
  <c r="CF235" i="55" s="1"/>
  <c r="BI236" i="55"/>
  <c r="BI237" i="55"/>
  <c r="CF237" i="55" s="1"/>
  <c r="BI238" i="55"/>
  <c r="BI239" i="55"/>
  <c r="BI240" i="55"/>
  <c r="BI241" i="55"/>
  <c r="BI242" i="55"/>
  <c r="BI243" i="55"/>
  <c r="BI244" i="55"/>
  <c r="BI245" i="55"/>
  <c r="BI246" i="55"/>
  <c r="BI247" i="55"/>
  <c r="BI248" i="55"/>
  <c r="CF248" i="55" s="1"/>
  <c r="BI249" i="55"/>
  <c r="CF249" i="55" s="1"/>
  <c r="BI250" i="55"/>
  <c r="BI251" i="55"/>
  <c r="BI252" i="55"/>
  <c r="BI253" i="55"/>
  <c r="BI254" i="55"/>
  <c r="CF254" i="55" s="1"/>
  <c r="BI255" i="55"/>
  <c r="BI256" i="55"/>
  <c r="CF256" i="55" s="1"/>
  <c r="BI257" i="55"/>
  <c r="CF257" i="55" s="1"/>
  <c r="BI258" i="55"/>
  <c r="BI259" i="55"/>
  <c r="BI260" i="55"/>
  <c r="BI261" i="55"/>
  <c r="BI262" i="55"/>
  <c r="BI263" i="55"/>
  <c r="BI264" i="55"/>
  <c r="BI265" i="55"/>
  <c r="CF265" i="55" s="1"/>
  <c r="BI266" i="55"/>
  <c r="CF266" i="55" s="1"/>
  <c r="BI267" i="55"/>
  <c r="BI268" i="55"/>
  <c r="CF268" i="55" s="1"/>
  <c r="BI269" i="55"/>
  <c r="CF269" i="55" s="1"/>
  <c r="BI270" i="55"/>
  <c r="BI271" i="55"/>
  <c r="BI272" i="55"/>
  <c r="BI273" i="55"/>
  <c r="CF273" i="55" s="1"/>
  <c r="BI274" i="55"/>
  <c r="BI275" i="55"/>
  <c r="BI276" i="55"/>
  <c r="BI277" i="55"/>
  <c r="BI278" i="55"/>
  <c r="BI279" i="55"/>
  <c r="CF279" i="55" s="1"/>
  <c r="BI280" i="55"/>
  <c r="CF280" i="55" s="1"/>
  <c r="BI281" i="55"/>
  <c r="CF281" i="55" s="1"/>
  <c r="BI282" i="55"/>
  <c r="CF282" i="55" s="1"/>
  <c r="BI283" i="55"/>
  <c r="CF283" i="55" s="1"/>
  <c r="CH283" i="55" s="1"/>
  <c r="BI284" i="55"/>
  <c r="BI285" i="55"/>
  <c r="CF285" i="55" s="1"/>
  <c r="BI286" i="55"/>
  <c r="CF286" i="55" s="1"/>
  <c r="BI287" i="55"/>
  <c r="BI288" i="55"/>
  <c r="CF288" i="55" s="1"/>
  <c r="BI289" i="55"/>
  <c r="CF289" i="55" s="1"/>
  <c r="BI290" i="55"/>
  <c r="BI291" i="55"/>
  <c r="BI292" i="55"/>
  <c r="BI293" i="55"/>
  <c r="BI294" i="55"/>
  <c r="BI295" i="55"/>
  <c r="BI296" i="55"/>
  <c r="CF296" i="55" s="1"/>
  <c r="BI297" i="55"/>
  <c r="BI298" i="55"/>
  <c r="BI299" i="55"/>
  <c r="CF299" i="55" s="1"/>
  <c r="BI300" i="55"/>
  <c r="BI301" i="55"/>
  <c r="CF301" i="55" s="1"/>
  <c r="BI302" i="55"/>
  <c r="CF302" i="55" s="1"/>
  <c r="BI303" i="55"/>
  <c r="BI304" i="55"/>
  <c r="CF304" i="55" s="1"/>
  <c r="BI305" i="55"/>
  <c r="CF305" i="55" s="1"/>
  <c r="BI306" i="55"/>
  <c r="BI307" i="55"/>
  <c r="BI308" i="55"/>
  <c r="BI309" i="55"/>
  <c r="BI310" i="55"/>
  <c r="BI311" i="55"/>
  <c r="BI312" i="55"/>
  <c r="BI313" i="55"/>
  <c r="BI314" i="55"/>
  <c r="BI315" i="55"/>
  <c r="BI316" i="55"/>
  <c r="BI317" i="55"/>
  <c r="CF317" i="55" s="1"/>
  <c r="CH317" i="55" s="1"/>
  <c r="BI318" i="55"/>
  <c r="CF318" i="55" s="1"/>
  <c r="BI319" i="55"/>
  <c r="BI320" i="55"/>
  <c r="CF320" i="55" s="1"/>
  <c r="BI321" i="55"/>
  <c r="CF321" i="55" s="1"/>
  <c r="BI322" i="55"/>
  <c r="CF322" i="55" s="1"/>
  <c r="BI323" i="55"/>
  <c r="BI324" i="55"/>
  <c r="BI325" i="55"/>
  <c r="BI326" i="55"/>
  <c r="BI327" i="55"/>
  <c r="CF327" i="55" s="1"/>
  <c r="BI328" i="55"/>
  <c r="BI329" i="55"/>
  <c r="BI330" i="55"/>
  <c r="BI331" i="55"/>
  <c r="BI332" i="55"/>
  <c r="CF332" i="55" s="1"/>
  <c r="BI333" i="55"/>
  <c r="CF333" i="55" s="1"/>
  <c r="BI334" i="55"/>
  <c r="BI335" i="55"/>
  <c r="BI336" i="55"/>
  <c r="BI337" i="55"/>
  <c r="BI338" i="55"/>
  <c r="BI339" i="55"/>
  <c r="BI340" i="55"/>
  <c r="BI341" i="55"/>
  <c r="BI342" i="55"/>
  <c r="BI343" i="55"/>
  <c r="BI344" i="55"/>
  <c r="CF344" i="55" s="1"/>
  <c r="BI345" i="55"/>
  <c r="BI346" i="55"/>
  <c r="BI347" i="55"/>
  <c r="CF347" i="55" s="1"/>
  <c r="BI348" i="55"/>
  <c r="BI349" i="55"/>
  <c r="BI350" i="55"/>
  <c r="CF350" i="55" s="1"/>
  <c r="BI351" i="55"/>
  <c r="BI352" i="55"/>
  <c r="CF352" i="55" s="1"/>
  <c r="BH3" i="55"/>
  <c r="DV3" i="55" s="1"/>
  <c r="BH4" i="55"/>
  <c r="BH5" i="55"/>
  <c r="BH6" i="55"/>
  <c r="BH7" i="55"/>
  <c r="BH8" i="55"/>
  <c r="BH9" i="55"/>
  <c r="BH10" i="55"/>
  <c r="BH11" i="55"/>
  <c r="BH12" i="55"/>
  <c r="BH13" i="55"/>
  <c r="BH14" i="55"/>
  <c r="BH15" i="55"/>
  <c r="BZ15" i="55" s="1"/>
  <c r="BH16" i="55"/>
  <c r="BH17" i="55"/>
  <c r="BH18" i="55"/>
  <c r="BZ18" i="55" s="1"/>
  <c r="BH19" i="55"/>
  <c r="DV19" i="55" s="1"/>
  <c r="BH20" i="55"/>
  <c r="BH21" i="55"/>
  <c r="BH22" i="55"/>
  <c r="BH23" i="55"/>
  <c r="BH24" i="55"/>
  <c r="BH26" i="55"/>
  <c r="BH27" i="55"/>
  <c r="BH29" i="55"/>
  <c r="BH30" i="55"/>
  <c r="BH31" i="55"/>
  <c r="BH32" i="55"/>
  <c r="BR32" i="55" s="1"/>
  <c r="BH33" i="55"/>
  <c r="BH34" i="55"/>
  <c r="BZ34" i="55" s="1"/>
  <c r="BH35" i="55"/>
  <c r="BH36" i="55"/>
  <c r="BH37" i="55"/>
  <c r="BH38" i="55"/>
  <c r="BH39" i="55"/>
  <c r="BH40" i="55"/>
  <c r="BH41" i="55"/>
  <c r="BH42" i="55"/>
  <c r="BZ42" i="55" s="1"/>
  <c r="BH43" i="55"/>
  <c r="BH44" i="55"/>
  <c r="BH45" i="55"/>
  <c r="BH46" i="55"/>
  <c r="BH47" i="55"/>
  <c r="BZ47" i="55" s="1"/>
  <c r="BH48" i="55"/>
  <c r="BZ48" i="55" s="1"/>
  <c r="BH49" i="55"/>
  <c r="BH50" i="55"/>
  <c r="BH51" i="55"/>
  <c r="BH52" i="55"/>
  <c r="BH53" i="55"/>
  <c r="BH54" i="55"/>
  <c r="BH55" i="55"/>
  <c r="BH56" i="55"/>
  <c r="BH57" i="55"/>
  <c r="BH58" i="55"/>
  <c r="BZ58" i="55" s="1"/>
  <c r="BH59" i="55"/>
  <c r="BH60" i="55"/>
  <c r="BP60" i="55" s="1"/>
  <c r="BH61" i="55"/>
  <c r="BH62" i="55"/>
  <c r="BH63" i="55"/>
  <c r="BH64" i="55"/>
  <c r="DV64" i="55" s="1"/>
  <c r="BH65" i="55"/>
  <c r="BH66" i="55"/>
  <c r="BZ66" i="55" s="1"/>
  <c r="BH67" i="55"/>
  <c r="BZ67" i="55" s="1"/>
  <c r="BH68" i="55"/>
  <c r="BH69" i="55"/>
  <c r="BH70" i="55"/>
  <c r="BH71" i="55"/>
  <c r="BH72" i="55"/>
  <c r="BH73" i="55"/>
  <c r="BH74" i="55"/>
  <c r="BH75" i="55"/>
  <c r="BH76" i="55"/>
  <c r="BP76" i="55" s="1"/>
  <c r="BH77" i="55"/>
  <c r="BZ77" i="55" s="1"/>
  <c r="BH78" i="55"/>
  <c r="BP78" i="55" s="1"/>
  <c r="BH79" i="55"/>
  <c r="BH80" i="55"/>
  <c r="CZ80" i="55" s="1"/>
  <c r="BH81" i="55"/>
  <c r="BH82" i="55"/>
  <c r="BP82" i="55" s="1"/>
  <c r="BH83" i="55"/>
  <c r="BH84" i="55"/>
  <c r="BH85" i="55"/>
  <c r="BH86" i="55"/>
  <c r="BH87" i="55"/>
  <c r="BH88" i="55"/>
  <c r="BH89" i="55"/>
  <c r="BH90" i="55"/>
  <c r="BH91" i="55"/>
  <c r="BP91" i="55" s="1"/>
  <c r="BH92" i="55"/>
  <c r="BH93" i="55"/>
  <c r="BZ93" i="55" s="1"/>
  <c r="BH94" i="55"/>
  <c r="BH95" i="55"/>
  <c r="BZ95" i="55" s="1"/>
  <c r="BH96" i="55"/>
  <c r="BH97" i="55"/>
  <c r="BH98" i="55"/>
  <c r="BZ98" i="55" s="1"/>
  <c r="BH99" i="55"/>
  <c r="BH100" i="55"/>
  <c r="BH101" i="55"/>
  <c r="BH102" i="55"/>
  <c r="BH103" i="55"/>
  <c r="BH104" i="55"/>
  <c r="BH105" i="55"/>
  <c r="BH106" i="55"/>
  <c r="BH107" i="55"/>
  <c r="BH108" i="55"/>
  <c r="BH109" i="55"/>
  <c r="BH110" i="55"/>
  <c r="BP110" i="55" s="1"/>
  <c r="BH111" i="55"/>
  <c r="BH112" i="55"/>
  <c r="BH113" i="55"/>
  <c r="BP113" i="55" s="1"/>
  <c r="BH114" i="55"/>
  <c r="BZ114" i="55" s="1"/>
  <c r="BH115" i="55"/>
  <c r="BH116" i="55"/>
  <c r="BH117" i="55"/>
  <c r="BH118" i="55"/>
  <c r="BH119" i="55"/>
  <c r="BH120" i="55"/>
  <c r="BH121" i="55"/>
  <c r="BH122" i="55"/>
  <c r="BH123" i="55"/>
  <c r="BH124" i="55"/>
  <c r="BH125" i="55"/>
  <c r="BZ125" i="55" s="1"/>
  <c r="BH126" i="55"/>
  <c r="BH127" i="55"/>
  <c r="BZ127" i="55" s="1"/>
  <c r="BH128" i="55"/>
  <c r="BH129" i="55"/>
  <c r="BH130" i="55"/>
  <c r="BH131" i="55"/>
  <c r="BH132" i="55"/>
  <c r="BH133" i="55"/>
  <c r="BH134" i="55"/>
  <c r="BH135" i="55"/>
  <c r="BH136" i="55"/>
  <c r="BH137" i="55"/>
  <c r="BH138" i="55"/>
  <c r="BZ138" i="55" s="1"/>
  <c r="BH139" i="55"/>
  <c r="BP139" i="55" s="1"/>
  <c r="BH140" i="55"/>
  <c r="BH141" i="55"/>
  <c r="BZ141" i="55" s="1"/>
  <c r="BH142" i="55"/>
  <c r="BH143" i="55"/>
  <c r="BH144" i="55"/>
  <c r="BH145" i="55"/>
  <c r="BH146" i="55"/>
  <c r="BZ146" i="55" s="1"/>
  <c r="BH147" i="55"/>
  <c r="BH148" i="55"/>
  <c r="BH149" i="55"/>
  <c r="BH150" i="55"/>
  <c r="BH151" i="55"/>
  <c r="BH152" i="55"/>
  <c r="BH153" i="55"/>
  <c r="DV153" i="55" s="1"/>
  <c r="BH154" i="55"/>
  <c r="BH155" i="55"/>
  <c r="BZ155" i="55" s="1"/>
  <c r="BH156" i="55"/>
  <c r="BZ156" i="55" s="1"/>
  <c r="BH157" i="55"/>
  <c r="BH158" i="55"/>
  <c r="BP158" i="55" s="1"/>
  <c r="BH159" i="55"/>
  <c r="BH160" i="55"/>
  <c r="BH161" i="55"/>
  <c r="BH162" i="55"/>
  <c r="BZ162" i="55" s="1"/>
  <c r="BH163" i="55"/>
  <c r="BH164" i="55"/>
  <c r="BH165" i="55"/>
  <c r="BH166" i="55"/>
  <c r="BH167" i="55"/>
  <c r="BH168" i="55"/>
  <c r="BH169" i="55"/>
  <c r="BH170" i="55"/>
  <c r="BH171" i="55"/>
  <c r="BH172" i="55"/>
  <c r="BP172" i="55" s="1"/>
  <c r="BH173" i="55"/>
  <c r="DV173" i="55" s="1"/>
  <c r="BH174" i="55"/>
  <c r="BH175" i="55"/>
  <c r="BH176" i="55"/>
  <c r="BZ176" i="55" s="1"/>
  <c r="BH177" i="55"/>
  <c r="BH178" i="55"/>
  <c r="BZ178" i="55" s="1"/>
  <c r="BH179" i="55"/>
  <c r="BZ179" i="55" s="1"/>
  <c r="BH180" i="55"/>
  <c r="BH181" i="55"/>
  <c r="BH182" i="55"/>
  <c r="BH183" i="55"/>
  <c r="BH184" i="55"/>
  <c r="BH185" i="55"/>
  <c r="BH186" i="55"/>
  <c r="BH187" i="55"/>
  <c r="BH188" i="55"/>
  <c r="BH189" i="55"/>
  <c r="BH190" i="55"/>
  <c r="BH191" i="55"/>
  <c r="BH192" i="55"/>
  <c r="DV192" i="55" s="1"/>
  <c r="BH193" i="55"/>
  <c r="BR193" i="55" s="1"/>
  <c r="BH194" i="55"/>
  <c r="BZ194" i="55" s="1"/>
  <c r="BH195" i="55"/>
  <c r="BR195" i="55" s="1"/>
  <c r="EB195" i="55" s="1"/>
  <c r="BH196" i="55"/>
  <c r="BH197" i="55"/>
  <c r="BH198" i="55"/>
  <c r="BH199" i="55"/>
  <c r="BH200" i="55"/>
  <c r="BH201" i="55"/>
  <c r="BH202" i="55"/>
  <c r="DV202" i="55" s="1"/>
  <c r="BH203" i="55"/>
  <c r="BH204" i="55"/>
  <c r="BZ204" i="55" s="1"/>
  <c r="BH205" i="55"/>
  <c r="BZ205" i="55" s="1"/>
  <c r="BH206" i="55"/>
  <c r="BH207" i="55"/>
  <c r="DV207" i="55" s="1"/>
  <c r="BH208" i="55"/>
  <c r="BH209" i="55"/>
  <c r="BH210" i="55"/>
  <c r="BH211" i="55"/>
  <c r="BH212" i="55"/>
  <c r="BH213" i="55"/>
  <c r="BH214" i="55"/>
  <c r="BH215" i="55"/>
  <c r="BH216" i="55"/>
  <c r="BH217" i="55"/>
  <c r="BH218" i="55"/>
  <c r="BH219" i="55"/>
  <c r="BH220" i="55"/>
  <c r="BH221" i="55"/>
  <c r="DV221" i="55" s="1"/>
  <c r="BH222" i="55"/>
  <c r="BH223" i="55"/>
  <c r="BZ223" i="55" s="1"/>
  <c r="BH224" i="55"/>
  <c r="BH225" i="55"/>
  <c r="BH226" i="55"/>
  <c r="BH227" i="55"/>
  <c r="BR227" i="55" s="1"/>
  <c r="BH228" i="55"/>
  <c r="BH229" i="55"/>
  <c r="BH230" i="55"/>
  <c r="BH231" i="55"/>
  <c r="BH232" i="55"/>
  <c r="BH233" i="55"/>
  <c r="BH234" i="55"/>
  <c r="BH235" i="55"/>
  <c r="BH236" i="55"/>
  <c r="BH237" i="55"/>
  <c r="BH238" i="55"/>
  <c r="BH239" i="55"/>
  <c r="BZ239" i="55" s="1"/>
  <c r="BH240" i="55"/>
  <c r="BH241" i="55"/>
  <c r="DV241" i="55" s="1"/>
  <c r="BH242" i="55"/>
  <c r="BZ242" i="55" s="1"/>
  <c r="BH243" i="55"/>
  <c r="BH244" i="55"/>
  <c r="BH245" i="55"/>
  <c r="BH246" i="55"/>
  <c r="BH247" i="55"/>
  <c r="BH248" i="55"/>
  <c r="BH249" i="55"/>
  <c r="BH250" i="55"/>
  <c r="BZ250" i="55" s="1"/>
  <c r="BH251" i="55"/>
  <c r="BH252" i="55"/>
  <c r="BH253" i="55"/>
  <c r="BH254" i="55"/>
  <c r="BH255" i="55"/>
  <c r="BZ255" i="55" s="1"/>
  <c r="BH256" i="55"/>
  <c r="BZ256" i="55" s="1"/>
  <c r="BH257" i="55"/>
  <c r="BH258" i="55"/>
  <c r="BZ258" i="55" s="1"/>
  <c r="BH259" i="55"/>
  <c r="DV259" i="55" s="1"/>
  <c r="BH260" i="55"/>
  <c r="BH261" i="55"/>
  <c r="BH262" i="55"/>
  <c r="BH263" i="55"/>
  <c r="BH264" i="55"/>
  <c r="BH265" i="55"/>
  <c r="BH266" i="55"/>
  <c r="BH267" i="55"/>
  <c r="BH268" i="55"/>
  <c r="BP268" i="55" s="1"/>
  <c r="BH269" i="55"/>
  <c r="BH270" i="55"/>
  <c r="BR270" i="55" s="1"/>
  <c r="BH271" i="55"/>
  <c r="DV271" i="55" s="1"/>
  <c r="BH272" i="55"/>
  <c r="BZ272" i="55" s="1"/>
  <c r="BH273" i="55"/>
  <c r="BH274" i="55"/>
  <c r="BZ274" i="55" s="1"/>
  <c r="BH275" i="55"/>
  <c r="BZ275" i="55" s="1"/>
  <c r="BH276" i="55"/>
  <c r="BH277" i="55"/>
  <c r="BH278" i="55"/>
  <c r="BH279" i="55"/>
  <c r="BH280" i="55"/>
  <c r="BH281" i="55"/>
  <c r="BH282" i="55"/>
  <c r="BH283" i="55"/>
  <c r="BH284" i="55"/>
  <c r="BH285" i="55"/>
  <c r="BH286" i="55"/>
  <c r="BH287" i="55"/>
  <c r="BH288" i="55"/>
  <c r="BH289" i="55"/>
  <c r="BH290" i="55"/>
  <c r="DV290" i="55" s="1"/>
  <c r="BH291" i="55"/>
  <c r="BH292" i="55"/>
  <c r="BH293" i="55"/>
  <c r="BH294" i="55"/>
  <c r="BH295" i="55"/>
  <c r="BH296" i="55"/>
  <c r="BH297" i="55"/>
  <c r="BH298" i="55"/>
  <c r="BH299" i="55"/>
  <c r="DV299" i="55" s="1"/>
  <c r="BH300" i="55"/>
  <c r="BH301" i="55"/>
  <c r="BZ301" i="55" s="1"/>
  <c r="BH302" i="55"/>
  <c r="BR302" i="55" s="1"/>
  <c r="BH303" i="55"/>
  <c r="BH304" i="55"/>
  <c r="BH305" i="55"/>
  <c r="BH306" i="55"/>
  <c r="BH307" i="55"/>
  <c r="BH308" i="55"/>
  <c r="BH309" i="55"/>
  <c r="BH310" i="55"/>
  <c r="BH311" i="55"/>
  <c r="BH312" i="55"/>
  <c r="BZ312" i="55" s="1"/>
  <c r="BH313" i="55"/>
  <c r="DV313" i="55" s="1"/>
  <c r="BH314" i="55"/>
  <c r="BH315" i="55"/>
  <c r="BH316" i="55"/>
  <c r="DV316" i="55" s="1"/>
  <c r="BH317" i="55"/>
  <c r="BH318" i="55"/>
  <c r="BH319" i="55"/>
  <c r="DV319" i="55" s="1"/>
  <c r="BH320" i="55"/>
  <c r="BZ320" i="55" s="1"/>
  <c r="BH321" i="55"/>
  <c r="BH322" i="55"/>
  <c r="BH323" i="55"/>
  <c r="BH324" i="55"/>
  <c r="BH325" i="55"/>
  <c r="BH326" i="55"/>
  <c r="BH327" i="55"/>
  <c r="BH328" i="55"/>
  <c r="BH329" i="55"/>
  <c r="BH330" i="55"/>
  <c r="CZ330" i="55" s="1"/>
  <c r="BH331" i="55"/>
  <c r="BH332" i="55"/>
  <c r="BH333" i="55"/>
  <c r="BH334" i="55"/>
  <c r="BH335" i="55"/>
  <c r="BZ335" i="55" s="1"/>
  <c r="BH336" i="55"/>
  <c r="BZ336" i="55" s="1"/>
  <c r="BH337" i="55"/>
  <c r="BR337" i="55" s="1"/>
  <c r="BH338" i="55"/>
  <c r="BZ338" i="55" s="1"/>
  <c r="BH339" i="55"/>
  <c r="BP339" i="55" s="1"/>
  <c r="BH340" i="55"/>
  <c r="BH341" i="55"/>
  <c r="BH342" i="55"/>
  <c r="BH343" i="55"/>
  <c r="BH344" i="55"/>
  <c r="BH345" i="55"/>
  <c r="BH346" i="55"/>
  <c r="BH347" i="55"/>
  <c r="BH348" i="55"/>
  <c r="BH349" i="55"/>
  <c r="BH350" i="55"/>
  <c r="BH351" i="55"/>
  <c r="BH352" i="55"/>
  <c r="BZ352" i="55" s="1"/>
  <c r="BG3" i="55"/>
  <c r="BG4" i="55"/>
  <c r="BG5" i="55"/>
  <c r="BG6" i="55"/>
  <c r="BG7" i="55"/>
  <c r="BG8" i="55"/>
  <c r="BG9" i="55"/>
  <c r="BG10" i="55"/>
  <c r="BG11" i="55"/>
  <c r="BG12" i="55"/>
  <c r="BG13" i="55"/>
  <c r="BG14" i="55"/>
  <c r="BG15" i="55"/>
  <c r="BG16" i="55"/>
  <c r="BG17" i="55"/>
  <c r="BG18" i="55"/>
  <c r="BG19" i="55"/>
  <c r="BG20" i="55"/>
  <c r="BG21" i="55"/>
  <c r="BG22" i="55"/>
  <c r="BG23" i="55"/>
  <c r="BG24" i="55"/>
  <c r="BG26" i="55"/>
  <c r="BG27" i="55"/>
  <c r="BG28" i="55"/>
  <c r="BG29" i="55"/>
  <c r="BG30" i="55"/>
  <c r="BG31" i="55"/>
  <c r="BG32" i="55"/>
  <c r="BG33" i="55"/>
  <c r="BG34" i="55"/>
  <c r="BG35" i="55"/>
  <c r="BG36" i="55"/>
  <c r="BG37" i="55"/>
  <c r="BG38" i="55"/>
  <c r="BG39" i="55"/>
  <c r="BG40" i="55"/>
  <c r="BG41" i="55"/>
  <c r="BG42" i="55"/>
  <c r="BG43" i="55"/>
  <c r="BG44" i="55"/>
  <c r="BG45" i="55"/>
  <c r="BG46" i="55"/>
  <c r="BG47" i="55"/>
  <c r="BG48" i="55"/>
  <c r="BG49" i="55"/>
  <c r="BG50" i="55"/>
  <c r="BG51" i="55"/>
  <c r="BG52" i="55"/>
  <c r="BG53" i="55"/>
  <c r="BG54" i="55"/>
  <c r="BG55" i="55"/>
  <c r="BG56" i="55"/>
  <c r="BG57" i="55"/>
  <c r="BG58" i="55"/>
  <c r="BG59" i="55"/>
  <c r="BG60" i="55"/>
  <c r="BG61" i="55"/>
  <c r="BG62" i="55"/>
  <c r="BG63" i="55"/>
  <c r="BG64" i="55"/>
  <c r="BG65" i="55"/>
  <c r="BG66" i="55"/>
  <c r="BG67" i="55"/>
  <c r="BG68" i="55"/>
  <c r="BG69" i="55"/>
  <c r="BG70" i="55"/>
  <c r="BG71" i="55"/>
  <c r="BG72" i="55"/>
  <c r="BG73" i="55"/>
  <c r="BG74" i="55"/>
  <c r="BG75" i="55"/>
  <c r="BG76" i="55"/>
  <c r="BG77" i="55"/>
  <c r="BG78" i="55"/>
  <c r="BG79" i="55"/>
  <c r="BG80" i="55"/>
  <c r="BG81" i="55"/>
  <c r="BG82" i="55"/>
  <c r="BG83" i="55"/>
  <c r="BG84" i="55"/>
  <c r="BG85" i="55"/>
  <c r="BG86" i="55"/>
  <c r="BG87" i="55"/>
  <c r="BG88" i="55"/>
  <c r="BG89" i="55"/>
  <c r="BG90" i="55"/>
  <c r="BG91" i="55"/>
  <c r="BG92" i="55"/>
  <c r="BG93" i="55"/>
  <c r="BG94" i="55"/>
  <c r="BG95" i="55"/>
  <c r="BG96" i="55"/>
  <c r="BG97" i="55"/>
  <c r="BG98" i="55"/>
  <c r="BG99" i="55"/>
  <c r="BG100" i="55"/>
  <c r="BG101" i="55"/>
  <c r="BG102" i="55"/>
  <c r="BG103" i="55"/>
  <c r="BG104" i="55"/>
  <c r="BG105" i="55"/>
  <c r="BG106" i="55"/>
  <c r="BG107" i="55"/>
  <c r="BG108" i="55"/>
  <c r="BG109" i="55"/>
  <c r="BG110" i="55"/>
  <c r="BG111" i="55"/>
  <c r="BG112" i="55"/>
  <c r="BG113" i="55"/>
  <c r="BG114" i="55"/>
  <c r="BG115" i="55"/>
  <c r="BG116" i="55"/>
  <c r="BG117" i="55"/>
  <c r="BG118" i="55"/>
  <c r="BG119" i="55"/>
  <c r="BG120" i="55"/>
  <c r="BG121" i="55"/>
  <c r="BG122" i="55"/>
  <c r="BG123" i="55"/>
  <c r="BG124" i="55"/>
  <c r="BG125" i="55"/>
  <c r="BG126" i="55"/>
  <c r="BG127" i="55"/>
  <c r="BG128" i="55"/>
  <c r="BG129" i="55"/>
  <c r="BG130" i="55"/>
  <c r="BG131" i="55"/>
  <c r="BG132" i="55"/>
  <c r="BG133" i="55"/>
  <c r="BG134" i="55"/>
  <c r="BG135" i="55"/>
  <c r="BG136" i="55"/>
  <c r="BG137" i="55"/>
  <c r="BG138" i="55"/>
  <c r="BG139" i="55"/>
  <c r="BG140" i="55"/>
  <c r="BG141" i="55"/>
  <c r="BG142" i="55"/>
  <c r="BG143" i="55"/>
  <c r="BG144" i="55"/>
  <c r="BG145" i="55"/>
  <c r="BG146" i="55"/>
  <c r="BG147" i="55"/>
  <c r="BG148" i="55"/>
  <c r="BG149" i="55"/>
  <c r="BG150" i="55"/>
  <c r="BG151" i="55"/>
  <c r="BG152" i="55"/>
  <c r="BG153" i="55"/>
  <c r="BG154" i="55"/>
  <c r="BG155" i="55"/>
  <c r="BG156" i="55"/>
  <c r="BG157" i="55"/>
  <c r="BG158" i="55"/>
  <c r="BG159" i="55"/>
  <c r="BG160" i="55"/>
  <c r="BG161" i="55"/>
  <c r="BG162" i="55"/>
  <c r="BG163" i="55"/>
  <c r="BG164" i="55"/>
  <c r="BG165" i="55"/>
  <c r="BG166" i="55"/>
  <c r="BG167" i="55"/>
  <c r="BG168" i="55"/>
  <c r="BG169" i="55"/>
  <c r="BG170" i="55"/>
  <c r="BG171" i="55"/>
  <c r="BG172" i="55"/>
  <c r="BG173" i="55"/>
  <c r="BG174" i="55"/>
  <c r="BG175" i="55"/>
  <c r="BG176" i="55"/>
  <c r="BG177" i="55"/>
  <c r="BG178" i="55"/>
  <c r="BG179" i="55"/>
  <c r="BG180" i="55"/>
  <c r="BG181" i="55"/>
  <c r="BG182" i="55"/>
  <c r="BG183" i="55"/>
  <c r="BG184" i="55"/>
  <c r="BG185" i="55"/>
  <c r="BG186" i="55"/>
  <c r="BG187" i="55"/>
  <c r="BG188" i="55"/>
  <c r="BG189" i="55"/>
  <c r="BG190" i="55"/>
  <c r="BG191" i="55"/>
  <c r="BG192" i="55"/>
  <c r="BG193" i="55"/>
  <c r="BG194" i="55"/>
  <c r="BG195" i="55"/>
  <c r="BG196" i="55"/>
  <c r="BG197" i="55"/>
  <c r="BG198" i="55"/>
  <c r="BG199" i="55"/>
  <c r="BG200" i="55"/>
  <c r="BG201" i="55"/>
  <c r="BG202" i="55"/>
  <c r="BG203" i="55"/>
  <c r="BG204" i="55"/>
  <c r="BG205" i="55"/>
  <c r="BG206" i="55"/>
  <c r="BG207" i="55"/>
  <c r="BG208" i="55"/>
  <c r="BG209" i="55"/>
  <c r="BG210" i="55"/>
  <c r="BG211" i="55"/>
  <c r="BG212" i="55"/>
  <c r="BG213" i="55"/>
  <c r="BG214" i="55"/>
  <c r="BG215" i="55"/>
  <c r="BG216" i="55"/>
  <c r="BG217" i="55"/>
  <c r="BG218" i="55"/>
  <c r="BG219" i="55"/>
  <c r="BG220" i="55"/>
  <c r="BG221" i="55"/>
  <c r="BG222" i="55"/>
  <c r="BG223" i="55"/>
  <c r="BG224" i="55"/>
  <c r="BG225" i="55"/>
  <c r="BG226" i="55"/>
  <c r="BG227" i="55"/>
  <c r="BG228" i="55"/>
  <c r="BG229" i="55"/>
  <c r="BG230" i="55"/>
  <c r="BG231" i="55"/>
  <c r="BG232" i="55"/>
  <c r="BG233" i="55"/>
  <c r="BG234" i="55"/>
  <c r="BG235" i="55"/>
  <c r="BG236" i="55"/>
  <c r="BG237" i="55"/>
  <c r="BG238" i="55"/>
  <c r="BG239" i="55"/>
  <c r="BG240" i="55"/>
  <c r="BG241" i="55"/>
  <c r="BG242" i="55"/>
  <c r="BG243" i="55"/>
  <c r="BG244" i="55"/>
  <c r="BG245" i="55"/>
  <c r="BG246" i="55"/>
  <c r="BG247" i="55"/>
  <c r="BG248" i="55"/>
  <c r="BG249" i="55"/>
  <c r="BG250" i="55"/>
  <c r="BG251" i="55"/>
  <c r="BG252" i="55"/>
  <c r="BG253" i="55"/>
  <c r="BG254" i="55"/>
  <c r="BG255" i="55"/>
  <c r="BG256" i="55"/>
  <c r="BG257" i="55"/>
  <c r="BG258" i="55"/>
  <c r="BG259" i="55"/>
  <c r="BG260" i="55"/>
  <c r="BG261" i="55"/>
  <c r="BG262" i="55"/>
  <c r="BG263" i="55"/>
  <c r="BG264" i="55"/>
  <c r="BG265" i="55"/>
  <c r="BG266" i="55"/>
  <c r="BG267" i="55"/>
  <c r="BG268" i="55"/>
  <c r="BG269" i="55"/>
  <c r="BG270" i="55"/>
  <c r="BG271" i="55"/>
  <c r="BG272" i="55"/>
  <c r="BG273" i="55"/>
  <c r="BG274" i="55"/>
  <c r="BG275" i="55"/>
  <c r="BG276" i="55"/>
  <c r="BG277" i="55"/>
  <c r="BG278" i="55"/>
  <c r="BG279" i="55"/>
  <c r="BG280" i="55"/>
  <c r="BG281" i="55"/>
  <c r="BG282" i="55"/>
  <c r="BG283" i="55"/>
  <c r="BG284" i="55"/>
  <c r="BG285" i="55"/>
  <c r="BG286" i="55"/>
  <c r="BG287" i="55"/>
  <c r="BG288" i="55"/>
  <c r="BG289" i="55"/>
  <c r="BG290" i="55"/>
  <c r="BG291" i="55"/>
  <c r="BG292" i="55"/>
  <c r="BG293" i="55"/>
  <c r="BG294" i="55"/>
  <c r="BG295" i="55"/>
  <c r="BG296" i="55"/>
  <c r="BG297" i="55"/>
  <c r="BG298" i="55"/>
  <c r="BG299" i="55"/>
  <c r="BG300" i="55"/>
  <c r="BG301" i="55"/>
  <c r="BG302" i="55"/>
  <c r="BG303" i="55"/>
  <c r="BG304" i="55"/>
  <c r="BG305" i="55"/>
  <c r="BG306" i="55"/>
  <c r="BG307" i="55"/>
  <c r="BG308" i="55"/>
  <c r="BG309" i="55"/>
  <c r="BG310" i="55"/>
  <c r="BG311" i="55"/>
  <c r="BG312" i="55"/>
  <c r="BG313" i="55"/>
  <c r="BG314" i="55"/>
  <c r="BG315" i="55"/>
  <c r="BG316" i="55"/>
  <c r="BG317" i="55"/>
  <c r="BG318" i="55"/>
  <c r="BG319" i="55"/>
  <c r="BG320" i="55"/>
  <c r="BG321" i="55"/>
  <c r="BG322" i="55"/>
  <c r="BG323" i="55"/>
  <c r="BG324" i="55"/>
  <c r="BG325" i="55"/>
  <c r="BG326" i="55"/>
  <c r="BG327" i="55"/>
  <c r="BG328" i="55"/>
  <c r="BG329" i="55"/>
  <c r="BG330" i="55"/>
  <c r="BG331" i="55"/>
  <c r="BG332" i="55"/>
  <c r="BG333" i="55"/>
  <c r="BG334" i="55"/>
  <c r="BG335" i="55"/>
  <c r="BG336" i="55"/>
  <c r="BG337" i="55"/>
  <c r="BG338" i="55"/>
  <c r="BG339" i="55"/>
  <c r="BG340" i="55"/>
  <c r="BG341" i="55"/>
  <c r="BG342" i="55"/>
  <c r="BG343" i="55"/>
  <c r="BG344" i="55"/>
  <c r="BG345" i="55"/>
  <c r="BG346" i="55"/>
  <c r="BG347" i="55"/>
  <c r="BG348" i="55"/>
  <c r="BG349" i="55"/>
  <c r="BG350" i="55"/>
  <c r="BG351" i="55"/>
  <c r="BG352" i="55"/>
  <c r="BF31" i="55"/>
  <c r="DT31" i="55" s="1"/>
  <c r="BF37" i="55"/>
  <c r="DT37" i="55" s="1"/>
  <c r="BF38" i="55"/>
  <c r="DT38" i="55" s="1"/>
  <c r="BF69" i="55"/>
  <c r="DT69" i="55" s="1"/>
  <c r="BF70" i="55"/>
  <c r="DT70" i="55" s="1"/>
  <c r="BF81" i="55"/>
  <c r="DT81" i="55" s="1"/>
  <c r="BF117" i="55"/>
  <c r="DT117" i="55" s="1"/>
  <c r="BF140" i="55"/>
  <c r="DT140" i="55" s="1"/>
  <c r="BF150" i="55"/>
  <c r="DT150" i="55" s="1"/>
  <c r="BF181" i="55"/>
  <c r="DT181" i="55" s="1"/>
  <c r="BF193" i="55"/>
  <c r="DT193" i="55" s="1"/>
  <c r="BF213" i="55"/>
  <c r="DT213" i="55" s="1"/>
  <c r="BF230" i="55"/>
  <c r="DT230" i="55" s="1"/>
  <c r="BF293" i="55"/>
  <c r="DT293" i="55" s="1"/>
  <c r="BF299" i="55"/>
  <c r="DT299" i="55" s="1"/>
  <c r="BF305" i="55"/>
  <c r="DT305" i="55" s="1"/>
  <c r="BF320" i="55"/>
  <c r="DT320" i="55" s="1"/>
  <c r="BF340" i="55"/>
  <c r="DT340" i="55" s="1"/>
  <c r="BF341" i="55"/>
  <c r="DT341" i="55" s="1"/>
  <c r="BE28" i="55"/>
  <c r="C28" i="55" s="1"/>
  <c r="BE46" i="55"/>
  <c r="BE176" i="55"/>
  <c r="C176" i="55" s="1"/>
  <c r="BE192" i="55"/>
  <c r="C192" i="55" s="1"/>
  <c r="BE203" i="55"/>
  <c r="C203" i="55" s="1"/>
  <c r="BE258" i="55"/>
  <c r="BE288" i="55"/>
  <c r="C288" i="55" s="1"/>
  <c r="BE326" i="55"/>
  <c r="BE352" i="55"/>
  <c r="C352" i="55" s="1"/>
  <c r="BD3" i="55"/>
  <c r="BE3" i="55" s="1"/>
  <c r="C3" i="55" s="1"/>
  <c r="BD4" i="55"/>
  <c r="BD5" i="55"/>
  <c r="BD6" i="55"/>
  <c r="BD7" i="55"/>
  <c r="BD8" i="55"/>
  <c r="BD9" i="55"/>
  <c r="BD10" i="55"/>
  <c r="BD11" i="55"/>
  <c r="BE11" i="55" s="1"/>
  <c r="C11" i="55" s="1"/>
  <c r="BD12" i="55"/>
  <c r="BE12" i="55" s="1"/>
  <c r="BD13" i="55"/>
  <c r="BD14" i="55"/>
  <c r="BD15" i="55"/>
  <c r="BD16" i="55"/>
  <c r="BD17" i="55"/>
  <c r="BD18" i="55"/>
  <c r="BD19" i="55"/>
  <c r="BD20" i="55"/>
  <c r="BE20" i="55" s="1"/>
  <c r="BD21" i="55"/>
  <c r="BD22" i="55"/>
  <c r="BD23" i="55"/>
  <c r="BE23" i="55" s="1"/>
  <c r="BD24" i="55"/>
  <c r="BD25" i="55"/>
  <c r="BE25" i="55" s="1"/>
  <c r="BD26" i="55"/>
  <c r="BD27" i="55"/>
  <c r="BD28" i="55"/>
  <c r="BD29" i="55"/>
  <c r="BD30" i="55"/>
  <c r="BD31" i="55"/>
  <c r="BD32" i="55"/>
  <c r="C32" i="55" s="1"/>
  <c r="BD33" i="55"/>
  <c r="C33" i="55" s="1"/>
  <c r="BD34" i="55"/>
  <c r="C34" i="55" s="1"/>
  <c r="BD35" i="55"/>
  <c r="C35" i="55" s="1"/>
  <c r="BD36" i="55"/>
  <c r="C36" i="55" s="1"/>
  <c r="BD37" i="55"/>
  <c r="BD38" i="55"/>
  <c r="BD39" i="55"/>
  <c r="BD40" i="55"/>
  <c r="BD41" i="55"/>
  <c r="DY41" i="55" s="1"/>
  <c r="BD42" i="55"/>
  <c r="BE42" i="55" s="1"/>
  <c r="BD43" i="55"/>
  <c r="DY43" i="55" s="1"/>
  <c r="BD44" i="55"/>
  <c r="DY44" i="55" s="1"/>
  <c r="BD45" i="55"/>
  <c r="BE45" i="55" s="1"/>
  <c r="BD46" i="55"/>
  <c r="BD47" i="55"/>
  <c r="BE47" i="55" s="1"/>
  <c r="BD48" i="55"/>
  <c r="BE48" i="55" s="1"/>
  <c r="BD49" i="55"/>
  <c r="BD50" i="55"/>
  <c r="BD51" i="55"/>
  <c r="BE51" i="55" s="1"/>
  <c r="BD52" i="55"/>
  <c r="C52" i="55" s="1"/>
  <c r="BD53" i="55"/>
  <c r="BD54" i="55"/>
  <c r="BD55" i="55"/>
  <c r="BE55" i="55" s="1"/>
  <c r="BD56" i="55"/>
  <c r="BD57" i="55"/>
  <c r="BD58" i="55"/>
  <c r="BD59" i="55"/>
  <c r="BD60" i="55"/>
  <c r="BD61" i="55"/>
  <c r="DY61" i="55" s="1"/>
  <c r="BD62" i="55"/>
  <c r="BD63" i="55"/>
  <c r="BD64" i="55"/>
  <c r="BD65" i="55"/>
  <c r="BE65" i="55" s="1"/>
  <c r="BD66" i="55"/>
  <c r="BD67" i="55"/>
  <c r="BD68" i="55"/>
  <c r="BD69" i="55"/>
  <c r="BD70" i="55"/>
  <c r="BD71" i="55"/>
  <c r="BD72" i="55"/>
  <c r="BD73" i="55"/>
  <c r="BD74" i="55"/>
  <c r="BD75" i="55"/>
  <c r="BD76" i="55"/>
  <c r="BD77" i="55"/>
  <c r="BE77" i="55" s="1"/>
  <c r="C77" i="55" s="1"/>
  <c r="BD78" i="55"/>
  <c r="BD79" i="55"/>
  <c r="BD80" i="55"/>
  <c r="BD81" i="55"/>
  <c r="BD82" i="55"/>
  <c r="BD83" i="55"/>
  <c r="BD84" i="55"/>
  <c r="BD85" i="55"/>
  <c r="BD86" i="55"/>
  <c r="BD87" i="55"/>
  <c r="BD88" i="55"/>
  <c r="BD89" i="55"/>
  <c r="BD90" i="55"/>
  <c r="BD91" i="55"/>
  <c r="BD92" i="55"/>
  <c r="BD93" i="55"/>
  <c r="BE93" i="55" s="1"/>
  <c r="C93" i="55" s="1"/>
  <c r="BD94" i="55"/>
  <c r="BD95" i="55"/>
  <c r="BD96" i="55"/>
  <c r="BE96" i="55" s="1"/>
  <c r="BD97" i="55"/>
  <c r="BE97" i="55" s="1"/>
  <c r="BD98" i="55"/>
  <c r="BD99" i="55"/>
  <c r="BE99" i="55" s="1"/>
  <c r="C99" i="55" s="1"/>
  <c r="BD100" i="55"/>
  <c r="BD101" i="55"/>
  <c r="BD102" i="55"/>
  <c r="BD103" i="55"/>
  <c r="BE103" i="55" s="1"/>
  <c r="BD104" i="55"/>
  <c r="BD105" i="55"/>
  <c r="DY105" i="55" s="1"/>
  <c r="BD106" i="55"/>
  <c r="BD107" i="55"/>
  <c r="DY107" i="55" s="1"/>
  <c r="BD108" i="55"/>
  <c r="BD109" i="55"/>
  <c r="BD110" i="55"/>
  <c r="DR110" i="55" s="1"/>
  <c r="BD111" i="55"/>
  <c r="BD112" i="55"/>
  <c r="BD113" i="55"/>
  <c r="BD114" i="55"/>
  <c r="BD115" i="55"/>
  <c r="BD116" i="55"/>
  <c r="BD117" i="55"/>
  <c r="BD118" i="55"/>
  <c r="BD119" i="55"/>
  <c r="BD120" i="55"/>
  <c r="BD121" i="55"/>
  <c r="BD122" i="55"/>
  <c r="BD123" i="55"/>
  <c r="BD124" i="55"/>
  <c r="BD125" i="55"/>
  <c r="BE125" i="55" s="1"/>
  <c r="C125" i="55" s="1"/>
  <c r="BD126" i="55"/>
  <c r="BD127" i="55"/>
  <c r="BD128" i="55"/>
  <c r="DY128" i="55" s="1"/>
  <c r="BD129" i="55"/>
  <c r="C129" i="55" s="1"/>
  <c r="BD130" i="55"/>
  <c r="BD131" i="55"/>
  <c r="BD132" i="55"/>
  <c r="BD133" i="55"/>
  <c r="BD134" i="55"/>
  <c r="BD135" i="55"/>
  <c r="BD136" i="55"/>
  <c r="BD137" i="55"/>
  <c r="BD138" i="55"/>
  <c r="DR138" i="55" s="1"/>
  <c r="BD139" i="55"/>
  <c r="BE139" i="55" s="1"/>
  <c r="C139" i="55" s="1"/>
  <c r="BD140" i="55"/>
  <c r="BD141" i="55"/>
  <c r="BE141" i="55" s="1"/>
  <c r="C141" i="55" s="1"/>
  <c r="BD142" i="55"/>
  <c r="BD143" i="55"/>
  <c r="BD144" i="55"/>
  <c r="BE144" i="55" s="1"/>
  <c r="BD145" i="55"/>
  <c r="BE145" i="55" s="1"/>
  <c r="BD146" i="55"/>
  <c r="BE146" i="55" s="1"/>
  <c r="C146" i="55" s="1"/>
  <c r="BD147" i="55"/>
  <c r="BE147" i="55" s="1"/>
  <c r="C147" i="55" s="1"/>
  <c r="BD148" i="55"/>
  <c r="BD149" i="55"/>
  <c r="BD150" i="55"/>
  <c r="BD151" i="55"/>
  <c r="BD152" i="55"/>
  <c r="BD153" i="55"/>
  <c r="BD154" i="55"/>
  <c r="BD155" i="55"/>
  <c r="BD156" i="55"/>
  <c r="BD157" i="55"/>
  <c r="BD158" i="55"/>
  <c r="BD159" i="55"/>
  <c r="BD160" i="55"/>
  <c r="BE160" i="55" s="1"/>
  <c r="BD161" i="55"/>
  <c r="BE161" i="55" s="1"/>
  <c r="BD162" i="55"/>
  <c r="BD163" i="55"/>
  <c r="DR163" i="55" s="1"/>
  <c r="BD164" i="55"/>
  <c r="BD165" i="55"/>
  <c r="BD166" i="55"/>
  <c r="BD167" i="55"/>
  <c r="BD168" i="55"/>
  <c r="BD169" i="55"/>
  <c r="BD170" i="55"/>
  <c r="BD171" i="55"/>
  <c r="BD172" i="55"/>
  <c r="BD173" i="55"/>
  <c r="BD174" i="55"/>
  <c r="BD175" i="55"/>
  <c r="DY175" i="55" s="1"/>
  <c r="BD176" i="55"/>
  <c r="BD177" i="55"/>
  <c r="DR177" i="55" s="1"/>
  <c r="BD178" i="55"/>
  <c r="BD179" i="55"/>
  <c r="BD180" i="55"/>
  <c r="BD181" i="55"/>
  <c r="BD182" i="55"/>
  <c r="BD183" i="55"/>
  <c r="BD184" i="55"/>
  <c r="BD185" i="55"/>
  <c r="BD186" i="55"/>
  <c r="BD187" i="55"/>
  <c r="BE187" i="55" s="1"/>
  <c r="C187" i="55" s="1"/>
  <c r="BD188" i="55"/>
  <c r="BD189" i="55"/>
  <c r="BD190" i="55"/>
  <c r="BD191" i="55"/>
  <c r="BD192" i="55"/>
  <c r="BD193" i="55"/>
  <c r="BD194" i="55"/>
  <c r="BD195" i="55"/>
  <c r="DR195" i="55" s="1"/>
  <c r="BD196" i="55"/>
  <c r="BD197" i="55"/>
  <c r="BD198" i="55"/>
  <c r="BD199" i="55"/>
  <c r="BD200" i="55"/>
  <c r="BD201" i="55"/>
  <c r="BD202" i="55"/>
  <c r="BD203" i="55"/>
  <c r="BD204" i="55"/>
  <c r="BD205" i="55"/>
  <c r="BD206" i="55"/>
  <c r="BE206" i="55" s="1"/>
  <c r="C206" i="55" s="1"/>
  <c r="BD207" i="55"/>
  <c r="BD208" i="55"/>
  <c r="BE208" i="55" s="1"/>
  <c r="C208" i="55" s="1"/>
  <c r="BD209" i="55"/>
  <c r="BE209" i="55" s="1"/>
  <c r="BD210" i="55"/>
  <c r="BD211" i="55"/>
  <c r="BD212" i="55"/>
  <c r="BD213" i="55"/>
  <c r="BD214" i="55"/>
  <c r="BD215" i="55"/>
  <c r="BD216" i="55"/>
  <c r="BD217" i="55"/>
  <c r="BD218" i="55"/>
  <c r="BD219" i="55"/>
  <c r="BD220" i="55"/>
  <c r="BD221" i="55"/>
  <c r="BD222" i="55"/>
  <c r="BD223" i="55"/>
  <c r="BD224" i="55"/>
  <c r="BD225" i="55"/>
  <c r="BD226" i="55"/>
  <c r="BD227" i="55"/>
  <c r="BD228" i="55"/>
  <c r="BD229" i="55"/>
  <c r="BD230" i="55"/>
  <c r="BD231" i="55"/>
  <c r="BD232" i="55"/>
  <c r="BD233" i="55"/>
  <c r="DY233" i="55" s="1"/>
  <c r="BD234" i="55"/>
  <c r="BD235" i="55"/>
  <c r="BD236" i="55"/>
  <c r="BD237" i="55"/>
  <c r="BD238" i="55"/>
  <c r="BD239" i="55"/>
  <c r="BD240" i="55"/>
  <c r="BE240" i="55" s="1"/>
  <c r="BD241" i="55"/>
  <c r="BE241" i="55" s="1"/>
  <c r="BD242" i="55"/>
  <c r="BE242" i="55" s="1"/>
  <c r="BD243" i="55"/>
  <c r="BE243" i="55" s="1"/>
  <c r="BD244" i="55"/>
  <c r="BE244" i="55" s="1"/>
  <c r="C244" i="55" s="1"/>
  <c r="BD245" i="55"/>
  <c r="BD246" i="55"/>
  <c r="BD247" i="55"/>
  <c r="BD248" i="55"/>
  <c r="BD249" i="55"/>
  <c r="BD250" i="55"/>
  <c r="BD251" i="55"/>
  <c r="BD252" i="55"/>
  <c r="BD253" i="55"/>
  <c r="BD254" i="55"/>
  <c r="BD255" i="55"/>
  <c r="BD256" i="55"/>
  <c r="BD257" i="55"/>
  <c r="BD258" i="55"/>
  <c r="BD259" i="55"/>
  <c r="BD260" i="55"/>
  <c r="BD261" i="55"/>
  <c r="BD262" i="55"/>
  <c r="BD263" i="55"/>
  <c r="BD264" i="55"/>
  <c r="BD265" i="55"/>
  <c r="BD266" i="55"/>
  <c r="DR266" i="55" s="1"/>
  <c r="BD267" i="55"/>
  <c r="BE267" i="55" s="1"/>
  <c r="C267" i="55" s="1"/>
  <c r="BD268" i="55"/>
  <c r="BD269" i="55"/>
  <c r="BD270" i="55"/>
  <c r="BD271" i="55"/>
  <c r="BD272" i="55"/>
  <c r="BD273" i="55"/>
  <c r="BD274" i="55"/>
  <c r="BD275" i="55"/>
  <c r="BD276" i="55"/>
  <c r="BD277" i="55"/>
  <c r="BD278" i="55"/>
  <c r="BD279" i="55"/>
  <c r="BD280" i="55"/>
  <c r="BD281" i="55"/>
  <c r="BD282" i="55"/>
  <c r="BD283" i="55"/>
  <c r="BE283" i="55" s="1"/>
  <c r="C283" i="55" s="1"/>
  <c r="BD284" i="55"/>
  <c r="BD285" i="55"/>
  <c r="BD286" i="55"/>
  <c r="BD287" i="55"/>
  <c r="DR287" i="55" s="1"/>
  <c r="BD288" i="55"/>
  <c r="BD289" i="55"/>
  <c r="BE289" i="55" s="1"/>
  <c r="C289" i="55" s="1"/>
  <c r="BD290" i="55"/>
  <c r="BE290" i="55" s="1"/>
  <c r="BD291" i="55"/>
  <c r="BE291" i="55" s="1"/>
  <c r="C291" i="55" s="1"/>
  <c r="BD292" i="55"/>
  <c r="BD293" i="55"/>
  <c r="BD294" i="55"/>
  <c r="BD295" i="55"/>
  <c r="BD296" i="55"/>
  <c r="BD297" i="55"/>
  <c r="BD298" i="55"/>
  <c r="BD299" i="55"/>
  <c r="BD300" i="55"/>
  <c r="BD301" i="55"/>
  <c r="BD302" i="55"/>
  <c r="BD303" i="55"/>
  <c r="BD304" i="55"/>
  <c r="BD305" i="55"/>
  <c r="BE305" i="55" s="1"/>
  <c r="BD306" i="55"/>
  <c r="BD307" i="55"/>
  <c r="BD308" i="55"/>
  <c r="BD309" i="55"/>
  <c r="BD310" i="55"/>
  <c r="BD311" i="55"/>
  <c r="BD312" i="55"/>
  <c r="BD313" i="55"/>
  <c r="BD314" i="55"/>
  <c r="BD315" i="55"/>
  <c r="BD316" i="55"/>
  <c r="BD317" i="55"/>
  <c r="BD318" i="55"/>
  <c r="BD319" i="55"/>
  <c r="BD320" i="55"/>
  <c r="BD321" i="55"/>
  <c r="BD322" i="55"/>
  <c r="BD323" i="55"/>
  <c r="BD324" i="55"/>
  <c r="BD325" i="55"/>
  <c r="BD326" i="55"/>
  <c r="BD327" i="55"/>
  <c r="BD328" i="55"/>
  <c r="BD329" i="55"/>
  <c r="BD330" i="55"/>
  <c r="BD331" i="55"/>
  <c r="BD332" i="55"/>
  <c r="BD333" i="55"/>
  <c r="BD334" i="55"/>
  <c r="BE334" i="55" s="1"/>
  <c r="C334" i="55" s="1"/>
  <c r="BD335" i="55"/>
  <c r="BE335" i="55" s="1"/>
  <c r="C335" i="55" s="1"/>
  <c r="BD336" i="55"/>
  <c r="BE336" i="55" s="1"/>
  <c r="C336" i="55" s="1"/>
  <c r="BD337" i="55"/>
  <c r="BE337" i="55" s="1"/>
  <c r="BD338" i="55"/>
  <c r="BD339" i="55"/>
  <c r="BD340" i="55"/>
  <c r="BD341" i="55"/>
  <c r="BD342" i="55"/>
  <c r="BD343" i="55"/>
  <c r="BD344" i="55"/>
  <c r="BD345" i="55"/>
  <c r="DY345" i="55" s="1"/>
  <c r="BD346" i="55"/>
  <c r="BD347" i="55"/>
  <c r="BD348" i="55"/>
  <c r="BD349" i="55"/>
  <c r="BD350" i="55"/>
  <c r="BD351" i="55"/>
  <c r="BD352" i="55"/>
  <c r="BC3" i="55"/>
  <c r="BC4" i="55"/>
  <c r="BC5" i="55"/>
  <c r="BC6" i="55"/>
  <c r="BC7" i="55"/>
  <c r="BC8" i="55"/>
  <c r="BC9" i="55"/>
  <c r="BC10" i="55"/>
  <c r="BC11" i="55"/>
  <c r="BC12" i="55"/>
  <c r="BC13" i="55"/>
  <c r="BC14" i="55"/>
  <c r="BE14" i="55" s="1"/>
  <c r="BC15" i="55"/>
  <c r="BC16" i="55"/>
  <c r="BC17" i="55"/>
  <c r="BC18" i="55"/>
  <c r="BC19" i="55"/>
  <c r="BC20" i="55"/>
  <c r="BC21" i="55"/>
  <c r="BC22" i="55"/>
  <c r="BC23" i="55"/>
  <c r="BC24" i="55"/>
  <c r="BC25" i="55"/>
  <c r="BC26" i="55"/>
  <c r="BC27" i="55"/>
  <c r="BC28" i="55"/>
  <c r="BC29" i="55"/>
  <c r="BC30" i="55"/>
  <c r="BC31" i="55"/>
  <c r="BE31" i="55" s="1"/>
  <c r="C31" i="55" s="1"/>
  <c r="BC32" i="55"/>
  <c r="BC33" i="55"/>
  <c r="BC34" i="55"/>
  <c r="BC35" i="55"/>
  <c r="BC36" i="55"/>
  <c r="BC37" i="55"/>
  <c r="BC38" i="55"/>
  <c r="BC39" i="55"/>
  <c r="BC40" i="55"/>
  <c r="BC41" i="55"/>
  <c r="BC42" i="55"/>
  <c r="BC43" i="55"/>
  <c r="BC44" i="55"/>
  <c r="BC45" i="55"/>
  <c r="BC46" i="55"/>
  <c r="BC47" i="55"/>
  <c r="BC48" i="55"/>
  <c r="BC49" i="55"/>
  <c r="BC50" i="55"/>
  <c r="BC51" i="55"/>
  <c r="BC52" i="55"/>
  <c r="BC53" i="55"/>
  <c r="BC54" i="55"/>
  <c r="BC55" i="55"/>
  <c r="BC56" i="55"/>
  <c r="BC57" i="55"/>
  <c r="BC58" i="55"/>
  <c r="BC59" i="55"/>
  <c r="BC60" i="55"/>
  <c r="BC61" i="55"/>
  <c r="BC62" i="55"/>
  <c r="BE62" i="55" s="1"/>
  <c r="C62" i="55" s="1"/>
  <c r="BC63" i="55"/>
  <c r="BE63" i="55" s="1"/>
  <c r="C63" i="55" s="1"/>
  <c r="BC64" i="55"/>
  <c r="BC65" i="55"/>
  <c r="BC66" i="55"/>
  <c r="BC67" i="55"/>
  <c r="BC68" i="55"/>
  <c r="BC69" i="55"/>
  <c r="BC70" i="55"/>
  <c r="BC71" i="55"/>
  <c r="BC72" i="55"/>
  <c r="BC73" i="55"/>
  <c r="BC74" i="55"/>
  <c r="BC75" i="55"/>
  <c r="BC76" i="55"/>
  <c r="BC77" i="55"/>
  <c r="BC78" i="55"/>
  <c r="BE78" i="55" s="1"/>
  <c r="C78" i="55" s="1"/>
  <c r="BC79" i="55"/>
  <c r="BE79" i="55" s="1"/>
  <c r="C79" i="55" s="1"/>
  <c r="BC80" i="55"/>
  <c r="BC81" i="55"/>
  <c r="BC82" i="55"/>
  <c r="BC83" i="55"/>
  <c r="BC84" i="55"/>
  <c r="BC85" i="55"/>
  <c r="BC86" i="55"/>
  <c r="BC87" i="55"/>
  <c r="BC88" i="55"/>
  <c r="BC89" i="55"/>
  <c r="BC90" i="55"/>
  <c r="BC91" i="55"/>
  <c r="BC92" i="55"/>
  <c r="BC93" i="55"/>
  <c r="BC94" i="55"/>
  <c r="BE94" i="55" s="1"/>
  <c r="C94" i="55" s="1"/>
  <c r="BC95" i="55"/>
  <c r="BE95" i="55" s="1"/>
  <c r="C95" i="55" s="1"/>
  <c r="BC96" i="55"/>
  <c r="BC97" i="55"/>
  <c r="BC98" i="55"/>
  <c r="BC99" i="55"/>
  <c r="BC100" i="55"/>
  <c r="BC101" i="55"/>
  <c r="BC102" i="55"/>
  <c r="BC103" i="55"/>
  <c r="BC104" i="55"/>
  <c r="BC105" i="55"/>
  <c r="BC106" i="55"/>
  <c r="BC107" i="55"/>
  <c r="BC108" i="55"/>
  <c r="BC109" i="55"/>
  <c r="BC110" i="55"/>
  <c r="BE110" i="55" s="1"/>
  <c r="C110" i="55" s="1"/>
  <c r="BC111" i="55"/>
  <c r="BE111" i="55" s="1"/>
  <c r="C111" i="55" s="1"/>
  <c r="BC112" i="55"/>
  <c r="BC113" i="55"/>
  <c r="BC114" i="55"/>
  <c r="BC115" i="55"/>
  <c r="BC116" i="55"/>
  <c r="BC117" i="55"/>
  <c r="BC118" i="55"/>
  <c r="BC119" i="55"/>
  <c r="BC120" i="55"/>
  <c r="BC121" i="55"/>
  <c r="BC122" i="55"/>
  <c r="BC123" i="55"/>
  <c r="BC124" i="55"/>
  <c r="BC125" i="55"/>
  <c r="BC126" i="55"/>
  <c r="BE126" i="55" s="1"/>
  <c r="C126" i="55" s="1"/>
  <c r="BC127" i="55"/>
  <c r="BE127" i="55" s="1"/>
  <c r="C127" i="55" s="1"/>
  <c r="BC128" i="55"/>
  <c r="BC129" i="55"/>
  <c r="BC130" i="55"/>
  <c r="BC131" i="55"/>
  <c r="BC132" i="55"/>
  <c r="BC133" i="55"/>
  <c r="BC134" i="55"/>
  <c r="BC135" i="55"/>
  <c r="BC136" i="55"/>
  <c r="BC137" i="55"/>
  <c r="BC138" i="55"/>
  <c r="BC139" i="55"/>
  <c r="BC140" i="55"/>
  <c r="BC141" i="55"/>
  <c r="BC142" i="55"/>
  <c r="BE142" i="55" s="1"/>
  <c r="C142" i="55" s="1"/>
  <c r="BC143" i="55"/>
  <c r="BE143" i="55" s="1"/>
  <c r="C143" i="55" s="1"/>
  <c r="BC144" i="55"/>
  <c r="BC145" i="55"/>
  <c r="BC146" i="55"/>
  <c r="BC147" i="55"/>
  <c r="BC148" i="55"/>
  <c r="BC149" i="55"/>
  <c r="BC150" i="55"/>
  <c r="BC151" i="55"/>
  <c r="BC152" i="55"/>
  <c r="BC153" i="55"/>
  <c r="BC154" i="55"/>
  <c r="BC155" i="55"/>
  <c r="BC156" i="55"/>
  <c r="BC157" i="55"/>
  <c r="BC158" i="55"/>
  <c r="BE158" i="55" s="1"/>
  <c r="C158" i="55" s="1"/>
  <c r="BC159" i="55"/>
  <c r="BE159" i="55" s="1"/>
  <c r="C159" i="55" s="1"/>
  <c r="BC160" i="55"/>
  <c r="BC161" i="55"/>
  <c r="BC162" i="55"/>
  <c r="BC163" i="55"/>
  <c r="BC164" i="55"/>
  <c r="BC165" i="55"/>
  <c r="BC166" i="55"/>
  <c r="BC167" i="55"/>
  <c r="BC168" i="55"/>
  <c r="BC169" i="55"/>
  <c r="BC170" i="55"/>
  <c r="BC171" i="55"/>
  <c r="BC172" i="55"/>
  <c r="BC173" i="55"/>
  <c r="BC174" i="55"/>
  <c r="BE174" i="55" s="1"/>
  <c r="C174" i="55" s="1"/>
  <c r="BC175" i="55"/>
  <c r="BE175" i="55" s="1"/>
  <c r="C175" i="55" s="1"/>
  <c r="BC176" i="55"/>
  <c r="BC177" i="55"/>
  <c r="BC178" i="55"/>
  <c r="BC179" i="55"/>
  <c r="BC180" i="55"/>
  <c r="BC181" i="55"/>
  <c r="BC182" i="55"/>
  <c r="BC183" i="55"/>
  <c r="BC184" i="55"/>
  <c r="BC185" i="55"/>
  <c r="BC186" i="55"/>
  <c r="BC187" i="55"/>
  <c r="BC188" i="55"/>
  <c r="BC189" i="55"/>
  <c r="BC190" i="55"/>
  <c r="BE190" i="55" s="1"/>
  <c r="C190" i="55" s="1"/>
  <c r="BC191" i="55"/>
  <c r="BE191" i="55" s="1"/>
  <c r="C191" i="55" s="1"/>
  <c r="BC192" i="55"/>
  <c r="BC193" i="55"/>
  <c r="BC194" i="55"/>
  <c r="BC195" i="55"/>
  <c r="BC196" i="55"/>
  <c r="BC197" i="55"/>
  <c r="BC198" i="55"/>
  <c r="BC199" i="55"/>
  <c r="BC200" i="55"/>
  <c r="BC201" i="55"/>
  <c r="BC202" i="55"/>
  <c r="BC203" i="55"/>
  <c r="BC204" i="55"/>
  <c r="BC205" i="55"/>
  <c r="BC206" i="55"/>
  <c r="BC207" i="55"/>
  <c r="BE207" i="55" s="1"/>
  <c r="C207" i="55" s="1"/>
  <c r="BC208" i="55"/>
  <c r="BC209" i="55"/>
  <c r="BC210" i="55"/>
  <c r="BC211" i="55"/>
  <c r="BC212" i="55"/>
  <c r="BC213" i="55"/>
  <c r="BE213" i="55" s="1"/>
  <c r="BC214" i="55"/>
  <c r="BE214" i="55" s="1"/>
  <c r="C214" i="55" s="1"/>
  <c r="BC215" i="55"/>
  <c r="BC216" i="55"/>
  <c r="BC217" i="55"/>
  <c r="BC218" i="55"/>
  <c r="BC219" i="55"/>
  <c r="BC220" i="55"/>
  <c r="BC221" i="55"/>
  <c r="BC222" i="55"/>
  <c r="BE222" i="55" s="1"/>
  <c r="C222" i="55" s="1"/>
  <c r="BC223" i="55"/>
  <c r="BE223" i="55" s="1"/>
  <c r="C223" i="55" s="1"/>
  <c r="BC224" i="55"/>
  <c r="BC225" i="55"/>
  <c r="BC226" i="55"/>
  <c r="BC227" i="55"/>
  <c r="BC228" i="55"/>
  <c r="BC229" i="55"/>
  <c r="BC230" i="55"/>
  <c r="BC231" i="55"/>
  <c r="BC232" i="55"/>
  <c r="BC233" i="55"/>
  <c r="BC234" i="55"/>
  <c r="BC235" i="55"/>
  <c r="BC236" i="55"/>
  <c r="BC237" i="55"/>
  <c r="BC238" i="55"/>
  <c r="BE238" i="55" s="1"/>
  <c r="C238" i="55" s="1"/>
  <c r="BC239" i="55"/>
  <c r="BC240" i="55"/>
  <c r="BC241" i="55"/>
  <c r="BC242" i="55"/>
  <c r="BC243" i="55"/>
  <c r="BC244" i="55"/>
  <c r="BC245" i="55"/>
  <c r="BC246" i="55"/>
  <c r="BC247" i="55"/>
  <c r="BC248" i="55"/>
  <c r="BC249" i="55"/>
  <c r="BC250" i="55"/>
  <c r="BC251" i="55"/>
  <c r="BC252" i="55"/>
  <c r="BC253" i="55"/>
  <c r="BC254" i="55"/>
  <c r="BE254" i="55" s="1"/>
  <c r="C254" i="55" s="1"/>
  <c r="BC255" i="55"/>
  <c r="BE255" i="55" s="1"/>
  <c r="C255" i="55" s="1"/>
  <c r="BC256" i="55"/>
  <c r="BC257" i="55"/>
  <c r="BC258" i="55"/>
  <c r="BC259" i="55"/>
  <c r="BC260" i="55"/>
  <c r="BC261" i="55"/>
  <c r="BC262" i="55"/>
  <c r="BC263" i="55"/>
  <c r="BC264" i="55"/>
  <c r="BC265" i="55"/>
  <c r="BC266" i="55"/>
  <c r="BC267" i="55"/>
  <c r="BC268" i="55"/>
  <c r="BC269" i="55"/>
  <c r="BC270" i="55"/>
  <c r="BE270" i="55" s="1"/>
  <c r="C270" i="55" s="1"/>
  <c r="BC271" i="55"/>
  <c r="BE271" i="55" s="1"/>
  <c r="C271" i="55" s="1"/>
  <c r="BC272" i="55"/>
  <c r="BC273" i="55"/>
  <c r="BC274" i="55"/>
  <c r="BC275" i="55"/>
  <c r="BC276" i="55"/>
  <c r="BC277" i="55"/>
  <c r="BC278" i="55"/>
  <c r="BC279" i="55"/>
  <c r="BC280" i="55"/>
  <c r="BC281" i="55"/>
  <c r="BC282" i="55"/>
  <c r="BC283" i="55"/>
  <c r="BC284" i="55"/>
  <c r="BC285" i="55"/>
  <c r="BC286" i="55"/>
  <c r="BE286" i="55" s="1"/>
  <c r="C286" i="55" s="1"/>
  <c r="BC287" i="55"/>
  <c r="BE287" i="55" s="1"/>
  <c r="C287" i="55" s="1"/>
  <c r="BC288" i="55"/>
  <c r="BC289" i="55"/>
  <c r="BC290" i="55"/>
  <c r="BC291" i="55"/>
  <c r="BC292" i="55"/>
  <c r="BC293" i="55"/>
  <c r="BC294" i="55"/>
  <c r="BC295" i="55"/>
  <c r="BC296" i="55"/>
  <c r="BC297" i="55"/>
  <c r="BC298" i="55"/>
  <c r="BC299" i="55"/>
  <c r="BC300" i="55"/>
  <c r="BC301" i="55"/>
  <c r="BC302" i="55"/>
  <c r="BE302" i="55" s="1"/>
  <c r="C302" i="55" s="1"/>
  <c r="BC303" i="55"/>
  <c r="BE303" i="55" s="1"/>
  <c r="C303" i="55" s="1"/>
  <c r="BC304" i="55"/>
  <c r="BC305" i="55"/>
  <c r="BC306" i="55"/>
  <c r="BC307" i="55"/>
  <c r="BC308" i="55"/>
  <c r="BC309" i="55"/>
  <c r="BC310" i="55"/>
  <c r="BC311" i="55"/>
  <c r="BC312" i="55"/>
  <c r="BC313" i="55"/>
  <c r="BC314" i="55"/>
  <c r="BC315" i="55"/>
  <c r="BC316" i="55"/>
  <c r="BC317" i="55"/>
  <c r="BC318" i="55"/>
  <c r="BE318" i="55" s="1"/>
  <c r="C318" i="55" s="1"/>
  <c r="BC319" i="55"/>
  <c r="BE319" i="55" s="1"/>
  <c r="C319" i="55" s="1"/>
  <c r="BC320" i="55"/>
  <c r="BC321" i="55"/>
  <c r="BC322" i="55"/>
  <c r="BC323" i="55"/>
  <c r="BC324" i="55"/>
  <c r="BC325" i="55"/>
  <c r="BC326" i="55"/>
  <c r="BC327" i="55"/>
  <c r="BC328" i="55"/>
  <c r="BC329" i="55"/>
  <c r="BC330" i="55"/>
  <c r="BC331" i="55"/>
  <c r="BC332" i="55"/>
  <c r="BC333" i="55"/>
  <c r="BC334" i="55"/>
  <c r="BC335" i="55"/>
  <c r="BC336" i="55"/>
  <c r="BC337" i="55"/>
  <c r="BC338" i="55"/>
  <c r="BC339" i="55"/>
  <c r="BC340" i="55"/>
  <c r="BC341" i="55"/>
  <c r="BC342" i="55"/>
  <c r="BC343" i="55"/>
  <c r="BC344" i="55"/>
  <c r="BC345" i="55"/>
  <c r="BC346" i="55"/>
  <c r="BC347" i="55"/>
  <c r="BC348" i="55"/>
  <c r="BC349" i="55"/>
  <c r="BC350" i="55"/>
  <c r="BE350" i="55" s="1"/>
  <c r="C350" i="55" s="1"/>
  <c r="BC351" i="55"/>
  <c r="BE351" i="55" s="1"/>
  <c r="C351" i="55" s="1"/>
  <c r="BC352" i="55"/>
  <c r="BB3" i="55"/>
  <c r="BB4" i="55"/>
  <c r="BB5" i="55"/>
  <c r="BB6" i="55"/>
  <c r="BB7" i="55"/>
  <c r="BB8" i="55"/>
  <c r="BB9" i="55"/>
  <c r="BB10" i="55"/>
  <c r="BB11" i="55"/>
  <c r="BB12" i="55"/>
  <c r="BB13" i="55"/>
  <c r="BB14" i="55"/>
  <c r="BB15" i="55"/>
  <c r="BB16" i="55"/>
  <c r="BB17" i="55"/>
  <c r="BB18" i="55"/>
  <c r="BB19" i="55"/>
  <c r="BB20" i="55"/>
  <c r="BB21" i="55"/>
  <c r="BB22" i="55"/>
  <c r="BB23" i="55"/>
  <c r="BB24" i="55"/>
  <c r="BB25" i="55"/>
  <c r="BB26" i="55"/>
  <c r="BB27" i="55"/>
  <c r="BB28" i="55"/>
  <c r="BB29" i="55"/>
  <c r="BB30" i="55"/>
  <c r="BB31" i="55"/>
  <c r="BB32" i="55"/>
  <c r="BB33" i="55"/>
  <c r="BB34" i="55"/>
  <c r="BB35" i="55"/>
  <c r="BB36" i="55"/>
  <c r="BB37" i="55"/>
  <c r="BB38" i="55"/>
  <c r="BB39" i="55"/>
  <c r="BB40" i="55"/>
  <c r="BB41" i="55"/>
  <c r="BB42" i="55"/>
  <c r="BB43" i="55"/>
  <c r="BB44" i="55"/>
  <c r="BB45" i="55"/>
  <c r="BB46" i="55"/>
  <c r="BB47" i="55"/>
  <c r="BB48" i="55"/>
  <c r="BB49" i="55"/>
  <c r="BB50" i="55"/>
  <c r="BB51" i="55"/>
  <c r="BB52" i="55"/>
  <c r="BB53" i="55"/>
  <c r="BB54" i="55"/>
  <c r="BB55" i="55"/>
  <c r="BB56" i="55"/>
  <c r="BB57" i="55"/>
  <c r="BB58" i="55"/>
  <c r="BB59" i="55"/>
  <c r="BB60" i="55"/>
  <c r="BB61" i="55"/>
  <c r="BB62" i="55"/>
  <c r="BB63" i="55"/>
  <c r="BB64" i="55"/>
  <c r="BB65" i="55"/>
  <c r="BB66" i="55"/>
  <c r="BB67" i="55"/>
  <c r="BB68" i="55"/>
  <c r="BB69" i="55"/>
  <c r="BB70" i="55"/>
  <c r="BB71" i="55"/>
  <c r="BB72" i="55"/>
  <c r="BB73" i="55"/>
  <c r="BB74" i="55"/>
  <c r="BB75" i="55"/>
  <c r="BB76" i="55"/>
  <c r="BB77" i="55"/>
  <c r="BB78" i="55"/>
  <c r="BB79" i="55"/>
  <c r="BB80" i="55"/>
  <c r="BB81" i="55"/>
  <c r="BB82" i="55"/>
  <c r="BB83" i="55"/>
  <c r="BB84" i="55"/>
  <c r="BB85" i="55"/>
  <c r="BB86" i="55"/>
  <c r="BB87" i="55"/>
  <c r="BB88" i="55"/>
  <c r="BB89" i="55"/>
  <c r="BB90" i="55"/>
  <c r="BB91" i="55"/>
  <c r="BB92" i="55"/>
  <c r="BB93" i="55"/>
  <c r="BB94" i="55"/>
  <c r="BB95" i="55"/>
  <c r="BB96" i="55"/>
  <c r="BB97" i="55"/>
  <c r="BB98" i="55"/>
  <c r="BB99" i="55"/>
  <c r="BB100" i="55"/>
  <c r="BB101" i="55"/>
  <c r="BB102" i="55"/>
  <c r="BB103" i="55"/>
  <c r="BB104" i="55"/>
  <c r="BB105" i="55"/>
  <c r="BB106" i="55"/>
  <c r="BB107" i="55"/>
  <c r="BB108" i="55"/>
  <c r="BB109" i="55"/>
  <c r="BB110" i="55"/>
  <c r="BB111" i="55"/>
  <c r="BB112" i="55"/>
  <c r="BB113" i="55"/>
  <c r="BB114" i="55"/>
  <c r="BB115" i="55"/>
  <c r="BB116" i="55"/>
  <c r="BB117" i="55"/>
  <c r="BB118" i="55"/>
  <c r="BB119" i="55"/>
  <c r="BB120" i="55"/>
  <c r="BB121" i="55"/>
  <c r="BB122" i="55"/>
  <c r="BB123" i="55"/>
  <c r="BB124" i="55"/>
  <c r="BB125" i="55"/>
  <c r="BB126" i="55"/>
  <c r="BB127" i="55"/>
  <c r="BB128" i="55"/>
  <c r="BB129" i="55"/>
  <c r="BB130" i="55"/>
  <c r="BB131" i="55"/>
  <c r="BB132" i="55"/>
  <c r="BB133" i="55"/>
  <c r="BB134" i="55"/>
  <c r="BB135" i="55"/>
  <c r="BB136" i="55"/>
  <c r="BB137" i="55"/>
  <c r="BB138" i="55"/>
  <c r="BB139" i="55"/>
  <c r="BB140" i="55"/>
  <c r="BB141" i="55"/>
  <c r="BB142" i="55"/>
  <c r="BB143" i="55"/>
  <c r="BB144" i="55"/>
  <c r="BB145" i="55"/>
  <c r="BB146" i="55"/>
  <c r="BB147" i="55"/>
  <c r="BB148" i="55"/>
  <c r="BB149" i="55"/>
  <c r="BB150" i="55"/>
  <c r="BB151" i="55"/>
  <c r="BB152" i="55"/>
  <c r="BB153" i="55"/>
  <c r="BB154" i="55"/>
  <c r="BB155" i="55"/>
  <c r="BB156" i="55"/>
  <c r="BB157" i="55"/>
  <c r="BB158" i="55"/>
  <c r="BB159" i="55"/>
  <c r="BB160" i="55"/>
  <c r="BB161" i="55"/>
  <c r="BB162" i="55"/>
  <c r="BB163" i="55"/>
  <c r="BB164" i="55"/>
  <c r="BB165" i="55"/>
  <c r="BB166" i="55"/>
  <c r="BB167" i="55"/>
  <c r="BB168" i="55"/>
  <c r="BB169" i="55"/>
  <c r="BB170" i="55"/>
  <c r="BB171" i="55"/>
  <c r="BB172" i="55"/>
  <c r="BB173" i="55"/>
  <c r="BB174" i="55"/>
  <c r="BB175" i="55"/>
  <c r="BB176" i="55"/>
  <c r="BB177" i="55"/>
  <c r="BB178" i="55"/>
  <c r="BB179" i="55"/>
  <c r="BB180" i="55"/>
  <c r="BB181" i="55"/>
  <c r="BB182" i="55"/>
  <c r="BB183" i="55"/>
  <c r="BB184" i="55"/>
  <c r="BB185" i="55"/>
  <c r="BB186" i="55"/>
  <c r="BB187" i="55"/>
  <c r="BB188" i="55"/>
  <c r="BB189" i="55"/>
  <c r="BB190" i="55"/>
  <c r="BB191" i="55"/>
  <c r="BB192" i="55"/>
  <c r="BB193" i="55"/>
  <c r="BB194" i="55"/>
  <c r="BB195" i="55"/>
  <c r="BB196" i="55"/>
  <c r="BB197" i="55"/>
  <c r="BB198" i="55"/>
  <c r="BB199" i="55"/>
  <c r="BB200" i="55"/>
  <c r="BB201" i="55"/>
  <c r="BB202" i="55"/>
  <c r="BB203" i="55"/>
  <c r="BB204" i="55"/>
  <c r="BB205" i="55"/>
  <c r="BB206" i="55"/>
  <c r="BB207" i="55"/>
  <c r="BB208" i="55"/>
  <c r="BB209" i="55"/>
  <c r="BB210" i="55"/>
  <c r="BB211" i="55"/>
  <c r="BB212" i="55"/>
  <c r="BB213" i="55"/>
  <c r="BB214" i="55"/>
  <c r="BB215" i="55"/>
  <c r="BB216" i="55"/>
  <c r="BB217" i="55"/>
  <c r="BB218" i="55"/>
  <c r="BB219" i="55"/>
  <c r="BB220" i="55"/>
  <c r="BB221" i="55"/>
  <c r="BB222" i="55"/>
  <c r="BB223" i="55"/>
  <c r="BB224" i="55"/>
  <c r="BB225" i="55"/>
  <c r="BB226" i="55"/>
  <c r="BB227" i="55"/>
  <c r="BB228" i="55"/>
  <c r="BB229" i="55"/>
  <c r="BB230" i="55"/>
  <c r="BB231" i="55"/>
  <c r="BB232" i="55"/>
  <c r="BB233" i="55"/>
  <c r="BB234" i="55"/>
  <c r="BB235" i="55"/>
  <c r="BB236" i="55"/>
  <c r="BB237" i="55"/>
  <c r="BB238" i="55"/>
  <c r="BB239" i="55"/>
  <c r="BB240" i="55"/>
  <c r="BB241" i="55"/>
  <c r="BB242" i="55"/>
  <c r="BB243" i="55"/>
  <c r="BB244" i="55"/>
  <c r="BB245" i="55"/>
  <c r="BB246" i="55"/>
  <c r="BB247" i="55"/>
  <c r="BB248" i="55"/>
  <c r="BB249" i="55"/>
  <c r="BB250" i="55"/>
  <c r="BB251" i="55"/>
  <c r="BB252" i="55"/>
  <c r="BB253" i="55"/>
  <c r="BB254" i="55"/>
  <c r="BB255" i="55"/>
  <c r="BB256" i="55"/>
  <c r="BB257" i="55"/>
  <c r="BB258" i="55"/>
  <c r="BB259" i="55"/>
  <c r="BB260" i="55"/>
  <c r="BB261" i="55"/>
  <c r="BB262" i="55"/>
  <c r="BB263" i="55"/>
  <c r="BB264" i="55"/>
  <c r="BB265" i="55"/>
  <c r="BB266" i="55"/>
  <c r="BB267" i="55"/>
  <c r="BB268" i="55"/>
  <c r="BB269" i="55"/>
  <c r="BB270" i="55"/>
  <c r="BB271" i="55"/>
  <c r="BB272" i="55"/>
  <c r="BB273" i="55"/>
  <c r="BB274" i="55"/>
  <c r="BB275" i="55"/>
  <c r="BB276" i="55"/>
  <c r="BB277" i="55"/>
  <c r="BB278" i="55"/>
  <c r="BB279" i="55"/>
  <c r="BB280" i="55"/>
  <c r="BB281" i="55"/>
  <c r="BB282" i="55"/>
  <c r="BB283" i="55"/>
  <c r="BB284" i="55"/>
  <c r="BB285" i="55"/>
  <c r="BB286" i="55"/>
  <c r="BB287" i="55"/>
  <c r="BB288" i="55"/>
  <c r="BB289" i="55"/>
  <c r="BB290" i="55"/>
  <c r="BB291" i="55"/>
  <c r="BB292" i="55"/>
  <c r="BB293" i="55"/>
  <c r="BB294" i="55"/>
  <c r="BB295" i="55"/>
  <c r="BB296" i="55"/>
  <c r="BB297" i="55"/>
  <c r="BB298" i="55"/>
  <c r="BB299" i="55"/>
  <c r="BB300" i="55"/>
  <c r="BB301" i="55"/>
  <c r="BB302" i="55"/>
  <c r="BB303" i="55"/>
  <c r="BB304" i="55"/>
  <c r="BB305" i="55"/>
  <c r="BB306" i="55"/>
  <c r="BB307" i="55"/>
  <c r="BB308" i="55"/>
  <c r="BB309" i="55"/>
  <c r="BB310" i="55"/>
  <c r="BB311" i="55"/>
  <c r="BB312" i="55"/>
  <c r="BB313" i="55"/>
  <c r="BB314" i="55"/>
  <c r="BB315" i="55"/>
  <c r="BB316" i="55"/>
  <c r="BB317" i="55"/>
  <c r="BB318" i="55"/>
  <c r="BB319" i="55"/>
  <c r="BB320" i="55"/>
  <c r="BB321" i="55"/>
  <c r="BB322" i="55"/>
  <c r="BB323" i="55"/>
  <c r="BB324" i="55"/>
  <c r="BB325" i="55"/>
  <c r="BB326" i="55"/>
  <c r="BB327" i="55"/>
  <c r="BB328" i="55"/>
  <c r="BB329" i="55"/>
  <c r="BB330" i="55"/>
  <c r="BB331" i="55"/>
  <c r="BB332" i="55"/>
  <c r="BB333" i="55"/>
  <c r="BB334" i="55"/>
  <c r="BB335" i="55"/>
  <c r="BB336" i="55"/>
  <c r="BB337" i="55"/>
  <c r="BB338" i="55"/>
  <c r="BB339" i="55"/>
  <c r="BB340" i="55"/>
  <c r="BB341" i="55"/>
  <c r="BB342" i="55"/>
  <c r="BB343" i="55"/>
  <c r="BB344" i="55"/>
  <c r="BB345" i="55"/>
  <c r="BB346" i="55"/>
  <c r="BB347" i="55"/>
  <c r="BB348" i="55"/>
  <c r="BB349" i="55"/>
  <c r="BB350" i="55"/>
  <c r="BB351" i="55"/>
  <c r="BB352" i="55"/>
  <c r="BA3" i="55"/>
  <c r="BA4" i="55"/>
  <c r="BA5" i="55"/>
  <c r="CN5" i="55" s="1"/>
  <c r="BA6" i="55"/>
  <c r="BA7" i="55"/>
  <c r="BA8" i="55"/>
  <c r="BA9" i="55"/>
  <c r="BA10" i="55"/>
  <c r="BA11" i="55"/>
  <c r="BF11" i="55" s="1"/>
  <c r="DT11" i="55" s="1"/>
  <c r="BA12" i="55"/>
  <c r="BA13" i="55"/>
  <c r="BA14" i="55"/>
  <c r="BA15" i="55"/>
  <c r="BA16" i="55"/>
  <c r="BA17" i="55"/>
  <c r="CN17" i="55" s="1"/>
  <c r="CR17" i="55" s="1"/>
  <c r="BA18" i="55"/>
  <c r="BA19" i="55"/>
  <c r="BA20" i="55"/>
  <c r="BA21" i="55"/>
  <c r="BF21" i="55" s="1"/>
  <c r="DT21" i="55" s="1"/>
  <c r="BA22" i="55"/>
  <c r="BF22" i="55" s="1"/>
  <c r="DT22" i="55" s="1"/>
  <c r="BA23" i="55"/>
  <c r="BA24" i="55"/>
  <c r="BA25" i="55"/>
  <c r="CN25" i="55" s="1"/>
  <c r="BA26" i="55"/>
  <c r="BA27" i="55"/>
  <c r="BA28" i="55"/>
  <c r="BA29" i="55"/>
  <c r="BA30" i="55"/>
  <c r="BA31" i="55"/>
  <c r="BA32" i="55"/>
  <c r="BA33" i="55"/>
  <c r="CN33" i="55" s="1"/>
  <c r="CV33" i="55" s="1"/>
  <c r="BA34" i="55"/>
  <c r="BF34" i="55" s="1"/>
  <c r="DT34" i="55" s="1"/>
  <c r="BA35" i="55"/>
  <c r="BA36" i="55"/>
  <c r="BA37" i="55"/>
  <c r="BA38" i="55"/>
  <c r="CN38" i="55" s="1"/>
  <c r="CV38" i="55" s="1"/>
  <c r="BA39" i="55"/>
  <c r="BA40" i="55"/>
  <c r="BF40" i="55" s="1"/>
  <c r="DT40" i="55" s="1"/>
  <c r="BA41" i="55"/>
  <c r="BA42" i="55"/>
  <c r="BA43" i="55"/>
  <c r="BA44" i="55"/>
  <c r="BA45" i="55"/>
  <c r="BA46" i="55"/>
  <c r="BA47" i="55"/>
  <c r="CN47" i="55" s="1"/>
  <c r="CT47" i="55" s="1"/>
  <c r="BA48" i="55"/>
  <c r="BF48" i="55" s="1"/>
  <c r="DT48" i="55" s="1"/>
  <c r="BA49" i="55"/>
  <c r="BA50" i="55"/>
  <c r="BF50" i="55" s="1"/>
  <c r="DT50" i="55" s="1"/>
  <c r="BA51" i="55"/>
  <c r="CN51" i="55" s="1"/>
  <c r="CP51" i="55" s="1"/>
  <c r="BA52" i="55"/>
  <c r="BF52" i="55" s="1"/>
  <c r="DT52" i="55" s="1"/>
  <c r="BA53" i="55"/>
  <c r="BF53" i="55" s="1"/>
  <c r="DT53" i="55" s="1"/>
  <c r="BA54" i="55"/>
  <c r="BA55" i="55"/>
  <c r="CN55" i="55" s="1"/>
  <c r="BA56" i="55"/>
  <c r="BA57" i="55"/>
  <c r="BA58" i="55"/>
  <c r="BA59" i="55"/>
  <c r="BA60" i="55"/>
  <c r="BA61" i="55"/>
  <c r="BA62" i="55"/>
  <c r="BA63" i="55"/>
  <c r="BA64" i="55"/>
  <c r="BF64" i="55" s="1"/>
  <c r="DT64" i="55" s="1"/>
  <c r="BA65" i="55"/>
  <c r="BA66" i="55"/>
  <c r="BF66" i="55" s="1"/>
  <c r="DT66" i="55" s="1"/>
  <c r="BA67" i="55"/>
  <c r="CN67" i="55" s="1"/>
  <c r="CT67" i="55" s="1"/>
  <c r="BA68" i="55"/>
  <c r="BF68" i="55" s="1"/>
  <c r="DT68" i="55" s="1"/>
  <c r="BA69" i="55"/>
  <c r="BA70" i="55"/>
  <c r="BA71" i="55"/>
  <c r="BF71" i="55" s="1"/>
  <c r="DT71" i="55" s="1"/>
  <c r="BA72" i="55"/>
  <c r="BF72" i="55" s="1"/>
  <c r="DT72" i="55" s="1"/>
  <c r="BA73" i="55"/>
  <c r="BA74" i="55"/>
  <c r="BA75" i="55"/>
  <c r="BA76" i="55"/>
  <c r="BA77" i="55"/>
  <c r="BA78" i="55"/>
  <c r="BA79" i="55"/>
  <c r="BA80" i="55"/>
  <c r="BA81" i="55"/>
  <c r="CN81" i="55" s="1"/>
  <c r="CR81" i="55" s="1"/>
  <c r="BA82" i="55"/>
  <c r="BF82" i="55" s="1"/>
  <c r="DT82" i="55" s="1"/>
  <c r="BA83" i="55"/>
  <c r="BA84" i="55"/>
  <c r="BA85" i="55"/>
  <c r="CN85" i="55" s="1"/>
  <c r="BA86" i="55"/>
  <c r="BF86" i="55" s="1"/>
  <c r="DT86" i="55" s="1"/>
  <c r="BA87" i="55"/>
  <c r="CN87" i="55" s="1"/>
  <c r="BA88" i="55"/>
  <c r="BA89" i="55"/>
  <c r="BF89" i="55" s="1"/>
  <c r="DT89" i="55" s="1"/>
  <c r="BA90" i="55"/>
  <c r="BF90" i="55" s="1"/>
  <c r="DT90" i="55" s="1"/>
  <c r="BA91" i="55"/>
  <c r="BF91" i="55" s="1"/>
  <c r="DT91" i="55" s="1"/>
  <c r="BA92" i="55"/>
  <c r="BF92" i="55" s="1"/>
  <c r="DT92" i="55" s="1"/>
  <c r="BA93" i="55"/>
  <c r="BA94" i="55"/>
  <c r="BA95" i="55"/>
  <c r="CN95" i="55" s="1"/>
  <c r="CT95" i="55" s="1"/>
  <c r="BA96" i="55"/>
  <c r="BA97" i="55"/>
  <c r="BA98" i="55"/>
  <c r="BF98" i="55" s="1"/>
  <c r="DT98" i="55" s="1"/>
  <c r="BA99" i="55"/>
  <c r="BA100" i="55"/>
  <c r="BA101" i="55"/>
  <c r="BA102" i="55"/>
  <c r="CN102" i="55" s="1"/>
  <c r="BA103" i="55"/>
  <c r="BA104" i="55"/>
  <c r="CN104" i="55" s="1"/>
  <c r="BA105" i="55"/>
  <c r="BA106" i="55"/>
  <c r="BA107" i="55"/>
  <c r="BA108" i="55"/>
  <c r="CN108" i="55" s="1"/>
  <c r="BA109" i="55"/>
  <c r="BA110" i="55"/>
  <c r="BA111" i="55"/>
  <c r="BA112" i="55"/>
  <c r="BA113" i="55"/>
  <c r="CN113" i="55" s="1"/>
  <c r="BA114" i="55"/>
  <c r="BA115" i="55"/>
  <c r="BA116" i="55"/>
  <c r="BF116" i="55" s="1"/>
  <c r="DT116" i="55" s="1"/>
  <c r="BA117" i="55"/>
  <c r="BA118" i="55"/>
  <c r="BA119" i="55"/>
  <c r="BA120" i="55"/>
  <c r="BA121" i="55"/>
  <c r="CN121" i="55" s="1"/>
  <c r="BA122" i="55"/>
  <c r="BA123" i="55"/>
  <c r="BA124" i="55"/>
  <c r="BA125" i="55"/>
  <c r="BA126" i="55"/>
  <c r="BA127" i="55"/>
  <c r="BF127" i="55" s="1"/>
  <c r="DT127" i="55" s="1"/>
  <c r="BA128" i="55"/>
  <c r="BA129" i="55"/>
  <c r="BF129" i="55" s="1"/>
  <c r="DT129" i="55" s="1"/>
  <c r="BA130" i="55"/>
  <c r="BA131" i="55"/>
  <c r="BA132" i="55"/>
  <c r="BA133" i="55"/>
  <c r="BA134" i="55"/>
  <c r="BA135" i="55"/>
  <c r="BF135" i="55" s="1"/>
  <c r="DT135" i="55" s="1"/>
  <c r="BA136" i="55"/>
  <c r="BA137" i="55"/>
  <c r="BA138" i="55"/>
  <c r="BA139" i="55"/>
  <c r="BA140" i="55"/>
  <c r="BA141" i="55"/>
  <c r="BA142" i="55"/>
  <c r="BA143" i="55"/>
  <c r="BA144" i="55"/>
  <c r="BF144" i="55" s="1"/>
  <c r="DT144" i="55" s="1"/>
  <c r="BA145" i="55"/>
  <c r="CN145" i="55" s="1"/>
  <c r="BA146" i="55"/>
  <c r="BF146" i="55" s="1"/>
  <c r="DT146" i="55" s="1"/>
  <c r="BA147" i="55"/>
  <c r="BA148" i="55"/>
  <c r="BA149" i="55"/>
  <c r="BF149" i="55" s="1"/>
  <c r="BA150" i="55"/>
  <c r="CN150" i="55" s="1"/>
  <c r="BA151" i="55"/>
  <c r="BA152" i="55"/>
  <c r="BA153" i="55"/>
  <c r="BA154" i="55"/>
  <c r="BA155" i="55"/>
  <c r="BA156" i="55"/>
  <c r="BA157" i="55"/>
  <c r="BA158" i="55"/>
  <c r="BA159" i="55"/>
  <c r="BA160" i="55"/>
  <c r="BA161" i="55"/>
  <c r="BF161" i="55" s="1"/>
  <c r="DT161" i="55" s="1"/>
  <c r="BA162" i="55"/>
  <c r="BA163" i="55"/>
  <c r="BA164" i="55"/>
  <c r="BA165" i="55"/>
  <c r="CN165" i="55" s="1"/>
  <c r="CU165" i="55" s="1"/>
  <c r="BA166" i="55"/>
  <c r="BF166" i="55" s="1"/>
  <c r="DT166" i="55" s="1"/>
  <c r="BA167" i="55"/>
  <c r="BA168" i="55"/>
  <c r="BF168" i="55" s="1"/>
  <c r="DT168" i="55" s="1"/>
  <c r="BA169" i="55"/>
  <c r="BA170" i="55"/>
  <c r="BA171" i="55"/>
  <c r="BF171" i="55" s="1"/>
  <c r="DT171" i="55" s="1"/>
  <c r="BA172" i="55"/>
  <c r="BA173" i="55"/>
  <c r="BA174" i="55"/>
  <c r="BA175" i="55"/>
  <c r="BA176" i="55"/>
  <c r="BF176" i="55" s="1"/>
  <c r="DT176" i="55" s="1"/>
  <c r="BA177" i="55"/>
  <c r="BF177" i="55" s="1"/>
  <c r="DT177" i="55" s="1"/>
  <c r="BA178" i="55"/>
  <c r="BA179" i="55"/>
  <c r="BA180" i="55"/>
  <c r="BA181" i="55"/>
  <c r="BA182" i="55"/>
  <c r="CN182" i="55" s="1"/>
  <c r="BA183" i="55"/>
  <c r="CN183" i="55" s="1"/>
  <c r="BA184" i="55"/>
  <c r="BA185" i="55"/>
  <c r="BA186" i="55"/>
  <c r="BA187" i="55"/>
  <c r="BA188" i="55"/>
  <c r="BA189" i="55"/>
  <c r="BA190" i="55"/>
  <c r="BA191" i="55"/>
  <c r="BA192" i="55"/>
  <c r="CN192" i="55" s="1"/>
  <c r="CT192" i="55" s="1"/>
  <c r="BA193" i="55"/>
  <c r="BA194" i="55"/>
  <c r="CN194" i="55" s="1"/>
  <c r="CV194" i="55" s="1"/>
  <c r="BA195" i="55"/>
  <c r="BA196" i="55"/>
  <c r="BA197" i="55"/>
  <c r="BF197" i="55" s="1"/>
  <c r="DT197" i="55" s="1"/>
  <c r="BA198" i="55"/>
  <c r="CN198" i="55" s="1"/>
  <c r="CS198" i="55" s="1"/>
  <c r="BA199" i="55"/>
  <c r="BF199" i="55" s="1"/>
  <c r="DT199" i="55" s="1"/>
  <c r="BA200" i="55"/>
  <c r="BF200" i="55" s="1"/>
  <c r="BA201" i="55"/>
  <c r="BF201" i="55" s="1"/>
  <c r="DT201" i="55" s="1"/>
  <c r="BA202" i="55"/>
  <c r="BA203" i="55"/>
  <c r="BA204" i="55"/>
  <c r="CN204" i="55" s="1"/>
  <c r="BA205" i="55"/>
  <c r="BA206" i="55"/>
  <c r="BA207" i="55"/>
  <c r="BA208" i="55"/>
  <c r="BA209" i="55"/>
  <c r="BF209" i="55" s="1"/>
  <c r="DT209" i="55" s="1"/>
  <c r="BA210" i="55"/>
  <c r="CN210" i="55" s="1"/>
  <c r="BA211" i="55"/>
  <c r="BA212" i="55"/>
  <c r="BA213" i="55"/>
  <c r="BA214" i="55"/>
  <c r="CN214" i="55" s="1"/>
  <c r="CS214" i="55" s="1"/>
  <c r="BA215" i="55"/>
  <c r="CN215" i="55" s="1"/>
  <c r="CS215" i="55" s="1"/>
  <c r="BA216" i="55"/>
  <c r="BF216" i="55" s="1"/>
  <c r="DT216" i="55" s="1"/>
  <c r="BA217" i="55"/>
  <c r="BA218" i="55"/>
  <c r="BF218" i="55" s="1"/>
  <c r="DT218" i="55" s="1"/>
  <c r="BA219" i="55"/>
  <c r="BF219" i="55" s="1"/>
  <c r="DT219" i="55" s="1"/>
  <c r="BA220" i="55"/>
  <c r="BA221" i="55"/>
  <c r="BA222" i="55"/>
  <c r="BA223" i="55"/>
  <c r="BA224" i="55"/>
  <c r="BA225" i="55"/>
  <c r="BF225" i="55" s="1"/>
  <c r="DT225" i="55" s="1"/>
  <c r="BA226" i="55"/>
  <c r="BA227" i="55"/>
  <c r="BA228" i="55"/>
  <c r="BA229" i="55"/>
  <c r="BA230" i="55"/>
  <c r="BA231" i="55"/>
  <c r="BA232" i="55"/>
  <c r="BA233" i="55"/>
  <c r="BA234" i="55"/>
  <c r="BA235" i="55"/>
  <c r="BA236" i="55"/>
  <c r="BA237" i="55"/>
  <c r="BA238" i="55"/>
  <c r="BA239" i="55"/>
  <c r="CN239" i="55" s="1"/>
  <c r="CV239" i="55" s="1"/>
  <c r="BA240" i="55"/>
  <c r="BF240" i="55" s="1"/>
  <c r="DT240" i="55" s="1"/>
  <c r="BA241" i="55"/>
  <c r="BA242" i="55"/>
  <c r="CN242" i="55" s="1"/>
  <c r="CT242" i="55" s="1"/>
  <c r="BA243" i="55"/>
  <c r="BA244" i="55"/>
  <c r="BA245" i="55"/>
  <c r="BF245" i="55" s="1"/>
  <c r="DT245" i="55" s="1"/>
  <c r="BA246" i="55"/>
  <c r="BA247" i="55"/>
  <c r="BA248" i="55"/>
  <c r="BA249" i="55"/>
  <c r="BF249" i="55" s="1"/>
  <c r="DT249" i="55" s="1"/>
  <c r="BA250" i="55"/>
  <c r="BA251" i="55"/>
  <c r="BF251" i="55" s="1"/>
  <c r="DT251" i="55" s="1"/>
  <c r="BA252" i="55"/>
  <c r="BF252" i="55" s="1"/>
  <c r="DT252" i="55" s="1"/>
  <c r="BA253" i="55"/>
  <c r="BF253" i="55" s="1"/>
  <c r="DT253" i="55" s="1"/>
  <c r="BA254" i="55"/>
  <c r="BA255" i="55"/>
  <c r="BA256" i="55"/>
  <c r="BA257" i="55"/>
  <c r="BF257" i="55" s="1"/>
  <c r="DT257" i="55" s="1"/>
  <c r="BA258" i="55"/>
  <c r="CN258" i="55" s="1"/>
  <c r="CP258" i="55" s="1"/>
  <c r="BA259" i="55"/>
  <c r="BA260" i="55"/>
  <c r="BA261" i="55"/>
  <c r="BA262" i="55"/>
  <c r="BA263" i="55"/>
  <c r="BA264" i="55"/>
  <c r="BA265" i="55"/>
  <c r="BA266" i="55"/>
  <c r="BA267" i="55"/>
  <c r="BA268" i="55"/>
  <c r="BA269" i="55"/>
  <c r="BF269" i="55" s="1"/>
  <c r="DT269" i="55" s="1"/>
  <c r="BA270" i="55"/>
  <c r="BA271" i="55"/>
  <c r="BA272" i="55"/>
  <c r="BF272" i="55" s="1"/>
  <c r="DT272" i="55" s="1"/>
  <c r="BA273" i="55"/>
  <c r="BF273" i="55" s="1"/>
  <c r="DT273" i="55" s="1"/>
  <c r="BA274" i="55"/>
  <c r="CN274" i="55" s="1"/>
  <c r="BA275" i="55"/>
  <c r="CN275" i="55" s="1"/>
  <c r="BA276" i="55"/>
  <c r="BA277" i="55"/>
  <c r="BF277" i="55" s="1"/>
  <c r="DT277" i="55" s="1"/>
  <c r="BA278" i="55"/>
  <c r="CN278" i="55" s="1"/>
  <c r="BA279" i="55"/>
  <c r="BA280" i="55"/>
  <c r="BA281" i="55"/>
  <c r="BF281" i="55" s="1"/>
  <c r="DT281" i="55" s="1"/>
  <c r="BA282" i="55"/>
  <c r="BA283" i="55"/>
  <c r="BA284" i="55"/>
  <c r="BA285" i="55"/>
  <c r="BA286" i="55"/>
  <c r="BA287" i="55"/>
  <c r="BA288" i="55"/>
  <c r="BA289" i="55"/>
  <c r="BF289" i="55" s="1"/>
  <c r="DT289" i="55" s="1"/>
  <c r="BA290" i="55"/>
  <c r="CN290" i="55" s="1"/>
  <c r="BA291" i="55"/>
  <c r="CN291" i="55" s="1"/>
  <c r="BA292" i="55"/>
  <c r="BA293" i="55"/>
  <c r="BA294" i="55"/>
  <c r="BF294" i="55" s="1"/>
  <c r="DT294" i="55" s="1"/>
  <c r="BA295" i="55"/>
  <c r="BA296" i="55"/>
  <c r="BA297" i="55"/>
  <c r="BA298" i="55"/>
  <c r="BA299" i="55"/>
  <c r="BA300" i="55"/>
  <c r="BA301" i="55"/>
  <c r="BA302" i="55"/>
  <c r="BA303" i="55"/>
  <c r="CN303" i="55" s="1"/>
  <c r="BA304" i="55"/>
  <c r="BA305" i="55"/>
  <c r="BA306" i="55"/>
  <c r="BA307" i="55"/>
  <c r="CN307" i="55" s="1"/>
  <c r="BA308" i="55"/>
  <c r="CN308" i="55" s="1"/>
  <c r="CP308" i="55" s="1"/>
  <c r="BA309" i="55"/>
  <c r="BA310" i="55"/>
  <c r="CN310" i="55" s="1"/>
  <c r="BA311" i="55"/>
  <c r="CN311" i="55" s="1"/>
  <c r="CU311" i="55" s="1"/>
  <c r="BA312" i="55"/>
  <c r="BA313" i="55"/>
  <c r="BA314" i="55"/>
  <c r="BA315" i="55"/>
  <c r="BA316" i="55"/>
  <c r="BA317" i="55"/>
  <c r="BA318" i="55"/>
  <c r="BA319" i="55"/>
  <c r="BA320" i="55"/>
  <c r="BA321" i="55"/>
  <c r="CN321" i="55" s="1"/>
  <c r="CT321" i="55" s="1"/>
  <c r="BA322" i="55"/>
  <c r="BA323" i="55"/>
  <c r="BA324" i="55"/>
  <c r="CN324" i="55" s="1"/>
  <c r="BA325" i="55"/>
  <c r="BF325" i="55" s="1"/>
  <c r="DT325" i="55" s="1"/>
  <c r="BA326" i="55"/>
  <c r="BF326" i="55" s="1"/>
  <c r="DT326" i="55" s="1"/>
  <c r="BA327" i="55"/>
  <c r="BF327" i="55" s="1"/>
  <c r="DT327" i="55" s="1"/>
  <c r="BA328" i="55"/>
  <c r="BF328" i="55" s="1"/>
  <c r="DT328" i="55" s="1"/>
  <c r="BA329" i="55"/>
  <c r="BA330" i="55"/>
  <c r="BF330" i="55" s="1"/>
  <c r="DT330" i="55" s="1"/>
  <c r="BA331" i="55"/>
  <c r="BA332" i="55"/>
  <c r="BA333" i="55"/>
  <c r="BA334" i="55"/>
  <c r="BA335" i="55"/>
  <c r="BA336" i="55"/>
  <c r="BF336" i="55" s="1"/>
  <c r="DT336" i="55" s="1"/>
  <c r="BA337" i="55"/>
  <c r="BF337" i="55" s="1"/>
  <c r="DT337" i="55" s="1"/>
  <c r="BA338" i="55"/>
  <c r="CN338" i="55" s="1"/>
  <c r="BA339" i="55"/>
  <c r="BA340" i="55"/>
  <c r="CN340" i="55" s="1"/>
  <c r="BA341" i="55"/>
  <c r="BA342" i="55"/>
  <c r="CN342" i="55" s="1"/>
  <c r="BA343" i="55"/>
  <c r="BA344" i="55"/>
  <c r="BA345" i="55"/>
  <c r="BF345" i="55" s="1"/>
  <c r="DT345" i="55" s="1"/>
  <c r="BA346" i="55"/>
  <c r="BA347" i="55"/>
  <c r="BA348" i="55"/>
  <c r="BA349" i="55"/>
  <c r="BA350" i="55"/>
  <c r="BA351" i="55"/>
  <c r="CN351" i="55" s="1"/>
  <c r="BA352" i="55"/>
  <c r="AZ3" i="55"/>
  <c r="AZ4" i="55"/>
  <c r="AZ5" i="55"/>
  <c r="AZ6" i="55"/>
  <c r="AZ7" i="55"/>
  <c r="AZ8" i="55"/>
  <c r="AZ9" i="55"/>
  <c r="AZ10" i="55"/>
  <c r="AZ11" i="55"/>
  <c r="AZ12" i="55"/>
  <c r="AZ13" i="55"/>
  <c r="AZ14" i="55"/>
  <c r="AZ15" i="55"/>
  <c r="AZ16" i="55"/>
  <c r="AZ17" i="55"/>
  <c r="AZ18" i="55"/>
  <c r="AZ19" i="55"/>
  <c r="AZ20" i="55"/>
  <c r="AZ21" i="55"/>
  <c r="AZ22" i="55"/>
  <c r="AZ23" i="55"/>
  <c r="AZ24" i="55"/>
  <c r="AZ29" i="55"/>
  <c r="AZ30" i="55"/>
  <c r="AZ31" i="55"/>
  <c r="AZ53" i="55"/>
  <c r="AZ54" i="55"/>
  <c r="AZ55" i="55"/>
  <c r="AZ56" i="55"/>
  <c r="AZ57" i="55"/>
  <c r="AZ58" i="55"/>
  <c r="AZ59" i="55"/>
  <c r="AZ60" i="55"/>
  <c r="AZ61" i="55"/>
  <c r="AZ62" i="55"/>
  <c r="AZ63" i="55"/>
  <c r="AZ64" i="55"/>
  <c r="AZ65" i="55"/>
  <c r="AZ66" i="55"/>
  <c r="AZ67" i="55"/>
  <c r="AZ68" i="55"/>
  <c r="AZ69" i="55"/>
  <c r="AZ70" i="55"/>
  <c r="AZ71" i="55"/>
  <c r="AZ72" i="55"/>
  <c r="AZ73" i="55"/>
  <c r="AZ74" i="55"/>
  <c r="AZ75" i="55"/>
  <c r="AZ76" i="55"/>
  <c r="AZ77" i="55"/>
  <c r="AZ78" i="55"/>
  <c r="AZ79" i="55"/>
  <c r="AZ80" i="55"/>
  <c r="AZ81" i="55"/>
  <c r="AZ82" i="55"/>
  <c r="AZ83" i="55"/>
  <c r="AZ84" i="55"/>
  <c r="AZ85" i="55"/>
  <c r="AZ86" i="55"/>
  <c r="AZ87" i="55"/>
  <c r="AZ88" i="55"/>
  <c r="AZ89" i="55"/>
  <c r="AZ90" i="55"/>
  <c r="AZ91" i="55"/>
  <c r="AZ92" i="55"/>
  <c r="AZ93" i="55"/>
  <c r="AZ94" i="55"/>
  <c r="AZ95" i="55"/>
  <c r="AZ96" i="55"/>
  <c r="AZ97" i="55"/>
  <c r="AZ98" i="55"/>
  <c r="AZ99" i="55"/>
  <c r="AZ100" i="55"/>
  <c r="AZ101" i="55"/>
  <c r="AZ102" i="55"/>
  <c r="AZ103" i="55"/>
  <c r="AZ104" i="55"/>
  <c r="AZ105" i="55"/>
  <c r="AZ106" i="55"/>
  <c r="AZ107" i="55"/>
  <c r="AZ108" i="55"/>
  <c r="AZ109" i="55"/>
  <c r="AZ110" i="55"/>
  <c r="AZ111" i="55"/>
  <c r="AZ112" i="55"/>
  <c r="AZ113" i="55"/>
  <c r="AZ114" i="55"/>
  <c r="AZ115" i="55"/>
  <c r="AZ116" i="55"/>
  <c r="AZ117" i="55"/>
  <c r="AZ118" i="55"/>
  <c r="AZ119" i="55"/>
  <c r="AZ120" i="55"/>
  <c r="AZ121" i="55"/>
  <c r="AZ122" i="55"/>
  <c r="AZ123" i="55"/>
  <c r="AZ124" i="55"/>
  <c r="AZ125" i="55"/>
  <c r="AZ126" i="55"/>
  <c r="AZ127" i="55"/>
  <c r="AZ128" i="55"/>
  <c r="AZ129" i="55"/>
  <c r="AZ131" i="55"/>
  <c r="AZ132" i="55"/>
  <c r="AZ133" i="55"/>
  <c r="AZ134" i="55"/>
  <c r="AZ135" i="55"/>
  <c r="AZ136" i="55"/>
  <c r="AZ137" i="55"/>
  <c r="AZ138" i="55"/>
  <c r="AZ139" i="55"/>
  <c r="AZ140" i="55"/>
  <c r="AZ141" i="55"/>
  <c r="AZ142" i="55"/>
  <c r="AZ143" i="55"/>
  <c r="AZ144" i="55"/>
  <c r="AZ145" i="55"/>
  <c r="AZ146" i="55"/>
  <c r="AZ147" i="55"/>
  <c r="AZ148" i="55"/>
  <c r="AZ149" i="55"/>
  <c r="AZ150" i="55"/>
  <c r="AZ151" i="55"/>
  <c r="AZ152" i="55"/>
  <c r="AZ153" i="55"/>
  <c r="AZ154" i="55"/>
  <c r="AZ179" i="55"/>
  <c r="AZ180" i="55"/>
  <c r="AZ181" i="55"/>
  <c r="AZ182" i="55"/>
  <c r="AZ183" i="55"/>
  <c r="AZ184" i="55"/>
  <c r="AZ195" i="55"/>
  <c r="AZ196" i="55"/>
  <c r="AZ200" i="55"/>
  <c r="AZ210" i="55"/>
  <c r="AZ211" i="55"/>
  <c r="AZ220" i="55"/>
  <c r="AZ221" i="55"/>
  <c r="AZ222" i="55"/>
  <c r="AZ223" i="55"/>
  <c r="AZ224" i="55"/>
  <c r="AZ226" i="55"/>
  <c r="AZ228" i="55"/>
  <c r="AZ230" i="55"/>
  <c r="AZ232" i="55"/>
  <c r="AZ233" i="55"/>
  <c r="AZ234" i="55"/>
  <c r="AZ235" i="55"/>
  <c r="AZ265" i="55"/>
  <c r="AZ267" i="55"/>
  <c r="AZ268" i="55"/>
  <c r="AZ270" i="55"/>
  <c r="AZ271" i="55"/>
  <c r="AZ272" i="55"/>
  <c r="AZ273" i="55"/>
  <c r="AZ274" i="55"/>
  <c r="AZ276" i="55"/>
  <c r="AZ277" i="55"/>
  <c r="AZ280" i="55"/>
  <c r="AZ282" i="55"/>
  <c r="AZ283" i="55"/>
  <c r="AZ294" i="55"/>
  <c r="AZ310" i="55"/>
  <c r="AZ311" i="55"/>
  <c r="AZ312" i="55"/>
  <c r="AZ314" i="55"/>
  <c r="AZ315" i="55"/>
  <c r="AZ316" i="55"/>
  <c r="AZ324" i="55"/>
  <c r="AZ333" i="55"/>
  <c r="AZ334" i="55"/>
  <c r="AZ335" i="55"/>
  <c r="AZ336" i="55"/>
  <c r="AZ337" i="55"/>
  <c r="AZ338" i="55"/>
  <c r="AZ339" i="55"/>
  <c r="AZ340" i="55"/>
  <c r="AZ346" i="55"/>
  <c r="AZ347" i="55"/>
  <c r="AZ348" i="55"/>
  <c r="AZ349" i="55"/>
  <c r="AZ350" i="55"/>
  <c r="AZ351" i="55"/>
  <c r="AZ352" i="55"/>
  <c r="AY7" i="55"/>
  <c r="AY8" i="55"/>
  <c r="AY9" i="55"/>
  <c r="AY10" i="55"/>
  <c r="AY11" i="55"/>
  <c r="AY12" i="55"/>
  <c r="AY13" i="55"/>
  <c r="AY14" i="55"/>
  <c r="AY15" i="55"/>
  <c r="AY16" i="55"/>
  <c r="AY20" i="55"/>
  <c r="AY21" i="55"/>
  <c r="AY22" i="55"/>
  <c r="AY24" i="55"/>
  <c r="AY25" i="55"/>
  <c r="E25" i="55" s="1"/>
  <c r="AZ25" i="55" s="1"/>
  <c r="AY27" i="55"/>
  <c r="E27" i="55" s="1"/>
  <c r="AZ27" i="55" s="1"/>
  <c r="AY28" i="55"/>
  <c r="E28" i="55" s="1"/>
  <c r="AZ28" i="55" s="1"/>
  <c r="AY29" i="55"/>
  <c r="AY30" i="55"/>
  <c r="AY80" i="55"/>
  <c r="AY81" i="55"/>
  <c r="AY82" i="55"/>
  <c r="AY83" i="55"/>
  <c r="AY84" i="55"/>
  <c r="AY85" i="55"/>
  <c r="AY86" i="55"/>
  <c r="AY87" i="55"/>
  <c r="AY130" i="55"/>
  <c r="E130" i="55" s="1"/>
  <c r="AZ130" i="55" s="1"/>
  <c r="AY151" i="55"/>
  <c r="AY152" i="55"/>
  <c r="AY179" i="55"/>
  <c r="AY182" i="55"/>
  <c r="AY183" i="55"/>
  <c r="AY220" i="55"/>
  <c r="AY223" i="55"/>
  <c r="AY310" i="55"/>
  <c r="AY312" i="55"/>
  <c r="AY335" i="55"/>
  <c r="AY337" i="55"/>
  <c r="AY338" i="55"/>
  <c r="AY339" i="55"/>
  <c r="AY340" i="55"/>
  <c r="AY351" i="55"/>
  <c r="AX29" i="55"/>
  <c r="AX30" i="55"/>
  <c r="AX45" i="55"/>
  <c r="AX54" i="55"/>
  <c r="AX93" i="55"/>
  <c r="AX94" i="55"/>
  <c r="AX109" i="55"/>
  <c r="AX125" i="55"/>
  <c r="AX129" i="55"/>
  <c r="AX174" i="55"/>
  <c r="AX176" i="55"/>
  <c r="AX186" i="55"/>
  <c r="AX189" i="55"/>
  <c r="AX225" i="55"/>
  <c r="AX253" i="55"/>
  <c r="AX262" i="55"/>
  <c r="AX288" i="55"/>
  <c r="AX301" i="55"/>
  <c r="AX310" i="55"/>
  <c r="AW5" i="55"/>
  <c r="AX5" i="55" s="1"/>
  <c r="AW6" i="55"/>
  <c r="AX6" i="55" s="1"/>
  <c r="AW13" i="55"/>
  <c r="AX13" i="55" s="1"/>
  <c r="AW14" i="55"/>
  <c r="AX14" i="55" s="1"/>
  <c r="AW17" i="55"/>
  <c r="AX17" i="55" s="1"/>
  <c r="AW21" i="55"/>
  <c r="AX21" i="55" s="1"/>
  <c r="AW22" i="55"/>
  <c r="AX22" i="55" s="1"/>
  <c r="AW24" i="55"/>
  <c r="AX24" i="55" s="1"/>
  <c r="AW29" i="55"/>
  <c r="AW38" i="55"/>
  <c r="AX38" i="55" s="1"/>
  <c r="AW40" i="55"/>
  <c r="AX40" i="55" s="1"/>
  <c r="AW45" i="55"/>
  <c r="AW46" i="55"/>
  <c r="AX46" i="55" s="1"/>
  <c r="AW53" i="55"/>
  <c r="AX53" i="55" s="1"/>
  <c r="AW54" i="55"/>
  <c r="AW56" i="55"/>
  <c r="AX56" i="55" s="1"/>
  <c r="AW61" i="55"/>
  <c r="AX61" i="55" s="1"/>
  <c r="AW70" i="55"/>
  <c r="AX70" i="55" s="1"/>
  <c r="AW72" i="55"/>
  <c r="AX72" i="55" s="1"/>
  <c r="AY72" i="55" s="1"/>
  <c r="AW77" i="55"/>
  <c r="AX77" i="55" s="1"/>
  <c r="AW78" i="55"/>
  <c r="AX78" i="55" s="1"/>
  <c r="AW91" i="55"/>
  <c r="AX91" i="55" s="1"/>
  <c r="AW102" i="55"/>
  <c r="AX102" i="55" s="1"/>
  <c r="AW104" i="55"/>
  <c r="AX104" i="55" s="1"/>
  <c r="AW109" i="55"/>
  <c r="AW110" i="55"/>
  <c r="AX110" i="55" s="1"/>
  <c r="AW112" i="55"/>
  <c r="AX112" i="55" s="1"/>
  <c r="AW113" i="55"/>
  <c r="AX113" i="55" s="1"/>
  <c r="AW115" i="55"/>
  <c r="AX115" i="55" s="1"/>
  <c r="AW118" i="55"/>
  <c r="AX118" i="55" s="1"/>
  <c r="AW123" i="55"/>
  <c r="AX123" i="55" s="1"/>
  <c r="AW125" i="55"/>
  <c r="AW133" i="55"/>
  <c r="AX133" i="55" s="1"/>
  <c r="AW134" i="55"/>
  <c r="AX134" i="55" s="1"/>
  <c r="AW136" i="55"/>
  <c r="AX136" i="55" s="1"/>
  <c r="AW139" i="55"/>
  <c r="AX139" i="55" s="1"/>
  <c r="AW141" i="55"/>
  <c r="AX141" i="55" s="1"/>
  <c r="AW142" i="55"/>
  <c r="AX142" i="55" s="1"/>
  <c r="AW149" i="55"/>
  <c r="AX149" i="55" s="1"/>
  <c r="AW152" i="55"/>
  <c r="AX152" i="55" s="1"/>
  <c r="AW157" i="55"/>
  <c r="AX157" i="55" s="1"/>
  <c r="AW163" i="55"/>
  <c r="AX163" i="55" s="1"/>
  <c r="AW173" i="55"/>
  <c r="AX173" i="55" s="1"/>
  <c r="AW174" i="55"/>
  <c r="AW182" i="55"/>
  <c r="AX182" i="55" s="1"/>
  <c r="AW187" i="55"/>
  <c r="AX187" i="55" s="1"/>
  <c r="AW189" i="55"/>
  <c r="AW190" i="55"/>
  <c r="AX190" i="55" s="1"/>
  <c r="AW191" i="55"/>
  <c r="AX191" i="55" s="1"/>
  <c r="AW193" i="55"/>
  <c r="AX193" i="55" s="1"/>
  <c r="AW198" i="55"/>
  <c r="AX198" i="55" s="1"/>
  <c r="AW205" i="55"/>
  <c r="AX205" i="55" s="1"/>
  <c r="AY205" i="55" s="1"/>
  <c r="E205" i="55" s="1"/>
  <c r="AZ205" i="55" s="1"/>
  <c r="AW206" i="55"/>
  <c r="AX206" i="55" s="1"/>
  <c r="AW209" i="55"/>
  <c r="AX209" i="55" s="1"/>
  <c r="AW213" i="55"/>
  <c r="AX213" i="55" s="1"/>
  <c r="AW214" i="55"/>
  <c r="AX214" i="55" s="1"/>
  <c r="AW216" i="55"/>
  <c r="AX216" i="55" s="1"/>
  <c r="AW221" i="55"/>
  <c r="AX221" i="55" s="1"/>
  <c r="AW222" i="55"/>
  <c r="AX222" i="55" s="1"/>
  <c r="AW229" i="55"/>
  <c r="AX229" i="55" s="1"/>
  <c r="AW232" i="55"/>
  <c r="AX232" i="55" s="1"/>
  <c r="AW237" i="55"/>
  <c r="AX237" i="55" s="1"/>
  <c r="AW238" i="55"/>
  <c r="AX238" i="55" s="1"/>
  <c r="AW240" i="55"/>
  <c r="AX240" i="55" s="1"/>
  <c r="AW241" i="55"/>
  <c r="AX241" i="55" s="1"/>
  <c r="AW246" i="55"/>
  <c r="AX246" i="55" s="1"/>
  <c r="AW253" i="55"/>
  <c r="AW254" i="55"/>
  <c r="AX254" i="55" s="1"/>
  <c r="AW262" i="55"/>
  <c r="AW269" i="55"/>
  <c r="AX269" i="55" s="1"/>
  <c r="AY269" i="55" s="1"/>
  <c r="E269" i="55" s="1"/>
  <c r="AZ269" i="55" s="1"/>
  <c r="AW270" i="55"/>
  <c r="AX270" i="55" s="1"/>
  <c r="AW273" i="55"/>
  <c r="AX273" i="55" s="1"/>
  <c r="AW277" i="55"/>
  <c r="AX277" i="55" s="1"/>
  <c r="AW278" i="55"/>
  <c r="AX278" i="55" s="1"/>
  <c r="AW280" i="55"/>
  <c r="AX280" i="55" s="1"/>
  <c r="AW285" i="55"/>
  <c r="AX285" i="55" s="1"/>
  <c r="AW286" i="55"/>
  <c r="AX286" i="55" s="1"/>
  <c r="AW289" i="55"/>
  <c r="AX289" i="55" s="1"/>
  <c r="AY289" i="55" s="1"/>
  <c r="E289" i="55" s="1"/>
  <c r="AZ289" i="55" s="1"/>
  <c r="AW296" i="55"/>
  <c r="AX296" i="55" s="1"/>
  <c r="AW301" i="55"/>
  <c r="AW308" i="55"/>
  <c r="AX308" i="55" s="1"/>
  <c r="AW309" i="55"/>
  <c r="AX309" i="55" s="1"/>
  <c r="AW310" i="55"/>
  <c r="AW312" i="55"/>
  <c r="AX312" i="55" s="1"/>
  <c r="AW317" i="55"/>
  <c r="AX317" i="55" s="1"/>
  <c r="AW318" i="55"/>
  <c r="AX318" i="55" s="1"/>
  <c r="AW319" i="55"/>
  <c r="AX319" i="55" s="1"/>
  <c r="AY319" i="55" s="1"/>
  <c r="E319" i="55" s="1"/>
  <c r="AZ319" i="55" s="1"/>
  <c r="AW325" i="55"/>
  <c r="AX325" i="55" s="1"/>
  <c r="AW328" i="55"/>
  <c r="AX328" i="55" s="1"/>
  <c r="AW333" i="55"/>
  <c r="AX333" i="55" s="1"/>
  <c r="AW341" i="55"/>
  <c r="AX341" i="55" s="1"/>
  <c r="AW347" i="55"/>
  <c r="AX347" i="55" s="1"/>
  <c r="AW349" i="55"/>
  <c r="AX349" i="55" s="1"/>
  <c r="AW350" i="55"/>
  <c r="AX350" i="55" s="1"/>
  <c r="AW352" i="55"/>
  <c r="AX352" i="55" s="1"/>
  <c r="AV4" i="55"/>
  <c r="AV5" i="55"/>
  <c r="AV6" i="55"/>
  <c r="AV8" i="55"/>
  <c r="AV14" i="55"/>
  <c r="AV17" i="55"/>
  <c r="AV20" i="55"/>
  <c r="AV21" i="55"/>
  <c r="AV22" i="55"/>
  <c r="AV23" i="55"/>
  <c r="AY23" i="55" s="1"/>
  <c r="AV24" i="55"/>
  <c r="AV29" i="55"/>
  <c r="AV30" i="55"/>
  <c r="AV32" i="55"/>
  <c r="AV33" i="55"/>
  <c r="AV45" i="55"/>
  <c r="AV46" i="55"/>
  <c r="AV48" i="55"/>
  <c r="BW48" i="55" s="1"/>
  <c r="AV49" i="55"/>
  <c r="AV51" i="55"/>
  <c r="BW51" i="55" s="1"/>
  <c r="CI51" i="55" s="1"/>
  <c r="AV52" i="55"/>
  <c r="AV53" i="55"/>
  <c r="AV54" i="55"/>
  <c r="AV61" i="55"/>
  <c r="AV62" i="55"/>
  <c r="AV68" i="55"/>
  <c r="AV72" i="55"/>
  <c r="AV77" i="55"/>
  <c r="AV78" i="55"/>
  <c r="AV81" i="55"/>
  <c r="AV83" i="55"/>
  <c r="AV84" i="55"/>
  <c r="AV85" i="55"/>
  <c r="AV86" i="55"/>
  <c r="AV87" i="55"/>
  <c r="AV88" i="55"/>
  <c r="AY88" i="55" s="1"/>
  <c r="AV93" i="55"/>
  <c r="AV94" i="55"/>
  <c r="AV109" i="55"/>
  <c r="AV110" i="55"/>
  <c r="AV112" i="55"/>
  <c r="BW112" i="55" s="1"/>
  <c r="CI112" i="55" s="1"/>
  <c r="AV113" i="55"/>
  <c r="AV115" i="55"/>
  <c r="BW115" i="55" s="1"/>
  <c r="AV116" i="55"/>
  <c r="AV117" i="55"/>
  <c r="AV118" i="55"/>
  <c r="AV125" i="55"/>
  <c r="AV126" i="55"/>
  <c r="AV129" i="55"/>
  <c r="AV138" i="55"/>
  <c r="AV141" i="55"/>
  <c r="AV149" i="55"/>
  <c r="AV150" i="55"/>
  <c r="AV151" i="55"/>
  <c r="AV152" i="55"/>
  <c r="AV157" i="55"/>
  <c r="AV160" i="55"/>
  <c r="BW160" i="55" s="1"/>
  <c r="AV166" i="55"/>
  <c r="AV168" i="55"/>
  <c r="AY168" i="55" s="1"/>
  <c r="E168" i="55" s="1"/>
  <c r="AZ168" i="55" s="1"/>
  <c r="AV173" i="55"/>
  <c r="AV174" i="55"/>
  <c r="AV177" i="55"/>
  <c r="AV181" i="55"/>
  <c r="AV182" i="55"/>
  <c r="AV189" i="55"/>
  <c r="AV190" i="55"/>
  <c r="AV193" i="55"/>
  <c r="AV197" i="55"/>
  <c r="AV200" i="55"/>
  <c r="AV205" i="55"/>
  <c r="AV206" i="55"/>
  <c r="AV209" i="55"/>
  <c r="AV212" i="55"/>
  <c r="AV213" i="55"/>
  <c r="AV214" i="55"/>
  <c r="AV215" i="55"/>
  <c r="AY215" i="55" s="1"/>
  <c r="E215" i="55" s="1"/>
  <c r="AZ215" i="55" s="1"/>
  <c r="AV216" i="55"/>
  <c r="AV222" i="55"/>
  <c r="AV237" i="55"/>
  <c r="AV238" i="55"/>
  <c r="AV241" i="55"/>
  <c r="AV245" i="55"/>
  <c r="AV246" i="55"/>
  <c r="AV253" i="55"/>
  <c r="AV254" i="55"/>
  <c r="AV260" i="55"/>
  <c r="AV261" i="55"/>
  <c r="AV262" i="55"/>
  <c r="BW262" i="55" s="1"/>
  <c r="AV269" i="55"/>
  <c r="AV277" i="55"/>
  <c r="AV278" i="55"/>
  <c r="AV280" i="55"/>
  <c r="AV286" i="55"/>
  <c r="AV289" i="55"/>
  <c r="AV293" i="55"/>
  <c r="AV294" i="55"/>
  <c r="AV295" i="55"/>
  <c r="AV301" i="55"/>
  <c r="AV305" i="55"/>
  <c r="AV309" i="55"/>
  <c r="AV310" i="55"/>
  <c r="AV318" i="55"/>
  <c r="AV321" i="55"/>
  <c r="AV325" i="55"/>
  <c r="AV326" i="55"/>
  <c r="AV333" i="55"/>
  <c r="AV337" i="55"/>
  <c r="AV339" i="55"/>
  <c r="AV340" i="55"/>
  <c r="AV341" i="55"/>
  <c r="AV342" i="55"/>
  <c r="AV344" i="55"/>
  <c r="AV349" i="55"/>
  <c r="AV350" i="55"/>
  <c r="AV352" i="55"/>
  <c r="AU3" i="55"/>
  <c r="AV3" i="55" s="1"/>
  <c r="AU4" i="55"/>
  <c r="AW4" i="55" s="1"/>
  <c r="AX4" i="55" s="1"/>
  <c r="AU5" i="55"/>
  <c r="AU6" i="55"/>
  <c r="AU7" i="55"/>
  <c r="AW7" i="55" s="1"/>
  <c r="AX7" i="55" s="1"/>
  <c r="AU8" i="55"/>
  <c r="AW8" i="55" s="1"/>
  <c r="AX8" i="55" s="1"/>
  <c r="AU9" i="55"/>
  <c r="AU10" i="55"/>
  <c r="AU11" i="55"/>
  <c r="AV11" i="55" s="1"/>
  <c r="AU12" i="55"/>
  <c r="AU13" i="55"/>
  <c r="AV13" i="55" s="1"/>
  <c r="AU14" i="55"/>
  <c r="AU15" i="55"/>
  <c r="AU16" i="55"/>
  <c r="AU17" i="55"/>
  <c r="AU18" i="55"/>
  <c r="AU19" i="55"/>
  <c r="AW19" i="55" s="1"/>
  <c r="AX19" i="55" s="1"/>
  <c r="AU20" i="55"/>
  <c r="AW20" i="55" s="1"/>
  <c r="AX20" i="55" s="1"/>
  <c r="AU21" i="55"/>
  <c r="AU22" i="55"/>
  <c r="AU23" i="55"/>
  <c r="AW23" i="55" s="1"/>
  <c r="AX23" i="55" s="1"/>
  <c r="AU24" i="55"/>
  <c r="AU25" i="55"/>
  <c r="AU26" i="55"/>
  <c r="AW26" i="55" s="1"/>
  <c r="AX26" i="55" s="1"/>
  <c r="AU27" i="55"/>
  <c r="AU28" i="55"/>
  <c r="AU29" i="55"/>
  <c r="AU30" i="55"/>
  <c r="AW30" i="55" s="1"/>
  <c r="AU31" i="55"/>
  <c r="AU32" i="55"/>
  <c r="AW32" i="55" s="1"/>
  <c r="AX32" i="55" s="1"/>
  <c r="AU33" i="55"/>
  <c r="AW33" i="55" s="1"/>
  <c r="AX33" i="55" s="1"/>
  <c r="AU34" i="55"/>
  <c r="AU35" i="55"/>
  <c r="AU36" i="55"/>
  <c r="AU37" i="55"/>
  <c r="AW37" i="55" s="1"/>
  <c r="AX37" i="55" s="1"/>
  <c r="AU38" i="55"/>
  <c r="AV38" i="55" s="1"/>
  <c r="AU39" i="55"/>
  <c r="AW39" i="55" s="1"/>
  <c r="AX39" i="55" s="1"/>
  <c r="AU40" i="55"/>
  <c r="AV40" i="55" s="1"/>
  <c r="AU41" i="55"/>
  <c r="AU42" i="55"/>
  <c r="AW42" i="55" s="1"/>
  <c r="AX42" i="55" s="1"/>
  <c r="AU43" i="55"/>
  <c r="AV43" i="55" s="1"/>
  <c r="AU44" i="55"/>
  <c r="AV44" i="55" s="1"/>
  <c r="AU45" i="55"/>
  <c r="AU46" i="55"/>
  <c r="AU47" i="55"/>
  <c r="AU48" i="55"/>
  <c r="AW48" i="55" s="1"/>
  <c r="AX48" i="55" s="1"/>
  <c r="AU49" i="55"/>
  <c r="AW49" i="55" s="1"/>
  <c r="AX49" i="55" s="1"/>
  <c r="AY49" i="55" s="1"/>
  <c r="E49" i="55" s="1"/>
  <c r="AZ49" i="55" s="1"/>
  <c r="AU50" i="55"/>
  <c r="AW50" i="55" s="1"/>
  <c r="AX50" i="55" s="1"/>
  <c r="AU51" i="55"/>
  <c r="AW51" i="55" s="1"/>
  <c r="AX51" i="55" s="1"/>
  <c r="AU52" i="55"/>
  <c r="AW52" i="55" s="1"/>
  <c r="AX52" i="55" s="1"/>
  <c r="AU53" i="55"/>
  <c r="AU54" i="55"/>
  <c r="AU55" i="55"/>
  <c r="AW55" i="55" s="1"/>
  <c r="AX55" i="55" s="1"/>
  <c r="AU56" i="55"/>
  <c r="AV56" i="55" s="1"/>
  <c r="AU57" i="55"/>
  <c r="AU58" i="55"/>
  <c r="AW58" i="55" s="1"/>
  <c r="AX58" i="55" s="1"/>
  <c r="AU59" i="55"/>
  <c r="AV59" i="55" s="1"/>
  <c r="AU60" i="55"/>
  <c r="AV60" i="55" s="1"/>
  <c r="AU61" i="55"/>
  <c r="AU62" i="55"/>
  <c r="AW62" i="55" s="1"/>
  <c r="AX62" i="55" s="1"/>
  <c r="AU63" i="55"/>
  <c r="AU64" i="55"/>
  <c r="AU65" i="55"/>
  <c r="AW65" i="55" s="1"/>
  <c r="AX65" i="55" s="1"/>
  <c r="AU66" i="55"/>
  <c r="AW66" i="55" s="1"/>
  <c r="AX66" i="55" s="1"/>
  <c r="AU67" i="55"/>
  <c r="AU68" i="55"/>
  <c r="AW68" i="55" s="1"/>
  <c r="AX68" i="55" s="1"/>
  <c r="AU69" i="55"/>
  <c r="AV69" i="55" s="1"/>
  <c r="AU70" i="55"/>
  <c r="AV70" i="55" s="1"/>
  <c r="AU71" i="55"/>
  <c r="AU72" i="55"/>
  <c r="AU73" i="55"/>
  <c r="AU74" i="55"/>
  <c r="AU75" i="55"/>
  <c r="AV75" i="55" s="1"/>
  <c r="AU76" i="55"/>
  <c r="AU77" i="55"/>
  <c r="AU78" i="55"/>
  <c r="AU79" i="55"/>
  <c r="AV79" i="55" s="1"/>
  <c r="AU80" i="55"/>
  <c r="AV80" i="55" s="1"/>
  <c r="AU81" i="55"/>
  <c r="AW81" i="55" s="1"/>
  <c r="AX81" i="55" s="1"/>
  <c r="AU82" i="55"/>
  <c r="AU83" i="55"/>
  <c r="AW83" i="55" s="1"/>
  <c r="AX83" i="55" s="1"/>
  <c r="AU84" i="55"/>
  <c r="AW84" i="55" s="1"/>
  <c r="AX84" i="55" s="1"/>
  <c r="AU85" i="55"/>
  <c r="AW85" i="55" s="1"/>
  <c r="AX85" i="55" s="1"/>
  <c r="AU86" i="55"/>
  <c r="AW86" i="55" s="1"/>
  <c r="AX86" i="55" s="1"/>
  <c r="AU87" i="55"/>
  <c r="AW87" i="55" s="1"/>
  <c r="AX87" i="55" s="1"/>
  <c r="AU88" i="55"/>
  <c r="AW88" i="55" s="1"/>
  <c r="AX88" i="55" s="1"/>
  <c r="AU89" i="55"/>
  <c r="AU90" i="55"/>
  <c r="AW90" i="55" s="1"/>
  <c r="AX90" i="55" s="1"/>
  <c r="AU91" i="55"/>
  <c r="AV91" i="55" s="1"/>
  <c r="AU92" i="55"/>
  <c r="AU93" i="55"/>
  <c r="AW93" i="55" s="1"/>
  <c r="AU94" i="55"/>
  <c r="AW94" i="55" s="1"/>
  <c r="AU95" i="55"/>
  <c r="AU96" i="55"/>
  <c r="AW96" i="55" s="1"/>
  <c r="AX96" i="55" s="1"/>
  <c r="AU97" i="55"/>
  <c r="AU98" i="55"/>
  <c r="AV98" i="55" s="1"/>
  <c r="AU99" i="55"/>
  <c r="AV99" i="55" s="1"/>
  <c r="AU100" i="55"/>
  <c r="AU101" i="55"/>
  <c r="AV101" i="55" s="1"/>
  <c r="AU102" i="55"/>
  <c r="AV102" i="55" s="1"/>
  <c r="AU103" i="55"/>
  <c r="AW103" i="55" s="1"/>
  <c r="AX103" i="55" s="1"/>
  <c r="AU104" i="55"/>
  <c r="AV104" i="55" s="1"/>
  <c r="AY104" i="55" s="1"/>
  <c r="AU105" i="55"/>
  <c r="AU106" i="55"/>
  <c r="AW106" i="55" s="1"/>
  <c r="AX106" i="55" s="1"/>
  <c r="AU107" i="55"/>
  <c r="AV107" i="55" s="1"/>
  <c r="AU108" i="55"/>
  <c r="AU109" i="55"/>
  <c r="AU110" i="55"/>
  <c r="AU111" i="55"/>
  <c r="AU112" i="55"/>
  <c r="AU113" i="55"/>
  <c r="AU114" i="55"/>
  <c r="AW114" i="55" s="1"/>
  <c r="AX114" i="55" s="1"/>
  <c r="AU115" i="55"/>
  <c r="AU116" i="55"/>
  <c r="AW116" i="55" s="1"/>
  <c r="AX116" i="55" s="1"/>
  <c r="AU117" i="55"/>
  <c r="AW117" i="55" s="1"/>
  <c r="AX117" i="55" s="1"/>
  <c r="AU118" i="55"/>
  <c r="AU119" i="55"/>
  <c r="AW119" i="55" s="1"/>
  <c r="AX119" i="55" s="1"/>
  <c r="AU120" i="55"/>
  <c r="AU121" i="55"/>
  <c r="AU122" i="55"/>
  <c r="AW122" i="55" s="1"/>
  <c r="AX122" i="55" s="1"/>
  <c r="AU123" i="55"/>
  <c r="AV123" i="55" s="1"/>
  <c r="AU124" i="55"/>
  <c r="AV124" i="55" s="1"/>
  <c r="AU125" i="55"/>
  <c r="AU126" i="55"/>
  <c r="AW126" i="55" s="1"/>
  <c r="AX126" i="55" s="1"/>
  <c r="AU127" i="55"/>
  <c r="AU128" i="55"/>
  <c r="AU129" i="55"/>
  <c r="AW129" i="55" s="1"/>
  <c r="AU130" i="55"/>
  <c r="AW130" i="55" s="1"/>
  <c r="AX130" i="55" s="1"/>
  <c r="AU131" i="55"/>
  <c r="AV131" i="55" s="1"/>
  <c r="AU132" i="55"/>
  <c r="AU133" i="55"/>
  <c r="AV133" i="55" s="1"/>
  <c r="AU134" i="55"/>
  <c r="AV134" i="55" s="1"/>
  <c r="AU135" i="55"/>
  <c r="AW135" i="55" s="1"/>
  <c r="AX135" i="55" s="1"/>
  <c r="AU136" i="55"/>
  <c r="AV136" i="55" s="1"/>
  <c r="AY136" i="55" s="1"/>
  <c r="AU137" i="55"/>
  <c r="AU138" i="55"/>
  <c r="AW138" i="55" s="1"/>
  <c r="AX138" i="55" s="1"/>
  <c r="AU139" i="55"/>
  <c r="AV139" i="55" s="1"/>
  <c r="AU140" i="55"/>
  <c r="AV140" i="55" s="1"/>
  <c r="AU141" i="55"/>
  <c r="AU142" i="55"/>
  <c r="AV142" i="55" s="1"/>
  <c r="AU143" i="55"/>
  <c r="AV143" i="55" s="1"/>
  <c r="BW143" i="55" s="1"/>
  <c r="AU144" i="55"/>
  <c r="AV144" i="55" s="1"/>
  <c r="AU145" i="55"/>
  <c r="AW145" i="55" s="1"/>
  <c r="AX145" i="55" s="1"/>
  <c r="AU146" i="55"/>
  <c r="AU147" i="55"/>
  <c r="AW147" i="55" s="1"/>
  <c r="AX147" i="55" s="1"/>
  <c r="AU148" i="55"/>
  <c r="AW148" i="55" s="1"/>
  <c r="AX148" i="55" s="1"/>
  <c r="AU149" i="55"/>
  <c r="AU150" i="55"/>
  <c r="AW150" i="55" s="1"/>
  <c r="AX150" i="55" s="1"/>
  <c r="AU151" i="55"/>
  <c r="AW151" i="55" s="1"/>
  <c r="AX151" i="55" s="1"/>
  <c r="AU152" i="55"/>
  <c r="AU153" i="55"/>
  <c r="AU154" i="55"/>
  <c r="AW154" i="55" s="1"/>
  <c r="AX154" i="55" s="1"/>
  <c r="AU155" i="55"/>
  <c r="AV155" i="55" s="1"/>
  <c r="AU156" i="55"/>
  <c r="AV156" i="55" s="1"/>
  <c r="AU157" i="55"/>
  <c r="AU158" i="55"/>
  <c r="AU159" i="55"/>
  <c r="AU160" i="55"/>
  <c r="AW160" i="55" s="1"/>
  <c r="AX160" i="55" s="1"/>
  <c r="AU161" i="55"/>
  <c r="AU162" i="55"/>
  <c r="AV162" i="55" s="1"/>
  <c r="AU163" i="55"/>
  <c r="AV163" i="55" s="1"/>
  <c r="AU164" i="55"/>
  <c r="AW164" i="55" s="1"/>
  <c r="AX164" i="55" s="1"/>
  <c r="AU165" i="55"/>
  <c r="AW165" i="55" s="1"/>
  <c r="AX165" i="55" s="1"/>
  <c r="AU166" i="55"/>
  <c r="AW166" i="55" s="1"/>
  <c r="AX166" i="55" s="1"/>
  <c r="AU167" i="55"/>
  <c r="AU168" i="55"/>
  <c r="AW168" i="55" s="1"/>
  <c r="AX168" i="55" s="1"/>
  <c r="AU169" i="55"/>
  <c r="AU170" i="55"/>
  <c r="AW170" i="55" s="1"/>
  <c r="AX170" i="55" s="1"/>
  <c r="AU171" i="55"/>
  <c r="AV171" i="55" s="1"/>
  <c r="AU172" i="55"/>
  <c r="AV172" i="55" s="1"/>
  <c r="AU173" i="55"/>
  <c r="AU174" i="55"/>
  <c r="AU175" i="55"/>
  <c r="AV175" i="55" s="1"/>
  <c r="AU176" i="55"/>
  <c r="AW176" i="55" s="1"/>
  <c r="AU177" i="55"/>
  <c r="AW177" i="55" s="1"/>
  <c r="AX177" i="55" s="1"/>
  <c r="AU178" i="55"/>
  <c r="AW178" i="55" s="1"/>
  <c r="AX178" i="55" s="1"/>
  <c r="AU179" i="55"/>
  <c r="AV179" i="55" s="1"/>
  <c r="AU180" i="55"/>
  <c r="AV180" i="55" s="1"/>
  <c r="AU181" i="55"/>
  <c r="AW181" i="55" s="1"/>
  <c r="AX181" i="55" s="1"/>
  <c r="AU182" i="55"/>
  <c r="AU183" i="55"/>
  <c r="AW183" i="55" s="1"/>
  <c r="AX183" i="55" s="1"/>
  <c r="AU184" i="55"/>
  <c r="AW184" i="55" s="1"/>
  <c r="AX184" i="55" s="1"/>
  <c r="AU185" i="55"/>
  <c r="AU186" i="55"/>
  <c r="AW186" i="55" s="1"/>
  <c r="AU187" i="55"/>
  <c r="AV187" i="55" s="1"/>
  <c r="AU188" i="55"/>
  <c r="AU189" i="55"/>
  <c r="AU190" i="55"/>
  <c r="AU191" i="55"/>
  <c r="AV191" i="55" s="1"/>
  <c r="AU192" i="55"/>
  <c r="AU193" i="55"/>
  <c r="AU194" i="55"/>
  <c r="AU195" i="55"/>
  <c r="AU196" i="55"/>
  <c r="AW196" i="55" s="1"/>
  <c r="AX196" i="55" s="1"/>
  <c r="AU197" i="55"/>
  <c r="AW197" i="55" s="1"/>
  <c r="AX197" i="55" s="1"/>
  <c r="AU198" i="55"/>
  <c r="AV198" i="55" s="1"/>
  <c r="AU199" i="55"/>
  <c r="AU200" i="55"/>
  <c r="AW200" i="55" s="1"/>
  <c r="AX200" i="55" s="1"/>
  <c r="AU201" i="55"/>
  <c r="AU202" i="55"/>
  <c r="AU203" i="55"/>
  <c r="AV203" i="55" s="1"/>
  <c r="AU204" i="55"/>
  <c r="AV204" i="55" s="1"/>
  <c r="AU205" i="55"/>
  <c r="AU206" i="55"/>
  <c r="AU207" i="55"/>
  <c r="AU208" i="55"/>
  <c r="AU209" i="55"/>
  <c r="AU210" i="55"/>
  <c r="AU211" i="55"/>
  <c r="AW211" i="55" s="1"/>
  <c r="AX211" i="55" s="1"/>
  <c r="AU212" i="55"/>
  <c r="AW212" i="55" s="1"/>
  <c r="AX212" i="55" s="1"/>
  <c r="AU213" i="55"/>
  <c r="AU214" i="55"/>
  <c r="AU215" i="55"/>
  <c r="AW215" i="55" s="1"/>
  <c r="AX215" i="55" s="1"/>
  <c r="AU216" i="55"/>
  <c r="AU217" i="55"/>
  <c r="AU218" i="55"/>
  <c r="AW218" i="55" s="1"/>
  <c r="AX218" i="55" s="1"/>
  <c r="AU219" i="55"/>
  <c r="AV219" i="55" s="1"/>
  <c r="AU220" i="55"/>
  <c r="AV220" i="55" s="1"/>
  <c r="AU221" i="55"/>
  <c r="AV221" i="55" s="1"/>
  <c r="AU222" i="55"/>
  <c r="AU223" i="55"/>
  <c r="AV223" i="55" s="1"/>
  <c r="AU224" i="55"/>
  <c r="AW224" i="55" s="1"/>
  <c r="AX224" i="55" s="1"/>
  <c r="AU225" i="55"/>
  <c r="AW225" i="55" s="1"/>
  <c r="AU226" i="55"/>
  <c r="AU227" i="55"/>
  <c r="AU228" i="55"/>
  <c r="AU229" i="55"/>
  <c r="AV229" i="55" s="1"/>
  <c r="AU230" i="55"/>
  <c r="AV230" i="55" s="1"/>
  <c r="AU231" i="55"/>
  <c r="AU232" i="55"/>
  <c r="AV232" i="55" s="1"/>
  <c r="AY232" i="55" s="1"/>
  <c r="AU233" i="55"/>
  <c r="AU234" i="55"/>
  <c r="AW234" i="55" s="1"/>
  <c r="AX234" i="55" s="1"/>
  <c r="AU235" i="55"/>
  <c r="AV235" i="55" s="1"/>
  <c r="AU236" i="55"/>
  <c r="AU237" i="55"/>
  <c r="AU238" i="55"/>
  <c r="AU239" i="55"/>
  <c r="AU240" i="55"/>
  <c r="AV240" i="55" s="1"/>
  <c r="AU241" i="55"/>
  <c r="AU242" i="55"/>
  <c r="AV242" i="55" s="1"/>
  <c r="AU243" i="55"/>
  <c r="AW243" i="55" s="1"/>
  <c r="AX243" i="55" s="1"/>
  <c r="AU244" i="55"/>
  <c r="AW244" i="55" s="1"/>
  <c r="AX244" i="55" s="1"/>
  <c r="AU245" i="55"/>
  <c r="AW245" i="55" s="1"/>
  <c r="AX245" i="55" s="1"/>
  <c r="AU246" i="55"/>
  <c r="AU247" i="55"/>
  <c r="AW247" i="55" s="1"/>
  <c r="AX247" i="55" s="1"/>
  <c r="AU248" i="55"/>
  <c r="AV248" i="55" s="1"/>
  <c r="AU249" i="55"/>
  <c r="AU250" i="55"/>
  <c r="AW250" i="55" s="1"/>
  <c r="AX250" i="55" s="1"/>
  <c r="AU251" i="55"/>
  <c r="AV251" i="55" s="1"/>
  <c r="AU252" i="55"/>
  <c r="AU253" i="55"/>
  <c r="AU254" i="55"/>
  <c r="AU255" i="55"/>
  <c r="AU256" i="55"/>
  <c r="AV256" i="55" s="1"/>
  <c r="AU257" i="55"/>
  <c r="AV257" i="55" s="1"/>
  <c r="AU258" i="55"/>
  <c r="AV258" i="55" s="1"/>
  <c r="AU259" i="55"/>
  <c r="AV259" i="55" s="1"/>
  <c r="BW259" i="55" s="1"/>
  <c r="CI259" i="55" s="1"/>
  <c r="AU260" i="55"/>
  <c r="AW260" i="55" s="1"/>
  <c r="AX260" i="55" s="1"/>
  <c r="AU261" i="55"/>
  <c r="AW261" i="55" s="1"/>
  <c r="AX261" i="55" s="1"/>
  <c r="AU262" i="55"/>
  <c r="AU263" i="55"/>
  <c r="AW263" i="55" s="1"/>
  <c r="AX263" i="55" s="1"/>
  <c r="AU264" i="55"/>
  <c r="AW264" i="55" s="1"/>
  <c r="AX264" i="55" s="1"/>
  <c r="AU265" i="55"/>
  <c r="AU266" i="55"/>
  <c r="AU267" i="55"/>
  <c r="AU268" i="55"/>
  <c r="AU269" i="55"/>
  <c r="AU270" i="55"/>
  <c r="AV270" i="55" s="1"/>
  <c r="AU271" i="55"/>
  <c r="AU272" i="55"/>
  <c r="AU273" i="55"/>
  <c r="AV273" i="55" s="1"/>
  <c r="AU274" i="55"/>
  <c r="AU275" i="55"/>
  <c r="AW275" i="55" s="1"/>
  <c r="AX275" i="55" s="1"/>
  <c r="AU276" i="55"/>
  <c r="AV276" i="55" s="1"/>
  <c r="AU277" i="55"/>
  <c r="AU278" i="55"/>
  <c r="AU279" i="55"/>
  <c r="AW279" i="55" s="1"/>
  <c r="AX279" i="55" s="1"/>
  <c r="AU280" i="55"/>
  <c r="AU281" i="55"/>
  <c r="AU282" i="55"/>
  <c r="AW282" i="55" s="1"/>
  <c r="AX282" i="55" s="1"/>
  <c r="AU283" i="55"/>
  <c r="AV283" i="55" s="1"/>
  <c r="AU284" i="55"/>
  <c r="AU285" i="55"/>
  <c r="AV285" i="55" s="1"/>
  <c r="AU286" i="55"/>
  <c r="AU287" i="55"/>
  <c r="AU288" i="55"/>
  <c r="AW288" i="55" s="1"/>
  <c r="AU289" i="55"/>
  <c r="AU290" i="55"/>
  <c r="AU291" i="55"/>
  <c r="AU292" i="55"/>
  <c r="AV292" i="55" s="1"/>
  <c r="AU293" i="55"/>
  <c r="AW293" i="55" s="1"/>
  <c r="AX293" i="55" s="1"/>
  <c r="AU294" i="55"/>
  <c r="AW294" i="55" s="1"/>
  <c r="AX294" i="55" s="1"/>
  <c r="AU295" i="55"/>
  <c r="AW295" i="55" s="1"/>
  <c r="AX295" i="55" s="1"/>
  <c r="AU296" i="55"/>
  <c r="AV296" i="55" s="1"/>
  <c r="AU297" i="55"/>
  <c r="AU298" i="55"/>
  <c r="AU299" i="55"/>
  <c r="AU300" i="55"/>
  <c r="AV300" i="55" s="1"/>
  <c r="AU301" i="55"/>
  <c r="AU302" i="55"/>
  <c r="AU303" i="55"/>
  <c r="AU304" i="55"/>
  <c r="AU305" i="55"/>
  <c r="AW305" i="55" s="1"/>
  <c r="AX305" i="55" s="1"/>
  <c r="AU306" i="55"/>
  <c r="AW306" i="55" s="1"/>
  <c r="AX306" i="55" s="1"/>
  <c r="AU307" i="55"/>
  <c r="AW307" i="55" s="1"/>
  <c r="AX307" i="55" s="1"/>
  <c r="AU308" i="55"/>
  <c r="AV308" i="55" s="1"/>
  <c r="AU309" i="55"/>
  <c r="AU310" i="55"/>
  <c r="AU311" i="55"/>
  <c r="AW311" i="55" s="1"/>
  <c r="AX311" i="55" s="1"/>
  <c r="AU312" i="55"/>
  <c r="AV312" i="55" s="1"/>
  <c r="AU313" i="55"/>
  <c r="AU314" i="55"/>
  <c r="AU315" i="55"/>
  <c r="AV315" i="55" s="1"/>
  <c r="AU316" i="55"/>
  <c r="AV316" i="55" s="1"/>
  <c r="AU317" i="55"/>
  <c r="AV317" i="55" s="1"/>
  <c r="AU318" i="55"/>
  <c r="AU319" i="55"/>
  <c r="AV319" i="55" s="1"/>
  <c r="AU320" i="55"/>
  <c r="AU321" i="55"/>
  <c r="AW321" i="55" s="1"/>
  <c r="AX321" i="55" s="1"/>
  <c r="AU322" i="55"/>
  <c r="AW322" i="55" s="1"/>
  <c r="AX322" i="55" s="1"/>
  <c r="AU323" i="55"/>
  <c r="AU324" i="55"/>
  <c r="AW324" i="55" s="1"/>
  <c r="AX324" i="55" s="1"/>
  <c r="AU325" i="55"/>
  <c r="AU326" i="55"/>
  <c r="AW326" i="55" s="1"/>
  <c r="AX326" i="55" s="1"/>
  <c r="AU327" i="55"/>
  <c r="AW327" i="55" s="1"/>
  <c r="AX327" i="55" s="1"/>
  <c r="AU328" i="55"/>
  <c r="AV328" i="55" s="1"/>
  <c r="AU329" i="55"/>
  <c r="AU330" i="55"/>
  <c r="AU331" i="55"/>
  <c r="AU332" i="55"/>
  <c r="AU333" i="55"/>
  <c r="AU334" i="55"/>
  <c r="AV334" i="55" s="1"/>
  <c r="AU335" i="55"/>
  <c r="AV335" i="55" s="1"/>
  <c r="AU336" i="55"/>
  <c r="AV336" i="55" s="1"/>
  <c r="AY336" i="55" s="1"/>
  <c r="AU337" i="55"/>
  <c r="AW337" i="55" s="1"/>
  <c r="AX337" i="55" s="1"/>
  <c r="AU338" i="55"/>
  <c r="AV338" i="55" s="1"/>
  <c r="AU339" i="55"/>
  <c r="AW339" i="55" s="1"/>
  <c r="AX339" i="55" s="1"/>
  <c r="AU340" i="55"/>
  <c r="AW340" i="55" s="1"/>
  <c r="AX340" i="55" s="1"/>
  <c r="AU341" i="55"/>
  <c r="AU342" i="55"/>
  <c r="AW342" i="55" s="1"/>
  <c r="AX342" i="55" s="1"/>
  <c r="AU343" i="55"/>
  <c r="AU344" i="55"/>
  <c r="AW344" i="55" s="1"/>
  <c r="AX344" i="55" s="1"/>
  <c r="AU345" i="55"/>
  <c r="AU346" i="55"/>
  <c r="AW346" i="55" s="1"/>
  <c r="AX346" i="55" s="1"/>
  <c r="AU347" i="55"/>
  <c r="AV347" i="55" s="1"/>
  <c r="AU348" i="55"/>
  <c r="AU349" i="55"/>
  <c r="AU350" i="55"/>
  <c r="AU351" i="55"/>
  <c r="AU352" i="55"/>
  <c r="AT3" i="55"/>
  <c r="AT4" i="55"/>
  <c r="AT5" i="55"/>
  <c r="AT6" i="55"/>
  <c r="AT7" i="55"/>
  <c r="AT8" i="55"/>
  <c r="AT9" i="55"/>
  <c r="BL9" i="55" s="1"/>
  <c r="AT10" i="55"/>
  <c r="CE10" i="55" s="1"/>
  <c r="AT11" i="55"/>
  <c r="AT12" i="55"/>
  <c r="AT13" i="55"/>
  <c r="AT14" i="55"/>
  <c r="AT15" i="55"/>
  <c r="BW15" i="55" s="1"/>
  <c r="AT16" i="55"/>
  <c r="BL16" i="55" s="1"/>
  <c r="AT17" i="55"/>
  <c r="AT18" i="55"/>
  <c r="AT19" i="55"/>
  <c r="AT20" i="55"/>
  <c r="AT21" i="55"/>
  <c r="AT22" i="55"/>
  <c r="BL22" i="55" s="1"/>
  <c r="AT23" i="55"/>
  <c r="BW23" i="55" s="1"/>
  <c r="AT24" i="55"/>
  <c r="BW24" i="55" s="1"/>
  <c r="AT25" i="55"/>
  <c r="AT26" i="55"/>
  <c r="BW26" i="55" s="1"/>
  <c r="AT27" i="55"/>
  <c r="AT28" i="55"/>
  <c r="AT29" i="55"/>
  <c r="AT30" i="55"/>
  <c r="AT31" i="55"/>
  <c r="CE31" i="55" s="1"/>
  <c r="AT32" i="55"/>
  <c r="AT33" i="55"/>
  <c r="AT34" i="55"/>
  <c r="AT35" i="55"/>
  <c r="CE35" i="55" s="1"/>
  <c r="AT36" i="55"/>
  <c r="AT37" i="55"/>
  <c r="AT38" i="55"/>
  <c r="CE38" i="55" s="1"/>
  <c r="AT39" i="55"/>
  <c r="DW39" i="55" s="1"/>
  <c r="AT40" i="55"/>
  <c r="AT41" i="55"/>
  <c r="AT42" i="55"/>
  <c r="CE42" i="55" s="1"/>
  <c r="AT43" i="55"/>
  <c r="AT44" i="55"/>
  <c r="AT45" i="55"/>
  <c r="AY45" i="55" s="1"/>
  <c r="E45" i="55" s="1"/>
  <c r="AZ45" i="55" s="1"/>
  <c r="AT46" i="55"/>
  <c r="AT47" i="55"/>
  <c r="AT48" i="55"/>
  <c r="AT49" i="55"/>
  <c r="BL49" i="55" s="1"/>
  <c r="AT50" i="55"/>
  <c r="AT51" i="55"/>
  <c r="AT52" i="55"/>
  <c r="AT53" i="55"/>
  <c r="AT54" i="55"/>
  <c r="CE54" i="55" s="1"/>
  <c r="AT55" i="55"/>
  <c r="AT56" i="55"/>
  <c r="AT57" i="55"/>
  <c r="AT58" i="55"/>
  <c r="AT59" i="55"/>
  <c r="AT60" i="55"/>
  <c r="CE60" i="55" s="1"/>
  <c r="AT61" i="55"/>
  <c r="AT62" i="55"/>
  <c r="AY62" i="55" s="1"/>
  <c r="AT63" i="55"/>
  <c r="BL63" i="55" s="1"/>
  <c r="AT64" i="55"/>
  <c r="AT65" i="55"/>
  <c r="AT66" i="55"/>
  <c r="AT67" i="55"/>
  <c r="AT68" i="55"/>
  <c r="AT69" i="55"/>
  <c r="AT70" i="55"/>
  <c r="BL70" i="55" s="1"/>
  <c r="AT71" i="55"/>
  <c r="AT72" i="55"/>
  <c r="DF72" i="55" s="1"/>
  <c r="AT73" i="55"/>
  <c r="BL73" i="55" s="1"/>
  <c r="AT74" i="55"/>
  <c r="AT75" i="55"/>
  <c r="AT76" i="55"/>
  <c r="AT77" i="55"/>
  <c r="CE77" i="55" s="1"/>
  <c r="AT78" i="55"/>
  <c r="AT79" i="55"/>
  <c r="AT80" i="55"/>
  <c r="CE80" i="55" s="1"/>
  <c r="AT81" i="55"/>
  <c r="AT82" i="55"/>
  <c r="AT83" i="55"/>
  <c r="BL83" i="55" s="1"/>
  <c r="AT84" i="55"/>
  <c r="AT85" i="55"/>
  <c r="BL85" i="55" s="1"/>
  <c r="AT86" i="55"/>
  <c r="BW86" i="55" s="1"/>
  <c r="AT87" i="55"/>
  <c r="BW87" i="55" s="1"/>
  <c r="AT88" i="55"/>
  <c r="BW88" i="55" s="1"/>
  <c r="AT89" i="55"/>
  <c r="BW89" i="55" s="1"/>
  <c r="CI89" i="55" s="1"/>
  <c r="AT90" i="55"/>
  <c r="AT91" i="55"/>
  <c r="AT92" i="55"/>
  <c r="DW92" i="55" s="1"/>
  <c r="AT93" i="55"/>
  <c r="AT94" i="55"/>
  <c r="BW94" i="55" s="1"/>
  <c r="AT95" i="55"/>
  <c r="AT96" i="55"/>
  <c r="BL96" i="55" s="1"/>
  <c r="AT97" i="55"/>
  <c r="AT98" i="55"/>
  <c r="AT99" i="55"/>
  <c r="DF99" i="55" s="1"/>
  <c r="AT100" i="55"/>
  <c r="AT101" i="55"/>
  <c r="AT102" i="55"/>
  <c r="AT103" i="55"/>
  <c r="AT104" i="55"/>
  <c r="AT105" i="55"/>
  <c r="AT106" i="55"/>
  <c r="AT107" i="55"/>
  <c r="AT108" i="55"/>
  <c r="BL108" i="55" s="1"/>
  <c r="AT109" i="55"/>
  <c r="AT110" i="55"/>
  <c r="AT111" i="55"/>
  <c r="DW111" i="55" s="1"/>
  <c r="AT112" i="55"/>
  <c r="AT113" i="55"/>
  <c r="BL113" i="55" s="1"/>
  <c r="AT114" i="55"/>
  <c r="AT115" i="55"/>
  <c r="BL115" i="55" s="1"/>
  <c r="AT116" i="55"/>
  <c r="AT117" i="55"/>
  <c r="AT118" i="55"/>
  <c r="AT119" i="55"/>
  <c r="AT120" i="55"/>
  <c r="AT121" i="55"/>
  <c r="AT122" i="55"/>
  <c r="AT123" i="55"/>
  <c r="AT124" i="55"/>
  <c r="AT125" i="55"/>
  <c r="AY125" i="55" s="1"/>
  <c r="AT126" i="55"/>
  <c r="AT127" i="55"/>
  <c r="CE127" i="55" s="1"/>
  <c r="AT128" i="55"/>
  <c r="BL128" i="55" s="1"/>
  <c r="AT129" i="55"/>
  <c r="AT130" i="55"/>
  <c r="AT131" i="55"/>
  <c r="AT132" i="55"/>
  <c r="CE132" i="55" s="1"/>
  <c r="AT133" i="55"/>
  <c r="CE133" i="55" s="1"/>
  <c r="AT134" i="55"/>
  <c r="AT135" i="55"/>
  <c r="AT136" i="55"/>
  <c r="AT137" i="55"/>
  <c r="BL137" i="55" s="1"/>
  <c r="AT138" i="55"/>
  <c r="CE138" i="55" s="1"/>
  <c r="AT139" i="55"/>
  <c r="AT140" i="55"/>
  <c r="AT141" i="55"/>
  <c r="AT142" i="55"/>
  <c r="AT143" i="55"/>
  <c r="BL143" i="55" s="1"/>
  <c r="AT144" i="55"/>
  <c r="BL144" i="55" s="1"/>
  <c r="AT145" i="55"/>
  <c r="AT146" i="55"/>
  <c r="AT147" i="55"/>
  <c r="BL147" i="55" s="1"/>
  <c r="AT148" i="55"/>
  <c r="BL148" i="55" s="1"/>
  <c r="AT149" i="55"/>
  <c r="DF149" i="55" s="1"/>
  <c r="AT150" i="55"/>
  <c r="BW150" i="55" s="1"/>
  <c r="AT151" i="55"/>
  <c r="BW151" i="55" s="1"/>
  <c r="AT152" i="55"/>
  <c r="BW152" i="55" s="1"/>
  <c r="AT153" i="55"/>
  <c r="AT154" i="55"/>
  <c r="AT155" i="55"/>
  <c r="AT156" i="55"/>
  <c r="AT157" i="55"/>
  <c r="AT158" i="55"/>
  <c r="AT159" i="55"/>
  <c r="AT160" i="55"/>
  <c r="AT161" i="55"/>
  <c r="AT162" i="55"/>
  <c r="AT163" i="55"/>
  <c r="CE163" i="55" s="1"/>
  <c r="AT164" i="55"/>
  <c r="AT165" i="55"/>
  <c r="AT166" i="55"/>
  <c r="AT167" i="55"/>
  <c r="AT168" i="55"/>
  <c r="AT169" i="55"/>
  <c r="CE169" i="55" s="1"/>
  <c r="AT170" i="55"/>
  <c r="CE170" i="55" s="1"/>
  <c r="AT171" i="55"/>
  <c r="AT172" i="55"/>
  <c r="AT173" i="55"/>
  <c r="BL173" i="55" s="1"/>
  <c r="AT174" i="55"/>
  <c r="BL174" i="55" s="1"/>
  <c r="AT175" i="55"/>
  <c r="BL175" i="55" s="1"/>
  <c r="AT176" i="55"/>
  <c r="CE176" i="55" s="1"/>
  <c r="AT177" i="55"/>
  <c r="AY177" i="55" s="1"/>
  <c r="E177" i="55" s="1"/>
  <c r="AZ177" i="55" s="1"/>
  <c r="AT178" i="55"/>
  <c r="BL178" i="55" s="1"/>
  <c r="AT179" i="55"/>
  <c r="AT180" i="55"/>
  <c r="AT181" i="55"/>
  <c r="AT182" i="55"/>
  <c r="AT183" i="55"/>
  <c r="CE183" i="55" s="1"/>
  <c r="AT184" i="55"/>
  <c r="AT185" i="55"/>
  <c r="AT186" i="55"/>
  <c r="AT187" i="55"/>
  <c r="AT188" i="55"/>
  <c r="AT189" i="55"/>
  <c r="AT190" i="55"/>
  <c r="AY190" i="55" s="1"/>
  <c r="E190" i="55" s="1"/>
  <c r="AZ190" i="55" s="1"/>
  <c r="AT191" i="55"/>
  <c r="BL191" i="55" s="1"/>
  <c r="AT192" i="55"/>
  <c r="AT193" i="55"/>
  <c r="AT194" i="55"/>
  <c r="AT195" i="55"/>
  <c r="BL195" i="55" s="1"/>
  <c r="AT196" i="55"/>
  <c r="BL196" i="55" s="1"/>
  <c r="AT197" i="55"/>
  <c r="AT198" i="55"/>
  <c r="AT199" i="55"/>
  <c r="AT200" i="55"/>
  <c r="AT201" i="55"/>
  <c r="AT202" i="55"/>
  <c r="AT203" i="55"/>
  <c r="AT204" i="55"/>
  <c r="AT205" i="55"/>
  <c r="BL205" i="55" s="1"/>
  <c r="DA205" i="55" s="1" a="1"/>
  <c r="DA205" i="55" s="1"/>
  <c r="AT206" i="55"/>
  <c r="DW206" i="55" s="1"/>
  <c r="AT207" i="55"/>
  <c r="BL207" i="55" s="1"/>
  <c r="AT208" i="55"/>
  <c r="AT209" i="55"/>
  <c r="DW209" i="55" s="1"/>
  <c r="AT210" i="55"/>
  <c r="AT211" i="55"/>
  <c r="AT212" i="55"/>
  <c r="AT213" i="55"/>
  <c r="AT214" i="55"/>
  <c r="AT215" i="55"/>
  <c r="DF215" i="55" s="1"/>
  <c r="AT216" i="55"/>
  <c r="AT217" i="55"/>
  <c r="AT218" i="55"/>
  <c r="AT219" i="55"/>
  <c r="AT220" i="55"/>
  <c r="AT221" i="55"/>
  <c r="BL221" i="55" s="1"/>
  <c r="AT222" i="55"/>
  <c r="BW222" i="55" s="1"/>
  <c r="AT223" i="55"/>
  <c r="AT224" i="55"/>
  <c r="AT225" i="55"/>
  <c r="AT226" i="55"/>
  <c r="AT227" i="55"/>
  <c r="EA227" i="55" s="1"/>
  <c r="AT228" i="55"/>
  <c r="BL228" i="55" s="1"/>
  <c r="AT229" i="55"/>
  <c r="AT230" i="55"/>
  <c r="DF230" i="55" s="1"/>
  <c r="AT231" i="55"/>
  <c r="DW231" i="55" s="1"/>
  <c r="AT232" i="55"/>
  <c r="AT233" i="55"/>
  <c r="BL233" i="55" s="1"/>
  <c r="AT234" i="55"/>
  <c r="AT235" i="55"/>
  <c r="AT236" i="55"/>
  <c r="BL236" i="55" s="1"/>
  <c r="AT237" i="55"/>
  <c r="BL237" i="55" s="1"/>
  <c r="AT238" i="55"/>
  <c r="BL238" i="55" s="1"/>
  <c r="AT239" i="55"/>
  <c r="BL239" i="55" s="1"/>
  <c r="AT240" i="55"/>
  <c r="AT241" i="55"/>
  <c r="BL241" i="55" s="1"/>
  <c r="AT242" i="55"/>
  <c r="EA242" i="55" s="1"/>
  <c r="AT243" i="55"/>
  <c r="BL243" i="55" s="1"/>
  <c r="AT244" i="55"/>
  <c r="AT245" i="55"/>
  <c r="AT246" i="55"/>
  <c r="AT247" i="55"/>
  <c r="AT248" i="55"/>
  <c r="CE248" i="55" s="1"/>
  <c r="AT249" i="55"/>
  <c r="CE249" i="55" s="1"/>
  <c r="AT250" i="55"/>
  <c r="AT251" i="55"/>
  <c r="AT252" i="55"/>
  <c r="AT253" i="55"/>
  <c r="AY253" i="55" s="1"/>
  <c r="E253" i="55" s="1"/>
  <c r="AZ253" i="55" s="1"/>
  <c r="AT254" i="55"/>
  <c r="AT255" i="55"/>
  <c r="AT256" i="55"/>
  <c r="AT257" i="55"/>
  <c r="AT258" i="55"/>
  <c r="AT259" i="55"/>
  <c r="AT260" i="55"/>
  <c r="AT261" i="55"/>
  <c r="CE261" i="55" s="1"/>
  <c r="AT262" i="55"/>
  <c r="AT263" i="55"/>
  <c r="AT264" i="55"/>
  <c r="AT265" i="55"/>
  <c r="BL265" i="55" s="1"/>
  <c r="AT266" i="55"/>
  <c r="AT267" i="55"/>
  <c r="AT268" i="55"/>
  <c r="AT269" i="55"/>
  <c r="CE269" i="55" s="1"/>
  <c r="AT270" i="55"/>
  <c r="AT271" i="55"/>
  <c r="BL271" i="55" s="1"/>
  <c r="AT272" i="55"/>
  <c r="CE272" i="55" s="1"/>
  <c r="AT273" i="55"/>
  <c r="AT274" i="55"/>
  <c r="CE274" i="55" s="1"/>
  <c r="AT275" i="55"/>
  <c r="AT276" i="55"/>
  <c r="AT277" i="55"/>
  <c r="CE277" i="55" s="1"/>
  <c r="AT278" i="55"/>
  <c r="BL278" i="55" s="1"/>
  <c r="AT279" i="55"/>
  <c r="AT280" i="55"/>
  <c r="AT281" i="55"/>
  <c r="BL281" i="55" s="1"/>
  <c r="AT282" i="55"/>
  <c r="BW282" i="55" s="1"/>
  <c r="CI282" i="55" s="1"/>
  <c r="AT283" i="55"/>
  <c r="AT284" i="55"/>
  <c r="AT285" i="55"/>
  <c r="AT286" i="55"/>
  <c r="BW286" i="55" s="1"/>
  <c r="CJ286" i="55" s="1"/>
  <c r="AT287" i="55"/>
  <c r="BL287" i="55" s="1"/>
  <c r="AT288" i="55"/>
  <c r="AT289" i="55"/>
  <c r="BL289" i="55" s="1"/>
  <c r="AT290" i="55"/>
  <c r="AT291" i="55"/>
  <c r="CE291" i="55" s="1"/>
  <c r="AT292" i="55"/>
  <c r="AT293" i="55"/>
  <c r="EA293" i="55" s="1"/>
  <c r="AT294" i="55"/>
  <c r="AT295" i="55"/>
  <c r="CE295" i="55" s="1"/>
  <c r="AT296" i="55"/>
  <c r="AT297" i="55"/>
  <c r="BL297" i="55" s="1"/>
  <c r="AT298" i="55"/>
  <c r="AT299" i="55"/>
  <c r="AT300" i="55"/>
  <c r="BL300" i="55" s="1"/>
  <c r="AT301" i="55"/>
  <c r="BL301" i="55" s="1"/>
  <c r="AT302" i="55"/>
  <c r="BL302" i="55" s="1"/>
  <c r="AT303" i="55"/>
  <c r="BL303" i="55" s="1"/>
  <c r="AT304" i="55"/>
  <c r="BL304" i="55" s="1"/>
  <c r="AT305" i="55"/>
  <c r="DF305" i="55" s="1"/>
  <c r="AT306" i="55"/>
  <c r="AT307" i="55"/>
  <c r="BL307" i="55" s="1"/>
  <c r="AT308" i="55"/>
  <c r="AT309" i="55"/>
  <c r="AT310" i="55"/>
  <c r="CE310" i="55" s="1"/>
  <c r="AT311" i="55"/>
  <c r="AT312" i="55"/>
  <c r="AT313" i="55"/>
  <c r="CE313" i="55" s="1"/>
  <c r="AT314" i="55"/>
  <c r="CE314" i="55" s="1"/>
  <c r="AT315" i="55"/>
  <c r="AT316" i="55"/>
  <c r="CE316" i="55" s="1"/>
  <c r="AT317" i="55"/>
  <c r="AT318" i="55"/>
  <c r="DF318" i="55" s="1"/>
  <c r="AT319" i="55"/>
  <c r="AT320" i="55"/>
  <c r="DF320" i="55" s="1"/>
  <c r="AT321" i="55"/>
  <c r="AT322" i="55"/>
  <c r="AT323" i="55"/>
  <c r="AT324" i="55"/>
  <c r="BL324" i="55" s="1"/>
  <c r="AT325" i="55"/>
  <c r="BL325" i="55" s="1"/>
  <c r="AT326" i="55"/>
  <c r="BL326" i="55" s="1"/>
  <c r="AT327" i="55"/>
  <c r="AT328" i="55"/>
  <c r="AT329" i="55"/>
  <c r="AT330" i="55"/>
  <c r="AT331" i="55"/>
  <c r="AT332" i="55"/>
  <c r="AT333" i="55"/>
  <c r="AT334" i="55"/>
  <c r="AT335" i="55"/>
  <c r="BL335" i="55" s="1"/>
  <c r="AT336" i="55"/>
  <c r="AT337" i="55"/>
  <c r="AT338" i="55"/>
  <c r="AT339" i="55"/>
  <c r="AT340" i="55"/>
  <c r="AT341" i="55"/>
  <c r="BW341" i="55" s="1"/>
  <c r="AT342" i="55"/>
  <c r="BL342" i="55" s="1"/>
  <c r="AT343" i="55"/>
  <c r="AY343" i="55" s="1"/>
  <c r="E343" i="55" s="1"/>
  <c r="AZ343" i="55" s="1"/>
  <c r="AT344" i="55"/>
  <c r="AY344" i="55" s="1"/>
  <c r="E344" i="55" s="1"/>
  <c r="AZ344" i="55" s="1"/>
  <c r="AT345" i="55"/>
  <c r="BL345" i="55" s="1"/>
  <c r="AT346" i="55"/>
  <c r="CE346" i="55" s="1"/>
  <c r="AT347" i="55"/>
  <c r="AT348" i="55"/>
  <c r="CE348" i="55" s="1"/>
  <c r="AT349" i="55"/>
  <c r="AT350" i="55"/>
  <c r="AT351" i="55"/>
  <c r="EA351" i="55" s="1"/>
  <c r="AT352" i="55"/>
  <c r="AS3" i="55" a="1"/>
  <c r="AS3" i="55"/>
  <c r="AS4" i="55" a="1"/>
  <c r="AS4" i="55"/>
  <c r="AS5" i="55" a="1"/>
  <c r="AS5" i="55" s="1"/>
  <c r="AS6" i="55" a="1"/>
  <c r="AS6" i="55" s="1"/>
  <c r="AS7" i="55" a="1"/>
  <c r="AS7" i="55" s="1"/>
  <c r="AS8" i="55" a="1"/>
  <c r="AS8" i="55" s="1"/>
  <c r="AS9" i="55" a="1"/>
  <c r="AS9" i="55"/>
  <c r="AS10" i="55" a="1"/>
  <c r="AS10" i="55"/>
  <c r="DX10" i="55" s="1"/>
  <c r="AS11" i="55" a="1"/>
  <c r="AS11" i="55"/>
  <c r="AS12" i="55" a="1"/>
  <c r="AS12" i="55" s="1"/>
  <c r="AS13" i="55" a="1"/>
  <c r="AS13" i="55" s="1"/>
  <c r="AS14" i="55" a="1"/>
  <c r="AS14" i="55" s="1"/>
  <c r="AS15" i="55" a="1"/>
  <c r="AS15" i="55"/>
  <c r="AS16" i="55" a="1"/>
  <c r="AS16" i="55" s="1"/>
  <c r="AS17" i="55" a="1"/>
  <c r="AS17" i="55" s="1"/>
  <c r="AS18" i="55" a="1"/>
  <c r="AS18" i="55"/>
  <c r="AS19" i="55" a="1"/>
  <c r="AS19" i="55"/>
  <c r="AS20" i="55" a="1"/>
  <c r="AS20" i="55"/>
  <c r="AS21" i="55" a="1"/>
  <c r="AS21" i="55" s="1"/>
  <c r="AS22" i="55" a="1"/>
  <c r="AS22" i="55" s="1"/>
  <c r="AS23" i="55" a="1"/>
  <c r="AS23" i="55" s="1"/>
  <c r="AS24" i="55" a="1"/>
  <c r="AS24" i="55"/>
  <c r="AS25" i="55" a="1"/>
  <c r="AS25" i="55" s="1"/>
  <c r="AS26" i="55" a="1"/>
  <c r="AS26" i="55" s="1"/>
  <c r="AS27" i="55" a="1"/>
  <c r="AS27" i="55" s="1"/>
  <c r="AS28" i="55" a="1"/>
  <c r="AS28" i="55" s="1"/>
  <c r="AS29" i="55" a="1"/>
  <c r="AS29" i="55" s="1"/>
  <c r="AS30" i="55" a="1"/>
  <c r="AS30" i="55" s="1"/>
  <c r="AS31" i="55" a="1"/>
  <c r="AS31" i="55"/>
  <c r="AS32" i="55" a="1"/>
  <c r="AS32" i="55" s="1"/>
  <c r="AS33" i="55" a="1"/>
  <c r="AS33" i="55"/>
  <c r="DX33" i="55" s="1"/>
  <c r="AS34" i="55" a="1"/>
  <c r="AS34" i="55" s="1"/>
  <c r="AS35" i="55" a="1"/>
  <c r="AS35" i="55" s="1"/>
  <c r="AS36" i="55" a="1"/>
  <c r="AS36" i="55" s="1"/>
  <c r="AS37" i="55" a="1"/>
  <c r="AS37" i="55" s="1"/>
  <c r="AS38" i="55" a="1"/>
  <c r="AS38" i="55" s="1"/>
  <c r="AS39" i="55" a="1"/>
  <c r="AS39" i="55"/>
  <c r="AS40" i="55" a="1"/>
  <c r="AS40" i="55"/>
  <c r="AS41" i="55" a="1"/>
  <c r="AS41" i="55"/>
  <c r="AS42" i="55" a="1"/>
  <c r="AS42" i="55" s="1"/>
  <c r="AS43" i="55" a="1"/>
  <c r="AS43" i="55"/>
  <c r="AS44" i="55" a="1"/>
  <c r="AS44" i="55" s="1"/>
  <c r="AS45" i="55" a="1"/>
  <c r="AS45" i="55" s="1"/>
  <c r="AS46" i="55" a="1"/>
  <c r="AS46" i="55" s="1"/>
  <c r="DX46" i="55" s="1"/>
  <c r="AS47" i="55" a="1"/>
  <c r="AS47" i="55"/>
  <c r="DX47" i="55" s="1"/>
  <c r="AS48" i="55" a="1"/>
  <c r="AS48" i="55"/>
  <c r="AS49" i="55" a="1"/>
  <c r="AS49" i="55" s="1"/>
  <c r="AS50" i="55" a="1"/>
  <c r="AS50" i="55" s="1"/>
  <c r="AS51" i="55" a="1"/>
  <c r="AS51" i="55"/>
  <c r="AS52" i="55" a="1"/>
  <c r="AS52" i="55"/>
  <c r="AS53" i="55" a="1"/>
  <c r="AS53" i="55"/>
  <c r="AS54" i="55" a="1"/>
  <c r="AS54" i="55" s="1"/>
  <c r="AS55" i="55" a="1"/>
  <c r="AS55" i="55" s="1"/>
  <c r="AS56" i="55" a="1"/>
  <c r="AS56" i="55"/>
  <c r="AS57" i="55" a="1"/>
  <c r="AS57" i="55"/>
  <c r="AS58" i="55" a="1"/>
  <c r="AS58" i="55" s="1"/>
  <c r="AS59" i="55" a="1"/>
  <c r="AS59" i="55" s="1"/>
  <c r="AS60" i="55" a="1"/>
  <c r="AS60" i="55"/>
  <c r="AS61" i="55" a="1"/>
  <c r="AS61" i="55"/>
  <c r="AS62" i="55" a="1"/>
  <c r="AS62" i="55"/>
  <c r="AS63" i="55" a="1"/>
  <c r="AS63" i="55" s="1"/>
  <c r="AS64" i="55" a="1"/>
  <c r="AS64" i="55"/>
  <c r="AS65" i="55" a="1"/>
  <c r="AS65" i="55" s="1"/>
  <c r="AS66" i="55" a="1"/>
  <c r="AS66" i="55" s="1"/>
  <c r="AS67" i="55" a="1"/>
  <c r="AS67" i="55"/>
  <c r="AS68" i="55" a="1"/>
  <c r="AS68" i="55" s="1"/>
  <c r="AS69" i="55" a="1"/>
  <c r="AS69" i="55"/>
  <c r="AS70" i="55" a="1"/>
  <c r="AS70" i="55" s="1"/>
  <c r="AS71" i="55" a="1"/>
  <c r="AS71" i="55" s="1"/>
  <c r="AS72" i="55" a="1"/>
  <c r="AS72" i="55" s="1"/>
  <c r="AS73" i="55" a="1"/>
  <c r="AS73" i="55"/>
  <c r="AS74" i="55" a="1"/>
  <c r="AS74" i="55" s="1"/>
  <c r="AS75" i="55" a="1"/>
  <c r="AS75" i="55" s="1"/>
  <c r="AS76" i="55" a="1"/>
  <c r="AS76" i="55"/>
  <c r="AS77" i="55" a="1"/>
  <c r="AS77" i="55" s="1"/>
  <c r="AS78" i="55" a="1"/>
  <c r="AS78" i="55"/>
  <c r="AS79" i="55" a="1"/>
  <c r="AS79" i="55" s="1"/>
  <c r="AS80" i="55" a="1"/>
  <c r="AS80" i="55" s="1"/>
  <c r="AS81" i="55" a="1"/>
  <c r="AS81" i="55"/>
  <c r="AS82" i="55" a="1"/>
  <c r="AS82" i="55" s="1"/>
  <c r="AS83" i="55" a="1"/>
  <c r="AS83" i="55"/>
  <c r="AS84" i="55" a="1"/>
  <c r="AS84" i="55"/>
  <c r="AS85" i="55" a="1"/>
  <c r="AS85" i="55" s="1"/>
  <c r="AS86" i="55" a="1"/>
  <c r="AS86" i="55" s="1"/>
  <c r="AS87" i="55" a="1"/>
  <c r="AS87" i="55" s="1"/>
  <c r="AS88" i="55" a="1"/>
  <c r="AS88" i="55" s="1"/>
  <c r="AS89" i="55" a="1"/>
  <c r="AS89" i="55" s="1"/>
  <c r="AS90" i="55" a="1"/>
  <c r="AS90" i="55" s="1"/>
  <c r="AS91" i="55" a="1"/>
  <c r="AS91" i="55" s="1"/>
  <c r="AS92" i="55" a="1"/>
  <c r="AS92" i="55" s="1"/>
  <c r="AS93" i="55" a="1"/>
  <c r="AS93" i="55" s="1"/>
  <c r="AS94" i="55" a="1"/>
  <c r="AS94" i="55" s="1"/>
  <c r="AS95" i="55" a="1"/>
  <c r="AS95" i="55"/>
  <c r="AS96" i="55" a="1"/>
  <c r="AS96" i="55" s="1"/>
  <c r="AS97" i="55" a="1"/>
  <c r="AS97" i="55"/>
  <c r="AS98" i="55" a="1"/>
  <c r="AS98" i="55" s="1"/>
  <c r="AS99" i="55" a="1"/>
  <c r="AS99" i="55" s="1"/>
  <c r="AS100" i="55" a="1"/>
  <c r="AS100" i="55" s="1"/>
  <c r="AS101" i="55" a="1"/>
  <c r="AS101" i="55"/>
  <c r="AS102" i="55" a="1"/>
  <c r="AS102" i="55"/>
  <c r="AS103" i="55" a="1"/>
  <c r="AS103" i="55" s="1"/>
  <c r="AS104" i="55" a="1"/>
  <c r="AS104" i="55" s="1"/>
  <c r="AS105" i="55" a="1"/>
  <c r="AS105" i="55"/>
  <c r="AS106" i="55" a="1"/>
  <c r="AS106" i="55" s="1"/>
  <c r="AS107" i="55" a="1"/>
  <c r="AS107" i="55" s="1"/>
  <c r="AS108" i="55" a="1"/>
  <c r="AS108" i="55" s="1"/>
  <c r="AS109" i="55" a="1"/>
  <c r="AS109" i="55" s="1"/>
  <c r="AS110" i="55" a="1"/>
  <c r="AS110" i="55" s="1"/>
  <c r="AS111" i="55" a="1"/>
  <c r="AS111" i="55" s="1"/>
  <c r="AS112" i="55" a="1"/>
  <c r="AS112" i="55" s="1"/>
  <c r="AS113" i="55" a="1"/>
  <c r="AS113" i="55"/>
  <c r="AS114" i="55" a="1"/>
  <c r="AS114" i="55" s="1"/>
  <c r="AS115" i="55" a="1"/>
  <c r="AS115" i="55" s="1"/>
  <c r="AS116" i="55" a="1"/>
  <c r="AS116" i="55"/>
  <c r="AS117" i="55" a="1"/>
  <c r="AS117" i="55" s="1"/>
  <c r="AS118" i="55" a="1"/>
  <c r="AS118" i="55" s="1"/>
  <c r="AS119" i="55" a="1"/>
  <c r="AS119" i="55" s="1"/>
  <c r="AS120" i="55" a="1"/>
  <c r="AS120" i="55"/>
  <c r="AS121" i="55" a="1"/>
  <c r="AS121" i="55"/>
  <c r="AS122" i="55" a="1"/>
  <c r="AS122" i="55" s="1"/>
  <c r="AS123" i="55" a="1"/>
  <c r="AS123" i="55" s="1"/>
  <c r="AS124" i="55" a="1"/>
  <c r="AS124" i="55"/>
  <c r="DX124" i="55" s="1"/>
  <c r="AS125" i="55" a="1"/>
  <c r="AS125" i="55" s="1"/>
  <c r="AS126" i="55" a="1"/>
  <c r="AS126" i="55" s="1"/>
  <c r="AS127" i="55" a="1"/>
  <c r="AS127" i="55" s="1"/>
  <c r="AS128" i="55" a="1"/>
  <c r="AS128" i="55" s="1"/>
  <c r="AS129" i="55" a="1"/>
  <c r="AS129" i="55" s="1"/>
  <c r="AS130" i="55" a="1"/>
  <c r="AS130" i="55" s="1"/>
  <c r="AS131" i="55" a="1"/>
  <c r="AS131" i="55" s="1"/>
  <c r="AS132" i="55" a="1"/>
  <c r="AS132" i="55"/>
  <c r="AS133" i="55" a="1"/>
  <c r="AS133" i="55"/>
  <c r="AS134" i="55" a="1"/>
  <c r="AS134" i="55" s="1"/>
  <c r="AS135" i="55" a="1"/>
  <c r="AS135" i="55"/>
  <c r="AS136" i="55" a="1"/>
  <c r="AS136" i="55" s="1"/>
  <c r="DX136" i="55" s="1"/>
  <c r="AS137" i="55" a="1"/>
  <c r="AS137" i="55" s="1"/>
  <c r="AS138" i="55" a="1"/>
  <c r="AS138" i="55" s="1"/>
  <c r="AS139" i="55" a="1"/>
  <c r="AS139" i="55" s="1"/>
  <c r="AS140" i="55" a="1"/>
  <c r="AS140" i="55"/>
  <c r="AS141" i="55" a="1"/>
  <c r="AS141" i="55"/>
  <c r="AS142" i="55" a="1"/>
  <c r="AS142" i="55"/>
  <c r="AS143" i="55" a="1"/>
  <c r="AS143" i="55" s="1"/>
  <c r="AS144" i="55" a="1"/>
  <c r="AS144" i="55" s="1"/>
  <c r="AS145" i="55" a="1"/>
  <c r="AS145" i="55" s="1"/>
  <c r="AS146" i="55" a="1"/>
  <c r="AS146" i="55" s="1"/>
  <c r="AS147" i="55" a="1"/>
  <c r="AS147" i="55" s="1"/>
  <c r="AS148" i="55" a="1"/>
  <c r="AS148" i="55"/>
  <c r="AS149" i="55" a="1"/>
  <c r="AS149" i="55" s="1"/>
  <c r="DX149" i="55" s="1"/>
  <c r="AS150" i="55" a="1"/>
  <c r="AS150" i="55" s="1"/>
  <c r="AS151" i="55" a="1"/>
  <c r="AS151" i="55" s="1"/>
  <c r="AS152" i="55" a="1"/>
  <c r="AS152" i="55"/>
  <c r="AS153" i="55" a="1"/>
  <c r="AS153" i="55"/>
  <c r="AS154" i="55" a="1"/>
  <c r="AS154" i="55" s="1"/>
  <c r="AS155" i="55" a="1"/>
  <c r="AS155" i="55" s="1"/>
  <c r="AS156" i="55" a="1"/>
  <c r="AS156" i="55" s="1"/>
  <c r="AS157" i="55" a="1"/>
  <c r="AS157" i="55" s="1"/>
  <c r="AS158" i="55" a="1"/>
  <c r="AS158" i="55" s="1"/>
  <c r="AS159" i="55" a="1"/>
  <c r="AS159" i="55" s="1"/>
  <c r="AS160" i="55" a="1"/>
  <c r="AS160" i="55" s="1"/>
  <c r="AS161" i="55" a="1"/>
  <c r="AS161" i="55"/>
  <c r="AS162" i="55" a="1"/>
  <c r="AS162" i="55" s="1"/>
  <c r="AS163" i="55" a="1"/>
  <c r="AS163" i="55"/>
  <c r="AS164" i="55" a="1"/>
  <c r="AS164" i="55"/>
  <c r="AS165" i="55" a="1"/>
  <c r="AS165" i="55" s="1"/>
  <c r="AS166" i="55" a="1"/>
  <c r="AS166" i="55" s="1"/>
  <c r="AS167" i="55" a="1"/>
  <c r="AS167" i="55" s="1"/>
  <c r="AS168" i="55" a="1"/>
  <c r="AS168" i="55" s="1"/>
  <c r="AS169" i="55" a="1"/>
  <c r="AS169" i="55" s="1"/>
  <c r="AS170" i="55" a="1"/>
  <c r="AS170" i="55" s="1"/>
  <c r="AS171" i="55" a="1"/>
  <c r="AS171" i="55"/>
  <c r="AS172" i="55" a="1"/>
  <c r="AS172" i="55"/>
  <c r="AS173" i="55" a="1"/>
  <c r="AS173" i="55"/>
  <c r="AS174" i="55" a="1"/>
  <c r="AS174" i="55" s="1"/>
  <c r="AS175" i="55" a="1"/>
  <c r="AS175" i="55"/>
  <c r="AS176" i="55" a="1"/>
  <c r="AS176" i="55"/>
  <c r="AS177" i="55" a="1"/>
  <c r="AS177" i="55" s="1"/>
  <c r="AS178" i="55" a="1"/>
  <c r="AS178" i="55" s="1"/>
  <c r="AS179" i="55" a="1"/>
  <c r="AS179" i="55"/>
  <c r="AS180" i="55" a="1"/>
  <c r="AS180" i="55"/>
  <c r="AS181" i="55" a="1"/>
  <c r="AS181" i="55"/>
  <c r="AS182" i="55" a="1"/>
  <c r="AS182" i="55" s="1"/>
  <c r="AS183" i="55" a="1"/>
  <c r="AS183" i="55" s="1"/>
  <c r="AS184" i="55" a="1"/>
  <c r="AS184" i="55"/>
  <c r="AS185" i="55" a="1"/>
  <c r="AS185" i="55"/>
  <c r="AS186" i="55" a="1"/>
  <c r="AS186" i="55" s="1"/>
  <c r="AS187" i="55" a="1"/>
  <c r="AS187" i="55" s="1"/>
  <c r="AS188" i="55" a="1"/>
  <c r="AS188" i="55" s="1"/>
  <c r="AS189" i="55" a="1"/>
  <c r="AS189" i="55" s="1"/>
  <c r="AS190" i="55" a="1"/>
  <c r="AS190" i="55" s="1"/>
  <c r="AS191" i="55" a="1"/>
  <c r="AS191" i="55" s="1"/>
  <c r="AS192" i="55" a="1"/>
  <c r="AS192" i="55"/>
  <c r="AS193" i="55" a="1"/>
  <c r="AS193" i="55"/>
  <c r="AS194" i="55" a="1"/>
  <c r="AS194" i="55" s="1"/>
  <c r="AS195" i="55" a="1"/>
  <c r="AS195" i="55"/>
  <c r="AS196" i="55" a="1"/>
  <c r="AS196" i="55"/>
  <c r="AS197" i="55" a="1"/>
  <c r="AS197" i="55"/>
  <c r="AS198" i="55" a="1"/>
  <c r="AS198" i="55" s="1"/>
  <c r="AS199" i="55" a="1"/>
  <c r="AS199" i="55" s="1"/>
  <c r="AS200" i="55" a="1"/>
  <c r="AS200" i="55" s="1"/>
  <c r="AS201" i="55" a="1"/>
  <c r="AS201" i="55"/>
  <c r="AS202" i="55" a="1"/>
  <c r="AS202" i="55" s="1"/>
  <c r="AS203" i="55" a="1"/>
  <c r="AS203" i="55" s="1"/>
  <c r="AS204" i="55" a="1"/>
  <c r="AS204" i="55"/>
  <c r="AS205" i="55" a="1"/>
  <c r="AS205" i="55"/>
  <c r="AS206" i="55" a="1"/>
  <c r="AS206" i="55" s="1"/>
  <c r="AS207" i="55" a="1"/>
  <c r="AS207" i="55"/>
  <c r="AS208" i="55" a="1"/>
  <c r="AS208" i="55" s="1"/>
  <c r="AS209" i="55" a="1"/>
  <c r="AS209" i="55" s="1"/>
  <c r="AS210" i="55" a="1"/>
  <c r="AS210" i="55" s="1"/>
  <c r="AS211" i="55" a="1"/>
  <c r="AS211" i="55" s="1"/>
  <c r="AS212" i="55" a="1"/>
  <c r="AS212" i="55"/>
  <c r="AS213" i="55" a="1"/>
  <c r="AS213" i="55" s="1"/>
  <c r="DX213" i="55" s="1"/>
  <c r="AS214" i="55" a="1"/>
  <c r="AS214" i="55" s="1"/>
  <c r="AS215" i="55" a="1"/>
  <c r="AS215" i="55" s="1"/>
  <c r="AS216" i="55" a="1"/>
  <c r="AS216" i="55" s="1"/>
  <c r="AS217" i="55" a="1"/>
  <c r="AS217" i="55"/>
  <c r="AS218" i="55" a="1"/>
  <c r="AS218" i="55" s="1"/>
  <c r="AS219" i="55" a="1"/>
  <c r="AS219" i="55" s="1"/>
  <c r="AS220" i="55" a="1"/>
  <c r="AS220" i="55"/>
  <c r="AS221" i="55" a="1"/>
  <c r="AS221" i="55" s="1"/>
  <c r="AS222" i="55" a="1"/>
  <c r="AS222" i="55" s="1"/>
  <c r="AS223" i="55" a="1"/>
  <c r="AS223" i="55"/>
  <c r="AS224" i="55" a="1"/>
  <c r="AS224" i="55"/>
  <c r="AS225" i="55" a="1"/>
  <c r="AS225" i="55"/>
  <c r="AS226" i="55" a="1"/>
  <c r="AS226" i="55" s="1"/>
  <c r="AS227" i="55" a="1"/>
  <c r="AS227" i="55"/>
  <c r="AS228" i="55" a="1"/>
  <c r="AS228" i="55" s="1"/>
  <c r="AS229" i="55" a="1"/>
  <c r="AS229" i="55"/>
  <c r="AS230" i="55" a="1"/>
  <c r="AS230" i="55"/>
  <c r="AS231" i="55" a="1"/>
  <c r="AS231" i="55" s="1"/>
  <c r="AS232" i="55" a="1"/>
  <c r="AS232" i="55"/>
  <c r="AS233" i="55" a="1"/>
  <c r="AS233" i="55" s="1"/>
  <c r="AS234" i="55" a="1"/>
  <c r="AS234" i="55" s="1"/>
  <c r="AS235" i="55" a="1"/>
  <c r="AS235" i="55"/>
  <c r="AS236" i="55" a="1"/>
  <c r="AS236" i="55"/>
  <c r="AS237" i="55" a="1"/>
  <c r="AS237" i="55" s="1"/>
  <c r="AS238" i="55" a="1"/>
  <c r="AS238" i="55" s="1"/>
  <c r="AS239" i="55" a="1"/>
  <c r="AS239" i="55"/>
  <c r="AS240" i="55" a="1"/>
  <c r="AS240" i="55"/>
  <c r="AS241" i="55" a="1"/>
  <c r="AS241" i="55" s="1"/>
  <c r="AS242" i="55" a="1"/>
  <c r="AS242" i="55" s="1"/>
  <c r="AS243" i="55" a="1"/>
  <c r="AS243" i="55" s="1"/>
  <c r="AS244" i="55" a="1"/>
  <c r="AS244" i="55"/>
  <c r="AS245" i="55" a="1"/>
  <c r="AS245" i="55"/>
  <c r="AS246" i="55" a="1"/>
  <c r="AS246" i="55"/>
  <c r="AS247" i="55" a="1"/>
  <c r="AS247" i="55" s="1"/>
  <c r="AS248" i="55" a="1"/>
  <c r="AS248" i="55"/>
  <c r="AS249" i="55" a="1"/>
  <c r="AS249" i="55"/>
  <c r="AS250" i="55" a="1"/>
  <c r="AS250" i="55" s="1"/>
  <c r="AS251" i="55" a="1"/>
  <c r="AS251" i="55" s="1"/>
  <c r="AS252" i="55" a="1"/>
  <c r="AS252" i="55"/>
  <c r="AS253" i="55" a="1"/>
  <c r="AS253" i="55" s="1"/>
  <c r="AS254" i="55" a="1"/>
  <c r="AS254" i="55" s="1"/>
  <c r="AS255" i="55" a="1"/>
  <c r="AS255" i="55" s="1"/>
  <c r="AS256" i="55" a="1"/>
  <c r="AS256" i="55" s="1"/>
  <c r="AS257" i="55" a="1"/>
  <c r="AS257" i="55"/>
  <c r="AS258" i="55" a="1"/>
  <c r="AS258" i="55" s="1"/>
  <c r="AS259" i="55" a="1"/>
  <c r="AS259" i="55" s="1"/>
  <c r="AS260" i="55" a="1"/>
  <c r="AS260" i="55" s="1"/>
  <c r="AS261" i="55" a="1"/>
  <c r="AS261" i="55"/>
  <c r="AS262" i="55" a="1"/>
  <c r="AS262" i="55" s="1"/>
  <c r="AS263" i="55" a="1"/>
  <c r="AS263" i="55"/>
  <c r="AS264" i="55" a="1"/>
  <c r="AS264" i="55" s="1"/>
  <c r="AS265" i="55" a="1"/>
  <c r="AS265" i="55" s="1"/>
  <c r="AS266" i="55" a="1"/>
  <c r="AS266" i="55" s="1"/>
  <c r="AS267" i="55" a="1"/>
  <c r="AS267" i="55" s="1"/>
  <c r="AS268" i="55" a="1"/>
  <c r="AS268" i="55"/>
  <c r="AS269" i="55" a="1"/>
  <c r="AS269" i="55"/>
  <c r="AS270" i="55" a="1"/>
  <c r="AS270" i="55"/>
  <c r="AS271" i="55" a="1"/>
  <c r="AS271" i="55" s="1"/>
  <c r="AS272" i="55" a="1"/>
  <c r="AS272" i="55" s="1"/>
  <c r="AS273" i="55" a="1"/>
  <c r="AS273" i="55"/>
  <c r="AS274" i="55" a="1"/>
  <c r="AS274" i="55" s="1"/>
  <c r="AS275" i="55" a="1"/>
  <c r="AS275" i="55" s="1"/>
  <c r="AS276" i="55" a="1"/>
  <c r="AS276" i="55" s="1"/>
  <c r="AS277" i="55" a="1"/>
  <c r="AS277" i="55" s="1"/>
  <c r="AS278" i="55" a="1"/>
  <c r="AS278" i="55" s="1"/>
  <c r="AS279" i="55" a="1"/>
  <c r="AS279" i="55" s="1"/>
  <c r="AS280" i="55" a="1"/>
  <c r="AS280" i="55" s="1"/>
  <c r="AS281" i="55" a="1"/>
  <c r="AS281" i="55"/>
  <c r="AS282" i="55" a="1"/>
  <c r="AS282" i="55" s="1"/>
  <c r="AS283" i="55" a="1"/>
  <c r="AS283" i="55"/>
  <c r="AS284" i="55" a="1"/>
  <c r="AS284" i="55" s="1"/>
  <c r="AS285" i="55" a="1"/>
  <c r="AS285" i="55" s="1"/>
  <c r="AS286" i="55" a="1"/>
  <c r="AS286" i="55" s="1"/>
  <c r="AS287" i="55" a="1"/>
  <c r="AS287" i="55" s="1"/>
  <c r="AS288" i="55" a="1"/>
  <c r="AS288" i="55" s="1"/>
  <c r="AS289" i="55" a="1"/>
  <c r="AS289" i="55"/>
  <c r="AS290" i="55" a="1"/>
  <c r="AS290" i="55" s="1"/>
  <c r="AS291" i="55" a="1"/>
  <c r="AS291" i="55"/>
  <c r="AS292" i="55" a="1"/>
  <c r="AS292" i="55"/>
  <c r="AS293" i="55" a="1"/>
  <c r="AS293" i="55" s="1"/>
  <c r="AS294" i="55" a="1"/>
  <c r="AS294" i="55" s="1"/>
  <c r="AS295" i="55" a="1"/>
  <c r="AS295" i="55"/>
  <c r="AS296" i="55" a="1"/>
  <c r="AS296" i="55" s="1"/>
  <c r="AS297" i="55" a="1"/>
  <c r="AS297" i="55" s="1"/>
  <c r="AS298" i="55" a="1"/>
  <c r="AS298" i="55" s="1"/>
  <c r="AS299" i="55" a="1"/>
  <c r="AS299" i="55"/>
  <c r="AS300" i="55" a="1"/>
  <c r="AS300" i="55"/>
  <c r="AS301" i="55" a="1"/>
  <c r="AS301" i="55"/>
  <c r="AS302" i="55" a="1"/>
  <c r="AS302" i="55" s="1"/>
  <c r="AS303" i="55" a="1"/>
  <c r="AS303" i="55" s="1"/>
  <c r="AS304" i="55" a="1"/>
  <c r="AS304" i="55"/>
  <c r="AS305" i="55" a="1"/>
  <c r="AS305" i="55" s="1"/>
  <c r="AS306" i="55" a="1"/>
  <c r="AS306" i="55" s="1"/>
  <c r="AS307" i="55" a="1"/>
  <c r="AS307" i="55" s="1"/>
  <c r="AS308" i="55" a="1"/>
  <c r="AS308" i="55" s="1"/>
  <c r="AS309" i="55" a="1"/>
  <c r="AS309" i="55" s="1"/>
  <c r="AS310" i="55" a="1"/>
  <c r="AS310" i="55" s="1"/>
  <c r="AS311" i="55" a="1"/>
  <c r="AS311" i="55" s="1"/>
  <c r="AS312" i="55" a="1"/>
  <c r="AS312" i="55"/>
  <c r="AS313" i="55" a="1"/>
  <c r="AS313" i="55"/>
  <c r="AS314" i="55" a="1"/>
  <c r="AS314" i="55" s="1"/>
  <c r="DX314" i="55" s="1"/>
  <c r="AS315" i="55" a="1"/>
  <c r="AS315" i="55" s="1"/>
  <c r="AS316" i="55" a="1"/>
  <c r="AS316" i="55"/>
  <c r="AS317" i="55" a="1"/>
  <c r="AS317" i="55" s="1"/>
  <c r="AS318" i="55" a="1"/>
  <c r="AS318" i="55" s="1"/>
  <c r="AS319" i="55" a="1"/>
  <c r="AS319" i="55" s="1"/>
  <c r="AS320" i="55" a="1"/>
  <c r="AS320" i="55" s="1"/>
  <c r="AS321" i="55" a="1"/>
  <c r="AS321" i="55" s="1"/>
  <c r="AS322" i="55" a="1"/>
  <c r="AS322" i="55" s="1"/>
  <c r="AS323" i="55" a="1"/>
  <c r="AS323" i="55"/>
  <c r="AS324" i="55" a="1"/>
  <c r="AS324" i="55"/>
  <c r="AS325" i="55" a="1"/>
  <c r="AS325" i="55"/>
  <c r="AS326" i="55" a="1"/>
  <c r="AS326" i="55" s="1"/>
  <c r="AS327" i="55" a="1"/>
  <c r="AS327" i="55" s="1"/>
  <c r="AS328" i="55" a="1"/>
  <c r="AS328" i="55" s="1"/>
  <c r="AS329" i="55" a="1"/>
  <c r="AS329" i="55" s="1"/>
  <c r="AS330" i="55" a="1"/>
  <c r="AS330" i="55" s="1"/>
  <c r="AS331" i="55" a="1"/>
  <c r="AS331" i="55" s="1"/>
  <c r="AS332" i="55" a="1"/>
  <c r="AS332" i="55"/>
  <c r="AS333" i="55" a="1"/>
  <c r="AS333" i="55" s="1"/>
  <c r="AS334" i="55" a="1"/>
  <c r="AS334" i="55" s="1"/>
  <c r="AS335" i="55" a="1"/>
  <c r="AS335" i="55"/>
  <c r="AS336" i="55" a="1"/>
  <c r="AS336" i="55" s="1"/>
  <c r="AS337" i="55" a="1"/>
  <c r="AS337" i="55"/>
  <c r="AS338" i="55" a="1"/>
  <c r="AS338" i="55" s="1"/>
  <c r="AS339" i="55" a="1"/>
  <c r="AS339" i="55" s="1"/>
  <c r="AS340" i="55" a="1"/>
  <c r="AS340" i="55" s="1"/>
  <c r="AS341" i="55" a="1"/>
  <c r="AS341" i="55" s="1"/>
  <c r="AS342" i="55" a="1"/>
  <c r="AS342" i="55" s="1"/>
  <c r="AS343" i="55" a="1"/>
  <c r="AS343" i="55" s="1"/>
  <c r="AS344" i="55" a="1"/>
  <c r="AS344" i="55" s="1"/>
  <c r="AS345" i="55" a="1"/>
  <c r="AS345" i="55" s="1"/>
  <c r="AS346" i="55" a="1"/>
  <c r="AS346" i="55" s="1"/>
  <c r="DX346" i="55" s="1"/>
  <c r="AS347" i="55" a="1"/>
  <c r="AS347" i="55"/>
  <c r="AS348" i="55" a="1"/>
  <c r="AS348" i="55" s="1"/>
  <c r="AS349" i="55" a="1"/>
  <c r="AS349" i="55" s="1"/>
  <c r="AS350" i="55" a="1"/>
  <c r="AS350" i="55"/>
  <c r="AS351" i="55" a="1"/>
  <c r="AS351" i="55" s="1"/>
  <c r="AS352" i="55" a="1"/>
  <c r="AS352" i="55"/>
  <c r="C14" i="55"/>
  <c r="C25" i="55"/>
  <c r="C41" i="55"/>
  <c r="C42" i="55"/>
  <c r="C46" i="55"/>
  <c r="C47" i="55"/>
  <c r="C48" i="55"/>
  <c r="C49" i="55"/>
  <c r="C51" i="55"/>
  <c r="C65" i="55"/>
  <c r="C209" i="55"/>
  <c r="V503" i="19"/>
  <c r="X503" i="19" s="1"/>
  <c r="V502" i="19"/>
  <c r="X502" i="19" s="1"/>
  <c r="V501" i="19"/>
  <c r="V500" i="19"/>
  <c r="V499" i="19"/>
  <c r="V498" i="19"/>
  <c r="W498" i="19" s="1"/>
  <c r="V497" i="19"/>
  <c r="V496" i="19"/>
  <c r="X496" i="19" s="1"/>
  <c r="V495" i="19"/>
  <c r="V494" i="19"/>
  <c r="V493" i="19"/>
  <c r="X493" i="19" s="1"/>
  <c r="V492" i="19"/>
  <c r="X492" i="19" s="1"/>
  <c r="V491" i="19"/>
  <c r="V490" i="19"/>
  <c r="X490" i="19" s="1"/>
  <c r="V489" i="19"/>
  <c r="V488" i="19"/>
  <c r="X488" i="19" s="1"/>
  <c r="V487" i="19"/>
  <c r="X487" i="19" s="1"/>
  <c r="V486" i="19"/>
  <c r="X486" i="19" s="1"/>
  <c r="V485" i="19"/>
  <c r="X485" i="19" s="1"/>
  <c r="V484" i="19"/>
  <c r="X484" i="19" s="1"/>
  <c r="V483" i="19"/>
  <c r="X483" i="19" s="1"/>
  <c r="V482" i="19"/>
  <c r="W482" i="19" s="1"/>
  <c r="V481" i="19"/>
  <c r="V480" i="19"/>
  <c r="V479" i="19"/>
  <c r="V478" i="19"/>
  <c r="X478" i="19" s="1"/>
  <c r="V477" i="19"/>
  <c r="V476" i="19"/>
  <c r="X476" i="19" s="1"/>
  <c r="V475" i="19"/>
  <c r="X475" i="19" s="1"/>
  <c r="V474" i="19"/>
  <c r="W474" i="19" s="1"/>
  <c r="V473" i="19"/>
  <c r="V472" i="19"/>
  <c r="W472" i="19" s="1"/>
  <c r="V471" i="19"/>
  <c r="X471" i="19" s="1"/>
  <c r="V470" i="19"/>
  <c r="X470" i="19" s="1"/>
  <c r="V469" i="19"/>
  <c r="V468" i="19"/>
  <c r="V467" i="19"/>
  <c r="V466" i="19"/>
  <c r="W466" i="19" s="1"/>
  <c r="V465" i="19"/>
  <c r="V464" i="19"/>
  <c r="X464" i="19" s="1"/>
  <c r="V463" i="19"/>
  <c r="V462" i="19"/>
  <c r="X462" i="19" s="1"/>
  <c r="V461" i="19"/>
  <c r="X461" i="19" s="1"/>
  <c r="V460" i="19"/>
  <c r="X460" i="19" s="1"/>
  <c r="V459" i="19"/>
  <c r="V458" i="19"/>
  <c r="W458" i="19" s="1"/>
  <c r="V457" i="19"/>
  <c r="V456" i="19"/>
  <c r="X456" i="19" s="1"/>
  <c r="V455" i="19"/>
  <c r="X455" i="19" s="1"/>
  <c r="V454" i="19"/>
  <c r="X454" i="19" s="1"/>
  <c r="V453" i="19"/>
  <c r="V452" i="19"/>
  <c r="X452" i="19" s="1"/>
  <c r="V451" i="19"/>
  <c r="X451" i="19" s="1"/>
  <c r="V450" i="19"/>
  <c r="W450" i="19" s="1"/>
  <c r="V449" i="19"/>
  <c r="V448" i="19"/>
  <c r="V447" i="19"/>
  <c r="V446" i="19"/>
  <c r="V445" i="19"/>
  <c r="W445" i="19" s="1"/>
  <c r="V444" i="19"/>
  <c r="X444" i="19" s="1"/>
  <c r="V443" i="19"/>
  <c r="X443" i="19" s="1"/>
  <c r="V442" i="19"/>
  <c r="X442" i="19" s="1"/>
  <c r="V441" i="19"/>
  <c r="V440" i="19"/>
  <c r="X440" i="19" s="1"/>
  <c r="V439" i="19"/>
  <c r="X439" i="19" s="1"/>
  <c r="V438" i="19"/>
  <c r="X438" i="19" s="1"/>
  <c r="V437" i="19"/>
  <c r="V436" i="19"/>
  <c r="W436" i="19" s="1"/>
  <c r="V435" i="19"/>
  <c r="V434" i="19"/>
  <c r="V433" i="19"/>
  <c r="V432" i="19"/>
  <c r="X432" i="19" s="1"/>
  <c r="V431" i="19"/>
  <c r="V430" i="19"/>
  <c r="V429" i="19"/>
  <c r="W429" i="19" s="1"/>
  <c r="V428" i="19"/>
  <c r="X428" i="19" s="1"/>
  <c r="V427" i="19"/>
  <c r="V426" i="19"/>
  <c r="X426" i="19" s="1"/>
  <c r="V425" i="19"/>
  <c r="V424" i="19"/>
  <c r="X424" i="19" s="1"/>
  <c r="V423" i="19"/>
  <c r="X423" i="19" s="1"/>
  <c r="V422" i="19"/>
  <c r="X422" i="19" s="1"/>
  <c r="V421" i="19"/>
  <c r="W421" i="19" s="1"/>
  <c r="V420" i="19"/>
  <c r="W420" i="19" s="1"/>
  <c r="V419" i="19"/>
  <c r="V418" i="19"/>
  <c r="W418" i="19" s="1"/>
  <c r="V417" i="19"/>
  <c r="V416" i="19"/>
  <c r="W416" i="19" s="1"/>
  <c r="V415" i="19"/>
  <c r="W415" i="19" s="1"/>
  <c r="V414" i="19"/>
  <c r="V413" i="19"/>
  <c r="X413" i="19" s="1"/>
  <c r="V412" i="19"/>
  <c r="X412" i="19" s="1"/>
  <c r="V411" i="19"/>
  <c r="X411" i="19" s="1"/>
  <c r="V410" i="19"/>
  <c r="X410" i="19" s="1"/>
  <c r="V409" i="19"/>
  <c r="V408" i="19"/>
  <c r="X408" i="19" s="1"/>
  <c r="V407" i="19"/>
  <c r="X407" i="19" s="1"/>
  <c r="V406" i="19"/>
  <c r="X406" i="19" s="1"/>
  <c r="V405" i="19"/>
  <c r="V404" i="19"/>
  <c r="V403" i="19"/>
  <c r="X403" i="19" s="1"/>
  <c r="V402" i="19"/>
  <c r="V401" i="19"/>
  <c r="V400" i="19"/>
  <c r="X400" i="19" s="1"/>
  <c r="V399" i="19"/>
  <c r="V398" i="19"/>
  <c r="W398" i="19" s="1"/>
  <c r="V397" i="19"/>
  <c r="X397" i="19" s="1"/>
  <c r="V396" i="19"/>
  <c r="X396" i="19" s="1"/>
  <c r="V395" i="19"/>
  <c r="W395" i="19" s="1"/>
  <c r="V394" i="19"/>
  <c r="V393" i="19"/>
  <c r="V392" i="19"/>
  <c r="X392" i="19" s="1"/>
  <c r="V391" i="19"/>
  <c r="X391" i="19" s="1"/>
  <c r="V390" i="19"/>
  <c r="X390" i="19" s="1"/>
  <c r="V389" i="19"/>
  <c r="W389" i="19" s="1"/>
  <c r="V388" i="19"/>
  <c r="W388" i="19" s="1"/>
  <c r="V387" i="19"/>
  <c r="X387" i="19" s="1"/>
  <c r="V386" i="19"/>
  <c r="V385" i="19"/>
  <c r="V384" i="19"/>
  <c r="X384" i="19" s="1"/>
  <c r="V383" i="19"/>
  <c r="V382" i="19"/>
  <c r="V381" i="19"/>
  <c r="X381" i="19" s="1"/>
  <c r="V380" i="19"/>
  <c r="X380" i="19" s="1"/>
  <c r="V379" i="19"/>
  <c r="W379" i="19" s="1"/>
  <c r="V378" i="19"/>
  <c r="V377" i="19"/>
  <c r="W377" i="19" s="1"/>
  <c r="V376" i="19"/>
  <c r="X376" i="19" s="1"/>
  <c r="V375" i="19"/>
  <c r="X375" i="19" s="1"/>
  <c r="V374" i="19"/>
  <c r="X374" i="19" s="1"/>
  <c r="V373" i="19"/>
  <c r="X373" i="19" s="1"/>
  <c r="V372" i="19"/>
  <c r="X372" i="19" s="1"/>
  <c r="V371" i="19"/>
  <c r="X371" i="19" s="1"/>
  <c r="V370" i="19"/>
  <c r="V369" i="19"/>
  <c r="V368" i="19"/>
  <c r="W368" i="19" s="1"/>
  <c r="V367" i="19"/>
  <c r="V366" i="19"/>
  <c r="X366" i="19" s="1"/>
  <c r="V365" i="19"/>
  <c r="X365" i="19" s="1"/>
  <c r="V364" i="19"/>
  <c r="X364" i="19" s="1"/>
  <c r="V363" i="19"/>
  <c r="W363" i="19" s="1"/>
  <c r="V362" i="19"/>
  <c r="W362" i="19" s="1"/>
  <c r="V361" i="19"/>
  <c r="V360" i="19"/>
  <c r="W360" i="19" s="1"/>
  <c r="V359" i="19"/>
  <c r="X359" i="19" s="1"/>
  <c r="V358" i="19"/>
  <c r="V357" i="19"/>
  <c r="V356" i="19"/>
  <c r="X356" i="19" s="1"/>
  <c r="V355" i="19"/>
  <c r="X355" i="19" s="1"/>
  <c r="V354" i="19"/>
  <c r="V353" i="19"/>
  <c r="V352" i="19"/>
  <c r="X352" i="19" s="1"/>
  <c r="V351" i="19"/>
  <c r="V350" i="19"/>
  <c r="V349" i="19"/>
  <c r="V348" i="19"/>
  <c r="X348" i="19" s="1"/>
  <c r="V347" i="19"/>
  <c r="V346" i="19"/>
  <c r="X346" i="19" s="1"/>
  <c r="V345" i="19"/>
  <c r="W345" i="19" s="1"/>
  <c r="V344" i="19"/>
  <c r="X344" i="19" s="1"/>
  <c r="V343" i="19"/>
  <c r="X343" i="19" s="1"/>
  <c r="V342" i="19"/>
  <c r="X342" i="19" s="1"/>
  <c r="V341" i="19"/>
  <c r="V340" i="19"/>
  <c r="V339" i="19"/>
  <c r="X339" i="19" s="1"/>
  <c r="V338" i="19"/>
  <c r="W338" i="19" s="1"/>
  <c r="V337" i="19"/>
  <c r="V336" i="19"/>
  <c r="X336" i="19" s="1"/>
  <c r="V335" i="19"/>
  <c r="V334" i="19"/>
  <c r="W334" i="19" s="1"/>
  <c r="V333" i="19"/>
  <c r="V332" i="19"/>
  <c r="X332" i="19" s="1"/>
  <c r="V331" i="19"/>
  <c r="V330" i="19"/>
  <c r="X330" i="19" s="1"/>
  <c r="V329" i="19"/>
  <c r="V328" i="19"/>
  <c r="W328" i="19" s="1"/>
  <c r="V327" i="19"/>
  <c r="X327" i="19" s="1"/>
  <c r="V326" i="19"/>
  <c r="V325" i="19"/>
  <c r="X325" i="19" s="1"/>
  <c r="V324" i="19"/>
  <c r="W324" i="19" s="1"/>
  <c r="V323" i="19"/>
  <c r="X323" i="19" s="1"/>
  <c r="V322" i="19"/>
  <c r="V321" i="19"/>
  <c r="V320" i="19"/>
  <c r="X320" i="19" s="1"/>
  <c r="V319" i="19"/>
  <c r="W319" i="19" s="1"/>
  <c r="V318" i="19"/>
  <c r="W318" i="19" s="1"/>
  <c r="V317" i="19"/>
  <c r="V316" i="19"/>
  <c r="X316" i="19" s="1"/>
  <c r="V315" i="19"/>
  <c r="V314" i="19"/>
  <c r="X314" i="19" s="1"/>
  <c r="V313" i="19"/>
  <c r="V312" i="19"/>
  <c r="W312" i="19" s="1"/>
  <c r="V311" i="19"/>
  <c r="X311" i="19" s="1"/>
  <c r="V310" i="19"/>
  <c r="X310" i="19" s="1"/>
  <c r="V309" i="19"/>
  <c r="X309" i="19" s="1"/>
  <c r="V308" i="19"/>
  <c r="X308" i="19" s="1"/>
  <c r="V307" i="19"/>
  <c r="X307" i="19" s="1"/>
  <c r="V306" i="19"/>
  <c r="W306" i="19" s="1"/>
  <c r="V305" i="19"/>
  <c r="V304" i="19"/>
  <c r="X304" i="19" s="1"/>
  <c r="V303" i="19"/>
  <c r="V302" i="19"/>
  <c r="X302" i="19" s="1"/>
  <c r="V301" i="19"/>
  <c r="X301" i="19" s="1"/>
  <c r="V300" i="19"/>
  <c r="X300" i="19" s="1"/>
  <c r="V299" i="19"/>
  <c r="V298" i="19"/>
  <c r="X298" i="19" s="1"/>
  <c r="V297" i="19"/>
  <c r="V296" i="19"/>
  <c r="V295" i="19"/>
  <c r="X295" i="19" s="1"/>
  <c r="V294" i="19"/>
  <c r="X294" i="19" s="1"/>
  <c r="V293" i="19"/>
  <c r="V292" i="19"/>
  <c r="X292" i="19" s="1"/>
  <c r="V291" i="19"/>
  <c r="X291" i="19" s="1"/>
  <c r="V290" i="19"/>
  <c r="W290" i="19" s="1"/>
  <c r="V289" i="19"/>
  <c r="V288" i="19"/>
  <c r="V287" i="19"/>
  <c r="X287" i="19" s="1"/>
  <c r="V286" i="19"/>
  <c r="V285" i="19"/>
  <c r="V284" i="19"/>
  <c r="X284" i="19" s="1"/>
  <c r="V283" i="19"/>
  <c r="W283" i="19" s="1"/>
  <c r="V282" i="19"/>
  <c r="V281" i="19"/>
  <c r="V280" i="19"/>
  <c r="V279" i="19"/>
  <c r="X279" i="19" s="1"/>
  <c r="V278" i="19"/>
  <c r="X278" i="19" s="1"/>
  <c r="V277" i="19"/>
  <c r="X277" i="19" s="1"/>
  <c r="V276" i="19"/>
  <c r="W276" i="19" s="1"/>
  <c r="V275" i="19"/>
  <c r="V274" i="19"/>
  <c r="W274" i="19" s="1"/>
  <c r="V273" i="19"/>
  <c r="V272" i="19"/>
  <c r="X272" i="19" s="1"/>
  <c r="V271" i="19"/>
  <c r="V270" i="19"/>
  <c r="V269" i="19"/>
  <c r="X269" i="19" s="1"/>
  <c r="V268" i="19"/>
  <c r="X268" i="19" s="1"/>
  <c r="V267" i="19"/>
  <c r="V266" i="19"/>
  <c r="X266" i="19" s="1"/>
  <c r="V265" i="19"/>
  <c r="V264" i="19"/>
  <c r="W264" i="19" s="1"/>
  <c r="V263" i="19"/>
  <c r="X263" i="19" s="1"/>
  <c r="V262" i="19"/>
  <c r="V261" i="19"/>
  <c r="V260" i="19"/>
  <c r="X260" i="19" s="1"/>
  <c r="V259" i="19"/>
  <c r="X259" i="19" s="1"/>
  <c r="V258" i="19"/>
  <c r="W258" i="19" s="1"/>
  <c r="V257" i="19"/>
  <c r="V256" i="19"/>
  <c r="V255" i="19"/>
  <c r="X255" i="19" s="1"/>
  <c r="V254" i="19"/>
  <c r="W254" i="19" s="1"/>
  <c r="V253" i="19"/>
  <c r="X253" i="19" s="1"/>
  <c r="V252" i="19"/>
  <c r="X252" i="19" s="1"/>
  <c r="V251" i="19"/>
  <c r="X251" i="19" s="1"/>
  <c r="V250" i="19"/>
  <c r="W250" i="19" s="1"/>
  <c r="V249" i="19"/>
  <c r="W249" i="19" s="1"/>
  <c r="V248" i="19"/>
  <c r="X248" i="19" s="1"/>
  <c r="V247" i="19"/>
  <c r="X247" i="19" s="1"/>
  <c r="V246" i="19"/>
  <c r="X246" i="19" s="1"/>
  <c r="V245" i="19"/>
  <c r="V244" i="19"/>
  <c r="V243" i="19"/>
  <c r="W243" i="19" s="1"/>
  <c r="V242" i="19"/>
  <c r="W242" i="19" s="1"/>
  <c r="V241" i="19"/>
  <c r="V240" i="19"/>
  <c r="V239" i="19"/>
  <c r="V238" i="19"/>
  <c r="V237" i="19"/>
  <c r="V236" i="19"/>
  <c r="X236" i="19" s="1"/>
  <c r="V235" i="19"/>
  <c r="V234" i="19"/>
  <c r="X234" i="19" s="1"/>
  <c r="V233" i="19"/>
  <c r="V232" i="19"/>
  <c r="X232" i="19" s="1"/>
  <c r="V231" i="19"/>
  <c r="X231" i="19" s="1"/>
  <c r="V230" i="19"/>
  <c r="V229" i="19"/>
  <c r="W229" i="19" s="1"/>
  <c r="V228" i="19"/>
  <c r="X228" i="19" s="1"/>
  <c r="V227" i="19"/>
  <c r="V226" i="19"/>
  <c r="W226" i="19" s="1"/>
  <c r="V225" i="19"/>
  <c r="V224" i="19"/>
  <c r="V223" i="19"/>
  <c r="V222" i="19"/>
  <c r="V221" i="19"/>
  <c r="X221" i="19" s="1"/>
  <c r="V220" i="19"/>
  <c r="X220" i="19" s="1"/>
  <c r="V219" i="19"/>
  <c r="W219" i="19" s="1"/>
  <c r="V218" i="19"/>
  <c r="V217" i="19"/>
  <c r="V216" i="19"/>
  <c r="X216" i="19" s="1"/>
  <c r="V215" i="19"/>
  <c r="X215" i="19" s="1"/>
  <c r="V214" i="19"/>
  <c r="X214" i="19" s="1"/>
  <c r="V213" i="19"/>
  <c r="V212" i="19"/>
  <c r="X212" i="19" s="1"/>
  <c r="V211" i="19"/>
  <c r="W211" i="19" s="1"/>
  <c r="V210" i="19"/>
  <c r="W210" i="19" s="1"/>
  <c r="V209" i="19"/>
  <c r="V208" i="19"/>
  <c r="X208" i="19" s="1"/>
  <c r="V207" i="19"/>
  <c r="V206" i="19"/>
  <c r="X206" i="19" s="1"/>
  <c r="V205" i="19"/>
  <c r="X205" i="19" s="1"/>
  <c r="V204" i="19"/>
  <c r="X204" i="19" s="1"/>
  <c r="V203" i="19"/>
  <c r="X203" i="19" s="1"/>
  <c r="V202" i="19"/>
  <c r="X202" i="19" s="1"/>
  <c r="V201" i="19"/>
  <c r="V200" i="19"/>
  <c r="X200" i="19" s="1"/>
  <c r="V199" i="19"/>
  <c r="X199" i="19" s="1"/>
  <c r="V198" i="19"/>
  <c r="V197" i="19"/>
  <c r="X197" i="19" s="1"/>
  <c r="V196" i="19"/>
  <c r="X196" i="19" s="1"/>
  <c r="V195" i="19"/>
  <c r="X195" i="19" s="1"/>
  <c r="V194" i="19"/>
  <c r="W194" i="19" s="1"/>
  <c r="V193" i="19"/>
  <c r="V192" i="19"/>
  <c r="V191" i="19"/>
  <c r="V190" i="19"/>
  <c r="V189" i="19"/>
  <c r="W189" i="19" s="1"/>
  <c r="V188" i="19"/>
  <c r="X188" i="19" s="1"/>
  <c r="V187" i="19"/>
  <c r="V186" i="19"/>
  <c r="V185" i="19"/>
  <c r="X185" i="19" s="1"/>
  <c r="V184" i="19"/>
  <c r="V183" i="19"/>
  <c r="X183" i="19" s="1"/>
  <c r="V182" i="19"/>
  <c r="X182" i="19" s="1"/>
  <c r="V181" i="19"/>
  <c r="X181" i="19" s="1"/>
  <c r="V180" i="19"/>
  <c r="W180" i="19" s="1"/>
  <c r="V179" i="19"/>
  <c r="V178" i="19"/>
  <c r="W178" i="19" s="1"/>
  <c r="V177" i="19"/>
  <c r="V176" i="19"/>
  <c r="V175" i="19"/>
  <c r="V174" i="19"/>
  <c r="X174" i="19" s="1"/>
  <c r="V173" i="19"/>
  <c r="X173" i="19" s="1"/>
  <c r="V171" i="19"/>
  <c r="X171" i="19" s="1"/>
  <c r="V170" i="19"/>
  <c r="W170" i="19" s="1"/>
  <c r="V169" i="19"/>
  <c r="W169" i="19" s="1"/>
  <c r="V168" i="19"/>
  <c r="V167" i="19"/>
  <c r="X167" i="19" s="1"/>
  <c r="V166" i="19"/>
  <c r="X166" i="19" s="1"/>
  <c r="V165" i="19"/>
  <c r="X165" i="19" s="1"/>
  <c r="V164" i="19"/>
  <c r="X164" i="19" s="1"/>
  <c r="V163" i="19"/>
  <c r="V162" i="19"/>
  <c r="X162" i="19" s="1"/>
  <c r="V161" i="19"/>
  <c r="W161" i="19" s="1"/>
  <c r="V160" i="19"/>
  <c r="V159" i="19"/>
  <c r="V158" i="19"/>
  <c r="X158" i="19" s="1"/>
  <c r="T158" i="19"/>
  <c r="V157" i="19"/>
  <c r="W157" i="19" s="1"/>
  <c r="T157" i="19"/>
  <c r="V156" i="19"/>
  <c r="X156" i="19" s="1"/>
  <c r="T156" i="19"/>
  <c r="V155" i="19"/>
  <c r="X155" i="19" s="1"/>
  <c r="T155" i="19"/>
  <c r="V154" i="19"/>
  <c r="T154" i="19"/>
  <c r="V153" i="19"/>
  <c r="X153" i="19" s="1"/>
  <c r="T153" i="19"/>
  <c r="V152" i="19"/>
  <c r="X152" i="19" s="1"/>
  <c r="T152" i="19"/>
  <c r="V151" i="19"/>
  <c r="T151" i="19"/>
  <c r="V150" i="19"/>
  <c r="X150" i="19" s="1"/>
  <c r="T150" i="19"/>
  <c r="V149" i="19"/>
  <c r="X149" i="19" s="1"/>
  <c r="T149" i="19"/>
  <c r="V148" i="19"/>
  <c r="X148" i="19" s="1"/>
  <c r="T148" i="19"/>
  <c r="V147" i="19"/>
  <c r="X147" i="19" s="1"/>
  <c r="T147" i="19"/>
  <c r="V146" i="19"/>
  <c r="T146" i="19"/>
  <c r="V145" i="19"/>
  <c r="T145" i="19"/>
  <c r="V144" i="19"/>
  <c r="X144" i="19" s="1"/>
  <c r="T144" i="19"/>
  <c r="V143" i="19"/>
  <c r="W143" i="19" s="1"/>
  <c r="T143" i="19"/>
  <c r="V142" i="19"/>
  <c r="T142" i="19"/>
  <c r="V141" i="19"/>
  <c r="W141" i="19" s="1"/>
  <c r="T141" i="19"/>
  <c r="V140" i="19"/>
  <c r="X140" i="19" s="1"/>
  <c r="T140" i="19"/>
  <c r="V139" i="19"/>
  <c r="X139" i="19" s="1"/>
  <c r="T139" i="19"/>
  <c r="V138" i="19"/>
  <c r="X138" i="19" s="1"/>
  <c r="T138" i="19"/>
  <c r="V137" i="19"/>
  <c r="X137" i="19" s="1"/>
  <c r="T137" i="19"/>
  <c r="V136" i="19"/>
  <c r="X136" i="19" s="1"/>
  <c r="T136" i="19"/>
  <c r="V135" i="19"/>
  <c r="W135" i="19" s="1"/>
  <c r="T135" i="19"/>
  <c r="V134" i="19"/>
  <c r="W134" i="19" s="1"/>
  <c r="T134" i="19"/>
  <c r="V133" i="19"/>
  <c r="T133" i="19"/>
  <c r="V132" i="19"/>
  <c r="X132" i="19" s="1"/>
  <c r="T132" i="19"/>
  <c r="V131" i="19"/>
  <c r="T131" i="19"/>
  <c r="V130" i="19"/>
  <c r="X130" i="19" s="1"/>
  <c r="T130" i="19"/>
  <c r="V129" i="19"/>
  <c r="X129" i="19" s="1"/>
  <c r="T129" i="19"/>
  <c r="V128" i="19"/>
  <c r="X128" i="19" s="1"/>
  <c r="T128" i="19"/>
  <c r="V127" i="19"/>
  <c r="X127" i="19" s="1"/>
  <c r="T127" i="19"/>
  <c r="V126" i="19"/>
  <c r="T126" i="19"/>
  <c r="V125" i="19"/>
  <c r="X125" i="19" s="1"/>
  <c r="T125" i="19"/>
  <c r="V124" i="19"/>
  <c r="X124" i="19" s="1"/>
  <c r="T124" i="19"/>
  <c r="V123" i="19"/>
  <c r="X123" i="19" s="1"/>
  <c r="T123" i="19"/>
  <c r="V122" i="19"/>
  <c r="X122" i="19" s="1"/>
  <c r="T122" i="19"/>
  <c r="V121" i="19"/>
  <c r="T121" i="19"/>
  <c r="V120" i="19"/>
  <c r="X120" i="19" s="1"/>
  <c r="T120" i="19"/>
  <c r="V119" i="19"/>
  <c r="T119" i="19"/>
  <c r="V118" i="19"/>
  <c r="X118" i="19" s="1"/>
  <c r="T118" i="19"/>
  <c r="V117" i="19"/>
  <c r="X117" i="19" s="1"/>
  <c r="T117" i="19"/>
  <c r="V116" i="19"/>
  <c r="X116" i="19" s="1"/>
  <c r="T116" i="19"/>
  <c r="V115" i="19"/>
  <c r="X115" i="19" s="1"/>
  <c r="T115" i="19"/>
  <c r="V114" i="19"/>
  <c r="W114" i="19" s="1"/>
  <c r="T114" i="19"/>
  <c r="V113" i="19"/>
  <c r="X113" i="19" s="1"/>
  <c r="T113" i="19"/>
  <c r="V112" i="19"/>
  <c r="X112" i="19" s="1"/>
  <c r="T112" i="19"/>
  <c r="V111" i="19"/>
  <c r="X111" i="19" s="1"/>
  <c r="T111" i="19"/>
  <c r="V110" i="19"/>
  <c r="T110" i="19"/>
  <c r="V109" i="19"/>
  <c r="X109" i="19" s="1"/>
  <c r="T109" i="19"/>
  <c r="V108" i="19"/>
  <c r="X108" i="19" s="1"/>
  <c r="T108" i="19"/>
  <c r="V107" i="19"/>
  <c r="X107" i="19" s="1"/>
  <c r="T107" i="19"/>
  <c r="V106" i="19"/>
  <c r="X106" i="19" s="1"/>
  <c r="T106" i="19"/>
  <c r="V105" i="19"/>
  <c r="W105" i="19" s="1"/>
  <c r="T105" i="19"/>
  <c r="V104" i="19"/>
  <c r="X104" i="19" s="1"/>
  <c r="T104" i="19"/>
  <c r="V103" i="19"/>
  <c r="W103" i="19" s="1"/>
  <c r="T103" i="19"/>
  <c r="V102" i="19"/>
  <c r="W102" i="19" s="1"/>
  <c r="T102" i="19"/>
  <c r="V101" i="19"/>
  <c r="T101" i="19"/>
  <c r="V100" i="19"/>
  <c r="X100" i="19" s="1"/>
  <c r="T100" i="19"/>
  <c r="V99" i="19"/>
  <c r="W99" i="19" s="1"/>
  <c r="T99" i="19"/>
  <c r="V98" i="19"/>
  <c r="T98" i="19"/>
  <c r="V97" i="19"/>
  <c r="X97" i="19" s="1"/>
  <c r="T97" i="19"/>
  <c r="V96" i="19"/>
  <c r="X96" i="19" s="1"/>
  <c r="T96" i="19"/>
  <c r="V95" i="19"/>
  <c r="T95" i="19"/>
  <c r="V94" i="19"/>
  <c r="T94" i="19"/>
  <c r="V93" i="19"/>
  <c r="X93" i="19" s="1"/>
  <c r="T93" i="19"/>
  <c r="V92" i="19"/>
  <c r="X92" i="19" s="1"/>
  <c r="T92" i="19"/>
  <c r="V91" i="19"/>
  <c r="X91" i="19" s="1"/>
  <c r="T91" i="19"/>
  <c r="V90" i="19"/>
  <c r="W90" i="19" s="1"/>
  <c r="T90" i="19"/>
  <c r="V89" i="19"/>
  <c r="X89" i="19" s="1"/>
  <c r="T89" i="19"/>
  <c r="V88" i="19"/>
  <c r="X88" i="19" s="1"/>
  <c r="T88" i="19"/>
  <c r="V87" i="19"/>
  <c r="T87" i="19"/>
  <c r="V86" i="19"/>
  <c r="T86" i="19"/>
  <c r="V85" i="19"/>
  <c r="T85" i="19"/>
  <c r="V84" i="19"/>
  <c r="X84" i="19" s="1"/>
  <c r="T84" i="19"/>
  <c r="V83" i="19"/>
  <c r="X83" i="19" s="1"/>
  <c r="T83" i="19"/>
  <c r="V82" i="19"/>
  <c r="X82" i="19" s="1"/>
  <c r="T82" i="19"/>
  <c r="V81" i="19"/>
  <c r="T81" i="19"/>
  <c r="V80" i="19"/>
  <c r="X80" i="19" s="1"/>
  <c r="T80" i="19"/>
  <c r="V79" i="19"/>
  <c r="W79" i="19" s="1"/>
  <c r="T79" i="19"/>
  <c r="V78" i="19"/>
  <c r="T78" i="19"/>
  <c r="V77" i="19"/>
  <c r="X77" i="19" s="1"/>
  <c r="T77" i="19"/>
  <c r="V76" i="19"/>
  <c r="X76" i="19" s="1"/>
  <c r="T76" i="19"/>
  <c r="V75" i="19"/>
  <c r="T75" i="19"/>
  <c r="V74" i="19"/>
  <c r="X74" i="19" s="1"/>
  <c r="T74" i="19"/>
  <c r="V73" i="19"/>
  <c r="W73" i="19" s="1"/>
  <c r="T73" i="19"/>
  <c r="V72" i="19"/>
  <c r="X72" i="19" s="1"/>
  <c r="T72" i="19"/>
  <c r="V71" i="19"/>
  <c r="W71" i="19" s="1"/>
  <c r="T71" i="19"/>
  <c r="V70" i="19"/>
  <c r="T70" i="19"/>
  <c r="V69" i="19"/>
  <c r="T69" i="19"/>
  <c r="V68" i="19"/>
  <c r="X68" i="19" s="1"/>
  <c r="T68" i="19"/>
  <c r="V67" i="19"/>
  <c r="T67" i="19"/>
  <c r="V66" i="19"/>
  <c r="X66" i="19" s="1"/>
  <c r="T66" i="19"/>
  <c r="V65" i="19"/>
  <c r="X65" i="19" s="1"/>
  <c r="T65" i="19"/>
  <c r="V64" i="19"/>
  <c r="X64" i="19" s="1"/>
  <c r="T64" i="19"/>
  <c r="V63" i="19"/>
  <c r="T63" i="19"/>
  <c r="V62" i="19"/>
  <c r="W62" i="19" s="1"/>
  <c r="T62" i="19"/>
  <c r="V61" i="19"/>
  <c r="T61" i="19"/>
  <c r="V60" i="19"/>
  <c r="X60" i="19" s="1"/>
  <c r="T60" i="19"/>
  <c r="V59" i="19"/>
  <c r="T59" i="19"/>
  <c r="V58" i="19"/>
  <c r="X58" i="19" s="1"/>
  <c r="T58" i="19"/>
  <c r="V57" i="19"/>
  <c r="W57" i="19" s="1"/>
  <c r="T57" i="19"/>
  <c r="V56" i="19"/>
  <c r="X56" i="19" s="1"/>
  <c r="T56" i="19"/>
  <c r="V55" i="19"/>
  <c r="T55" i="19"/>
  <c r="V54" i="19"/>
  <c r="W54" i="19" s="1"/>
  <c r="T54" i="19"/>
  <c r="V53" i="19"/>
  <c r="T53" i="19"/>
  <c r="V52" i="19"/>
  <c r="X52" i="19" s="1"/>
  <c r="T52" i="19"/>
  <c r="V51" i="19"/>
  <c r="X51" i="19" s="1"/>
  <c r="T51" i="19"/>
  <c r="V50" i="19"/>
  <c r="W50" i="19" s="1"/>
  <c r="T50" i="19"/>
  <c r="V49" i="19"/>
  <c r="W49" i="19" s="1"/>
  <c r="T49" i="19"/>
  <c r="V48" i="19"/>
  <c r="X48" i="19" s="1"/>
  <c r="T48" i="19"/>
  <c r="V47" i="19"/>
  <c r="X47" i="19" s="1"/>
  <c r="T47" i="19"/>
  <c r="V46" i="19"/>
  <c r="T46" i="19"/>
  <c r="V45" i="19"/>
  <c r="W45" i="19" s="1"/>
  <c r="T45" i="19"/>
  <c r="V44" i="19"/>
  <c r="X44" i="19" s="1"/>
  <c r="T44" i="19"/>
  <c r="V43" i="19"/>
  <c r="X43" i="19" s="1"/>
  <c r="T43" i="19"/>
  <c r="V42" i="19"/>
  <c r="X42" i="19" s="1"/>
  <c r="T42" i="19"/>
  <c r="V41" i="19"/>
  <c r="T41" i="19"/>
  <c r="V40" i="19"/>
  <c r="X40" i="19" s="1"/>
  <c r="T40" i="19"/>
  <c r="V39" i="19"/>
  <c r="T39" i="19"/>
  <c r="V38" i="19"/>
  <c r="W38" i="19" s="1"/>
  <c r="T38" i="19"/>
  <c r="V37" i="19"/>
  <c r="T37" i="19"/>
  <c r="V36" i="19"/>
  <c r="X36" i="19" s="1"/>
  <c r="T36" i="19"/>
  <c r="V35" i="19"/>
  <c r="X35" i="19" s="1"/>
  <c r="T35" i="19"/>
  <c r="V34" i="19"/>
  <c r="T34" i="19"/>
  <c r="V33" i="19"/>
  <c r="X33" i="19" s="1"/>
  <c r="T33" i="19"/>
  <c r="V32" i="19"/>
  <c r="X32" i="19" s="1"/>
  <c r="T32" i="19"/>
  <c r="V31" i="19"/>
  <c r="X31" i="19" s="1"/>
  <c r="T31" i="19"/>
  <c r="V30" i="19"/>
  <c r="T30" i="19"/>
  <c r="V29" i="19"/>
  <c r="X29" i="19" s="1"/>
  <c r="T29" i="19"/>
  <c r="V28" i="19"/>
  <c r="X28" i="19" s="1"/>
  <c r="T28" i="19"/>
  <c r="V27" i="19"/>
  <c r="X27" i="19" s="1"/>
  <c r="T27" i="19"/>
  <c r="V26" i="19"/>
  <c r="T26" i="19"/>
  <c r="V25" i="19"/>
  <c r="T25" i="19"/>
  <c r="V24" i="19"/>
  <c r="X24" i="19" s="1"/>
  <c r="T24" i="19"/>
  <c r="V23" i="19"/>
  <c r="T23" i="19"/>
  <c r="V22" i="19"/>
  <c r="X22" i="19" s="1"/>
  <c r="T22" i="19"/>
  <c r="V21" i="19"/>
  <c r="T21" i="19"/>
  <c r="V20" i="19"/>
  <c r="X20" i="19" s="1"/>
  <c r="T20" i="19"/>
  <c r="V19" i="19"/>
  <c r="X19" i="19" s="1"/>
  <c r="T19" i="19"/>
  <c r="V18" i="19"/>
  <c r="T18" i="19"/>
  <c r="V17" i="19"/>
  <c r="T17" i="19"/>
  <c r="E17" i="19"/>
  <c r="F17" i="19" s="1"/>
  <c r="V16" i="19"/>
  <c r="X16" i="19" s="1"/>
  <c r="T16" i="19"/>
  <c r="E16" i="19"/>
  <c r="F16" i="19" s="1"/>
  <c r="V15" i="19"/>
  <c r="T15" i="19"/>
  <c r="E15" i="19"/>
  <c r="F15" i="19" s="1"/>
  <c r="V14" i="19"/>
  <c r="W14" i="19" s="1"/>
  <c r="T14" i="19"/>
  <c r="E14" i="19"/>
  <c r="F14" i="19" s="1"/>
  <c r="V13" i="19"/>
  <c r="T13" i="19"/>
  <c r="E13" i="19"/>
  <c r="F13" i="19" s="1"/>
  <c r="V12" i="19"/>
  <c r="T12" i="19"/>
  <c r="E12" i="19"/>
  <c r="F12" i="19" s="1"/>
  <c r="V11" i="19"/>
  <c r="X11" i="19" s="1"/>
  <c r="T11" i="19"/>
  <c r="E11" i="19"/>
  <c r="F11" i="19" s="1"/>
  <c r="V10" i="19"/>
  <c r="X10" i="19" s="1"/>
  <c r="T10" i="19"/>
  <c r="E10" i="19"/>
  <c r="F10" i="19" s="1"/>
  <c r="V9" i="19"/>
  <c r="T9" i="19"/>
  <c r="E9" i="19"/>
  <c r="F9" i="19" s="1"/>
  <c r="V8" i="19"/>
  <c r="X8" i="19" s="1"/>
  <c r="T8" i="19"/>
  <c r="E8" i="19"/>
  <c r="F8" i="19" s="1"/>
  <c r="V7" i="19"/>
  <c r="W7" i="19" s="1"/>
  <c r="T7" i="19"/>
  <c r="E7" i="19"/>
  <c r="F7" i="19" s="1"/>
  <c r="V6" i="19"/>
  <c r="X6" i="19" s="1"/>
  <c r="T6" i="19"/>
  <c r="E6" i="19"/>
  <c r="F6" i="19" s="1"/>
  <c r="V5" i="19"/>
  <c r="T5" i="19"/>
  <c r="E5" i="19"/>
  <c r="F5" i="19" s="1"/>
  <c r="V4" i="19"/>
  <c r="T4" i="19"/>
  <c r="E4" i="19"/>
  <c r="F4" i="19" s="1"/>
  <c r="AC500" i="42"/>
  <c r="AA500" i="42"/>
  <c r="Y500" i="42"/>
  <c r="V500" i="42"/>
  <c r="P500" i="42"/>
  <c r="AE500" i="42" s="1"/>
  <c r="AF500" i="42" s="1"/>
  <c r="AC499" i="42"/>
  <c r="AA499" i="42"/>
  <c r="Y499" i="42"/>
  <c r="P499" i="42"/>
  <c r="AE499" i="42" s="1"/>
  <c r="AF499" i="42" s="1"/>
  <c r="AC498" i="42"/>
  <c r="AA498" i="42"/>
  <c r="Y498" i="42"/>
  <c r="P498" i="42"/>
  <c r="AE498" i="42" s="1"/>
  <c r="AF498" i="42" s="1"/>
  <c r="AC497" i="42"/>
  <c r="AA497" i="42"/>
  <c r="Y497" i="42"/>
  <c r="AC496" i="42"/>
  <c r="AA496" i="42"/>
  <c r="Y496" i="42"/>
  <c r="AC495" i="42"/>
  <c r="AA495" i="42"/>
  <c r="Y495" i="42"/>
  <c r="V495" i="42"/>
  <c r="P495" i="42"/>
  <c r="AE495" i="42" s="1"/>
  <c r="AF495" i="42" s="1"/>
  <c r="AC494" i="42"/>
  <c r="AA494" i="42"/>
  <c r="Y494" i="42"/>
  <c r="AC493" i="42"/>
  <c r="AA493" i="42"/>
  <c r="Y493" i="42"/>
  <c r="V493" i="42"/>
  <c r="P493" i="42"/>
  <c r="AE493" i="42" s="1"/>
  <c r="AF493" i="42" s="1"/>
  <c r="AC492" i="42"/>
  <c r="AA492" i="42"/>
  <c r="Y492" i="42"/>
  <c r="V492" i="42"/>
  <c r="P492" i="42"/>
  <c r="AE492" i="42" s="1"/>
  <c r="AF492" i="42" s="1"/>
  <c r="AC491" i="42"/>
  <c r="AA491" i="42"/>
  <c r="Y491" i="42"/>
  <c r="P491" i="42"/>
  <c r="AE491" i="42" s="1"/>
  <c r="AF491" i="42" s="1"/>
  <c r="AC490" i="42"/>
  <c r="AA490" i="42"/>
  <c r="Y490" i="42"/>
  <c r="V490" i="42"/>
  <c r="P490" i="42"/>
  <c r="AE490" i="42" s="1"/>
  <c r="AF490" i="42" s="1"/>
  <c r="AC489" i="42"/>
  <c r="AA489" i="42"/>
  <c r="Y489" i="42"/>
  <c r="P489" i="42"/>
  <c r="AE489" i="42" s="1"/>
  <c r="AF489" i="42" s="1"/>
  <c r="AC488" i="42"/>
  <c r="AA488" i="42"/>
  <c r="Y488" i="42"/>
  <c r="AC487" i="42"/>
  <c r="AA487" i="42"/>
  <c r="Y487" i="42"/>
  <c r="V487" i="42"/>
  <c r="AC486" i="42"/>
  <c r="AA486" i="42"/>
  <c r="Y486" i="42"/>
  <c r="V486" i="42"/>
  <c r="P486" i="42"/>
  <c r="AE486" i="42" s="1"/>
  <c r="AF486" i="42" s="1"/>
  <c r="AC485" i="42"/>
  <c r="AA485" i="42"/>
  <c r="Y485" i="42"/>
  <c r="V485" i="42"/>
  <c r="P485" i="42"/>
  <c r="AE485" i="42" s="1"/>
  <c r="AF485" i="42" s="1"/>
  <c r="AC484" i="42"/>
  <c r="AA484" i="42"/>
  <c r="Y484" i="42"/>
  <c r="V484" i="42"/>
  <c r="P484" i="42"/>
  <c r="AE484" i="42" s="1"/>
  <c r="AF484" i="42" s="1"/>
  <c r="AC483" i="42"/>
  <c r="AA483" i="42"/>
  <c r="Y483" i="42"/>
  <c r="P483" i="42"/>
  <c r="AE483" i="42" s="1"/>
  <c r="AF483" i="42" s="1"/>
  <c r="AC482" i="42"/>
  <c r="AA482" i="42"/>
  <c r="Y482" i="42"/>
  <c r="P482" i="42"/>
  <c r="AE482" i="42" s="1"/>
  <c r="AF482" i="42" s="1"/>
  <c r="AC481" i="42"/>
  <c r="AA481" i="42"/>
  <c r="Y481" i="42"/>
  <c r="AC480" i="42"/>
  <c r="AA480" i="42"/>
  <c r="Y480" i="42"/>
  <c r="V480" i="42"/>
  <c r="AC479" i="42"/>
  <c r="AA479" i="42"/>
  <c r="Y479" i="42"/>
  <c r="AC478" i="42"/>
  <c r="AA478" i="42"/>
  <c r="Y478" i="42"/>
  <c r="V478" i="42"/>
  <c r="AC477" i="42"/>
  <c r="AA477" i="42"/>
  <c r="Y477" i="42"/>
  <c r="V477" i="42"/>
  <c r="P477" i="42"/>
  <c r="AE477" i="42" s="1"/>
  <c r="AF477" i="42" s="1"/>
  <c r="AC476" i="42"/>
  <c r="AA476" i="42"/>
  <c r="Y476" i="42"/>
  <c r="V476" i="42"/>
  <c r="P476" i="42"/>
  <c r="AE476" i="42" s="1"/>
  <c r="AF476" i="42" s="1"/>
  <c r="AC475" i="42"/>
  <c r="AA475" i="42"/>
  <c r="Y475" i="42"/>
  <c r="V475" i="42"/>
  <c r="P475" i="42"/>
  <c r="AE475" i="42" s="1"/>
  <c r="AF475" i="42" s="1"/>
  <c r="AC474" i="42"/>
  <c r="AA474" i="42"/>
  <c r="Y474" i="42"/>
  <c r="P474" i="42"/>
  <c r="AE474" i="42" s="1"/>
  <c r="AF474" i="42" s="1"/>
  <c r="AC473" i="42"/>
  <c r="AA473" i="42"/>
  <c r="Y473" i="42"/>
  <c r="V473" i="42"/>
  <c r="P473" i="42"/>
  <c r="AE473" i="42" s="1"/>
  <c r="AF473" i="42" s="1"/>
  <c r="AC472" i="42"/>
  <c r="AA472" i="42"/>
  <c r="Y472" i="42"/>
  <c r="V472" i="42"/>
  <c r="AC471" i="42"/>
  <c r="AA471" i="42"/>
  <c r="Y471" i="42"/>
  <c r="V471" i="42"/>
  <c r="AC470" i="42"/>
  <c r="AA470" i="42"/>
  <c r="Y470" i="42"/>
  <c r="V470" i="42"/>
  <c r="AC469" i="42"/>
  <c r="AA469" i="42"/>
  <c r="Y469" i="42"/>
  <c r="V469" i="42"/>
  <c r="P469" i="42"/>
  <c r="AE469" i="42" s="1"/>
  <c r="AF469" i="42" s="1"/>
  <c r="AC468" i="42"/>
  <c r="AA468" i="42"/>
  <c r="Y468" i="42"/>
  <c r="V468" i="42"/>
  <c r="P468" i="42"/>
  <c r="AE468" i="42" s="1"/>
  <c r="AF468" i="42" s="1"/>
  <c r="AC467" i="42"/>
  <c r="AA467" i="42"/>
  <c r="Y467" i="42"/>
  <c r="V467" i="42"/>
  <c r="P467" i="42"/>
  <c r="AE467" i="42" s="1"/>
  <c r="AF467" i="42" s="1"/>
  <c r="AC466" i="42"/>
  <c r="AA466" i="42"/>
  <c r="Y466" i="42"/>
  <c r="P466" i="42"/>
  <c r="AE466" i="42" s="1"/>
  <c r="AF466" i="42" s="1"/>
  <c r="AC465" i="42"/>
  <c r="AA465" i="42"/>
  <c r="Y465" i="42"/>
  <c r="AC464" i="42"/>
  <c r="AA464" i="42"/>
  <c r="Y464" i="42"/>
  <c r="V464" i="42"/>
  <c r="AC463" i="42"/>
  <c r="AA463" i="42"/>
  <c r="Y463" i="42"/>
  <c r="AC462" i="42"/>
  <c r="AA462" i="42"/>
  <c r="Y462" i="42"/>
  <c r="V462" i="42"/>
  <c r="AC461" i="42"/>
  <c r="AA461" i="42"/>
  <c r="Y461" i="42"/>
  <c r="V461" i="42"/>
  <c r="P461" i="42"/>
  <c r="AE461" i="42" s="1"/>
  <c r="AF461" i="42" s="1"/>
  <c r="AC460" i="42"/>
  <c r="AA460" i="42"/>
  <c r="Y460" i="42"/>
  <c r="V460" i="42"/>
  <c r="P460" i="42"/>
  <c r="AE460" i="42" s="1"/>
  <c r="AF460" i="42" s="1"/>
  <c r="AC459" i="42"/>
  <c r="AA459" i="42"/>
  <c r="Y459" i="42"/>
  <c r="V459" i="42"/>
  <c r="P459" i="42"/>
  <c r="AE459" i="42" s="1"/>
  <c r="AF459" i="42" s="1"/>
  <c r="AC458" i="42"/>
  <c r="AA458" i="42"/>
  <c r="Y458" i="42"/>
  <c r="V458" i="42"/>
  <c r="P458" i="42"/>
  <c r="AE458" i="42" s="1"/>
  <c r="AF458" i="42" s="1"/>
  <c r="AC457" i="42"/>
  <c r="AA457" i="42"/>
  <c r="Y457" i="42"/>
  <c r="V457" i="42"/>
  <c r="P457" i="42"/>
  <c r="AE457" i="42" s="1"/>
  <c r="AF457" i="42" s="1"/>
  <c r="AC456" i="42"/>
  <c r="AA456" i="42"/>
  <c r="Y456" i="42"/>
  <c r="P456" i="42"/>
  <c r="AE456" i="42" s="1"/>
  <c r="AF456" i="42" s="1"/>
  <c r="AC455" i="42"/>
  <c r="AA455" i="42"/>
  <c r="Y455" i="42"/>
  <c r="V455" i="42"/>
  <c r="AC454" i="42"/>
  <c r="AA454" i="42"/>
  <c r="Y454" i="42"/>
  <c r="P454" i="42"/>
  <c r="AE454" i="42" s="1"/>
  <c r="AF454" i="42" s="1"/>
  <c r="AC453" i="42"/>
  <c r="AA453" i="42"/>
  <c r="Y453" i="42"/>
  <c r="V453" i="42"/>
  <c r="P453" i="42"/>
  <c r="AE453" i="42" s="1"/>
  <c r="AF453" i="42" s="1"/>
  <c r="AC452" i="42"/>
  <c r="AA452" i="42"/>
  <c r="Y452" i="42"/>
  <c r="P452" i="42"/>
  <c r="AE452" i="42" s="1"/>
  <c r="AF452" i="42" s="1"/>
  <c r="AC451" i="42"/>
  <c r="AA451" i="42"/>
  <c r="Y451" i="42"/>
  <c r="P451" i="42"/>
  <c r="AE451" i="42" s="1"/>
  <c r="AF451" i="42" s="1"/>
  <c r="AC450" i="42"/>
  <c r="AA450" i="42"/>
  <c r="Y450" i="42"/>
  <c r="P450" i="42"/>
  <c r="AE450" i="42" s="1"/>
  <c r="AF450" i="42" s="1"/>
  <c r="AC449" i="42"/>
  <c r="AA449" i="42"/>
  <c r="Y449" i="42"/>
  <c r="AC448" i="42"/>
  <c r="AA448" i="42"/>
  <c r="Y448" i="42"/>
  <c r="V448" i="42"/>
  <c r="AC447" i="42"/>
  <c r="AA447" i="42"/>
  <c r="Y447" i="42"/>
  <c r="V447" i="42"/>
  <c r="AC446" i="42"/>
  <c r="AA446" i="42"/>
  <c r="Y446" i="42"/>
  <c r="AC445" i="42"/>
  <c r="AA445" i="42"/>
  <c r="Y445" i="42"/>
  <c r="V445" i="42"/>
  <c r="P445" i="42"/>
  <c r="AE445" i="42" s="1"/>
  <c r="AF445" i="42" s="1"/>
  <c r="AC444" i="42"/>
  <c r="AA444" i="42"/>
  <c r="Y444" i="42"/>
  <c r="V444" i="42"/>
  <c r="P444" i="42"/>
  <c r="AE444" i="42" s="1"/>
  <c r="AF444" i="42" s="1"/>
  <c r="AC443" i="42"/>
  <c r="AA443" i="42"/>
  <c r="Y443" i="42"/>
  <c r="V443" i="42"/>
  <c r="P443" i="42"/>
  <c r="AE443" i="42" s="1"/>
  <c r="AF443" i="42" s="1"/>
  <c r="AC442" i="42"/>
  <c r="AA442" i="42"/>
  <c r="Y442" i="42"/>
  <c r="V442" i="42"/>
  <c r="P442" i="42"/>
  <c r="AE442" i="42" s="1"/>
  <c r="AF442" i="42" s="1"/>
  <c r="AC441" i="42"/>
  <c r="AA441" i="42"/>
  <c r="Y441" i="42"/>
  <c r="V441" i="42"/>
  <c r="P441" i="42"/>
  <c r="AE441" i="42" s="1"/>
  <c r="AF441" i="42" s="1"/>
  <c r="AC440" i="42"/>
  <c r="AA440" i="42"/>
  <c r="Y440" i="42"/>
  <c r="V440" i="42"/>
  <c r="P440" i="42"/>
  <c r="AE440" i="42" s="1"/>
  <c r="AF440" i="42" s="1"/>
  <c r="AC439" i="42"/>
  <c r="AA439" i="42"/>
  <c r="Y439" i="42"/>
  <c r="V439" i="42"/>
  <c r="AC438" i="42"/>
  <c r="AA438" i="42"/>
  <c r="Y438" i="42"/>
  <c r="V438" i="42"/>
  <c r="AC437" i="42"/>
  <c r="AA437" i="42"/>
  <c r="Y437" i="42"/>
  <c r="V437" i="42"/>
  <c r="P437" i="42"/>
  <c r="AE437" i="42" s="1"/>
  <c r="AF437" i="42" s="1"/>
  <c r="AC436" i="42"/>
  <c r="AA436" i="42"/>
  <c r="Y436" i="42"/>
  <c r="V436" i="42"/>
  <c r="P436" i="42"/>
  <c r="AE436" i="42" s="1"/>
  <c r="AF436" i="42" s="1"/>
  <c r="AC435" i="42"/>
  <c r="AA435" i="42"/>
  <c r="Y435" i="42"/>
  <c r="V435" i="42"/>
  <c r="P435" i="42"/>
  <c r="AE435" i="42" s="1"/>
  <c r="AF435" i="42" s="1"/>
  <c r="AC434" i="42"/>
  <c r="AA434" i="42"/>
  <c r="Y434" i="42"/>
  <c r="P434" i="42"/>
  <c r="AE434" i="42" s="1"/>
  <c r="AF434" i="42" s="1"/>
  <c r="AC433" i="42"/>
  <c r="AA433" i="42"/>
  <c r="Y433" i="42"/>
  <c r="V433" i="42"/>
  <c r="AC432" i="42"/>
  <c r="AA432" i="42"/>
  <c r="Y432" i="42"/>
  <c r="V432" i="42"/>
  <c r="AC431" i="42"/>
  <c r="AA431" i="42"/>
  <c r="Y431" i="42"/>
  <c r="V431" i="42"/>
  <c r="AC430" i="42"/>
  <c r="AA430" i="42"/>
  <c r="Y430" i="42"/>
  <c r="V430" i="42"/>
  <c r="P430" i="42"/>
  <c r="AE430" i="42" s="1"/>
  <c r="AF430" i="42" s="1"/>
  <c r="AC429" i="42"/>
  <c r="AA429" i="42"/>
  <c r="Y429" i="42"/>
  <c r="V429" i="42"/>
  <c r="AC428" i="42"/>
  <c r="AA428" i="42"/>
  <c r="Y428" i="42"/>
  <c r="P428" i="42"/>
  <c r="AE428" i="42" s="1"/>
  <c r="AF428" i="42" s="1"/>
  <c r="AC427" i="42"/>
  <c r="AA427" i="42"/>
  <c r="Y427" i="42"/>
  <c r="V427" i="42"/>
  <c r="P427" i="42"/>
  <c r="AE427" i="42" s="1"/>
  <c r="AF427" i="42" s="1"/>
  <c r="AC426" i="42"/>
  <c r="AA426" i="42"/>
  <c r="Y426" i="42"/>
  <c r="V426" i="42"/>
  <c r="P426" i="42"/>
  <c r="AE426" i="42" s="1"/>
  <c r="AF426" i="42" s="1"/>
  <c r="AC425" i="42"/>
  <c r="AA425" i="42"/>
  <c r="Y425" i="42"/>
  <c r="V425" i="42"/>
  <c r="P425" i="42"/>
  <c r="AE425" i="42" s="1"/>
  <c r="AF425" i="42" s="1"/>
  <c r="AC424" i="42"/>
  <c r="AA424" i="42"/>
  <c r="Y424" i="42"/>
  <c r="V424" i="42"/>
  <c r="AC423" i="42"/>
  <c r="AA423" i="42"/>
  <c r="Y423" i="42"/>
  <c r="P423" i="42"/>
  <c r="AE423" i="42" s="1"/>
  <c r="AF423" i="42" s="1"/>
  <c r="AC422" i="42"/>
  <c r="AA422" i="42"/>
  <c r="Y422" i="42"/>
  <c r="V422" i="42"/>
  <c r="AC421" i="42"/>
  <c r="AA421" i="42"/>
  <c r="Y421" i="42"/>
  <c r="V421" i="42"/>
  <c r="AC420" i="42"/>
  <c r="AA420" i="42"/>
  <c r="Y420" i="42"/>
  <c r="P420" i="42"/>
  <c r="AE420" i="42" s="1"/>
  <c r="AF420" i="42" s="1"/>
  <c r="AC419" i="42"/>
  <c r="AA419" i="42"/>
  <c r="Y419" i="42"/>
  <c r="P419" i="42"/>
  <c r="AE419" i="42" s="1"/>
  <c r="AF419" i="42" s="1"/>
  <c r="AC418" i="42"/>
  <c r="AA418" i="42"/>
  <c r="Y418" i="42"/>
  <c r="P418" i="42"/>
  <c r="AE418" i="42" s="1"/>
  <c r="AF418" i="42" s="1"/>
  <c r="AC417" i="42"/>
  <c r="AA417" i="42"/>
  <c r="Y417" i="42"/>
  <c r="V417" i="42"/>
  <c r="AC416" i="42"/>
  <c r="AA416" i="42"/>
  <c r="Y416" i="42"/>
  <c r="AC415" i="42"/>
  <c r="AA415" i="42"/>
  <c r="Y415" i="42"/>
  <c r="V415" i="42"/>
  <c r="AC414" i="42"/>
  <c r="AA414" i="42"/>
  <c r="Y414" i="42"/>
  <c r="V414" i="42"/>
  <c r="P414" i="42"/>
  <c r="AE414" i="42" s="1"/>
  <c r="AF414" i="42" s="1"/>
  <c r="AC413" i="42"/>
  <c r="AA413" i="42"/>
  <c r="Y413" i="42"/>
  <c r="AC412" i="42"/>
  <c r="AA412" i="42"/>
  <c r="Y412" i="42"/>
  <c r="V412" i="42"/>
  <c r="P412" i="42"/>
  <c r="AE412" i="42" s="1"/>
  <c r="AF412" i="42" s="1"/>
  <c r="AC411" i="42"/>
  <c r="AA411" i="42"/>
  <c r="Y411" i="42"/>
  <c r="V411" i="42"/>
  <c r="P411" i="42"/>
  <c r="AE411" i="42" s="1"/>
  <c r="AF411" i="42" s="1"/>
  <c r="AC410" i="42"/>
  <c r="AA410" i="42"/>
  <c r="Y410" i="42"/>
  <c r="V410" i="42"/>
  <c r="P410" i="42"/>
  <c r="AE410" i="42" s="1"/>
  <c r="AF410" i="42" s="1"/>
  <c r="AC409" i="42"/>
  <c r="AA409" i="42"/>
  <c r="Y409" i="42"/>
  <c r="V409" i="42"/>
  <c r="P409" i="42"/>
  <c r="AE409" i="42" s="1"/>
  <c r="AF409" i="42" s="1"/>
  <c r="AC408" i="42"/>
  <c r="AA408" i="42"/>
  <c r="Y408" i="42"/>
  <c r="V408" i="42"/>
  <c r="AC407" i="42"/>
  <c r="AA407" i="42"/>
  <c r="Y407" i="42"/>
  <c r="V407" i="42"/>
  <c r="AC406" i="42"/>
  <c r="AA406" i="42"/>
  <c r="Y406" i="42"/>
  <c r="P406" i="42"/>
  <c r="AE406" i="42" s="1"/>
  <c r="AF406" i="42" s="1"/>
  <c r="AC405" i="42"/>
  <c r="AA405" i="42"/>
  <c r="Y405" i="42"/>
  <c r="V405" i="42"/>
  <c r="AC404" i="42"/>
  <c r="AA404" i="42"/>
  <c r="Y404" i="42"/>
  <c r="V404" i="42"/>
  <c r="P404" i="42"/>
  <c r="AE404" i="42" s="1"/>
  <c r="AF404" i="42" s="1"/>
  <c r="AC403" i="42"/>
  <c r="AA403" i="42"/>
  <c r="Y403" i="42"/>
  <c r="P403" i="42"/>
  <c r="AE403" i="42" s="1"/>
  <c r="AF403" i="42" s="1"/>
  <c r="AC402" i="42"/>
  <c r="AA402" i="42"/>
  <c r="Y402" i="42"/>
  <c r="P402" i="42"/>
  <c r="AE402" i="42" s="1"/>
  <c r="AF402" i="42" s="1"/>
  <c r="AC401" i="42"/>
  <c r="AA401" i="42"/>
  <c r="Y401" i="42"/>
  <c r="AC400" i="42"/>
  <c r="AA400" i="42"/>
  <c r="Y400" i="42"/>
  <c r="V400" i="42"/>
  <c r="AC399" i="42"/>
  <c r="AA399" i="42"/>
  <c r="Y399" i="42"/>
  <c r="V399" i="42"/>
  <c r="AC398" i="42"/>
  <c r="AA398" i="42"/>
  <c r="Y398" i="42"/>
  <c r="V398" i="42"/>
  <c r="P398" i="42"/>
  <c r="AE398" i="42" s="1"/>
  <c r="AF398" i="42" s="1"/>
  <c r="AC397" i="42"/>
  <c r="AA397" i="42"/>
  <c r="Y397" i="42"/>
  <c r="V397" i="42"/>
  <c r="AC396" i="42"/>
  <c r="AA396" i="42"/>
  <c r="Y396" i="42"/>
  <c r="V396" i="42"/>
  <c r="AC395" i="42"/>
  <c r="AA395" i="42"/>
  <c r="Y395" i="42"/>
  <c r="V395" i="42"/>
  <c r="P395" i="42"/>
  <c r="AE395" i="42" s="1"/>
  <c r="AF395" i="42" s="1"/>
  <c r="AC394" i="42"/>
  <c r="AA394" i="42"/>
  <c r="Y394" i="42"/>
  <c r="P394" i="42"/>
  <c r="AE394" i="42" s="1"/>
  <c r="AF394" i="42" s="1"/>
  <c r="AC393" i="42"/>
  <c r="AA393" i="42"/>
  <c r="Y393" i="42"/>
  <c r="V393" i="42"/>
  <c r="P393" i="42"/>
  <c r="AE393" i="42" s="1"/>
  <c r="AF393" i="42" s="1"/>
  <c r="AC392" i="42"/>
  <c r="AA392" i="42"/>
  <c r="Y392" i="42"/>
  <c r="V392" i="42"/>
  <c r="AC391" i="42"/>
  <c r="AA391" i="42"/>
  <c r="Y391" i="42"/>
  <c r="V391" i="42"/>
  <c r="P391" i="42"/>
  <c r="AE391" i="42" s="1"/>
  <c r="AF391" i="42" s="1"/>
  <c r="AC390" i="42"/>
  <c r="AA390" i="42"/>
  <c r="Y390" i="42"/>
  <c r="V390" i="42"/>
  <c r="P390" i="42"/>
  <c r="AE390" i="42" s="1"/>
  <c r="AF390" i="42" s="1"/>
  <c r="AC389" i="42"/>
  <c r="AA389" i="42"/>
  <c r="Y389" i="42"/>
  <c r="V389" i="42"/>
  <c r="AC388" i="42"/>
  <c r="AA388" i="42"/>
  <c r="Y388" i="42"/>
  <c r="V388" i="42"/>
  <c r="P388" i="42"/>
  <c r="AE388" i="42" s="1"/>
  <c r="AF388" i="42" s="1"/>
  <c r="AC387" i="42"/>
  <c r="AA387" i="42"/>
  <c r="Y387" i="42"/>
  <c r="P387" i="42"/>
  <c r="AE387" i="42" s="1"/>
  <c r="AF387" i="42" s="1"/>
  <c r="AC386" i="42"/>
  <c r="AA386" i="42"/>
  <c r="Y386" i="42"/>
  <c r="P386" i="42"/>
  <c r="AE386" i="42" s="1"/>
  <c r="AF386" i="42" s="1"/>
  <c r="AC385" i="42"/>
  <c r="AA385" i="42"/>
  <c r="Y385" i="42"/>
  <c r="V385" i="42"/>
  <c r="AC384" i="42"/>
  <c r="AA384" i="42"/>
  <c r="Y384" i="42"/>
  <c r="AC383" i="42"/>
  <c r="AA383" i="42"/>
  <c r="Y383" i="42"/>
  <c r="V383" i="42"/>
  <c r="AC382" i="42"/>
  <c r="AA382" i="42"/>
  <c r="Y382" i="42"/>
  <c r="P382" i="42"/>
  <c r="AE382" i="42" s="1"/>
  <c r="AF382" i="42" s="1"/>
  <c r="AC381" i="42"/>
  <c r="AA381" i="42"/>
  <c r="Y381" i="42"/>
  <c r="AC380" i="42"/>
  <c r="AA380" i="42"/>
  <c r="Y380" i="42"/>
  <c r="V380" i="42"/>
  <c r="P380" i="42"/>
  <c r="AE380" i="42" s="1"/>
  <c r="AF380" i="42" s="1"/>
  <c r="AC379" i="42"/>
  <c r="AA379" i="42"/>
  <c r="Y379" i="42"/>
  <c r="V379" i="42"/>
  <c r="P379" i="42"/>
  <c r="AE379" i="42" s="1"/>
  <c r="AF379" i="42" s="1"/>
  <c r="AC378" i="42"/>
  <c r="AA378" i="42"/>
  <c r="Y378" i="42"/>
  <c r="V378" i="42"/>
  <c r="P378" i="42"/>
  <c r="AE378" i="42" s="1"/>
  <c r="AF378" i="42" s="1"/>
  <c r="AC377" i="42"/>
  <c r="AA377" i="42"/>
  <c r="Y377" i="42"/>
  <c r="V377" i="42"/>
  <c r="P377" i="42"/>
  <c r="AE377" i="42" s="1"/>
  <c r="AF377" i="42" s="1"/>
  <c r="AC376" i="42"/>
  <c r="AA376" i="42"/>
  <c r="Y376" i="42"/>
  <c r="V376" i="42"/>
  <c r="AC375" i="42"/>
  <c r="AA375" i="42"/>
  <c r="Y375" i="42"/>
  <c r="V375" i="42"/>
  <c r="AC374" i="42"/>
  <c r="AA374" i="42"/>
  <c r="Y374" i="42"/>
  <c r="V374" i="42"/>
  <c r="P374" i="42"/>
  <c r="AE374" i="42" s="1"/>
  <c r="AF374" i="42" s="1"/>
  <c r="AC373" i="42"/>
  <c r="AA373" i="42"/>
  <c r="Y373" i="42"/>
  <c r="AC372" i="42"/>
  <c r="AA372" i="42"/>
  <c r="Y372" i="42"/>
  <c r="V372" i="42"/>
  <c r="P372" i="42"/>
  <c r="AE372" i="42" s="1"/>
  <c r="AF372" i="42" s="1"/>
  <c r="AC371" i="42"/>
  <c r="AA371" i="42"/>
  <c r="Y371" i="42"/>
  <c r="P371" i="42"/>
  <c r="AE371" i="42" s="1"/>
  <c r="AF371" i="42" s="1"/>
  <c r="AC370" i="42"/>
  <c r="AA370" i="42"/>
  <c r="Y370" i="42"/>
  <c r="P370" i="42"/>
  <c r="AE370" i="42" s="1"/>
  <c r="AF370" i="42" s="1"/>
  <c r="AC369" i="42"/>
  <c r="AA369" i="42"/>
  <c r="Y369" i="42"/>
  <c r="AC368" i="42"/>
  <c r="AA368" i="42"/>
  <c r="Y368" i="42"/>
  <c r="AC367" i="42"/>
  <c r="AA367" i="42"/>
  <c r="Y367" i="42"/>
  <c r="V367" i="42"/>
  <c r="AC366" i="42"/>
  <c r="AA366" i="42"/>
  <c r="Y366" i="42"/>
  <c r="P366" i="42"/>
  <c r="AE366" i="42" s="1"/>
  <c r="AF366" i="42" s="1"/>
  <c r="AC365" i="42"/>
  <c r="AA365" i="42"/>
  <c r="Y365" i="42"/>
  <c r="AC364" i="42"/>
  <c r="AA364" i="42"/>
  <c r="Y364" i="42"/>
  <c r="V364" i="42"/>
  <c r="P364" i="42"/>
  <c r="AE364" i="42" s="1"/>
  <c r="AF364" i="42" s="1"/>
  <c r="AC363" i="42"/>
  <c r="AA363" i="42"/>
  <c r="Y363" i="42"/>
  <c r="V363" i="42"/>
  <c r="P363" i="42"/>
  <c r="AE363" i="42" s="1"/>
  <c r="AF363" i="42" s="1"/>
  <c r="AC362" i="42"/>
  <c r="AA362" i="42"/>
  <c r="Y362" i="42"/>
  <c r="V362" i="42"/>
  <c r="P362" i="42"/>
  <c r="AE362" i="42" s="1"/>
  <c r="AF362" i="42" s="1"/>
  <c r="AC361" i="42"/>
  <c r="AA361" i="42"/>
  <c r="Y361" i="42"/>
  <c r="V361" i="42"/>
  <c r="P361" i="42"/>
  <c r="AE361" i="42" s="1"/>
  <c r="AF361" i="42" s="1"/>
  <c r="AC360" i="42"/>
  <c r="AA360" i="42"/>
  <c r="Y360" i="42"/>
  <c r="V360" i="42"/>
  <c r="AC359" i="42"/>
  <c r="AA359" i="42"/>
  <c r="Y359" i="42"/>
  <c r="V359" i="42"/>
  <c r="P359" i="42"/>
  <c r="AE359" i="42" s="1"/>
  <c r="AF359" i="42" s="1"/>
  <c r="AC358" i="42"/>
  <c r="AA358" i="42"/>
  <c r="Y358" i="42"/>
  <c r="V358" i="42"/>
  <c r="P358" i="42"/>
  <c r="AE358" i="42" s="1"/>
  <c r="AF358" i="42" s="1"/>
  <c r="AC357" i="42"/>
  <c r="AA357" i="42"/>
  <c r="Y357" i="42"/>
  <c r="V357" i="42"/>
  <c r="AC356" i="42"/>
  <c r="AA356" i="42"/>
  <c r="Y356" i="42"/>
  <c r="P356" i="42"/>
  <c r="AE356" i="42" s="1"/>
  <c r="AF356" i="42" s="1"/>
  <c r="AC355" i="42"/>
  <c r="AA355" i="42"/>
  <c r="Y355" i="42"/>
  <c r="P355" i="42"/>
  <c r="AE355" i="42" s="1"/>
  <c r="AF355" i="42" s="1"/>
  <c r="AC354" i="42"/>
  <c r="AA354" i="42"/>
  <c r="Y354" i="42"/>
  <c r="P354" i="42"/>
  <c r="AE354" i="42" s="1"/>
  <c r="AF354" i="42" s="1"/>
  <c r="AC353" i="42"/>
  <c r="AA353" i="42"/>
  <c r="Y353" i="42"/>
  <c r="V353" i="42"/>
  <c r="AC352" i="42"/>
  <c r="AA352" i="42"/>
  <c r="Y352" i="42"/>
  <c r="AC351" i="42"/>
  <c r="AA351" i="42"/>
  <c r="Y351" i="42"/>
  <c r="AC350" i="42"/>
  <c r="AA350" i="42"/>
  <c r="Y350" i="42"/>
  <c r="V350" i="42"/>
  <c r="P350" i="42"/>
  <c r="AE350" i="42" s="1"/>
  <c r="AF350" i="42" s="1"/>
  <c r="AC349" i="42"/>
  <c r="AA349" i="42"/>
  <c r="Y349" i="42"/>
  <c r="V349" i="42"/>
  <c r="AC348" i="42"/>
  <c r="AA348" i="42"/>
  <c r="Y348" i="42"/>
  <c r="P348" i="42"/>
  <c r="AE348" i="42" s="1"/>
  <c r="AF348" i="42" s="1"/>
  <c r="AC347" i="42"/>
  <c r="AA347" i="42"/>
  <c r="Y347" i="42"/>
  <c r="V347" i="42"/>
  <c r="P347" i="42"/>
  <c r="AE347" i="42" s="1"/>
  <c r="AF347" i="42" s="1"/>
  <c r="AC346" i="42"/>
  <c r="AA346" i="42"/>
  <c r="Y346" i="42"/>
  <c r="V346" i="42"/>
  <c r="P346" i="42"/>
  <c r="AE346" i="42" s="1"/>
  <c r="AF346" i="42" s="1"/>
  <c r="AC345" i="42"/>
  <c r="AA345" i="42"/>
  <c r="Y345" i="42"/>
  <c r="P345" i="42"/>
  <c r="AE345" i="42" s="1"/>
  <c r="AF345" i="42" s="1"/>
  <c r="AC344" i="42"/>
  <c r="AA344" i="42"/>
  <c r="Y344" i="42"/>
  <c r="P344" i="42"/>
  <c r="AE344" i="42" s="1"/>
  <c r="AF344" i="42" s="1"/>
  <c r="AC343" i="42"/>
  <c r="AA343" i="42"/>
  <c r="Y343" i="42"/>
  <c r="V343" i="42"/>
  <c r="AC342" i="42"/>
  <c r="AA342" i="42"/>
  <c r="Y342" i="42"/>
  <c r="AC341" i="42"/>
  <c r="AA341" i="42"/>
  <c r="Y341" i="42"/>
  <c r="P341" i="42"/>
  <c r="AE341" i="42" s="1"/>
  <c r="AF341" i="42" s="1"/>
  <c r="AC340" i="42"/>
  <c r="AA340" i="42"/>
  <c r="Y340" i="42"/>
  <c r="V340" i="42"/>
  <c r="P340" i="42"/>
  <c r="AE340" i="42" s="1"/>
  <c r="AF340" i="42" s="1"/>
  <c r="AC339" i="42"/>
  <c r="AA339" i="42"/>
  <c r="Y339" i="42"/>
  <c r="P339" i="42"/>
  <c r="AE339" i="42" s="1"/>
  <c r="AF339" i="42" s="1"/>
  <c r="AC338" i="42"/>
  <c r="AA338" i="42"/>
  <c r="Y338" i="42"/>
  <c r="V338" i="42"/>
  <c r="P338" i="42"/>
  <c r="AE338" i="42" s="1"/>
  <c r="AF338" i="42" s="1"/>
  <c r="AC337" i="42"/>
  <c r="AA337" i="42"/>
  <c r="Y337" i="42"/>
  <c r="AC336" i="42"/>
  <c r="AA336" i="42"/>
  <c r="Y336" i="42"/>
  <c r="V336" i="42"/>
  <c r="AC335" i="42"/>
  <c r="AA335" i="42"/>
  <c r="Y335" i="42"/>
  <c r="P335" i="42"/>
  <c r="AE335" i="42" s="1"/>
  <c r="AF335" i="42" s="1"/>
  <c r="AC334" i="42"/>
  <c r="AA334" i="42"/>
  <c r="Y334" i="42"/>
  <c r="AC333" i="42"/>
  <c r="AA333" i="42"/>
  <c r="Y333" i="42"/>
  <c r="P333" i="42"/>
  <c r="AE333" i="42" s="1"/>
  <c r="AF333" i="42" s="1"/>
  <c r="AC332" i="42"/>
  <c r="AA332" i="42"/>
  <c r="Y332" i="42"/>
  <c r="AC331" i="42"/>
  <c r="AA331" i="42"/>
  <c r="Y331" i="42"/>
  <c r="P331" i="42"/>
  <c r="AE331" i="42" s="1"/>
  <c r="AF331" i="42" s="1"/>
  <c r="AC330" i="42"/>
  <c r="AA330" i="42"/>
  <c r="Y330" i="42"/>
  <c r="P330" i="42"/>
  <c r="AE330" i="42" s="1"/>
  <c r="AF330" i="42" s="1"/>
  <c r="AC329" i="42"/>
  <c r="AA329" i="42"/>
  <c r="Y329" i="42"/>
  <c r="V329" i="42"/>
  <c r="P329" i="42"/>
  <c r="AE329" i="42" s="1"/>
  <c r="AF329" i="42" s="1"/>
  <c r="AC328" i="42"/>
  <c r="AA328" i="42"/>
  <c r="Y328" i="42"/>
  <c r="V328" i="42"/>
  <c r="AC327" i="42"/>
  <c r="AA327" i="42"/>
  <c r="Y327" i="42"/>
  <c r="V327" i="42"/>
  <c r="AC326" i="42"/>
  <c r="AA326" i="42"/>
  <c r="Y326" i="42"/>
  <c r="V326" i="42"/>
  <c r="P326" i="42"/>
  <c r="AE326" i="42" s="1"/>
  <c r="AF326" i="42" s="1"/>
  <c r="AC325" i="42"/>
  <c r="AA325" i="42"/>
  <c r="Y325" i="42"/>
  <c r="AC324" i="42"/>
  <c r="AA324" i="42"/>
  <c r="Y324" i="42"/>
  <c r="V324" i="42"/>
  <c r="P324" i="42"/>
  <c r="AE324" i="42" s="1"/>
  <c r="AF324" i="42" s="1"/>
  <c r="AC323" i="42"/>
  <c r="AA323" i="42"/>
  <c r="Y323" i="42"/>
  <c r="P323" i="42"/>
  <c r="AE323" i="42" s="1"/>
  <c r="AF323" i="42" s="1"/>
  <c r="AC322" i="42"/>
  <c r="AA322" i="42"/>
  <c r="Y322" i="42"/>
  <c r="P322" i="42"/>
  <c r="AE322" i="42" s="1"/>
  <c r="AF322" i="42" s="1"/>
  <c r="AC321" i="42"/>
  <c r="AA321" i="42"/>
  <c r="Y321" i="42"/>
  <c r="V321" i="42"/>
  <c r="AC320" i="42"/>
  <c r="AA320" i="42"/>
  <c r="Y320" i="42"/>
  <c r="V320" i="42"/>
  <c r="AC319" i="42"/>
  <c r="AA319" i="42"/>
  <c r="Y319" i="42"/>
  <c r="V319" i="42"/>
  <c r="AC318" i="42"/>
  <c r="AA318" i="42"/>
  <c r="Y318" i="42"/>
  <c r="P318" i="42"/>
  <c r="AE318" i="42" s="1"/>
  <c r="AF318" i="42" s="1"/>
  <c r="AC317" i="42"/>
  <c r="AA317" i="42"/>
  <c r="Y317" i="42"/>
  <c r="AC316" i="42"/>
  <c r="AA316" i="42"/>
  <c r="Y316" i="42"/>
  <c r="AC315" i="42"/>
  <c r="AA315" i="42"/>
  <c r="Y315" i="42"/>
  <c r="P315" i="42"/>
  <c r="AE315" i="42" s="1"/>
  <c r="AF315" i="42" s="1"/>
  <c r="AC314" i="42"/>
  <c r="AA314" i="42"/>
  <c r="Y314" i="42"/>
  <c r="V314" i="42"/>
  <c r="P314" i="42"/>
  <c r="AE314" i="42" s="1"/>
  <c r="AF314" i="42" s="1"/>
  <c r="AC313" i="42"/>
  <c r="AA313" i="42"/>
  <c r="Y313" i="42"/>
  <c r="V313" i="42"/>
  <c r="P313" i="42"/>
  <c r="AE313" i="42" s="1"/>
  <c r="AF313" i="42" s="1"/>
  <c r="AC312" i="42"/>
  <c r="AA312" i="42"/>
  <c r="Y312" i="42"/>
  <c r="V312" i="42"/>
  <c r="AC311" i="42"/>
  <c r="AA311" i="42"/>
  <c r="Y311" i="42"/>
  <c r="V311" i="42"/>
  <c r="P311" i="42"/>
  <c r="AE311" i="42" s="1"/>
  <c r="AF311" i="42" s="1"/>
  <c r="AC310" i="42"/>
  <c r="AA310" i="42"/>
  <c r="Y310" i="42"/>
  <c r="V310" i="42"/>
  <c r="P310" i="42"/>
  <c r="AE310" i="42" s="1"/>
  <c r="AF310" i="42" s="1"/>
  <c r="AC309" i="42"/>
  <c r="AA309" i="42"/>
  <c r="Y309" i="42"/>
  <c r="V309" i="42"/>
  <c r="AC308" i="42"/>
  <c r="AA308" i="42"/>
  <c r="Y308" i="42"/>
  <c r="P308" i="42"/>
  <c r="AE308" i="42" s="1"/>
  <c r="AF308" i="42" s="1"/>
  <c r="AC307" i="42"/>
  <c r="AA307" i="42"/>
  <c r="Y307" i="42"/>
  <c r="P307" i="42"/>
  <c r="AE307" i="42" s="1"/>
  <c r="AF307" i="42" s="1"/>
  <c r="AC306" i="42"/>
  <c r="AA306" i="42"/>
  <c r="Y306" i="42"/>
  <c r="P306" i="42"/>
  <c r="AE306" i="42" s="1"/>
  <c r="AF306" i="42" s="1"/>
  <c r="AC305" i="42"/>
  <c r="AA305" i="42"/>
  <c r="Y305" i="42"/>
  <c r="AC304" i="42"/>
  <c r="AA304" i="42"/>
  <c r="Y304" i="42"/>
  <c r="V304" i="42"/>
  <c r="AC303" i="42"/>
  <c r="AA303" i="42"/>
  <c r="Y303" i="42"/>
  <c r="V303" i="42"/>
  <c r="AC302" i="42"/>
  <c r="AA302" i="42"/>
  <c r="Y302" i="42"/>
  <c r="V302" i="42"/>
  <c r="P302" i="42"/>
  <c r="AE302" i="42" s="1"/>
  <c r="AF302" i="42" s="1"/>
  <c r="AC301" i="42"/>
  <c r="AA301" i="42"/>
  <c r="Y301" i="42"/>
  <c r="AC300" i="42"/>
  <c r="AA300" i="42"/>
  <c r="Y300" i="42"/>
  <c r="V300" i="42"/>
  <c r="P300" i="42"/>
  <c r="AE300" i="42" s="1"/>
  <c r="AF300" i="42" s="1"/>
  <c r="AC299" i="42"/>
  <c r="AA299" i="42"/>
  <c r="Y299" i="42"/>
  <c r="V299" i="42"/>
  <c r="P299" i="42"/>
  <c r="AE299" i="42" s="1"/>
  <c r="AF299" i="42" s="1"/>
  <c r="AC298" i="42"/>
  <c r="AA298" i="42"/>
  <c r="Y298" i="42"/>
  <c r="V298" i="42"/>
  <c r="P298" i="42"/>
  <c r="AE298" i="42" s="1"/>
  <c r="AF298" i="42" s="1"/>
  <c r="AC297" i="42"/>
  <c r="AA297" i="42"/>
  <c r="Y297" i="42"/>
  <c r="V297" i="42"/>
  <c r="P297" i="42"/>
  <c r="AE297" i="42" s="1"/>
  <c r="AF297" i="42" s="1"/>
  <c r="AC296" i="42"/>
  <c r="AA296" i="42"/>
  <c r="Y296" i="42"/>
  <c r="AC295" i="42"/>
  <c r="AA295" i="42"/>
  <c r="Y295" i="42"/>
  <c r="V295" i="42"/>
  <c r="AC294" i="42"/>
  <c r="AA294" i="42"/>
  <c r="Y294" i="42"/>
  <c r="P294" i="42"/>
  <c r="AE294" i="42" s="1"/>
  <c r="AF294" i="42" s="1"/>
  <c r="AC293" i="42"/>
  <c r="AA293" i="42"/>
  <c r="Y293" i="42"/>
  <c r="V293" i="42"/>
  <c r="AC292" i="42"/>
  <c r="AA292" i="42"/>
  <c r="Y292" i="42"/>
  <c r="V292" i="42"/>
  <c r="P292" i="42"/>
  <c r="AE292" i="42" s="1"/>
  <c r="AF292" i="42" s="1"/>
  <c r="AC291" i="42"/>
  <c r="AA291" i="42"/>
  <c r="Y291" i="42"/>
  <c r="P291" i="42"/>
  <c r="AE291" i="42" s="1"/>
  <c r="AF291" i="42" s="1"/>
  <c r="AC290" i="42"/>
  <c r="AA290" i="42"/>
  <c r="Y290" i="42"/>
  <c r="P290" i="42"/>
  <c r="AE290" i="42" s="1"/>
  <c r="AF290" i="42" s="1"/>
  <c r="AC289" i="42"/>
  <c r="AA289" i="42"/>
  <c r="Y289" i="42"/>
  <c r="AC288" i="42"/>
  <c r="AA288" i="42"/>
  <c r="Y288" i="42"/>
  <c r="V288" i="42"/>
  <c r="AC287" i="42"/>
  <c r="AA287" i="42"/>
  <c r="Y287" i="42"/>
  <c r="V287" i="42"/>
  <c r="AC286" i="42"/>
  <c r="AA286" i="42"/>
  <c r="Y286" i="42"/>
  <c r="P286" i="42"/>
  <c r="AE286" i="42" s="1"/>
  <c r="AF286" i="42" s="1"/>
  <c r="AC285" i="42"/>
  <c r="AA285" i="42"/>
  <c r="Y285" i="42"/>
  <c r="AC284" i="42"/>
  <c r="AA284" i="42"/>
  <c r="Y284" i="42"/>
  <c r="P284" i="42"/>
  <c r="AE284" i="42" s="1"/>
  <c r="AF284" i="42" s="1"/>
  <c r="AC283" i="42"/>
  <c r="AA283" i="42"/>
  <c r="Y283" i="42"/>
  <c r="V283" i="42"/>
  <c r="P283" i="42"/>
  <c r="AE283" i="42" s="1"/>
  <c r="AF283" i="42" s="1"/>
  <c r="AC282" i="42"/>
  <c r="AA282" i="42"/>
  <c r="Y282" i="42"/>
  <c r="V282" i="42"/>
  <c r="P282" i="42"/>
  <c r="AE282" i="42" s="1"/>
  <c r="AF282" i="42" s="1"/>
  <c r="AC281" i="42"/>
  <c r="AA281" i="42"/>
  <c r="Y281" i="42"/>
  <c r="V281" i="42"/>
  <c r="P281" i="42"/>
  <c r="AE281" i="42" s="1"/>
  <c r="AF281" i="42" s="1"/>
  <c r="AC280" i="42"/>
  <c r="AA280" i="42"/>
  <c r="Y280" i="42"/>
  <c r="V280" i="42"/>
  <c r="AC279" i="42"/>
  <c r="AA279" i="42"/>
  <c r="Y279" i="42"/>
  <c r="P279" i="42"/>
  <c r="AE279" i="42" s="1"/>
  <c r="AF279" i="42" s="1"/>
  <c r="AC278" i="42"/>
  <c r="AA278" i="42"/>
  <c r="Y278" i="42"/>
  <c r="V278" i="42"/>
  <c r="AC277" i="42"/>
  <c r="AA277" i="42"/>
  <c r="Y277" i="42"/>
  <c r="V277" i="42"/>
  <c r="AC276" i="42"/>
  <c r="AA276" i="42"/>
  <c r="Y276" i="42"/>
  <c r="V276" i="42"/>
  <c r="P276" i="42"/>
  <c r="AE276" i="42" s="1"/>
  <c r="AF276" i="42" s="1"/>
  <c r="AC275" i="42"/>
  <c r="AA275" i="42"/>
  <c r="Y275" i="42"/>
  <c r="P275" i="42"/>
  <c r="AE275" i="42" s="1"/>
  <c r="AF275" i="42" s="1"/>
  <c r="AC274" i="42"/>
  <c r="AA274" i="42"/>
  <c r="Y274" i="42"/>
  <c r="P274" i="42"/>
  <c r="AE274" i="42" s="1"/>
  <c r="AF274" i="42" s="1"/>
  <c r="AC273" i="42"/>
  <c r="AA273" i="42"/>
  <c r="Y273" i="42"/>
  <c r="V273" i="42"/>
  <c r="AC272" i="42"/>
  <c r="AA272" i="42"/>
  <c r="Y272" i="42"/>
  <c r="V272" i="42"/>
  <c r="P272" i="42"/>
  <c r="AE272" i="42" s="1"/>
  <c r="AF272" i="42" s="1"/>
  <c r="AC271" i="42"/>
  <c r="AA271" i="42"/>
  <c r="Y271" i="42"/>
  <c r="V271" i="42"/>
  <c r="AC270" i="42"/>
  <c r="AA270" i="42"/>
  <c r="Y270" i="42"/>
  <c r="V270" i="42"/>
  <c r="AC269" i="42"/>
  <c r="AA269" i="42"/>
  <c r="Y269" i="42"/>
  <c r="V269" i="42"/>
  <c r="P269" i="42"/>
  <c r="AE269" i="42" s="1"/>
  <c r="AF269" i="42" s="1"/>
  <c r="AC268" i="42"/>
  <c r="AA268" i="42"/>
  <c r="Y268" i="42"/>
  <c r="V268" i="42"/>
  <c r="AC267" i="42"/>
  <c r="AA267" i="42"/>
  <c r="Y267" i="42"/>
  <c r="V267" i="42"/>
  <c r="P267" i="42"/>
  <c r="AE267" i="42" s="1"/>
  <c r="AF267" i="42" s="1"/>
  <c r="AC266" i="42"/>
  <c r="AA266" i="42"/>
  <c r="Y266" i="42"/>
  <c r="V266" i="42"/>
  <c r="P266" i="42"/>
  <c r="AE266" i="42" s="1"/>
  <c r="AF266" i="42" s="1"/>
  <c r="AC265" i="42"/>
  <c r="AA265" i="42"/>
  <c r="Y265" i="42"/>
  <c r="V265" i="42"/>
  <c r="P265" i="42"/>
  <c r="AE265" i="42" s="1"/>
  <c r="AF265" i="42" s="1"/>
  <c r="AC264" i="42"/>
  <c r="AA264" i="42"/>
  <c r="Y264" i="42"/>
  <c r="AC263" i="42"/>
  <c r="AA263" i="42"/>
  <c r="Y263" i="42"/>
  <c r="V263" i="42"/>
  <c r="AC262" i="42"/>
  <c r="AA262" i="42"/>
  <c r="Y262" i="42"/>
  <c r="V262" i="42"/>
  <c r="P262" i="42"/>
  <c r="AE262" i="42" s="1"/>
  <c r="AF262" i="42" s="1"/>
  <c r="AC261" i="42"/>
  <c r="AA261" i="42"/>
  <c r="Y261" i="42"/>
  <c r="AC260" i="42"/>
  <c r="AA260" i="42"/>
  <c r="Y260" i="42"/>
  <c r="V260" i="42"/>
  <c r="P260" i="42"/>
  <c r="AE260" i="42" s="1"/>
  <c r="AF260" i="42" s="1"/>
  <c r="AC259" i="42"/>
  <c r="AA259" i="42"/>
  <c r="Y259" i="42"/>
  <c r="P259" i="42"/>
  <c r="AE259" i="42" s="1"/>
  <c r="AF259" i="42" s="1"/>
  <c r="AC258" i="42"/>
  <c r="AA258" i="42"/>
  <c r="Y258" i="42"/>
  <c r="P258" i="42"/>
  <c r="AE258" i="42" s="1"/>
  <c r="AF258" i="42" s="1"/>
  <c r="AC257" i="42"/>
  <c r="AA257" i="42"/>
  <c r="Y257" i="42"/>
  <c r="AC256" i="42"/>
  <c r="AA256" i="42"/>
  <c r="Y256" i="42"/>
  <c r="AC255" i="42"/>
  <c r="AA255" i="42"/>
  <c r="Y255" i="42"/>
  <c r="V255" i="42"/>
  <c r="AC254" i="42"/>
  <c r="AA254" i="42"/>
  <c r="Y254" i="42"/>
  <c r="P254" i="42"/>
  <c r="AE254" i="42" s="1"/>
  <c r="AF254" i="42" s="1"/>
  <c r="AC253" i="42"/>
  <c r="AA253" i="42"/>
  <c r="Y253" i="42"/>
  <c r="AC252" i="42"/>
  <c r="AA252" i="42"/>
  <c r="Y252" i="42"/>
  <c r="V252" i="42"/>
  <c r="AC251" i="42"/>
  <c r="AA251" i="42"/>
  <c r="Y251" i="42"/>
  <c r="V251" i="42"/>
  <c r="P251" i="42"/>
  <c r="AE251" i="42" s="1"/>
  <c r="AF251" i="42" s="1"/>
  <c r="AC250" i="42"/>
  <c r="AA250" i="42"/>
  <c r="Y250" i="42"/>
  <c r="P250" i="42"/>
  <c r="AE250" i="42" s="1"/>
  <c r="AF250" i="42" s="1"/>
  <c r="AC249" i="42"/>
  <c r="AA249" i="42"/>
  <c r="Y249" i="42"/>
  <c r="V249" i="42"/>
  <c r="P249" i="42"/>
  <c r="AE249" i="42" s="1"/>
  <c r="AF249" i="42" s="1"/>
  <c r="AC248" i="42"/>
  <c r="AA248" i="42"/>
  <c r="Y248" i="42"/>
  <c r="AC247" i="42"/>
  <c r="AA247" i="42"/>
  <c r="Y247" i="42"/>
  <c r="V247" i="42"/>
  <c r="P247" i="42"/>
  <c r="AE247" i="42" s="1"/>
  <c r="AF247" i="42" s="1"/>
  <c r="AC246" i="42"/>
  <c r="AA246" i="42"/>
  <c r="Y246" i="42"/>
  <c r="V246" i="42"/>
  <c r="AC245" i="42"/>
  <c r="AA245" i="42"/>
  <c r="Y245" i="42"/>
  <c r="AC244" i="42"/>
  <c r="AA244" i="42"/>
  <c r="Y244" i="42"/>
  <c r="V244" i="42"/>
  <c r="P244" i="42"/>
  <c r="AE244" i="42" s="1"/>
  <c r="AF244" i="42" s="1"/>
  <c r="AC243" i="42"/>
  <c r="AA243" i="42"/>
  <c r="Y243" i="42"/>
  <c r="P243" i="42"/>
  <c r="AE243" i="42" s="1"/>
  <c r="AF243" i="42" s="1"/>
  <c r="AC242" i="42"/>
  <c r="AA242" i="42"/>
  <c r="Y242" i="42"/>
  <c r="P242" i="42"/>
  <c r="AE242" i="42" s="1"/>
  <c r="AF242" i="42" s="1"/>
  <c r="AC241" i="42"/>
  <c r="AA241" i="42"/>
  <c r="Y241" i="42"/>
  <c r="V241" i="42"/>
  <c r="AC240" i="42"/>
  <c r="AA240" i="42"/>
  <c r="Y240" i="42"/>
  <c r="AC239" i="42"/>
  <c r="AA239" i="42"/>
  <c r="Y239" i="42"/>
  <c r="V239" i="42"/>
  <c r="AC238" i="42"/>
  <c r="AA238" i="42"/>
  <c r="Y238" i="42"/>
  <c r="V238" i="42"/>
  <c r="P238" i="42"/>
  <c r="AE238" i="42" s="1"/>
  <c r="AF238" i="42" s="1"/>
  <c r="AC237" i="42"/>
  <c r="AA237" i="42"/>
  <c r="Y237" i="42"/>
  <c r="V237" i="42"/>
  <c r="AC236" i="42"/>
  <c r="AA236" i="42"/>
  <c r="Y236" i="42"/>
  <c r="V236" i="42"/>
  <c r="P236" i="42"/>
  <c r="AE236" i="42" s="1"/>
  <c r="AF236" i="42" s="1"/>
  <c r="AC235" i="42"/>
  <c r="AA235" i="42"/>
  <c r="Y235" i="42"/>
  <c r="P235" i="42"/>
  <c r="AE235" i="42" s="1"/>
  <c r="AF235" i="42" s="1"/>
  <c r="AC234" i="42"/>
  <c r="AA234" i="42"/>
  <c r="Y234" i="42"/>
  <c r="V234" i="42"/>
  <c r="P234" i="42"/>
  <c r="AE234" i="42" s="1"/>
  <c r="AF234" i="42" s="1"/>
  <c r="AC233" i="42"/>
  <c r="AA233" i="42"/>
  <c r="Y233" i="42"/>
  <c r="V233" i="42"/>
  <c r="P233" i="42"/>
  <c r="AE233" i="42" s="1"/>
  <c r="AF233" i="42" s="1"/>
  <c r="AC232" i="42"/>
  <c r="AA232" i="42"/>
  <c r="Y232" i="42"/>
  <c r="V232" i="42"/>
  <c r="AC231" i="42"/>
  <c r="AA231" i="42"/>
  <c r="Y231" i="42"/>
  <c r="P231" i="42"/>
  <c r="AE231" i="42" s="1"/>
  <c r="AF231" i="42" s="1"/>
  <c r="AC230" i="42"/>
  <c r="AA230" i="42"/>
  <c r="Y230" i="42"/>
  <c r="AC229" i="42"/>
  <c r="AA229" i="42"/>
  <c r="Y229" i="42"/>
  <c r="V229" i="42"/>
  <c r="P229" i="42"/>
  <c r="AE229" i="42" s="1"/>
  <c r="AF229" i="42" s="1"/>
  <c r="AC228" i="42"/>
  <c r="AA228" i="42"/>
  <c r="Y228" i="42"/>
  <c r="V228" i="42"/>
  <c r="P228" i="42"/>
  <c r="AE228" i="42" s="1"/>
  <c r="AF228" i="42" s="1"/>
  <c r="AC227" i="42"/>
  <c r="AA227" i="42"/>
  <c r="Y227" i="42"/>
  <c r="P227" i="42"/>
  <c r="AE227" i="42" s="1"/>
  <c r="AF227" i="42" s="1"/>
  <c r="AC226" i="42"/>
  <c r="AA226" i="42"/>
  <c r="Y226" i="42"/>
  <c r="P226" i="42"/>
  <c r="AE226" i="42" s="1"/>
  <c r="AF226" i="42" s="1"/>
  <c r="AC225" i="42"/>
  <c r="AA225" i="42"/>
  <c r="Y225" i="42"/>
  <c r="AC224" i="42"/>
  <c r="AA224" i="42"/>
  <c r="Y224" i="42"/>
  <c r="V224" i="42"/>
  <c r="AC223" i="42"/>
  <c r="AA223" i="42"/>
  <c r="Y223" i="42"/>
  <c r="AC222" i="42"/>
  <c r="AA222" i="42"/>
  <c r="Y222" i="42"/>
  <c r="AC221" i="42"/>
  <c r="AA221" i="42"/>
  <c r="Y221" i="42"/>
  <c r="V221" i="42"/>
  <c r="AC220" i="42"/>
  <c r="AA220" i="42"/>
  <c r="Y220" i="42"/>
  <c r="V220" i="42"/>
  <c r="P220" i="42"/>
  <c r="AE220" i="42" s="1"/>
  <c r="AF220" i="42" s="1"/>
  <c r="AC219" i="42"/>
  <c r="AA219" i="42"/>
  <c r="Y219" i="42"/>
  <c r="V219" i="42"/>
  <c r="P219" i="42"/>
  <c r="AE219" i="42" s="1"/>
  <c r="AF219" i="42" s="1"/>
  <c r="AC218" i="42"/>
  <c r="AA218" i="42"/>
  <c r="Y218" i="42"/>
  <c r="V218" i="42"/>
  <c r="P218" i="42"/>
  <c r="AE218" i="42" s="1"/>
  <c r="AF218" i="42" s="1"/>
  <c r="AC217" i="42"/>
  <c r="AA217" i="42"/>
  <c r="Y217" i="42"/>
  <c r="V217" i="42"/>
  <c r="P217" i="42"/>
  <c r="AE217" i="42" s="1"/>
  <c r="AF217" i="42" s="1"/>
  <c r="AC216" i="42"/>
  <c r="AA216" i="42"/>
  <c r="Y216" i="42"/>
  <c r="AC215" i="42"/>
  <c r="AA215" i="42"/>
  <c r="Y215" i="42"/>
  <c r="V215" i="42"/>
  <c r="P215" i="42"/>
  <c r="AE215" i="42" s="1"/>
  <c r="AF215" i="42" s="1"/>
  <c r="AC214" i="42"/>
  <c r="AA214" i="42"/>
  <c r="Y214" i="42"/>
  <c r="AC213" i="42"/>
  <c r="AA213" i="42"/>
  <c r="Y213" i="42"/>
  <c r="P213" i="42"/>
  <c r="AE213" i="42" s="1"/>
  <c r="AF213" i="42" s="1"/>
  <c r="AC212" i="42"/>
  <c r="AA212" i="42"/>
  <c r="Y212" i="42"/>
  <c r="V212" i="42"/>
  <c r="P212" i="42"/>
  <c r="AE212" i="42" s="1"/>
  <c r="AF212" i="42" s="1"/>
  <c r="AC211" i="42"/>
  <c r="AA211" i="42"/>
  <c r="Y211" i="42"/>
  <c r="P211" i="42"/>
  <c r="AE211" i="42" s="1"/>
  <c r="AF211" i="42" s="1"/>
  <c r="AC210" i="42"/>
  <c r="AA210" i="42"/>
  <c r="Y210" i="42"/>
  <c r="P210" i="42"/>
  <c r="AE210" i="42" s="1"/>
  <c r="AF210" i="42" s="1"/>
  <c r="AC209" i="42"/>
  <c r="AA209" i="42"/>
  <c r="Y209" i="42"/>
  <c r="AC208" i="42"/>
  <c r="AA208" i="42"/>
  <c r="Y208" i="42"/>
  <c r="AC207" i="42"/>
  <c r="AA207" i="42"/>
  <c r="Y207" i="42"/>
  <c r="AC206" i="42"/>
  <c r="AA206" i="42"/>
  <c r="Y206" i="42"/>
  <c r="V206" i="42"/>
  <c r="AC205" i="42"/>
  <c r="AA205" i="42"/>
  <c r="Y205" i="42"/>
  <c r="V205" i="42"/>
  <c r="P205" i="42"/>
  <c r="AE205" i="42" s="1"/>
  <c r="AF205" i="42" s="1"/>
  <c r="AC204" i="42"/>
  <c r="AA204" i="42"/>
  <c r="Y204" i="42"/>
  <c r="P204" i="42"/>
  <c r="AE204" i="42" s="1"/>
  <c r="AF204" i="42" s="1"/>
  <c r="AC203" i="42"/>
  <c r="AA203" i="42"/>
  <c r="Y203" i="42"/>
  <c r="V203" i="42"/>
  <c r="P203" i="42"/>
  <c r="AE203" i="42" s="1"/>
  <c r="AF203" i="42" s="1"/>
  <c r="AC202" i="42"/>
  <c r="AA202" i="42"/>
  <c r="Y202" i="42"/>
  <c r="P202" i="42"/>
  <c r="AE202" i="42" s="1"/>
  <c r="AF202" i="42" s="1"/>
  <c r="AC201" i="42"/>
  <c r="AA201" i="42"/>
  <c r="Y201" i="42"/>
  <c r="V201" i="42"/>
  <c r="P201" i="42"/>
  <c r="AE201" i="42" s="1"/>
  <c r="AF201" i="42" s="1"/>
  <c r="AC200" i="42"/>
  <c r="AA200" i="42"/>
  <c r="Y200" i="42"/>
  <c r="V200" i="42"/>
  <c r="AC199" i="42"/>
  <c r="AA199" i="42"/>
  <c r="Y199" i="42"/>
  <c r="AC198" i="42"/>
  <c r="AA198" i="42"/>
  <c r="Y198" i="42"/>
  <c r="P198" i="42"/>
  <c r="AE198" i="42" s="1"/>
  <c r="AF198" i="42" s="1"/>
  <c r="AC197" i="42"/>
  <c r="AA197" i="42"/>
  <c r="Y197" i="42"/>
  <c r="V197" i="42"/>
  <c r="P197" i="42"/>
  <c r="AE197" i="42" s="1"/>
  <c r="AF197" i="42" s="1"/>
  <c r="AC196" i="42"/>
  <c r="AA196" i="42"/>
  <c r="Y196" i="42"/>
  <c r="P196" i="42"/>
  <c r="AE196" i="42" s="1"/>
  <c r="AF196" i="42" s="1"/>
  <c r="AC195" i="42"/>
  <c r="AA195" i="42"/>
  <c r="Y195" i="42"/>
  <c r="P195" i="42"/>
  <c r="AE195" i="42" s="1"/>
  <c r="AF195" i="42" s="1"/>
  <c r="AC194" i="42"/>
  <c r="AA194" i="42"/>
  <c r="Y194" i="42"/>
  <c r="P194" i="42"/>
  <c r="AE194" i="42" s="1"/>
  <c r="AF194" i="42" s="1"/>
  <c r="AC193" i="42"/>
  <c r="AA193" i="42"/>
  <c r="Y193" i="42"/>
  <c r="AC192" i="42"/>
  <c r="AA192" i="42"/>
  <c r="Y192" i="42"/>
  <c r="V192" i="42"/>
  <c r="AC191" i="42"/>
  <c r="AA191" i="42"/>
  <c r="Y191" i="42"/>
  <c r="V191" i="42"/>
  <c r="AC190" i="42"/>
  <c r="AA190" i="42"/>
  <c r="Y190" i="42"/>
  <c r="V190" i="42"/>
  <c r="AC189" i="42"/>
  <c r="AA189" i="42"/>
  <c r="Y189" i="42"/>
  <c r="V189" i="42"/>
  <c r="P189" i="42"/>
  <c r="AE189" i="42" s="1"/>
  <c r="AF189" i="42" s="1"/>
  <c r="AC188" i="42"/>
  <c r="AA188" i="42"/>
  <c r="Y188" i="42"/>
  <c r="AC187" i="42"/>
  <c r="AA187" i="42"/>
  <c r="Y187" i="42"/>
  <c r="V187" i="42"/>
  <c r="P187" i="42"/>
  <c r="AE187" i="42" s="1"/>
  <c r="AF187" i="42" s="1"/>
  <c r="AC186" i="42"/>
  <c r="AA186" i="42"/>
  <c r="Y186" i="42"/>
  <c r="V186" i="42"/>
  <c r="P186" i="42"/>
  <c r="AE186" i="42" s="1"/>
  <c r="AF186" i="42" s="1"/>
  <c r="AC185" i="42"/>
  <c r="AA185" i="42"/>
  <c r="Y185" i="42"/>
  <c r="V185" i="42"/>
  <c r="P185" i="42"/>
  <c r="AE185" i="42" s="1"/>
  <c r="AF185" i="42" s="1"/>
  <c r="AC184" i="42"/>
  <c r="AA184" i="42"/>
  <c r="Y184" i="42"/>
  <c r="V184" i="42"/>
  <c r="AC183" i="42"/>
  <c r="AA183" i="42"/>
  <c r="Y183" i="42"/>
  <c r="AC182" i="42"/>
  <c r="AA182" i="42"/>
  <c r="Y182" i="42"/>
  <c r="V182" i="42"/>
  <c r="P182" i="42"/>
  <c r="AE182" i="42" s="1"/>
  <c r="AF182" i="42" s="1"/>
  <c r="AC181" i="42"/>
  <c r="AA181" i="42"/>
  <c r="Y181" i="42"/>
  <c r="V181" i="42"/>
  <c r="AC180" i="42"/>
  <c r="AA180" i="42"/>
  <c r="Y180" i="42"/>
  <c r="V180" i="42"/>
  <c r="P180" i="42"/>
  <c r="AE180" i="42" s="1"/>
  <c r="AF180" i="42" s="1"/>
  <c r="AC179" i="42"/>
  <c r="AA179" i="42"/>
  <c r="Y179" i="42"/>
  <c r="P179" i="42"/>
  <c r="AE179" i="42" s="1"/>
  <c r="AF179" i="42" s="1"/>
  <c r="AC178" i="42"/>
  <c r="AA178" i="42"/>
  <c r="Y178" i="42"/>
  <c r="P178" i="42"/>
  <c r="AE178" i="42" s="1"/>
  <c r="AF178" i="42" s="1"/>
  <c r="AC177" i="42"/>
  <c r="AA177" i="42"/>
  <c r="Y177" i="42"/>
  <c r="V177" i="42"/>
  <c r="AC176" i="42"/>
  <c r="AA176" i="42"/>
  <c r="Y176" i="42"/>
  <c r="V176" i="42"/>
  <c r="AC175" i="42"/>
  <c r="AA175" i="42"/>
  <c r="Y175" i="42"/>
  <c r="AC174" i="42"/>
  <c r="AA174" i="42"/>
  <c r="Y174" i="42"/>
  <c r="P174" i="42"/>
  <c r="AE174" i="42" s="1"/>
  <c r="AF174" i="42" s="1"/>
  <c r="AC173" i="42"/>
  <c r="AA173" i="42"/>
  <c r="Y173" i="42"/>
  <c r="V173" i="42"/>
  <c r="P173" i="42"/>
  <c r="AE173" i="42" s="1"/>
  <c r="AF173" i="42" s="1"/>
  <c r="AC172" i="42"/>
  <c r="AA172" i="42"/>
  <c r="Y172" i="42"/>
  <c r="V172" i="42"/>
  <c r="AC171" i="42"/>
  <c r="AA171" i="42"/>
  <c r="Y171" i="42"/>
  <c r="P171" i="42"/>
  <c r="AE171" i="42" s="1"/>
  <c r="AF171" i="42" s="1"/>
  <c r="AC170" i="42"/>
  <c r="AA170" i="42"/>
  <c r="Y170" i="42"/>
  <c r="P170" i="42"/>
  <c r="AE170" i="42" s="1"/>
  <c r="AF170" i="42" s="1"/>
  <c r="AC169" i="42"/>
  <c r="AA169" i="42"/>
  <c r="Y169" i="42"/>
  <c r="P169" i="42"/>
  <c r="AE169" i="42" s="1"/>
  <c r="AF169" i="42" s="1"/>
  <c r="AC168" i="42"/>
  <c r="AA168" i="42"/>
  <c r="Y168" i="42"/>
  <c r="V168" i="42"/>
  <c r="AC167" i="42"/>
  <c r="AA167" i="42"/>
  <c r="Y167" i="42"/>
  <c r="V167" i="42"/>
  <c r="P167" i="42"/>
  <c r="AE167" i="42" s="1"/>
  <c r="AF167" i="42" s="1"/>
  <c r="AC166" i="42"/>
  <c r="AA166" i="42"/>
  <c r="Y166" i="42"/>
  <c r="V166" i="42"/>
  <c r="P166" i="42"/>
  <c r="AE166" i="42" s="1"/>
  <c r="AF166" i="42" s="1"/>
  <c r="AC165" i="42"/>
  <c r="AA165" i="42"/>
  <c r="Y165" i="42"/>
  <c r="V165" i="42"/>
  <c r="AC164" i="42"/>
  <c r="AA164" i="42"/>
  <c r="Y164" i="42"/>
  <c r="V164" i="42"/>
  <c r="P164" i="42"/>
  <c r="AE164" i="42" s="1"/>
  <c r="AF164" i="42" s="1"/>
  <c r="AC163" i="42"/>
  <c r="AA163" i="42"/>
  <c r="Y163" i="42"/>
  <c r="V163" i="42"/>
  <c r="P163" i="42"/>
  <c r="AE163" i="42" s="1"/>
  <c r="AF163" i="42" s="1"/>
  <c r="AC162" i="42"/>
  <c r="AA162" i="42"/>
  <c r="Y162" i="42"/>
  <c r="P162" i="42"/>
  <c r="AE162" i="42" s="1"/>
  <c r="AF162" i="42" s="1"/>
  <c r="AC161" i="42"/>
  <c r="AA161" i="42"/>
  <c r="Y161" i="42"/>
  <c r="AC160" i="42"/>
  <c r="AA160" i="42"/>
  <c r="Y160" i="42"/>
  <c r="V160" i="42"/>
  <c r="AC159" i="42"/>
  <c r="AA159" i="42"/>
  <c r="Y159" i="42"/>
  <c r="V159" i="42"/>
  <c r="AC158" i="42"/>
  <c r="AA158" i="42"/>
  <c r="Y158" i="42"/>
  <c r="V158" i="42"/>
  <c r="AC157" i="42"/>
  <c r="AA157" i="42"/>
  <c r="Y157" i="42"/>
  <c r="V157" i="42"/>
  <c r="P157" i="42"/>
  <c r="AE157" i="42" s="1"/>
  <c r="AF157" i="42" s="1"/>
  <c r="AC156" i="42"/>
  <c r="AA156" i="42"/>
  <c r="Y156" i="42"/>
  <c r="V156" i="42"/>
  <c r="AC155" i="42"/>
  <c r="AA155" i="42"/>
  <c r="Y155" i="42"/>
  <c r="P155" i="42"/>
  <c r="AE155" i="42" s="1"/>
  <c r="AF155" i="42" s="1"/>
  <c r="AC154" i="42"/>
  <c r="AA154" i="42"/>
  <c r="Y154" i="42"/>
  <c r="V154" i="42"/>
  <c r="P154" i="42"/>
  <c r="AE154" i="42" s="1"/>
  <c r="AF154" i="42" s="1"/>
  <c r="AC153" i="42"/>
  <c r="AA153" i="42"/>
  <c r="Y153" i="42"/>
  <c r="V153" i="42"/>
  <c r="P153" i="42"/>
  <c r="AE153" i="42" s="1"/>
  <c r="AF153" i="42" s="1"/>
  <c r="AC152" i="42"/>
  <c r="AA152" i="42"/>
  <c r="Y152" i="42"/>
  <c r="V152" i="42"/>
  <c r="AC151" i="42"/>
  <c r="AA151" i="42"/>
  <c r="Y151" i="42"/>
  <c r="V151" i="42"/>
  <c r="AC150" i="42"/>
  <c r="AA150" i="42"/>
  <c r="Y150" i="42"/>
  <c r="P150" i="42"/>
  <c r="AE150" i="42" s="1"/>
  <c r="AF150" i="42" s="1"/>
  <c r="AC149" i="42"/>
  <c r="AA149" i="42"/>
  <c r="Y149" i="42"/>
  <c r="V149" i="42"/>
  <c r="AC148" i="42"/>
  <c r="AA148" i="42"/>
  <c r="Y148" i="42"/>
  <c r="V148" i="42"/>
  <c r="P148" i="42"/>
  <c r="AE148" i="42" s="1"/>
  <c r="AF148" i="42" s="1"/>
  <c r="AC147" i="42"/>
  <c r="AA147" i="42"/>
  <c r="Y147" i="42"/>
  <c r="P147" i="42"/>
  <c r="AE147" i="42" s="1"/>
  <c r="AF147" i="42" s="1"/>
  <c r="AC146" i="42"/>
  <c r="AA146" i="42"/>
  <c r="Y146" i="42"/>
  <c r="V146" i="42"/>
  <c r="P146" i="42"/>
  <c r="AE146" i="42" s="1"/>
  <c r="AF146" i="42" s="1"/>
  <c r="AC145" i="42"/>
  <c r="AA145" i="42"/>
  <c r="Y145" i="42"/>
  <c r="AC144" i="42"/>
  <c r="AA144" i="42"/>
  <c r="Y144" i="42"/>
  <c r="V144" i="42"/>
  <c r="AC143" i="42"/>
  <c r="AA143" i="42"/>
  <c r="Y143" i="42"/>
  <c r="V143" i="42"/>
  <c r="AC142" i="42"/>
  <c r="AA142" i="42"/>
  <c r="Y142" i="42"/>
  <c r="V142" i="42"/>
  <c r="AC141" i="42"/>
  <c r="AA141" i="42"/>
  <c r="Y141" i="42"/>
  <c r="P141" i="42"/>
  <c r="AE141" i="42" s="1"/>
  <c r="AF141" i="42" s="1"/>
  <c r="AC140" i="42"/>
  <c r="AA140" i="42"/>
  <c r="Y140" i="42"/>
  <c r="V140" i="42"/>
  <c r="P140" i="42"/>
  <c r="AE140" i="42" s="1"/>
  <c r="AF140" i="42" s="1"/>
  <c r="AC139" i="42"/>
  <c r="AA139" i="42"/>
  <c r="Y139" i="42"/>
  <c r="V139" i="42"/>
  <c r="P139" i="42"/>
  <c r="AE139" i="42" s="1"/>
  <c r="AF139" i="42" s="1"/>
  <c r="AC138" i="42"/>
  <c r="AA138" i="42"/>
  <c r="Y138" i="42"/>
  <c r="V138" i="42"/>
  <c r="P138" i="42"/>
  <c r="AE138" i="42" s="1"/>
  <c r="AF138" i="42" s="1"/>
  <c r="AC137" i="42"/>
  <c r="AA137" i="42"/>
  <c r="Y137" i="42"/>
  <c r="V137" i="42"/>
  <c r="P137" i="42"/>
  <c r="AE137" i="42" s="1"/>
  <c r="AF137" i="42" s="1"/>
  <c r="AC136" i="42"/>
  <c r="AA136" i="42"/>
  <c r="Y136" i="42"/>
  <c r="AC135" i="42"/>
  <c r="AA135" i="42"/>
  <c r="Y135" i="42"/>
  <c r="V135" i="42"/>
  <c r="AC134" i="42"/>
  <c r="AA134" i="42"/>
  <c r="Y134" i="42"/>
  <c r="V134" i="42"/>
  <c r="AC133" i="42"/>
  <c r="AA133" i="42"/>
  <c r="Y133" i="42"/>
  <c r="V133" i="42"/>
  <c r="P133" i="42"/>
  <c r="AE133" i="42" s="1"/>
  <c r="AF133" i="42" s="1"/>
  <c r="AC132" i="42"/>
  <c r="AA132" i="42"/>
  <c r="Y132" i="42"/>
  <c r="V132" i="42"/>
  <c r="P132" i="42"/>
  <c r="AE132" i="42" s="1"/>
  <c r="AF132" i="42" s="1"/>
  <c r="AC131" i="42"/>
  <c r="AA131" i="42"/>
  <c r="Y131" i="42"/>
  <c r="P131" i="42"/>
  <c r="AE131" i="42" s="1"/>
  <c r="AF131" i="42" s="1"/>
  <c r="AC130" i="42"/>
  <c r="AA130" i="42"/>
  <c r="Y130" i="42"/>
  <c r="P130" i="42"/>
  <c r="AE130" i="42" s="1"/>
  <c r="AF130" i="42" s="1"/>
  <c r="AC129" i="42"/>
  <c r="AA129" i="42"/>
  <c r="Y129" i="42"/>
  <c r="AC128" i="42"/>
  <c r="AA128" i="42"/>
  <c r="Y128" i="42"/>
  <c r="V128" i="42"/>
  <c r="AC127" i="42"/>
  <c r="AA127" i="42"/>
  <c r="Y127" i="42"/>
  <c r="AC126" i="42"/>
  <c r="AA126" i="42"/>
  <c r="Y126" i="42"/>
  <c r="AC125" i="42"/>
  <c r="AA125" i="42"/>
  <c r="Y125" i="42"/>
  <c r="V125" i="42"/>
  <c r="P125" i="42"/>
  <c r="AE125" i="42" s="1"/>
  <c r="AF125" i="42" s="1"/>
  <c r="AC124" i="42"/>
  <c r="AA124" i="42"/>
  <c r="Y124" i="42"/>
  <c r="V124" i="42"/>
  <c r="AC123" i="42"/>
  <c r="AA123" i="42"/>
  <c r="Y123" i="42"/>
  <c r="P123" i="42"/>
  <c r="AE123" i="42" s="1"/>
  <c r="AF123" i="42" s="1"/>
  <c r="AC122" i="42"/>
  <c r="AA122" i="42"/>
  <c r="Y122" i="42"/>
  <c r="P122" i="42"/>
  <c r="AE122" i="42" s="1"/>
  <c r="AF122" i="42" s="1"/>
  <c r="AC121" i="42"/>
  <c r="AA121" i="42"/>
  <c r="Y121" i="42"/>
  <c r="V121" i="42"/>
  <c r="P121" i="42"/>
  <c r="AE121" i="42" s="1"/>
  <c r="AF121" i="42" s="1"/>
  <c r="AC120" i="42"/>
  <c r="AA120" i="42"/>
  <c r="Y120" i="42"/>
  <c r="AC119" i="42"/>
  <c r="AA119" i="42"/>
  <c r="Y119" i="42"/>
  <c r="AC118" i="42"/>
  <c r="AA118" i="42"/>
  <c r="Y118" i="42"/>
  <c r="P118" i="42"/>
  <c r="AE118" i="42" s="1"/>
  <c r="AF118" i="42" s="1"/>
  <c r="AC117" i="42"/>
  <c r="AA117" i="42"/>
  <c r="Y117" i="42"/>
  <c r="P117" i="42"/>
  <c r="AE117" i="42" s="1"/>
  <c r="AF117" i="42" s="1"/>
  <c r="AC116" i="42"/>
  <c r="AA116" i="42"/>
  <c r="Y116" i="42"/>
  <c r="V116" i="42"/>
  <c r="P116" i="42"/>
  <c r="AE116" i="42" s="1"/>
  <c r="AF116" i="42" s="1"/>
  <c r="AC115" i="42"/>
  <c r="AA115" i="42"/>
  <c r="Y115" i="42"/>
  <c r="V115" i="42"/>
  <c r="P115" i="42"/>
  <c r="AE115" i="42" s="1"/>
  <c r="AF115" i="42" s="1"/>
  <c r="AC114" i="42"/>
  <c r="AA114" i="42"/>
  <c r="Y114" i="42"/>
  <c r="P114" i="42"/>
  <c r="AE114" i="42" s="1"/>
  <c r="AF114" i="42" s="1"/>
  <c r="AC113" i="42"/>
  <c r="AA113" i="42"/>
  <c r="Y113" i="42"/>
  <c r="AC112" i="42"/>
  <c r="AA112" i="42"/>
  <c r="Y112" i="42"/>
  <c r="AC111" i="42"/>
  <c r="AA111" i="42"/>
  <c r="Y111" i="42"/>
  <c r="V111" i="42"/>
  <c r="AC110" i="42"/>
  <c r="AA110" i="42"/>
  <c r="Y110" i="42"/>
  <c r="V110" i="42"/>
  <c r="P110" i="42"/>
  <c r="AE110" i="42" s="1"/>
  <c r="AF110" i="42" s="1"/>
  <c r="AC109" i="42"/>
  <c r="AA109" i="42"/>
  <c r="Y109" i="42"/>
  <c r="V109" i="42"/>
  <c r="AC108" i="42"/>
  <c r="AA108" i="42"/>
  <c r="Y108" i="42"/>
  <c r="V108" i="42"/>
  <c r="P108" i="42"/>
  <c r="AE108" i="42" s="1"/>
  <c r="AF108" i="42" s="1"/>
  <c r="AC107" i="42"/>
  <c r="AA107" i="42"/>
  <c r="Y107" i="42"/>
  <c r="P107" i="42"/>
  <c r="AE107" i="42" s="1"/>
  <c r="AF107" i="42" s="1"/>
  <c r="AC106" i="42"/>
  <c r="AA106" i="42"/>
  <c r="Y106" i="42"/>
  <c r="V106" i="42"/>
  <c r="P106" i="42"/>
  <c r="AE106" i="42" s="1"/>
  <c r="AF106" i="42" s="1"/>
  <c r="AC105" i="42"/>
  <c r="AA105" i="42"/>
  <c r="Y105" i="42"/>
  <c r="P105" i="42"/>
  <c r="AE105" i="42" s="1"/>
  <c r="AF105" i="42" s="1"/>
  <c r="AC104" i="42"/>
  <c r="AA104" i="42"/>
  <c r="Y104" i="42"/>
  <c r="V104" i="42"/>
  <c r="AC103" i="42"/>
  <c r="AA103" i="42"/>
  <c r="Y103" i="42"/>
  <c r="V103" i="42"/>
  <c r="P103" i="42"/>
  <c r="AE103" i="42" s="1"/>
  <c r="AF103" i="42" s="1"/>
  <c r="AC102" i="42"/>
  <c r="AA102" i="42"/>
  <c r="Y102" i="42"/>
  <c r="V102" i="42"/>
  <c r="AC101" i="42"/>
  <c r="AA101" i="42"/>
  <c r="Y101" i="42"/>
  <c r="V101" i="42"/>
  <c r="AC100" i="42"/>
  <c r="AA100" i="42"/>
  <c r="Y100" i="42"/>
  <c r="V100" i="42"/>
  <c r="P100" i="42"/>
  <c r="AE100" i="42" s="1"/>
  <c r="AF100" i="42" s="1"/>
  <c r="AC99" i="42"/>
  <c r="AA99" i="42"/>
  <c r="Y99" i="42"/>
  <c r="P99" i="42"/>
  <c r="AE99" i="42" s="1"/>
  <c r="AF99" i="42" s="1"/>
  <c r="AC98" i="42"/>
  <c r="AA98" i="42"/>
  <c r="Y98" i="42"/>
  <c r="P98" i="42"/>
  <c r="AE98" i="42" s="1"/>
  <c r="AF98" i="42" s="1"/>
  <c r="AC97" i="42"/>
  <c r="AA97" i="42"/>
  <c r="Y97" i="42"/>
  <c r="AC96" i="42"/>
  <c r="AA96" i="42"/>
  <c r="Y96" i="42"/>
  <c r="AC95" i="42"/>
  <c r="AA95" i="42"/>
  <c r="Y95" i="42"/>
  <c r="V95" i="42"/>
  <c r="P95" i="42"/>
  <c r="AE95" i="42" s="1"/>
  <c r="AF95" i="42" s="1"/>
  <c r="AC94" i="42"/>
  <c r="AA94" i="42"/>
  <c r="Y94" i="42"/>
  <c r="AC93" i="42"/>
  <c r="AA93" i="42"/>
  <c r="Y93" i="42"/>
  <c r="V93" i="42"/>
  <c r="AC92" i="42"/>
  <c r="AA92" i="42"/>
  <c r="Y92" i="42"/>
  <c r="V92" i="42"/>
  <c r="P92" i="42"/>
  <c r="AE92" i="42" s="1"/>
  <c r="AF92" i="42" s="1"/>
  <c r="AC91" i="42"/>
  <c r="AA91" i="42"/>
  <c r="Y91" i="42"/>
  <c r="P91" i="42"/>
  <c r="AE91" i="42" s="1"/>
  <c r="AF91" i="42" s="1"/>
  <c r="AC90" i="42"/>
  <c r="AA90" i="42"/>
  <c r="Y90" i="42"/>
  <c r="V90" i="42"/>
  <c r="P90" i="42"/>
  <c r="AE90" i="42" s="1"/>
  <c r="AF90" i="42" s="1"/>
  <c r="AC89" i="42"/>
  <c r="AA89" i="42"/>
  <c r="Y89" i="42"/>
  <c r="V89" i="42"/>
  <c r="P89" i="42"/>
  <c r="AE89" i="42" s="1"/>
  <c r="AF89" i="42" s="1"/>
  <c r="AA88" i="42"/>
  <c r="Y88" i="42"/>
  <c r="V88" i="42"/>
  <c r="P88" i="42"/>
  <c r="AE88" i="42" s="1"/>
  <c r="AF88" i="42" s="1"/>
  <c r="AC87" i="42"/>
  <c r="AA87" i="42"/>
  <c r="Y87" i="42"/>
  <c r="V87" i="42"/>
  <c r="AC86" i="42"/>
  <c r="AA86" i="42"/>
  <c r="Y86" i="42"/>
  <c r="AC85" i="42"/>
  <c r="AA85" i="42"/>
  <c r="Y85" i="42"/>
  <c r="P85" i="42"/>
  <c r="AE85" i="42" s="1"/>
  <c r="AF85" i="42" s="1"/>
  <c r="AC84" i="42"/>
  <c r="AA84" i="42"/>
  <c r="Y84" i="42"/>
  <c r="V84" i="42"/>
  <c r="P84" i="42"/>
  <c r="AE84" i="42" s="1"/>
  <c r="AF84" i="42" s="1"/>
  <c r="AC83" i="42"/>
  <c r="AA83" i="42"/>
  <c r="Y83" i="42"/>
  <c r="P83" i="42"/>
  <c r="AE83" i="42" s="1"/>
  <c r="AF83" i="42" s="1"/>
  <c r="AC82" i="42"/>
  <c r="AA82" i="42"/>
  <c r="Y82" i="42"/>
  <c r="P82" i="42"/>
  <c r="AE82" i="42" s="1"/>
  <c r="AF82" i="42" s="1"/>
  <c r="AC81" i="42"/>
  <c r="AA81" i="42"/>
  <c r="Y81" i="42"/>
  <c r="V81" i="42"/>
  <c r="AC80" i="42"/>
  <c r="AA80" i="42"/>
  <c r="Y80" i="42"/>
  <c r="AC79" i="42"/>
  <c r="AA79" i="42"/>
  <c r="Y79" i="42"/>
  <c r="AC78" i="42"/>
  <c r="AA78" i="42"/>
  <c r="Y78" i="42"/>
  <c r="V78" i="42"/>
  <c r="AC77" i="42"/>
  <c r="AA77" i="42"/>
  <c r="Y77" i="42"/>
  <c r="V77" i="42"/>
  <c r="P77" i="42"/>
  <c r="AE77" i="42" s="1"/>
  <c r="AF77" i="42" s="1"/>
  <c r="AC76" i="42"/>
  <c r="AA76" i="42"/>
  <c r="Y76" i="42"/>
  <c r="V76" i="42"/>
  <c r="P76" i="42"/>
  <c r="AE76" i="42" s="1"/>
  <c r="AF76" i="42" s="1"/>
  <c r="AC75" i="42"/>
  <c r="AA75" i="42"/>
  <c r="Y75" i="42"/>
  <c r="V75" i="42"/>
  <c r="P75" i="42"/>
  <c r="AE75" i="42" s="1"/>
  <c r="AF75" i="42" s="1"/>
  <c r="AC74" i="42"/>
  <c r="AA74" i="42"/>
  <c r="Y74" i="42"/>
  <c r="V74" i="42"/>
  <c r="P74" i="42"/>
  <c r="AE74" i="42" s="1"/>
  <c r="AF74" i="42" s="1"/>
  <c r="AC73" i="42"/>
  <c r="AA73" i="42"/>
  <c r="Y73" i="42"/>
  <c r="P73" i="42"/>
  <c r="AE73" i="42" s="1"/>
  <c r="AF73" i="42" s="1"/>
  <c r="AC72" i="42"/>
  <c r="AA72" i="42"/>
  <c r="Y72" i="42"/>
  <c r="V72" i="42"/>
  <c r="P72" i="42"/>
  <c r="AE72" i="42" s="1"/>
  <c r="AF72" i="42" s="1"/>
  <c r="AC71" i="42"/>
  <c r="AA71" i="42"/>
  <c r="Y71" i="42"/>
  <c r="V71" i="42"/>
  <c r="AC70" i="42"/>
  <c r="AA70" i="42"/>
  <c r="Y70" i="42"/>
  <c r="P70" i="42"/>
  <c r="AE70" i="42" s="1"/>
  <c r="AF70" i="42" s="1"/>
  <c r="AC69" i="42"/>
  <c r="AA69" i="42"/>
  <c r="Y69" i="42"/>
  <c r="V69" i="42"/>
  <c r="P69" i="42"/>
  <c r="AE69" i="42" s="1"/>
  <c r="AF69" i="42" s="1"/>
  <c r="AA68" i="42"/>
  <c r="Y68" i="42"/>
  <c r="V68" i="42"/>
  <c r="P68" i="42"/>
  <c r="AE68" i="42" s="1"/>
  <c r="AF68" i="42" s="1"/>
  <c r="AC67" i="42"/>
  <c r="AA67" i="42"/>
  <c r="Y67" i="42"/>
  <c r="P67" i="42"/>
  <c r="AE67" i="42" s="1"/>
  <c r="AF67" i="42" s="1"/>
  <c r="AC66" i="42"/>
  <c r="AA66" i="42"/>
  <c r="Y66" i="42"/>
  <c r="P66" i="42"/>
  <c r="AE66" i="42" s="1"/>
  <c r="AF66" i="42" s="1"/>
  <c r="AC65" i="42"/>
  <c r="AA65" i="42"/>
  <c r="Y65" i="42"/>
  <c r="AC64" i="42"/>
  <c r="AA64" i="42"/>
  <c r="Y64" i="42"/>
  <c r="V64" i="42"/>
  <c r="AC63" i="42"/>
  <c r="AA63" i="42"/>
  <c r="Y63" i="42"/>
  <c r="V63" i="42"/>
  <c r="AC62" i="42"/>
  <c r="AA62" i="42"/>
  <c r="Y62" i="42"/>
  <c r="V62" i="42"/>
  <c r="AC61" i="42"/>
  <c r="AA61" i="42"/>
  <c r="Y61" i="42"/>
  <c r="P61" i="42"/>
  <c r="AE61" i="42" s="1"/>
  <c r="AF61" i="42" s="1"/>
  <c r="AC60" i="42"/>
  <c r="AA60" i="42"/>
  <c r="Y60" i="42"/>
  <c r="AC59" i="42"/>
  <c r="AA59" i="42"/>
  <c r="Y59" i="42"/>
  <c r="V59" i="42"/>
  <c r="P59" i="42"/>
  <c r="AE59" i="42" s="1"/>
  <c r="AF59" i="42" s="1"/>
  <c r="AC58" i="42"/>
  <c r="AA58" i="42"/>
  <c r="Y58" i="42"/>
  <c r="V58" i="42"/>
  <c r="P58" i="42"/>
  <c r="AE58" i="42" s="1"/>
  <c r="AF58" i="42" s="1"/>
  <c r="AC57" i="42"/>
  <c r="AA57" i="42"/>
  <c r="Y57" i="42"/>
  <c r="V57" i="42"/>
  <c r="P57" i="42"/>
  <c r="AE57" i="42" s="1"/>
  <c r="AF57" i="42" s="1"/>
  <c r="AC56" i="42"/>
  <c r="AA56" i="42"/>
  <c r="Y56" i="42"/>
  <c r="AA55" i="42"/>
  <c r="Y55" i="42"/>
  <c r="V55" i="42"/>
  <c r="P55" i="42"/>
  <c r="AE55" i="42" s="1"/>
  <c r="AF55" i="42" s="1"/>
  <c r="AC54" i="42"/>
  <c r="AA54" i="42"/>
  <c r="Y54" i="42"/>
  <c r="V54" i="42"/>
  <c r="P54" i="42"/>
  <c r="AE54" i="42" s="1"/>
  <c r="AF54" i="42" s="1"/>
  <c r="AC53" i="42"/>
  <c r="AA53" i="42"/>
  <c r="Y53" i="42"/>
  <c r="V53" i="42"/>
  <c r="AC52" i="42"/>
  <c r="AA52" i="42"/>
  <c r="Y52" i="42"/>
  <c r="V52" i="42"/>
  <c r="P52" i="42"/>
  <c r="AE52" i="42" s="1"/>
  <c r="AF52" i="42" s="1"/>
  <c r="AC51" i="42"/>
  <c r="AA51" i="42"/>
  <c r="Y51" i="42"/>
  <c r="P51" i="42"/>
  <c r="AE51" i="42" s="1"/>
  <c r="AF51" i="42" s="1"/>
  <c r="AC50" i="42"/>
  <c r="AA50" i="42"/>
  <c r="Y50" i="42"/>
  <c r="P50" i="42"/>
  <c r="AE50" i="42" s="1"/>
  <c r="AF50" i="42" s="1"/>
  <c r="AC49" i="42"/>
  <c r="AA49" i="42"/>
  <c r="Y49" i="42"/>
  <c r="AC48" i="42"/>
  <c r="AA48" i="42"/>
  <c r="Y48" i="42"/>
  <c r="AC47" i="42"/>
  <c r="AA47" i="42"/>
  <c r="Y47" i="42"/>
  <c r="AC46" i="42"/>
  <c r="AA46" i="42"/>
  <c r="Y46" i="42"/>
  <c r="P46" i="42"/>
  <c r="AE46" i="42" s="1"/>
  <c r="AF46" i="42" s="1"/>
  <c r="AC45" i="42"/>
  <c r="AA45" i="42"/>
  <c r="Y45" i="42"/>
  <c r="V45" i="42"/>
  <c r="AC44" i="42"/>
  <c r="AA44" i="42"/>
  <c r="Y44" i="42"/>
  <c r="V44" i="42"/>
  <c r="P44" i="42"/>
  <c r="AE44" i="42" s="1"/>
  <c r="AF44" i="42" s="1"/>
  <c r="AC43" i="42"/>
  <c r="AA43" i="42"/>
  <c r="Y43" i="42"/>
  <c r="P43" i="42"/>
  <c r="AE43" i="42" s="1"/>
  <c r="AF43" i="42" s="1"/>
  <c r="AC42" i="42"/>
  <c r="AA42" i="42"/>
  <c r="Y42" i="42"/>
  <c r="P42" i="42"/>
  <c r="AE42" i="42" s="1"/>
  <c r="AF42" i="42" s="1"/>
  <c r="AC41" i="42"/>
  <c r="AA41" i="42"/>
  <c r="Y41" i="42"/>
  <c r="V41" i="42"/>
  <c r="P41" i="42"/>
  <c r="AE41" i="42" s="1"/>
  <c r="AF41" i="42" s="1"/>
  <c r="AC40" i="42"/>
  <c r="AA40" i="42"/>
  <c r="Y40" i="42"/>
  <c r="V40" i="42"/>
  <c r="AC39" i="42"/>
  <c r="AA39" i="42"/>
  <c r="Y39" i="42"/>
  <c r="V39" i="42"/>
  <c r="P39" i="42"/>
  <c r="AE39" i="42" s="1"/>
  <c r="AF39" i="42" s="1"/>
  <c r="AC38" i="42"/>
  <c r="AA38" i="42"/>
  <c r="Y38" i="42"/>
  <c r="V38" i="42"/>
  <c r="AC37" i="42"/>
  <c r="AA37" i="42"/>
  <c r="Y37" i="42"/>
  <c r="V37" i="42"/>
  <c r="P37" i="42"/>
  <c r="AE37" i="42" s="1"/>
  <c r="AF37" i="42" s="1"/>
  <c r="AC36" i="42"/>
  <c r="AA36" i="42"/>
  <c r="Y36" i="42"/>
  <c r="V36" i="42"/>
  <c r="P36" i="42"/>
  <c r="AE36" i="42" s="1"/>
  <c r="AF36" i="42" s="1"/>
  <c r="AC35" i="42"/>
  <c r="AA35" i="42"/>
  <c r="Y35" i="42"/>
  <c r="P35" i="42"/>
  <c r="AE35" i="42" s="1"/>
  <c r="AF35" i="42" s="1"/>
  <c r="AC34" i="42"/>
  <c r="AA34" i="42"/>
  <c r="Y34" i="42"/>
  <c r="AA33" i="42"/>
  <c r="Y33" i="42"/>
  <c r="AC32" i="42"/>
  <c r="Y32" i="42"/>
  <c r="Y31" i="42"/>
  <c r="AC30" i="42"/>
  <c r="Y30" i="42"/>
  <c r="V30" i="42"/>
  <c r="AC29" i="42"/>
  <c r="Y29" i="42"/>
  <c r="AC28" i="42"/>
  <c r="Y28" i="42"/>
  <c r="AC27" i="42"/>
  <c r="Y27" i="42"/>
  <c r="AC26" i="42"/>
  <c r="Y26" i="42"/>
  <c r="V26" i="42"/>
  <c r="AC25" i="42"/>
  <c r="Y25" i="42"/>
  <c r="V25" i="42"/>
  <c r="AC24" i="42"/>
  <c r="Y24" i="42"/>
  <c r="V24" i="42"/>
  <c r="AC23" i="42"/>
  <c r="Y23" i="42"/>
  <c r="AC22" i="42"/>
  <c r="Y22" i="42"/>
  <c r="AA21" i="42"/>
  <c r="V21" i="42"/>
  <c r="AC20" i="42"/>
  <c r="AA20" i="42"/>
  <c r="V20" i="42"/>
  <c r="AC19" i="42"/>
  <c r="AA19" i="42"/>
  <c r="AC18" i="42"/>
  <c r="AA18" i="42"/>
  <c r="AA17" i="42"/>
  <c r="AC16" i="42"/>
  <c r="AA16" i="42"/>
  <c r="AC15" i="42"/>
  <c r="AA15" i="42"/>
  <c r="V15" i="42"/>
  <c r="AC14" i="42"/>
  <c r="AA14" i="42"/>
  <c r="AC13" i="42"/>
  <c r="AA13" i="42"/>
  <c r="V13" i="42"/>
  <c r="AA12" i="42"/>
  <c r="AC11" i="42"/>
  <c r="AA11" i="42"/>
  <c r="Y11" i="42"/>
  <c r="V11" i="42"/>
  <c r="AC10" i="42"/>
  <c r="AA10" i="42"/>
  <c r="Y10" i="42"/>
  <c r="V10" i="42"/>
  <c r="AC9" i="42"/>
  <c r="AA9" i="42"/>
  <c r="Y9" i="42"/>
  <c r="V9" i="42"/>
  <c r="AC8" i="42"/>
  <c r="AA8" i="42"/>
  <c r="Y8" i="42"/>
  <c r="V8" i="42"/>
  <c r="AC7" i="42"/>
  <c r="AA7" i="42"/>
  <c r="Y7" i="42"/>
  <c r="V7" i="42"/>
  <c r="AC6" i="42"/>
  <c r="AA6" i="42"/>
  <c r="Y6" i="42"/>
  <c r="V6" i="42"/>
  <c r="AC5" i="42"/>
  <c r="AA5" i="42"/>
  <c r="Y5" i="42"/>
  <c r="V5" i="42"/>
  <c r="AC4" i="42"/>
  <c r="AA4" i="42"/>
  <c r="Y4" i="42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C220" i="55" l="1"/>
  <c r="C172" i="55"/>
  <c r="C156" i="55"/>
  <c r="BE316" i="55"/>
  <c r="GD316" i="55" s="1"/>
  <c r="BE252" i="55"/>
  <c r="GD252" i="55" s="1"/>
  <c r="BE188" i="55"/>
  <c r="C188" i="55" s="1"/>
  <c r="BE300" i="55"/>
  <c r="C300" i="55" s="1"/>
  <c r="BE236" i="55"/>
  <c r="C236" i="55" s="1"/>
  <c r="BE172" i="55"/>
  <c r="BE92" i="55"/>
  <c r="BE61" i="55"/>
  <c r="C61" i="55" s="1"/>
  <c r="CN201" i="55"/>
  <c r="BE332" i="55"/>
  <c r="C332" i="55" s="1"/>
  <c r="BE268" i="55"/>
  <c r="C268" i="55" s="1"/>
  <c r="BE204" i="55"/>
  <c r="C204" i="55" s="1"/>
  <c r="BE140" i="55"/>
  <c r="C140" i="55" s="1"/>
  <c r="BE60" i="55"/>
  <c r="C60" i="55" s="1"/>
  <c r="BE235" i="55"/>
  <c r="C235" i="55" s="1"/>
  <c r="BE155" i="55"/>
  <c r="C155" i="55" s="1"/>
  <c r="BE91" i="55"/>
  <c r="C91" i="55" s="1"/>
  <c r="BF290" i="55"/>
  <c r="DT290" i="55" s="1"/>
  <c r="CI344" i="55"/>
  <c r="EQ48" i="55"/>
  <c r="CI152" i="55"/>
  <c r="BT41" i="55"/>
  <c r="CN50" i="55"/>
  <c r="CP50" i="55" s="1"/>
  <c r="EQ47" i="55"/>
  <c r="BE331" i="55"/>
  <c r="C331" i="55" s="1"/>
  <c r="CI262" i="55"/>
  <c r="BT61" i="55"/>
  <c r="C45" i="55"/>
  <c r="CI88" i="55"/>
  <c r="BE43" i="55"/>
  <c r="C44" i="55"/>
  <c r="CI151" i="55"/>
  <c r="BF85" i="55"/>
  <c r="DT85" i="55" s="1"/>
  <c r="BT39" i="55"/>
  <c r="CN22" i="55"/>
  <c r="CO22" i="55" s="1"/>
  <c r="CS22" i="55" s="1"/>
  <c r="EQ34" i="55"/>
  <c r="C12" i="55"/>
  <c r="BE348" i="55"/>
  <c r="C348" i="55" s="1"/>
  <c r="BE284" i="55"/>
  <c r="C284" i="55" s="1"/>
  <c r="BE220" i="55"/>
  <c r="BE156" i="55"/>
  <c r="BE108" i="55"/>
  <c r="C108" i="55" s="1"/>
  <c r="BE299" i="55"/>
  <c r="C299" i="55" s="1"/>
  <c r="BE219" i="55"/>
  <c r="C219" i="55" s="1"/>
  <c r="DJ78" i="55" a="1"/>
  <c r="DJ78" i="55" s="1"/>
  <c r="DK78" i="55" s="1"/>
  <c r="EQ49" i="55"/>
  <c r="BE44" i="55"/>
  <c r="C305" i="55"/>
  <c r="BF274" i="55"/>
  <c r="DT274" i="55" s="1"/>
  <c r="C43" i="55"/>
  <c r="CI150" i="55"/>
  <c r="CI86" i="55"/>
  <c r="BE197" i="55"/>
  <c r="GD197" i="55" s="1"/>
  <c r="BE41" i="55"/>
  <c r="EQ33" i="55"/>
  <c r="CG104" i="55"/>
  <c r="GN16" i="55"/>
  <c r="CG184" i="55"/>
  <c r="CG151" i="55"/>
  <c r="CG77" i="55"/>
  <c r="BE323" i="55"/>
  <c r="C323" i="55" s="1"/>
  <c r="BE163" i="55"/>
  <c r="C163" i="55" s="1"/>
  <c r="BU156" i="55"/>
  <c r="C97" i="55"/>
  <c r="BU140" i="55"/>
  <c r="C107" i="55"/>
  <c r="DJ310" i="55" a="1"/>
  <c r="DJ310" i="55" s="1"/>
  <c r="DN310" i="55" s="1"/>
  <c r="EQ17" i="55"/>
  <c r="C96" i="55"/>
  <c r="BE239" i="55"/>
  <c r="C239" i="55" s="1"/>
  <c r="BE107" i="55"/>
  <c r="BF338" i="55"/>
  <c r="DT338" i="55" s="1"/>
  <c r="BF198" i="55"/>
  <c r="DT198" i="55" s="1"/>
  <c r="DN287" i="55"/>
  <c r="EQ14" i="55"/>
  <c r="BE307" i="55"/>
  <c r="C307" i="55" s="1"/>
  <c r="BE211" i="55"/>
  <c r="C211" i="55" s="1"/>
  <c r="BF210" i="55"/>
  <c r="DT210" i="55" s="1"/>
  <c r="BT172" i="55"/>
  <c r="CI15" i="55"/>
  <c r="BF194" i="55"/>
  <c r="DT194" i="55" s="1"/>
  <c r="BF33" i="55"/>
  <c r="DT33" i="55" s="1"/>
  <c r="DN277" i="55"/>
  <c r="DJ243" i="55" a="1"/>
  <c r="DJ243" i="55" s="1"/>
  <c r="DK243" i="55" s="1"/>
  <c r="DN117" i="55"/>
  <c r="EQ317" i="55"/>
  <c r="AY126" i="55"/>
  <c r="DF126" i="55"/>
  <c r="AY174" i="55"/>
  <c r="E174" i="55" s="1"/>
  <c r="AZ174" i="55" s="1"/>
  <c r="CI222" i="55"/>
  <c r="AY110" i="55"/>
  <c r="CE349" i="55"/>
  <c r="AY349" i="55"/>
  <c r="BL349" i="55"/>
  <c r="DF93" i="55"/>
  <c r="CE93" i="55"/>
  <c r="BL93" i="55"/>
  <c r="AY93" i="55"/>
  <c r="GK29" i="55"/>
  <c r="GL29" i="55" s="1"/>
  <c r="BL29" i="55"/>
  <c r="AW330" i="55"/>
  <c r="AX330" i="55" s="1"/>
  <c r="AV330" i="55"/>
  <c r="AW266" i="55"/>
  <c r="AX266" i="55" s="1"/>
  <c r="AV266" i="55"/>
  <c r="AW202" i="55"/>
  <c r="AX202" i="55" s="1"/>
  <c r="AV202" i="55"/>
  <c r="AW74" i="55"/>
  <c r="AX74" i="55" s="1"/>
  <c r="AV74" i="55"/>
  <c r="AY74" i="55" s="1"/>
  <c r="AW10" i="55"/>
  <c r="AX10" i="55" s="1"/>
  <c r="AV10" i="55"/>
  <c r="AV50" i="55"/>
  <c r="BW50" i="55" s="1"/>
  <c r="AW75" i="55"/>
  <c r="AX75" i="55" s="1"/>
  <c r="AY75" i="55" s="1"/>
  <c r="CE141" i="55"/>
  <c r="BL141" i="55"/>
  <c r="DA141" i="55" s="1" a="1"/>
  <c r="DA141" i="55" s="1"/>
  <c r="AY109" i="55"/>
  <c r="BL109" i="55"/>
  <c r="DA109" i="55" s="1" a="1"/>
  <c r="DA109" i="55" s="1"/>
  <c r="AV267" i="55"/>
  <c r="BW267" i="55" s="1"/>
  <c r="AW267" i="55"/>
  <c r="AX267" i="55" s="1"/>
  <c r="AW242" i="55"/>
  <c r="AX242" i="55" s="1"/>
  <c r="DB205" i="55"/>
  <c r="AY254" i="55"/>
  <c r="E254" i="55" s="1"/>
  <c r="AZ254" i="55" s="1"/>
  <c r="AY318" i="55"/>
  <c r="E318" i="55" s="1"/>
  <c r="AZ318" i="55" s="1"/>
  <c r="AW283" i="55"/>
  <c r="AX283" i="55" s="1"/>
  <c r="AW204" i="55"/>
  <c r="AX204" i="55" s="1"/>
  <c r="AY204" i="55" s="1"/>
  <c r="E204" i="55" s="1"/>
  <c r="AZ204" i="55" s="1"/>
  <c r="AW156" i="55"/>
  <c r="AX156" i="55" s="1"/>
  <c r="AY156" i="55" s="1"/>
  <c r="E156" i="55" s="1"/>
  <c r="AZ156" i="55" s="1"/>
  <c r="CN288" i="55"/>
  <c r="CV288" i="55" s="1"/>
  <c r="BF288" i="55"/>
  <c r="DT288" i="55" s="1"/>
  <c r="BF256" i="55"/>
  <c r="DT256" i="55" s="1"/>
  <c r="CN256" i="55"/>
  <c r="BM256" i="55" s="1" a="1"/>
  <c r="BM256" i="55" s="1"/>
  <c r="CA256" i="55" s="1"/>
  <c r="CN160" i="55"/>
  <c r="CU160" i="55" s="1"/>
  <c r="BF160" i="55"/>
  <c r="DT160" i="55" s="1"/>
  <c r="CN128" i="55"/>
  <c r="BM128" i="55" s="1" a="1"/>
  <c r="BM128" i="55" s="1"/>
  <c r="CA128" i="55" s="1"/>
  <c r="CN112" i="55"/>
  <c r="BM112" i="55" a="1"/>
  <c r="BM112" i="55" s="1"/>
  <c r="CA112" i="55" s="1"/>
  <c r="BF96" i="55"/>
  <c r="DT96" i="55" s="1"/>
  <c r="CN96" i="55"/>
  <c r="BM96" i="55" s="1" a="1"/>
  <c r="BM96" i="55" s="1"/>
  <c r="CA96" i="55" s="1"/>
  <c r="CN32" i="55"/>
  <c r="CW32" i="55" s="1"/>
  <c r="BM32" i="55" a="1"/>
  <c r="BM32" i="55" s="1"/>
  <c r="CA32" i="55" s="1"/>
  <c r="BF304" i="55"/>
  <c r="DT304" i="55" s="1"/>
  <c r="CF13" i="55"/>
  <c r="CG13" i="55"/>
  <c r="BP280" i="55"/>
  <c r="EB280" i="55" s="1"/>
  <c r="BR280" i="55"/>
  <c r="CG280" i="55"/>
  <c r="BT175" i="55"/>
  <c r="BU175" i="55"/>
  <c r="CE62" i="55"/>
  <c r="AV27" i="55"/>
  <c r="AW27" i="55"/>
  <c r="AX27" i="55" s="1"/>
  <c r="AW162" i="55"/>
  <c r="AX162" i="55" s="1"/>
  <c r="AY238" i="55"/>
  <c r="E238" i="55" s="1"/>
  <c r="AZ238" i="55" s="1"/>
  <c r="AW203" i="55"/>
  <c r="AX203" i="55" s="1"/>
  <c r="AY203" i="55" s="1"/>
  <c r="E203" i="55" s="1"/>
  <c r="AZ203" i="55" s="1"/>
  <c r="AW155" i="55"/>
  <c r="AX155" i="55" s="1"/>
  <c r="AY155" i="55" s="1"/>
  <c r="E155" i="55" s="1"/>
  <c r="AZ155" i="55" s="1"/>
  <c r="AY302" i="55"/>
  <c r="E302" i="55" s="1"/>
  <c r="AZ302" i="55" s="1"/>
  <c r="CN335" i="55"/>
  <c r="CS335" i="55" s="1"/>
  <c r="BF335" i="55"/>
  <c r="DT335" i="55" s="1"/>
  <c r="CN319" i="55"/>
  <c r="CP319" i="55" s="1"/>
  <c r="BF319" i="55"/>
  <c r="DT319" i="55" s="1"/>
  <c r="CU303" i="55"/>
  <c r="CP303" i="55"/>
  <c r="CN287" i="55"/>
  <c r="BM287" i="55" s="1" a="1"/>
  <c r="BM287" i="55" s="1"/>
  <c r="BF287" i="55"/>
  <c r="DT287" i="55" s="1"/>
  <c r="CN271" i="55"/>
  <c r="BM271" i="55" s="1" a="1"/>
  <c r="BM271" i="55" s="1"/>
  <c r="CA271" i="55" s="1"/>
  <c r="BF271" i="55"/>
  <c r="DT271" i="55" s="1"/>
  <c r="CN255" i="55"/>
  <c r="CS255" i="55" s="1"/>
  <c r="BF255" i="55"/>
  <c r="DT255" i="55" s="1"/>
  <c r="CN223" i="55"/>
  <c r="BF207" i="55"/>
  <c r="DT207" i="55" s="1"/>
  <c r="CN207" i="55"/>
  <c r="CR207" i="55" s="1"/>
  <c r="BM207" i="55" a="1"/>
  <c r="BM207" i="55" s="1"/>
  <c r="CA207" i="55" s="1"/>
  <c r="CN191" i="55"/>
  <c r="BM191" i="55" s="1" a="1"/>
  <c r="BM191" i="55" s="1"/>
  <c r="BF191" i="55"/>
  <c r="DT191" i="55" s="1"/>
  <c r="CN175" i="55"/>
  <c r="CR175" i="55" s="1"/>
  <c r="BF175" i="55"/>
  <c r="CN159" i="55"/>
  <c r="CV159" i="55" s="1"/>
  <c r="BM159" i="55" a="1"/>
  <c r="BM159" i="55" s="1"/>
  <c r="CA159" i="55" s="1"/>
  <c r="BF159" i="55"/>
  <c r="DT159" i="55" s="1"/>
  <c r="CN143" i="55"/>
  <c r="CR143" i="55" s="1"/>
  <c r="CN79" i="55"/>
  <c r="CO79" i="55" s="1"/>
  <c r="BF79" i="55"/>
  <c r="DT79" i="55" s="1"/>
  <c r="CN63" i="55"/>
  <c r="BM63" i="55" s="1" a="1"/>
  <c r="BM63" i="55" s="1"/>
  <c r="BF63" i="55"/>
  <c r="DT63" i="55" s="1"/>
  <c r="CN31" i="55"/>
  <c r="CS31" i="55" s="1"/>
  <c r="BF303" i="55"/>
  <c r="DT303" i="55" s="1"/>
  <c r="BF192" i="55"/>
  <c r="DT192" i="55" s="1"/>
  <c r="BF47" i="55"/>
  <c r="DT47" i="55" s="1"/>
  <c r="BT45" i="55"/>
  <c r="BU45" i="55"/>
  <c r="BL45" i="55"/>
  <c r="CN320" i="55"/>
  <c r="CV320" i="55" s="1"/>
  <c r="DW333" i="55"/>
  <c r="CE333" i="55"/>
  <c r="BL333" i="55"/>
  <c r="DB333" i="55" s="1"/>
  <c r="BW333" i="55"/>
  <c r="CI333" i="55" s="1"/>
  <c r="BW317" i="55"/>
  <c r="CI317" i="55" s="1"/>
  <c r="CE317" i="55"/>
  <c r="DF285" i="55"/>
  <c r="BL285" i="55"/>
  <c r="BW285" i="55"/>
  <c r="BW189" i="55"/>
  <c r="CI189" i="55" s="1"/>
  <c r="AY189" i="55"/>
  <c r="E189" i="55" s="1"/>
  <c r="AZ189" i="55" s="1"/>
  <c r="DW13" i="55"/>
  <c r="BW13" i="55"/>
  <c r="BL13" i="55"/>
  <c r="CE13" i="55"/>
  <c r="AV331" i="55"/>
  <c r="BW331" i="55" s="1"/>
  <c r="AW331" i="55"/>
  <c r="AX331" i="55" s="1"/>
  <c r="AY331" i="55" s="1"/>
  <c r="E331" i="55" s="1"/>
  <c r="AZ331" i="55" s="1"/>
  <c r="AV299" i="55"/>
  <c r="AY299" i="55" s="1"/>
  <c r="E299" i="55" s="1"/>
  <c r="AZ299" i="55" s="1"/>
  <c r="AW299" i="55"/>
  <c r="AX299" i="55" s="1"/>
  <c r="AY317" i="55"/>
  <c r="E317" i="55" s="1"/>
  <c r="AZ317" i="55" s="1"/>
  <c r="CE201" i="55"/>
  <c r="BL201" i="55"/>
  <c r="DF105" i="55"/>
  <c r="BL105" i="55"/>
  <c r="BW25" i="55"/>
  <c r="DQ25" i="55"/>
  <c r="BG25" i="55"/>
  <c r="BL25" i="55"/>
  <c r="AW343" i="55"/>
  <c r="AX343" i="55" s="1"/>
  <c r="AV343" i="55"/>
  <c r="AW199" i="55"/>
  <c r="AX199" i="55" s="1"/>
  <c r="AV199" i="55"/>
  <c r="AY199" i="55" s="1"/>
  <c r="E199" i="55" s="1"/>
  <c r="AZ199" i="55" s="1"/>
  <c r="AW167" i="55"/>
  <c r="AX167" i="55" s="1"/>
  <c r="AV167" i="55"/>
  <c r="AY167" i="55" s="1"/>
  <c r="E167" i="55" s="1"/>
  <c r="AZ167" i="55" s="1"/>
  <c r="AV327" i="55"/>
  <c r="BW327" i="55" s="1"/>
  <c r="AY301" i="55"/>
  <c r="E301" i="55" s="1"/>
  <c r="AZ301" i="55" s="1"/>
  <c r="CE45" i="55"/>
  <c r="BW205" i="55"/>
  <c r="CI205" i="55" s="1"/>
  <c r="AY157" i="55"/>
  <c r="E157" i="55" s="1"/>
  <c r="AZ157" i="55" s="1"/>
  <c r="AW315" i="55"/>
  <c r="AX315" i="55" s="1"/>
  <c r="AW235" i="55"/>
  <c r="AX235" i="55" s="1"/>
  <c r="AW60" i="55"/>
  <c r="AX60" i="55" s="1"/>
  <c r="BZ322" i="55"/>
  <c r="DV322" i="55"/>
  <c r="BR322" i="55"/>
  <c r="DV16" i="55"/>
  <c r="BZ16" i="55"/>
  <c r="CZ16" i="55"/>
  <c r="CF110" i="55"/>
  <c r="CG110" i="55"/>
  <c r="BU44" i="55"/>
  <c r="CI160" i="55"/>
  <c r="BZ83" i="55"/>
  <c r="DV83" i="55"/>
  <c r="CZ83" i="55"/>
  <c r="BT269" i="55"/>
  <c r="BU269" i="55"/>
  <c r="CI23" i="55"/>
  <c r="AY280" i="55"/>
  <c r="AV244" i="55"/>
  <c r="AV154" i="55"/>
  <c r="AY154" i="55" s="1"/>
  <c r="CI115" i="55"/>
  <c r="AW276" i="55"/>
  <c r="AX276" i="55" s="1"/>
  <c r="AW107" i="55"/>
  <c r="AX107" i="55" s="1"/>
  <c r="AW59" i="55"/>
  <c r="AX59" i="55" s="1"/>
  <c r="CN220" i="55"/>
  <c r="BF220" i="55"/>
  <c r="DT220" i="55" s="1"/>
  <c r="EB193" i="55"/>
  <c r="CF26" i="55"/>
  <c r="CH26" i="55" s="1"/>
  <c r="CG26" i="55"/>
  <c r="BR116" i="55"/>
  <c r="BU349" i="55"/>
  <c r="CN304" i="55"/>
  <c r="CP304" i="55" s="1"/>
  <c r="CE329" i="55"/>
  <c r="BL329" i="55"/>
  <c r="DA329" i="55" s="1" a="1"/>
  <c r="DA329" i="55" s="1"/>
  <c r="DF41" i="55"/>
  <c r="BL41" i="55"/>
  <c r="AW231" i="55"/>
  <c r="AX231" i="55" s="1"/>
  <c r="AV231" i="55"/>
  <c r="AY231" i="55" s="1"/>
  <c r="E231" i="55" s="1"/>
  <c r="AZ231" i="55" s="1"/>
  <c r="BZ243" i="55"/>
  <c r="BR243" i="55"/>
  <c r="EB243" i="55" s="1"/>
  <c r="BZ99" i="55"/>
  <c r="BP99" i="55"/>
  <c r="BU285" i="55"/>
  <c r="BT285" i="55"/>
  <c r="BW246" i="55"/>
  <c r="CI246" i="55" s="1"/>
  <c r="BL214" i="55"/>
  <c r="CE214" i="55"/>
  <c r="BW214" i="55"/>
  <c r="CI214" i="55" s="1"/>
  <c r="CE134" i="55"/>
  <c r="BL134" i="55"/>
  <c r="BW118" i="55"/>
  <c r="CI118" i="55" s="1"/>
  <c r="BL6" i="55"/>
  <c r="CE6" i="55"/>
  <c r="AY260" i="55"/>
  <c r="E260" i="55" s="1"/>
  <c r="AZ260" i="55" s="1"/>
  <c r="AV228" i="55"/>
  <c r="BW228" i="55" s="1"/>
  <c r="AW228" i="55"/>
  <c r="AX228" i="55" s="1"/>
  <c r="AV132" i="55"/>
  <c r="AY132" i="55" s="1"/>
  <c r="AW132" i="55"/>
  <c r="AX132" i="55" s="1"/>
  <c r="AV100" i="55"/>
  <c r="AW100" i="55"/>
  <c r="AX100" i="55" s="1"/>
  <c r="AV36" i="55"/>
  <c r="AW36" i="55"/>
  <c r="AX36" i="55" s="1"/>
  <c r="AV324" i="55"/>
  <c r="AV279" i="55"/>
  <c r="AV114" i="55"/>
  <c r="BW77" i="55"/>
  <c r="CI77" i="55" s="1"/>
  <c r="DV304" i="55"/>
  <c r="BZ304" i="55"/>
  <c r="BZ240" i="55"/>
  <c r="DV240" i="55"/>
  <c r="CZ224" i="55"/>
  <c r="BZ224" i="55"/>
  <c r="DV224" i="55"/>
  <c r="DV160" i="55"/>
  <c r="BZ160" i="55"/>
  <c r="DV144" i="55"/>
  <c r="BZ144" i="55"/>
  <c r="CF284" i="55"/>
  <c r="CG284" i="55" s="1"/>
  <c r="CF252" i="55"/>
  <c r="CG252" i="55"/>
  <c r="BP147" i="55"/>
  <c r="BP83" i="55"/>
  <c r="BR67" i="55"/>
  <c r="EB67" i="55" s="1"/>
  <c r="BL169" i="55"/>
  <c r="DB169" i="55" s="1"/>
  <c r="BZ64" i="55"/>
  <c r="AW316" i="55"/>
  <c r="AX316" i="55" s="1"/>
  <c r="AY316" i="55" s="1"/>
  <c r="DV163" i="55"/>
  <c r="BZ163" i="55"/>
  <c r="BZ115" i="55"/>
  <c r="DV115" i="55"/>
  <c r="BP115" i="55"/>
  <c r="DV35" i="55"/>
  <c r="BR35" i="55"/>
  <c r="BT301" i="55"/>
  <c r="BU301" i="55"/>
  <c r="BW69" i="55"/>
  <c r="AV196" i="55"/>
  <c r="AY196" i="55" s="1"/>
  <c r="AY113" i="55"/>
  <c r="AW140" i="55"/>
  <c r="AX140" i="55" s="1"/>
  <c r="AY140" i="55" s="1"/>
  <c r="AW11" i="55"/>
  <c r="AX11" i="55" s="1"/>
  <c r="BF143" i="55"/>
  <c r="BF32" i="55"/>
  <c r="DT32" i="55" s="1"/>
  <c r="BU281" i="55"/>
  <c r="BT281" i="55"/>
  <c r="BT173" i="55"/>
  <c r="BU237" i="55"/>
  <c r="CW201" i="55"/>
  <c r="AW194" i="55"/>
  <c r="AX194" i="55" s="1"/>
  <c r="AV194" i="55"/>
  <c r="AY194" i="55" s="1"/>
  <c r="E194" i="55" s="1"/>
  <c r="AZ194" i="55" s="1"/>
  <c r="CE339" i="55"/>
  <c r="BL339" i="55"/>
  <c r="DF323" i="55"/>
  <c r="BL323" i="55"/>
  <c r="BL275" i="55"/>
  <c r="CE275" i="55"/>
  <c r="CE211" i="55"/>
  <c r="BL211" i="55"/>
  <c r="BL179" i="55"/>
  <c r="EA179" i="55"/>
  <c r="CE131" i="55"/>
  <c r="BL131" i="55"/>
  <c r="EA67" i="55"/>
  <c r="BL67" i="55"/>
  <c r="CE67" i="55"/>
  <c r="AY19" i="55"/>
  <c r="BL19" i="55"/>
  <c r="DB19" i="55" s="1"/>
  <c r="DF3" i="55"/>
  <c r="BK3" i="55"/>
  <c r="BI3" i="55"/>
  <c r="CG3" i="55" s="1"/>
  <c r="BJ3" i="55"/>
  <c r="BL3" i="55"/>
  <c r="AV161" i="55"/>
  <c r="BW161" i="55" s="1"/>
  <c r="AW161" i="55"/>
  <c r="AX161" i="55" s="1"/>
  <c r="AV97" i="55"/>
  <c r="BW97" i="55" s="1"/>
  <c r="AW97" i="55"/>
  <c r="AX97" i="55" s="1"/>
  <c r="AV225" i="55"/>
  <c r="AY225" i="55" s="1"/>
  <c r="E225" i="55" s="1"/>
  <c r="AZ225" i="55" s="1"/>
  <c r="AV65" i="55"/>
  <c r="AV26" i="55"/>
  <c r="AY26" i="55" s="1"/>
  <c r="E26" i="55" s="1"/>
  <c r="AZ26" i="55" s="1"/>
  <c r="AW219" i="55"/>
  <c r="AX219" i="55" s="1"/>
  <c r="BF120" i="55"/>
  <c r="DT120" i="55" s="1"/>
  <c r="CN120" i="55"/>
  <c r="CV120" i="55" s="1"/>
  <c r="DJ158" i="55" a="1"/>
  <c r="DJ158" i="55" s="1"/>
  <c r="DK158" i="55" s="1"/>
  <c r="GN184" i="55"/>
  <c r="EQ184" i="55"/>
  <c r="BL50" i="55"/>
  <c r="DA50" i="55" s="1" a="1"/>
  <c r="DA50" i="55" s="1"/>
  <c r="BI50" i="55"/>
  <c r="CG50" i="55" s="1"/>
  <c r="AV320" i="55"/>
  <c r="BW320" i="55" s="1"/>
  <c r="CI320" i="55" s="1"/>
  <c r="AW320" i="55"/>
  <c r="AX320" i="55" s="1"/>
  <c r="AY320" i="55" s="1"/>
  <c r="E320" i="55" s="1"/>
  <c r="AZ320" i="55" s="1"/>
  <c r="AW304" i="55"/>
  <c r="AX304" i="55" s="1"/>
  <c r="AV304" i="55"/>
  <c r="BW304" i="55" s="1"/>
  <c r="AV64" i="55"/>
  <c r="AY64" i="55" s="1"/>
  <c r="AW64" i="55"/>
  <c r="AX64" i="55" s="1"/>
  <c r="AV275" i="55"/>
  <c r="AV224" i="55"/>
  <c r="AY224" i="55" s="1"/>
  <c r="AV148" i="55"/>
  <c r="AW257" i="55"/>
  <c r="AX257" i="55" s="1"/>
  <c r="AY257" i="55" s="1"/>
  <c r="E257" i="55" s="1"/>
  <c r="AZ257" i="55" s="1"/>
  <c r="AW180" i="55"/>
  <c r="AX180" i="55" s="1"/>
  <c r="AW3" i="55"/>
  <c r="AX3" i="55" s="1"/>
  <c r="CN343" i="55"/>
  <c r="CP343" i="55" s="1"/>
  <c r="BF343" i="55"/>
  <c r="DT343" i="55" s="1"/>
  <c r="BE193" i="55"/>
  <c r="C193" i="55"/>
  <c r="BF112" i="55"/>
  <c r="DT112" i="55" s="1"/>
  <c r="BM95" i="55" a="1"/>
  <c r="BM95" i="55" s="1"/>
  <c r="CA95" i="55" s="1"/>
  <c r="EB346" i="55"/>
  <c r="BW342" i="55"/>
  <c r="CI342" i="55" s="1"/>
  <c r="BZ35" i="55"/>
  <c r="DW174" i="55"/>
  <c r="DV34" i="55"/>
  <c r="AV239" i="55"/>
  <c r="AW239" i="55"/>
  <c r="AX239" i="55" s="1"/>
  <c r="AV159" i="55"/>
  <c r="AW159" i="55"/>
  <c r="AX159" i="55" s="1"/>
  <c r="CI143" i="55"/>
  <c r="AV63" i="55"/>
  <c r="AY63" i="55" s="1"/>
  <c r="AW63" i="55"/>
  <c r="AX63" i="55" s="1"/>
  <c r="AV346" i="55"/>
  <c r="AV145" i="55"/>
  <c r="AY145" i="55" s="1"/>
  <c r="AY61" i="55"/>
  <c r="AW300" i="55"/>
  <c r="AX300" i="55" s="1"/>
  <c r="AY300" i="55" s="1"/>
  <c r="E300" i="55" s="1"/>
  <c r="AZ300" i="55" s="1"/>
  <c r="BL86" i="55"/>
  <c r="BW339" i="55"/>
  <c r="CJ339" i="55" s="1"/>
  <c r="DW125" i="55"/>
  <c r="AV210" i="55"/>
  <c r="AW210" i="55"/>
  <c r="AX210" i="55" s="1"/>
  <c r="AY210" i="55" s="1"/>
  <c r="AV82" i="55"/>
  <c r="AW82" i="55"/>
  <c r="AX82" i="55" s="1"/>
  <c r="AY237" i="55"/>
  <c r="E237" i="55" s="1"/>
  <c r="AZ237" i="55" s="1"/>
  <c r="BU234" i="55"/>
  <c r="BT234" i="55"/>
  <c r="W493" i="19"/>
  <c r="BL352" i="55"/>
  <c r="DA352" i="55" s="1" a="1"/>
  <c r="DA352" i="55" s="1"/>
  <c r="CE352" i="55"/>
  <c r="EA352" i="55"/>
  <c r="AY352" i="55"/>
  <c r="BW336" i="55"/>
  <c r="BL336" i="55"/>
  <c r="DB336" i="55" s="1"/>
  <c r="CE320" i="55"/>
  <c r="BL320" i="55"/>
  <c r="BL288" i="55"/>
  <c r="CE288" i="55"/>
  <c r="DW240" i="55"/>
  <c r="BL240" i="55"/>
  <c r="CE240" i="55"/>
  <c r="BL224" i="55"/>
  <c r="DB224" i="55" s="1"/>
  <c r="BW224" i="55"/>
  <c r="CI224" i="55" s="1"/>
  <c r="EA208" i="55"/>
  <c r="BL208" i="55"/>
  <c r="DB208" i="55" s="1"/>
  <c r="CE192" i="55"/>
  <c r="BL192" i="55"/>
  <c r="BM192" i="55" s="1" a="1"/>
  <c r="BM192" i="55" s="1"/>
  <c r="DF160" i="55"/>
  <c r="CE160" i="55"/>
  <c r="CE112" i="55"/>
  <c r="AY112" i="55"/>
  <c r="DF112" i="55"/>
  <c r="BL112" i="55"/>
  <c r="BW64" i="55"/>
  <c r="CI64" i="55" s="1"/>
  <c r="BL64" i="55"/>
  <c r="BL48" i="55"/>
  <c r="AY48" i="55"/>
  <c r="E48" i="55" s="1"/>
  <c r="AZ48" i="55" s="1"/>
  <c r="BL32" i="55"/>
  <c r="CE32" i="55"/>
  <c r="AW302" i="55"/>
  <c r="AX302" i="55" s="1"/>
  <c r="AV302" i="55"/>
  <c r="BW302" i="55" s="1"/>
  <c r="AV158" i="55"/>
  <c r="BW158" i="55" s="1"/>
  <c r="CI158" i="55" s="1"/>
  <c r="AW158" i="55"/>
  <c r="AX158" i="55" s="1"/>
  <c r="AV307" i="55"/>
  <c r="BW307" i="55" s="1"/>
  <c r="CI307" i="55" s="1"/>
  <c r="AV218" i="55"/>
  <c r="BW218" i="55" s="1"/>
  <c r="AW334" i="55"/>
  <c r="AX334" i="55" s="1"/>
  <c r="AY334" i="55" s="1"/>
  <c r="AW80" i="55"/>
  <c r="AX80" i="55" s="1"/>
  <c r="CN309" i="55"/>
  <c r="CT309" i="55" s="1"/>
  <c r="BF309" i="55"/>
  <c r="DT309" i="55" s="1"/>
  <c r="BF87" i="55"/>
  <c r="DT87" i="55" s="1"/>
  <c r="BL269" i="55"/>
  <c r="EB202" i="55"/>
  <c r="BW22" i="55"/>
  <c r="AY285" i="55"/>
  <c r="E285" i="55" s="1"/>
  <c r="AZ285" i="55" s="1"/>
  <c r="AY221" i="55"/>
  <c r="AV306" i="55"/>
  <c r="AV263" i="55"/>
  <c r="AY263" i="55" s="1"/>
  <c r="E263" i="55" s="1"/>
  <c r="AZ263" i="55" s="1"/>
  <c r="BW141" i="55"/>
  <c r="CI141" i="55" s="1"/>
  <c r="AV90" i="55"/>
  <c r="AY90" i="55" s="1"/>
  <c r="AY333" i="55"/>
  <c r="AW292" i="55"/>
  <c r="AX292" i="55" s="1"/>
  <c r="AY292" i="55" s="1"/>
  <c r="E292" i="55" s="1"/>
  <c r="AZ292" i="55" s="1"/>
  <c r="AW251" i="55"/>
  <c r="AX251" i="55" s="1"/>
  <c r="AW171" i="55"/>
  <c r="AX171" i="55" s="1"/>
  <c r="AY171" i="55" s="1"/>
  <c r="E171" i="55" s="1"/>
  <c r="AZ171" i="55" s="1"/>
  <c r="AW124" i="55"/>
  <c r="AX124" i="55" s="1"/>
  <c r="AW79" i="55"/>
  <c r="AX79" i="55" s="1"/>
  <c r="AW43" i="55"/>
  <c r="AX43" i="55" s="1"/>
  <c r="BL80" i="55"/>
  <c r="BU157" i="55"/>
  <c r="CE237" i="55"/>
  <c r="DF243" i="55"/>
  <c r="DF218" i="55"/>
  <c r="AV120" i="55"/>
  <c r="AW120" i="55"/>
  <c r="AX120" i="55" s="1"/>
  <c r="AY56" i="55"/>
  <c r="AY40" i="55"/>
  <c r="E40" i="55" s="1"/>
  <c r="AZ40" i="55" s="1"/>
  <c r="BW45" i="55"/>
  <c r="CI45" i="55" s="1"/>
  <c r="AW230" i="55"/>
  <c r="AX230" i="55" s="1"/>
  <c r="AW101" i="55"/>
  <c r="AX101" i="55" s="1"/>
  <c r="AY101" i="55" s="1"/>
  <c r="AW69" i="55"/>
  <c r="AX69" i="55" s="1"/>
  <c r="AY295" i="55"/>
  <c r="E295" i="55" s="1"/>
  <c r="AZ295" i="55" s="1"/>
  <c r="BP352" i="55"/>
  <c r="BP272" i="55"/>
  <c r="BR128" i="55"/>
  <c r="CV149" i="55"/>
  <c r="CP149" i="55"/>
  <c r="CO149" i="55"/>
  <c r="CS149" i="55" s="1"/>
  <c r="AW71" i="55"/>
  <c r="AX71" i="55" s="1"/>
  <c r="AV71" i="55"/>
  <c r="AY71" i="55" s="1"/>
  <c r="BW269" i="55"/>
  <c r="AV135" i="55"/>
  <c r="AY135" i="55" s="1"/>
  <c r="AV103" i="55"/>
  <c r="AY103" i="55" s="1"/>
  <c r="AV39" i="55"/>
  <c r="AY39" i="55" s="1"/>
  <c r="E39" i="55" s="1"/>
  <c r="AZ39" i="55" s="1"/>
  <c r="CF103" i="55"/>
  <c r="CG103" i="55"/>
  <c r="BP10" i="55"/>
  <c r="BR10" i="55"/>
  <c r="BW215" i="55"/>
  <c r="CI215" i="55" s="1"/>
  <c r="DN234" i="55"/>
  <c r="BW216" i="55"/>
  <c r="CI216" i="55" s="1"/>
  <c r="DF216" i="55"/>
  <c r="BW301" i="55"/>
  <c r="CI301" i="55" s="1"/>
  <c r="AV165" i="55"/>
  <c r="BW165" i="55" s="1"/>
  <c r="AV7" i="55"/>
  <c r="CV338" i="55"/>
  <c r="CS338" i="55"/>
  <c r="CP338" i="55"/>
  <c r="CN322" i="55"/>
  <c r="BF322" i="55"/>
  <c r="DT322" i="55" s="1"/>
  <c r="CN306" i="55"/>
  <c r="CV306" i="55" s="1"/>
  <c r="BF306" i="55"/>
  <c r="DT306" i="55" s="1"/>
  <c r="BF226" i="55"/>
  <c r="DT226" i="55" s="1"/>
  <c r="CN226" i="55"/>
  <c r="CU226" i="55" s="1"/>
  <c r="CV210" i="55"/>
  <c r="CN178" i="55"/>
  <c r="CU178" i="55" s="1"/>
  <c r="BF178" i="55"/>
  <c r="DT178" i="55" s="1"/>
  <c r="CN162" i="55"/>
  <c r="CU162" i="55" s="1"/>
  <c r="BF162" i="55"/>
  <c r="CN130" i="55"/>
  <c r="CR130" i="55" s="1"/>
  <c r="BF130" i="55"/>
  <c r="DT130" i="55" s="1"/>
  <c r="C316" i="55"/>
  <c r="BE124" i="55"/>
  <c r="C124" i="55" s="1"/>
  <c r="C92" i="55"/>
  <c r="BE76" i="55"/>
  <c r="C76" i="55" s="1"/>
  <c r="BF258" i="55"/>
  <c r="DT258" i="55" s="1"/>
  <c r="DV74" i="55"/>
  <c r="BZ74" i="55"/>
  <c r="CF102" i="55"/>
  <c r="CG102" i="55" s="1"/>
  <c r="CI87" i="55"/>
  <c r="AV264" i="55"/>
  <c r="AV37" i="55"/>
  <c r="CN97" i="55"/>
  <c r="CU97" i="55" s="1"/>
  <c r="BF97" i="55"/>
  <c r="DT97" i="55" s="1"/>
  <c r="CW81" i="55"/>
  <c r="CU81" i="55"/>
  <c r="CP81" i="55"/>
  <c r="CN65" i="55"/>
  <c r="CT65" i="55" s="1"/>
  <c r="BF65" i="55"/>
  <c r="DT65" i="55" s="1"/>
  <c r="CN49" i="55"/>
  <c r="BM49" i="55" s="1" a="1"/>
  <c r="BM49" i="55" s="1"/>
  <c r="BF49" i="55"/>
  <c r="DT49" i="55" s="1"/>
  <c r="CQ17" i="55"/>
  <c r="CT17" i="55"/>
  <c r="CX17" i="55"/>
  <c r="BE347" i="55"/>
  <c r="C347" i="55" s="1"/>
  <c r="BE315" i="55"/>
  <c r="C315" i="55" s="1"/>
  <c r="DY267" i="55"/>
  <c r="DR267" i="55"/>
  <c r="BE251" i="55"/>
  <c r="C251" i="55" s="1"/>
  <c r="DY235" i="55"/>
  <c r="BE171" i="55"/>
  <c r="C171" i="55" s="1"/>
  <c r="BE123" i="55"/>
  <c r="C123" i="55" s="1"/>
  <c r="BE75" i="55"/>
  <c r="C75" i="55" s="1"/>
  <c r="BE59" i="55"/>
  <c r="C59" i="55" s="1"/>
  <c r="BE27" i="55"/>
  <c r="C27" i="55" s="1"/>
  <c r="BP314" i="55"/>
  <c r="BY25" i="55"/>
  <c r="BX25" i="55"/>
  <c r="BP251" i="55"/>
  <c r="BP59" i="55"/>
  <c r="BY184" i="55"/>
  <c r="BX184" i="55"/>
  <c r="CG282" i="55"/>
  <c r="DN197" i="55"/>
  <c r="DJ232" i="55" a="1"/>
  <c r="DJ232" i="55" s="1"/>
  <c r="DJ168" i="55" a="1"/>
  <c r="DJ168" i="55" s="1"/>
  <c r="DN168" i="55" s="1"/>
  <c r="BE90" i="55"/>
  <c r="C90" i="55" s="1"/>
  <c r="BE74" i="55"/>
  <c r="C74" i="55" s="1"/>
  <c r="BE26" i="55"/>
  <c r="C26" i="55" s="1"/>
  <c r="BR246" i="55"/>
  <c r="CF15" i="55"/>
  <c r="CG15" i="55"/>
  <c r="BP170" i="55"/>
  <c r="EB170" i="55" s="1"/>
  <c r="BR170" i="55"/>
  <c r="BR58" i="55"/>
  <c r="BP58" i="55"/>
  <c r="BE137" i="55"/>
  <c r="C137" i="55" s="1"/>
  <c r="BE105" i="55"/>
  <c r="C105" i="55" s="1"/>
  <c r="BE89" i="55"/>
  <c r="C89" i="55" s="1"/>
  <c r="BE73" i="55"/>
  <c r="C73" i="55" s="1"/>
  <c r="BE57" i="55"/>
  <c r="C57" i="55" s="1"/>
  <c r="BE9" i="55"/>
  <c r="C9" i="55" s="1"/>
  <c r="BF321" i="55"/>
  <c r="DT321" i="55" s="1"/>
  <c r="BF145" i="55"/>
  <c r="CG281" i="55"/>
  <c r="EB40" i="55"/>
  <c r="BT263" i="55"/>
  <c r="DJ126" i="55" a="1"/>
  <c r="DJ126" i="55" s="1"/>
  <c r="DK126" i="55" s="1"/>
  <c r="DJ318" i="55" a="1"/>
  <c r="DJ318" i="55" s="1"/>
  <c r="DN318" i="55" s="1"/>
  <c r="DV143" i="55"/>
  <c r="BZ143" i="55"/>
  <c r="BZ31" i="55"/>
  <c r="DV31" i="55"/>
  <c r="CZ31" i="55"/>
  <c r="CF187" i="55"/>
  <c r="CG187" i="55"/>
  <c r="BP35" i="55"/>
  <c r="BP16" i="55"/>
  <c r="BT60" i="55"/>
  <c r="BW335" i="55"/>
  <c r="DJ222" i="55" a="1"/>
  <c r="DJ222" i="55" s="1"/>
  <c r="DJ206" i="55" a="1"/>
  <c r="DJ206" i="55" s="1"/>
  <c r="DJ190" i="55" a="1"/>
  <c r="DJ190" i="55" s="1"/>
  <c r="DN190" i="55" s="1"/>
  <c r="DJ173" i="55" a="1"/>
  <c r="DJ173" i="55" s="1"/>
  <c r="DN173" i="55" s="1"/>
  <c r="DJ157" i="55" a="1"/>
  <c r="DJ157" i="55" s="1"/>
  <c r="DK157" i="55" s="1"/>
  <c r="DJ156" i="55" a="1"/>
  <c r="DJ156" i="55" s="1"/>
  <c r="DJ247" i="55" a="1"/>
  <c r="DJ247" i="55" s="1"/>
  <c r="DN247" i="55" s="1"/>
  <c r="DJ151" i="55" a="1"/>
  <c r="DJ151" i="55" s="1"/>
  <c r="DJ87" i="55" a="1"/>
  <c r="DJ87" i="55" s="1"/>
  <c r="DK87" i="55" s="1"/>
  <c r="BR339" i="55"/>
  <c r="BP323" i="55"/>
  <c r="BP307" i="55"/>
  <c r="BR291" i="55"/>
  <c r="BR275" i="55"/>
  <c r="BP243" i="55"/>
  <c r="BP227" i="55"/>
  <c r="BR211" i="55"/>
  <c r="BP179" i="55"/>
  <c r="BR163" i="55"/>
  <c r="EB163" i="55" s="1"/>
  <c r="BP131" i="55"/>
  <c r="BR99" i="55"/>
  <c r="BR83" i="55"/>
  <c r="BP67" i="55"/>
  <c r="BP291" i="55"/>
  <c r="GN26" i="55"/>
  <c r="EQ26" i="55"/>
  <c r="GN10" i="55"/>
  <c r="EQ10" i="55"/>
  <c r="BE196" i="55"/>
  <c r="BF324" i="55"/>
  <c r="DT324" i="55" s="1"/>
  <c r="CF185" i="55"/>
  <c r="CG185" i="55"/>
  <c r="BP322" i="55"/>
  <c r="EB322" i="55" s="1"/>
  <c r="BP306" i="55"/>
  <c r="BP274" i="55"/>
  <c r="BR226" i="55"/>
  <c r="BP210" i="55"/>
  <c r="BR194" i="55"/>
  <c r="BP194" i="55"/>
  <c r="BR114" i="55"/>
  <c r="EB114" i="55" s="1"/>
  <c r="BP114" i="55"/>
  <c r="BR82" i="55"/>
  <c r="BP270" i="55"/>
  <c r="BR307" i="55"/>
  <c r="DJ155" i="55" a="1"/>
  <c r="DJ155" i="55" s="1"/>
  <c r="DN155" i="55" s="1"/>
  <c r="DJ70" i="55" a="1"/>
  <c r="DJ70" i="55" s="1"/>
  <c r="DJ54" i="55" a="1"/>
  <c r="DJ54" i="55" s="1"/>
  <c r="DN54" i="55" s="1"/>
  <c r="EQ45" i="55"/>
  <c r="BF278" i="55"/>
  <c r="DT278" i="55" s="1"/>
  <c r="BF121" i="55"/>
  <c r="DT121" i="55" s="1"/>
  <c r="CF56" i="55"/>
  <c r="CG56" i="55" s="1"/>
  <c r="BP273" i="55"/>
  <c r="BP13" i="55"/>
  <c r="BL127" i="55"/>
  <c r="BR306" i="55"/>
  <c r="DJ301" i="55" a="1"/>
  <c r="DJ301" i="55" s="1"/>
  <c r="DN301" i="55" s="1"/>
  <c r="DJ268" i="55" a="1"/>
  <c r="DJ268" i="55" s="1"/>
  <c r="DN268" i="55" s="1"/>
  <c r="DJ252" i="55" a="1"/>
  <c r="DJ252" i="55" s="1"/>
  <c r="DN252" i="55" s="1"/>
  <c r="DJ236" i="55" a="1"/>
  <c r="DJ236" i="55" s="1"/>
  <c r="DN236" i="55" s="1"/>
  <c r="DJ219" i="55" a="1"/>
  <c r="DJ219" i="55" s="1"/>
  <c r="DJ203" i="55" a="1"/>
  <c r="DJ203" i="55" s="1"/>
  <c r="DK203" i="55" s="1"/>
  <c r="DJ187" i="55" a="1"/>
  <c r="DJ187" i="55" s="1"/>
  <c r="DN187" i="55" s="1"/>
  <c r="GN44" i="55"/>
  <c r="EQ44" i="55"/>
  <c r="BW223" i="55"/>
  <c r="CJ223" i="55" s="1"/>
  <c r="BL79" i="55"/>
  <c r="BM79" i="55" s="1" a="1"/>
  <c r="BM79" i="55" s="1"/>
  <c r="CE79" i="55"/>
  <c r="BW63" i="55"/>
  <c r="CI63" i="55" s="1"/>
  <c r="BL15" i="55"/>
  <c r="CE15" i="55"/>
  <c r="BE304" i="55"/>
  <c r="C304" i="55" s="1"/>
  <c r="BF165" i="55"/>
  <c r="DT165" i="55" s="1"/>
  <c r="BP201" i="55"/>
  <c r="BP169" i="55"/>
  <c r="BL111" i="55"/>
  <c r="DB111" i="55" s="1"/>
  <c r="BU43" i="55"/>
  <c r="DJ150" i="55" a="1"/>
  <c r="DJ150" i="55" s="1"/>
  <c r="DK150" i="55" s="1"/>
  <c r="DJ55" i="55" a="1"/>
  <c r="DJ55" i="55" s="1"/>
  <c r="GN130" i="55"/>
  <c r="EQ130" i="55"/>
  <c r="BE195" i="55"/>
  <c r="C195" i="55" s="1"/>
  <c r="DJ333" i="55" a="1"/>
  <c r="DJ333" i="55" s="1"/>
  <c r="DK333" i="55" s="1"/>
  <c r="DN314" i="55"/>
  <c r="DJ248" i="55" a="1"/>
  <c r="DJ248" i="55" s="1"/>
  <c r="DN248" i="55" s="1"/>
  <c r="DJ215" i="55" a="1"/>
  <c r="DJ215" i="55" s="1"/>
  <c r="DN215" i="55" s="1"/>
  <c r="DJ120" i="55" a="1"/>
  <c r="DJ120" i="55" s="1"/>
  <c r="EQ21" i="55"/>
  <c r="BF244" i="55"/>
  <c r="DT244" i="55" s="1"/>
  <c r="CN244" i="55"/>
  <c r="CP244" i="55" s="1"/>
  <c r="BF164" i="55"/>
  <c r="DT164" i="55" s="1"/>
  <c r="CN164" i="55"/>
  <c r="CU164" i="55" s="1"/>
  <c r="BF36" i="55"/>
  <c r="DT36" i="55" s="1"/>
  <c r="CN36" i="55"/>
  <c r="CU36" i="55" s="1"/>
  <c r="BE30" i="55"/>
  <c r="C30" i="55" s="1"/>
  <c r="BL223" i="55"/>
  <c r="BM223" i="55" s="1" a="1"/>
  <c r="BM223" i="55" s="1"/>
  <c r="CA223" i="55" s="1"/>
  <c r="BR13" i="55"/>
  <c r="EB13" i="55" s="1"/>
  <c r="BT188" i="55"/>
  <c r="GN336" i="55"/>
  <c r="EQ336" i="55"/>
  <c r="GN35" i="55"/>
  <c r="EQ35" i="55"/>
  <c r="GN15" i="55"/>
  <c r="EQ15" i="55"/>
  <c r="BR72" i="55"/>
  <c r="BR6" i="55"/>
  <c r="BR269" i="55"/>
  <c r="EB269" i="55" s="1"/>
  <c r="DJ334" i="55" a="1"/>
  <c r="DJ334" i="55" s="1"/>
  <c r="DK334" i="55" s="1"/>
  <c r="DJ315" i="55" a="1"/>
  <c r="DJ315" i="55" s="1"/>
  <c r="DJ167" i="55" a="1"/>
  <c r="DJ167" i="55" s="1"/>
  <c r="DJ134" i="55" a="1"/>
  <c r="DJ134" i="55" s="1"/>
  <c r="DK99" i="55"/>
  <c r="DN99" i="55"/>
  <c r="DJ27" i="55" a="1"/>
  <c r="DJ27" i="55" s="1"/>
  <c r="DK27" i="55" s="1"/>
  <c r="GN335" i="55"/>
  <c r="EQ335" i="55"/>
  <c r="GN13" i="55"/>
  <c r="EQ13" i="55"/>
  <c r="BY28" i="55"/>
  <c r="BX28" i="55"/>
  <c r="DJ332" i="55" a="1"/>
  <c r="DJ332" i="55" s="1"/>
  <c r="DK332" i="55" s="1"/>
  <c r="DJ214" i="55" a="1"/>
  <c r="DJ214" i="55" s="1"/>
  <c r="DJ198" i="55" a="1"/>
  <c r="DJ198" i="55" s="1"/>
  <c r="DJ269" i="55" a="1"/>
  <c r="DJ269" i="55" s="1"/>
  <c r="DN269" i="55" s="1"/>
  <c r="EQ51" i="55"/>
  <c r="DJ270" i="55" a="1"/>
  <c r="DJ270" i="55" s="1"/>
  <c r="DK270" i="55" s="1"/>
  <c r="DJ254" i="55" a="1"/>
  <c r="DJ254" i="55" s="1"/>
  <c r="DJ238" i="55" a="1"/>
  <c r="DJ238" i="55" s="1"/>
  <c r="DK238" i="55" s="1"/>
  <c r="DJ221" i="55" a="1"/>
  <c r="DJ221" i="55" s="1"/>
  <c r="DJ205" i="55" a="1"/>
  <c r="DJ205" i="55" s="1"/>
  <c r="DK205" i="55" s="1"/>
  <c r="DJ189" i="55" a="1"/>
  <c r="DJ189" i="55" s="1"/>
  <c r="DK189" i="55" s="1"/>
  <c r="DJ172" i="55" a="1"/>
  <c r="DJ172" i="55" s="1"/>
  <c r="DK172" i="55" s="1"/>
  <c r="DJ302" i="55" a="1"/>
  <c r="DJ302" i="55" s="1"/>
  <c r="DN302" i="55" s="1"/>
  <c r="DJ253" i="55" a="1"/>
  <c r="DJ253" i="55" s="1"/>
  <c r="DN253" i="55" s="1"/>
  <c r="DJ237" i="55" a="1"/>
  <c r="DJ237" i="55" s="1"/>
  <c r="DN237" i="55" s="1"/>
  <c r="DJ220" i="55" a="1"/>
  <c r="DJ220" i="55" s="1"/>
  <c r="DN220" i="55" s="1"/>
  <c r="DJ204" i="55" a="1"/>
  <c r="DJ204" i="55" s="1"/>
  <c r="DK204" i="55" s="1"/>
  <c r="DJ188" i="55" a="1"/>
  <c r="DJ188" i="55" s="1"/>
  <c r="DN188" i="55" s="1"/>
  <c r="DJ171" i="55" a="1"/>
  <c r="DJ171" i="55" s="1"/>
  <c r="DK171" i="55" s="1"/>
  <c r="DJ329" i="55" a="1"/>
  <c r="DJ329" i="55" s="1"/>
  <c r="DN329" i="55" s="1"/>
  <c r="DJ297" i="55" a="1"/>
  <c r="DJ297" i="55" s="1"/>
  <c r="DN297" i="55" s="1"/>
  <c r="DJ233" i="55" a="1"/>
  <c r="DJ233" i="55" s="1"/>
  <c r="DK233" i="55" s="1"/>
  <c r="DJ185" i="55" a="1"/>
  <c r="DJ185" i="55" s="1"/>
  <c r="DK185" i="55" s="1"/>
  <c r="DJ169" i="55" a="1"/>
  <c r="DJ169" i="55" s="1"/>
  <c r="DK169" i="55" s="1"/>
  <c r="DJ137" i="55" a="1"/>
  <c r="DJ137" i="55" s="1"/>
  <c r="DK137" i="55" s="1"/>
  <c r="DN96" i="55"/>
  <c r="EQ22" i="55"/>
  <c r="DJ94" i="55" a="1"/>
  <c r="DJ94" i="55" s="1"/>
  <c r="DN94" i="55" s="1"/>
  <c r="DJ350" i="55" a="1"/>
  <c r="DJ350" i="55" s="1"/>
  <c r="DK350" i="55" s="1"/>
  <c r="DJ331" i="55" a="1"/>
  <c r="DJ331" i="55" s="1"/>
  <c r="DK331" i="55" s="1"/>
  <c r="DJ278" i="55" a="1"/>
  <c r="DJ278" i="55" s="1"/>
  <c r="DJ262" i="55" a="1"/>
  <c r="DJ262" i="55" s="1"/>
  <c r="DJ131" i="55" a="1"/>
  <c r="DJ131" i="55" s="1"/>
  <c r="DN131" i="55" s="1"/>
  <c r="DJ179" i="55" a="1"/>
  <c r="DJ179" i="55" s="1"/>
  <c r="DK179" i="55" s="1"/>
  <c r="DJ306" i="55" a="1"/>
  <c r="DJ306" i="55" s="1"/>
  <c r="DJ274" i="55" a="1"/>
  <c r="DJ274" i="55" s="1"/>
  <c r="DJ114" i="55" a="1"/>
  <c r="DJ114" i="55" s="1"/>
  <c r="DK114" i="55" s="1"/>
  <c r="DJ82" i="55" a="1"/>
  <c r="DJ82" i="55" s="1"/>
  <c r="DJ66" i="55" a="1"/>
  <c r="DJ66" i="55" s="1"/>
  <c r="DJ349" i="55" a="1"/>
  <c r="DJ349" i="55" s="1"/>
  <c r="DK349" i="55" s="1"/>
  <c r="DJ112" i="55" a="1"/>
  <c r="DJ112" i="55" s="1"/>
  <c r="DN112" i="55" s="1"/>
  <c r="DJ62" i="55" a="1"/>
  <c r="DJ62" i="55" s="1"/>
  <c r="DK62" i="55" s="1"/>
  <c r="DJ305" i="55" a="1"/>
  <c r="DJ305" i="55" s="1"/>
  <c r="DN305" i="55" s="1"/>
  <c r="DJ225" i="55" a="1"/>
  <c r="DJ225" i="55" s="1"/>
  <c r="DN225" i="55" s="1"/>
  <c r="DJ193" i="55" a="1"/>
  <c r="DJ193" i="55" s="1"/>
  <c r="DN193" i="55" s="1"/>
  <c r="DJ161" i="55" a="1"/>
  <c r="DJ161" i="55" s="1"/>
  <c r="DN161" i="55" s="1"/>
  <c r="DJ113" i="55" a="1"/>
  <c r="DJ113" i="55" s="1"/>
  <c r="DN113" i="55" s="1"/>
  <c r="DJ65" i="55" a="1"/>
  <c r="DJ65" i="55" s="1"/>
  <c r="DN65" i="55" s="1"/>
  <c r="EQ42" i="55"/>
  <c r="EQ12" i="55"/>
  <c r="DJ348" i="55" a="1"/>
  <c r="DJ348" i="55" s="1"/>
  <c r="DJ309" i="55" a="1"/>
  <c r="DJ309" i="55" s="1"/>
  <c r="DJ77" i="55" a="1"/>
  <c r="DJ77" i="55" s="1"/>
  <c r="DN77" i="55" s="1"/>
  <c r="DJ61" i="55" a="1"/>
  <c r="DJ61" i="55" s="1"/>
  <c r="DK61" i="55" s="1"/>
  <c r="EQ38" i="55"/>
  <c r="DJ347" i="55" a="1"/>
  <c r="DJ347" i="55" s="1"/>
  <c r="DK347" i="55" s="1"/>
  <c r="DJ110" i="55" a="1"/>
  <c r="DJ110" i="55" s="1"/>
  <c r="DJ93" i="55" a="1"/>
  <c r="DJ93" i="55" s="1"/>
  <c r="DN93" i="55" s="1"/>
  <c r="DJ76" i="55" a="1"/>
  <c r="DJ76" i="55" s="1"/>
  <c r="DK76" i="55" s="1"/>
  <c r="DJ60" i="55" a="1"/>
  <c r="DJ60" i="55" s="1"/>
  <c r="DN60" i="55" s="1"/>
  <c r="EQ6" i="55"/>
  <c r="DX206" i="55"/>
  <c r="DX215" i="55"/>
  <c r="DX45" i="55"/>
  <c r="DV325" i="55"/>
  <c r="BZ325" i="55"/>
  <c r="DV277" i="55"/>
  <c r="BZ277" i="55"/>
  <c r="BR277" i="55"/>
  <c r="DV229" i="55"/>
  <c r="BZ229" i="55"/>
  <c r="DV181" i="55"/>
  <c r="BZ181" i="55"/>
  <c r="BP181" i="55"/>
  <c r="DV149" i="55"/>
  <c r="BZ149" i="55"/>
  <c r="BR149" i="55"/>
  <c r="DV101" i="55"/>
  <c r="BZ101" i="55"/>
  <c r="DV53" i="55"/>
  <c r="CZ53" i="55"/>
  <c r="BZ53" i="55"/>
  <c r="BU226" i="55"/>
  <c r="BT226" i="55"/>
  <c r="BT82" i="55"/>
  <c r="BU82" i="55"/>
  <c r="DX281" i="55"/>
  <c r="CN318" i="55"/>
  <c r="BF318" i="55"/>
  <c r="DT318" i="55" s="1"/>
  <c r="BF254" i="55"/>
  <c r="DT254" i="55" s="1"/>
  <c r="CN254" i="55"/>
  <c r="BF190" i="55"/>
  <c r="DT190" i="55" s="1"/>
  <c r="CN190" i="55"/>
  <c r="CN126" i="55"/>
  <c r="BF126" i="55"/>
  <c r="DT126" i="55" s="1"/>
  <c r="BF62" i="55"/>
  <c r="DT62" i="55" s="1"/>
  <c r="CN62" i="55"/>
  <c r="DY248" i="55"/>
  <c r="DR248" i="55"/>
  <c r="BE248" i="55"/>
  <c r="C248" i="55" s="1"/>
  <c r="DV324" i="55"/>
  <c r="BZ324" i="55"/>
  <c r="BP324" i="55"/>
  <c r="DV68" i="55"/>
  <c r="BZ68" i="55"/>
  <c r="BR68" i="55"/>
  <c r="EB68" i="55" s="1"/>
  <c r="BP68" i="55"/>
  <c r="DX341" i="55"/>
  <c r="CY341" i="55"/>
  <c r="CY342" i="55" s="1"/>
  <c r="CZ342" i="55" s="1"/>
  <c r="EK341" i="55"/>
  <c r="DX311" i="55"/>
  <c r="DX262" i="55"/>
  <c r="BZ309" i="55"/>
  <c r="DV309" i="55"/>
  <c r="BR309" i="55"/>
  <c r="DV213" i="55"/>
  <c r="BZ213" i="55"/>
  <c r="BP213" i="55"/>
  <c r="DV69" i="55"/>
  <c r="BZ69" i="55"/>
  <c r="BR69" i="55"/>
  <c r="BU306" i="55"/>
  <c r="BT306" i="55"/>
  <c r="BU146" i="55"/>
  <c r="BT146" i="55"/>
  <c r="DX330" i="55"/>
  <c r="CY330" i="55"/>
  <c r="CY331" i="55" s="1"/>
  <c r="EK330" i="55"/>
  <c r="DX291" i="55"/>
  <c r="CY53" i="55"/>
  <c r="CY54" i="55" s="1"/>
  <c r="CZ54" i="55" s="1"/>
  <c r="DX53" i="55"/>
  <c r="CN350" i="55"/>
  <c r="BF350" i="55"/>
  <c r="DT350" i="55" s="1"/>
  <c r="BF286" i="55"/>
  <c r="DT286" i="55" s="1"/>
  <c r="CN222" i="55"/>
  <c r="CN174" i="55"/>
  <c r="BM174" i="55" s="1" a="1"/>
  <c r="BM174" i="55" s="1"/>
  <c r="CA174" i="55" s="1"/>
  <c r="BF174" i="55"/>
  <c r="CN110" i="55"/>
  <c r="CN30" i="55"/>
  <c r="BF30" i="55"/>
  <c r="DY312" i="55"/>
  <c r="DZ312" i="55" s="1"/>
  <c r="DR312" i="55"/>
  <c r="BE312" i="55"/>
  <c r="C312" i="55" s="1"/>
  <c r="DR280" i="55"/>
  <c r="DY280" i="55"/>
  <c r="DZ280" i="55" s="1"/>
  <c r="C280" i="55"/>
  <c r="BE280" i="55"/>
  <c r="GD280" i="55" s="1"/>
  <c r="DY216" i="55"/>
  <c r="DZ216" i="55" s="1"/>
  <c r="DR216" i="55"/>
  <c r="BE216" i="55"/>
  <c r="GD216" i="55" s="1"/>
  <c r="DY184" i="55"/>
  <c r="DZ184" i="55" s="1"/>
  <c r="DR184" i="55"/>
  <c r="BE184" i="55"/>
  <c r="GD184" i="55" s="1"/>
  <c r="DY152" i="55"/>
  <c r="DZ152" i="55" s="1"/>
  <c r="DR152" i="55"/>
  <c r="BE152" i="55"/>
  <c r="GD152" i="55" s="1"/>
  <c r="DY120" i="55"/>
  <c r="DR120" i="55"/>
  <c r="DZ120" i="55"/>
  <c r="BE120" i="55"/>
  <c r="DR88" i="55"/>
  <c r="DY88" i="55"/>
  <c r="DZ88" i="55"/>
  <c r="BE88" i="55"/>
  <c r="GD88" i="55" s="1"/>
  <c r="DR40" i="55"/>
  <c r="DY40" i="55"/>
  <c r="C40" i="55"/>
  <c r="BE40" i="55"/>
  <c r="GD40" i="55" s="1"/>
  <c r="DR8" i="55"/>
  <c r="BE8" i="55"/>
  <c r="C8" i="55" s="1"/>
  <c r="DV292" i="55"/>
  <c r="BZ292" i="55"/>
  <c r="BR292" i="55"/>
  <c r="BP292" i="55"/>
  <c r="DV244" i="55"/>
  <c r="BZ244" i="55"/>
  <c r="BR244" i="55"/>
  <c r="DV196" i="55"/>
  <c r="BZ196" i="55"/>
  <c r="BP196" i="55"/>
  <c r="DV148" i="55"/>
  <c r="BZ148" i="55"/>
  <c r="BR148" i="55"/>
  <c r="DV100" i="55"/>
  <c r="BZ100" i="55"/>
  <c r="BR100" i="55"/>
  <c r="DV52" i="55"/>
  <c r="BZ52" i="55"/>
  <c r="BU49" i="55"/>
  <c r="BT49" i="55"/>
  <c r="DN135" i="55"/>
  <c r="DX301" i="55"/>
  <c r="DX282" i="55"/>
  <c r="DX104" i="55"/>
  <c r="DX84" i="55"/>
  <c r="DX74" i="55"/>
  <c r="DX35" i="55"/>
  <c r="DX16" i="55"/>
  <c r="DV341" i="55"/>
  <c r="BZ341" i="55"/>
  <c r="CZ341" i="55"/>
  <c r="DV293" i="55"/>
  <c r="BZ293" i="55"/>
  <c r="BR293" i="55"/>
  <c r="BP293" i="55"/>
  <c r="BZ245" i="55"/>
  <c r="DV245" i="55"/>
  <c r="BR245" i="55"/>
  <c r="DV197" i="55"/>
  <c r="BZ197" i="55"/>
  <c r="DV165" i="55"/>
  <c r="BZ165" i="55"/>
  <c r="BR165" i="55"/>
  <c r="DV133" i="55"/>
  <c r="BZ133" i="55"/>
  <c r="DV85" i="55"/>
  <c r="CZ85" i="55"/>
  <c r="BZ85" i="55"/>
  <c r="BR85" i="55"/>
  <c r="BZ37" i="55"/>
  <c r="BP37" i="55"/>
  <c r="BU322" i="55"/>
  <c r="BT322" i="55"/>
  <c r="BU210" i="55"/>
  <c r="BT210" i="55"/>
  <c r="DX310" i="55"/>
  <c r="DX270" i="55"/>
  <c r="DX94" i="55"/>
  <c r="CN302" i="55"/>
  <c r="BM302" i="55" a="1"/>
  <c r="BM302" i="55" s="1"/>
  <c r="CA302" i="55" s="1"/>
  <c r="BF302" i="55"/>
  <c r="CN238" i="55"/>
  <c r="BF238" i="55"/>
  <c r="DT238" i="55" s="1"/>
  <c r="CN158" i="55"/>
  <c r="BF158" i="55"/>
  <c r="DT158" i="55" s="1"/>
  <c r="CN94" i="55"/>
  <c r="CN46" i="55"/>
  <c r="BF46" i="55"/>
  <c r="DY328" i="55"/>
  <c r="DZ328" i="55" s="1"/>
  <c r="DR328" i="55"/>
  <c r="BE328" i="55"/>
  <c r="GD328" i="55" s="1"/>
  <c r="DR296" i="55"/>
  <c r="DY296" i="55"/>
  <c r="DZ296" i="55" s="1"/>
  <c r="BE296" i="55"/>
  <c r="C296" i="55" s="1"/>
  <c r="DR232" i="55"/>
  <c r="DY232" i="55"/>
  <c r="BE232" i="55"/>
  <c r="GD232" i="55" s="1"/>
  <c r="DY200" i="55"/>
  <c r="DR200" i="55"/>
  <c r="BE200" i="55"/>
  <c r="GD200" i="55" s="1"/>
  <c r="DY168" i="55"/>
  <c r="DZ168" i="55" s="1"/>
  <c r="DR168" i="55"/>
  <c r="BE168" i="55"/>
  <c r="DR104" i="55"/>
  <c r="DY104" i="55"/>
  <c r="BE104" i="55"/>
  <c r="GD104" i="55" s="1"/>
  <c r="DY72" i="55"/>
  <c r="DR72" i="55"/>
  <c r="BE72" i="55"/>
  <c r="C72" i="55" s="1"/>
  <c r="DY56" i="55"/>
  <c r="DZ56" i="55" s="1"/>
  <c r="DR56" i="55"/>
  <c r="BE56" i="55"/>
  <c r="C56" i="55" s="1"/>
  <c r="GD24" i="55"/>
  <c r="DR24" i="55"/>
  <c r="DV308" i="55"/>
  <c r="BZ308" i="55"/>
  <c r="DV260" i="55"/>
  <c r="BZ260" i="55"/>
  <c r="BP260" i="55"/>
  <c r="DV212" i="55"/>
  <c r="BZ212" i="55"/>
  <c r="DV164" i="55"/>
  <c r="BZ164" i="55"/>
  <c r="BR164" i="55"/>
  <c r="DV116" i="55"/>
  <c r="BZ116" i="55"/>
  <c r="DV36" i="55"/>
  <c r="BZ36" i="55"/>
  <c r="BP36" i="55"/>
  <c r="BR36" i="55"/>
  <c r="DK77" i="55"/>
  <c r="DX331" i="55"/>
  <c r="DX271" i="55"/>
  <c r="DX54" i="55"/>
  <c r="DX25" i="55"/>
  <c r="CW255" i="55"/>
  <c r="CU255" i="55"/>
  <c r="CP255" i="55"/>
  <c r="CT255" i="55"/>
  <c r="DV261" i="55"/>
  <c r="BZ261" i="55"/>
  <c r="BP261" i="55"/>
  <c r="DV117" i="55"/>
  <c r="BZ117" i="55"/>
  <c r="BU338" i="55"/>
  <c r="BT338" i="55"/>
  <c r="BU290" i="55"/>
  <c r="BT290" i="55"/>
  <c r="BU162" i="55"/>
  <c r="BT162" i="55"/>
  <c r="DB53" i="55"/>
  <c r="DA53" i="55" a="1"/>
  <c r="DA53" i="55" s="1"/>
  <c r="DC53" i="55" s="1"/>
  <c r="DX103" i="55"/>
  <c r="DX44" i="55"/>
  <c r="CN334" i="55"/>
  <c r="BF334" i="55"/>
  <c r="DT334" i="55" s="1"/>
  <c r="BM334" i="55" a="1"/>
  <c r="BM334" i="55" s="1"/>
  <c r="CA334" i="55" s="1"/>
  <c r="CN270" i="55"/>
  <c r="BF270" i="55"/>
  <c r="DT270" i="55" s="1"/>
  <c r="BF206" i="55"/>
  <c r="DT206" i="55" s="1"/>
  <c r="CN206" i="55"/>
  <c r="CN142" i="55"/>
  <c r="CN78" i="55"/>
  <c r="BF78" i="55"/>
  <c r="DT78" i="55" s="1"/>
  <c r="CN14" i="55"/>
  <c r="DR344" i="55"/>
  <c r="BE344" i="55"/>
  <c r="GD344" i="55" s="1"/>
  <c r="DY344" i="55"/>
  <c r="DY264" i="55"/>
  <c r="DR264" i="55"/>
  <c r="BE264" i="55"/>
  <c r="C264" i="55" s="1"/>
  <c r="DY136" i="55"/>
  <c r="DR136" i="55"/>
  <c r="BE136" i="55"/>
  <c r="C136" i="55" s="1"/>
  <c r="DZ136" i="55"/>
  <c r="DV340" i="55"/>
  <c r="BZ340" i="55"/>
  <c r="BP340" i="55"/>
  <c r="DV276" i="55"/>
  <c r="BZ276" i="55"/>
  <c r="DV228" i="55"/>
  <c r="BZ228" i="55"/>
  <c r="BR228" i="55"/>
  <c r="DV180" i="55"/>
  <c r="BZ180" i="55"/>
  <c r="DV132" i="55"/>
  <c r="BZ132" i="55"/>
  <c r="DV84" i="55"/>
  <c r="BZ84" i="55"/>
  <c r="CZ84" i="55"/>
  <c r="DA51" i="55" a="1"/>
  <c r="DA51" i="55" s="1"/>
  <c r="BU74" i="55"/>
  <c r="BT74" i="55"/>
  <c r="DX340" i="55"/>
  <c r="DX309" i="55"/>
  <c r="DX83" i="55"/>
  <c r="CF335" i="55"/>
  <c r="CG335" i="55" s="1"/>
  <c r="CF255" i="55"/>
  <c r="CG255" i="55"/>
  <c r="CF207" i="55"/>
  <c r="CG207" i="55" s="1"/>
  <c r="CF95" i="55"/>
  <c r="CG95" i="55" s="1"/>
  <c r="DX350" i="55"/>
  <c r="DX319" i="55"/>
  <c r="DX290" i="55"/>
  <c r="DX62" i="55"/>
  <c r="DX112" i="55"/>
  <c r="DX349" i="55"/>
  <c r="BT170" i="55"/>
  <c r="BU170" i="55"/>
  <c r="DX100" i="55"/>
  <c r="DX32" i="55"/>
  <c r="BU256" i="55"/>
  <c r="BT256" i="55"/>
  <c r="AY321" i="55"/>
  <c r="E321" i="55" s="1"/>
  <c r="AZ321" i="55" s="1"/>
  <c r="AY191" i="55"/>
  <c r="E191" i="55" s="1"/>
  <c r="AZ191" i="55" s="1"/>
  <c r="BU91" i="55"/>
  <c r="DX351" i="55"/>
  <c r="DX300" i="55"/>
  <c r="DX231" i="55"/>
  <c r="EK102" i="55"/>
  <c r="DX102" i="55"/>
  <c r="CY102" i="55"/>
  <c r="CY103" i="55" s="1"/>
  <c r="CF303" i="55"/>
  <c r="CG303" i="55" s="1"/>
  <c r="CF63" i="55"/>
  <c r="DB85" i="55"/>
  <c r="DA85" i="55" a="1"/>
  <c r="DA85" i="55" s="1"/>
  <c r="DA49" i="55" a="1"/>
  <c r="DA49" i="55" s="1"/>
  <c r="BT199" i="55"/>
  <c r="BU199" i="55"/>
  <c r="BU73" i="55"/>
  <c r="BT73" i="55"/>
  <c r="DK92" i="55"/>
  <c r="DN92" i="55"/>
  <c r="CO104" i="55"/>
  <c r="CU104" i="55"/>
  <c r="CR104" i="55"/>
  <c r="CT104" i="55"/>
  <c r="CP104" i="55"/>
  <c r="CV104" i="55"/>
  <c r="DA148" i="55" a="1"/>
  <c r="DA148" i="55" s="1"/>
  <c r="DB148" i="55"/>
  <c r="DX131" i="55"/>
  <c r="CY131" i="55"/>
  <c r="DX110" i="55"/>
  <c r="DT200" i="55"/>
  <c r="BF94" i="55"/>
  <c r="DT94" i="55" s="1"/>
  <c r="DB198" i="55"/>
  <c r="DA198" i="55" a="1"/>
  <c r="DA198" i="55" s="1"/>
  <c r="BT315" i="55"/>
  <c r="BU315" i="55"/>
  <c r="BW173" i="55"/>
  <c r="CI173" i="55" s="1"/>
  <c r="AY173" i="55"/>
  <c r="E173" i="55" s="1"/>
  <c r="AZ173" i="55" s="1"/>
  <c r="CF351" i="55"/>
  <c r="CF287" i="55"/>
  <c r="CG287" i="55" s="1"/>
  <c r="CF239" i="55"/>
  <c r="CG239" i="55" s="1"/>
  <c r="CF175" i="55"/>
  <c r="CG175" i="55" s="1"/>
  <c r="CF143" i="55"/>
  <c r="CG143" i="55"/>
  <c r="CF111" i="55"/>
  <c r="CG111" i="55" s="1"/>
  <c r="CF31" i="55"/>
  <c r="CH31" i="55" s="1"/>
  <c r="BT10" i="55"/>
  <c r="BU10" i="55"/>
  <c r="DX72" i="55"/>
  <c r="DX43" i="55"/>
  <c r="DB325" i="55"/>
  <c r="DA325" i="55" a="1"/>
  <c r="DA325" i="55" s="1"/>
  <c r="CU204" i="55"/>
  <c r="CS204" i="55"/>
  <c r="CV204" i="55"/>
  <c r="CT204" i="55"/>
  <c r="CP204" i="55"/>
  <c r="DB108" i="55"/>
  <c r="DA108" i="55" a="1"/>
  <c r="DA108" i="55" s="1"/>
  <c r="DX339" i="55"/>
  <c r="BF110" i="55"/>
  <c r="BU279" i="55"/>
  <c r="BT279" i="55"/>
  <c r="CG279" i="55"/>
  <c r="CN286" i="55"/>
  <c r="DA147" i="55" a="1"/>
  <c r="DA147" i="55" s="1"/>
  <c r="DB147" i="55"/>
  <c r="BT91" i="55"/>
  <c r="BN96" i="55" a="1"/>
  <c r="BN96" i="55" s="1"/>
  <c r="DU96" i="55" s="1"/>
  <c r="DK54" i="55"/>
  <c r="DX93" i="55"/>
  <c r="DX63" i="55"/>
  <c r="DV17" i="55"/>
  <c r="BR17" i="55"/>
  <c r="BZ17" i="55"/>
  <c r="CG319" i="55"/>
  <c r="CF319" i="55"/>
  <c r="CF271" i="55"/>
  <c r="CF223" i="55"/>
  <c r="CF191" i="55"/>
  <c r="CG191" i="55" s="1"/>
  <c r="CF159" i="55"/>
  <c r="CG159" i="55" s="1"/>
  <c r="CF127" i="55"/>
  <c r="CF79" i="55"/>
  <c r="CG79" i="55" s="1"/>
  <c r="CF47" i="55"/>
  <c r="CG47" i="55" s="1"/>
  <c r="BU48" i="55"/>
  <c r="BT48" i="55"/>
  <c r="CJ48" i="55"/>
  <c r="CW120" i="55"/>
  <c r="DX280" i="55"/>
  <c r="DX52" i="55"/>
  <c r="BT137" i="55"/>
  <c r="BU137" i="55"/>
  <c r="CJ112" i="55"/>
  <c r="BU112" i="55"/>
  <c r="BT112" i="55"/>
  <c r="CU108" i="55"/>
  <c r="CV108" i="55"/>
  <c r="CT108" i="55"/>
  <c r="CP108" i="55"/>
  <c r="CR108" i="55"/>
  <c r="CO108" i="55"/>
  <c r="DN294" i="55"/>
  <c r="DX101" i="55"/>
  <c r="DB48" i="55"/>
  <c r="DA48" i="55" a="1"/>
  <c r="DA48" i="55" s="1"/>
  <c r="DC48" i="55" s="1"/>
  <c r="BU174" i="55"/>
  <c r="BT174" i="55"/>
  <c r="BT135" i="55"/>
  <c r="BU135" i="55"/>
  <c r="GT282" i="55"/>
  <c r="DX279" i="55"/>
  <c r="DX151" i="55"/>
  <c r="DX111" i="55"/>
  <c r="DX91" i="55"/>
  <c r="BU318" i="55"/>
  <c r="BT318" i="55"/>
  <c r="BT198" i="55"/>
  <c r="BU198" i="55"/>
  <c r="CG198" i="55"/>
  <c r="BW240" i="55"/>
  <c r="AY240" i="55"/>
  <c r="E240" i="55" s="1"/>
  <c r="AZ240" i="55" s="1"/>
  <c r="DX120" i="55"/>
  <c r="DA113" i="55" a="1"/>
  <c r="DA113" i="55" s="1"/>
  <c r="DB113" i="55"/>
  <c r="BT139" i="55"/>
  <c r="BU139" i="55"/>
  <c r="DX189" i="55"/>
  <c r="DX169" i="55"/>
  <c r="DX139" i="55"/>
  <c r="DX109" i="55"/>
  <c r="DA196" i="55" a="1"/>
  <c r="DA196" i="55" s="1"/>
  <c r="DB196" i="55"/>
  <c r="BE24" i="55"/>
  <c r="C24" i="55" s="1"/>
  <c r="DB241" i="55"/>
  <c r="DA241" i="55" a="1"/>
  <c r="DA241" i="55" s="1"/>
  <c r="DX197" i="55"/>
  <c r="DX168" i="55"/>
  <c r="DX138" i="55"/>
  <c r="DB301" i="55"/>
  <c r="DA301" i="55" a="1"/>
  <c r="DA301" i="55" s="1"/>
  <c r="BF222" i="55"/>
  <c r="DT222" i="55" s="1"/>
  <c r="BT19" i="55"/>
  <c r="BU19" i="55"/>
  <c r="DB300" i="55"/>
  <c r="DA300" i="55" a="1"/>
  <c r="DA300" i="55" s="1"/>
  <c r="DA239" i="55" a="1"/>
  <c r="DA239" i="55" s="1"/>
  <c r="DB239" i="55"/>
  <c r="BM239" i="55" a="1"/>
  <c r="BM239" i="55" s="1"/>
  <c r="CA239" i="55" s="1"/>
  <c r="DN95" i="55"/>
  <c r="DK95" i="55"/>
  <c r="DY53" i="55"/>
  <c r="DX334" i="55"/>
  <c r="DX274" i="55"/>
  <c r="DX264" i="55"/>
  <c r="DX254" i="55"/>
  <c r="DX216" i="55"/>
  <c r="DX196" i="55"/>
  <c r="DX176" i="55"/>
  <c r="DX157" i="55"/>
  <c r="DX77" i="55"/>
  <c r="BW284" i="55"/>
  <c r="CJ284" i="55" s="1"/>
  <c r="AY236" i="55"/>
  <c r="E236" i="55" s="1"/>
  <c r="AZ236" i="55" s="1"/>
  <c r="DT143" i="55"/>
  <c r="BP45" i="55"/>
  <c r="BR45" i="55"/>
  <c r="BP29" i="55"/>
  <c r="BR29" i="55"/>
  <c r="CG29" i="55"/>
  <c r="BU37" i="55"/>
  <c r="BT37" i="55"/>
  <c r="DA297" i="55" a="1"/>
  <c r="DA297" i="55" s="1"/>
  <c r="DB297" i="55"/>
  <c r="DA238" i="55" a="1"/>
  <c r="DA238" i="55" s="1"/>
  <c r="DB238" i="55"/>
  <c r="BM255" i="55" a="1"/>
  <c r="BM255" i="55" s="1"/>
  <c r="BP117" i="55"/>
  <c r="DX159" i="55"/>
  <c r="EK130" i="55"/>
  <c r="ET130" i="55"/>
  <c r="DX130" i="55"/>
  <c r="CY130" i="55"/>
  <c r="DA144" i="55" a="1"/>
  <c r="DA144" i="55" s="1"/>
  <c r="DB144" i="55"/>
  <c r="BT32" i="55"/>
  <c r="BU32" i="55"/>
  <c r="DX198" i="55"/>
  <c r="DX188" i="55"/>
  <c r="DX178" i="55"/>
  <c r="DX129" i="55"/>
  <c r="DX119" i="55"/>
  <c r="CI94" i="55"/>
  <c r="DX256" i="55"/>
  <c r="DX208" i="55"/>
  <c r="DT145" i="55"/>
  <c r="CQ145" i="55"/>
  <c r="DN97" i="55"/>
  <c r="DK97" i="55"/>
  <c r="AY216" i="55"/>
  <c r="E216" i="55" s="1"/>
  <c r="AZ216" i="55" s="1"/>
  <c r="DX333" i="55"/>
  <c r="DX273" i="55"/>
  <c r="DX253" i="55"/>
  <c r="DX117" i="55"/>
  <c r="DX86" i="55"/>
  <c r="DX27" i="55"/>
  <c r="GK347" i="55"/>
  <c r="GL347" i="55" s="1"/>
  <c r="DW347" i="55"/>
  <c r="EA347" i="55"/>
  <c r="DF347" i="55"/>
  <c r="BW347" i="55"/>
  <c r="CI347" i="55" s="1"/>
  <c r="BL347" i="55"/>
  <c r="AY347" i="55"/>
  <c r="CE347" i="55"/>
  <c r="GK331" i="55"/>
  <c r="GL331" i="55" s="1"/>
  <c r="EA331" i="55"/>
  <c r="DF331" i="55"/>
  <c r="BL331" i="55"/>
  <c r="CE331" i="55"/>
  <c r="DW331" i="55"/>
  <c r="GK315" i="55"/>
  <c r="GL315" i="55" s="1"/>
  <c r="EA315" i="55"/>
  <c r="DW315" i="55"/>
  <c r="DF315" i="55"/>
  <c r="BL315" i="55"/>
  <c r="BM315" i="55" s="1" a="1"/>
  <c r="BM315" i="55" s="1"/>
  <c r="CA315" i="55" s="1"/>
  <c r="BW315" i="55"/>
  <c r="CI315" i="55" s="1"/>
  <c r="CE315" i="55"/>
  <c r="AY315" i="55"/>
  <c r="GK299" i="55"/>
  <c r="GL299" i="55" s="1"/>
  <c r="DF299" i="55"/>
  <c r="EA299" i="55"/>
  <c r="BL299" i="55"/>
  <c r="DW299" i="55"/>
  <c r="CE299" i="55"/>
  <c r="DQ283" i="55"/>
  <c r="DW283" i="55"/>
  <c r="CE283" i="55"/>
  <c r="BL283" i="55"/>
  <c r="DF283" i="55"/>
  <c r="BW283" i="55"/>
  <c r="CI283" i="55" s="1"/>
  <c r="AY283" i="55"/>
  <c r="GK267" i="55"/>
  <c r="GL267" i="55" s="1"/>
  <c r="EA267" i="55"/>
  <c r="DF267" i="55"/>
  <c r="DW267" i="55"/>
  <c r="BL267" i="55"/>
  <c r="CE267" i="55"/>
  <c r="GK251" i="55"/>
  <c r="GL251" i="55" s="1"/>
  <c r="EA251" i="55"/>
  <c r="DW251" i="55"/>
  <c r="DF251" i="55"/>
  <c r="BL251" i="55"/>
  <c r="BW251" i="55"/>
  <c r="CI251" i="55" s="1"/>
  <c r="AY251" i="55"/>
  <c r="E251" i="55" s="1"/>
  <c r="AZ251" i="55" s="1"/>
  <c r="CE251" i="55"/>
  <c r="GK235" i="55"/>
  <c r="GL235" i="55" s="1"/>
  <c r="EA235" i="55"/>
  <c r="DW235" i="55"/>
  <c r="DF235" i="55"/>
  <c r="BL235" i="55"/>
  <c r="BW235" i="55"/>
  <c r="CI235" i="55" s="1"/>
  <c r="CE235" i="55"/>
  <c r="AY235" i="55"/>
  <c r="GK219" i="55"/>
  <c r="GL219" i="55" s="1"/>
  <c r="EA219" i="55"/>
  <c r="DW219" i="55"/>
  <c r="DF219" i="55"/>
  <c r="BW219" i="55"/>
  <c r="CI219" i="55" s="1"/>
  <c r="BL219" i="55"/>
  <c r="CE219" i="55"/>
  <c r="GK203" i="55"/>
  <c r="GL203" i="55" s="1"/>
  <c r="EA203" i="55"/>
  <c r="DW203" i="55"/>
  <c r="CE203" i="55"/>
  <c r="BW203" i="55"/>
  <c r="CI203" i="55" s="1"/>
  <c r="BL203" i="55"/>
  <c r="DF203" i="55"/>
  <c r="GK187" i="55"/>
  <c r="GL187" i="55" s="1"/>
  <c r="EA187" i="55"/>
  <c r="DW187" i="55"/>
  <c r="DF187" i="55"/>
  <c r="CE187" i="55"/>
  <c r="BL187" i="55"/>
  <c r="BW187" i="55"/>
  <c r="CI187" i="55" s="1"/>
  <c r="AY187" i="55"/>
  <c r="E187" i="55" s="1"/>
  <c r="AZ187" i="55" s="1"/>
  <c r="GK171" i="55"/>
  <c r="GL171" i="55" s="1"/>
  <c r="EA171" i="55"/>
  <c r="DW171" i="55"/>
  <c r="DF171" i="55"/>
  <c r="BL171" i="55"/>
  <c r="BW171" i="55"/>
  <c r="CI171" i="55" s="1"/>
  <c r="CE171" i="55"/>
  <c r="GK155" i="55"/>
  <c r="GL155" i="55" s="1"/>
  <c r="EA155" i="55"/>
  <c r="DW155" i="55"/>
  <c r="DF155" i="55"/>
  <c r="BL155" i="55"/>
  <c r="CE155" i="55"/>
  <c r="BW155" i="55"/>
  <c r="CI155" i="55" s="1"/>
  <c r="GK139" i="55"/>
  <c r="GL139" i="55" s="1"/>
  <c r="EA139" i="55"/>
  <c r="DW139" i="55"/>
  <c r="DF139" i="55"/>
  <c r="BL139" i="55"/>
  <c r="BW139" i="55"/>
  <c r="CI139" i="55" s="1"/>
  <c r="AY139" i="55"/>
  <c r="CE139" i="55"/>
  <c r="GK123" i="55"/>
  <c r="GL123" i="55" s="1"/>
  <c r="DW123" i="55"/>
  <c r="CE123" i="55"/>
  <c r="BL123" i="55"/>
  <c r="BW123" i="55"/>
  <c r="EA123" i="55"/>
  <c r="AY123" i="55"/>
  <c r="DF123" i="55"/>
  <c r="GK107" i="55"/>
  <c r="GL107" i="55" s="1"/>
  <c r="DW107" i="55"/>
  <c r="DF107" i="55"/>
  <c r="BW107" i="55"/>
  <c r="BL107" i="55"/>
  <c r="EA107" i="55"/>
  <c r="CE107" i="55"/>
  <c r="AY107" i="55"/>
  <c r="GK91" i="55"/>
  <c r="GL91" i="55" s="1"/>
  <c r="EA91" i="55"/>
  <c r="BW91" i="55"/>
  <c r="CJ91" i="55" s="1"/>
  <c r="DF91" i="55"/>
  <c r="CE91" i="55"/>
  <c r="BL91" i="55"/>
  <c r="DW91" i="55"/>
  <c r="AY91" i="55"/>
  <c r="GK75" i="55"/>
  <c r="GL75" i="55" s="1"/>
  <c r="EA75" i="55"/>
  <c r="DW75" i="55"/>
  <c r="DF75" i="55"/>
  <c r="CE75" i="55"/>
  <c r="BW75" i="55"/>
  <c r="CI75" i="55" s="1"/>
  <c r="BL75" i="55"/>
  <c r="GK59" i="55"/>
  <c r="GL59" i="55" s="1"/>
  <c r="EA59" i="55"/>
  <c r="DF59" i="55"/>
  <c r="DW59" i="55"/>
  <c r="CE59" i="55"/>
  <c r="BL59" i="55"/>
  <c r="AY59" i="55"/>
  <c r="BW59" i="55"/>
  <c r="CI59" i="55" s="1"/>
  <c r="GK43" i="55"/>
  <c r="GL43" i="55" s="1"/>
  <c r="EA43" i="55"/>
  <c r="DW43" i="55"/>
  <c r="DF43" i="55"/>
  <c r="BL43" i="55"/>
  <c r="BW43" i="55"/>
  <c r="AY43" i="55"/>
  <c r="E43" i="55" s="1"/>
  <c r="AZ43" i="55" s="1"/>
  <c r="CE43" i="55"/>
  <c r="DQ27" i="55"/>
  <c r="DF27" i="55"/>
  <c r="DW27" i="55"/>
  <c r="CE27" i="55"/>
  <c r="BL27" i="55"/>
  <c r="BJ27" i="55"/>
  <c r="BW27" i="55"/>
  <c r="BI27" i="55"/>
  <c r="BK27" i="55"/>
  <c r="GK11" i="55"/>
  <c r="GL11" i="55" s="1"/>
  <c r="DF11" i="55"/>
  <c r="EA11" i="55"/>
  <c r="DW11" i="55"/>
  <c r="CE11" i="55"/>
  <c r="BW11" i="55"/>
  <c r="BL11" i="55"/>
  <c r="BJ11" i="55"/>
  <c r="BI11" i="55"/>
  <c r="BK11" i="55"/>
  <c r="AW345" i="55"/>
  <c r="AX345" i="55" s="1"/>
  <c r="AV345" i="55"/>
  <c r="AW329" i="55"/>
  <c r="AX329" i="55" s="1"/>
  <c r="AV329" i="55"/>
  <c r="BW329" i="55" s="1"/>
  <c r="AW313" i="55"/>
  <c r="AX313" i="55" s="1"/>
  <c r="AV313" i="55"/>
  <c r="AW297" i="55"/>
  <c r="AX297" i="55" s="1"/>
  <c r="AV297" i="55"/>
  <c r="AW281" i="55"/>
  <c r="AX281" i="55" s="1"/>
  <c r="AY281" i="55" s="1"/>
  <c r="E281" i="55" s="1"/>
  <c r="AZ281" i="55" s="1"/>
  <c r="AV281" i="55"/>
  <c r="AW265" i="55"/>
  <c r="AX265" i="55" s="1"/>
  <c r="AV265" i="55"/>
  <c r="BW265" i="55" s="1"/>
  <c r="CI265" i="55" s="1"/>
  <c r="AW249" i="55"/>
  <c r="AX249" i="55" s="1"/>
  <c r="AV249" i="55"/>
  <c r="AW233" i="55"/>
  <c r="AX233" i="55" s="1"/>
  <c r="AV233" i="55"/>
  <c r="AW217" i="55"/>
  <c r="AX217" i="55" s="1"/>
  <c r="AV217" i="55"/>
  <c r="BW217" i="55" s="1"/>
  <c r="CI217" i="55" s="1"/>
  <c r="AW201" i="55"/>
  <c r="AX201" i="55" s="1"/>
  <c r="AV201" i="55"/>
  <c r="AW185" i="55"/>
  <c r="AX185" i="55" s="1"/>
  <c r="AV185" i="55"/>
  <c r="AW169" i="55"/>
  <c r="AX169" i="55" s="1"/>
  <c r="AV169" i="55"/>
  <c r="AY169" i="55" s="1"/>
  <c r="E169" i="55" s="1"/>
  <c r="AZ169" i="55" s="1"/>
  <c r="AW153" i="55"/>
  <c r="AX153" i="55" s="1"/>
  <c r="AV153" i="55"/>
  <c r="AY153" i="55" s="1"/>
  <c r="AW137" i="55"/>
  <c r="AX137" i="55" s="1"/>
  <c r="AV137" i="55"/>
  <c r="BW137" i="55" s="1"/>
  <c r="CI137" i="55" s="1"/>
  <c r="AW121" i="55"/>
  <c r="AX121" i="55" s="1"/>
  <c r="AV121" i="55"/>
  <c r="BW121" i="55" s="1"/>
  <c r="CI121" i="55" s="1"/>
  <c r="AW105" i="55"/>
  <c r="AX105" i="55" s="1"/>
  <c r="AV105" i="55"/>
  <c r="AW89" i="55"/>
  <c r="AX89" i="55" s="1"/>
  <c r="AV89" i="55"/>
  <c r="AW73" i="55"/>
  <c r="AX73" i="55" s="1"/>
  <c r="AV73" i="55"/>
  <c r="AW57" i="55"/>
  <c r="AX57" i="55" s="1"/>
  <c r="AV57" i="55"/>
  <c r="AW41" i="55"/>
  <c r="AX41" i="55" s="1"/>
  <c r="AV41" i="55"/>
  <c r="BW41" i="55" s="1"/>
  <c r="CI41" i="55" s="1"/>
  <c r="AW25" i="55"/>
  <c r="AX25" i="55" s="1"/>
  <c r="AV25" i="55"/>
  <c r="AW9" i="55"/>
  <c r="AX9" i="55" s="1"/>
  <c r="AV9" i="55"/>
  <c r="BF142" i="55"/>
  <c r="BP349" i="55"/>
  <c r="BR349" i="55"/>
  <c r="BP333" i="55"/>
  <c r="BR333" i="55"/>
  <c r="EB333" i="55" s="1"/>
  <c r="BP317" i="55"/>
  <c r="BR317" i="55"/>
  <c r="EB317" i="55" s="1"/>
  <c r="CG317" i="55"/>
  <c r="BP301" i="55"/>
  <c r="BR301" i="55"/>
  <c r="EB301" i="55" s="1"/>
  <c r="CG301" i="55"/>
  <c r="BP285" i="55"/>
  <c r="BR285" i="55"/>
  <c r="EB285" i="55" s="1"/>
  <c r="BP269" i="55"/>
  <c r="CG269" i="55"/>
  <c r="BP253" i="55"/>
  <c r="BR253" i="55"/>
  <c r="EB253" i="55" s="1"/>
  <c r="BP237" i="55"/>
  <c r="BR237" i="55"/>
  <c r="BP221" i="55"/>
  <c r="BR221" i="55"/>
  <c r="EB221" i="55" s="1"/>
  <c r="BP205" i="55"/>
  <c r="BR205" i="55"/>
  <c r="EB205" i="55" s="1"/>
  <c r="BP189" i="55"/>
  <c r="BR189" i="55"/>
  <c r="BP173" i="55"/>
  <c r="CG173" i="55"/>
  <c r="BR173" i="55"/>
  <c r="BP157" i="55"/>
  <c r="CG157" i="55"/>
  <c r="BR157" i="55"/>
  <c r="EB157" i="55" s="1"/>
  <c r="BP141" i="55"/>
  <c r="BR141" i="55"/>
  <c r="EB141" i="55" s="1"/>
  <c r="BP125" i="55"/>
  <c r="CG125" i="55"/>
  <c r="BR125" i="55"/>
  <c r="BP109" i="55"/>
  <c r="BR109" i="55"/>
  <c r="BP93" i="55"/>
  <c r="BR93" i="55"/>
  <c r="EB93" i="55" s="1"/>
  <c r="BP77" i="55"/>
  <c r="BR77" i="55"/>
  <c r="EB77" i="55" s="1"/>
  <c r="BP61" i="55"/>
  <c r="BR61" i="55"/>
  <c r="CG61" i="55"/>
  <c r="CJ341" i="55"/>
  <c r="BT341" i="55"/>
  <c r="BU341" i="55"/>
  <c r="BT325" i="55"/>
  <c r="BU325" i="55"/>
  <c r="CJ325" i="55"/>
  <c r="BT309" i="55"/>
  <c r="BU309" i="55"/>
  <c r="BT293" i="55"/>
  <c r="BU293" i="55"/>
  <c r="BT277" i="55"/>
  <c r="BU277" i="55"/>
  <c r="BT261" i="55"/>
  <c r="BU261" i="55"/>
  <c r="BT245" i="55"/>
  <c r="BU245" i="55"/>
  <c r="BT229" i="55"/>
  <c r="BU229" i="55"/>
  <c r="BT213" i="55"/>
  <c r="BU213" i="55"/>
  <c r="BT197" i="55"/>
  <c r="BU197" i="55"/>
  <c r="BT181" i="55"/>
  <c r="BU181" i="55"/>
  <c r="BT165" i="55"/>
  <c r="BU165" i="55"/>
  <c r="BU149" i="55"/>
  <c r="BT149" i="55"/>
  <c r="BU133" i="55"/>
  <c r="BT133" i="55"/>
  <c r="BU117" i="55"/>
  <c r="BT117" i="55"/>
  <c r="BU101" i="55"/>
  <c r="BT101" i="55"/>
  <c r="BU85" i="55"/>
  <c r="BT85" i="55"/>
  <c r="CJ85" i="55"/>
  <c r="BU69" i="55"/>
  <c r="CJ69" i="55"/>
  <c r="BT69" i="55"/>
  <c r="BU53" i="55"/>
  <c r="CJ53" i="55"/>
  <c r="BT53" i="55"/>
  <c r="BU17" i="55"/>
  <c r="BT17" i="55"/>
  <c r="CG17" i="55"/>
  <c r="DA289" i="55" a="1"/>
  <c r="DA289" i="55" s="1"/>
  <c r="DB289" i="55"/>
  <c r="BP116" i="55"/>
  <c r="EB116" i="55" s="1"/>
  <c r="BR37" i="55"/>
  <c r="EB37" i="55" s="1"/>
  <c r="DN148" i="55"/>
  <c r="DK148" i="55"/>
  <c r="CG254" i="55"/>
  <c r="BT254" i="55"/>
  <c r="BU254" i="55"/>
  <c r="DB302" i="55"/>
  <c r="DA302" i="55" a="1"/>
  <c r="DA302" i="55" s="1"/>
  <c r="BU345" i="55"/>
  <c r="BT345" i="55"/>
  <c r="DN100" i="55"/>
  <c r="DK100" i="55"/>
  <c r="BT200" i="55"/>
  <c r="BU200" i="55"/>
  <c r="DB137" i="55"/>
  <c r="DA137" i="55" a="1"/>
  <c r="DA137" i="55" s="1"/>
  <c r="DC137" i="55" s="1"/>
  <c r="DX275" i="55"/>
  <c r="DX245" i="55"/>
  <c r="DX207" i="55"/>
  <c r="AY32" i="55"/>
  <c r="E32" i="55" s="1"/>
  <c r="DV343" i="55"/>
  <c r="BZ343" i="55"/>
  <c r="DV327" i="55"/>
  <c r="BZ327" i="55"/>
  <c r="BP327" i="55"/>
  <c r="DV311" i="55"/>
  <c r="BZ311" i="55"/>
  <c r="DV295" i="55"/>
  <c r="BZ295" i="55"/>
  <c r="BP295" i="55"/>
  <c r="DV279" i="55"/>
  <c r="BZ279" i="55"/>
  <c r="DV263" i="55"/>
  <c r="BZ263" i="55"/>
  <c r="BR263" i="55"/>
  <c r="BZ247" i="55"/>
  <c r="DV247" i="55"/>
  <c r="DV231" i="55"/>
  <c r="BZ231" i="55"/>
  <c r="BP231" i="55"/>
  <c r="DV215" i="55"/>
  <c r="BZ215" i="55"/>
  <c r="BP215" i="55"/>
  <c r="DV199" i="55"/>
  <c r="BZ199" i="55"/>
  <c r="DV183" i="55"/>
  <c r="BZ183" i="55"/>
  <c r="DV167" i="55"/>
  <c r="BZ167" i="55"/>
  <c r="BR167" i="55"/>
  <c r="DV151" i="55"/>
  <c r="BZ151" i="55"/>
  <c r="BR151" i="55"/>
  <c r="DV135" i="55"/>
  <c r="BZ135" i="55"/>
  <c r="DV119" i="55"/>
  <c r="BZ119" i="55"/>
  <c r="DV103" i="55"/>
  <c r="BZ103" i="55"/>
  <c r="BP103" i="55"/>
  <c r="CZ87" i="55"/>
  <c r="BZ87" i="55"/>
  <c r="DV87" i="55"/>
  <c r="DV71" i="55"/>
  <c r="BZ71" i="55"/>
  <c r="DV55" i="55"/>
  <c r="BZ55" i="55"/>
  <c r="DV39" i="55"/>
  <c r="BZ39" i="55"/>
  <c r="DV21" i="55"/>
  <c r="CZ21" i="55"/>
  <c r="BZ21" i="55"/>
  <c r="DV5" i="55"/>
  <c r="BZ5" i="55"/>
  <c r="BP5" i="55"/>
  <c r="CF339" i="55"/>
  <c r="CF323" i="55"/>
  <c r="CG323" i="55" s="1"/>
  <c r="CF307" i="55"/>
  <c r="CG307" i="55" s="1"/>
  <c r="CF291" i="55"/>
  <c r="CF275" i="55"/>
  <c r="CF259" i="55"/>
  <c r="CF243" i="55"/>
  <c r="CG243" i="55" s="1"/>
  <c r="CG227" i="55"/>
  <c r="CF227" i="55"/>
  <c r="CF211" i="55"/>
  <c r="CF195" i="55"/>
  <c r="CF179" i="55"/>
  <c r="CG179" i="55" s="1"/>
  <c r="CF163" i="55"/>
  <c r="CF147" i="55"/>
  <c r="CF131" i="55"/>
  <c r="CG131" i="55" s="1"/>
  <c r="CF115" i="55"/>
  <c r="CG115" i="55" s="1"/>
  <c r="CF99" i="55"/>
  <c r="CG99" i="55" s="1"/>
  <c r="CF83" i="55"/>
  <c r="CF67" i="55"/>
  <c r="CG67" i="55" s="1"/>
  <c r="CF51" i="55"/>
  <c r="CG51" i="55" s="1"/>
  <c r="CF35" i="55"/>
  <c r="BR24" i="55"/>
  <c r="BP24" i="55"/>
  <c r="BP7" i="55"/>
  <c r="BR7" i="55"/>
  <c r="EB7" i="55" s="1"/>
  <c r="BU16" i="55"/>
  <c r="BT16" i="55"/>
  <c r="DV37" i="55"/>
  <c r="BT278" i="55"/>
  <c r="BU278" i="55"/>
  <c r="DB141" i="55"/>
  <c r="BU232" i="55"/>
  <c r="BT232" i="55"/>
  <c r="DB240" i="55"/>
  <c r="DA240" i="55" a="1"/>
  <c r="DA240" i="55" s="1"/>
  <c r="DX255" i="55"/>
  <c r="DX187" i="55"/>
  <c r="CY343" i="55"/>
  <c r="CZ343" i="55" s="1"/>
  <c r="DX343" i="55"/>
  <c r="DX322" i="55"/>
  <c r="DX293" i="55"/>
  <c r="DX283" i="55"/>
  <c r="CY283" i="55"/>
  <c r="CY284" i="55" s="1"/>
  <c r="DX263" i="55"/>
  <c r="ET224" i="55"/>
  <c r="DX224" i="55"/>
  <c r="CY224" i="55"/>
  <c r="DX195" i="55"/>
  <c r="DX17" i="55"/>
  <c r="DX8" i="55"/>
  <c r="DX342" i="55"/>
  <c r="DX321" i="55"/>
  <c r="DX302" i="55"/>
  <c r="DX292" i="55"/>
  <c r="DX272" i="55"/>
  <c r="DX243" i="55"/>
  <c r="DX155" i="55"/>
  <c r="DX75" i="55"/>
  <c r="DX55" i="55"/>
  <c r="DA281" i="55" a="1"/>
  <c r="DA281" i="55" s="1"/>
  <c r="DB281" i="55"/>
  <c r="AY219" i="55"/>
  <c r="E219" i="55" s="1"/>
  <c r="AZ219" i="55" s="1"/>
  <c r="BE154" i="55"/>
  <c r="C154" i="55" s="1"/>
  <c r="BE58" i="55"/>
  <c r="C58" i="55" s="1"/>
  <c r="BE10" i="55"/>
  <c r="C10" i="55" s="1"/>
  <c r="DV342" i="55"/>
  <c r="BZ342" i="55"/>
  <c r="BR342" i="55"/>
  <c r="DV326" i="55"/>
  <c r="BZ326" i="55"/>
  <c r="DV310" i="55"/>
  <c r="BZ310" i="55"/>
  <c r="BP310" i="55"/>
  <c r="DV294" i="55"/>
  <c r="BZ294" i="55"/>
  <c r="BP294" i="55"/>
  <c r="DV278" i="55"/>
  <c r="BZ278" i="55"/>
  <c r="DV262" i="55"/>
  <c r="BZ262" i="55"/>
  <c r="DV246" i="55"/>
  <c r="BZ246" i="55"/>
  <c r="DV230" i="55"/>
  <c r="BZ230" i="55"/>
  <c r="BR230" i="55"/>
  <c r="DV214" i="55"/>
  <c r="BZ214" i="55"/>
  <c r="BP214" i="55"/>
  <c r="DV198" i="55"/>
  <c r="BZ198" i="55"/>
  <c r="BR198" i="55"/>
  <c r="DV182" i="55"/>
  <c r="BZ182" i="55"/>
  <c r="BP182" i="55"/>
  <c r="DV166" i="55"/>
  <c r="BZ166" i="55"/>
  <c r="DV150" i="55"/>
  <c r="BZ150" i="55"/>
  <c r="DV134" i="55"/>
  <c r="BZ134" i="55"/>
  <c r="DV118" i="55"/>
  <c r="BZ118" i="55"/>
  <c r="DV102" i="55"/>
  <c r="CZ102" i="55"/>
  <c r="BZ102" i="55"/>
  <c r="BP102" i="55"/>
  <c r="CZ86" i="55"/>
  <c r="DV86" i="55"/>
  <c r="BZ86" i="55"/>
  <c r="BR86" i="55"/>
  <c r="DV70" i="55"/>
  <c r="BZ70" i="55"/>
  <c r="BR70" i="55"/>
  <c r="BZ54" i="55"/>
  <c r="DV54" i="55"/>
  <c r="DV38" i="55"/>
  <c r="BZ38" i="55"/>
  <c r="BP38" i="55"/>
  <c r="DV20" i="55"/>
  <c r="CZ20" i="55"/>
  <c r="BZ20" i="55"/>
  <c r="DV4" i="55"/>
  <c r="CZ4" i="55"/>
  <c r="BZ4" i="55"/>
  <c r="CF338" i="55"/>
  <c r="CG322" i="55"/>
  <c r="CF306" i="55"/>
  <c r="CG306" i="55"/>
  <c r="CF290" i="55"/>
  <c r="CF274" i="55"/>
  <c r="CG274" i="55"/>
  <c r="CF258" i="55"/>
  <c r="CF242" i="55"/>
  <c r="CF226" i="55"/>
  <c r="CG226" i="55"/>
  <c r="CF210" i="55"/>
  <c r="CF194" i="55"/>
  <c r="CF178" i="55"/>
  <c r="CG178" i="55" s="1"/>
  <c r="CF162" i="55"/>
  <c r="CG162" i="55"/>
  <c r="CF146" i="55"/>
  <c r="CG146" i="55"/>
  <c r="CF130" i="55"/>
  <c r="CF114" i="55"/>
  <c r="CF98" i="55"/>
  <c r="CF82" i="55"/>
  <c r="CG82" i="55"/>
  <c r="CF66" i="55"/>
  <c r="CG66" i="55" s="1"/>
  <c r="CF50" i="55"/>
  <c r="CH50" i="55" s="1"/>
  <c r="CF34" i="55"/>
  <c r="CG34" i="55"/>
  <c r="BT339" i="55"/>
  <c r="BU339" i="55"/>
  <c r="BT307" i="55"/>
  <c r="BU307" i="55"/>
  <c r="BT291" i="55"/>
  <c r="BU291" i="55"/>
  <c r="BT243" i="55"/>
  <c r="BU243" i="55"/>
  <c r="BT227" i="55"/>
  <c r="BU227" i="55"/>
  <c r="BT211" i="55"/>
  <c r="BU211" i="55"/>
  <c r="BT147" i="55"/>
  <c r="BU147" i="55"/>
  <c r="BT83" i="55"/>
  <c r="BU83" i="55"/>
  <c r="BU34" i="55"/>
  <c r="BT34" i="55"/>
  <c r="DA333" i="55" a="1"/>
  <c r="DA333" i="55" s="1"/>
  <c r="DB9" i="55"/>
  <c r="DA9" i="55" a="1"/>
  <c r="DA9" i="55" s="1"/>
  <c r="BR119" i="55"/>
  <c r="EB119" i="55" s="1"/>
  <c r="BT310" i="55"/>
  <c r="BT251" i="55"/>
  <c r="BU251" i="55"/>
  <c r="BT222" i="55"/>
  <c r="CJ222" i="55"/>
  <c r="CG222" i="55"/>
  <c r="BU222" i="55"/>
  <c r="BT134" i="55"/>
  <c r="CI341" i="55"/>
  <c r="CH224" i="55"/>
  <c r="CG224" i="55"/>
  <c r="CG65" i="55"/>
  <c r="CP102" i="55"/>
  <c r="CU102" i="55"/>
  <c r="CS102" i="55"/>
  <c r="CQ102" i="55"/>
  <c r="CO102" i="55"/>
  <c r="CT102" i="55"/>
  <c r="CV102" i="55"/>
  <c r="DK197" i="55"/>
  <c r="BU336" i="55"/>
  <c r="BT336" i="55"/>
  <c r="CJ336" i="55"/>
  <c r="BT276" i="55"/>
  <c r="BU276" i="55"/>
  <c r="BU72" i="55"/>
  <c r="BT72" i="55"/>
  <c r="BU9" i="55"/>
  <c r="CG318" i="55"/>
  <c r="DK143" i="55"/>
  <c r="DN143" i="55"/>
  <c r="DK125" i="55"/>
  <c r="DN125" i="55"/>
  <c r="DK109" i="55"/>
  <c r="DN109" i="55"/>
  <c r="DN75" i="55"/>
  <c r="DK75" i="55"/>
  <c r="DN59" i="55"/>
  <c r="DK59" i="55"/>
  <c r="DN246" i="55"/>
  <c r="DK246" i="55"/>
  <c r="DB342" i="55"/>
  <c r="DA342" i="55" a="1"/>
  <c r="DA342" i="55" s="1"/>
  <c r="DB278" i="55"/>
  <c r="DA278" i="55" a="1"/>
  <c r="DA278" i="55" s="1"/>
  <c r="DC278" i="55" s="1"/>
  <c r="BM278" i="55" a="1"/>
  <c r="BM278" i="55" s="1"/>
  <c r="CA278" i="55" s="1"/>
  <c r="DX232" i="55"/>
  <c r="DX214" i="55"/>
  <c r="DX205" i="55"/>
  <c r="DX185" i="55"/>
  <c r="DX156" i="55"/>
  <c r="DX147" i="55"/>
  <c r="DX137" i="55"/>
  <c r="DX128" i="55"/>
  <c r="DX118" i="55"/>
  <c r="DX108" i="55"/>
  <c r="DX71" i="55"/>
  <c r="DX24" i="55"/>
  <c r="DX6" i="55"/>
  <c r="CY6" i="55"/>
  <c r="CZ6" i="55" s="1"/>
  <c r="DB214" i="55"/>
  <c r="DA214" i="55" a="1"/>
  <c r="DA214" i="55" s="1"/>
  <c r="CN317" i="55"/>
  <c r="BF317" i="55"/>
  <c r="DT317" i="55" s="1"/>
  <c r="CN269" i="55"/>
  <c r="BM269" i="55" s="1" a="1"/>
  <c r="BM269" i="55" s="1"/>
  <c r="BF205" i="55"/>
  <c r="DT205" i="55" s="1"/>
  <c r="CN141" i="55"/>
  <c r="BF141" i="55"/>
  <c r="DT141" i="55" s="1"/>
  <c r="CN77" i="55"/>
  <c r="BM77" i="55" s="1" a="1"/>
  <c r="BM77" i="55" s="1"/>
  <c r="BF77" i="55"/>
  <c r="DT77" i="55" s="1"/>
  <c r="CN13" i="55"/>
  <c r="DR327" i="55"/>
  <c r="DY327" i="55"/>
  <c r="DZ327" i="55" s="1"/>
  <c r="BE327" i="55"/>
  <c r="GD327" i="55" s="1"/>
  <c r="DR231" i="55"/>
  <c r="DY231" i="55"/>
  <c r="BE231" i="55"/>
  <c r="DY135" i="55"/>
  <c r="BE135" i="55"/>
  <c r="C135" i="55" s="1"/>
  <c r="DR135" i="55"/>
  <c r="DB86" i="55"/>
  <c r="DA86" i="55" a="1"/>
  <c r="DA86" i="55" s="1"/>
  <c r="DN29" i="55"/>
  <c r="DK29" i="55"/>
  <c r="DL29" i="55"/>
  <c r="DO29" i="55" s="1"/>
  <c r="DX308" i="55"/>
  <c r="DW341" i="55"/>
  <c r="DF341" i="55"/>
  <c r="AY341" i="55"/>
  <c r="E341" i="55" s="1"/>
  <c r="AZ341" i="55" s="1"/>
  <c r="DQ341" i="55"/>
  <c r="CE341" i="55"/>
  <c r="BL341" i="55"/>
  <c r="GK277" i="55"/>
  <c r="GL277" i="55" s="1"/>
  <c r="EA277" i="55"/>
  <c r="DW277" i="55"/>
  <c r="BW277" i="55"/>
  <c r="DF277" i="55"/>
  <c r="AY277" i="55"/>
  <c r="BL277" i="55"/>
  <c r="GK245" i="55"/>
  <c r="GL245" i="55" s="1"/>
  <c r="EA245" i="55"/>
  <c r="DF245" i="55"/>
  <c r="DW245" i="55"/>
  <c r="CE245" i="55"/>
  <c r="AY245" i="55"/>
  <c r="E245" i="55" s="1"/>
  <c r="AZ245" i="55" s="1"/>
  <c r="BW245" i="55"/>
  <c r="CI245" i="55" s="1"/>
  <c r="BL245" i="55"/>
  <c r="GK197" i="55"/>
  <c r="GL197" i="55" s="1"/>
  <c r="EA197" i="55"/>
  <c r="DW197" i="55"/>
  <c r="DF197" i="55"/>
  <c r="AY197" i="55"/>
  <c r="E197" i="55" s="1"/>
  <c r="AZ197" i="55" s="1"/>
  <c r="CE197" i="55"/>
  <c r="BL197" i="55"/>
  <c r="GK165" i="55"/>
  <c r="GL165" i="55" s="1"/>
  <c r="EA165" i="55"/>
  <c r="DW165" i="55"/>
  <c r="CE165" i="55"/>
  <c r="BL165" i="55"/>
  <c r="DF165" i="55"/>
  <c r="GK101" i="55"/>
  <c r="GL101" i="55" s="1"/>
  <c r="EA101" i="55"/>
  <c r="DF101" i="55"/>
  <c r="DW101" i="55"/>
  <c r="CE101" i="55"/>
  <c r="BL101" i="55"/>
  <c r="BW101" i="55"/>
  <c r="CI101" i="55" s="1"/>
  <c r="DW53" i="55"/>
  <c r="DQ53" i="55"/>
  <c r="DF53" i="55"/>
  <c r="CE53" i="55"/>
  <c r="BW53" i="55"/>
  <c r="AY53" i="55"/>
  <c r="GK37" i="55"/>
  <c r="GL37" i="55" s="1"/>
  <c r="EA37" i="55"/>
  <c r="DF37" i="55"/>
  <c r="BW37" i="55"/>
  <c r="CI37" i="55" s="1"/>
  <c r="DW37" i="55"/>
  <c r="AY37" i="55"/>
  <c r="E37" i="55" s="1"/>
  <c r="AZ37" i="55" s="1"/>
  <c r="BL37" i="55"/>
  <c r="CE37" i="55"/>
  <c r="CN300" i="55"/>
  <c r="BF300" i="55"/>
  <c r="DT300" i="55" s="1"/>
  <c r="CN236" i="55"/>
  <c r="BF236" i="55"/>
  <c r="CN172" i="55"/>
  <c r="BF172" i="55"/>
  <c r="DT172" i="55" s="1"/>
  <c r="BF108" i="55"/>
  <c r="DT108" i="55" s="1"/>
  <c r="BM108" i="55" a="1"/>
  <c r="BM108" i="55" s="1"/>
  <c r="CA108" i="55" s="1"/>
  <c r="CN44" i="55"/>
  <c r="BF44" i="55"/>
  <c r="DT44" i="55" s="1"/>
  <c r="GD326" i="55"/>
  <c r="DR326" i="55"/>
  <c r="DY326" i="55"/>
  <c r="C326" i="55"/>
  <c r="DR278" i="55"/>
  <c r="DY278" i="55"/>
  <c r="BE278" i="55"/>
  <c r="C278" i="55" s="1"/>
  <c r="GD214" i="55"/>
  <c r="DR214" i="55"/>
  <c r="DY214" i="55"/>
  <c r="DZ214" i="55" s="1"/>
  <c r="DY166" i="55"/>
  <c r="DZ166" i="55" s="1"/>
  <c r="DR166" i="55"/>
  <c r="DY118" i="55"/>
  <c r="DZ118" i="55" s="1"/>
  <c r="DR118" i="55"/>
  <c r="BE118" i="55"/>
  <c r="GD118" i="55" s="1"/>
  <c r="DR70" i="55"/>
  <c r="DY70" i="55"/>
  <c r="BE70" i="55"/>
  <c r="C70" i="55" s="1"/>
  <c r="DR6" i="55"/>
  <c r="DV337" i="55"/>
  <c r="BZ337" i="55"/>
  <c r="DV321" i="55"/>
  <c r="BZ321" i="55"/>
  <c r="DV305" i="55"/>
  <c r="BZ305" i="55"/>
  <c r="DV289" i="55"/>
  <c r="BZ289" i="55"/>
  <c r="BZ273" i="55"/>
  <c r="DV273" i="55"/>
  <c r="DV257" i="55"/>
  <c r="BZ257" i="55"/>
  <c r="DV225" i="55"/>
  <c r="BZ225" i="55"/>
  <c r="DV209" i="55"/>
  <c r="BZ209" i="55"/>
  <c r="DV193" i="55"/>
  <c r="BZ193" i="55"/>
  <c r="DV177" i="55"/>
  <c r="DV161" i="55"/>
  <c r="BZ161" i="55"/>
  <c r="DV145" i="55"/>
  <c r="BZ145" i="55"/>
  <c r="BZ129" i="55"/>
  <c r="DV129" i="55"/>
  <c r="DV97" i="55"/>
  <c r="BZ97" i="55"/>
  <c r="DV81" i="55"/>
  <c r="BZ81" i="55"/>
  <c r="DV65" i="55"/>
  <c r="BZ65" i="55"/>
  <c r="DV49" i="55"/>
  <c r="BZ49" i="55"/>
  <c r="DV33" i="55"/>
  <c r="BZ33" i="55"/>
  <c r="BR327" i="55"/>
  <c r="BP135" i="55"/>
  <c r="BR55" i="55"/>
  <c r="BU320" i="55"/>
  <c r="BU208" i="55"/>
  <c r="BT208" i="55"/>
  <c r="BU144" i="55"/>
  <c r="DA178" i="55" a="1"/>
  <c r="DA178" i="55" s="1"/>
  <c r="DB178" i="55"/>
  <c r="BL133" i="55"/>
  <c r="DA45" i="55" a="1"/>
  <c r="DA45" i="55" s="1"/>
  <c r="EB306" i="55"/>
  <c r="BT159" i="55"/>
  <c r="BU159" i="55"/>
  <c r="BT102" i="55"/>
  <c r="BU102" i="55"/>
  <c r="BT6" i="55"/>
  <c r="BU6" i="55"/>
  <c r="BW197" i="55"/>
  <c r="CI197" i="55" s="1"/>
  <c r="DN285" i="55"/>
  <c r="DK285" i="55"/>
  <c r="DK195" i="55"/>
  <c r="DN195" i="55"/>
  <c r="DX327" i="55"/>
  <c r="DX250" i="55"/>
  <c r="DX194" i="55"/>
  <c r="DX165" i="55"/>
  <c r="DX146" i="55"/>
  <c r="DX127" i="55"/>
  <c r="DX80" i="55"/>
  <c r="DX41" i="55"/>
  <c r="DX14" i="55"/>
  <c r="DX4" i="55"/>
  <c r="GK340" i="55"/>
  <c r="GL340" i="55" s="1"/>
  <c r="EA340" i="55"/>
  <c r="DW340" i="55"/>
  <c r="CE340" i="55"/>
  <c r="BW340" i="55"/>
  <c r="BL340" i="55"/>
  <c r="GK324" i="55"/>
  <c r="GL324" i="55" s="1"/>
  <c r="EA324" i="55"/>
  <c r="DF324" i="55"/>
  <c r="CE324" i="55"/>
  <c r="BW324" i="55"/>
  <c r="CI324" i="55" s="1"/>
  <c r="DW324" i="55"/>
  <c r="AY324" i="55"/>
  <c r="GK308" i="55"/>
  <c r="GL308" i="55" s="1"/>
  <c r="EA308" i="55"/>
  <c r="DW308" i="55"/>
  <c r="DF308" i="55"/>
  <c r="CE308" i="55"/>
  <c r="BW308" i="55"/>
  <c r="BL308" i="55"/>
  <c r="AY308" i="55"/>
  <c r="E308" i="55" s="1"/>
  <c r="AZ308" i="55" s="1"/>
  <c r="GK292" i="55"/>
  <c r="GL292" i="55" s="1"/>
  <c r="EA292" i="55"/>
  <c r="DF292" i="55"/>
  <c r="CE292" i="55"/>
  <c r="BW292" i="55"/>
  <c r="CI292" i="55" s="1"/>
  <c r="DW292" i="55"/>
  <c r="BL292" i="55"/>
  <c r="GK276" i="55"/>
  <c r="GL276" i="55" s="1"/>
  <c r="DW276" i="55"/>
  <c r="EA276" i="55"/>
  <c r="DF276" i="55"/>
  <c r="CE276" i="55"/>
  <c r="BW276" i="55"/>
  <c r="CJ276" i="55" s="1"/>
  <c r="BL276" i="55"/>
  <c r="GK260" i="55"/>
  <c r="GL260" i="55" s="1"/>
  <c r="DW260" i="55"/>
  <c r="EA260" i="55"/>
  <c r="CE260" i="55"/>
  <c r="BW260" i="55"/>
  <c r="DF260" i="55"/>
  <c r="BL260" i="55"/>
  <c r="GK244" i="55"/>
  <c r="GL244" i="55" s="1"/>
  <c r="DW244" i="55"/>
  <c r="CE244" i="55"/>
  <c r="BW244" i="55"/>
  <c r="EA244" i="55"/>
  <c r="DF244" i="55"/>
  <c r="BL244" i="55"/>
  <c r="AY244" i="55"/>
  <c r="E244" i="55" s="1"/>
  <c r="AZ244" i="55" s="1"/>
  <c r="GK228" i="55"/>
  <c r="GL228" i="55" s="1"/>
  <c r="EA228" i="55"/>
  <c r="DW228" i="55"/>
  <c r="DF228" i="55"/>
  <c r="CE228" i="55"/>
  <c r="GK212" i="55"/>
  <c r="GL212" i="55" s="1"/>
  <c r="EA212" i="55"/>
  <c r="DF212" i="55"/>
  <c r="DW212" i="55"/>
  <c r="CE212" i="55"/>
  <c r="BW212" i="55"/>
  <c r="GK196" i="55"/>
  <c r="GL196" i="55" s="1"/>
  <c r="DW196" i="55"/>
  <c r="EA196" i="55"/>
  <c r="CE196" i="55"/>
  <c r="BW196" i="55"/>
  <c r="CI196" i="55" s="1"/>
  <c r="DF196" i="55"/>
  <c r="GK180" i="55"/>
  <c r="GL180" i="55" s="1"/>
  <c r="DF180" i="55"/>
  <c r="DW180" i="55"/>
  <c r="CE180" i="55"/>
  <c r="BW180" i="55"/>
  <c r="EA180" i="55"/>
  <c r="BL180" i="55"/>
  <c r="AY180" i="55"/>
  <c r="GK164" i="55"/>
  <c r="GL164" i="55" s="1"/>
  <c r="EA164" i="55"/>
  <c r="DW164" i="55"/>
  <c r="CE164" i="55"/>
  <c r="DF164" i="55"/>
  <c r="BL164" i="55"/>
  <c r="GK148" i="55"/>
  <c r="GL148" i="55" s="1"/>
  <c r="EA148" i="55"/>
  <c r="DW148" i="55"/>
  <c r="DF148" i="55"/>
  <c r="BW148" i="55"/>
  <c r="CE148" i="55"/>
  <c r="AY148" i="55"/>
  <c r="GK132" i="55"/>
  <c r="GL132" i="55" s="1"/>
  <c r="DW132" i="55"/>
  <c r="EA132" i="55"/>
  <c r="DF132" i="55"/>
  <c r="BL132" i="55"/>
  <c r="GK116" i="55"/>
  <c r="GL116" i="55" s="1"/>
  <c r="EA116" i="55"/>
  <c r="DF116" i="55"/>
  <c r="BW116" i="55"/>
  <c r="CI116" i="55" s="1"/>
  <c r="CE116" i="55"/>
  <c r="DW116" i="55"/>
  <c r="BL116" i="55"/>
  <c r="AY116" i="55"/>
  <c r="GK100" i="55"/>
  <c r="GL100" i="55" s="1"/>
  <c r="DW100" i="55"/>
  <c r="DF100" i="55"/>
  <c r="EA100" i="55"/>
  <c r="BW100" i="55"/>
  <c r="CI100" i="55" s="1"/>
  <c r="CE100" i="55"/>
  <c r="BL100" i="55"/>
  <c r="GK84" i="55"/>
  <c r="GL84" i="55" s="1"/>
  <c r="DW84" i="55"/>
  <c r="DF84" i="55"/>
  <c r="EA84" i="55"/>
  <c r="CE84" i="55"/>
  <c r="BW84" i="55"/>
  <c r="GK68" i="55"/>
  <c r="GL68" i="55" s="1"/>
  <c r="EA68" i="55"/>
  <c r="DW68" i="55"/>
  <c r="CE68" i="55"/>
  <c r="BW68" i="55"/>
  <c r="CI68" i="55" s="1"/>
  <c r="DF68" i="55"/>
  <c r="BL68" i="55"/>
  <c r="GK52" i="55"/>
  <c r="GL52" i="55" s="1"/>
  <c r="DW52" i="55"/>
  <c r="DF52" i="55"/>
  <c r="BW52" i="55"/>
  <c r="CI52" i="55" s="1"/>
  <c r="CE52" i="55"/>
  <c r="EA52" i="55"/>
  <c r="BL52" i="55"/>
  <c r="GK36" i="55"/>
  <c r="GL36" i="55" s="1"/>
  <c r="DW36" i="55"/>
  <c r="BW36" i="55"/>
  <c r="EA36" i="55"/>
  <c r="CE36" i="55"/>
  <c r="AY36" i="55"/>
  <c r="E36" i="55" s="1"/>
  <c r="AZ36" i="55" s="1"/>
  <c r="BL36" i="55"/>
  <c r="DF36" i="55"/>
  <c r="GK20" i="55"/>
  <c r="GL20" i="55" s="1"/>
  <c r="EA20" i="55"/>
  <c r="DW20" i="55"/>
  <c r="DF20" i="55"/>
  <c r="BW20" i="55"/>
  <c r="CE20" i="55"/>
  <c r="DQ4" i="55"/>
  <c r="BW4" i="55"/>
  <c r="BK4" i="55"/>
  <c r="DF4" i="55"/>
  <c r="BL4" i="55"/>
  <c r="BJ4" i="55"/>
  <c r="AY4" i="55"/>
  <c r="DW4" i="55"/>
  <c r="AV290" i="55"/>
  <c r="AW290" i="55"/>
  <c r="AX290" i="55" s="1"/>
  <c r="AV274" i="55"/>
  <c r="BW274" i="55" s="1"/>
  <c r="AW274" i="55"/>
  <c r="AX274" i="55" s="1"/>
  <c r="AV226" i="55"/>
  <c r="AW226" i="55"/>
  <c r="AX226" i="55" s="1"/>
  <c r="AW146" i="55"/>
  <c r="AX146" i="55" s="1"/>
  <c r="AV146" i="55"/>
  <c r="AY146" i="55" s="1"/>
  <c r="AV34" i="55"/>
  <c r="BW34" i="55" s="1"/>
  <c r="CJ34" i="55" s="1"/>
  <c r="AW34" i="55"/>
  <c r="AX34" i="55" s="1"/>
  <c r="AV18" i="55"/>
  <c r="AW18" i="55"/>
  <c r="AX18" i="55" s="1"/>
  <c r="AY296" i="55"/>
  <c r="E296" i="55" s="1"/>
  <c r="AZ296" i="55" s="1"/>
  <c r="AW131" i="55"/>
  <c r="AX131" i="55" s="1"/>
  <c r="AY212" i="55"/>
  <c r="E212" i="55" s="1"/>
  <c r="AZ212" i="55" s="1"/>
  <c r="AY100" i="55"/>
  <c r="CN347" i="55"/>
  <c r="CN331" i="55"/>
  <c r="BM331" i="55" s="1" a="1"/>
  <c r="BM331" i="55" s="1"/>
  <c r="CA331" i="55" s="1"/>
  <c r="BF331" i="55"/>
  <c r="DT331" i="55" s="1"/>
  <c r="CN315" i="55"/>
  <c r="BF315" i="55"/>
  <c r="DT315" i="55" s="1"/>
  <c r="CN299" i="55"/>
  <c r="CN283" i="55"/>
  <c r="BM283" i="55" a="1"/>
  <c r="BM283" i="55" s="1"/>
  <c r="CA283" i="55" s="1"/>
  <c r="BF283" i="55"/>
  <c r="DT283" i="55" s="1"/>
  <c r="CN267" i="55"/>
  <c r="BF267" i="55"/>
  <c r="DT267" i="55" s="1"/>
  <c r="CN251" i="55"/>
  <c r="CN235" i="55"/>
  <c r="BM235" i="55" s="1" a="1"/>
  <c r="BM235" i="55" s="1"/>
  <c r="CA235" i="55" s="1"/>
  <c r="BF235" i="55"/>
  <c r="DT235" i="55" s="1"/>
  <c r="CN219" i="55"/>
  <c r="CN203" i="55"/>
  <c r="BM203" i="55" a="1"/>
  <c r="BM203" i="55" s="1"/>
  <c r="CA203" i="55" s="1"/>
  <c r="BF203" i="55"/>
  <c r="DT203" i="55" s="1"/>
  <c r="CN187" i="55"/>
  <c r="BM187" i="55" s="1" a="1"/>
  <c r="BM187" i="55" s="1"/>
  <c r="CA187" i="55" s="1"/>
  <c r="BF187" i="55"/>
  <c r="CN171" i="55"/>
  <c r="BM171" i="55" s="1" a="1"/>
  <c r="BM171" i="55" s="1"/>
  <c r="CA171" i="55" s="1"/>
  <c r="CN155" i="55"/>
  <c r="BF155" i="55"/>
  <c r="DT155" i="55" s="1"/>
  <c r="BF139" i="55"/>
  <c r="DT139" i="55" s="1"/>
  <c r="CN123" i="55"/>
  <c r="CN107" i="55"/>
  <c r="BF107" i="55"/>
  <c r="DT107" i="55" s="1"/>
  <c r="CN91" i="55"/>
  <c r="BM91" i="55" s="1" a="1"/>
  <c r="BM91" i="55" s="1"/>
  <c r="CA91" i="55" s="1"/>
  <c r="CN75" i="55"/>
  <c r="BF75" i="55"/>
  <c r="DT75" i="55" s="1"/>
  <c r="CN59" i="55"/>
  <c r="BM59" i="55" a="1"/>
  <c r="BM59" i="55" s="1"/>
  <c r="CA59" i="55" s="1"/>
  <c r="BF59" i="55"/>
  <c r="DT59" i="55" s="1"/>
  <c r="CN43" i="55"/>
  <c r="CN27" i="55"/>
  <c r="BF27" i="55"/>
  <c r="CN11" i="55"/>
  <c r="BM11" i="55" s="1" a="1"/>
  <c r="BM11" i="55" s="1"/>
  <c r="CA11" i="55" s="1"/>
  <c r="DY341" i="55"/>
  <c r="DZ341" i="55"/>
  <c r="DR341" i="55"/>
  <c r="BE341" i="55"/>
  <c r="DY325" i="55"/>
  <c r="DR325" i="55"/>
  <c r="DZ325" i="55"/>
  <c r="BE325" i="55"/>
  <c r="GD325" i="55" s="1"/>
  <c r="DY309" i="55"/>
  <c r="DR309" i="55"/>
  <c r="DR293" i="55"/>
  <c r="BE293" i="55"/>
  <c r="C293" i="55" s="1"/>
  <c r="DY293" i="55"/>
  <c r="DY277" i="55"/>
  <c r="DR277" i="55"/>
  <c r="BE277" i="55"/>
  <c r="C277" i="55" s="1"/>
  <c r="DR261" i="55"/>
  <c r="DY261" i="55"/>
  <c r="DY245" i="55"/>
  <c r="DR245" i="55"/>
  <c r="BE245" i="55"/>
  <c r="GD245" i="55" s="1"/>
  <c r="DY229" i="55"/>
  <c r="DZ229" i="55" s="1"/>
  <c r="DR229" i="55"/>
  <c r="BE229" i="55"/>
  <c r="GD229" i="55" s="1"/>
  <c r="GD213" i="55"/>
  <c r="DR213" i="55"/>
  <c r="C213" i="55"/>
  <c r="DY213" i="55"/>
  <c r="DY197" i="55"/>
  <c r="DZ197" i="55" s="1"/>
  <c r="DR197" i="55"/>
  <c r="DR181" i="55"/>
  <c r="DY181" i="55"/>
  <c r="DZ181" i="55" s="1"/>
  <c r="BE181" i="55"/>
  <c r="GD181" i="55" s="1"/>
  <c r="DY165" i="55"/>
  <c r="DR165" i="55"/>
  <c r="BE165" i="55"/>
  <c r="DY149" i="55"/>
  <c r="DZ149" i="55" s="1"/>
  <c r="DR149" i="55"/>
  <c r="BE149" i="55"/>
  <c r="GD149" i="55" s="1"/>
  <c r="DY133" i="55"/>
  <c r="BE133" i="55"/>
  <c r="GD133" i="55" s="1"/>
  <c r="DR133" i="55"/>
  <c r="DY117" i="55"/>
  <c r="DZ117" i="55"/>
  <c r="BE117" i="55"/>
  <c r="GD117" i="55" s="1"/>
  <c r="C117" i="55"/>
  <c r="DR117" i="55"/>
  <c r="DY101" i="55"/>
  <c r="DZ101" i="55" s="1"/>
  <c r="DR101" i="55"/>
  <c r="BE101" i="55"/>
  <c r="GD101" i="55" s="1"/>
  <c r="C101" i="55"/>
  <c r="DY85" i="55"/>
  <c r="DR85" i="55"/>
  <c r="BE85" i="55"/>
  <c r="C85" i="55" s="1"/>
  <c r="GD69" i="55"/>
  <c r="DY69" i="55"/>
  <c r="DR69" i="55"/>
  <c r="BE69" i="55"/>
  <c r="C69" i="55" s="1"/>
  <c r="DZ53" i="55"/>
  <c r="BE53" i="55"/>
  <c r="DR53" i="55"/>
  <c r="DR37" i="55"/>
  <c r="DY37" i="55"/>
  <c r="BE37" i="55"/>
  <c r="GD37" i="55" s="1"/>
  <c r="C37" i="55"/>
  <c r="BE21" i="55"/>
  <c r="GD21" i="55" s="1"/>
  <c r="C21" i="55"/>
  <c r="DR5" i="55"/>
  <c r="BE5" i="55"/>
  <c r="GD5" i="55" s="1"/>
  <c r="C5" i="55"/>
  <c r="BR214" i="55"/>
  <c r="BP198" i="55"/>
  <c r="BR134" i="55"/>
  <c r="BU319" i="55"/>
  <c r="BT223" i="55"/>
  <c r="BU223" i="55"/>
  <c r="DB275" i="55"/>
  <c r="DA275" i="55" a="1"/>
  <c r="DA275" i="55" s="1"/>
  <c r="DA177" i="55" a="1"/>
  <c r="DA177" i="55" s="1"/>
  <c r="DB177" i="55"/>
  <c r="BL84" i="55"/>
  <c r="BP161" i="55"/>
  <c r="BR305" i="55"/>
  <c r="EB234" i="55"/>
  <c r="EB90" i="55"/>
  <c r="BT332" i="55"/>
  <c r="BU332" i="55"/>
  <c r="BU297" i="55"/>
  <c r="BT297" i="55"/>
  <c r="BT270" i="55"/>
  <c r="BU270" i="55"/>
  <c r="BT217" i="55"/>
  <c r="BU128" i="55"/>
  <c r="BT70" i="55"/>
  <c r="BU70" i="55"/>
  <c r="CG201" i="55"/>
  <c r="CJ87" i="55"/>
  <c r="CN205" i="55"/>
  <c r="DK222" i="55"/>
  <c r="DN222" i="55"/>
  <c r="DN241" i="55"/>
  <c r="DK186" i="55"/>
  <c r="DN186" i="55"/>
  <c r="DN139" i="55"/>
  <c r="DK139" i="55"/>
  <c r="CN349" i="55"/>
  <c r="BM349" i="55" s="1" a="1"/>
  <c r="BM349" i="55" s="1"/>
  <c r="CA349" i="55" s="1"/>
  <c r="BF349" i="55"/>
  <c r="DT349" i="55" s="1"/>
  <c r="CN285" i="55"/>
  <c r="BF285" i="55"/>
  <c r="CN221" i="55"/>
  <c r="BM221" i="55" a="1"/>
  <c r="BM221" i="55" s="1"/>
  <c r="CA221" i="55" s="1"/>
  <c r="BF221" i="55"/>
  <c r="DT221" i="55" s="1"/>
  <c r="CN157" i="55"/>
  <c r="BM157" i="55" s="1" a="1"/>
  <c r="BM157" i="55" s="1"/>
  <c r="CA157" i="55" s="1"/>
  <c r="BF157" i="55"/>
  <c r="DT157" i="55" s="1"/>
  <c r="CN93" i="55"/>
  <c r="BF93" i="55"/>
  <c r="DT93" i="55" s="1"/>
  <c r="CN29" i="55"/>
  <c r="DR343" i="55"/>
  <c r="BE343" i="55"/>
  <c r="C343" i="55" s="1"/>
  <c r="DY343" i="55"/>
  <c r="DY279" i="55"/>
  <c r="DZ279" i="55" s="1"/>
  <c r="DR279" i="55"/>
  <c r="BE279" i="55"/>
  <c r="C279" i="55" s="1"/>
  <c r="DR199" i="55"/>
  <c r="DY199" i="55"/>
  <c r="DZ199" i="55" s="1"/>
  <c r="BE199" i="55"/>
  <c r="C199" i="55" s="1"/>
  <c r="DY151" i="55"/>
  <c r="DZ151" i="55"/>
  <c r="DR151" i="55"/>
  <c r="BE151" i="55"/>
  <c r="C151" i="55" s="1"/>
  <c r="GD103" i="55"/>
  <c r="DY103" i="55"/>
  <c r="DZ103" i="55" s="1"/>
  <c r="DR103" i="55"/>
  <c r="C103" i="55"/>
  <c r="DR71" i="55"/>
  <c r="DY71" i="55"/>
  <c r="BE71" i="55"/>
  <c r="GD71" i="55" s="1"/>
  <c r="DY39" i="55"/>
  <c r="DR39" i="55"/>
  <c r="C39" i="55"/>
  <c r="BE39" i="55"/>
  <c r="GD39" i="55" s="1"/>
  <c r="DR7" i="55"/>
  <c r="BE7" i="55"/>
  <c r="GD7" i="55" s="1"/>
  <c r="DB329" i="55"/>
  <c r="BU298" i="55"/>
  <c r="BT298" i="55"/>
  <c r="CJ160" i="55"/>
  <c r="BT160" i="55"/>
  <c r="CG221" i="55"/>
  <c r="DK175" i="55"/>
  <c r="DN175" i="55"/>
  <c r="DN140" i="55"/>
  <c r="DK140" i="55"/>
  <c r="DX299" i="55"/>
  <c r="DX241" i="55"/>
  <c r="DX223" i="55"/>
  <c r="DX51" i="55"/>
  <c r="GK309" i="55"/>
  <c r="GL309" i="55" s="1"/>
  <c r="EA309" i="55"/>
  <c r="DF309" i="55"/>
  <c r="CE309" i="55"/>
  <c r="DW309" i="55"/>
  <c r="AY309" i="55"/>
  <c r="E309" i="55" s="1"/>
  <c r="AZ309" i="55" s="1"/>
  <c r="BW309" i="55"/>
  <c r="BL309" i="55"/>
  <c r="GK213" i="55"/>
  <c r="GL213" i="55" s="1"/>
  <c r="DW213" i="55"/>
  <c r="EA213" i="55"/>
  <c r="DF213" i="55"/>
  <c r="AY213" i="55"/>
  <c r="E213" i="55" s="1"/>
  <c r="AZ213" i="55" s="1"/>
  <c r="BL213" i="55"/>
  <c r="BW213" i="55"/>
  <c r="GK117" i="55"/>
  <c r="GL117" i="55" s="1"/>
  <c r="DW117" i="55"/>
  <c r="EA117" i="55"/>
  <c r="DF117" i="55"/>
  <c r="CE117" i="55"/>
  <c r="AY117" i="55"/>
  <c r="BL117" i="55"/>
  <c r="BW117" i="55"/>
  <c r="CJ117" i="55" s="1"/>
  <c r="AW195" i="55"/>
  <c r="AX195" i="55" s="1"/>
  <c r="AV195" i="55"/>
  <c r="AY195" i="55" s="1"/>
  <c r="AW67" i="55"/>
  <c r="AX67" i="55" s="1"/>
  <c r="AV67" i="55"/>
  <c r="AV243" i="55"/>
  <c r="CN316" i="55"/>
  <c r="BF316" i="55"/>
  <c r="DT316" i="55" s="1"/>
  <c r="CN252" i="55"/>
  <c r="CN188" i="55"/>
  <c r="BF188" i="55"/>
  <c r="DT188" i="55" s="1"/>
  <c r="CN124" i="55"/>
  <c r="CN60" i="55"/>
  <c r="BM60" i="55" s="1" a="1"/>
  <c r="BM60" i="55" s="1"/>
  <c r="CA60" i="55" s="1"/>
  <c r="BF60" i="55"/>
  <c r="DY294" i="55"/>
  <c r="DR294" i="55"/>
  <c r="BE294" i="55"/>
  <c r="DY246" i="55"/>
  <c r="DR246" i="55"/>
  <c r="BE246" i="55"/>
  <c r="C246" i="55" s="1"/>
  <c r="DR182" i="55"/>
  <c r="DY182" i="55"/>
  <c r="DZ182" i="55" s="1"/>
  <c r="BE182" i="55"/>
  <c r="GD182" i="55" s="1"/>
  <c r="DY134" i="55"/>
  <c r="DR134" i="55"/>
  <c r="BE134" i="55"/>
  <c r="GD134" i="55" s="1"/>
  <c r="DY86" i="55"/>
  <c r="DZ86" i="55" s="1"/>
  <c r="DR86" i="55"/>
  <c r="BE86" i="55"/>
  <c r="GD86" i="55" s="1"/>
  <c r="DR54" i="55"/>
  <c r="DY54" i="55"/>
  <c r="DZ54" i="55"/>
  <c r="BE54" i="55"/>
  <c r="GD54" i="55" s="1"/>
  <c r="BE166" i="55"/>
  <c r="BZ241" i="55"/>
  <c r="DB236" i="55"/>
  <c r="DA236" i="55" a="1"/>
  <c r="DA236" i="55" s="1"/>
  <c r="DX317" i="55"/>
  <c r="CY317" i="55"/>
  <c r="CY318" i="55" s="1"/>
  <c r="CY319" i="55" s="1"/>
  <c r="DX307" i="55"/>
  <c r="DX249" i="55"/>
  <c r="DX240" i="55"/>
  <c r="DX222" i="55"/>
  <c r="DX174" i="55"/>
  <c r="DX145" i="55"/>
  <c r="DX79" i="55"/>
  <c r="DX69" i="55"/>
  <c r="DX60" i="55"/>
  <c r="DX50" i="55"/>
  <c r="DX13" i="55"/>
  <c r="AY211" i="55"/>
  <c r="AY131" i="55"/>
  <c r="CN346" i="55"/>
  <c r="BF346" i="55"/>
  <c r="DT346" i="55" s="1"/>
  <c r="CN298" i="55"/>
  <c r="BF298" i="55"/>
  <c r="DT298" i="55" s="1"/>
  <c r="CN250" i="55"/>
  <c r="CN202" i="55"/>
  <c r="BF202" i="55"/>
  <c r="CN154" i="55"/>
  <c r="BF154" i="55"/>
  <c r="DT154" i="55" s="1"/>
  <c r="CN106" i="55"/>
  <c r="BF106" i="55"/>
  <c r="CN58" i="55"/>
  <c r="BF58" i="55"/>
  <c r="DT58" i="55" s="1"/>
  <c r="CN10" i="55"/>
  <c r="DY324" i="55"/>
  <c r="DZ324" i="55" s="1"/>
  <c r="DR324" i="55"/>
  <c r="BE324" i="55"/>
  <c r="GD244" i="55"/>
  <c r="DR244" i="55"/>
  <c r="DY244" i="55"/>
  <c r="DY116" i="55"/>
  <c r="DZ116" i="55"/>
  <c r="DR116" i="55"/>
  <c r="BE116" i="55"/>
  <c r="C116" i="55" s="1"/>
  <c r="BU126" i="55"/>
  <c r="BU78" i="55"/>
  <c r="BT78" i="55"/>
  <c r="BT62" i="55"/>
  <c r="CG62" i="55"/>
  <c r="BU62" i="55"/>
  <c r="DA272" i="55" a="1"/>
  <c r="DA272" i="55" s="1"/>
  <c r="DB272" i="55"/>
  <c r="DA228" i="55" a="1"/>
  <c r="DA228" i="55" s="1"/>
  <c r="DB228" i="55"/>
  <c r="BT97" i="55"/>
  <c r="BU97" i="55"/>
  <c r="BU130" i="55"/>
  <c r="DX287" i="55"/>
  <c r="DX230" i="55"/>
  <c r="DX212" i="55"/>
  <c r="DX173" i="55"/>
  <c r="DX125" i="55"/>
  <c r="DX12" i="55"/>
  <c r="GK322" i="55"/>
  <c r="GL322" i="55" s="1"/>
  <c r="DW322" i="55"/>
  <c r="DF322" i="55"/>
  <c r="EA322" i="55"/>
  <c r="CE322" i="55"/>
  <c r="GK290" i="55"/>
  <c r="GL290" i="55" s="1"/>
  <c r="DW290" i="55"/>
  <c r="DF290" i="55"/>
  <c r="EA290" i="55"/>
  <c r="BL290" i="55"/>
  <c r="CE290" i="55"/>
  <c r="GK258" i="55"/>
  <c r="GL258" i="55" s="1"/>
  <c r="DW258" i="55"/>
  <c r="DF258" i="55"/>
  <c r="EA258" i="55"/>
  <c r="BW258" i="55"/>
  <c r="CI258" i="55" s="1"/>
  <c r="CE258" i="55"/>
  <c r="BL258" i="55"/>
  <c r="GK226" i="55"/>
  <c r="GL226" i="55" s="1"/>
  <c r="DW226" i="55"/>
  <c r="DF226" i="55"/>
  <c r="EA226" i="55"/>
  <c r="CE226" i="55"/>
  <c r="BW226" i="55"/>
  <c r="BL226" i="55"/>
  <c r="GK194" i="55"/>
  <c r="GL194" i="55" s="1"/>
  <c r="DW194" i="55"/>
  <c r="DF194" i="55"/>
  <c r="EA194" i="55"/>
  <c r="BW194" i="55"/>
  <c r="CI194" i="55" s="1"/>
  <c r="CE194" i="55"/>
  <c r="BL194" i="55"/>
  <c r="GK162" i="55"/>
  <c r="GL162" i="55" s="1"/>
  <c r="DW162" i="55"/>
  <c r="DF162" i="55"/>
  <c r="EA162" i="55"/>
  <c r="BW162" i="55"/>
  <c r="CJ162" i="55" s="1"/>
  <c r="BL162" i="55"/>
  <c r="CE162" i="55"/>
  <c r="AY162" i="55"/>
  <c r="E162" i="55" s="1"/>
  <c r="AZ162" i="55" s="1"/>
  <c r="DW130" i="55"/>
  <c r="DF130" i="55"/>
  <c r="DQ130" i="55"/>
  <c r="BW130" i="55"/>
  <c r="CI130" i="55" s="1"/>
  <c r="CE130" i="55"/>
  <c r="BL130" i="55"/>
  <c r="GK114" i="55"/>
  <c r="GL114" i="55" s="1"/>
  <c r="DW114" i="55"/>
  <c r="EA114" i="55"/>
  <c r="DF114" i="55"/>
  <c r="CE114" i="55"/>
  <c r="BW114" i="55"/>
  <c r="CI114" i="55" s="1"/>
  <c r="AY114" i="55"/>
  <c r="GK98" i="55"/>
  <c r="GL98" i="55" s="1"/>
  <c r="DW98" i="55"/>
  <c r="EA98" i="55"/>
  <c r="DF98" i="55"/>
  <c r="CE98" i="55"/>
  <c r="BW98" i="55"/>
  <c r="CI98" i="55" s="1"/>
  <c r="BL98" i="55"/>
  <c r="GK66" i="55"/>
  <c r="GL66" i="55" s="1"/>
  <c r="DW66" i="55"/>
  <c r="DF66" i="55"/>
  <c r="EA66" i="55"/>
  <c r="BW66" i="55"/>
  <c r="CI66" i="55" s="1"/>
  <c r="CE66" i="55"/>
  <c r="BL66" i="55"/>
  <c r="GK50" i="55"/>
  <c r="GL50" i="55" s="1"/>
  <c r="DW50" i="55"/>
  <c r="EA50" i="55"/>
  <c r="DF50" i="55"/>
  <c r="CE50" i="55"/>
  <c r="BK50" i="55"/>
  <c r="GK34" i="55"/>
  <c r="GL34" i="55" s="1"/>
  <c r="EA34" i="55"/>
  <c r="DW34" i="55"/>
  <c r="DF34" i="55"/>
  <c r="BL34" i="55"/>
  <c r="CE34" i="55"/>
  <c r="GK18" i="55"/>
  <c r="GL18" i="55" s="1"/>
  <c r="DW18" i="55"/>
  <c r="DF18" i="55"/>
  <c r="EA18" i="55"/>
  <c r="BW18" i="55"/>
  <c r="CI18" i="55" s="1"/>
  <c r="CE18" i="55"/>
  <c r="BL18" i="55"/>
  <c r="AY18" i="55"/>
  <c r="AV272" i="55"/>
  <c r="AY272" i="55" s="1"/>
  <c r="AW272" i="55"/>
  <c r="AX272" i="55" s="1"/>
  <c r="AV208" i="55"/>
  <c r="AW208" i="55"/>
  <c r="AX208" i="55" s="1"/>
  <c r="AW192" i="55"/>
  <c r="AX192" i="55" s="1"/>
  <c r="AV192" i="55"/>
  <c r="AW128" i="55"/>
  <c r="AX128" i="55" s="1"/>
  <c r="AV128" i="55"/>
  <c r="AY128" i="55" s="1"/>
  <c r="AV130" i="55"/>
  <c r="AV19" i="55"/>
  <c r="DA80" i="55" a="1"/>
  <c r="DA80" i="55" s="1"/>
  <c r="DB80" i="55"/>
  <c r="BP33" i="55"/>
  <c r="BT186" i="55"/>
  <c r="BU186" i="55"/>
  <c r="BU96" i="55"/>
  <c r="CS201" i="55"/>
  <c r="CT201" i="55"/>
  <c r="CU201" i="55"/>
  <c r="CR201" i="55"/>
  <c r="CQ201" i="55"/>
  <c r="CP201" i="55"/>
  <c r="DK343" i="55"/>
  <c r="DN343" i="55"/>
  <c r="CN301" i="55"/>
  <c r="BM301" i="55" s="1" a="1"/>
  <c r="BM301" i="55" s="1"/>
  <c r="BF301" i="55"/>
  <c r="DT301" i="55" s="1"/>
  <c r="CN237" i="55"/>
  <c r="BM237" i="55" a="1"/>
  <c r="BM237" i="55" s="1"/>
  <c r="CA237" i="55" s="1"/>
  <c r="BF237" i="55"/>
  <c r="DT237" i="55" s="1"/>
  <c r="CN173" i="55"/>
  <c r="BM173" i="55" s="1" a="1"/>
  <c r="BM173" i="55" s="1"/>
  <c r="BF173" i="55"/>
  <c r="DT173" i="55" s="1"/>
  <c r="CN109" i="55"/>
  <c r="BM109" i="55" a="1"/>
  <c r="BM109" i="55" s="1"/>
  <c r="CA109" i="55" s="1"/>
  <c r="BF109" i="55"/>
  <c r="DT109" i="55" s="1"/>
  <c r="CN45" i="55"/>
  <c r="BM45" i="55" a="1"/>
  <c r="BM45" i="55" s="1"/>
  <c r="CA45" i="55" s="1"/>
  <c r="BF45" i="55"/>
  <c r="DY295" i="55"/>
  <c r="DZ295" i="55" s="1"/>
  <c r="DR295" i="55"/>
  <c r="BE295" i="55"/>
  <c r="GD295" i="55" s="1"/>
  <c r="DY263" i="55"/>
  <c r="DZ263" i="55" s="1"/>
  <c r="DR263" i="55"/>
  <c r="BE263" i="55"/>
  <c r="GD263" i="55" s="1"/>
  <c r="DY215" i="55"/>
  <c r="DZ215" i="55" s="1"/>
  <c r="DR215" i="55"/>
  <c r="BE215" i="55"/>
  <c r="C215" i="55" s="1"/>
  <c r="DR167" i="55"/>
  <c r="BE167" i="55"/>
  <c r="C167" i="55" s="1"/>
  <c r="DY119" i="55"/>
  <c r="DR119" i="55"/>
  <c r="DZ119" i="55"/>
  <c r="BE119" i="55"/>
  <c r="GD119" i="55" s="1"/>
  <c r="DY87" i="55"/>
  <c r="DZ87" i="55" s="1"/>
  <c r="DR87" i="55"/>
  <c r="BE87" i="55"/>
  <c r="GD87" i="55" s="1"/>
  <c r="GD55" i="55"/>
  <c r="DY55" i="55"/>
  <c r="C55" i="55"/>
  <c r="DR55" i="55"/>
  <c r="BU241" i="55"/>
  <c r="BT241" i="55"/>
  <c r="BU209" i="55"/>
  <c r="BT209" i="55"/>
  <c r="BU81" i="55"/>
  <c r="DA47" i="55" a="1"/>
  <c r="DA47" i="55" s="1"/>
  <c r="DB47" i="55"/>
  <c r="BM47" i="55" a="1"/>
  <c r="BM47" i="55" s="1"/>
  <c r="CX47" i="55" s="1"/>
  <c r="EB307" i="55"/>
  <c r="CJ335" i="55"/>
  <c r="BT335" i="55"/>
  <c r="BU335" i="55"/>
  <c r="BT275" i="55"/>
  <c r="BU275" i="55"/>
  <c r="BT219" i="55"/>
  <c r="BU7" i="55"/>
  <c r="BT130" i="55"/>
  <c r="BU134" i="55"/>
  <c r="CV96" i="55"/>
  <c r="CT96" i="55"/>
  <c r="CR96" i="55"/>
  <c r="CW96" i="55"/>
  <c r="CO96" i="55"/>
  <c r="CP96" i="55"/>
  <c r="CQ96" i="55"/>
  <c r="DN286" i="55"/>
  <c r="DK286" i="55"/>
  <c r="DX328" i="55"/>
  <c r="DX166" i="55"/>
  <c r="DX70" i="55"/>
  <c r="DW325" i="55"/>
  <c r="DF325" i="55"/>
  <c r="CE325" i="55"/>
  <c r="BW325" i="55"/>
  <c r="CI325" i="55" s="1"/>
  <c r="AY325" i="55"/>
  <c r="E325" i="55" s="1"/>
  <c r="AZ325" i="55" s="1"/>
  <c r="DQ325" i="55"/>
  <c r="GK261" i="55"/>
  <c r="GL261" i="55" s="1"/>
  <c r="DW261" i="55"/>
  <c r="EA261" i="55"/>
  <c r="AY261" i="55"/>
  <c r="E261" i="55" s="1"/>
  <c r="AZ261" i="55" s="1"/>
  <c r="DF261" i="55"/>
  <c r="BW261" i="55"/>
  <c r="CI261" i="55" s="1"/>
  <c r="GK181" i="55"/>
  <c r="GL181" i="55" s="1"/>
  <c r="DW181" i="55"/>
  <c r="DF181" i="55"/>
  <c r="BW181" i="55"/>
  <c r="AY181" i="55"/>
  <c r="EA181" i="55"/>
  <c r="BL181" i="55"/>
  <c r="CE181" i="55"/>
  <c r="GK133" i="55"/>
  <c r="GL133" i="55" s="1"/>
  <c r="EA133" i="55"/>
  <c r="DW133" i="55"/>
  <c r="DF133" i="55"/>
  <c r="BW133" i="55"/>
  <c r="CJ133" i="55" s="1"/>
  <c r="AY133" i="55"/>
  <c r="GK69" i="55"/>
  <c r="GL69" i="55" s="1"/>
  <c r="DW69" i="55"/>
  <c r="EA69" i="55"/>
  <c r="DF69" i="55"/>
  <c r="AY69" i="55"/>
  <c r="CE69" i="55"/>
  <c r="BL69" i="55"/>
  <c r="GK21" i="55"/>
  <c r="GL21" i="55" s="1"/>
  <c r="EA21" i="55"/>
  <c r="DW21" i="55"/>
  <c r="DF21" i="55"/>
  <c r="CE21" i="55"/>
  <c r="BW21" i="55"/>
  <c r="AW323" i="55"/>
  <c r="AX323" i="55" s="1"/>
  <c r="AV323" i="55"/>
  <c r="AV291" i="55"/>
  <c r="AW291" i="55"/>
  <c r="AX291" i="55" s="1"/>
  <c r="AV227" i="55"/>
  <c r="AW227" i="55"/>
  <c r="AX227" i="55" s="1"/>
  <c r="AV35" i="55"/>
  <c r="AW35" i="55"/>
  <c r="AX35" i="55" s="1"/>
  <c r="AY35" i="55" s="1"/>
  <c r="E35" i="55" s="1"/>
  <c r="AZ35" i="55" s="1"/>
  <c r="CN332" i="55"/>
  <c r="BF332" i="55"/>
  <c r="DT332" i="55" s="1"/>
  <c r="CN268" i="55"/>
  <c r="BF268" i="55"/>
  <c r="BF204" i="55"/>
  <c r="CQ204" i="55" s="1"/>
  <c r="CN76" i="55"/>
  <c r="BF76" i="55"/>
  <c r="DT76" i="55" s="1"/>
  <c r="DY342" i="55"/>
  <c r="DZ342" i="55" s="1"/>
  <c r="DR342" i="55"/>
  <c r="BE342" i="55"/>
  <c r="C342" i="55" s="1"/>
  <c r="GD230" i="55"/>
  <c r="DZ230" i="55"/>
  <c r="DR230" i="55"/>
  <c r="DY230" i="55"/>
  <c r="BE230" i="55"/>
  <c r="DR22" i="55"/>
  <c r="BE22" i="55"/>
  <c r="GD22" i="55" s="1"/>
  <c r="DB326" i="55"/>
  <c r="DA326" i="55" a="1"/>
  <c r="DA326" i="55" s="1"/>
  <c r="DX326" i="55"/>
  <c r="CY326" i="55"/>
  <c r="DX288" i="55"/>
  <c r="DX193" i="55"/>
  <c r="DX164" i="55"/>
  <c r="DX126" i="55"/>
  <c r="AY291" i="55"/>
  <c r="E291" i="55" s="1"/>
  <c r="AZ291" i="55" s="1"/>
  <c r="AY51" i="55"/>
  <c r="E51" i="55" s="1"/>
  <c r="AZ51" i="55" s="1"/>
  <c r="AY3" i="55"/>
  <c r="AW179" i="55"/>
  <c r="AX179" i="55" s="1"/>
  <c r="CN330" i="55"/>
  <c r="CN282" i="55"/>
  <c r="BF282" i="55"/>
  <c r="DT282" i="55" s="1"/>
  <c r="CN234" i="55"/>
  <c r="BF234" i="55"/>
  <c r="DT234" i="55" s="1"/>
  <c r="CN186" i="55"/>
  <c r="BF186" i="55"/>
  <c r="DT186" i="55" s="1"/>
  <c r="CN138" i="55"/>
  <c r="BF138" i="55"/>
  <c r="CN90" i="55"/>
  <c r="CN42" i="55"/>
  <c r="BF42" i="55"/>
  <c r="DT42" i="55" s="1"/>
  <c r="GD340" i="55"/>
  <c r="DY340" i="55"/>
  <c r="DZ340" i="55" s="1"/>
  <c r="DR340" i="55"/>
  <c r="BE340" i="55"/>
  <c r="C340" i="55" s="1"/>
  <c r="DY292" i="55"/>
  <c r="DZ292" i="55" s="1"/>
  <c r="DR292" i="55"/>
  <c r="BE292" i="55"/>
  <c r="C292" i="55" s="1"/>
  <c r="DR276" i="55"/>
  <c r="DY276" i="55"/>
  <c r="DZ276" i="55" s="1"/>
  <c r="DY228" i="55"/>
  <c r="DZ228" i="55" s="1"/>
  <c r="DR228" i="55"/>
  <c r="BE228" i="55"/>
  <c r="GD196" i="55"/>
  <c r="DY196" i="55"/>
  <c r="DZ196" i="55" s="1"/>
  <c r="DR196" i="55"/>
  <c r="DR164" i="55"/>
  <c r="DY164" i="55"/>
  <c r="DZ164" i="55" s="1"/>
  <c r="BE164" i="55"/>
  <c r="GD164" i="55" s="1"/>
  <c r="DR148" i="55"/>
  <c r="DY148" i="55"/>
  <c r="DZ148" i="55" s="1"/>
  <c r="DY100" i="55"/>
  <c r="DR100" i="55"/>
  <c r="DZ100" i="55"/>
  <c r="BE100" i="55"/>
  <c r="DY68" i="55"/>
  <c r="DZ68" i="55" s="1"/>
  <c r="DR68" i="55"/>
  <c r="BE68" i="55"/>
  <c r="DY52" i="55"/>
  <c r="BE52" i="55"/>
  <c r="GD52" i="55" s="1"/>
  <c r="DR52" i="55"/>
  <c r="GD20" i="55"/>
  <c r="DR20" i="55"/>
  <c r="C20" i="55"/>
  <c r="BP277" i="55"/>
  <c r="BR213" i="55"/>
  <c r="BT302" i="55"/>
  <c r="DA83" i="55" a="1"/>
  <c r="DA83" i="55" s="1"/>
  <c r="DB83" i="55"/>
  <c r="BT330" i="55"/>
  <c r="BU330" i="55"/>
  <c r="BU216" i="55"/>
  <c r="BT216" i="55"/>
  <c r="DN284" i="55"/>
  <c r="DK284" i="55"/>
  <c r="DX336" i="55"/>
  <c r="ET336" i="55"/>
  <c r="ET337" i="55" s="1"/>
  <c r="ET338" i="55" s="1"/>
  <c r="ET339" i="55" s="1"/>
  <c r="ET340" i="55" s="1"/>
  <c r="CY336" i="55"/>
  <c r="EK88" i="55"/>
  <c r="DX88" i="55"/>
  <c r="CY88" i="55"/>
  <c r="EK3" i="55"/>
  <c r="DX3" i="55"/>
  <c r="CY3" i="55"/>
  <c r="CY4" i="55" s="1"/>
  <c r="CY5" i="55" s="1"/>
  <c r="CZ5" i="55" s="1"/>
  <c r="AV16" i="55"/>
  <c r="AW16" i="55"/>
  <c r="AX16" i="55" s="1"/>
  <c r="BF124" i="55"/>
  <c r="BP17" i="55"/>
  <c r="DB269" i="55"/>
  <c r="DA269" i="55" a="1"/>
  <c r="DA269" i="55" s="1"/>
  <c r="BU295" i="55"/>
  <c r="BT295" i="55"/>
  <c r="BT31" i="55"/>
  <c r="BU31" i="55"/>
  <c r="CU96" i="55"/>
  <c r="GK321" i="55"/>
  <c r="GL321" i="55" s="1"/>
  <c r="EA321" i="55"/>
  <c r="DW321" i="55"/>
  <c r="CE321" i="55"/>
  <c r="BW321" i="55"/>
  <c r="CI321" i="55" s="1"/>
  <c r="DF321" i="55"/>
  <c r="BL321" i="55"/>
  <c r="GK289" i="55"/>
  <c r="GL289" i="55" s="1"/>
  <c r="EA289" i="55"/>
  <c r="DW289" i="55"/>
  <c r="DF289" i="55"/>
  <c r="CE289" i="55"/>
  <c r="BW289" i="55"/>
  <c r="CI289" i="55" s="1"/>
  <c r="GK257" i="55"/>
  <c r="GL257" i="55" s="1"/>
  <c r="EA257" i="55"/>
  <c r="DW257" i="55"/>
  <c r="DF257" i="55"/>
  <c r="CE257" i="55"/>
  <c r="BW257" i="55"/>
  <c r="CI257" i="55" s="1"/>
  <c r="BL257" i="55"/>
  <c r="GK225" i="55"/>
  <c r="GL225" i="55" s="1"/>
  <c r="EA225" i="55"/>
  <c r="DW225" i="55"/>
  <c r="DF225" i="55"/>
  <c r="CE225" i="55"/>
  <c r="BL225" i="55"/>
  <c r="GK193" i="55"/>
  <c r="GL193" i="55" s="1"/>
  <c r="EA193" i="55"/>
  <c r="DW193" i="55"/>
  <c r="CE193" i="55"/>
  <c r="BW193" i="55"/>
  <c r="CI193" i="55" s="1"/>
  <c r="DF193" i="55"/>
  <c r="BL193" i="55"/>
  <c r="GK161" i="55"/>
  <c r="GL161" i="55" s="1"/>
  <c r="CE161" i="55"/>
  <c r="DW161" i="55"/>
  <c r="EA161" i="55"/>
  <c r="DF161" i="55"/>
  <c r="BL161" i="55"/>
  <c r="GK129" i="55"/>
  <c r="GL129" i="55" s="1"/>
  <c r="EA129" i="55"/>
  <c r="DF129" i="55"/>
  <c r="DW129" i="55"/>
  <c r="BW129" i="55"/>
  <c r="CI129" i="55" s="1"/>
  <c r="CE129" i="55"/>
  <c r="BL129" i="55"/>
  <c r="GK65" i="55"/>
  <c r="GL65" i="55" s="1"/>
  <c r="DW65" i="55"/>
  <c r="EA65" i="55"/>
  <c r="DF65" i="55"/>
  <c r="CE65" i="55"/>
  <c r="BW65" i="55"/>
  <c r="BL65" i="55"/>
  <c r="AV127" i="55"/>
  <c r="AW127" i="55"/>
  <c r="AX127" i="55" s="1"/>
  <c r="AV111" i="55"/>
  <c r="AW111" i="55"/>
  <c r="AX111" i="55" s="1"/>
  <c r="AV47" i="55"/>
  <c r="AW47" i="55"/>
  <c r="AX47" i="55" s="1"/>
  <c r="AV15" i="55"/>
  <c r="AW15" i="55"/>
  <c r="AX15" i="55" s="1"/>
  <c r="AV322" i="55"/>
  <c r="AY322" i="55" s="1"/>
  <c r="E322" i="55" s="1"/>
  <c r="AZ322" i="55" s="1"/>
  <c r="CN296" i="55"/>
  <c r="BF296" i="55"/>
  <c r="DT296" i="55" s="1"/>
  <c r="CN216" i="55"/>
  <c r="CN152" i="55"/>
  <c r="BF152" i="55"/>
  <c r="DT152" i="55" s="1"/>
  <c r="CN88" i="55"/>
  <c r="BF88" i="55"/>
  <c r="CN24" i="55"/>
  <c r="BF24" i="55"/>
  <c r="DT24" i="55" s="1"/>
  <c r="DR338" i="55"/>
  <c r="DY338" i="55"/>
  <c r="GD290" i="55"/>
  <c r="DY290" i="55"/>
  <c r="DR290" i="55"/>
  <c r="GD226" i="55"/>
  <c r="DY226" i="55"/>
  <c r="DR226" i="55"/>
  <c r="BE226" i="55"/>
  <c r="DR178" i="55"/>
  <c r="DY178" i="55"/>
  <c r="DZ178" i="55" s="1"/>
  <c r="BE178" i="55"/>
  <c r="DY114" i="55"/>
  <c r="DR114" i="55"/>
  <c r="DR82" i="55"/>
  <c r="DY82" i="55"/>
  <c r="BE82" i="55"/>
  <c r="GD82" i="55" s="1"/>
  <c r="DY50" i="55"/>
  <c r="DR50" i="55"/>
  <c r="BE50" i="55"/>
  <c r="GD50" i="55" s="1"/>
  <c r="DR18" i="55"/>
  <c r="BE18" i="55"/>
  <c r="C18" i="55" s="1"/>
  <c r="BU8" i="55"/>
  <c r="DB265" i="55"/>
  <c r="DA265" i="55" a="1"/>
  <c r="DA265" i="55" s="1"/>
  <c r="DC265" i="55" s="1"/>
  <c r="DB77" i="55"/>
  <c r="DA77" i="55" a="1"/>
  <c r="DA77" i="55" s="1"/>
  <c r="DC77" i="55" s="1"/>
  <c r="BT183" i="55"/>
  <c r="BU183" i="55"/>
  <c r="DX296" i="55"/>
  <c r="DX277" i="55"/>
  <c r="DX267" i="55"/>
  <c r="DX258" i="55"/>
  <c r="DX229" i="55"/>
  <c r="DX211" i="55"/>
  <c r="DX134" i="55"/>
  <c r="DA288" i="55" a="1"/>
  <c r="DA288" i="55" s="1"/>
  <c r="DB288" i="55"/>
  <c r="DA32" i="55" a="1"/>
  <c r="DA32" i="55" s="1"/>
  <c r="CV343" i="55"/>
  <c r="CO343" i="55"/>
  <c r="BR338" i="55"/>
  <c r="BP338" i="55"/>
  <c r="BR162" i="55"/>
  <c r="BP162" i="55"/>
  <c r="BJ50" i="55"/>
  <c r="BU235" i="55"/>
  <c r="CJ235" i="55"/>
  <c r="CG235" i="55"/>
  <c r="DB22" i="55"/>
  <c r="DA22" i="55" a="1"/>
  <c r="DA22" i="55" s="1"/>
  <c r="DC22" i="55" s="1"/>
  <c r="DK73" i="55"/>
  <c r="DN73" i="55"/>
  <c r="DY167" i="55"/>
  <c r="DZ167" i="55" s="1"/>
  <c r="C230" i="55"/>
  <c r="DX324" i="55"/>
  <c r="DX315" i="55"/>
  <c r="CY315" i="55"/>
  <c r="CY316" i="55" s="1"/>
  <c r="DX257" i="55"/>
  <c r="DX247" i="55"/>
  <c r="DX238" i="55"/>
  <c r="DX191" i="55"/>
  <c r="DX162" i="55"/>
  <c r="DX152" i="55"/>
  <c r="DX142" i="55"/>
  <c r="DX67" i="55"/>
  <c r="DX57" i="55"/>
  <c r="DX29" i="55"/>
  <c r="AV288" i="55"/>
  <c r="AV178" i="55"/>
  <c r="AY178" i="55" s="1"/>
  <c r="E178" i="55" s="1"/>
  <c r="AZ178" i="55" s="1"/>
  <c r="AW336" i="55"/>
  <c r="AX336" i="55" s="1"/>
  <c r="AW223" i="55"/>
  <c r="AX223" i="55" s="1"/>
  <c r="AW98" i="55"/>
  <c r="AX98" i="55" s="1"/>
  <c r="AY98" i="55" s="1"/>
  <c r="AY276" i="55"/>
  <c r="BE148" i="55"/>
  <c r="BE114" i="55"/>
  <c r="C114" i="55" s="1"/>
  <c r="CF20" i="55"/>
  <c r="CG20" i="55" s="1"/>
  <c r="BP337" i="55"/>
  <c r="EB337" i="55" s="1"/>
  <c r="BR321" i="55"/>
  <c r="BP321" i="55"/>
  <c r="CG321" i="55"/>
  <c r="CG305" i="55"/>
  <c r="BP289" i="55"/>
  <c r="BR289" i="55"/>
  <c r="BR257" i="55"/>
  <c r="CG257" i="55"/>
  <c r="BP257" i="55"/>
  <c r="BR241" i="55"/>
  <c r="EB241" i="55" s="1"/>
  <c r="BP241" i="55"/>
  <c r="BP225" i="55"/>
  <c r="BR225" i="55"/>
  <c r="BP209" i="55"/>
  <c r="BR209" i="55"/>
  <c r="BR177" i="55"/>
  <c r="BP177" i="55"/>
  <c r="BR161" i="55"/>
  <c r="BP145" i="55"/>
  <c r="BR145" i="55"/>
  <c r="EB145" i="55" s="1"/>
  <c r="BP129" i="55"/>
  <c r="BR129" i="55"/>
  <c r="CG129" i="55"/>
  <c r="BR113" i="55"/>
  <c r="EB113" i="55" s="1"/>
  <c r="BP97" i="55"/>
  <c r="BR97" i="55"/>
  <c r="EB97" i="55" s="1"/>
  <c r="CG97" i="55"/>
  <c r="CG81" i="55"/>
  <c r="BR81" i="55"/>
  <c r="BP65" i="55"/>
  <c r="BR65" i="55"/>
  <c r="BP49" i="55"/>
  <c r="CG49" i="55"/>
  <c r="BR49" i="55"/>
  <c r="EB49" i="55" s="1"/>
  <c r="BR33" i="55"/>
  <c r="BT314" i="55"/>
  <c r="BU314" i="55"/>
  <c r="BL261" i="55"/>
  <c r="DA211" i="55" a="1"/>
  <c r="DA211" i="55" s="1"/>
  <c r="DB211" i="55"/>
  <c r="DA169" i="55" a="1"/>
  <c r="DA169" i="55" s="1"/>
  <c r="DB70" i="55"/>
  <c r="DA70" i="55" a="1"/>
  <c r="DA70" i="55" s="1"/>
  <c r="BL21" i="55"/>
  <c r="BR352" i="55"/>
  <c r="EB352" i="55" s="1"/>
  <c r="BR274" i="55"/>
  <c r="CJ262" i="55"/>
  <c r="BT262" i="55"/>
  <c r="BU262" i="55"/>
  <c r="CJ238" i="55"/>
  <c r="BT238" i="55"/>
  <c r="BU238" i="55"/>
  <c r="BT115" i="55"/>
  <c r="BU115" i="55"/>
  <c r="CJ115" i="55"/>
  <c r="BU90" i="55"/>
  <c r="BT90" i="55"/>
  <c r="BU55" i="55"/>
  <c r="BT55" i="55"/>
  <c r="BT319" i="55"/>
  <c r="BT235" i="55"/>
  <c r="CI22" i="55"/>
  <c r="CS304" i="55"/>
  <c r="CT304" i="55"/>
  <c r="CV304" i="55"/>
  <c r="CQ36" i="55"/>
  <c r="CW36" i="55"/>
  <c r="DN324" i="55"/>
  <c r="DK324" i="55"/>
  <c r="DK288" i="55"/>
  <c r="DN288" i="55"/>
  <c r="DN119" i="55"/>
  <c r="DK119" i="55"/>
  <c r="DK72" i="55"/>
  <c r="DN72" i="55"/>
  <c r="GT348" i="55"/>
  <c r="GT332" i="55"/>
  <c r="GT316" i="55"/>
  <c r="GT300" i="55"/>
  <c r="GT284" i="55"/>
  <c r="GT268" i="55"/>
  <c r="GT252" i="55"/>
  <c r="GT236" i="55"/>
  <c r="GT220" i="55"/>
  <c r="GT204" i="55"/>
  <c r="GT188" i="55"/>
  <c r="GT172" i="55"/>
  <c r="GT156" i="55"/>
  <c r="GT140" i="55"/>
  <c r="GT124" i="55"/>
  <c r="GT108" i="55"/>
  <c r="GT92" i="55"/>
  <c r="GT76" i="55"/>
  <c r="GT60" i="55"/>
  <c r="GT44" i="55"/>
  <c r="GT28" i="55"/>
  <c r="GT12" i="55"/>
  <c r="GT248" i="55"/>
  <c r="GT52" i="55"/>
  <c r="GT17" i="55"/>
  <c r="CN333" i="55"/>
  <c r="BM333" i="55" a="1"/>
  <c r="BM333" i="55" s="1"/>
  <c r="CA333" i="55" s="1"/>
  <c r="BF333" i="55"/>
  <c r="DT333" i="55" s="1"/>
  <c r="CN253" i="55"/>
  <c r="CN189" i="55"/>
  <c r="BF189" i="55"/>
  <c r="DT189" i="55" s="1"/>
  <c r="CN125" i="55"/>
  <c r="BF125" i="55"/>
  <c r="DT125" i="55" s="1"/>
  <c r="CN61" i="55"/>
  <c r="BF61" i="55"/>
  <c r="DT61" i="55" s="1"/>
  <c r="DY311" i="55"/>
  <c r="DZ311" i="55" s="1"/>
  <c r="DR311" i="55"/>
  <c r="BE311" i="55"/>
  <c r="GD311" i="55" s="1"/>
  <c r="DR247" i="55"/>
  <c r="DY247" i="55"/>
  <c r="DZ247" i="55" s="1"/>
  <c r="BE247" i="55"/>
  <c r="GD247" i="55" s="1"/>
  <c r="DY183" i="55"/>
  <c r="DZ183" i="55" s="1"/>
  <c r="DR183" i="55"/>
  <c r="BE183" i="55"/>
  <c r="GD23" i="55"/>
  <c r="DR23" i="55"/>
  <c r="C23" i="55"/>
  <c r="BU305" i="55"/>
  <c r="BU145" i="55"/>
  <c r="BT145" i="55"/>
  <c r="DA237" i="55" a="1"/>
  <c r="DA237" i="55" s="1"/>
  <c r="DB237" i="55"/>
  <c r="BU103" i="55"/>
  <c r="CI69" i="55"/>
  <c r="CU220" i="55"/>
  <c r="CQ220" i="55"/>
  <c r="DK245" i="55"/>
  <c r="DN245" i="55"/>
  <c r="DX347" i="55"/>
  <c r="DX318" i="55"/>
  <c r="DX251" i="55"/>
  <c r="DX61" i="55"/>
  <c r="DX5" i="55"/>
  <c r="GK293" i="55"/>
  <c r="GL293" i="55" s="1"/>
  <c r="DF293" i="55"/>
  <c r="DW293" i="55"/>
  <c r="BW293" i="55"/>
  <c r="CE293" i="55"/>
  <c r="AY293" i="55"/>
  <c r="E293" i="55" s="1"/>
  <c r="AZ293" i="55" s="1"/>
  <c r="BL293" i="55"/>
  <c r="GK229" i="55"/>
  <c r="GL229" i="55" s="1"/>
  <c r="EA229" i="55"/>
  <c r="DW229" i="55"/>
  <c r="CE229" i="55"/>
  <c r="BW229" i="55"/>
  <c r="CI229" i="55" s="1"/>
  <c r="AY229" i="55"/>
  <c r="E229" i="55" s="1"/>
  <c r="AZ229" i="55" s="1"/>
  <c r="BL229" i="55"/>
  <c r="DF229" i="55"/>
  <c r="GK149" i="55"/>
  <c r="GL149" i="55" s="1"/>
  <c r="DW149" i="55"/>
  <c r="EA149" i="55"/>
  <c r="BW149" i="55"/>
  <c r="CE149" i="55"/>
  <c r="AY149" i="55"/>
  <c r="GK85" i="55"/>
  <c r="GL85" i="55" s="1"/>
  <c r="EA85" i="55"/>
  <c r="DW85" i="55"/>
  <c r="DF85" i="55"/>
  <c r="BW85" i="55"/>
  <c r="CI85" i="55" s="1"/>
  <c r="CE85" i="55"/>
  <c r="GK5" i="55"/>
  <c r="GL5" i="55" s="1"/>
  <c r="EA5" i="55"/>
  <c r="CE5" i="55"/>
  <c r="DW5" i="55"/>
  <c r="AY5" i="55"/>
  <c r="BL5" i="55"/>
  <c r="BW5" i="55"/>
  <c r="CI5" i="55" s="1"/>
  <c r="AY160" i="55"/>
  <c r="E160" i="55" s="1"/>
  <c r="AZ160" i="55" s="1"/>
  <c r="CN348" i="55"/>
  <c r="BF348" i="55"/>
  <c r="DT348" i="55" s="1"/>
  <c r="CN284" i="55"/>
  <c r="BF284" i="55"/>
  <c r="DT284" i="55" s="1"/>
  <c r="CN156" i="55"/>
  <c r="BF156" i="55"/>
  <c r="DT156" i="55" s="1"/>
  <c r="CN92" i="55"/>
  <c r="CN28" i="55"/>
  <c r="BF28" i="55"/>
  <c r="DT28" i="55" s="1"/>
  <c r="GD310" i="55"/>
  <c r="DR310" i="55"/>
  <c r="DY310" i="55"/>
  <c r="DZ310" i="55" s="1"/>
  <c r="DY262" i="55"/>
  <c r="DR262" i="55"/>
  <c r="DY198" i="55"/>
  <c r="DZ198" i="55" s="1"/>
  <c r="DR198" i="55"/>
  <c r="BE198" i="55"/>
  <c r="C198" i="55" s="1"/>
  <c r="DY150" i="55"/>
  <c r="DZ150" i="55" s="1"/>
  <c r="BE150" i="55"/>
  <c r="GD150" i="55" s="1"/>
  <c r="DR150" i="55"/>
  <c r="DY102" i="55"/>
  <c r="DR102" i="55"/>
  <c r="DZ102" i="55"/>
  <c r="BE102" i="55"/>
  <c r="GD102" i="55" s="1"/>
  <c r="C102" i="55"/>
  <c r="DR38" i="55"/>
  <c r="DY38" i="55"/>
  <c r="C38" i="55"/>
  <c r="BE38" i="55"/>
  <c r="GD38" i="55" s="1"/>
  <c r="DT175" i="55"/>
  <c r="DV113" i="55"/>
  <c r="BZ113" i="55"/>
  <c r="AY275" i="55"/>
  <c r="E275" i="55" s="1"/>
  <c r="AZ275" i="55" s="1"/>
  <c r="AY115" i="55"/>
  <c r="CI48" i="55"/>
  <c r="AW259" i="55"/>
  <c r="AX259" i="55" s="1"/>
  <c r="AY259" i="55" s="1"/>
  <c r="E259" i="55" s="1"/>
  <c r="AZ259" i="55" s="1"/>
  <c r="CN314" i="55"/>
  <c r="BF314" i="55"/>
  <c r="CN266" i="55"/>
  <c r="BF266" i="55"/>
  <c r="DT266" i="55" s="1"/>
  <c r="CN218" i="55"/>
  <c r="CN170" i="55"/>
  <c r="BF170" i="55"/>
  <c r="CN122" i="55"/>
  <c r="CN74" i="55"/>
  <c r="BF74" i="55"/>
  <c r="DT74" i="55" s="1"/>
  <c r="CN26" i="55"/>
  <c r="BF26" i="55"/>
  <c r="DT26" i="55" s="1"/>
  <c r="DY308" i="55"/>
  <c r="DZ308" i="55"/>
  <c r="DR308" i="55"/>
  <c r="DY260" i="55"/>
  <c r="DR260" i="55"/>
  <c r="DR212" i="55"/>
  <c r="DY212" i="55"/>
  <c r="DZ212" i="55" s="1"/>
  <c r="BE212" i="55"/>
  <c r="C212" i="55" s="1"/>
  <c r="DR180" i="55"/>
  <c r="DY180" i="55"/>
  <c r="BE180" i="55"/>
  <c r="GD180" i="55" s="1"/>
  <c r="DY132" i="55"/>
  <c r="DR132" i="55"/>
  <c r="BE132" i="55"/>
  <c r="C132" i="55" s="1"/>
  <c r="DY84" i="55"/>
  <c r="DZ84" i="55"/>
  <c r="DR84" i="55"/>
  <c r="BE84" i="55"/>
  <c r="GD84" i="55" s="1"/>
  <c r="DR36" i="55"/>
  <c r="DY36" i="55"/>
  <c r="BE36" i="55"/>
  <c r="GD36" i="55" s="1"/>
  <c r="DR4" i="55"/>
  <c r="BP245" i="55"/>
  <c r="DB324" i="55"/>
  <c r="DA324" i="55" a="1"/>
  <c r="DA324" i="55" s="1"/>
  <c r="BM324" i="55" a="1"/>
  <c r="BM324" i="55" s="1"/>
  <c r="DA176" i="55" a="1"/>
  <c r="DA176" i="55" s="1"/>
  <c r="DB176" i="55"/>
  <c r="BU296" i="55"/>
  <c r="BT296" i="55"/>
  <c r="BU240" i="55"/>
  <c r="BT240" i="55"/>
  <c r="CJ158" i="55"/>
  <c r="BT158" i="55"/>
  <c r="BT126" i="55"/>
  <c r="BZ177" i="55"/>
  <c r="CJ86" i="55"/>
  <c r="DX297" i="55"/>
  <c r="DX203" i="55"/>
  <c r="DX183" i="55"/>
  <c r="EK154" i="55"/>
  <c r="CY154" i="55"/>
  <c r="CY155" i="55" s="1"/>
  <c r="CZ155" i="55" s="1"/>
  <c r="DX154" i="55"/>
  <c r="DX135" i="55"/>
  <c r="DX40" i="55"/>
  <c r="DX22" i="55"/>
  <c r="GK338" i="55"/>
  <c r="GL338" i="55" s="1"/>
  <c r="DW338" i="55"/>
  <c r="EA338" i="55"/>
  <c r="BL338" i="55"/>
  <c r="CE338" i="55"/>
  <c r="BW338" i="55"/>
  <c r="GK306" i="55"/>
  <c r="GL306" i="55" s="1"/>
  <c r="DW306" i="55"/>
  <c r="DF306" i="55"/>
  <c r="EA306" i="55"/>
  <c r="CE306" i="55"/>
  <c r="BW306" i="55"/>
  <c r="CJ306" i="55" s="1"/>
  <c r="BL306" i="55"/>
  <c r="AY306" i="55"/>
  <c r="E306" i="55" s="1"/>
  <c r="AZ306" i="55" s="1"/>
  <c r="GK274" i="55"/>
  <c r="GL274" i="55" s="1"/>
  <c r="DW274" i="55"/>
  <c r="DF274" i="55"/>
  <c r="EA274" i="55"/>
  <c r="BL274" i="55"/>
  <c r="GK242" i="55"/>
  <c r="GL242" i="55" s="1"/>
  <c r="DW242" i="55"/>
  <c r="DF242" i="55"/>
  <c r="BW242" i="55"/>
  <c r="BL242" i="55"/>
  <c r="AY242" i="55"/>
  <c r="E242" i="55" s="1"/>
  <c r="AZ242" i="55" s="1"/>
  <c r="CE242" i="55"/>
  <c r="GK210" i="55"/>
  <c r="GL210" i="55" s="1"/>
  <c r="DW210" i="55"/>
  <c r="DF210" i="55"/>
  <c r="EA210" i="55"/>
  <c r="BL210" i="55"/>
  <c r="BW210" i="55"/>
  <c r="CI210" i="55" s="1"/>
  <c r="GK178" i="55"/>
  <c r="GL178" i="55" s="1"/>
  <c r="DW178" i="55"/>
  <c r="DF178" i="55"/>
  <c r="CE178" i="55"/>
  <c r="EA178" i="55"/>
  <c r="GK146" i="55"/>
  <c r="GL146" i="55" s="1"/>
  <c r="DW146" i="55"/>
  <c r="EA146" i="55"/>
  <c r="DF146" i="55"/>
  <c r="BW146" i="55"/>
  <c r="CE146" i="55"/>
  <c r="BL146" i="55"/>
  <c r="GK82" i="55"/>
  <c r="GL82" i="55" s="1"/>
  <c r="DW82" i="55"/>
  <c r="EA82" i="55"/>
  <c r="DF82" i="55"/>
  <c r="CE82" i="55"/>
  <c r="BL82" i="55"/>
  <c r="BW82" i="55"/>
  <c r="AW258" i="55"/>
  <c r="AX258" i="55" s="1"/>
  <c r="AY258" i="55" s="1"/>
  <c r="E258" i="55" s="1"/>
  <c r="AZ258" i="55" s="1"/>
  <c r="BE310" i="55"/>
  <c r="C310" i="55" s="1"/>
  <c r="BE276" i="55"/>
  <c r="C276" i="55" s="1"/>
  <c r="BF250" i="55"/>
  <c r="DT250" i="55" s="1"/>
  <c r="EB270" i="55"/>
  <c r="BR324" i="55"/>
  <c r="BP212" i="55"/>
  <c r="DB175" i="55"/>
  <c r="DA175" i="55" a="1"/>
  <c r="DA175" i="55" s="1"/>
  <c r="BP305" i="55"/>
  <c r="EB10" i="55"/>
  <c r="BW248" i="55"/>
  <c r="DN279" i="55"/>
  <c r="DK279" i="55"/>
  <c r="EK335" i="55"/>
  <c r="ET335" i="55"/>
  <c r="CY335" i="55"/>
  <c r="DX335" i="55"/>
  <c r="DX325" i="55"/>
  <c r="CY325" i="55"/>
  <c r="CZ325" i="55" s="1"/>
  <c r="DX316" i="55"/>
  <c r="DX306" i="55"/>
  <c r="DX259" i="55"/>
  <c r="DX248" i="55"/>
  <c r="DX239" i="55"/>
  <c r="DX221" i="55"/>
  <c r="DX202" i="55"/>
  <c r="DX182" i="55"/>
  <c r="DX163" i="55"/>
  <c r="DX144" i="55"/>
  <c r="DX87" i="55"/>
  <c r="DX78" i="55"/>
  <c r="DX68" i="55"/>
  <c r="DX59" i="55"/>
  <c r="DX21" i="55"/>
  <c r="GK337" i="55"/>
  <c r="GL337" i="55" s="1"/>
  <c r="EA337" i="55"/>
  <c r="DW337" i="55"/>
  <c r="CE337" i="55"/>
  <c r="BW337" i="55"/>
  <c r="CI337" i="55" s="1"/>
  <c r="BL337" i="55"/>
  <c r="GK305" i="55"/>
  <c r="GL305" i="55" s="1"/>
  <c r="EA305" i="55"/>
  <c r="DW305" i="55"/>
  <c r="CE305" i="55"/>
  <c r="BW305" i="55"/>
  <c r="BL305" i="55"/>
  <c r="AY305" i="55"/>
  <c r="E305" i="55" s="1"/>
  <c r="AZ305" i="55" s="1"/>
  <c r="GK273" i="55"/>
  <c r="GL273" i="55" s="1"/>
  <c r="EA273" i="55"/>
  <c r="DW273" i="55"/>
  <c r="DF273" i="55"/>
  <c r="CE273" i="55"/>
  <c r="BW273" i="55"/>
  <c r="CI273" i="55" s="1"/>
  <c r="BL273" i="55"/>
  <c r="AY273" i="55"/>
  <c r="GK241" i="55"/>
  <c r="GL241" i="55" s="1"/>
  <c r="EA241" i="55"/>
  <c r="DF241" i="55"/>
  <c r="DW241" i="55"/>
  <c r="CE241" i="55"/>
  <c r="BW241" i="55"/>
  <c r="AY241" i="55"/>
  <c r="E241" i="55" s="1"/>
  <c r="AZ241" i="55" s="1"/>
  <c r="GK209" i="55"/>
  <c r="GL209" i="55" s="1"/>
  <c r="EA209" i="55"/>
  <c r="DF209" i="55"/>
  <c r="CE209" i="55"/>
  <c r="BW209" i="55"/>
  <c r="CI209" i="55" s="1"/>
  <c r="BL209" i="55"/>
  <c r="AY209" i="55"/>
  <c r="E209" i="55" s="1"/>
  <c r="AZ209" i="55" s="1"/>
  <c r="GK177" i="55"/>
  <c r="GL177" i="55" s="1"/>
  <c r="DW177" i="55"/>
  <c r="DF177" i="55"/>
  <c r="CE177" i="55"/>
  <c r="BW177" i="55"/>
  <c r="EA177" i="55"/>
  <c r="GK145" i="55"/>
  <c r="GL145" i="55" s="1"/>
  <c r="DW145" i="55"/>
  <c r="DF145" i="55"/>
  <c r="EA145" i="55"/>
  <c r="BW145" i="55"/>
  <c r="CE145" i="55"/>
  <c r="BL145" i="55"/>
  <c r="GK113" i="55"/>
  <c r="GL113" i="55" s="1"/>
  <c r="DF113" i="55"/>
  <c r="EA113" i="55"/>
  <c r="DW113" i="55"/>
  <c r="BW113" i="55"/>
  <c r="CJ113" i="55" s="1"/>
  <c r="CE113" i="55"/>
  <c r="GK49" i="55"/>
  <c r="GL49" i="55" s="1"/>
  <c r="DW49" i="55"/>
  <c r="DF49" i="55"/>
  <c r="EA49" i="55"/>
  <c r="BW49" i="55"/>
  <c r="CE49" i="55"/>
  <c r="AV271" i="55"/>
  <c r="AW271" i="55"/>
  <c r="AX271" i="55" s="1"/>
  <c r="AV255" i="55"/>
  <c r="AW255" i="55"/>
  <c r="AX255" i="55" s="1"/>
  <c r="AY159" i="55"/>
  <c r="E159" i="55" s="1"/>
  <c r="AZ159" i="55" s="1"/>
  <c r="AV95" i="55"/>
  <c r="AW95" i="55"/>
  <c r="AX95" i="55" s="1"/>
  <c r="CN328" i="55"/>
  <c r="CN264" i="55"/>
  <c r="BF264" i="55"/>
  <c r="DT264" i="55" s="1"/>
  <c r="CN200" i="55"/>
  <c r="BF136" i="55"/>
  <c r="DT136" i="55" s="1"/>
  <c r="CN136" i="55"/>
  <c r="CN72" i="55"/>
  <c r="CN8" i="55"/>
  <c r="DY322" i="55"/>
  <c r="DZ322" i="55" s="1"/>
  <c r="DR322" i="55"/>
  <c r="BE322" i="55"/>
  <c r="GD322" i="55" s="1"/>
  <c r="GD242" i="55"/>
  <c r="DR242" i="55"/>
  <c r="DY242" i="55"/>
  <c r="DZ242" i="55" s="1"/>
  <c r="C242" i="55"/>
  <c r="DY162" i="55"/>
  <c r="DZ162" i="55" s="1"/>
  <c r="DR162" i="55"/>
  <c r="BE162" i="55"/>
  <c r="GD162" i="55" s="1"/>
  <c r="BF123" i="55"/>
  <c r="CJ43" i="55"/>
  <c r="BL322" i="55"/>
  <c r="DA115" i="55" a="1"/>
  <c r="DA115" i="55" s="1"/>
  <c r="DB115" i="55"/>
  <c r="BT294" i="55"/>
  <c r="BU239" i="55"/>
  <c r="BT239" i="55"/>
  <c r="CJ118" i="55"/>
  <c r="BT118" i="55"/>
  <c r="BU118" i="55"/>
  <c r="BU310" i="55"/>
  <c r="CS311" i="55"/>
  <c r="CV311" i="55"/>
  <c r="CO311" i="55"/>
  <c r="CR311" i="55"/>
  <c r="CP311" i="55"/>
  <c r="AW175" i="55"/>
  <c r="AX175" i="55" s="1"/>
  <c r="AY175" i="55" s="1"/>
  <c r="E175" i="55" s="1"/>
  <c r="AZ175" i="55" s="1"/>
  <c r="BR242" i="55"/>
  <c r="BP242" i="55"/>
  <c r="EB82" i="55"/>
  <c r="BT331" i="55"/>
  <c r="BU331" i="55"/>
  <c r="CK283" i="55"/>
  <c r="CL283" i="55" s="1"/>
  <c r="FH283" i="55" s="1"/>
  <c r="FJ283" i="55" s="1"/>
  <c r="CJ283" i="55"/>
  <c r="BT283" i="55"/>
  <c r="BU283" i="55"/>
  <c r="BT203" i="55"/>
  <c r="BU123" i="55"/>
  <c r="BT123" i="55"/>
  <c r="CJ75" i="55"/>
  <c r="BU75" i="55"/>
  <c r="BT75" i="55"/>
  <c r="DA262" i="55" a="1"/>
  <c r="DA262" i="55" s="1"/>
  <c r="DB262" i="55"/>
  <c r="BL212" i="55"/>
  <c r="BL114" i="55"/>
  <c r="BP226" i="55"/>
  <c r="EB226" i="55" s="1"/>
  <c r="EB78" i="55"/>
  <c r="BT30" i="55"/>
  <c r="BU160" i="55"/>
  <c r="CI285" i="55"/>
  <c r="AV108" i="55"/>
  <c r="AY108" i="55" s="1"/>
  <c r="AW108" i="55"/>
  <c r="AX108" i="55" s="1"/>
  <c r="AV92" i="55"/>
  <c r="AY92" i="55" s="1"/>
  <c r="AW92" i="55"/>
  <c r="AX92" i="55" s="1"/>
  <c r="AV76" i="55"/>
  <c r="AW76" i="55"/>
  <c r="AX76" i="55" s="1"/>
  <c r="AV28" i="55"/>
  <c r="BW28" i="55" s="1"/>
  <c r="AW28" i="55"/>
  <c r="AX28" i="55" s="1"/>
  <c r="AV12" i="55"/>
  <c r="AW12" i="55"/>
  <c r="AX12" i="55" s="1"/>
  <c r="AW335" i="55"/>
  <c r="AX335" i="55" s="1"/>
  <c r="AW144" i="55"/>
  <c r="AX144" i="55" s="1"/>
  <c r="AY144" i="55" s="1"/>
  <c r="AW44" i="55"/>
  <c r="AX44" i="55" s="1"/>
  <c r="AY274" i="55"/>
  <c r="AY193" i="55"/>
  <c r="E193" i="55" s="1"/>
  <c r="AZ193" i="55" s="1"/>
  <c r="CV165" i="55"/>
  <c r="CT165" i="55"/>
  <c r="CR165" i="55"/>
  <c r="CW165" i="55"/>
  <c r="CS165" i="55"/>
  <c r="CP165" i="55"/>
  <c r="DT149" i="55"/>
  <c r="CQ149" i="55"/>
  <c r="CW149" i="55"/>
  <c r="BE262" i="55"/>
  <c r="GD262" i="55" s="1"/>
  <c r="DV24" i="55"/>
  <c r="BZ24" i="55"/>
  <c r="CZ8" i="55"/>
  <c r="DV8" i="55"/>
  <c r="BZ8" i="55"/>
  <c r="CF342" i="55"/>
  <c r="CG342" i="55"/>
  <c r="CF326" i="55"/>
  <c r="CG326" i="55" s="1"/>
  <c r="CF310" i="55"/>
  <c r="CG310" i="55"/>
  <c r="CF294" i="55"/>
  <c r="CG294" i="55" s="1"/>
  <c r="CF278" i="55"/>
  <c r="CG278" i="55" s="1"/>
  <c r="CF262" i="55"/>
  <c r="CF246" i="55"/>
  <c r="CF230" i="55"/>
  <c r="CG230" i="55" s="1"/>
  <c r="CF214" i="55"/>
  <c r="CG214" i="55" s="1"/>
  <c r="CF182" i="55"/>
  <c r="CG182" i="55"/>
  <c r="CF166" i="55"/>
  <c r="CG166" i="55" s="1"/>
  <c r="CF150" i="55"/>
  <c r="CG150" i="55"/>
  <c r="CF134" i="55"/>
  <c r="CG134" i="55" s="1"/>
  <c r="CF118" i="55"/>
  <c r="CF86" i="55"/>
  <c r="CG86" i="55" s="1"/>
  <c r="CF70" i="55"/>
  <c r="CG70" i="55" s="1"/>
  <c r="CF54" i="55"/>
  <c r="CG54" i="55" s="1"/>
  <c r="CF38" i="55"/>
  <c r="CF19" i="55"/>
  <c r="BP336" i="55"/>
  <c r="BR336" i="55"/>
  <c r="EB336" i="55" s="1"/>
  <c r="BP320" i="55"/>
  <c r="BR320" i="55"/>
  <c r="EB320" i="55" s="1"/>
  <c r="CG320" i="55"/>
  <c r="BP304" i="55"/>
  <c r="CG304" i="55"/>
  <c r="BR304" i="55"/>
  <c r="BP288" i="55"/>
  <c r="BR288" i="55"/>
  <c r="BP256" i="55"/>
  <c r="BR256" i="55"/>
  <c r="BP240" i="55"/>
  <c r="BR240" i="55"/>
  <c r="BP224" i="55"/>
  <c r="BR224" i="55"/>
  <c r="EB224" i="55" s="1"/>
  <c r="BP208" i="55"/>
  <c r="BR208" i="55"/>
  <c r="EB208" i="55" s="1"/>
  <c r="CG208" i="55"/>
  <c r="BP192" i="55"/>
  <c r="BR192" i="55"/>
  <c r="BP176" i="55"/>
  <c r="BR176" i="55"/>
  <c r="BP160" i="55"/>
  <c r="BR160" i="55"/>
  <c r="BP144" i="55"/>
  <c r="BR144" i="55"/>
  <c r="EB144" i="55" s="1"/>
  <c r="BP128" i="55"/>
  <c r="EB128" i="55" s="1"/>
  <c r="CG128" i="55"/>
  <c r="BP112" i="55"/>
  <c r="BR112" i="55"/>
  <c r="EB112" i="55" s="1"/>
  <c r="BP96" i="55"/>
  <c r="BR96" i="55"/>
  <c r="BP80" i="55"/>
  <c r="BR80" i="55"/>
  <c r="BP64" i="55"/>
  <c r="BR64" i="55"/>
  <c r="CG64" i="55"/>
  <c r="BP48" i="55"/>
  <c r="BR48" i="55"/>
  <c r="BP32" i="55"/>
  <c r="EB32" i="55" s="1"/>
  <c r="CG32" i="55"/>
  <c r="BU40" i="55"/>
  <c r="BT40" i="55"/>
  <c r="CJ22" i="55"/>
  <c r="BT22" i="55"/>
  <c r="BU22" i="55"/>
  <c r="DB259" i="55"/>
  <c r="DA259" i="55" a="1"/>
  <c r="DA259" i="55" s="1"/>
  <c r="DA112" i="55" a="1"/>
  <c r="DA112" i="55" s="1"/>
  <c r="DC112" i="55" s="1"/>
  <c r="DB112" i="55"/>
  <c r="BL20" i="55"/>
  <c r="BR273" i="55"/>
  <c r="BT351" i="55"/>
  <c r="CJ351" i="55"/>
  <c r="BU351" i="55"/>
  <c r="BU236" i="55"/>
  <c r="BT236" i="55"/>
  <c r="BU201" i="55"/>
  <c r="BT201" i="55"/>
  <c r="BT179" i="55"/>
  <c r="BU179" i="55"/>
  <c r="BU54" i="55"/>
  <c r="BT54" i="55"/>
  <c r="BT103" i="55"/>
  <c r="CE210" i="55"/>
  <c r="CG161" i="55"/>
  <c r="CV291" i="55"/>
  <c r="CU291" i="55"/>
  <c r="CP291" i="55"/>
  <c r="CS291" i="55"/>
  <c r="CT291" i="55"/>
  <c r="CZ81" i="55"/>
  <c r="GT347" i="55"/>
  <c r="GT331" i="55"/>
  <c r="GT315" i="55"/>
  <c r="GT299" i="55"/>
  <c r="GT283" i="55"/>
  <c r="ET283" i="55"/>
  <c r="GT267" i="55"/>
  <c r="GT251" i="55"/>
  <c r="GT235" i="55"/>
  <c r="GT219" i="55"/>
  <c r="GT203" i="55"/>
  <c r="GT187" i="55"/>
  <c r="GT171" i="55"/>
  <c r="GT155" i="55"/>
  <c r="GT139" i="55"/>
  <c r="GT123" i="55"/>
  <c r="GT107" i="55"/>
  <c r="GT91" i="55"/>
  <c r="GT75" i="55"/>
  <c r="GT59" i="55"/>
  <c r="GT43" i="55"/>
  <c r="GT27" i="55"/>
  <c r="GT11" i="55"/>
  <c r="GT333" i="55"/>
  <c r="GT289" i="55"/>
  <c r="GT51" i="55"/>
  <c r="GK97" i="55"/>
  <c r="GL97" i="55" s="1"/>
  <c r="DW97" i="55"/>
  <c r="EA97" i="55"/>
  <c r="CE97" i="55"/>
  <c r="DF97" i="55"/>
  <c r="BL97" i="55"/>
  <c r="GK17" i="55"/>
  <c r="GL17" i="55" s="1"/>
  <c r="EA17" i="55"/>
  <c r="DW17" i="55"/>
  <c r="BW17" i="55"/>
  <c r="DF17" i="55"/>
  <c r="CE17" i="55"/>
  <c r="BL17" i="55"/>
  <c r="AY17" i="55"/>
  <c r="AV351" i="55"/>
  <c r="AW351" i="55"/>
  <c r="AX351" i="55" s="1"/>
  <c r="AV287" i="55"/>
  <c r="BW287" i="55" s="1"/>
  <c r="AW287" i="55"/>
  <c r="AX287" i="55" s="1"/>
  <c r="AV207" i="55"/>
  <c r="AW207" i="55"/>
  <c r="AX207" i="55" s="1"/>
  <c r="AY79" i="55"/>
  <c r="AV31" i="55"/>
  <c r="AY31" i="55" s="1"/>
  <c r="AW31" i="55"/>
  <c r="AX31" i="55" s="1"/>
  <c r="AV211" i="55"/>
  <c r="BW211" i="55" s="1"/>
  <c r="CI211" i="55" s="1"/>
  <c r="AW338" i="55"/>
  <c r="AX338" i="55" s="1"/>
  <c r="CN312" i="55"/>
  <c r="BF312" i="55"/>
  <c r="CN248" i="55"/>
  <c r="CN184" i="55"/>
  <c r="BF184" i="55"/>
  <c r="DT184" i="55" s="1"/>
  <c r="BF104" i="55"/>
  <c r="CW104" i="55" s="1"/>
  <c r="CN40" i="55"/>
  <c r="DY306" i="55"/>
  <c r="DR306" i="55"/>
  <c r="BE306" i="55"/>
  <c r="GD306" i="55" s="1"/>
  <c r="GD258" i="55"/>
  <c r="DY258" i="55"/>
  <c r="DR258" i="55"/>
  <c r="C258" i="55"/>
  <c r="DZ258" i="55"/>
  <c r="DR210" i="55"/>
  <c r="DY210" i="55"/>
  <c r="DZ210" i="55" s="1"/>
  <c r="BE210" i="55"/>
  <c r="GD194" i="55"/>
  <c r="DY194" i="55"/>
  <c r="DR194" i="55"/>
  <c r="GD130" i="55"/>
  <c r="DZ130" i="55"/>
  <c r="DR130" i="55"/>
  <c r="DY130" i="55"/>
  <c r="BE130" i="55"/>
  <c r="C130" i="55" s="1"/>
  <c r="DY98" i="55"/>
  <c r="DZ98" i="55" s="1"/>
  <c r="DR98" i="55"/>
  <c r="BE98" i="55"/>
  <c r="DY66" i="55"/>
  <c r="DR66" i="55"/>
  <c r="DZ66" i="55"/>
  <c r="BE66" i="55"/>
  <c r="C66" i="55" s="1"/>
  <c r="DY34" i="55"/>
  <c r="DR34" i="55"/>
  <c r="BE34" i="55"/>
  <c r="GD34" i="55" s="1"/>
  <c r="BE309" i="55"/>
  <c r="GD309" i="55" s="1"/>
  <c r="BF43" i="55"/>
  <c r="DT43" i="55" s="1"/>
  <c r="BU252" i="55"/>
  <c r="BT252" i="55"/>
  <c r="DB174" i="55"/>
  <c r="DA174" i="55" a="1"/>
  <c r="DA174" i="55" s="1"/>
  <c r="BP81" i="55"/>
  <c r="CJ212" i="55"/>
  <c r="BT212" i="55"/>
  <c r="BU212" i="55"/>
  <c r="BT95" i="55"/>
  <c r="BU95" i="55"/>
  <c r="CP198" i="55"/>
  <c r="CV198" i="55"/>
  <c r="CT198" i="55"/>
  <c r="CR198" i="55"/>
  <c r="CW198" i="55"/>
  <c r="CQ198" i="55"/>
  <c r="CU198" i="55"/>
  <c r="DK342" i="55"/>
  <c r="DN342" i="55"/>
  <c r="DX344" i="55"/>
  <c r="DX48" i="55"/>
  <c r="DX20" i="55"/>
  <c r="DX11" i="55"/>
  <c r="AV96" i="55"/>
  <c r="AW256" i="55"/>
  <c r="AX256" i="55" s="1"/>
  <c r="AY256" i="55" s="1"/>
  <c r="E256" i="55" s="1"/>
  <c r="AZ256" i="55" s="1"/>
  <c r="AY65" i="55"/>
  <c r="BE308" i="55"/>
  <c r="C308" i="55" s="1"/>
  <c r="BE194" i="55"/>
  <c r="C194" i="55" s="1"/>
  <c r="BE4" i="55"/>
  <c r="GD4" i="55" s="1"/>
  <c r="CF21" i="55"/>
  <c r="EB194" i="55"/>
  <c r="BP146" i="55"/>
  <c r="BR146" i="55"/>
  <c r="BR98" i="55"/>
  <c r="BP98" i="55"/>
  <c r="CJ347" i="55"/>
  <c r="CG347" i="55"/>
  <c r="BT347" i="55"/>
  <c r="BU347" i="55"/>
  <c r="BU299" i="55"/>
  <c r="BT299" i="55"/>
  <c r="BU171" i="55"/>
  <c r="BT171" i="55"/>
  <c r="DB173" i="55"/>
  <c r="DA173" i="55" a="1"/>
  <c r="DA173" i="55" s="1"/>
  <c r="CE213" i="55"/>
  <c r="CU307" i="55"/>
  <c r="CS307" i="55"/>
  <c r="CV307" i="55"/>
  <c r="CT307" i="55"/>
  <c r="CP307" i="55"/>
  <c r="CR50" i="55"/>
  <c r="CQ50" i="55"/>
  <c r="CT50" i="55"/>
  <c r="CW50" i="55"/>
  <c r="CV50" i="55"/>
  <c r="CS50" i="55"/>
  <c r="DX352" i="55"/>
  <c r="DX304" i="55"/>
  <c r="DX285" i="55"/>
  <c r="DX228" i="55"/>
  <c r="DX180" i="55"/>
  <c r="DX28" i="55"/>
  <c r="GK350" i="55"/>
  <c r="GL350" i="55" s="1"/>
  <c r="DW350" i="55"/>
  <c r="DF350" i="55"/>
  <c r="EA350" i="55"/>
  <c r="BW350" i="55"/>
  <c r="CI350" i="55" s="1"/>
  <c r="CE350" i="55"/>
  <c r="AY350" i="55"/>
  <c r="BL350" i="55"/>
  <c r="GK334" i="55"/>
  <c r="GL334" i="55" s="1"/>
  <c r="EA334" i="55"/>
  <c r="DF334" i="55"/>
  <c r="DW334" i="55"/>
  <c r="CE334" i="55"/>
  <c r="BL334" i="55"/>
  <c r="BW334" i="55"/>
  <c r="GK286" i="55"/>
  <c r="GL286" i="55" s="1"/>
  <c r="EA286" i="55"/>
  <c r="DW286" i="55"/>
  <c r="DF286" i="55"/>
  <c r="CE286" i="55"/>
  <c r="AY286" i="55"/>
  <c r="E286" i="55" s="1"/>
  <c r="AZ286" i="55" s="1"/>
  <c r="BL286" i="55"/>
  <c r="BM286" i="55" s="1" a="1"/>
  <c r="BM286" i="55" s="1"/>
  <c r="CA286" i="55" s="1"/>
  <c r="GK222" i="55"/>
  <c r="GL222" i="55" s="1"/>
  <c r="EA222" i="55"/>
  <c r="DW222" i="55"/>
  <c r="DF222" i="55"/>
  <c r="CE222" i="55"/>
  <c r="AY222" i="55"/>
  <c r="BL222" i="55"/>
  <c r="GK206" i="55"/>
  <c r="GL206" i="55" s="1"/>
  <c r="EA206" i="55"/>
  <c r="DF206" i="55"/>
  <c r="CE206" i="55"/>
  <c r="BW206" i="55"/>
  <c r="BL206" i="55"/>
  <c r="BM206" i="55" s="1" a="1"/>
  <c r="BM206" i="55" s="1"/>
  <c r="AY206" i="55"/>
  <c r="E206" i="55" s="1"/>
  <c r="AZ206" i="55" s="1"/>
  <c r="GK190" i="55"/>
  <c r="GL190" i="55" s="1"/>
  <c r="EA190" i="55"/>
  <c r="DF190" i="55"/>
  <c r="DW190" i="55"/>
  <c r="BL190" i="55"/>
  <c r="BW190" i="55"/>
  <c r="CE190" i="55"/>
  <c r="GK158" i="55"/>
  <c r="GL158" i="55" s="1"/>
  <c r="DW158" i="55"/>
  <c r="EA158" i="55"/>
  <c r="DF158" i="55"/>
  <c r="CE158" i="55"/>
  <c r="AY158" i="55"/>
  <c r="E158" i="55" s="1"/>
  <c r="AZ158" i="55" s="1"/>
  <c r="BL158" i="55"/>
  <c r="GK142" i="55"/>
  <c r="GL142" i="55" s="1"/>
  <c r="EA142" i="55"/>
  <c r="DF142" i="55"/>
  <c r="DW142" i="55"/>
  <c r="CE142" i="55"/>
  <c r="BL142" i="55"/>
  <c r="BW142" i="55"/>
  <c r="CI142" i="55" s="1"/>
  <c r="AY142" i="55"/>
  <c r="GK126" i="55"/>
  <c r="GL126" i="55" s="1"/>
  <c r="DW126" i="55"/>
  <c r="BW126" i="55"/>
  <c r="EA126" i="55"/>
  <c r="CE126" i="55"/>
  <c r="BL126" i="55"/>
  <c r="GK110" i="55"/>
  <c r="GL110" i="55" s="1"/>
  <c r="EA110" i="55"/>
  <c r="DW110" i="55"/>
  <c r="DF110" i="55"/>
  <c r="BW110" i="55"/>
  <c r="CI110" i="55" s="1"/>
  <c r="CE110" i="55"/>
  <c r="GK94" i="55"/>
  <c r="GL94" i="55" s="1"/>
  <c r="EA94" i="55"/>
  <c r="DW94" i="55"/>
  <c r="DF94" i="55"/>
  <c r="AY94" i="55"/>
  <c r="CE94" i="55"/>
  <c r="BL94" i="55"/>
  <c r="BM94" i="55" s="1" a="1"/>
  <c r="BM94" i="55" s="1"/>
  <c r="GK78" i="55"/>
  <c r="GL78" i="55" s="1"/>
  <c r="DW78" i="55"/>
  <c r="EA78" i="55"/>
  <c r="DF78" i="55"/>
  <c r="BL78" i="55"/>
  <c r="CE78" i="55"/>
  <c r="BW78" i="55"/>
  <c r="CJ78" i="55" s="1"/>
  <c r="AY78" i="55"/>
  <c r="GK62" i="55"/>
  <c r="GL62" i="55" s="1"/>
  <c r="DF62" i="55"/>
  <c r="EA62" i="55"/>
  <c r="DW62" i="55"/>
  <c r="BL62" i="55"/>
  <c r="BM62" i="55" s="1" a="1"/>
  <c r="BM62" i="55" s="1"/>
  <c r="BW62" i="55"/>
  <c r="GK46" i="55"/>
  <c r="GL46" i="55" s="1"/>
  <c r="DW46" i="55"/>
  <c r="EA46" i="55"/>
  <c r="DF46" i="55"/>
  <c r="CE46" i="55"/>
  <c r="BW46" i="55"/>
  <c r="CJ46" i="55" s="1"/>
  <c r="BL46" i="55"/>
  <c r="AY46" i="55"/>
  <c r="E46" i="55" s="1"/>
  <c r="AZ46" i="55" s="1"/>
  <c r="GK30" i="55"/>
  <c r="GL30" i="55" s="1"/>
  <c r="EA30" i="55"/>
  <c r="DW30" i="55"/>
  <c r="DF30" i="55"/>
  <c r="CE30" i="55"/>
  <c r="BW30" i="55"/>
  <c r="BL30" i="55"/>
  <c r="GK14" i="55"/>
  <c r="GL14" i="55" s="1"/>
  <c r="DW14" i="55"/>
  <c r="EA14" i="55"/>
  <c r="DF14" i="55"/>
  <c r="BL14" i="55"/>
  <c r="BW14" i="55"/>
  <c r="CI14" i="55" s="1"/>
  <c r="CE14" i="55"/>
  <c r="AV348" i="55"/>
  <c r="AW348" i="55"/>
  <c r="AX348" i="55" s="1"/>
  <c r="AV332" i="55"/>
  <c r="AW332" i="55"/>
  <c r="AX332" i="55" s="1"/>
  <c r="AV284" i="55"/>
  <c r="AW284" i="55"/>
  <c r="AX284" i="55" s="1"/>
  <c r="AV268" i="55"/>
  <c r="AW268" i="55"/>
  <c r="AX268" i="55" s="1"/>
  <c r="AV252" i="55"/>
  <c r="AW252" i="55"/>
  <c r="AX252" i="55" s="1"/>
  <c r="AV236" i="55"/>
  <c r="BW236" i="55" s="1"/>
  <c r="CJ236" i="55" s="1"/>
  <c r="AW236" i="55"/>
  <c r="AX236" i="55" s="1"/>
  <c r="AV188" i="55"/>
  <c r="AW188" i="55"/>
  <c r="AX188" i="55" s="1"/>
  <c r="C226" i="55"/>
  <c r="C196" i="55"/>
  <c r="DX323" i="55"/>
  <c r="EK313" i="55"/>
  <c r="DX313" i="55"/>
  <c r="CY313" i="55"/>
  <c r="CY314" i="55" s="1"/>
  <c r="DX284" i="55"/>
  <c r="DX265" i="55"/>
  <c r="DX246" i="55"/>
  <c r="DX236" i="55"/>
  <c r="DX199" i="55"/>
  <c r="DX122" i="55"/>
  <c r="DX85" i="55"/>
  <c r="DX66" i="55"/>
  <c r="DX37" i="55"/>
  <c r="AV176" i="55"/>
  <c r="AY176" i="55" s="1"/>
  <c r="E176" i="55" s="1"/>
  <c r="AZ176" i="55" s="1"/>
  <c r="AV66" i="55"/>
  <c r="AY66" i="55" s="1"/>
  <c r="AW172" i="55"/>
  <c r="AX172" i="55" s="1"/>
  <c r="AY172" i="55" s="1"/>
  <c r="E172" i="55" s="1"/>
  <c r="AZ172" i="55" s="1"/>
  <c r="AW143" i="55"/>
  <c r="AX143" i="55" s="1"/>
  <c r="AY143" i="55" s="1"/>
  <c r="AY52" i="55"/>
  <c r="E52" i="55" s="1"/>
  <c r="AZ52" i="55" s="1"/>
  <c r="CQ340" i="55"/>
  <c r="CW340" i="55"/>
  <c r="CO340" i="55"/>
  <c r="CR340" i="55"/>
  <c r="CS340" i="55"/>
  <c r="CU340" i="55"/>
  <c r="CT340" i="55"/>
  <c r="CP340" i="55"/>
  <c r="BE338" i="55"/>
  <c r="BE261" i="55"/>
  <c r="BF347" i="55"/>
  <c r="DT347" i="55" s="1"/>
  <c r="DV23" i="55"/>
  <c r="BZ23" i="55"/>
  <c r="BP23" i="55"/>
  <c r="DV7" i="55"/>
  <c r="CZ7" i="55"/>
  <c r="BZ7" i="55"/>
  <c r="CF341" i="55"/>
  <c r="CH341" i="55" s="1"/>
  <c r="CF325" i="55"/>
  <c r="CF309" i="55"/>
  <c r="CG309" i="55" s="1"/>
  <c r="CF293" i="55"/>
  <c r="CF277" i="55"/>
  <c r="CG277" i="55" s="1"/>
  <c r="CF261" i="55"/>
  <c r="CG261" i="55" s="1"/>
  <c r="CF245" i="55"/>
  <c r="CF229" i="55"/>
  <c r="CF213" i="55"/>
  <c r="CG213" i="55" s="1"/>
  <c r="CF197" i="55"/>
  <c r="CG197" i="55"/>
  <c r="CF181" i="55"/>
  <c r="CF165" i="55"/>
  <c r="CG165" i="55" s="1"/>
  <c r="CF149" i="55"/>
  <c r="CG149" i="55" s="1"/>
  <c r="CF133" i="55"/>
  <c r="CG133" i="55" s="1"/>
  <c r="CF117" i="55"/>
  <c r="CF101" i="55"/>
  <c r="CF85" i="55"/>
  <c r="CG85" i="55"/>
  <c r="CF69" i="55"/>
  <c r="CG69" i="55" s="1"/>
  <c r="CF53" i="55"/>
  <c r="CG53" i="55" s="1"/>
  <c r="CF37" i="55"/>
  <c r="CF18" i="55"/>
  <c r="CG18" i="55"/>
  <c r="CJ344" i="55"/>
  <c r="BU344" i="55"/>
  <c r="BT344" i="55"/>
  <c r="BU328" i="55"/>
  <c r="BT328" i="55"/>
  <c r="BT312" i="55"/>
  <c r="BU280" i="55"/>
  <c r="BT280" i="55"/>
  <c r="BU264" i="55"/>
  <c r="BT264" i="55"/>
  <c r="BT248" i="55"/>
  <c r="BU248" i="55"/>
  <c r="BU184" i="55"/>
  <c r="BU168" i="55"/>
  <c r="BT168" i="55"/>
  <c r="BU152" i="55"/>
  <c r="BT152" i="55"/>
  <c r="CJ152" i="55"/>
  <c r="BU136" i="55"/>
  <c r="BT136" i="55"/>
  <c r="BU120" i="55"/>
  <c r="BT120" i="55"/>
  <c r="BU104" i="55"/>
  <c r="BT104" i="55"/>
  <c r="BU88" i="55"/>
  <c r="CJ88" i="55"/>
  <c r="BT88" i="55"/>
  <c r="BU56" i="55"/>
  <c r="BT56" i="55"/>
  <c r="DB304" i="55"/>
  <c r="DA304" i="55" a="1"/>
  <c r="DA304" i="55" s="1"/>
  <c r="DC304" i="55" s="1"/>
  <c r="DC205" i="55"/>
  <c r="DA19" i="55" a="1"/>
  <c r="DA19" i="55" s="1"/>
  <c r="EB350" i="55"/>
  <c r="BR272" i="55"/>
  <c r="EB272" i="55" s="1"/>
  <c r="EB126" i="55"/>
  <c r="BU348" i="55"/>
  <c r="BT348" i="55"/>
  <c r="BT259" i="55"/>
  <c r="BU259" i="55"/>
  <c r="CJ259" i="55"/>
  <c r="BU177" i="55"/>
  <c r="CJ114" i="55"/>
  <c r="BT114" i="55"/>
  <c r="BU114" i="55"/>
  <c r="BT96" i="55"/>
  <c r="BU302" i="55"/>
  <c r="BU219" i="55"/>
  <c r="CE4" i="55"/>
  <c r="CG113" i="55"/>
  <c r="CU290" i="55"/>
  <c r="CS290" i="55"/>
  <c r="CV290" i="55"/>
  <c r="CT290" i="55"/>
  <c r="CP290" i="55"/>
  <c r="CN140" i="55"/>
  <c r="CP22" i="55"/>
  <c r="CU22" i="55"/>
  <c r="CR22" i="55"/>
  <c r="CT22" i="55"/>
  <c r="DN320" i="55"/>
  <c r="DK320" i="55"/>
  <c r="DK282" i="55"/>
  <c r="DN282" i="55"/>
  <c r="DN239" i="55"/>
  <c r="DN116" i="55"/>
  <c r="DK116" i="55"/>
  <c r="GT346" i="55"/>
  <c r="GT330" i="55"/>
  <c r="ET330" i="55"/>
  <c r="GT314" i="55"/>
  <c r="GT298" i="55"/>
  <c r="GT266" i="55"/>
  <c r="GT250" i="55"/>
  <c r="GT234" i="55"/>
  <c r="GT218" i="55"/>
  <c r="GT202" i="55"/>
  <c r="GT186" i="55"/>
  <c r="GT170" i="55"/>
  <c r="GT154" i="55"/>
  <c r="ET154" i="55"/>
  <c r="GT138" i="55"/>
  <c r="GT122" i="55"/>
  <c r="GT106" i="55"/>
  <c r="GT90" i="55"/>
  <c r="GT74" i="55"/>
  <c r="GT58" i="55"/>
  <c r="GT42" i="55"/>
  <c r="GT26" i="55"/>
  <c r="ET26" i="55"/>
  <c r="ET27" i="55" s="1"/>
  <c r="GT10" i="55"/>
  <c r="GT325" i="55"/>
  <c r="ET325" i="55"/>
  <c r="GT287" i="55"/>
  <c r="GT244" i="55"/>
  <c r="GK81" i="55"/>
  <c r="GL81" i="55" s="1"/>
  <c r="EA81" i="55"/>
  <c r="DF81" i="55"/>
  <c r="DW81" i="55"/>
  <c r="BW81" i="55"/>
  <c r="CE81" i="55"/>
  <c r="BL81" i="55"/>
  <c r="GK33" i="55"/>
  <c r="GL33" i="55" s="1"/>
  <c r="DW33" i="55"/>
  <c r="EA33" i="55"/>
  <c r="BW33" i="55"/>
  <c r="CI33" i="55" s="1"/>
  <c r="CE33" i="55"/>
  <c r="AY33" i="55"/>
  <c r="E33" i="55" s="1"/>
  <c r="AZ33" i="55" s="1"/>
  <c r="BL33" i="55"/>
  <c r="DF33" i="55"/>
  <c r="AV303" i="55"/>
  <c r="AW303" i="55"/>
  <c r="AX303" i="55" s="1"/>
  <c r="AY68" i="55"/>
  <c r="CN344" i="55"/>
  <c r="BF344" i="55"/>
  <c r="DT344" i="55" s="1"/>
  <c r="CN280" i="55"/>
  <c r="BF280" i="55"/>
  <c r="DT280" i="55" s="1"/>
  <c r="CN232" i="55"/>
  <c r="BF232" i="55"/>
  <c r="CN168" i="55"/>
  <c r="CN56" i="55"/>
  <c r="BF56" i="55"/>
  <c r="DT56" i="55" s="1"/>
  <c r="DY274" i="55"/>
  <c r="DZ274" i="55" s="1"/>
  <c r="DR274" i="55"/>
  <c r="BE274" i="55"/>
  <c r="C274" i="55" s="1"/>
  <c r="GD146" i="55"/>
  <c r="DR146" i="55"/>
  <c r="DY146" i="55"/>
  <c r="BE6" i="55"/>
  <c r="BT284" i="55"/>
  <c r="BU284" i="55"/>
  <c r="DA25" i="55" a="1"/>
  <c r="DA25" i="55" s="1"/>
  <c r="DB25" i="55"/>
  <c r="BU155" i="55"/>
  <c r="BT155" i="55"/>
  <c r="CI286" i="55"/>
  <c r="BY286" i="55"/>
  <c r="CU51" i="55"/>
  <c r="CS51" i="55"/>
  <c r="CT51" i="55"/>
  <c r="CV51" i="55"/>
  <c r="C290" i="55"/>
  <c r="C50" i="55"/>
  <c r="DX181" i="55"/>
  <c r="DX172" i="55"/>
  <c r="DX143" i="55"/>
  <c r="DX115" i="55"/>
  <c r="DX96" i="55"/>
  <c r="DX30" i="55"/>
  <c r="DB96" i="55"/>
  <c r="DA96" i="55" a="1"/>
  <c r="DA96" i="55" s="1"/>
  <c r="AW99" i="55"/>
  <c r="AX99" i="55" s="1"/>
  <c r="AY99" i="55" s="1"/>
  <c r="AY129" i="55"/>
  <c r="BF248" i="55"/>
  <c r="DT248" i="55" s="1"/>
  <c r="BF122" i="55"/>
  <c r="DT122" i="55" s="1"/>
  <c r="BI4" i="55"/>
  <c r="BR290" i="55"/>
  <c r="EB290" i="55" s="1"/>
  <c r="BP290" i="55"/>
  <c r="BP258" i="55"/>
  <c r="BR258" i="55"/>
  <c r="BR178" i="55"/>
  <c r="BP178" i="55"/>
  <c r="BP130" i="55"/>
  <c r="BR130" i="55"/>
  <c r="BP66" i="55"/>
  <c r="BR66" i="55"/>
  <c r="BR34" i="55"/>
  <c r="BP34" i="55"/>
  <c r="BT267" i="55"/>
  <c r="BU267" i="55"/>
  <c r="BU187" i="55"/>
  <c r="BT107" i="55"/>
  <c r="BU107" i="55"/>
  <c r="CJ59" i="55"/>
  <c r="BT59" i="55"/>
  <c r="BU59" i="55"/>
  <c r="CG59" i="55"/>
  <c r="CJ24" i="55"/>
  <c r="BU24" i="55"/>
  <c r="BT24" i="55"/>
  <c r="BR210" i="55"/>
  <c r="BT182" i="55"/>
  <c r="BU182" i="55"/>
  <c r="BT58" i="55"/>
  <c r="BU58" i="55"/>
  <c r="BT320" i="55"/>
  <c r="BU30" i="55"/>
  <c r="CG186" i="55"/>
  <c r="CJ285" i="55"/>
  <c r="DX266" i="55"/>
  <c r="DX237" i="55"/>
  <c r="DX219" i="55"/>
  <c r="DX200" i="55"/>
  <c r="DX190" i="55"/>
  <c r="DX171" i="55"/>
  <c r="DX123" i="55"/>
  <c r="DX113" i="55"/>
  <c r="DX95" i="55"/>
  <c r="DX38" i="55"/>
  <c r="DX19" i="55"/>
  <c r="GK318" i="55"/>
  <c r="GL318" i="55" s="1"/>
  <c r="DW318" i="55"/>
  <c r="EA318" i="55"/>
  <c r="BL318" i="55"/>
  <c r="CE318" i="55"/>
  <c r="BW318" i="55"/>
  <c r="CI318" i="55" s="1"/>
  <c r="GK302" i="55"/>
  <c r="GL302" i="55" s="1"/>
  <c r="DW302" i="55"/>
  <c r="EA302" i="55"/>
  <c r="DF302" i="55"/>
  <c r="CE302" i="55"/>
  <c r="GK270" i="55"/>
  <c r="GL270" i="55" s="1"/>
  <c r="EA270" i="55"/>
  <c r="DW270" i="55"/>
  <c r="DF270" i="55"/>
  <c r="BL270" i="55"/>
  <c r="CE270" i="55"/>
  <c r="BW270" i="55"/>
  <c r="AY270" i="55"/>
  <c r="GK254" i="55"/>
  <c r="GL254" i="55" s="1"/>
  <c r="DW254" i="55"/>
  <c r="EA254" i="55"/>
  <c r="BW254" i="55"/>
  <c r="CE254" i="55"/>
  <c r="BL254" i="55"/>
  <c r="DF254" i="55"/>
  <c r="GK238" i="55"/>
  <c r="GL238" i="55" s="1"/>
  <c r="EA238" i="55"/>
  <c r="DW238" i="55"/>
  <c r="DF238" i="55"/>
  <c r="BW238" i="55"/>
  <c r="CI238" i="55" s="1"/>
  <c r="CE238" i="55"/>
  <c r="GK174" i="55"/>
  <c r="GL174" i="55" s="1"/>
  <c r="DF174" i="55"/>
  <c r="CE174" i="55"/>
  <c r="EA174" i="55"/>
  <c r="BW174" i="55"/>
  <c r="DX294" i="55"/>
  <c r="DX179" i="55"/>
  <c r="DX160" i="55"/>
  <c r="DX121" i="55"/>
  <c r="DX65" i="55"/>
  <c r="DX36" i="55"/>
  <c r="DX9" i="55"/>
  <c r="GK348" i="55"/>
  <c r="GL348" i="55" s="1"/>
  <c r="DW348" i="55"/>
  <c r="EA348" i="55"/>
  <c r="BW348" i="55"/>
  <c r="DF348" i="55"/>
  <c r="AY348" i="55"/>
  <c r="BL348" i="55"/>
  <c r="BM348" i="55" s="1" a="1"/>
  <c r="BM348" i="55" s="1"/>
  <c r="CA348" i="55" s="1"/>
  <c r="GK332" i="55"/>
  <c r="GL332" i="55" s="1"/>
  <c r="EA332" i="55"/>
  <c r="DW332" i="55"/>
  <c r="CE332" i="55"/>
  <c r="BL332" i="55"/>
  <c r="BM332" i="55" s="1" a="1"/>
  <c r="BM332" i="55" s="1"/>
  <c r="CA332" i="55" s="1"/>
  <c r="DF332" i="55"/>
  <c r="GK316" i="55"/>
  <c r="GL316" i="55" s="1"/>
  <c r="DW316" i="55"/>
  <c r="DF316" i="55"/>
  <c r="EA316" i="55"/>
  <c r="BW316" i="55"/>
  <c r="CI316" i="55" s="1"/>
  <c r="BL316" i="55"/>
  <c r="GK300" i="55"/>
  <c r="GL300" i="55" s="1"/>
  <c r="EA300" i="55"/>
  <c r="DW300" i="55"/>
  <c r="DF300" i="55"/>
  <c r="BW300" i="55"/>
  <c r="CE300" i="55"/>
  <c r="GK284" i="55"/>
  <c r="GL284" i="55" s="1"/>
  <c r="DW284" i="55"/>
  <c r="CE284" i="55"/>
  <c r="EA284" i="55"/>
  <c r="DF284" i="55"/>
  <c r="BL284" i="55"/>
  <c r="BM284" i="55" s="1" a="1"/>
  <c r="BM284" i="55" s="1"/>
  <c r="CA284" i="55" s="1"/>
  <c r="GK268" i="55"/>
  <c r="GL268" i="55" s="1"/>
  <c r="EA268" i="55"/>
  <c r="DW268" i="55"/>
  <c r="DF268" i="55"/>
  <c r="CE268" i="55"/>
  <c r="BL268" i="55"/>
  <c r="GK252" i="55"/>
  <c r="GL252" i="55" s="1"/>
  <c r="EA252" i="55"/>
  <c r="DW252" i="55"/>
  <c r="BW252" i="55"/>
  <c r="CI252" i="55" s="1"/>
  <c r="CE252" i="55"/>
  <c r="DF252" i="55"/>
  <c r="BL252" i="55"/>
  <c r="GK236" i="55"/>
  <c r="GL236" i="55" s="1"/>
  <c r="EA236" i="55"/>
  <c r="DW236" i="55"/>
  <c r="DF236" i="55"/>
  <c r="CE236" i="55"/>
  <c r="GK220" i="55"/>
  <c r="GL220" i="55" s="1"/>
  <c r="EA220" i="55"/>
  <c r="DW220" i="55"/>
  <c r="DF220" i="55"/>
  <c r="BW220" i="55"/>
  <c r="CE220" i="55"/>
  <c r="BL220" i="55"/>
  <c r="GK204" i="55"/>
  <c r="GL204" i="55" s="1"/>
  <c r="EA204" i="55"/>
  <c r="DW204" i="55"/>
  <c r="DF204" i="55"/>
  <c r="CE204" i="55"/>
  <c r="BW204" i="55"/>
  <c r="CI204" i="55" s="1"/>
  <c r="BL204" i="55"/>
  <c r="GK188" i="55"/>
  <c r="GL188" i="55" s="1"/>
  <c r="EA188" i="55"/>
  <c r="DW188" i="55"/>
  <c r="DF188" i="55"/>
  <c r="CE188" i="55"/>
  <c r="BW188" i="55"/>
  <c r="BL188" i="55"/>
  <c r="BM188" i="55" s="1" a="1"/>
  <c r="BM188" i="55" s="1"/>
  <c r="CA188" i="55" s="1"/>
  <c r="GK172" i="55"/>
  <c r="GL172" i="55" s="1"/>
  <c r="EA172" i="55"/>
  <c r="DF172" i="55"/>
  <c r="DW172" i="55"/>
  <c r="BW172" i="55"/>
  <c r="CE172" i="55"/>
  <c r="BL172" i="55"/>
  <c r="GK156" i="55"/>
  <c r="GL156" i="55" s="1"/>
  <c r="EA156" i="55"/>
  <c r="DF156" i="55"/>
  <c r="DW156" i="55"/>
  <c r="BW156" i="55"/>
  <c r="CI156" i="55" s="1"/>
  <c r="CE156" i="55"/>
  <c r="BL156" i="55"/>
  <c r="GK140" i="55"/>
  <c r="GL140" i="55" s="1"/>
  <c r="DW140" i="55"/>
  <c r="DF140" i="55"/>
  <c r="EA140" i="55"/>
  <c r="BW140" i="55"/>
  <c r="CE140" i="55"/>
  <c r="BL140" i="55"/>
  <c r="GK124" i="55"/>
  <c r="GL124" i="55" s="1"/>
  <c r="DW124" i="55"/>
  <c r="CE124" i="55"/>
  <c r="EA124" i="55"/>
  <c r="DF124" i="55"/>
  <c r="BL124" i="55"/>
  <c r="AY124" i="55"/>
  <c r="BW124" i="55"/>
  <c r="CI124" i="55" s="1"/>
  <c r="GK108" i="55"/>
  <c r="GL108" i="55" s="1"/>
  <c r="DW108" i="55"/>
  <c r="DF108" i="55"/>
  <c r="BW108" i="55"/>
  <c r="CI108" i="55" s="1"/>
  <c r="CE108" i="55"/>
  <c r="EA108" i="55"/>
  <c r="GK92" i="55"/>
  <c r="GL92" i="55" s="1"/>
  <c r="EA92" i="55"/>
  <c r="BW92" i="55"/>
  <c r="DF92" i="55"/>
  <c r="CE92" i="55"/>
  <c r="BL92" i="55"/>
  <c r="BM92" i="55" s="1" a="1"/>
  <c r="BM92" i="55" s="1"/>
  <c r="GK76" i="55"/>
  <c r="GL76" i="55" s="1"/>
  <c r="EA76" i="55"/>
  <c r="DW76" i="55"/>
  <c r="DF76" i="55"/>
  <c r="CE76" i="55"/>
  <c r="BL76" i="55"/>
  <c r="GK60" i="55"/>
  <c r="GL60" i="55" s="1"/>
  <c r="DF60" i="55"/>
  <c r="DW60" i="55"/>
  <c r="BW60" i="55"/>
  <c r="CI60" i="55" s="1"/>
  <c r="EA60" i="55"/>
  <c r="BL60" i="55"/>
  <c r="AY60" i="55"/>
  <c r="GK44" i="55"/>
  <c r="GL44" i="55" s="1"/>
  <c r="EA44" i="55"/>
  <c r="CE44" i="55"/>
  <c r="DW44" i="55"/>
  <c r="DF44" i="55"/>
  <c r="BW44" i="55"/>
  <c r="BL44" i="55"/>
  <c r="AY44" i="55"/>
  <c r="E44" i="55" s="1"/>
  <c r="AZ44" i="55" s="1"/>
  <c r="DF28" i="55"/>
  <c r="DQ28" i="55"/>
  <c r="DW28" i="55"/>
  <c r="CE28" i="55"/>
  <c r="BJ28" i="55"/>
  <c r="BK28" i="55"/>
  <c r="BL28" i="55"/>
  <c r="BH28" i="55"/>
  <c r="BI28" i="55"/>
  <c r="GK12" i="55"/>
  <c r="GL12" i="55" s="1"/>
  <c r="DW12" i="55"/>
  <c r="DF12" i="55"/>
  <c r="EA12" i="55"/>
  <c r="BW12" i="55"/>
  <c r="BL12" i="55"/>
  <c r="CE12" i="55"/>
  <c r="AW314" i="55"/>
  <c r="AX314" i="55" s="1"/>
  <c r="AV314" i="55"/>
  <c r="AW298" i="55"/>
  <c r="AX298" i="55" s="1"/>
  <c r="AV298" i="55"/>
  <c r="AV282" i="55"/>
  <c r="AY282" i="55" s="1"/>
  <c r="AV147" i="55"/>
  <c r="AY147" i="55" s="1"/>
  <c r="AW220" i="55"/>
  <c r="AX220" i="55" s="1"/>
  <c r="BE260" i="55"/>
  <c r="DV344" i="55"/>
  <c r="BZ344" i="55"/>
  <c r="DV328" i="55"/>
  <c r="BZ328" i="55"/>
  <c r="DV312" i="55"/>
  <c r="DV296" i="55"/>
  <c r="BZ296" i="55"/>
  <c r="DV280" i="55"/>
  <c r="BZ280" i="55"/>
  <c r="DV264" i="55"/>
  <c r="BZ264" i="55"/>
  <c r="BZ248" i="55"/>
  <c r="DV248" i="55"/>
  <c r="DV232" i="55"/>
  <c r="BZ232" i="55"/>
  <c r="DV216" i="55"/>
  <c r="BZ216" i="55"/>
  <c r="DV200" i="55"/>
  <c r="DV184" i="55"/>
  <c r="CZ184" i="55"/>
  <c r="BZ184" i="55"/>
  <c r="DV168" i="55"/>
  <c r="BZ168" i="55"/>
  <c r="BZ152" i="55"/>
  <c r="DV152" i="55"/>
  <c r="DV136" i="55"/>
  <c r="BZ136" i="55"/>
  <c r="DV120" i="55"/>
  <c r="BZ120" i="55"/>
  <c r="DV104" i="55"/>
  <c r="CZ104" i="55"/>
  <c r="BZ104" i="55"/>
  <c r="DV88" i="55"/>
  <c r="CZ88" i="55"/>
  <c r="BZ88" i="55"/>
  <c r="DV72" i="55"/>
  <c r="DV56" i="55"/>
  <c r="BZ56" i="55"/>
  <c r="DV40" i="55"/>
  <c r="BZ40" i="55"/>
  <c r="DV22" i="55"/>
  <c r="CZ22" i="55"/>
  <c r="BZ22" i="55"/>
  <c r="DV6" i="55"/>
  <c r="BZ6" i="55"/>
  <c r="CG340" i="55"/>
  <c r="CF340" i="55"/>
  <c r="CF324" i="55"/>
  <c r="CF308" i="55"/>
  <c r="CF292" i="55"/>
  <c r="CF276" i="55"/>
  <c r="CF260" i="55"/>
  <c r="CF244" i="55"/>
  <c r="CG228" i="55"/>
  <c r="CF228" i="55"/>
  <c r="CF212" i="55"/>
  <c r="CG212" i="55" s="1"/>
  <c r="CF196" i="55"/>
  <c r="CF180" i="55"/>
  <c r="CF164" i="55"/>
  <c r="CG148" i="55"/>
  <c r="CG132" i="55"/>
  <c r="CF132" i="55"/>
  <c r="CF116" i="55"/>
  <c r="CG116" i="55" s="1"/>
  <c r="CF100" i="55"/>
  <c r="CF84" i="55"/>
  <c r="CF68" i="55"/>
  <c r="CF52" i="55"/>
  <c r="CG52" i="55" s="1"/>
  <c r="CF36" i="55"/>
  <c r="BU327" i="55"/>
  <c r="BT327" i="55"/>
  <c r="CG327" i="55"/>
  <c r="BT311" i="55"/>
  <c r="BU311" i="55"/>
  <c r="BT247" i="55"/>
  <c r="BT119" i="55"/>
  <c r="BU119" i="55"/>
  <c r="DB351" i="55"/>
  <c r="DA351" i="55" a="1"/>
  <c r="DA351" i="55" s="1"/>
  <c r="BM351" i="55" a="1"/>
  <c r="BM351" i="55" s="1"/>
  <c r="CA351" i="55" s="1"/>
  <c r="DB303" i="55"/>
  <c r="DA303" i="55" a="1"/>
  <c r="DA303" i="55" s="1"/>
  <c r="DC303" i="55" s="1"/>
  <c r="BM303" i="55" a="1"/>
  <c r="BM303" i="55" s="1"/>
  <c r="CA303" i="55" s="1"/>
  <c r="DA201" i="55" a="1"/>
  <c r="DA201" i="55" s="1"/>
  <c r="DB201" i="55"/>
  <c r="BL149" i="55"/>
  <c r="BL110" i="55"/>
  <c r="DA16" i="55" a="1"/>
  <c r="DA16" i="55" s="1"/>
  <c r="DB16" i="55"/>
  <c r="BU346" i="55"/>
  <c r="BT346" i="55"/>
  <c r="BU257" i="55"/>
  <c r="CJ257" i="55"/>
  <c r="BT257" i="55"/>
  <c r="BU176" i="55"/>
  <c r="BT138" i="55"/>
  <c r="BU138" i="55"/>
  <c r="BT51" i="55"/>
  <c r="BU51" i="55"/>
  <c r="CJ51" i="55"/>
  <c r="BT305" i="55"/>
  <c r="BU218" i="55"/>
  <c r="CG352" i="55"/>
  <c r="CG344" i="55"/>
  <c r="EX283" i="55"/>
  <c r="DS283" i="55"/>
  <c r="CN139" i="55"/>
  <c r="CN12" i="55"/>
  <c r="CU50" i="55"/>
  <c r="CV201" i="55"/>
  <c r="DA224" i="55" a="1"/>
  <c r="DA224" i="55" s="1"/>
  <c r="DC224" i="55" s="1"/>
  <c r="DN319" i="55"/>
  <c r="DK319" i="55"/>
  <c r="DK106" i="55"/>
  <c r="DN106" i="55"/>
  <c r="DN68" i="55"/>
  <c r="DK68" i="55"/>
  <c r="DX153" i="55"/>
  <c r="GT345" i="55"/>
  <c r="GT329" i="55"/>
  <c r="GT313" i="55"/>
  <c r="ET313" i="55"/>
  <c r="GT297" i="55"/>
  <c r="GT281" i="55"/>
  <c r="GT265" i="55"/>
  <c r="GT249" i="55"/>
  <c r="GT233" i="55"/>
  <c r="GT217" i="55"/>
  <c r="GT201" i="55"/>
  <c r="GT185" i="55"/>
  <c r="GT169" i="55"/>
  <c r="GT153" i="55"/>
  <c r="GT137" i="55"/>
  <c r="GT121" i="55"/>
  <c r="GT105" i="55"/>
  <c r="GT89" i="55"/>
  <c r="GT73" i="55"/>
  <c r="GT57" i="55"/>
  <c r="GT41" i="55"/>
  <c r="GT25" i="55"/>
  <c r="GT9" i="55"/>
  <c r="GT243" i="55"/>
  <c r="DX332" i="55"/>
  <c r="DX298" i="55"/>
  <c r="DX289" i="55"/>
  <c r="DX204" i="55"/>
  <c r="DX161" i="55"/>
  <c r="DX76" i="55"/>
  <c r="DX42" i="55"/>
  <c r="DB335" i="55"/>
  <c r="DA335" i="55" a="1"/>
  <c r="DA335" i="55" s="1"/>
  <c r="BW319" i="55"/>
  <c r="DA271" i="55" a="1"/>
  <c r="DA271" i="55" s="1"/>
  <c r="DB271" i="55"/>
  <c r="DB207" i="55"/>
  <c r="DA207" i="55" a="1"/>
  <c r="DA207" i="55" s="1"/>
  <c r="BW191" i="55"/>
  <c r="BW159" i="55"/>
  <c r="CI159" i="55" s="1"/>
  <c r="DA143" i="55" a="1"/>
  <c r="DA143" i="55" s="1"/>
  <c r="DB143" i="55"/>
  <c r="BW95" i="55"/>
  <c r="DA79" i="55" a="1"/>
  <c r="DA79" i="55" s="1"/>
  <c r="DB79" i="55"/>
  <c r="DA15" i="55" a="1"/>
  <c r="DA15" i="55" s="1"/>
  <c r="DB15" i="55"/>
  <c r="CN329" i="55"/>
  <c r="BF329" i="55"/>
  <c r="DT329" i="55" s="1"/>
  <c r="CN313" i="55"/>
  <c r="CN297" i="55"/>
  <c r="BF297" i="55"/>
  <c r="DT297" i="55" s="1"/>
  <c r="CN281" i="55"/>
  <c r="CN265" i="55"/>
  <c r="BM265" i="55" s="1" a="1"/>
  <c r="BM265" i="55" s="1"/>
  <c r="CA265" i="55" s="1"/>
  <c r="BF265" i="55"/>
  <c r="DT265" i="55" s="1"/>
  <c r="CN249" i="55"/>
  <c r="CN233" i="55"/>
  <c r="CN217" i="55"/>
  <c r="CN185" i="55"/>
  <c r="BF185" i="55"/>
  <c r="DT185" i="55" s="1"/>
  <c r="BF169" i="55"/>
  <c r="DT169" i="55" s="1"/>
  <c r="CN153" i="55"/>
  <c r="BF137" i="55"/>
  <c r="DT137" i="55" s="1"/>
  <c r="CN137" i="55"/>
  <c r="CU121" i="55"/>
  <c r="CV121" i="55"/>
  <c r="CO121" i="55"/>
  <c r="CP121" i="55"/>
  <c r="CR121" i="55"/>
  <c r="CN105" i="55"/>
  <c r="BM105" i="55" s="1" a="1"/>
  <c r="BM105" i="55" s="1"/>
  <c r="CA105" i="55" s="1"/>
  <c r="CN73" i="55"/>
  <c r="CN57" i="55"/>
  <c r="BF57" i="55"/>
  <c r="CN41" i="55"/>
  <c r="BF41" i="55"/>
  <c r="CV25" i="55"/>
  <c r="CT25" i="55"/>
  <c r="CR25" i="55"/>
  <c r="CP25" i="55"/>
  <c r="CO25" i="55"/>
  <c r="CQ25" i="55"/>
  <c r="CX25" i="55"/>
  <c r="CU25" i="55"/>
  <c r="CW25" i="55"/>
  <c r="CN9" i="55"/>
  <c r="DY339" i="55"/>
  <c r="DR339" i="55"/>
  <c r="DZ339" i="55"/>
  <c r="GD323" i="55"/>
  <c r="DY323" i="55"/>
  <c r="DR323" i="55"/>
  <c r="GD307" i="55"/>
  <c r="DY307" i="55"/>
  <c r="DZ307" i="55" s="1"/>
  <c r="DR307" i="55"/>
  <c r="GD291" i="55"/>
  <c r="DY291" i="55"/>
  <c r="DZ291" i="55" s="1"/>
  <c r="DY275" i="55"/>
  <c r="DZ275" i="55" s="1"/>
  <c r="DR275" i="55"/>
  <c r="DR259" i="55"/>
  <c r="DY259" i="55"/>
  <c r="DZ259" i="55" s="1"/>
  <c r="GD243" i="55"/>
  <c r="DR243" i="55"/>
  <c r="DY243" i="55"/>
  <c r="DR227" i="55"/>
  <c r="DY227" i="55"/>
  <c r="DZ227" i="55" s="1"/>
  <c r="GD211" i="55"/>
  <c r="DR211" i="55"/>
  <c r="DY211" i="55"/>
  <c r="DY195" i="55"/>
  <c r="DY179" i="55"/>
  <c r="DZ179" i="55" s="1"/>
  <c r="DR179" i="55"/>
  <c r="GD163" i="55"/>
  <c r="DY163" i="55"/>
  <c r="GD147" i="55"/>
  <c r="DY147" i="55"/>
  <c r="DZ147" i="55" s="1"/>
  <c r="DR147" i="55"/>
  <c r="DR131" i="55"/>
  <c r="DY131" i="55"/>
  <c r="DZ131" i="55"/>
  <c r="DY115" i="55"/>
  <c r="DZ115" i="55" s="1"/>
  <c r="DR115" i="55"/>
  <c r="BE115" i="55"/>
  <c r="C115" i="55" s="1"/>
  <c r="GD99" i="55"/>
  <c r="DR99" i="55"/>
  <c r="DY99" i="55"/>
  <c r="DY83" i="55"/>
  <c r="DZ83" i="55" s="1"/>
  <c r="DR83" i="55"/>
  <c r="BE83" i="55"/>
  <c r="GD83" i="55" s="1"/>
  <c r="DY67" i="55"/>
  <c r="DZ67" i="55" s="1"/>
  <c r="DR67" i="55"/>
  <c r="BE67" i="55"/>
  <c r="C67" i="55" s="1"/>
  <c r="GD51" i="55"/>
  <c r="DY51" i="55"/>
  <c r="DR51" i="55"/>
  <c r="DY35" i="55"/>
  <c r="DR35" i="55"/>
  <c r="BE35" i="55"/>
  <c r="GD35" i="55" s="1"/>
  <c r="DR19" i="55"/>
  <c r="BE19" i="55"/>
  <c r="GD19" i="55" s="1"/>
  <c r="AL3" i="40" a="1"/>
  <c r="AL3" i="40" s="1"/>
  <c r="V3" i="40" a="1"/>
  <c r="V3" i="40" s="1"/>
  <c r="N3" i="40" a="1"/>
  <c r="N3" i="40" s="1"/>
  <c r="F3" i="40" a="1"/>
  <c r="F3" i="40" s="1"/>
  <c r="BZ3" i="40" a="1"/>
  <c r="BZ3" i="40" s="1"/>
  <c r="BJ3" i="40" a="1"/>
  <c r="BJ3" i="40" s="1"/>
  <c r="E3" i="40" a="1"/>
  <c r="E3" i="40" s="1"/>
  <c r="BF8" i="10" s="1"/>
  <c r="BV3" i="40" a="1"/>
  <c r="BV3" i="40" s="1"/>
  <c r="BN3" i="40" a="1"/>
  <c r="BN3" i="40" s="1"/>
  <c r="AW3" i="40" a="1"/>
  <c r="AW3" i="40" s="1"/>
  <c r="Y3" i="40" a="1"/>
  <c r="Y3" i="40" s="1"/>
  <c r="I3" i="40" a="1"/>
  <c r="I3" i="40" s="1"/>
  <c r="A3" i="40" a="1"/>
  <c r="A3" i="40" s="1"/>
  <c r="L3" i="40" a="1"/>
  <c r="L3" i="40" s="1"/>
  <c r="K3" i="40" a="1"/>
  <c r="K3" i="40" s="1"/>
  <c r="AV3" i="40" a="1"/>
  <c r="AV3" i="40" s="1"/>
  <c r="BH3" i="40" a="1"/>
  <c r="BH3" i="40" s="1"/>
  <c r="BG3" i="40" a="1"/>
  <c r="BG3" i="40" s="1"/>
  <c r="R3" i="40" a="1"/>
  <c r="R3" i="40" s="1"/>
  <c r="D3" i="40" a="1"/>
  <c r="D3" i="40" s="1"/>
  <c r="B3" i="40" a="1"/>
  <c r="B3" i="40" s="1"/>
  <c r="BO3" i="40" a="1"/>
  <c r="BO3" i="40" s="1"/>
  <c r="BL3" i="40" a="1"/>
  <c r="BL3" i="40" s="1"/>
  <c r="BP3" i="40" a="1"/>
  <c r="BP3" i="40" s="1"/>
  <c r="BI3" i="40" a="1"/>
  <c r="BI3" i="40" s="1"/>
  <c r="BE3" i="40" a="1"/>
  <c r="BE3" i="40" s="1"/>
  <c r="J3" i="40" a="1"/>
  <c r="J3" i="40" s="1"/>
  <c r="GD3" i="55"/>
  <c r="DR3" i="55"/>
  <c r="DY3" i="55"/>
  <c r="DZ3" i="55" s="1"/>
  <c r="DY4" i="55" s="1"/>
  <c r="DZ4" i="55" s="1"/>
  <c r="DY5" i="55" s="1"/>
  <c r="DZ5" i="55" s="1"/>
  <c r="DY6" i="55" s="1"/>
  <c r="DZ6" i="55" s="1"/>
  <c r="DY7" i="55" s="1"/>
  <c r="DZ7" i="55" s="1"/>
  <c r="DY8" i="55" s="1"/>
  <c r="DZ8" i="55" s="1"/>
  <c r="DY9" i="55" s="1"/>
  <c r="BE259" i="55"/>
  <c r="GD259" i="55" s="1"/>
  <c r="BF217" i="55"/>
  <c r="DT217" i="55" s="1"/>
  <c r="CJ246" i="55"/>
  <c r="BT246" i="55"/>
  <c r="BT166" i="55"/>
  <c r="BT150" i="55"/>
  <c r="BU150" i="55"/>
  <c r="BU38" i="55"/>
  <c r="BT38" i="55"/>
  <c r="DA233" i="55" a="1"/>
  <c r="DA233" i="55" s="1"/>
  <c r="DB233" i="55"/>
  <c r="DA134" i="55" a="1"/>
  <c r="DA134" i="55" s="1"/>
  <c r="DB134" i="55"/>
  <c r="DB73" i="55"/>
  <c r="DA73" i="55" a="1"/>
  <c r="DA73" i="55" s="1"/>
  <c r="DB13" i="55"/>
  <c r="DA13" i="55" a="1"/>
  <c r="DA13" i="55" s="1"/>
  <c r="BM297" i="55" a="1"/>
  <c r="BM297" i="55" s="1"/>
  <c r="CA297" i="55" s="1"/>
  <c r="BP296" i="55"/>
  <c r="EB296" i="55" s="1"/>
  <c r="BP218" i="55"/>
  <c r="EB218" i="55" s="1"/>
  <c r="EB115" i="55"/>
  <c r="BT329" i="55"/>
  <c r="BU272" i="55"/>
  <c r="CJ215" i="55"/>
  <c r="BU215" i="55"/>
  <c r="BU113" i="55"/>
  <c r="BT113" i="55"/>
  <c r="BU71" i="55"/>
  <c r="CJ26" i="55"/>
  <c r="BU26" i="55"/>
  <c r="BT26" i="55"/>
  <c r="CG10" i="55"/>
  <c r="CS288" i="55"/>
  <c r="CQ288" i="55"/>
  <c r="CU288" i="55"/>
  <c r="CP288" i="55"/>
  <c r="CT288" i="55"/>
  <c r="CO97" i="55"/>
  <c r="CS97" i="55" s="1"/>
  <c r="CW97" i="55"/>
  <c r="CX5" i="55"/>
  <c r="CT5" i="55"/>
  <c r="CW5" i="55"/>
  <c r="CP5" i="55"/>
  <c r="CO5" i="55"/>
  <c r="CS5" i="55"/>
  <c r="CR5" i="55"/>
  <c r="CV5" i="55"/>
  <c r="CQ5" i="55"/>
  <c r="DN207" i="55"/>
  <c r="DJ177" i="55" a="1"/>
  <c r="DJ177" i="55" s="1"/>
  <c r="DX348" i="55"/>
  <c r="DX305" i="55"/>
  <c r="DX220" i="55"/>
  <c r="DX186" i="55"/>
  <c r="DX177" i="55"/>
  <c r="DX92" i="55"/>
  <c r="DX58" i="55"/>
  <c r="DX49" i="55"/>
  <c r="AV234" i="55"/>
  <c r="AY234" i="55" s="1"/>
  <c r="AV170" i="55"/>
  <c r="AY170" i="55" s="1"/>
  <c r="E170" i="55" s="1"/>
  <c r="AZ170" i="55" s="1"/>
  <c r="AV106" i="55"/>
  <c r="AY106" i="55" s="1"/>
  <c r="AV42" i="55"/>
  <c r="AY42" i="55" s="1"/>
  <c r="E42" i="55" s="1"/>
  <c r="AZ42" i="55" s="1"/>
  <c r="CN327" i="55"/>
  <c r="CN295" i="55"/>
  <c r="BF295" i="55"/>
  <c r="DT295" i="55" s="1"/>
  <c r="CN279" i="55"/>
  <c r="BF279" i="55"/>
  <c r="DT279" i="55" s="1"/>
  <c r="CN263" i="55"/>
  <c r="CN247" i="55"/>
  <c r="BF247" i="55"/>
  <c r="CN231" i="55"/>
  <c r="CV215" i="55"/>
  <c r="CT215" i="55"/>
  <c r="CP215" i="55"/>
  <c r="CU215" i="55"/>
  <c r="CN199" i="55"/>
  <c r="CV183" i="55"/>
  <c r="CS183" i="55"/>
  <c r="CP183" i="55"/>
  <c r="CU183" i="55"/>
  <c r="CR183" i="55"/>
  <c r="CO183" i="55"/>
  <c r="CN167" i="55"/>
  <c r="BF167" i="55"/>
  <c r="DT167" i="55" s="1"/>
  <c r="CN151" i="55"/>
  <c r="BF151" i="55"/>
  <c r="DT151" i="55" s="1"/>
  <c r="CN135" i="55"/>
  <c r="CN119" i="55"/>
  <c r="BF119" i="55"/>
  <c r="DT119" i="55" s="1"/>
  <c r="CN103" i="55"/>
  <c r="CW87" i="55"/>
  <c r="CU87" i="55"/>
  <c r="CR87" i="55"/>
  <c r="CQ87" i="55"/>
  <c r="CV87" i="55"/>
  <c r="CO87" i="55"/>
  <c r="CS87" i="55" s="1"/>
  <c r="CT87" i="55"/>
  <c r="CP87" i="55"/>
  <c r="CN71" i="55"/>
  <c r="CV55" i="55"/>
  <c r="CP55" i="55"/>
  <c r="CO55" i="55"/>
  <c r="CU55" i="55"/>
  <c r="CN39" i="55"/>
  <c r="BF39" i="55"/>
  <c r="CN23" i="55"/>
  <c r="BF23" i="55"/>
  <c r="CN7" i="55"/>
  <c r="GD337" i="55"/>
  <c r="DY337" i="55"/>
  <c r="DR337" i="55"/>
  <c r="DY321" i="55"/>
  <c r="DR321" i="55"/>
  <c r="GD305" i="55"/>
  <c r="DY305" i="55"/>
  <c r="DZ305" i="55" s="1"/>
  <c r="DR305" i="55"/>
  <c r="GD289" i="55"/>
  <c r="DY289" i="55"/>
  <c r="DZ289" i="55" s="1"/>
  <c r="DR289" i="55"/>
  <c r="DY273" i="55"/>
  <c r="DZ273" i="55"/>
  <c r="DR273" i="55"/>
  <c r="DY257" i="55"/>
  <c r="DZ257" i="55" s="1"/>
  <c r="DR257" i="55"/>
  <c r="GD241" i="55"/>
  <c r="DR241" i="55"/>
  <c r="DY241" i="55"/>
  <c r="DR225" i="55"/>
  <c r="DY225" i="55"/>
  <c r="DZ225" i="55" s="1"/>
  <c r="GD209" i="55"/>
  <c r="DY209" i="55"/>
  <c r="DR209" i="55"/>
  <c r="GD193" i="55"/>
  <c r="DR193" i="55"/>
  <c r="DY193" i="55"/>
  <c r="DY177" i="55"/>
  <c r="GD161" i="55"/>
  <c r="DR161" i="55"/>
  <c r="DY161" i="55"/>
  <c r="GD145" i="55"/>
  <c r="DR145" i="55"/>
  <c r="DY145" i="55"/>
  <c r="DY129" i="55"/>
  <c r="DR129" i="55"/>
  <c r="DY113" i="55"/>
  <c r="DZ113" i="55" s="1"/>
  <c r="DR113" i="55"/>
  <c r="GD97" i="55"/>
  <c r="DR97" i="55"/>
  <c r="DY97" i="55"/>
  <c r="DY81" i="55"/>
  <c r="DZ81" i="55"/>
  <c r="DR81" i="55"/>
  <c r="BE81" i="55"/>
  <c r="GD81" i="55" s="1"/>
  <c r="GD65" i="55"/>
  <c r="DR65" i="55"/>
  <c r="DY65" i="55"/>
  <c r="DY49" i="55"/>
  <c r="DR49" i="55"/>
  <c r="BE49" i="55"/>
  <c r="GD49" i="55" s="1"/>
  <c r="DY33" i="55"/>
  <c r="DR33" i="55"/>
  <c r="BE33" i="55"/>
  <c r="GD33" i="55" s="1"/>
  <c r="DR17" i="55"/>
  <c r="BE257" i="55"/>
  <c r="C257" i="55" s="1"/>
  <c r="BE113" i="55"/>
  <c r="C113" i="55" s="1"/>
  <c r="BE17" i="55"/>
  <c r="C17" i="55" s="1"/>
  <c r="BF342" i="55"/>
  <c r="CT342" i="55" s="1"/>
  <c r="BF215" i="55"/>
  <c r="EB314" i="55"/>
  <c r="EB298" i="55"/>
  <c r="BP266" i="55"/>
  <c r="BR266" i="55"/>
  <c r="EB266" i="55" s="1"/>
  <c r="BP186" i="55"/>
  <c r="BR186" i="55"/>
  <c r="BR154" i="55"/>
  <c r="BP154" i="55"/>
  <c r="BR74" i="55"/>
  <c r="BP74" i="55"/>
  <c r="EB58" i="55"/>
  <c r="BR42" i="55"/>
  <c r="BP42" i="55"/>
  <c r="BT324" i="55"/>
  <c r="BU324" i="55"/>
  <c r="CJ324" i="55"/>
  <c r="BT308" i="55"/>
  <c r="BU308" i="55"/>
  <c r="CJ308" i="55"/>
  <c r="DA287" i="55" a="1"/>
  <c r="DA287" i="55" s="1"/>
  <c r="DB287" i="55"/>
  <c r="DA195" i="55" a="1"/>
  <c r="DA195" i="55" s="1"/>
  <c r="DB195" i="55"/>
  <c r="DB105" i="55"/>
  <c r="DA105" i="55" a="1"/>
  <c r="DA105" i="55" s="1"/>
  <c r="DA6" i="55" a="1"/>
  <c r="DA6" i="55" s="1"/>
  <c r="DB6" i="55"/>
  <c r="BM342" i="55" a="1"/>
  <c r="BM342" i="55" s="1"/>
  <c r="CA342" i="55" s="1"/>
  <c r="BM233" i="55" a="1"/>
  <c r="BM233" i="55" s="1"/>
  <c r="CA233" i="55" s="1"/>
  <c r="BP330" i="55"/>
  <c r="EB330" i="55" s="1"/>
  <c r="BP138" i="55"/>
  <c r="EB138" i="55" s="1"/>
  <c r="EB227" i="55"/>
  <c r="BU268" i="55"/>
  <c r="BT250" i="55"/>
  <c r="BT231" i="55"/>
  <c r="CJ193" i="55"/>
  <c r="BU193" i="55"/>
  <c r="BU151" i="55"/>
  <c r="CJ151" i="55"/>
  <c r="BU129" i="55"/>
  <c r="BT129" i="55"/>
  <c r="CJ23" i="55"/>
  <c r="BT23" i="55"/>
  <c r="BU23" i="55"/>
  <c r="BU246" i="55"/>
  <c r="CG248" i="55"/>
  <c r="CW275" i="55"/>
  <c r="CU275" i="55"/>
  <c r="CS275" i="55"/>
  <c r="CR275" i="55"/>
  <c r="CT275" i="55"/>
  <c r="CP275" i="55"/>
  <c r="CV275" i="55"/>
  <c r="DK272" i="55"/>
  <c r="DN272" i="55"/>
  <c r="DN256" i="55"/>
  <c r="DK256" i="55"/>
  <c r="DN208" i="55"/>
  <c r="DK208" i="55"/>
  <c r="DK192" i="55"/>
  <c r="DN192" i="55"/>
  <c r="DN159" i="55"/>
  <c r="DN142" i="55"/>
  <c r="DK142" i="55"/>
  <c r="DN322" i="55"/>
  <c r="DK322" i="55"/>
  <c r="DN133" i="55"/>
  <c r="DK133" i="55"/>
  <c r="CP342" i="55"/>
  <c r="CO342" i="55"/>
  <c r="CS342" i="55"/>
  <c r="CR342" i="55"/>
  <c r="CU342" i="55"/>
  <c r="CN326" i="55"/>
  <c r="CP310" i="55"/>
  <c r="CU310" i="55"/>
  <c r="CS310" i="55"/>
  <c r="CV310" i="55"/>
  <c r="CO310" i="55"/>
  <c r="CR310" i="55"/>
  <c r="CN294" i="55"/>
  <c r="CP278" i="55"/>
  <c r="CT278" i="55"/>
  <c r="CS278" i="55"/>
  <c r="CV278" i="55"/>
  <c r="CN262" i="55"/>
  <c r="BF262" i="55"/>
  <c r="CN246" i="55"/>
  <c r="BF246" i="55"/>
  <c r="CN230" i="55"/>
  <c r="CP214" i="55"/>
  <c r="CU214" i="55"/>
  <c r="CT214" i="55"/>
  <c r="CP182" i="55"/>
  <c r="CV182" i="55"/>
  <c r="CR182" i="55"/>
  <c r="CS182" i="55"/>
  <c r="CO182" i="55"/>
  <c r="CU182" i="55"/>
  <c r="CP150" i="55"/>
  <c r="CR150" i="55"/>
  <c r="CS150" i="55"/>
  <c r="CU150" i="55"/>
  <c r="CQ150" i="55"/>
  <c r="CT150" i="55"/>
  <c r="CW150" i="55"/>
  <c r="CN134" i="55"/>
  <c r="BF134" i="55"/>
  <c r="CN118" i="55"/>
  <c r="BF118" i="55"/>
  <c r="CN86" i="55"/>
  <c r="CN70" i="55"/>
  <c r="BM70" i="55" s="1" a="1"/>
  <c r="BM70" i="55" s="1"/>
  <c r="CP38" i="55"/>
  <c r="CS38" i="55"/>
  <c r="CU38" i="55"/>
  <c r="CT38" i="55"/>
  <c r="CQ38" i="55"/>
  <c r="CW38" i="55"/>
  <c r="CN6" i="55"/>
  <c r="BF6" i="55"/>
  <c r="DT6" i="55" s="1"/>
  <c r="GD352" i="55"/>
  <c r="DY352" i="55"/>
  <c r="DZ352" i="55" s="1"/>
  <c r="DR352" i="55"/>
  <c r="GD336" i="55"/>
  <c r="DY336" i="55"/>
  <c r="DZ336" i="55" s="1"/>
  <c r="DR336" i="55"/>
  <c r="GD320" i="55"/>
  <c r="DY320" i="55"/>
  <c r="DZ320" i="55" s="1"/>
  <c r="DR320" i="55"/>
  <c r="GD304" i="55"/>
  <c r="DR304" i="55"/>
  <c r="DY304" i="55"/>
  <c r="DZ304" i="55" s="1"/>
  <c r="GD288" i="55"/>
  <c r="DY288" i="55"/>
  <c r="DZ288" i="55"/>
  <c r="DY272" i="55"/>
  <c r="DR272" i="55"/>
  <c r="DY256" i="55"/>
  <c r="DR256" i="55"/>
  <c r="GD240" i="55"/>
  <c r="DY240" i="55"/>
  <c r="DZ240" i="55" s="1"/>
  <c r="DR240" i="55"/>
  <c r="DY224" i="55"/>
  <c r="DZ224" i="55" s="1"/>
  <c r="DR224" i="55"/>
  <c r="GD208" i="55"/>
  <c r="DR208" i="55"/>
  <c r="DY208" i="55"/>
  <c r="GD192" i="55"/>
  <c r="DR192" i="55"/>
  <c r="DY192" i="55"/>
  <c r="GD176" i="55"/>
  <c r="DY176" i="55"/>
  <c r="DZ176" i="55" s="1"/>
  <c r="DR176" i="55"/>
  <c r="GD160" i="55"/>
  <c r="DY160" i="55"/>
  <c r="DR160" i="55"/>
  <c r="GD144" i="55"/>
  <c r="DY144" i="55"/>
  <c r="DZ144" i="55" s="1"/>
  <c r="DR144" i="55"/>
  <c r="DZ128" i="55"/>
  <c r="DZ129" i="55" s="1"/>
  <c r="DR128" i="55"/>
  <c r="DY112" i="55"/>
  <c r="DZ112" i="55" s="1"/>
  <c r="DR112" i="55"/>
  <c r="GD96" i="55"/>
  <c r="DR96" i="55"/>
  <c r="DY96" i="55"/>
  <c r="DR80" i="55"/>
  <c r="DY80" i="55"/>
  <c r="DZ80" i="55"/>
  <c r="DY64" i="55"/>
  <c r="DR64" i="55"/>
  <c r="BE64" i="55"/>
  <c r="C64" i="55" s="1"/>
  <c r="GD48" i="55"/>
  <c r="DR48" i="55"/>
  <c r="DY48" i="55"/>
  <c r="DY32" i="55"/>
  <c r="DR32" i="55"/>
  <c r="BE32" i="55"/>
  <c r="GD32" i="55" s="1"/>
  <c r="DR16" i="55"/>
  <c r="BE16" i="55"/>
  <c r="C16" i="55" s="1"/>
  <c r="BE256" i="55"/>
  <c r="BE112" i="55"/>
  <c r="C112" i="55" s="1"/>
  <c r="BF214" i="55"/>
  <c r="CR214" i="55" s="1"/>
  <c r="CF12" i="55"/>
  <c r="CG12" i="55" s="1"/>
  <c r="BR22" i="55"/>
  <c r="BP22" i="55"/>
  <c r="BR5" i="55"/>
  <c r="EB5" i="55" s="1"/>
  <c r="BT323" i="55"/>
  <c r="BU323" i="55"/>
  <c r="BT195" i="55"/>
  <c r="BU195" i="55"/>
  <c r="BT163" i="55"/>
  <c r="BU163" i="55"/>
  <c r="BT131" i="55"/>
  <c r="BT99" i="55"/>
  <c r="BT67" i="55"/>
  <c r="BT35" i="55"/>
  <c r="BU35" i="55"/>
  <c r="DA349" i="55" a="1"/>
  <c r="DA349" i="55" s="1"/>
  <c r="DB349" i="55"/>
  <c r="DB223" i="55"/>
  <c r="DA223" i="55" a="1"/>
  <c r="DA223" i="55" s="1"/>
  <c r="DC223" i="55" s="1"/>
  <c r="DA131" i="55" a="1"/>
  <c r="DA131" i="55" s="1"/>
  <c r="DB131" i="55"/>
  <c r="DA41" i="55" a="1"/>
  <c r="DA41" i="55" s="1"/>
  <c r="BM201" i="55" a="1"/>
  <c r="BM201" i="55" s="1"/>
  <c r="BP328" i="55"/>
  <c r="EB328" i="55" s="1"/>
  <c r="EB147" i="55"/>
  <c r="BU289" i="55"/>
  <c r="BT289" i="55"/>
  <c r="BT230" i="55"/>
  <c r="BU230" i="55"/>
  <c r="BU191" i="55"/>
  <c r="BT191" i="55"/>
  <c r="BU106" i="55"/>
  <c r="BT87" i="55"/>
  <c r="BU87" i="55"/>
  <c r="CG154" i="55"/>
  <c r="CJ150" i="55"/>
  <c r="CS256" i="55"/>
  <c r="CN89" i="55"/>
  <c r="CR55" i="55"/>
  <c r="CT55" i="55"/>
  <c r="DN304" i="55"/>
  <c r="DK304" i="55"/>
  <c r="DK271" i="55"/>
  <c r="DN271" i="55"/>
  <c r="DN191" i="55"/>
  <c r="DK191" i="55"/>
  <c r="DN174" i="55"/>
  <c r="DK174" i="55"/>
  <c r="DK141" i="55"/>
  <c r="DN141" i="55"/>
  <c r="DK123" i="55"/>
  <c r="DN123" i="55"/>
  <c r="DK107" i="55"/>
  <c r="DN107" i="55"/>
  <c r="DK90" i="55"/>
  <c r="DN90" i="55"/>
  <c r="DN180" i="55"/>
  <c r="DK180" i="55"/>
  <c r="DV350" i="55"/>
  <c r="BZ350" i="55"/>
  <c r="DV334" i="55"/>
  <c r="BZ334" i="55"/>
  <c r="BR334" i="55"/>
  <c r="EB334" i="55" s="1"/>
  <c r="DV318" i="55"/>
  <c r="BZ318" i="55"/>
  <c r="BR318" i="55"/>
  <c r="DV302" i="55"/>
  <c r="BZ302" i="55"/>
  <c r="DV286" i="55"/>
  <c r="BZ286" i="55"/>
  <c r="BZ270" i="55"/>
  <c r="DV270" i="55"/>
  <c r="DV254" i="55"/>
  <c r="BZ254" i="55"/>
  <c r="BP254" i="55"/>
  <c r="DV238" i="55"/>
  <c r="BZ238" i="55"/>
  <c r="DV222" i="55"/>
  <c r="BZ222" i="55"/>
  <c r="BZ206" i="55"/>
  <c r="BR206" i="55"/>
  <c r="DV190" i="55"/>
  <c r="BZ190" i="55"/>
  <c r="DV174" i="55"/>
  <c r="BZ174" i="55"/>
  <c r="BP174" i="55"/>
  <c r="BZ158" i="55"/>
  <c r="BZ142" i="55"/>
  <c r="DV142" i="55"/>
  <c r="BP142" i="55"/>
  <c r="DV126" i="55"/>
  <c r="BZ126" i="55"/>
  <c r="BP126" i="55"/>
  <c r="BZ110" i="55"/>
  <c r="DV110" i="55"/>
  <c r="BR110" i="55"/>
  <c r="EB110" i="55" s="1"/>
  <c r="BZ94" i="55"/>
  <c r="DV94" i="55"/>
  <c r="DV78" i="55"/>
  <c r="BZ78" i="55"/>
  <c r="DV62" i="55"/>
  <c r="BZ62" i="55"/>
  <c r="BR62" i="55"/>
  <c r="EB62" i="55" s="1"/>
  <c r="DV46" i="55"/>
  <c r="BZ46" i="55"/>
  <c r="DV30" i="55"/>
  <c r="CZ30" i="55"/>
  <c r="BZ30" i="55"/>
  <c r="BR30" i="55"/>
  <c r="DV14" i="55"/>
  <c r="CZ14" i="55"/>
  <c r="BZ14" i="55"/>
  <c r="BP14" i="55"/>
  <c r="CF348" i="55"/>
  <c r="CG348" i="55"/>
  <c r="CG332" i="55"/>
  <c r="CF300" i="55"/>
  <c r="CG268" i="55"/>
  <c r="CF236" i="55"/>
  <c r="CG236" i="55"/>
  <c r="CF220" i="55"/>
  <c r="CF204" i="55"/>
  <c r="CG204" i="55"/>
  <c r="CG188" i="55"/>
  <c r="CF172" i="55"/>
  <c r="CF156" i="55"/>
  <c r="CF140" i="55"/>
  <c r="CG140" i="55"/>
  <c r="CF124" i="55"/>
  <c r="CG124" i="55"/>
  <c r="CF108" i="55"/>
  <c r="CG108" i="55"/>
  <c r="CF92" i="55"/>
  <c r="CF76" i="55"/>
  <c r="CG76" i="55" s="1"/>
  <c r="CG60" i="55"/>
  <c r="CF60" i="55"/>
  <c r="CF44" i="55"/>
  <c r="BP344" i="55"/>
  <c r="BR344" i="55"/>
  <c r="BP312" i="55"/>
  <c r="EB312" i="55" s="1"/>
  <c r="BR264" i="55"/>
  <c r="EB264" i="55" s="1"/>
  <c r="BR232" i="55"/>
  <c r="BP232" i="55"/>
  <c r="BR216" i="55"/>
  <c r="EB216" i="55" s="1"/>
  <c r="BR200" i="55"/>
  <c r="BP200" i="55"/>
  <c r="BP184" i="55"/>
  <c r="BP168" i="55"/>
  <c r="EB168" i="55" s="1"/>
  <c r="BR152" i="55"/>
  <c r="EB152" i="55" s="1"/>
  <c r="BR136" i="55"/>
  <c r="BR120" i="55"/>
  <c r="BP120" i="55"/>
  <c r="BP104" i="55"/>
  <c r="BR104" i="55"/>
  <c r="BP88" i="55"/>
  <c r="EB88" i="55" s="1"/>
  <c r="BP72" i="55"/>
  <c r="EB72" i="55" s="1"/>
  <c r="CJ274" i="55"/>
  <c r="BU274" i="55"/>
  <c r="BU258" i="55"/>
  <c r="BT258" i="55"/>
  <c r="BU242" i="55"/>
  <c r="BT242" i="55"/>
  <c r="BU194" i="55"/>
  <c r="BT194" i="55"/>
  <c r="BU178" i="55"/>
  <c r="BT178" i="55"/>
  <c r="CJ98" i="55"/>
  <c r="BU98" i="55"/>
  <c r="BT98" i="55"/>
  <c r="CJ66" i="55"/>
  <c r="DA319" i="55" a="1"/>
  <c r="DA319" i="55" s="1"/>
  <c r="DB319" i="55"/>
  <c r="DA285" i="55" a="1"/>
  <c r="DA285" i="55" s="1"/>
  <c r="DB285" i="55"/>
  <c r="DB256" i="55"/>
  <c r="DA256" i="55" a="1"/>
  <c r="DA256" i="55" s="1"/>
  <c r="DC256" i="55" s="1"/>
  <c r="DA159" i="55" a="1"/>
  <c r="DA159" i="55" s="1"/>
  <c r="DB159" i="55"/>
  <c r="DA67" i="55" a="1"/>
  <c r="DA67" i="55" s="1"/>
  <c r="DB67" i="55"/>
  <c r="BP136" i="55"/>
  <c r="BR190" i="55"/>
  <c r="EB190" i="55" s="1"/>
  <c r="EB106" i="55"/>
  <c r="BR21" i="55"/>
  <c r="EB21" i="55" s="1"/>
  <c r="BT326" i="55"/>
  <c r="BU288" i="55"/>
  <c r="BT288" i="55"/>
  <c r="BT249" i="55"/>
  <c r="BT228" i="55"/>
  <c r="BU228" i="55"/>
  <c r="BT105" i="55"/>
  <c r="BT86" i="55"/>
  <c r="BU42" i="55"/>
  <c r="CJ18" i="55"/>
  <c r="BU18" i="55"/>
  <c r="BU105" i="55"/>
  <c r="CG152" i="55"/>
  <c r="CN169" i="55"/>
  <c r="CU278" i="55"/>
  <c r="CV150" i="55"/>
  <c r="DJ321" i="55" a="1"/>
  <c r="DJ321" i="55" s="1"/>
  <c r="DK254" i="55"/>
  <c r="DN254" i="55"/>
  <c r="DN206" i="55"/>
  <c r="DK206" i="55"/>
  <c r="DK122" i="55"/>
  <c r="DN122" i="55"/>
  <c r="DK217" i="55"/>
  <c r="DN217" i="55"/>
  <c r="DK165" i="55"/>
  <c r="DN165" i="55"/>
  <c r="C145" i="55"/>
  <c r="DX329" i="55"/>
  <c r="DX312" i="55"/>
  <c r="DX295" i="55"/>
  <c r="DX278" i="55"/>
  <c r="DX244" i="55"/>
  <c r="DX210" i="55"/>
  <c r="DX133" i="55"/>
  <c r="DF330" i="55"/>
  <c r="DW330" i="55"/>
  <c r="BW330" i="55"/>
  <c r="DQ330" i="55"/>
  <c r="BL330" i="55"/>
  <c r="CE330" i="55"/>
  <c r="GK266" i="55"/>
  <c r="GL266" i="55" s="1"/>
  <c r="EA266" i="55"/>
  <c r="DF266" i="55"/>
  <c r="DW266" i="55"/>
  <c r="CE266" i="55"/>
  <c r="BL266" i="55"/>
  <c r="BW266" i="55"/>
  <c r="CI266" i="55" s="1"/>
  <c r="GK202" i="55"/>
  <c r="GL202" i="55" s="1"/>
  <c r="EA202" i="55"/>
  <c r="DW202" i="55"/>
  <c r="DF202" i="55"/>
  <c r="BW202" i="55"/>
  <c r="CI202" i="55" s="1"/>
  <c r="CE202" i="55"/>
  <c r="BL202" i="55"/>
  <c r="GK138" i="55"/>
  <c r="GL138" i="55" s="1"/>
  <c r="EA138" i="55"/>
  <c r="DW138" i="55"/>
  <c r="DF138" i="55"/>
  <c r="BL138" i="55"/>
  <c r="BW138" i="55"/>
  <c r="GK74" i="55"/>
  <c r="GL74" i="55" s="1"/>
  <c r="EA74" i="55"/>
  <c r="DW74" i="55"/>
  <c r="DF74" i="55"/>
  <c r="CE74" i="55"/>
  <c r="BW74" i="55"/>
  <c r="BL74" i="55"/>
  <c r="GK10" i="55"/>
  <c r="GL10" i="55" s="1"/>
  <c r="EA10" i="55"/>
  <c r="DF10" i="55"/>
  <c r="DW10" i="55"/>
  <c r="BW10" i="55"/>
  <c r="BL10" i="55"/>
  <c r="AW248" i="55"/>
  <c r="AX248" i="55" s="1"/>
  <c r="AY248" i="55" s="1"/>
  <c r="E248" i="55" s="1"/>
  <c r="AZ248" i="55" s="1"/>
  <c r="CN292" i="55"/>
  <c r="BF292" i="55"/>
  <c r="EX26" i="55"/>
  <c r="DS26" i="55"/>
  <c r="BR295" i="55"/>
  <c r="EB295" i="55" s="1"/>
  <c r="BP247" i="55"/>
  <c r="BR199" i="55"/>
  <c r="BP199" i="55"/>
  <c r="BP183" i="55"/>
  <c r="BR183" i="55"/>
  <c r="BR103" i="55"/>
  <c r="BP71" i="55"/>
  <c r="BR71" i="55"/>
  <c r="BR39" i="55"/>
  <c r="BP39" i="55"/>
  <c r="BU321" i="55"/>
  <c r="CJ321" i="55"/>
  <c r="BT33" i="55"/>
  <c r="CJ33" i="55"/>
  <c r="BM198" i="55" a="1"/>
  <c r="BM198" i="55" s="1"/>
  <c r="CA198" i="55" s="1"/>
  <c r="CF316" i="55"/>
  <c r="CW67" i="55"/>
  <c r="CO67" i="55"/>
  <c r="CQ67" i="55"/>
  <c r="CR67" i="55"/>
  <c r="CU67" i="55"/>
  <c r="CS67" i="55"/>
  <c r="CP67" i="55"/>
  <c r="CV67" i="55"/>
  <c r="DX337" i="55"/>
  <c r="CY337" i="55"/>
  <c r="CZ337" i="55" s="1"/>
  <c r="DX303" i="55"/>
  <c r="DX286" i="55"/>
  <c r="DX269" i="55"/>
  <c r="DX235" i="55"/>
  <c r="DX158" i="55"/>
  <c r="DX141" i="55"/>
  <c r="CY90" i="55"/>
  <c r="CY91" i="55" s="1"/>
  <c r="CZ91" i="55" s="1"/>
  <c r="DX90" i="55"/>
  <c r="DX81" i="55"/>
  <c r="DX64" i="55"/>
  <c r="GK329" i="55"/>
  <c r="GL329" i="55" s="1"/>
  <c r="EA329" i="55"/>
  <c r="DF329" i="55"/>
  <c r="AY329" i="55"/>
  <c r="E329" i="55" s="1"/>
  <c r="AZ329" i="55" s="1"/>
  <c r="DW329" i="55"/>
  <c r="GK265" i="55"/>
  <c r="GL265" i="55" s="1"/>
  <c r="EA265" i="55"/>
  <c r="DW265" i="55"/>
  <c r="DF265" i="55"/>
  <c r="CE265" i="55"/>
  <c r="AY265" i="55"/>
  <c r="GK217" i="55"/>
  <c r="GL217" i="55" s="1"/>
  <c r="EA217" i="55"/>
  <c r="DW217" i="55"/>
  <c r="DF217" i="55"/>
  <c r="AY217" i="55"/>
  <c r="E217" i="55" s="1"/>
  <c r="AZ217" i="55" s="1"/>
  <c r="GK153" i="55"/>
  <c r="GL153" i="55" s="1"/>
  <c r="EA153" i="55"/>
  <c r="DW153" i="55"/>
  <c r="DF153" i="55"/>
  <c r="CE153" i="55"/>
  <c r="BW153" i="55"/>
  <c r="CI153" i="55" s="1"/>
  <c r="GK89" i="55"/>
  <c r="GL89" i="55" s="1"/>
  <c r="DF89" i="55"/>
  <c r="EA89" i="55"/>
  <c r="DW89" i="55"/>
  <c r="CE89" i="55"/>
  <c r="AY89" i="55"/>
  <c r="GK25" i="55"/>
  <c r="GL25" i="55" s="1"/>
  <c r="EA25" i="55"/>
  <c r="DW25" i="55"/>
  <c r="CE25" i="55"/>
  <c r="DF25" i="55"/>
  <c r="BK25" i="55"/>
  <c r="BJ25" i="55"/>
  <c r="GK9" i="55"/>
  <c r="GL9" i="55" s="1"/>
  <c r="EA9" i="55"/>
  <c r="DF9" i="55"/>
  <c r="DW9" i="55"/>
  <c r="CE9" i="55"/>
  <c r="BW9" i="55"/>
  <c r="AV250" i="55"/>
  <c r="AY250" i="55" s="1"/>
  <c r="E250" i="55" s="1"/>
  <c r="AZ250" i="55" s="1"/>
  <c r="AV186" i="55"/>
  <c r="AV122" i="55"/>
  <c r="BW122" i="55" s="1"/>
  <c r="CJ122" i="55" s="1"/>
  <c r="AV58" i="55"/>
  <c r="AY330" i="55"/>
  <c r="E330" i="55" s="1"/>
  <c r="AZ330" i="55" s="1"/>
  <c r="AY141" i="55"/>
  <c r="CN339" i="55"/>
  <c r="BF339" i="55"/>
  <c r="DT339" i="55" s="1"/>
  <c r="CN323" i="55"/>
  <c r="BF323" i="55"/>
  <c r="BM307" i="55" a="1"/>
  <c r="BM307" i="55" s="1"/>
  <c r="CA307" i="55" s="1"/>
  <c r="BF307" i="55"/>
  <c r="BF291" i="55"/>
  <c r="CQ291" i="55" s="1"/>
  <c r="BM275" i="55" a="1"/>
  <c r="BM275" i="55" s="1"/>
  <c r="CA275" i="55" s="1"/>
  <c r="BF275" i="55"/>
  <c r="DT275" i="55" s="1"/>
  <c r="BF259" i="55"/>
  <c r="DT259" i="55" s="1"/>
  <c r="CN259" i="55"/>
  <c r="BF243" i="55"/>
  <c r="CN227" i="55"/>
  <c r="BF227" i="55"/>
  <c r="DT227" i="55" s="1"/>
  <c r="CN211" i="55"/>
  <c r="BM211" i="55" a="1"/>
  <c r="BM211" i="55" s="1"/>
  <c r="CA211" i="55" s="1"/>
  <c r="BF211" i="55"/>
  <c r="DT211" i="55" s="1"/>
  <c r="CN195" i="55"/>
  <c r="BF195" i="55"/>
  <c r="DT195" i="55" s="1"/>
  <c r="CN179" i="55"/>
  <c r="BF179" i="55"/>
  <c r="CN163" i="55"/>
  <c r="BD17" i="54" s="1"/>
  <c r="BF163" i="55"/>
  <c r="CN147" i="55"/>
  <c r="BM147" i="55" s="1" a="1"/>
  <c r="BM147" i="55" s="1"/>
  <c r="CA147" i="55" s="1"/>
  <c r="BF147" i="55"/>
  <c r="CN131" i="55"/>
  <c r="BM131" i="55" a="1"/>
  <c r="BM131" i="55" s="1"/>
  <c r="CA131" i="55" s="1"/>
  <c r="BF131" i="55"/>
  <c r="CN115" i="55"/>
  <c r="BM115" i="55" s="1" a="1"/>
  <c r="BM115" i="55" s="1"/>
  <c r="CA115" i="55" s="1"/>
  <c r="BF115" i="55"/>
  <c r="CN99" i="55"/>
  <c r="BF99" i="55"/>
  <c r="CN83" i="55"/>
  <c r="BM83" i="55" s="1" a="1"/>
  <c r="BM83" i="55" s="1"/>
  <c r="CA83" i="55" s="1"/>
  <c r="BF83" i="55"/>
  <c r="DT83" i="55" s="1"/>
  <c r="BM67" i="55" a="1"/>
  <c r="BM67" i="55" s="1"/>
  <c r="CA67" i="55" s="1"/>
  <c r="BF67" i="55"/>
  <c r="BM51" i="55" a="1"/>
  <c r="BM51" i="55" s="1"/>
  <c r="CA51" i="55" s="1"/>
  <c r="BF51" i="55"/>
  <c r="DB51" i="55" s="1"/>
  <c r="CN35" i="55"/>
  <c r="BF35" i="55"/>
  <c r="DT35" i="55" s="1"/>
  <c r="CN19" i="55"/>
  <c r="AI17" i="54"/>
  <c r="AI10" i="54"/>
  <c r="AI11" i="54"/>
  <c r="AI14" i="54"/>
  <c r="AI15" i="54"/>
  <c r="AI16" i="54"/>
  <c r="AI13" i="54"/>
  <c r="AI18" i="54"/>
  <c r="AI19" i="54"/>
  <c r="AI21" i="54"/>
  <c r="AI22" i="54"/>
  <c r="AI23" i="54"/>
  <c r="AI24" i="54"/>
  <c r="AI12" i="54"/>
  <c r="AI20" i="54"/>
  <c r="AI25" i="54"/>
  <c r="AI26" i="54"/>
  <c r="CN3" i="55"/>
  <c r="BF3" i="55"/>
  <c r="DT3" i="55" s="1"/>
  <c r="DY349" i="55"/>
  <c r="DZ349" i="55" s="1"/>
  <c r="DR349" i="55"/>
  <c r="BE349" i="55"/>
  <c r="C349" i="55" s="1"/>
  <c r="DY333" i="55"/>
  <c r="DZ333" i="55" s="1"/>
  <c r="DR333" i="55"/>
  <c r="BE333" i="55"/>
  <c r="DY317" i="55"/>
  <c r="DZ317" i="55" s="1"/>
  <c r="DR317" i="55"/>
  <c r="BE317" i="55"/>
  <c r="C317" i="55" s="1"/>
  <c r="DY301" i="55"/>
  <c r="DR301" i="55"/>
  <c r="BE301" i="55"/>
  <c r="C301" i="55" s="1"/>
  <c r="DY285" i="55"/>
  <c r="DZ285" i="55" s="1"/>
  <c r="DR285" i="55"/>
  <c r="BE285" i="55"/>
  <c r="C285" i="55" s="1"/>
  <c r="DR269" i="55"/>
  <c r="DY269" i="55"/>
  <c r="DZ269" i="55" s="1"/>
  <c r="BE269" i="55"/>
  <c r="C269" i="55" s="1"/>
  <c r="DY253" i="55"/>
  <c r="DZ253" i="55" s="1"/>
  <c r="DR253" i="55"/>
  <c r="BE253" i="55"/>
  <c r="C253" i="55" s="1"/>
  <c r="DY237" i="55"/>
  <c r="DZ237" i="55" s="1"/>
  <c r="DR237" i="55"/>
  <c r="BE237" i="55"/>
  <c r="C237" i="55" s="1"/>
  <c r="DY221" i="55"/>
  <c r="DR221" i="55"/>
  <c r="BE221" i="55"/>
  <c r="C221" i="55" s="1"/>
  <c r="DY205" i="55"/>
  <c r="DZ205" i="55" s="1"/>
  <c r="DR205" i="55"/>
  <c r="BE205" i="55"/>
  <c r="C205" i="55" s="1"/>
  <c r="DR189" i="55"/>
  <c r="DY189" i="55"/>
  <c r="DZ189" i="55" s="1"/>
  <c r="BE189" i="55"/>
  <c r="C189" i="55" s="1"/>
  <c r="DR173" i="55"/>
  <c r="BE173" i="55"/>
  <c r="C173" i="55" s="1"/>
  <c r="DY173" i="55"/>
  <c r="DZ173" i="55" s="1"/>
  <c r="DR157" i="55"/>
  <c r="DY157" i="55"/>
  <c r="DZ157" i="55" s="1"/>
  <c r="GD141" i="55"/>
  <c r="DY141" i="55"/>
  <c r="DR141" i="55"/>
  <c r="GD125" i="55"/>
  <c r="DR125" i="55"/>
  <c r="DY125" i="55"/>
  <c r="DZ125" i="55" s="1"/>
  <c r="DY109" i="55"/>
  <c r="DR109" i="55"/>
  <c r="GD93" i="55"/>
  <c r="DY93" i="55"/>
  <c r="DR93" i="55"/>
  <c r="GD77" i="55"/>
  <c r="DR77" i="55"/>
  <c r="DY77" i="55"/>
  <c r="GD61" i="55"/>
  <c r="DZ61" i="55"/>
  <c r="GD45" i="55"/>
  <c r="DR45" i="55"/>
  <c r="DY45" i="55"/>
  <c r="DY29" i="55"/>
  <c r="DZ29" i="55" s="1"/>
  <c r="DR29" i="55"/>
  <c r="DR13" i="55"/>
  <c r="BE13" i="55"/>
  <c r="C13" i="55" s="1"/>
  <c r="BE321" i="55"/>
  <c r="C321" i="55" s="1"/>
  <c r="BE227" i="55"/>
  <c r="C227" i="55" s="1"/>
  <c r="BE131" i="55"/>
  <c r="BE109" i="55"/>
  <c r="BF311" i="55"/>
  <c r="BF183" i="55"/>
  <c r="CW183" i="55" s="1"/>
  <c r="BF128" i="55"/>
  <c r="BF105" i="55"/>
  <c r="BF54" i="55"/>
  <c r="DT54" i="55" s="1"/>
  <c r="DV348" i="55"/>
  <c r="BZ348" i="55"/>
  <c r="DV332" i="55"/>
  <c r="BP332" i="55"/>
  <c r="CZ316" i="55"/>
  <c r="BZ316" i="55"/>
  <c r="DV300" i="55"/>
  <c r="BZ300" i="55"/>
  <c r="DV284" i="55"/>
  <c r="DV268" i="55"/>
  <c r="BZ268" i="55"/>
  <c r="DV252" i="55"/>
  <c r="BP252" i="55"/>
  <c r="DV236" i="55"/>
  <c r="BZ236" i="55"/>
  <c r="DV220" i="55"/>
  <c r="BP220" i="55"/>
  <c r="DV204" i="55"/>
  <c r="BP204" i="55"/>
  <c r="DV188" i="55"/>
  <c r="BZ188" i="55"/>
  <c r="DV172" i="55"/>
  <c r="DV140" i="55"/>
  <c r="DV124" i="55"/>
  <c r="BZ124" i="55"/>
  <c r="DV108" i="55"/>
  <c r="BZ108" i="55"/>
  <c r="DV92" i="55"/>
  <c r="BZ92" i="55"/>
  <c r="BP92" i="55"/>
  <c r="DV76" i="55"/>
  <c r="BZ76" i="55"/>
  <c r="DV60" i="55"/>
  <c r="BZ60" i="55"/>
  <c r="DV44" i="55"/>
  <c r="BZ44" i="55"/>
  <c r="CZ12" i="55"/>
  <c r="DV12" i="55"/>
  <c r="BZ12" i="55"/>
  <c r="CF346" i="55"/>
  <c r="CG330" i="55"/>
  <c r="CF330" i="55"/>
  <c r="CH330" i="55" s="1"/>
  <c r="CF298" i="55"/>
  <c r="CG298" i="55"/>
  <c r="CG266" i="55"/>
  <c r="CG250" i="55"/>
  <c r="CF250" i="55"/>
  <c r="CF218" i="55"/>
  <c r="CF202" i="55"/>
  <c r="CF170" i="55"/>
  <c r="EX154" i="55"/>
  <c r="DS154" i="55"/>
  <c r="CG122" i="55"/>
  <c r="CF90" i="55"/>
  <c r="CG90" i="55" s="1"/>
  <c r="CF74" i="55"/>
  <c r="CF42" i="55"/>
  <c r="CG42" i="55" s="1"/>
  <c r="BI25" i="55"/>
  <c r="CG8" i="55"/>
  <c r="BP342" i="55"/>
  <c r="BP326" i="55"/>
  <c r="BR310" i="55"/>
  <c r="EB310" i="55" s="1"/>
  <c r="BR294" i="55"/>
  <c r="EB294" i="55" s="1"/>
  <c r="BR278" i="55"/>
  <c r="BP278" i="55"/>
  <c r="BP262" i="55"/>
  <c r="BR262" i="55"/>
  <c r="EB262" i="55" s="1"/>
  <c r="BP246" i="55"/>
  <c r="EB246" i="55" s="1"/>
  <c r="BP230" i="55"/>
  <c r="BR182" i="55"/>
  <c r="EB182" i="55" s="1"/>
  <c r="BR166" i="55"/>
  <c r="BP150" i="55"/>
  <c r="BR150" i="55"/>
  <c r="BR118" i="55"/>
  <c r="BP118" i="55"/>
  <c r="BR102" i="55"/>
  <c r="BP86" i="55"/>
  <c r="BP70" i="55"/>
  <c r="BR54" i="55"/>
  <c r="EB54" i="55" s="1"/>
  <c r="BR38" i="55"/>
  <c r="BR19" i="55"/>
  <c r="BP19" i="55"/>
  <c r="BU352" i="55"/>
  <c r="BT304" i="55"/>
  <c r="CK224" i="55"/>
  <c r="CL224" i="55" s="1"/>
  <c r="FH224" i="55" s="1"/>
  <c r="FJ224" i="55" s="1"/>
  <c r="BT224" i="55"/>
  <c r="CJ224" i="55"/>
  <c r="BU192" i="55"/>
  <c r="BT192" i="55"/>
  <c r="BU80" i="55"/>
  <c r="BT80" i="55"/>
  <c r="CJ64" i="55"/>
  <c r="BT14" i="55"/>
  <c r="DB191" i="55"/>
  <c r="DA191" i="55" a="1"/>
  <c r="DA191" i="55" s="1"/>
  <c r="DB157" i="55"/>
  <c r="DA157" i="55" a="1"/>
  <c r="DA157" i="55" s="1"/>
  <c r="DB128" i="55"/>
  <c r="DA128" i="55" a="1"/>
  <c r="DA128" i="55" s="1"/>
  <c r="DB31" i="55"/>
  <c r="DA31" i="55" a="1"/>
  <c r="DA31" i="55" s="1"/>
  <c r="BM214" i="55" a="1"/>
  <c r="BM214" i="55" s="1"/>
  <c r="BN159" i="55" a="1"/>
  <c r="BN159" i="55" s="1"/>
  <c r="DU159" i="55" s="1"/>
  <c r="BP134" i="55"/>
  <c r="BP56" i="55"/>
  <c r="EB56" i="55" s="1"/>
  <c r="BR326" i="55"/>
  <c r="EB326" i="55" s="1"/>
  <c r="BR179" i="55"/>
  <c r="EB179" i="55" s="1"/>
  <c r="BR16" i="55"/>
  <c r="EB16" i="55" s="1"/>
  <c r="BT65" i="55"/>
  <c r="BU231" i="55"/>
  <c r="BU99" i="55"/>
  <c r="BY309" i="55"/>
  <c r="BY293" i="55"/>
  <c r="BZ332" i="55"/>
  <c r="CF314" i="55"/>
  <c r="CF106" i="55"/>
  <c r="EX317" i="55"/>
  <c r="DS317" i="55"/>
  <c r="CJ141" i="55"/>
  <c r="CT164" i="55"/>
  <c r="CR164" i="55"/>
  <c r="CU5" i="55"/>
  <c r="DK188" i="55"/>
  <c r="DN232" i="55"/>
  <c r="DK232" i="55"/>
  <c r="DN259" i="55"/>
  <c r="DN164" i="55"/>
  <c r="DK164" i="55"/>
  <c r="DK67" i="55"/>
  <c r="DN67" i="55"/>
  <c r="GT21" i="55"/>
  <c r="C243" i="55"/>
  <c r="DX338" i="55"/>
  <c r="CY338" i="55"/>
  <c r="CY339" i="55" s="1"/>
  <c r="CY340" i="55" s="1"/>
  <c r="CZ340" i="55" s="1"/>
  <c r="DX261" i="55"/>
  <c r="DX116" i="55"/>
  <c r="DX99" i="55"/>
  <c r="DX82" i="55"/>
  <c r="DX56" i="55"/>
  <c r="ET31" i="55"/>
  <c r="DX31" i="55"/>
  <c r="CY31" i="55"/>
  <c r="CY32" i="55" s="1"/>
  <c r="DX15" i="55"/>
  <c r="DX7" i="55"/>
  <c r="CY7" i="55"/>
  <c r="CY8" i="55" s="1"/>
  <c r="CY9" i="55" s="1"/>
  <c r="CY10" i="55" s="1"/>
  <c r="CY11" i="55" s="1"/>
  <c r="CY12" i="55" s="1"/>
  <c r="CY13" i="55" s="1"/>
  <c r="CY14" i="55" s="1"/>
  <c r="CY15" i="55" s="1"/>
  <c r="CY16" i="55" s="1"/>
  <c r="CY17" i="55" s="1"/>
  <c r="CZ17" i="55" s="1"/>
  <c r="GK282" i="55"/>
  <c r="GL282" i="55" s="1"/>
  <c r="EA282" i="55"/>
  <c r="DW282" i="55"/>
  <c r="CE282" i="55"/>
  <c r="BL282" i="55"/>
  <c r="DF282" i="55"/>
  <c r="GK218" i="55"/>
  <c r="GL218" i="55" s="1"/>
  <c r="EA218" i="55"/>
  <c r="DW218" i="55"/>
  <c r="BL218" i="55"/>
  <c r="CE218" i="55"/>
  <c r="GK170" i="55"/>
  <c r="GL170" i="55" s="1"/>
  <c r="EA170" i="55"/>
  <c r="DW170" i="55"/>
  <c r="DF170" i="55"/>
  <c r="BL170" i="55"/>
  <c r="BW170" i="55"/>
  <c r="CI170" i="55" s="1"/>
  <c r="GK122" i="55"/>
  <c r="GL122" i="55" s="1"/>
  <c r="DF122" i="55"/>
  <c r="CE122" i="55"/>
  <c r="BL122" i="55"/>
  <c r="DW122" i="55"/>
  <c r="GK58" i="55"/>
  <c r="GL58" i="55" s="1"/>
  <c r="EA58" i="55"/>
  <c r="DW58" i="55"/>
  <c r="DF58" i="55"/>
  <c r="BW58" i="55"/>
  <c r="CE58" i="55"/>
  <c r="BL58" i="55"/>
  <c r="CQ324" i="55"/>
  <c r="CW324" i="55"/>
  <c r="CU324" i="55"/>
  <c r="CT324" i="55"/>
  <c r="CO324" i="55"/>
  <c r="CV324" i="55"/>
  <c r="CP324" i="55"/>
  <c r="CR324" i="55"/>
  <c r="BE275" i="55"/>
  <c r="C275" i="55" s="1"/>
  <c r="BF313" i="55"/>
  <c r="CG9" i="55"/>
  <c r="BR279" i="55"/>
  <c r="BP279" i="55"/>
  <c r="BR215" i="55"/>
  <c r="EB215" i="55" s="1"/>
  <c r="BP167" i="55"/>
  <c r="BR87" i="55"/>
  <c r="BR20" i="55"/>
  <c r="CJ337" i="55"/>
  <c r="BU337" i="55"/>
  <c r="BU225" i="55"/>
  <c r="BT225" i="55"/>
  <c r="CJ15" i="55"/>
  <c r="BU15" i="55"/>
  <c r="DB192" i="55"/>
  <c r="DA192" i="55" a="1"/>
  <c r="DA192" i="55" s="1"/>
  <c r="BP94" i="55"/>
  <c r="BR254" i="55"/>
  <c r="BT287" i="55"/>
  <c r="BT337" i="55"/>
  <c r="BT66" i="55"/>
  <c r="CN345" i="55"/>
  <c r="CN166" i="55"/>
  <c r="DN339" i="55"/>
  <c r="DK339" i="55"/>
  <c r="DK297" i="55"/>
  <c r="DN185" i="55"/>
  <c r="DN260" i="55"/>
  <c r="DK260" i="55"/>
  <c r="DN213" i="55"/>
  <c r="DK213" i="55"/>
  <c r="DV206" i="55"/>
  <c r="DX252" i="55"/>
  <c r="DX218" i="55"/>
  <c r="DX209" i="55"/>
  <c r="DX192" i="55"/>
  <c r="DX175" i="55"/>
  <c r="DX107" i="55"/>
  <c r="GK345" i="55"/>
  <c r="GL345" i="55" s="1"/>
  <c r="DW345" i="55"/>
  <c r="EA345" i="55"/>
  <c r="DF345" i="55"/>
  <c r="CE345" i="55"/>
  <c r="BW345" i="55"/>
  <c r="AY345" i="55"/>
  <c r="E345" i="55" s="1"/>
  <c r="AZ345" i="55" s="1"/>
  <c r="GK297" i="55"/>
  <c r="GL297" i="55" s="1"/>
  <c r="EA297" i="55"/>
  <c r="DW297" i="55"/>
  <c r="DF297" i="55"/>
  <c r="CE297" i="55"/>
  <c r="AY297" i="55"/>
  <c r="E297" i="55" s="1"/>
  <c r="AZ297" i="55" s="1"/>
  <c r="GK233" i="55"/>
  <c r="GL233" i="55" s="1"/>
  <c r="EA233" i="55"/>
  <c r="DW233" i="55"/>
  <c r="CE233" i="55"/>
  <c r="DF233" i="55"/>
  <c r="GK185" i="55"/>
  <c r="GL185" i="55" s="1"/>
  <c r="DW185" i="55"/>
  <c r="EA185" i="55"/>
  <c r="DF185" i="55"/>
  <c r="CE185" i="55"/>
  <c r="BW185" i="55"/>
  <c r="CI185" i="55" s="1"/>
  <c r="BL185" i="55"/>
  <c r="AY185" i="55"/>
  <c r="E185" i="55" s="1"/>
  <c r="AZ185" i="55" s="1"/>
  <c r="GK137" i="55"/>
  <c r="GL137" i="55" s="1"/>
  <c r="EA137" i="55"/>
  <c r="DW137" i="55"/>
  <c r="DF137" i="55"/>
  <c r="CE137" i="55"/>
  <c r="AY137" i="55"/>
  <c r="GK105" i="55"/>
  <c r="GL105" i="55" s="1"/>
  <c r="EA105" i="55"/>
  <c r="DW105" i="55"/>
  <c r="CE105" i="55"/>
  <c r="BW105" i="55"/>
  <c r="AY105" i="55"/>
  <c r="GK57" i="55"/>
  <c r="GL57" i="55" s="1"/>
  <c r="EA57" i="55"/>
  <c r="DF57" i="55"/>
  <c r="CE57" i="55"/>
  <c r="DW57" i="55"/>
  <c r="BW57" i="55"/>
  <c r="BL57" i="55"/>
  <c r="BM57" i="55" s="1" a="1"/>
  <c r="BM57" i="55" s="1"/>
  <c r="CA57" i="55" s="1"/>
  <c r="AY57" i="55"/>
  <c r="C241" i="55"/>
  <c r="DX345" i="55"/>
  <c r="DX260" i="55"/>
  <c r="DX226" i="55"/>
  <c r="CY132" i="55"/>
  <c r="DX132" i="55"/>
  <c r="DX98" i="55"/>
  <c r="DX89" i="55"/>
  <c r="CY89" i="55"/>
  <c r="CZ89" i="55" s="1"/>
  <c r="GK344" i="55"/>
  <c r="GL344" i="55" s="1"/>
  <c r="DW344" i="55"/>
  <c r="EA344" i="55"/>
  <c r="DF344" i="55"/>
  <c r="CE344" i="55"/>
  <c r="BL344" i="55"/>
  <c r="GK328" i="55"/>
  <c r="GL328" i="55" s="1"/>
  <c r="DW328" i="55"/>
  <c r="DF328" i="55"/>
  <c r="EA328" i="55"/>
  <c r="BW328" i="55"/>
  <c r="BL328" i="55"/>
  <c r="CE328" i="55"/>
  <c r="GK312" i="55"/>
  <c r="GL312" i="55" s="1"/>
  <c r="EA312" i="55"/>
  <c r="DF312" i="55"/>
  <c r="BW312" i="55"/>
  <c r="DW312" i="55"/>
  <c r="BL312" i="55"/>
  <c r="CE312" i="55"/>
  <c r="GK296" i="55"/>
  <c r="GL296" i="55" s="1"/>
  <c r="DW296" i="55"/>
  <c r="DF296" i="55"/>
  <c r="EA296" i="55"/>
  <c r="BL296" i="55"/>
  <c r="BW296" i="55"/>
  <c r="CE296" i="55"/>
  <c r="GK280" i="55"/>
  <c r="GL280" i="55" s="1"/>
  <c r="EA280" i="55"/>
  <c r="DW280" i="55"/>
  <c r="BL280" i="55"/>
  <c r="BW280" i="55"/>
  <c r="DF280" i="55"/>
  <c r="GK264" i="55"/>
  <c r="GL264" i="55" s="1"/>
  <c r="DW264" i="55"/>
  <c r="DF264" i="55"/>
  <c r="EA264" i="55"/>
  <c r="CE264" i="55"/>
  <c r="BL264" i="55"/>
  <c r="BW264" i="55"/>
  <c r="GK248" i="55"/>
  <c r="GL248" i="55" s="1"/>
  <c r="EA248" i="55"/>
  <c r="DF248" i="55"/>
  <c r="BL248" i="55"/>
  <c r="DW248" i="55"/>
  <c r="GK232" i="55"/>
  <c r="GL232" i="55" s="1"/>
  <c r="EA232" i="55"/>
  <c r="DW232" i="55"/>
  <c r="DF232" i="55"/>
  <c r="BL232" i="55"/>
  <c r="CE232" i="55"/>
  <c r="BW232" i="55"/>
  <c r="GK216" i="55"/>
  <c r="GL216" i="55" s="1"/>
  <c r="EA216" i="55"/>
  <c r="BL216" i="55"/>
  <c r="CE216" i="55"/>
  <c r="GK200" i="55"/>
  <c r="GL200" i="55" s="1"/>
  <c r="EA200" i="55"/>
  <c r="DW200" i="55"/>
  <c r="BW200" i="55"/>
  <c r="DF200" i="55"/>
  <c r="CE200" i="55"/>
  <c r="BL200" i="55"/>
  <c r="DW184" i="55"/>
  <c r="DQ184" i="55"/>
  <c r="CE184" i="55"/>
  <c r="BW184" i="55"/>
  <c r="CK184" i="55" s="1"/>
  <c r="CL184" i="55" s="1"/>
  <c r="FH184" i="55" s="1"/>
  <c r="FJ184" i="55" s="1"/>
  <c r="BL184" i="55"/>
  <c r="DF184" i="55"/>
  <c r="GK168" i="55"/>
  <c r="GL168" i="55" s="1"/>
  <c r="EA168" i="55"/>
  <c r="DW168" i="55"/>
  <c r="CE168" i="55"/>
  <c r="BL168" i="55"/>
  <c r="BW168" i="55"/>
  <c r="DF168" i="55"/>
  <c r="GK152" i="55"/>
  <c r="GL152" i="55" s="1"/>
  <c r="EA152" i="55"/>
  <c r="DF152" i="55"/>
  <c r="DW152" i="55"/>
  <c r="CE152" i="55"/>
  <c r="BL152" i="55"/>
  <c r="GK136" i="55"/>
  <c r="GL136" i="55" s="1"/>
  <c r="EA136" i="55"/>
  <c r="DW136" i="55"/>
  <c r="DF136" i="55"/>
  <c r="CE136" i="55"/>
  <c r="BL136" i="55"/>
  <c r="BW136" i="55"/>
  <c r="EA120" i="55"/>
  <c r="GK120" i="55"/>
  <c r="GL120" i="55" s="1"/>
  <c r="DW120" i="55"/>
  <c r="DF120" i="55"/>
  <c r="CE120" i="55"/>
  <c r="BL120" i="55"/>
  <c r="BM120" i="55" s="1" a="1"/>
  <c r="BM120" i="55" s="1"/>
  <c r="GK104" i="55"/>
  <c r="GL104" i="55" s="1"/>
  <c r="EA104" i="55"/>
  <c r="DW104" i="55"/>
  <c r="DF104" i="55"/>
  <c r="CE104" i="55"/>
  <c r="BW104" i="55"/>
  <c r="BL104" i="55"/>
  <c r="DF88" i="55"/>
  <c r="DW88" i="55"/>
  <c r="DQ88" i="55"/>
  <c r="CE88" i="55"/>
  <c r="BL88" i="55"/>
  <c r="GK72" i="55"/>
  <c r="GL72" i="55" s="1"/>
  <c r="EA72" i="55"/>
  <c r="DW72" i="55"/>
  <c r="CE72" i="55"/>
  <c r="BW72" i="55"/>
  <c r="BL72" i="55"/>
  <c r="GK56" i="55"/>
  <c r="GL56" i="55" s="1"/>
  <c r="EA56" i="55"/>
  <c r="CE56" i="55"/>
  <c r="DW56" i="55"/>
  <c r="BW56" i="55"/>
  <c r="BL56" i="55"/>
  <c r="BM56" i="55" s="1" a="1"/>
  <c r="BM56" i="55" s="1"/>
  <c r="CA56" i="55" s="1"/>
  <c r="DF56" i="55"/>
  <c r="GK40" i="55"/>
  <c r="GL40" i="55" s="1"/>
  <c r="EA40" i="55"/>
  <c r="DW40" i="55"/>
  <c r="CE40" i="55"/>
  <c r="BL40" i="55"/>
  <c r="BW40" i="55"/>
  <c r="CI40" i="55" s="1"/>
  <c r="DF40" i="55"/>
  <c r="GK24" i="55"/>
  <c r="GL24" i="55" s="1"/>
  <c r="EA24" i="55"/>
  <c r="DW24" i="55"/>
  <c r="CE24" i="55"/>
  <c r="DF24" i="55"/>
  <c r="BL24" i="55"/>
  <c r="GK8" i="55"/>
  <c r="GL8" i="55" s="1"/>
  <c r="EA8" i="55"/>
  <c r="DW8" i="55"/>
  <c r="DF8" i="55"/>
  <c r="CE8" i="55"/>
  <c r="BW8" i="55"/>
  <c r="BL8" i="55"/>
  <c r="AV184" i="55"/>
  <c r="AY184" i="55" s="1"/>
  <c r="AV164" i="55"/>
  <c r="AY328" i="55"/>
  <c r="E328" i="55" s="1"/>
  <c r="AZ328" i="55" s="1"/>
  <c r="AY266" i="55"/>
  <c r="E266" i="55" s="1"/>
  <c r="AZ266" i="55" s="1"/>
  <c r="AY202" i="55"/>
  <c r="E202" i="55" s="1"/>
  <c r="AZ202" i="55" s="1"/>
  <c r="CW338" i="55"/>
  <c r="CR274" i="55"/>
  <c r="CU274" i="55"/>
  <c r="CQ274" i="55"/>
  <c r="CV274" i="55"/>
  <c r="CS274" i="55"/>
  <c r="CT274" i="55"/>
  <c r="BE320" i="55"/>
  <c r="C320" i="55" s="1"/>
  <c r="BE273" i="55"/>
  <c r="BE179" i="55"/>
  <c r="GD179" i="55" s="1"/>
  <c r="BE157" i="55"/>
  <c r="BE80" i="55"/>
  <c r="GD80" i="55" s="1"/>
  <c r="BF310" i="55"/>
  <c r="CQ310" i="55" s="1"/>
  <c r="BF233" i="55"/>
  <c r="DT233" i="55" s="1"/>
  <c r="BF182" i="55"/>
  <c r="DV347" i="55"/>
  <c r="BZ347" i="55"/>
  <c r="DV331" i="55"/>
  <c r="BZ331" i="55"/>
  <c r="BP331" i="55"/>
  <c r="DV315" i="55"/>
  <c r="CZ315" i="55"/>
  <c r="BZ315" i="55"/>
  <c r="BZ299" i="55"/>
  <c r="BP299" i="55"/>
  <c r="DV283" i="55"/>
  <c r="BZ283" i="55"/>
  <c r="BP283" i="55"/>
  <c r="BZ267" i="55"/>
  <c r="DV267" i="55"/>
  <c r="DV251" i="55"/>
  <c r="BZ251" i="55"/>
  <c r="DV235" i="55"/>
  <c r="BZ235" i="55"/>
  <c r="BZ219" i="55"/>
  <c r="DV219" i="55"/>
  <c r="BZ203" i="55"/>
  <c r="DV203" i="55"/>
  <c r="BZ187" i="55"/>
  <c r="DV187" i="55"/>
  <c r="DV171" i="55"/>
  <c r="BZ171" i="55"/>
  <c r="BP171" i="55"/>
  <c r="DV139" i="55"/>
  <c r="BZ139" i="55"/>
  <c r="DV123" i="55"/>
  <c r="BZ123" i="55"/>
  <c r="DV107" i="55"/>
  <c r="BZ107" i="55"/>
  <c r="DV91" i="55"/>
  <c r="BZ91" i="55"/>
  <c r="DV75" i="55"/>
  <c r="BZ75" i="55"/>
  <c r="BP75" i="55"/>
  <c r="DV59" i="55"/>
  <c r="BZ59" i="55"/>
  <c r="DV43" i="55"/>
  <c r="BZ43" i="55"/>
  <c r="BZ27" i="55"/>
  <c r="DV27" i="55"/>
  <c r="CZ11" i="55"/>
  <c r="BZ11" i="55"/>
  <c r="CF345" i="55"/>
  <c r="CG345" i="55" s="1"/>
  <c r="CF329" i="55"/>
  <c r="CG329" i="55" s="1"/>
  <c r="CG313" i="55"/>
  <c r="CF297" i="55"/>
  <c r="CG265" i="55"/>
  <c r="CG249" i="55"/>
  <c r="CF217" i="55"/>
  <c r="CG217" i="55"/>
  <c r="CF169" i="55"/>
  <c r="CG153" i="55"/>
  <c r="CG137" i="55"/>
  <c r="CF121" i="55"/>
  <c r="CF105" i="55"/>
  <c r="CG105" i="55"/>
  <c r="CF89" i="55"/>
  <c r="CG89" i="55"/>
  <c r="CG73" i="55"/>
  <c r="CF57" i="55"/>
  <c r="CF41" i="55"/>
  <c r="CG24" i="55"/>
  <c r="CF7" i="55"/>
  <c r="CG7" i="55"/>
  <c r="BP341" i="55"/>
  <c r="BR341" i="55"/>
  <c r="BP325" i="55"/>
  <c r="BP309" i="55"/>
  <c r="BR261" i="55"/>
  <c r="EB261" i="55" s="1"/>
  <c r="BP229" i="55"/>
  <c r="BR229" i="55"/>
  <c r="BR197" i="55"/>
  <c r="EB197" i="55" s="1"/>
  <c r="BP197" i="55"/>
  <c r="BR181" i="55"/>
  <c r="EB181" i="55" s="1"/>
  <c r="BP165" i="55"/>
  <c r="BP149" i="55"/>
  <c r="BR133" i="55"/>
  <c r="BR117" i="55"/>
  <c r="EB117" i="55" s="1"/>
  <c r="BR101" i="55"/>
  <c r="BP101" i="55"/>
  <c r="BP85" i="55"/>
  <c r="BP69" i="55"/>
  <c r="BR53" i="55"/>
  <c r="EB53" i="55" s="1"/>
  <c r="BP18" i="55"/>
  <c r="BR18" i="55"/>
  <c r="BT303" i="55"/>
  <c r="BU255" i="55"/>
  <c r="BT255" i="55"/>
  <c r="BU207" i="55"/>
  <c r="CJ143" i="55"/>
  <c r="BU143" i="55"/>
  <c r="BT143" i="55"/>
  <c r="BU111" i="55"/>
  <c r="BT111" i="55"/>
  <c r="BU79" i="55"/>
  <c r="BT79" i="55"/>
  <c r="BU47" i="55"/>
  <c r="BT47" i="55"/>
  <c r="DB307" i="55"/>
  <c r="DA307" i="55" a="1"/>
  <c r="DA307" i="55" s="1"/>
  <c r="BL217" i="55"/>
  <c r="DA127" i="55" a="1"/>
  <c r="DA127" i="55" s="1"/>
  <c r="DB127" i="55"/>
  <c r="BM335" i="55" a="1"/>
  <c r="BM335" i="55" s="1"/>
  <c r="CX335" i="55" s="1"/>
  <c r="BM73" i="55" a="1"/>
  <c r="BM73" i="55" s="1"/>
  <c r="CA73" i="55" s="1"/>
  <c r="BP318" i="55"/>
  <c r="BP211" i="55"/>
  <c r="BP166" i="55"/>
  <c r="BP133" i="55"/>
  <c r="BP55" i="55"/>
  <c r="BP12" i="55"/>
  <c r="BR325" i="55"/>
  <c r="BR250" i="55"/>
  <c r="EB250" i="55" s="1"/>
  <c r="BR135" i="55"/>
  <c r="BT340" i="55"/>
  <c r="BU340" i="55"/>
  <c r="CJ265" i="55"/>
  <c r="BU265" i="55"/>
  <c r="CJ204" i="55"/>
  <c r="BU204" i="55"/>
  <c r="BT204" i="55"/>
  <c r="BT167" i="55"/>
  <c r="BU167" i="55"/>
  <c r="BT193" i="55"/>
  <c r="BT154" i="55"/>
  <c r="BT64" i="55"/>
  <c r="BT18" i="55"/>
  <c r="BU329" i="55"/>
  <c r="BU224" i="55"/>
  <c r="BZ220" i="55"/>
  <c r="CF313" i="55"/>
  <c r="CH313" i="55" s="1"/>
  <c r="CF234" i="55"/>
  <c r="CG234" i="55" s="1"/>
  <c r="CG58" i="55"/>
  <c r="CR149" i="55"/>
  <c r="CU149" i="55"/>
  <c r="CT149" i="55"/>
  <c r="CN54" i="55"/>
  <c r="CR38" i="55"/>
  <c r="DJ337" i="55" a="1"/>
  <c r="DJ337" i="55" s="1"/>
  <c r="DN251" i="55"/>
  <c r="DK251" i="55"/>
  <c r="DK69" i="55"/>
  <c r="DN69" i="55"/>
  <c r="DK295" i="55"/>
  <c r="DN295" i="55"/>
  <c r="DN258" i="55"/>
  <c r="DK258" i="55"/>
  <c r="DN64" i="55"/>
  <c r="DN111" i="55"/>
  <c r="DV158" i="55"/>
  <c r="DX217" i="55"/>
  <c r="EA122" i="55"/>
  <c r="DX227" i="55"/>
  <c r="DX167" i="55"/>
  <c r="DX73" i="55"/>
  <c r="DX39" i="55"/>
  <c r="GK314" i="55"/>
  <c r="GL314" i="55" s="1"/>
  <c r="EA314" i="55"/>
  <c r="DW314" i="55"/>
  <c r="DF314" i="55"/>
  <c r="BL314" i="55"/>
  <c r="GK250" i="55"/>
  <c r="GL250" i="55" s="1"/>
  <c r="EA250" i="55"/>
  <c r="DW250" i="55"/>
  <c r="DF250" i="55"/>
  <c r="BW250" i="55"/>
  <c r="BL250" i="55"/>
  <c r="CE250" i="55"/>
  <c r="DW154" i="55"/>
  <c r="DF154" i="55"/>
  <c r="DQ154" i="55"/>
  <c r="BW154" i="55"/>
  <c r="BL154" i="55"/>
  <c r="CE154" i="55"/>
  <c r="GK90" i="55"/>
  <c r="GL90" i="55" s="1"/>
  <c r="EA90" i="55"/>
  <c r="DW90" i="55"/>
  <c r="DF90" i="55"/>
  <c r="CE90" i="55"/>
  <c r="BW90" i="55"/>
  <c r="BL90" i="55"/>
  <c r="GK42" i="55"/>
  <c r="GL42" i="55" s="1"/>
  <c r="DW42" i="55"/>
  <c r="EA42" i="55"/>
  <c r="BL42" i="55"/>
  <c r="BM42" i="55" s="1" a="1"/>
  <c r="BM42" i="55" s="1"/>
  <c r="CA42" i="55" s="1"/>
  <c r="DF42" i="55"/>
  <c r="CV308" i="55"/>
  <c r="CS308" i="55"/>
  <c r="CT308" i="55"/>
  <c r="CU308" i="55"/>
  <c r="BF55" i="55"/>
  <c r="BP263" i="55"/>
  <c r="CJ273" i="55"/>
  <c r="BU273" i="55"/>
  <c r="BT273" i="55"/>
  <c r="BU161" i="55"/>
  <c r="BT161" i="55"/>
  <c r="DA221" i="55" a="1"/>
  <c r="DA221" i="55" s="1"/>
  <c r="DB221" i="55"/>
  <c r="BP248" i="55"/>
  <c r="EB248" i="55" s="1"/>
  <c r="BU169" i="55"/>
  <c r="BU190" i="55"/>
  <c r="DK221" i="55"/>
  <c r="DN221" i="55"/>
  <c r="DN189" i="55"/>
  <c r="C144" i="55"/>
  <c r="DX320" i="55"/>
  <c r="DW313" i="55"/>
  <c r="DF313" i="55"/>
  <c r="DQ313" i="55"/>
  <c r="BW313" i="55"/>
  <c r="CI313" i="55" s="1"/>
  <c r="BL313" i="55"/>
  <c r="AY313" i="55"/>
  <c r="E313" i="55" s="1"/>
  <c r="AZ313" i="55" s="1"/>
  <c r="GK281" i="55"/>
  <c r="GL281" i="55" s="1"/>
  <c r="EA281" i="55"/>
  <c r="DW281" i="55"/>
  <c r="DF281" i="55"/>
  <c r="CE281" i="55"/>
  <c r="BW281" i="55"/>
  <c r="GK249" i="55"/>
  <c r="GL249" i="55" s="1"/>
  <c r="EA249" i="55"/>
  <c r="DW249" i="55"/>
  <c r="DF249" i="55"/>
  <c r="BW249" i="55"/>
  <c r="BL249" i="55"/>
  <c r="AY249" i="55"/>
  <c r="E249" i="55" s="1"/>
  <c r="AZ249" i="55" s="1"/>
  <c r="GK201" i="55"/>
  <c r="GL201" i="55" s="1"/>
  <c r="EA201" i="55"/>
  <c r="DW201" i="55"/>
  <c r="DF201" i="55"/>
  <c r="BW201" i="55"/>
  <c r="AY201" i="55"/>
  <c r="E201" i="55" s="1"/>
  <c r="AZ201" i="55" s="1"/>
  <c r="GK169" i="55"/>
  <c r="GL169" i="55" s="1"/>
  <c r="EA169" i="55"/>
  <c r="DW169" i="55"/>
  <c r="DF169" i="55"/>
  <c r="GK121" i="55"/>
  <c r="GL121" i="55" s="1"/>
  <c r="DF121" i="55"/>
  <c r="EA121" i="55"/>
  <c r="CE121" i="55"/>
  <c r="DW121" i="55"/>
  <c r="BL121" i="55"/>
  <c r="AY121" i="55"/>
  <c r="GK73" i="55"/>
  <c r="GL73" i="55" s="1"/>
  <c r="EA73" i="55"/>
  <c r="DW73" i="55"/>
  <c r="CE73" i="55"/>
  <c r="BW73" i="55"/>
  <c r="DF73" i="55"/>
  <c r="AY73" i="55"/>
  <c r="GK41" i="55"/>
  <c r="GL41" i="55" s="1"/>
  <c r="EA41" i="55"/>
  <c r="DW41" i="55"/>
  <c r="CE41" i="55"/>
  <c r="AY41" i="55"/>
  <c r="E41" i="55" s="1"/>
  <c r="AZ41" i="55" s="1"/>
  <c r="C240" i="55"/>
  <c r="C161" i="55"/>
  <c r="DX268" i="55"/>
  <c r="DX234" i="55"/>
  <c r="DX225" i="55"/>
  <c r="CY225" i="55"/>
  <c r="CZ225" i="55" s="1"/>
  <c r="DX140" i="55"/>
  <c r="DX106" i="55"/>
  <c r="DX97" i="55"/>
  <c r="GK343" i="55"/>
  <c r="GL343" i="55" s="1"/>
  <c r="EA343" i="55"/>
  <c r="DW343" i="55"/>
  <c r="DF343" i="55"/>
  <c r="CE343" i="55"/>
  <c r="BL343" i="55"/>
  <c r="GK327" i="55"/>
  <c r="GL327" i="55" s="1"/>
  <c r="DW327" i="55"/>
  <c r="DF327" i="55"/>
  <c r="EA327" i="55"/>
  <c r="BL327" i="55"/>
  <c r="CE327" i="55"/>
  <c r="GK311" i="55"/>
  <c r="GL311" i="55" s="1"/>
  <c r="EA311" i="55"/>
  <c r="DW311" i="55"/>
  <c r="BW311" i="55"/>
  <c r="CI311" i="55" s="1"/>
  <c r="CE311" i="55"/>
  <c r="BL311" i="55"/>
  <c r="GK295" i="55"/>
  <c r="GL295" i="55" s="1"/>
  <c r="EA295" i="55"/>
  <c r="DF295" i="55"/>
  <c r="DW295" i="55"/>
  <c r="BW295" i="55"/>
  <c r="BL295" i="55"/>
  <c r="GK279" i="55"/>
  <c r="GL279" i="55" s="1"/>
  <c r="DW279" i="55"/>
  <c r="EA279" i="55"/>
  <c r="DF279" i="55"/>
  <c r="CE279" i="55"/>
  <c r="BL279" i="55"/>
  <c r="GK263" i="55"/>
  <c r="GL263" i="55" s="1"/>
  <c r="EA263" i="55"/>
  <c r="DW263" i="55"/>
  <c r="CE263" i="55"/>
  <c r="DF263" i="55"/>
  <c r="BL263" i="55"/>
  <c r="BW263" i="55"/>
  <c r="CI263" i="55" s="1"/>
  <c r="GK247" i="55"/>
  <c r="GL247" i="55" s="1"/>
  <c r="DW247" i="55"/>
  <c r="EA247" i="55"/>
  <c r="DF247" i="55"/>
  <c r="CE247" i="55"/>
  <c r="BL247" i="55"/>
  <c r="GK231" i="55"/>
  <c r="GL231" i="55" s="1"/>
  <c r="EA231" i="55"/>
  <c r="DF231" i="55"/>
  <c r="BL231" i="55"/>
  <c r="CE231" i="55"/>
  <c r="GK215" i="55"/>
  <c r="GL215" i="55" s="1"/>
  <c r="BL215" i="55"/>
  <c r="EA215" i="55"/>
  <c r="GK199" i="55"/>
  <c r="GL199" i="55" s="1"/>
  <c r="EA199" i="55"/>
  <c r="DF199" i="55"/>
  <c r="DW199" i="55"/>
  <c r="CE199" i="55"/>
  <c r="BL199" i="55"/>
  <c r="GK183" i="55"/>
  <c r="GL183" i="55" s="1"/>
  <c r="EA183" i="55"/>
  <c r="DW183" i="55"/>
  <c r="DF183" i="55"/>
  <c r="BW183" i="55"/>
  <c r="BL183" i="55"/>
  <c r="GK167" i="55"/>
  <c r="GL167" i="55" s="1"/>
  <c r="DW167" i="55"/>
  <c r="EA167" i="55"/>
  <c r="CE167" i="55"/>
  <c r="BW167" i="55"/>
  <c r="CI167" i="55" s="1"/>
  <c r="BL167" i="55"/>
  <c r="DF167" i="55"/>
  <c r="GK151" i="55"/>
  <c r="GL151" i="55" s="1"/>
  <c r="DW151" i="55"/>
  <c r="EA151" i="55"/>
  <c r="DF151" i="55"/>
  <c r="BL151" i="55"/>
  <c r="CE151" i="55"/>
  <c r="GK135" i="55"/>
  <c r="GL135" i="55" s="1"/>
  <c r="EA135" i="55"/>
  <c r="DW135" i="55"/>
  <c r="CE135" i="55"/>
  <c r="DF135" i="55"/>
  <c r="BW135" i="55"/>
  <c r="BL135" i="55"/>
  <c r="GK119" i="55"/>
  <c r="GL119" i="55" s="1"/>
  <c r="DW119" i="55"/>
  <c r="DF119" i="55"/>
  <c r="EA119" i="55"/>
  <c r="CE119" i="55"/>
  <c r="BL119" i="55"/>
  <c r="BM119" i="55" s="1" a="1"/>
  <c r="BM119" i="55" s="1"/>
  <c r="CA119" i="55" s="1"/>
  <c r="GK103" i="55"/>
  <c r="GL103" i="55" s="1"/>
  <c r="DW103" i="55"/>
  <c r="EA103" i="55"/>
  <c r="DF103" i="55"/>
  <c r="CE103" i="55"/>
  <c r="BW103" i="55"/>
  <c r="BL103" i="55"/>
  <c r="GK87" i="55"/>
  <c r="GL87" i="55" s="1"/>
  <c r="DW87" i="55"/>
  <c r="CE87" i="55"/>
  <c r="DF87" i="55"/>
  <c r="EA87" i="55"/>
  <c r="BL87" i="55"/>
  <c r="BM87" i="55" s="1" a="1"/>
  <c r="BM87" i="55" s="1"/>
  <c r="GK71" i="55"/>
  <c r="GL71" i="55" s="1"/>
  <c r="EA71" i="55"/>
  <c r="CE71" i="55"/>
  <c r="DW71" i="55"/>
  <c r="DF71" i="55"/>
  <c r="BL71" i="55"/>
  <c r="GK55" i="55"/>
  <c r="GL55" i="55" s="1"/>
  <c r="DW55" i="55"/>
  <c r="EA55" i="55"/>
  <c r="CE55" i="55"/>
  <c r="DF55" i="55"/>
  <c r="BW55" i="55"/>
  <c r="BL55" i="55"/>
  <c r="GK39" i="55"/>
  <c r="GL39" i="55" s="1"/>
  <c r="EA39" i="55"/>
  <c r="DF39" i="55"/>
  <c r="CE39" i="55"/>
  <c r="BW39" i="55"/>
  <c r="BL39" i="55"/>
  <c r="GK23" i="55"/>
  <c r="GL23" i="55" s="1"/>
  <c r="DW23" i="55"/>
  <c r="CE23" i="55"/>
  <c r="EA23" i="55"/>
  <c r="DF23" i="55"/>
  <c r="BL23" i="55"/>
  <c r="GK7" i="55"/>
  <c r="GL7" i="55" s="1"/>
  <c r="EA7" i="55"/>
  <c r="DF7" i="55"/>
  <c r="CE7" i="55"/>
  <c r="DW7" i="55"/>
  <c r="BW7" i="55"/>
  <c r="BL7" i="55"/>
  <c r="AV311" i="55"/>
  <c r="AY311" i="55" s="1"/>
  <c r="AV247" i="55"/>
  <c r="AV183" i="55"/>
  <c r="AV119" i="55"/>
  <c r="AY119" i="55" s="1"/>
  <c r="AV55" i="55"/>
  <c r="AY55" i="55" s="1"/>
  <c r="AY327" i="55"/>
  <c r="E327" i="55" s="1"/>
  <c r="AZ327" i="55" s="1"/>
  <c r="AY264" i="55"/>
  <c r="E264" i="55" s="1"/>
  <c r="AZ264" i="55" s="1"/>
  <c r="AY200" i="55"/>
  <c r="AY58" i="55"/>
  <c r="CP321" i="55"/>
  <c r="CU321" i="55"/>
  <c r="CV321" i="55"/>
  <c r="CO321" i="55"/>
  <c r="CR321" i="55"/>
  <c r="CQ65" i="55"/>
  <c r="CR65" i="55"/>
  <c r="CU65" i="55"/>
  <c r="CO65" i="55"/>
  <c r="CS65" i="55" s="1"/>
  <c r="CP65" i="55"/>
  <c r="CV65" i="55"/>
  <c r="BE272" i="55"/>
  <c r="C272" i="55" s="1"/>
  <c r="BE225" i="55"/>
  <c r="BE129" i="55"/>
  <c r="GD129" i="55" s="1"/>
  <c r="BF103" i="55"/>
  <c r="DV346" i="55"/>
  <c r="BZ346" i="55"/>
  <c r="DV330" i="55"/>
  <c r="BZ330" i="55"/>
  <c r="DV314" i="55"/>
  <c r="CZ314" i="55"/>
  <c r="BZ314" i="55"/>
  <c r="DV298" i="55"/>
  <c r="BZ298" i="55"/>
  <c r="DV282" i="55"/>
  <c r="BZ282" i="55"/>
  <c r="DV266" i="55"/>
  <c r="BZ266" i="55"/>
  <c r="DV250" i="55"/>
  <c r="DV234" i="55"/>
  <c r="BZ234" i="55"/>
  <c r="DV218" i="55"/>
  <c r="BZ218" i="55"/>
  <c r="DV186" i="55"/>
  <c r="BZ186" i="55"/>
  <c r="DV170" i="55"/>
  <c r="BZ170" i="55"/>
  <c r="DV154" i="55"/>
  <c r="CZ154" i="55"/>
  <c r="DV138" i="55"/>
  <c r="DV122" i="55"/>
  <c r="BZ122" i="55"/>
  <c r="DV106" i="55"/>
  <c r="BZ106" i="55"/>
  <c r="DV90" i="55"/>
  <c r="BZ90" i="55"/>
  <c r="DV42" i="55"/>
  <c r="DV26" i="55"/>
  <c r="CZ26" i="55"/>
  <c r="CZ10" i="55"/>
  <c r="DV10" i="55"/>
  <c r="BZ10" i="55"/>
  <c r="CF328" i="55"/>
  <c r="CG312" i="55"/>
  <c r="CF312" i="55"/>
  <c r="CF264" i="55"/>
  <c r="CF232" i="55"/>
  <c r="CG232" i="55" s="1"/>
  <c r="CF216" i="55"/>
  <c r="CF200" i="55"/>
  <c r="EX184" i="55"/>
  <c r="DS184" i="55"/>
  <c r="CG168" i="55"/>
  <c r="CF168" i="55"/>
  <c r="CG136" i="55"/>
  <c r="CF120" i="55"/>
  <c r="CF88" i="55"/>
  <c r="CG88" i="55" s="1"/>
  <c r="CF72" i="55"/>
  <c r="CG72" i="55" s="1"/>
  <c r="CF40" i="55"/>
  <c r="CG40" i="55" s="1"/>
  <c r="CF23" i="55"/>
  <c r="CG23" i="55" s="1"/>
  <c r="CF6" i="55"/>
  <c r="CG6" i="55"/>
  <c r="BR340" i="55"/>
  <c r="EB340" i="55" s="1"/>
  <c r="BP308" i="55"/>
  <c r="BR308" i="55"/>
  <c r="BR276" i="55"/>
  <c r="BP276" i="55"/>
  <c r="BR260" i="55"/>
  <c r="EB260" i="55" s="1"/>
  <c r="BP244" i="55"/>
  <c r="BP228" i="55"/>
  <c r="BR212" i="55"/>
  <c r="EB212" i="55" s="1"/>
  <c r="BR196" i="55"/>
  <c r="BR180" i="55"/>
  <c r="BP180" i="55"/>
  <c r="BP164" i="55"/>
  <c r="BP148" i="55"/>
  <c r="BR132" i="55"/>
  <c r="BP100" i="55"/>
  <c r="BR84" i="55"/>
  <c r="BP52" i="55"/>
  <c r="CJ350" i="55"/>
  <c r="BT350" i="55"/>
  <c r="CG350" i="55"/>
  <c r="BT334" i="55"/>
  <c r="BT286" i="55"/>
  <c r="BU286" i="55"/>
  <c r="CJ206" i="55"/>
  <c r="BT206" i="55"/>
  <c r="CJ142" i="55"/>
  <c r="BT142" i="55"/>
  <c r="CJ110" i="55"/>
  <c r="BU110" i="55"/>
  <c r="BT110" i="55"/>
  <c r="CJ94" i="55"/>
  <c r="BT94" i="55"/>
  <c r="DB243" i="55"/>
  <c r="DA243" i="55" a="1"/>
  <c r="DA243" i="55" s="1"/>
  <c r="DC243" i="55" s="1"/>
  <c r="BL153" i="55"/>
  <c r="DA63" i="55" a="1"/>
  <c r="DA63" i="55" s="1"/>
  <c r="DB63" i="55"/>
  <c r="DB29" i="55"/>
  <c r="DA29" i="55" a="1"/>
  <c r="DA29" i="55" s="1"/>
  <c r="BM150" i="55" a="1"/>
  <c r="BM150" i="55" s="1"/>
  <c r="BP316" i="55"/>
  <c r="BP163" i="55"/>
  <c r="BP132" i="55"/>
  <c r="BP87" i="55"/>
  <c r="BP54" i="55"/>
  <c r="BR286" i="55"/>
  <c r="BR174" i="55"/>
  <c r="BR94" i="55"/>
  <c r="EB94" i="55" s="1"/>
  <c r="BR52" i="55"/>
  <c r="BR14" i="55"/>
  <c r="EB14" i="55" s="1"/>
  <c r="BT202" i="55"/>
  <c r="BU202" i="55"/>
  <c r="BU122" i="55"/>
  <c r="BT122" i="55"/>
  <c r="CJ39" i="55"/>
  <c r="BT190" i="55"/>
  <c r="BT106" i="55"/>
  <c r="BT63" i="55"/>
  <c r="BU326" i="55"/>
  <c r="BU271" i="55"/>
  <c r="BU46" i="55"/>
  <c r="BX283" i="55"/>
  <c r="BZ154" i="55"/>
  <c r="CE217" i="55"/>
  <c r="CF233" i="55"/>
  <c r="CG30" i="55"/>
  <c r="CG138" i="55"/>
  <c r="CJ35" i="55"/>
  <c r="CQ244" i="55"/>
  <c r="CV244" i="55"/>
  <c r="CR244" i="55"/>
  <c r="CT244" i="55"/>
  <c r="CS244" i="55"/>
  <c r="CU244" i="55"/>
  <c r="CW244" i="55"/>
  <c r="CW53" i="55"/>
  <c r="CU53" i="55"/>
  <c r="CS53" i="55"/>
  <c r="CQ53" i="55"/>
  <c r="CR53" i="55"/>
  <c r="CO53" i="55"/>
  <c r="CV53" i="55"/>
  <c r="CT53" i="55"/>
  <c r="CP274" i="55"/>
  <c r="CT121" i="55"/>
  <c r="CV342" i="55"/>
  <c r="CV214" i="55"/>
  <c r="DA95" i="55" a="1"/>
  <c r="DA95" i="55" s="1"/>
  <c r="DC95" i="55" s="1"/>
  <c r="DK202" i="55"/>
  <c r="DN202" i="55"/>
  <c r="DJ81" i="55" a="1"/>
  <c r="DJ81" i="55" s="1"/>
  <c r="DN115" i="55"/>
  <c r="DK115" i="55"/>
  <c r="DK64" i="55"/>
  <c r="DR291" i="55"/>
  <c r="DR61" i="55"/>
  <c r="DV156" i="55"/>
  <c r="DW216" i="55"/>
  <c r="DX170" i="55"/>
  <c r="DX201" i="55"/>
  <c r="DX184" i="55"/>
  <c r="CY184" i="55"/>
  <c r="CY185" i="55" s="1"/>
  <c r="CY186" i="55" s="1"/>
  <c r="DX150" i="55"/>
  <c r="DX23" i="55"/>
  <c r="GK346" i="55"/>
  <c r="GL346" i="55" s="1"/>
  <c r="EA346" i="55"/>
  <c r="DW346" i="55"/>
  <c r="DF346" i="55"/>
  <c r="BW346" i="55"/>
  <c r="CI346" i="55" s="1"/>
  <c r="BL346" i="55"/>
  <c r="GK298" i="55"/>
  <c r="GL298" i="55" s="1"/>
  <c r="EA298" i="55"/>
  <c r="DW298" i="55"/>
  <c r="DF298" i="55"/>
  <c r="BL298" i="55"/>
  <c r="BW298" i="55"/>
  <c r="CE298" i="55"/>
  <c r="GK234" i="55"/>
  <c r="GL234" i="55" s="1"/>
  <c r="EA234" i="55"/>
  <c r="DW234" i="55"/>
  <c r="DF234" i="55"/>
  <c r="BL234" i="55"/>
  <c r="BW234" i="55"/>
  <c r="CE234" i="55"/>
  <c r="GK186" i="55"/>
  <c r="GL186" i="55" s="1"/>
  <c r="EA186" i="55"/>
  <c r="DW186" i="55"/>
  <c r="DF186" i="55"/>
  <c r="CE186" i="55"/>
  <c r="BL186" i="55"/>
  <c r="GK106" i="55"/>
  <c r="GL106" i="55" s="1"/>
  <c r="DW106" i="55"/>
  <c r="EA106" i="55"/>
  <c r="CE106" i="55"/>
  <c r="DF106" i="55"/>
  <c r="BW106" i="55"/>
  <c r="BL106" i="55"/>
  <c r="DW26" i="55"/>
  <c r="DQ26" i="55"/>
  <c r="DF26" i="55"/>
  <c r="CE26" i="55"/>
  <c r="BL26" i="55"/>
  <c r="BF276" i="55"/>
  <c r="DT276" i="55" s="1"/>
  <c r="CN276" i="55"/>
  <c r="BF263" i="55"/>
  <c r="BR343" i="55"/>
  <c r="EB343" i="55" s="1"/>
  <c r="BR311" i="55"/>
  <c r="BP311" i="55"/>
  <c r="BR231" i="55"/>
  <c r="EB231" i="55" s="1"/>
  <c r="BP151" i="55"/>
  <c r="DB345" i="55"/>
  <c r="DA345" i="55" a="1"/>
  <c r="DA345" i="55" s="1"/>
  <c r="DA255" i="55" a="1"/>
  <c r="DA255" i="55" s="1"/>
  <c r="DB255" i="55"/>
  <c r="DB3" i="55"/>
  <c r="DA3" i="55" a="1"/>
  <c r="DA3" i="55" s="1"/>
  <c r="DC3" i="55" s="1"/>
  <c r="BM308" i="55" a="1"/>
  <c r="BM308" i="55" s="1"/>
  <c r="CA308" i="55" s="1"/>
  <c r="BN112" i="55" a="1"/>
  <c r="BN112" i="55" s="1"/>
  <c r="DU112" i="55" s="1"/>
  <c r="BP20" i="55"/>
  <c r="BR184" i="55"/>
  <c r="EB184" i="55" s="1"/>
  <c r="CJ266" i="55"/>
  <c r="BT266" i="55"/>
  <c r="BU127" i="55"/>
  <c r="CS25" i="55"/>
  <c r="C337" i="55"/>
  <c r="C160" i="55"/>
  <c r="DX276" i="55"/>
  <c r="DX242" i="55"/>
  <c r="DX233" i="55"/>
  <c r="DX148" i="55"/>
  <c r="DX114" i="55"/>
  <c r="DX105" i="55"/>
  <c r="GK342" i="55"/>
  <c r="GL342" i="55" s="1"/>
  <c r="EA342" i="55"/>
  <c r="DW342" i="55"/>
  <c r="DF342" i="55"/>
  <c r="CE342" i="55"/>
  <c r="AY342" i="55"/>
  <c r="E342" i="55" s="1"/>
  <c r="AZ342" i="55" s="1"/>
  <c r="GK326" i="55"/>
  <c r="GL326" i="55" s="1"/>
  <c r="EA326" i="55"/>
  <c r="DF326" i="55"/>
  <c r="CE326" i="55"/>
  <c r="BW326" i="55"/>
  <c r="AY326" i="55"/>
  <c r="E326" i="55" s="1"/>
  <c r="AZ326" i="55" s="1"/>
  <c r="DW326" i="55"/>
  <c r="GK310" i="55"/>
  <c r="GL310" i="55" s="1"/>
  <c r="EA310" i="55"/>
  <c r="DF310" i="55"/>
  <c r="DW310" i="55"/>
  <c r="BW310" i="55"/>
  <c r="BL310" i="55"/>
  <c r="GK294" i="55"/>
  <c r="GL294" i="55" s="1"/>
  <c r="DW294" i="55"/>
  <c r="DF294" i="55"/>
  <c r="BW294" i="55"/>
  <c r="EA294" i="55"/>
  <c r="CE294" i="55"/>
  <c r="AY294" i="55"/>
  <c r="BL294" i="55"/>
  <c r="GK278" i="55"/>
  <c r="GL278" i="55" s="1"/>
  <c r="EA278" i="55"/>
  <c r="DW278" i="55"/>
  <c r="DF278" i="55"/>
  <c r="BW278" i="55"/>
  <c r="CE278" i="55"/>
  <c r="AY278" i="55"/>
  <c r="E278" i="55" s="1"/>
  <c r="AZ278" i="55" s="1"/>
  <c r="GK262" i="55"/>
  <c r="GL262" i="55" s="1"/>
  <c r="EA262" i="55"/>
  <c r="DF262" i="55"/>
  <c r="DW262" i="55"/>
  <c r="AY262" i="55"/>
  <c r="E262" i="55" s="1"/>
  <c r="AZ262" i="55" s="1"/>
  <c r="CE262" i="55"/>
  <c r="GK246" i="55"/>
  <c r="GL246" i="55" s="1"/>
  <c r="EA246" i="55"/>
  <c r="DF246" i="55"/>
  <c r="CE246" i="55"/>
  <c r="DW246" i="55"/>
  <c r="BL246" i="55"/>
  <c r="AY246" i="55"/>
  <c r="E246" i="55" s="1"/>
  <c r="AZ246" i="55" s="1"/>
  <c r="GK230" i="55"/>
  <c r="GL230" i="55" s="1"/>
  <c r="DW230" i="55"/>
  <c r="EA230" i="55"/>
  <c r="CE230" i="55"/>
  <c r="BW230" i="55"/>
  <c r="AY230" i="55"/>
  <c r="BL230" i="55"/>
  <c r="GK214" i="55"/>
  <c r="GL214" i="55" s="1"/>
  <c r="EA214" i="55"/>
  <c r="DW214" i="55"/>
  <c r="DF214" i="55"/>
  <c r="AY214" i="55"/>
  <c r="E214" i="55" s="1"/>
  <c r="AZ214" i="55" s="1"/>
  <c r="GK198" i="55"/>
  <c r="GL198" i="55" s="1"/>
  <c r="DW198" i="55"/>
  <c r="EA198" i="55"/>
  <c r="DF198" i="55"/>
  <c r="AY198" i="55"/>
  <c r="E198" i="55" s="1"/>
  <c r="AZ198" i="55" s="1"/>
  <c r="BW198" i="55"/>
  <c r="CE198" i="55"/>
  <c r="GK182" i="55"/>
  <c r="GL182" i="55" s="1"/>
  <c r="EA182" i="55"/>
  <c r="DW182" i="55"/>
  <c r="DF182" i="55"/>
  <c r="BW182" i="55"/>
  <c r="CI182" i="55" s="1"/>
  <c r="BL182" i="55"/>
  <c r="CE182" i="55"/>
  <c r="GK166" i="55"/>
  <c r="GL166" i="55" s="1"/>
  <c r="EA166" i="55"/>
  <c r="DW166" i="55"/>
  <c r="CE166" i="55"/>
  <c r="BW166" i="55"/>
  <c r="AY166" i="55"/>
  <c r="E166" i="55" s="1"/>
  <c r="AZ166" i="55" s="1"/>
  <c r="DF166" i="55"/>
  <c r="BL166" i="55"/>
  <c r="GK150" i="55"/>
  <c r="GL150" i="55" s="1"/>
  <c r="EA150" i="55"/>
  <c r="DW150" i="55"/>
  <c r="DF150" i="55"/>
  <c r="CE150" i="55"/>
  <c r="AY150" i="55"/>
  <c r="GK134" i="55"/>
  <c r="GL134" i="55" s="1"/>
  <c r="DW134" i="55"/>
  <c r="EA134" i="55"/>
  <c r="DF134" i="55"/>
  <c r="BW134" i="55"/>
  <c r="AY134" i="55"/>
  <c r="GK118" i="55"/>
  <c r="GL118" i="55" s="1"/>
  <c r="EA118" i="55"/>
  <c r="DF118" i="55"/>
  <c r="CE118" i="55"/>
  <c r="BL118" i="55"/>
  <c r="AY118" i="55"/>
  <c r="DW118" i="55"/>
  <c r="DF102" i="55"/>
  <c r="DW102" i="55"/>
  <c r="DQ102" i="55"/>
  <c r="AY102" i="55"/>
  <c r="BW102" i="55"/>
  <c r="BL102" i="55"/>
  <c r="CE102" i="55"/>
  <c r="GK86" i="55"/>
  <c r="GL86" i="55" s="1"/>
  <c r="DF86" i="55"/>
  <c r="DW86" i="55"/>
  <c r="EA86" i="55"/>
  <c r="CE86" i="55"/>
  <c r="GK70" i="55"/>
  <c r="GL70" i="55" s="1"/>
  <c r="DF70" i="55"/>
  <c r="EA70" i="55"/>
  <c r="DW70" i="55"/>
  <c r="CE70" i="55"/>
  <c r="AY70" i="55"/>
  <c r="BW70" i="55"/>
  <c r="GK54" i="55"/>
  <c r="GL54" i="55" s="1"/>
  <c r="DF54" i="55"/>
  <c r="EA54" i="55"/>
  <c r="BW54" i="55"/>
  <c r="DW54" i="55"/>
  <c r="BL54" i="55"/>
  <c r="AY54" i="55"/>
  <c r="GK38" i="55"/>
  <c r="GL38" i="55" s="1"/>
  <c r="DF38" i="55"/>
  <c r="EA38" i="55"/>
  <c r="BW38" i="55"/>
  <c r="DW38" i="55"/>
  <c r="AY38" i="55"/>
  <c r="E38" i="55" s="1"/>
  <c r="AZ38" i="55" s="1"/>
  <c r="BL38" i="55"/>
  <c r="GK22" i="55"/>
  <c r="GL22" i="55" s="1"/>
  <c r="DF22" i="55"/>
  <c r="EA22" i="55"/>
  <c r="DW22" i="55"/>
  <c r="CE22" i="55"/>
  <c r="GK6" i="55"/>
  <c r="EA6" i="55"/>
  <c r="DW6" i="55"/>
  <c r="AY6" i="55"/>
  <c r="BW6" i="55"/>
  <c r="CI269" i="55"/>
  <c r="CJ269" i="55"/>
  <c r="AY346" i="55"/>
  <c r="AY138" i="55"/>
  <c r="AY77" i="55"/>
  <c r="CN352" i="55"/>
  <c r="BF352" i="55"/>
  <c r="CN336" i="55"/>
  <c r="CN272" i="55"/>
  <c r="CN240" i="55"/>
  <c r="CN224" i="55"/>
  <c r="BF224" i="55"/>
  <c r="CN208" i="55"/>
  <c r="BF208" i="55"/>
  <c r="DT208" i="55" s="1"/>
  <c r="CS192" i="55"/>
  <c r="CU192" i="55"/>
  <c r="CV192" i="55"/>
  <c r="CW192" i="55"/>
  <c r="CR192" i="55"/>
  <c r="CP192" i="55"/>
  <c r="CN176" i="55"/>
  <c r="CS160" i="55"/>
  <c r="CW160" i="55"/>
  <c r="CN144" i="55"/>
  <c r="CT128" i="55"/>
  <c r="CR128" i="55"/>
  <c r="CO128" i="55"/>
  <c r="CR112" i="55"/>
  <c r="CT112" i="55"/>
  <c r="CP112" i="55"/>
  <c r="CV112" i="55"/>
  <c r="CO112" i="55"/>
  <c r="CU112" i="55"/>
  <c r="BF80" i="55"/>
  <c r="DT80" i="55" s="1"/>
  <c r="CN80" i="55"/>
  <c r="CN64" i="55"/>
  <c r="CN48" i="55"/>
  <c r="CS32" i="55"/>
  <c r="CT32" i="55"/>
  <c r="CX32" i="55"/>
  <c r="CR32" i="55"/>
  <c r="CN16" i="55"/>
  <c r="DR346" i="55"/>
  <c r="BE346" i="55"/>
  <c r="C346" i="55" s="1"/>
  <c r="DY346" i="55"/>
  <c r="DY330" i="55"/>
  <c r="DZ330" i="55" s="1"/>
  <c r="DR330" i="55"/>
  <c r="BE330" i="55"/>
  <c r="C330" i="55" s="1"/>
  <c r="DY314" i="55"/>
  <c r="DZ314" i="55" s="1"/>
  <c r="DR314" i="55"/>
  <c r="BE314" i="55"/>
  <c r="DY298" i="55"/>
  <c r="DR298" i="55"/>
  <c r="BE298" i="55"/>
  <c r="C298" i="55" s="1"/>
  <c r="DR282" i="55"/>
  <c r="DY282" i="55"/>
  <c r="BE282" i="55"/>
  <c r="GD266" i="55"/>
  <c r="DY266" i="55"/>
  <c r="BE266" i="55"/>
  <c r="C266" i="55" s="1"/>
  <c r="DY250" i="55"/>
  <c r="DR250" i="55"/>
  <c r="BE250" i="55"/>
  <c r="C250" i="55" s="1"/>
  <c r="DY234" i="55"/>
  <c r="DR234" i="55"/>
  <c r="BE234" i="55"/>
  <c r="C234" i="55" s="1"/>
  <c r="DR218" i="55"/>
  <c r="DY218" i="55"/>
  <c r="DZ218" i="55"/>
  <c r="BE218" i="55"/>
  <c r="C218" i="55" s="1"/>
  <c r="DY202" i="55"/>
  <c r="DZ202" i="55"/>
  <c r="DR202" i="55"/>
  <c r="BE202" i="55"/>
  <c r="C202" i="55" s="1"/>
  <c r="DY186" i="55"/>
  <c r="DR186" i="55"/>
  <c r="DZ186" i="55"/>
  <c r="BE186" i="55"/>
  <c r="C186" i="55" s="1"/>
  <c r="DY170" i="55"/>
  <c r="DR170" i="55"/>
  <c r="BE170" i="55"/>
  <c r="C170" i="55" s="1"/>
  <c r="GD154" i="55"/>
  <c r="DY154" i="55"/>
  <c r="DZ154" i="55" s="1"/>
  <c r="DR154" i="55"/>
  <c r="DY138" i="55"/>
  <c r="BE138" i="55"/>
  <c r="DR122" i="55"/>
  <c r="DY122" i="55"/>
  <c r="DZ122" i="55" s="1"/>
  <c r="BE122" i="55"/>
  <c r="C122" i="55" s="1"/>
  <c r="DY106" i="55"/>
  <c r="DZ106" i="55" s="1"/>
  <c r="DR106" i="55"/>
  <c r="DY90" i="55"/>
  <c r="DZ90" i="55" s="1"/>
  <c r="DR90" i="55"/>
  <c r="GD74" i="55"/>
  <c r="DY74" i="55"/>
  <c r="DR74" i="55"/>
  <c r="GD58" i="55"/>
  <c r="DY58" i="55"/>
  <c r="DR58" i="55"/>
  <c r="GD42" i="55"/>
  <c r="DY42" i="55"/>
  <c r="DR42" i="55"/>
  <c r="DY26" i="55"/>
  <c r="DZ26" i="55" s="1"/>
  <c r="DR26" i="55"/>
  <c r="GD10" i="55"/>
  <c r="DR10" i="55"/>
  <c r="BE339" i="55"/>
  <c r="GD339" i="55" s="1"/>
  <c r="BE224" i="55"/>
  <c r="C224" i="55" s="1"/>
  <c r="BE177" i="55"/>
  <c r="C177" i="55" s="1"/>
  <c r="BE128" i="55"/>
  <c r="C128" i="55" s="1"/>
  <c r="BE106" i="55"/>
  <c r="C106" i="55" s="1"/>
  <c r="BE29" i="55"/>
  <c r="BF308" i="55"/>
  <c r="BF231" i="55"/>
  <c r="BF153" i="55"/>
  <c r="BF102" i="55"/>
  <c r="BF73" i="55"/>
  <c r="DV345" i="55"/>
  <c r="BZ345" i="55"/>
  <c r="DV329" i="55"/>
  <c r="BZ329" i="55"/>
  <c r="BZ313" i="55"/>
  <c r="CZ313" i="55"/>
  <c r="BZ297" i="55"/>
  <c r="DV297" i="55"/>
  <c r="DV281" i="55"/>
  <c r="BZ281" i="55"/>
  <c r="DV265" i="55"/>
  <c r="BZ265" i="55"/>
  <c r="DV249" i="55"/>
  <c r="BZ249" i="55"/>
  <c r="DV233" i="55"/>
  <c r="BZ233" i="55"/>
  <c r="BP233" i="55"/>
  <c r="DV217" i="55"/>
  <c r="BZ217" i="55"/>
  <c r="DV201" i="55"/>
  <c r="BZ201" i="55"/>
  <c r="DV185" i="55"/>
  <c r="CZ185" i="55"/>
  <c r="BZ185" i="55"/>
  <c r="DV169" i="55"/>
  <c r="BZ169" i="55"/>
  <c r="BZ153" i="55"/>
  <c r="DV137" i="55"/>
  <c r="BZ137" i="55"/>
  <c r="DV121" i="55"/>
  <c r="BZ121" i="55"/>
  <c r="BZ105" i="55"/>
  <c r="DV105" i="55"/>
  <c r="DV89" i="55"/>
  <c r="BZ89" i="55"/>
  <c r="DV73" i="55"/>
  <c r="BZ73" i="55"/>
  <c r="DV57" i="55"/>
  <c r="BZ57" i="55"/>
  <c r="DV41" i="55"/>
  <c r="BZ41" i="55"/>
  <c r="BH25" i="55"/>
  <c r="DV9" i="55"/>
  <c r="CZ9" i="55"/>
  <c r="BZ9" i="55"/>
  <c r="CF343" i="55"/>
  <c r="CG343" i="55" s="1"/>
  <c r="CF311" i="55"/>
  <c r="CG311" i="55"/>
  <c r="CF295" i="55"/>
  <c r="CG295" i="55"/>
  <c r="CF263" i="55"/>
  <c r="CG263" i="55" s="1"/>
  <c r="CF247" i="55"/>
  <c r="CG247" i="55"/>
  <c r="CF231" i="55"/>
  <c r="CG231" i="55"/>
  <c r="CF215" i="55"/>
  <c r="CG215" i="55" s="1"/>
  <c r="CF199" i="55"/>
  <c r="CG199" i="55"/>
  <c r="CF183" i="55"/>
  <c r="CF167" i="55"/>
  <c r="CG167" i="55" s="1"/>
  <c r="CF135" i="55"/>
  <c r="CG135" i="55" s="1"/>
  <c r="CF119" i="55"/>
  <c r="CG119" i="55" s="1"/>
  <c r="CF87" i="55"/>
  <c r="CG87" i="55"/>
  <c r="CF71" i="55"/>
  <c r="CF55" i="55"/>
  <c r="CG55" i="55" s="1"/>
  <c r="CF39" i="55"/>
  <c r="CF22" i="55"/>
  <c r="CG22" i="55" s="1"/>
  <c r="CF5" i="55"/>
  <c r="CG5" i="55"/>
  <c r="EB339" i="55"/>
  <c r="EB291" i="55"/>
  <c r="BR259" i="55"/>
  <c r="BP259" i="55"/>
  <c r="EB211" i="55"/>
  <c r="EB99" i="55"/>
  <c r="EB83" i="55"/>
  <c r="BP51" i="55"/>
  <c r="BR51" i="55"/>
  <c r="DB179" i="55"/>
  <c r="DA179" i="55" a="1"/>
  <c r="DA179" i="55" s="1"/>
  <c r="DC179" i="55" s="1"/>
  <c r="BL150" i="55"/>
  <c r="BL89" i="55"/>
  <c r="BN342" i="55" a="1"/>
  <c r="BN342" i="55" s="1"/>
  <c r="BN32" i="55" a="1"/>
  <c r="BN32" i="55" s="1"/>
  <c r="BP315" i="55"/>
  <c r="BP275" i="55"/>
  <c r="EB275" i="55" s="1"/>
  <c r="BP238" i="55"/>
  <c r="BP122" i="55"/>
  <c r="EB122" i="55" s="1"/>
  <c r="BP84" i="55"/>
  <c r="BP53" i="55"/>
  <c r="BR323" i="55"/>
  <c r="EB323" i="55" s="1"/>
  <c r="BR282" i="55"/>
  <c r="EB282" i="55" s="1"/>
  <c r="BR247" i="55"/>
  <c r="BR131" i="55"/>
  <c r="EB131" i="55" s="1"/>
  <c r="CJ300" i="55"/>
  <c r="BU300" i="55"/>
  <c r="BT15" i="55"/>
  <c r="BU94" i="55"/>
  <c r="CI351" i="55"/>
  <c r="BW297" i="55"/>
  <c r="BW233" i="55"/>
  <c r="CJ233" i="55" s="1"/>
  <c r="BW169" i="55"/>
  <c r="CI169" i="55" s="1"/>
  <c r="CE280" i="55"/>
  <c r="CE215" i="55"/>
  <c r="CG160" i="55"/>
  <c r="CG296" i="55"/>
  <c r="CN243" i="55"/>
  <c r="CQ52" i="55"/>
  <c r="CT52" i="55"/>
  <c r="CP52" i="55"/>
  <c r="CV52" i="55"/>
  <c r="CS52" i="55"/>
  <c r="CR52" i="55"/>
  <c r="CW52" i="55"/>
  <c r="CQ214" i="55"/>
  <c r="DN352" i="55"/>
  <c r="DK352" i="55"/>
  <c r="DN334" i="55"/>
  <c r="DN120" i="55"/>
  <c r="DK120" i="55"/>
  <c r="DK112" i="55"/>
  <c r="DK58" i="55"/>
  <c r="DN58" i="55"/>
  <c r="DN240" i="55"/>
  <c r="DR288" i="55"/>
  <c r="DV155" i="55"/>
  <c r="DW215" i="55"/>
  <c r="GT253" i="55"/>
  <c r="GK349" i="55"/>
  <c r="GL349" i="55" s="1"/>
  <c r="DW349" i="55"/>
  <c r="DF349" i="55"/>
  <c r="EA349" i="55"/>
  <c r="BW349" i="55"/>
  <c r="GK333" i="55"/>
  <c r="GL333" i="55" s="1"/>
  <c r="EA333" i="55"/>
  <c r="DF333" i="55"/>
  <c r="DF317" i="55"/>
  <c r="DQ317" i="55"/>
  <c r="GK301" i="55"/>
  <c r="GL301" i="55" s="1"/>
  <c r="DW301" i="55"/>
  <c r="EA301" i="55"/>
  <c r="DF301" i="55"/>
  <c r="CE301" i="55"/>
  <c r="GK285" i="55"/>
  <c r="GL285" i="55" s="1"/>
  <c r="EA285" i="55"/>
  <c r="DW285" i="55"/>
  <c r="CE285" i="55"/>
  <c r="GK269" i="55"/>
  <c r="GL269" i="55" s="1"/>
  <c r="EA269" i="55"/>
  <c r="DF269" i="55"/>
  <c r="DW269" i="55"/>
  <c r="GK253" i="55"/>
  <c r="GL253" i="55" s="1"/>
  <c r="EA253" i="55"/>
  <c r="DW253" i="55"/>
  <c r="CE253" i="55"/>
  <c r="BW253" i="55"/>
  <c r="CI253" i="55" s="1"/>
  <c r="GK237" i="55"/>
  <c r="GL237" i="55" s="1"/>
  <c r="DF237" i="55"/>
  <c r="EA237" i="55"/>
  <c r="BW237" i="55"/>
  <c r="GK221" i="55"/>
  <c r="GL221" i="55" s="1"/>
  <c r="EA221" i="55"/>
  <c r="DW221" i="55"/>
  <c r="DF221" i="55"/>
  <c r="BW221" i="55"/>
  <c r="GK205" i="55"/>
  <c r="GL205" i="55" s="1"/>
  <c r="EA205" i="55"/>
  <c r="DW205" i="55"/>
  <c r="DF205" i="55"/>
  <c r="CE205" i="55"/>
  <c r="GK189" i="55"/>
  <c r="GL189" i="55" s="1"/>
  <c r="EA189" i="55"/>
  <c r="DF189" i="55"/>
  <c r="DW189" i="55"/>
  <c r="GK173" i="55"/>
  <c r="GL173" i="55" s="1"/>
  <c r="EA173" i="55"/>
  <c r="DF173" i="55"/>
  <c r="DW173" i="55"/>
  <c r="CE173" i="55"/>
  <c r="GK157" i="55"/>
  <c r="GL157" i="55" s="1"/>
  <c r="EA157" i="55"/>
  <c r="DF157" i="55"/>
  <c r="BW157" i="55"/>
  <c r="DW157" i="55"/>
  <c r="GK141" i="55"/>
  <c r="GL141" i="55" s="1"/>
  <c r="EA141" i="55"/>
  <c r="DW141" i="55"/>
  <c r="DF141" i="55"/>
  <c r="GK125" i="55"/>
  <c r="GL125" i="55" s="1"/>
  <c r="EA125" i="55"/>
  <c r="CE125" i="55"/>
  <c r="DF125" i="55"/>
  <c r="BW125" i="55"/>
  <c r="GK109" i="55"/>
  <c r="GL109" i="55" s="1"/>
  <c r="DW109" i="55"/>
  <c r="EA109" i="55"/>
  <c r="CE109" i="55"/>
  <c r="DF109" i="55"/>
  <c r="BW109" i="55"/>
  <c r="GK93" i="55"/>
  <c r="GL93" i="55" s="1"/>
  <c r="EA93" i="55"/>
  <c r="BW93" i="55"/>
  <c r="CJ93" i="55" s="1"/>
  <c r="GK77" i="55"/>
  <c r="GL77" i="55" s="1"/>
  <c r="EA77" i="55"/>
  <c r="DW77" i="55"/>
  <c r="DF77" i="55"/>
  <c r="GK61" i="55"/>
  <c r="GL61" i="55" s="1"/>
  <c r="EA61" i="55"/>
  <c r="DW61" i="55"/>
  <c r="DF61" i="55"/>
  <c r="BW61" i="55"/>
  <c r="GK45" i="55"/>
  <c r="GL45" i="55" s="1"/>
  <c r="DF45" i="55"/>
  <c r="EA45" i="55"/>
  <c r="DW45" i="55"/>
  <c r="DW29" i="55"/>
  <c r="EA29" i="55"/>
  <c r="DF29" i="55"/>
  <c r="CE29" i="55"/>
  <c r="BW29" i="55"/>
  <c r="CI29" i="55" s="1"/>
  <c r="GK13" i="55"/>
  <c r="GL13" i="55" s="1"/>
  <c r="DF13" i="55"/>
  <c r="EA13" i="55"/>
  <c r="AY323" i="55"/>
  <c r="E323" i="55" s="1"/>
  <c r="AZ323" i="55" s="1"/>
  <c r="AY163" i="55"/>
  <c r="E163" i="55" s="1"/>
  <c r="AZ163" i="55" s="1"/>
  <c r="AY67" i="55"/>
  <c r="CR351" i="55"/>
  <c r="CV351" i="55"/>
  <c r="CS351" i="55"/>
  <c r="CP351" i="55"/>
  <c r="CU351" i="55"/>
  <c r="CO351" i="55"/>
  <c r="CT303" i="55"/>
  <c r="CW303" i="55"/>
  <c r="CR303" i="55"/>
  <c r="CS303" i="55"/>
  <c r="CS287" i="55"/>
  <c r="CT287" i="55"/>
  <c r="CP287" i="55"/>
  <c r="CQ271" i="55"/>
  <c r="CU239" i="55"/>
  <c r="CT239" i="55"/>
  <c r="CS239" i="55"/>
  <c r="CP239" i="55"/>
  <c r="CS223" i="55"/>
  <c r="CV223" i="55"/>
  <c r="CQ223" i="55"/>
  <c r="CP223" i="55"/>
  <c r="CW191" i="55"/>
  <c r="CU191" i="55"/>
  <c r="CR191" i="55"/>
  <c r="CT191" i="55"/>
  <c r="CP191" i="55"/>
  <c r="CV191" i="55"/>
  <c r="CS191" i="55"/>
  <c r="CQ191" i="55"/>
  <c r="CX159" i="55"/>
  <c r="CU159" i="55"/>
  <c r="CO143" i="55"/>
  <c r="CS143" i="55" s="1"/>
  <c r="CN127" i="55"/>
  <c r="CN111" i="55"/>
  <c r="CR95" i="55"/>
  <c r="CP95" i="55"/>
  <c r="CU95" i="55"/>
  <c r="CO95" i="55"/>
  <c r="CV95" i="55"/>
  <c r="CV79" i="55"/>
  <c r="CT79" i="55"/>
  <c r="CS79" i="55"/>
  <c r="CU79" i="55"/>
  <c r="CQ79" i="55"/>
  <c r="CW79" i="55"/>
  <c r="CV63" i="55"/>
  <c r="CT63" i="55"/>
  <c r="CR63" i="55"/>
  <c r="CU63" i="55"/>
  <c r="CW47" i="55"/>
  <c r="CQ47" i="55"/>
  <c r="CV47" i="55"/>
  <c r="CU47" i="55"/>
  <c r="CP47" i="55"/>
  <c r="CS47" i="55"/>
  <c r="CN15" i="55"/>
  <c r="DZ345" i="55"/>
  <c r="DR345" i="55"/>
  <c r="DY329" i="55"/>
  <c r="DZ329" i="55" s="1"/>
  <c r="GD313" i="55"/>
  <c r="DY313" i="55"/>
  <c r="DZ313" i="55" s="1"/>
  <c r="DR313" i="55"/>
  <c r="DR297" i="55"/>
  <c r="DY297" i="55"/>
  <c r="DZ297" i="55" s="1"/>
  <c r="DY281" i="55"/>
  <c r="DR281" i="55"/>
  <c r="DR265" i="55"/>
  <c r="DY265" i="55"/>
  <c r="DY249" i="55"/>
  <c r="DZ249" i="55" s="1"/>
  <c r="DR249" i="55"/>
  <c r="DZ233" i="55"/>
  <c r="DR233" i="55"/>
  <c r="DY217" i="55"/>
  <c r="DZ217" i="55"/>
  <c r="DR217" i="55"/>
  <c r="DY201" i="55"/>
  <c r="DR201" i="55"/>
  <c r="DY185" i="55"/>
  <c r="DZ185" i="55" s="1"/>
  <c r="DR185" i="55"/>
  <c r="DY169" i="55"/>
  <c r="DZ169" i="55" s="1"/>
  <c r="DR169" i="55"/>
  <c r="DY153" i="55"/>
  <c r="DZ153" i="55" s="1"/>
  <c r="DR153" i="55"/>
  <c r="GD137" i="55"/>
  <c r="DY137" i="55"/>
  <c r="DR137" i="55"/>
  <c r="DR121" i="55"/>
  <c r="DY121" i="55"/>
  <c r="GD105" i="55"/>
  <c r="DR105" i="55"/>
  <c r="DZ105" i="55"/>
  <c r="GD89" i="55"/>
  <c r="DY89" i="55"/>
  <c r="DR89" i="55"/>
  <c r="GD73" i="55"/>
  <c r="DY73" i="55"/>
  <c r="DR73" i="55"/>
  <c r="DY57" i="55"/>
  <c r="DZ57" i="55" s="1"/>
  <c r="DR57" i="55"/>
  <c r="GD41" i="55"/>
  <c r="DR41" i="55"/>
  <c r="GD25" i="55"/>
  <c r="DY25" i="55"/>
  <c r="DR25" i="55"/>
  <c r="GD9" i="55"/>
  <c r="DR9" i="55"/>
  <c r="BF239" i="55"/>
  <c r="CR239" i="55" s="1"/>
  <c r="BF111" i="55"/>
  <c r="DT111" i="55" s="1"/>
  <c r="DV349" i="55"/>
  <c r="BZ349" i="55"/>
  <c r="DV333" i="55"/>
  <c r="DV317" i="55"/>
  <c r="CZ317" i="55"/>
  <c r="DV301" i="55"/>
  <c r="DV285" i="55"/>
  <c r="BZ285" i="55"/>
  <c r="DV269" i="55"/>
  <c r="BZ269" i="55"/>
  <c r="DV253" i="55"/>
  <c r="DV237" i="55"/>
  <c r="BZ237" i="55"/>
  <c r="DV205" i="55"/>
  <c r="DV189" i="55"/>
  <c r="BZ189" i="55"/>
  <c r="DV157" i="55"/>
  <c r="BZ157" i="55"/>
  <c r="DV141" i="55"/>
  <c r="DV125" i="55"/>
  <c r="DV109" i="55"/>
  <c r="BZ109" i="55"/>
  <c r="DV93" i="55"/>
  <c r="DV77" i="55"/>
  <c r="DV61" i="55"/>
  <c r="DV45" i="55"/>
  <c r="CZ29" i="55"/>
  <c r="DV29" i="55"/>
  <c r="BZ29" i="55"/>
  <c r="CZ13" i="55"/>
  <c r="DV13" i="55"/>
  <c r="BZ13" i="55"/>
  <c r="CF315" i="55"/>
  <c r="CG315" i="55" s="1"/>
  <c r="CG299" i="55"/>
  <c r="CG267" i="55"/>
  <c r="CF251" i="55"/>
  <c r="CF219" i="55"/>
  <c r="CG219" i="55" s="1"/>
  <c r="CF203" i="55"/>
  <c r="CG203" i="55"/>
  <c r="CG171" i="55"/>
  <c r="CF155" i="55"/>
  <c r="CG139" i="55"/>
  <c r="CG91" i="55"/>
  <c r="CG75" i="55"/>
  <c r="CF75" i="55"/>
  <c r="CG43" i="55"/>
  <c r="BR345" i="55"/>
  <c r="BP345" i="55"/>
  <c r="BR329" i="55"/>
  <c r="BR313" i="55"/>
  <c r="EB313" i="55" s="1"/>
  <c r="BR297" i="55"/>
  <c r="EB297" i="55" s="1"/>
  <c r="BR281" i="55"/>
  <c r="EB281" i="55" s="1"/>
  <c r="BP281" i="55"/>
  <c r="BR265" i="55"/>
  <c r="BP265" i="55"/>
  <c r="BR249" i="55"/>
  <c r="EB249" i="55" s="1"/>
  <c r="BR233" i="55"/>
  <c r="BR217" i="55"/>
  <c r="EB217" i="55" s="1"/>
  <c r="BR201" i="55"/>
  <c r="EB201" i="55" s="1"/>
  <c r="BR185" i="55"/>
  <c r="EB185" i="55" s="1"/>
  <c r="BR169" i="55"/>
  <c r="EB169" i="55" s="1"/>
  <c r="BR153" i="55"/>
  <c r="BR137" i="55"/>
  <c r="EB137" i="55" s="1"/>
  <c r="BR121" i="55"/>
  <c r="EB121" i="55" s="1"/>
  <c r="BR105" i="55"/>
  <c r="BP105" i="55"/>
  <c r="BR89" i="55"/>
  <c r="BP89" i="55"/>
  <c r="BR73" i="55"/>
  <c r="EB73" i="55" s="1"/>
  <c r="BR57" i="55"/>
  <c r="EB57" i="55" s="1"/>
  <c r="BR41" i="55"/>
  <c r="BR23" i="55"/>
  <c r="EB23" i="55" s="1"/>
  <c r="BP6" i="55"/>
  <c r="EB6" i="55" s="1"/>
  <c r="CJ292" i="55"/>
  <c r="BT292" i="55"/>
  <c r="BU292" i="55"/>
  <c r="BT244" i="55"/>
  <c r="BU244" i="55"/>
  <c r="CJ244" i="55"/>
  <c r="CJ180" i="55"/>
  <c r="BT180" i="55"/>
  <c r="BU180" i="55"/>
  <c r="BT164" i="55"/>
  <c r="BU164" i="55"/>
  <c r="BT148" i="55"/>
  <c r="BU148" i="55"/>
  <c r="BT132" i="55"/>
  <c r="CJ116" i="55"/>
  <c r="BT116" i="55"/>
  <c r="CJ100" i="55"/>
  <c r="BT100" i="55"/>
  <c r="BU100" i="55"/>
  <c r="BT84" i="55"/>
  <c r="CJ68" i="55"/>
  <c r="BT68" i="55"/>
  <c r="BU52" i="55"/>
  <c r="BT52" i="55"/>
  <c r="BT36" i="55"/>
  <c r="BU36" i="55"/>
  <c r="BL160" i="55"/>
  <c r="BP329" i="55"/>
  <c r="BU68" i="55"/>
  <c r="BZ253" i="55"/>
  <c r="CE61" i="55"/>
  <c r="CG283" i="55"/>
  <c r="CJ52" i="55"/>
  <c r="CO63" i="55"/>
  <c r="CS63" i="55" s="1"/>
  <c r="DN323" i="55"/>
  <c r="DW237" i="55"/>
  <c r="EB8" i="55"/>
  <c r="CJ343" i="55"/>
  <c r="BU343" i="55"/>
  <c r="CJ316" i="55"/>
  <c r="BU316" i="55"/>
  <c r="CR335" i="55"/>
  <c r="CU335" i="55"/>
  <c r="CQ335" i="55"/>
  <c r="CO335" i="55"/>
  <c r="DN300" i="55"/>
  <c r="DK300" i="55"/>
  <c r="DK268" i="55"/>
  <c r="DK236" i="55"/>
  <c r="DK105" i="55"/>
  <c r="DN105" i="55"/>
  <c r="DK91" i="55"/>
  <c r="DN91" i="55"/>
  <c r="DN171" i="55"/>
  <c r="GT328" i="55"/>
  <c r="GT152" i="55"/>
  <c r="GT120" i="55"/>
  <c r="GT88" i="55"/>
  <c r="ET88" i="55"/>
  <c r="GT56" i="55"/>
  <c r="GT278" i="55"/>
  <c r="GT50" i="55"/>
  <c r="GT14" i="55"/>
  <c r="CI13" i="55"/>
  <c r="CT31" i="55"/>
  <c r="CR31" i="55"/>
  <c r="DN351" i="55"/>
  <c r="DK351" i="55"/>
  <c r="DN316" i="55"/>
  <c r="DK316" i="55"/>
  <c r="DK299" i="55"/>
  <c r="DN299" i="55"/>
  <c r="DN267" i="55"/>
  <c r="DK267" i="55"/>
  <c r="DN235" i="55"/>
  <c r="DK235" i="55"/>
  <c r="DK219" i="55"/>
  <c r="DN219" i="55"/>
  <c r="DN203" i="55"/>
  <c r="DK170" i="55"/>
  <c r="DN170" i="55"/>
  <c r="DK138" i="55"/>
  <c r="DN138" i="55"/>
  <c r="DJ104" i="55" a="1"/>
  <c r="DJ104" i="55" s="1"/>
  <c r="DK128" i="55"/>
  <c r="DN128" i="55"/>
  <c r="GT168" i="55"/>
  <c r="GT49" i="55"/>
  <c r="BY27" i="55"/>
  <c r="BX27" i="55"/>
  <c r="CI336" i="55"/>
  <c r="CW175" i="55"/>
  <c r="CT175" i="55"/>
  <c r="CW85" i="55"/>
  <c r="CU85" i="55"/>
  <c r="CR85" i="55"/>
  <c r="CQ85" i="55"/>
  <c r="CO85" i="55"/>
  <c r="CT85" i="55"/>
  <c r="CV85" i="55"/>
  <c r="CP85" i="55"/>
  <c r="DN315" i="55"/>
  <c r="DK315" i="55"/>
  <c r="DK298" i="55"/>
  <c r="DN298" i="55"/>
  <c r="DK266" i="55"/>
  <c r="DN266" i="55"/>
  <c r="DK250" i="55"/>
  <c r="DN250" i="55"/>
  <c r="DK234" i="55"/>
  <c r="DK218" i="55"/>
  <c r="DN218" i="55"/>
  <c r="DN85" i="55"/>
  <c r="DK144" i="55"/>
  <c r="DN144" i="55"/>
  <c r="DN103" i="55"/>
  <c r="DK103" i="55"/>
  <c r="DK309" i="55"/>
  <c r="DN309" i="55"/>
  <c r="DN160" i="55"/>
  <c r="DK124" i="55"/>
  <c r="DN124" i="55"/>
  <c r="DN30" i="55"/>
  <c r="DL30" i="55"/>
  <c r="DO30" i="55" s="1"/>
  <c r="DK30" i="55"/>
  <c r="GK339" i="55"/>
  <c r="GL339" i="55" s="1"/>
  <c r="EA339" i="55"/>
  <c r="DW339" i="55"/>
  <c r="GK323" i="55"/>
  <c r="GL323" i="55" s="1"/>
  <c r="EA323" i="55"/>
  <c r="DW323" i="55"/>
  <c r="CE323" i="55"/>
  <c r="BW323" i="55"/>
  <c r="CI323" i="55" s="1"/>
  <c r="GK307" i="55"/>
  <c r="GL307" i="55" s="1"/>
  <c r="EA307" i="55"/>
  <c r="DW307" i="55"/>
  <c r="DF307" i="55"/>
  <c r="CE307" i="55"/>
  <c r="GK291" i="55"/>
  <c r="GL291" i="55" s="1"/>
  <c r="EA291" i="55"/>
  <c r="DW291" i="55"/>
  <c r="DF291" i="55"/>
  <c r="BW291" i="55"/>
  <c r="GK275" i="55"/>
  <c r="GL275" i="55" s="1"/>
  <c r="EA275" i="55"/>
  <c r="DF275" i="55"/>
  <c r="DW275" i="55"/>
  <c r="BW275" i="55"/>
  <c r="GK259" i="55"/>
  <c r="GL259" i="55" s="1"/>
  <c r="EA259" i="55"/>
  <c r="DW259" i="55"/>
  <c r="DF259" i="55"/>
  <c r="GK243" i="55"/>
  <c r="GL243" i="55" s="1"/>
  <c r="DW243" i="55"/>
  <c r="EA243" i="55"/>
  <c r="CE243" i="55"/>
  <c r="GK227" i="55"/>
  <c r="GL227" i="55" s="1"/>
  <c r="DW227" i="55"/>
  <c r="DF227" i="55"/>
  <c r="CE227" i="55"/>
  <c r="BW227" i="55"/>
  <c r="GK211" i="55"/>
  <c r="GL211" i="55" s="1"/>
  <c r="EA211" i="55"/>
  <c r="DF211" i="55"/>
  <c r="DW211" i="55"/>
  <c r="GK195" i="55"/>
  <c r="GL195" i="55" s="1"/>
  <c r="DW195" i="55"/>
  <c r="EA195" i="55"/>
  <c r="DF195" i="55"/>
  <c r="GK179" i="55"/>
  <c r="GL179" i="55" s="1"/>
  <c r="DF179" i="55"/>
  <c r="BW179" i="55"/>
  <c r="DW179" i="55"/>
  <c r="CE179" i="55"/>
  <c r="GK163" i="55"/>
  <c r="GL163" i="55" s="1"/>
  <c r="DW163" i="55"/>
  <c r="EA163" i="55"/>
  <c r="BW163" i="55"/>
  <c r="GK147" i="55"/>
  <c r="GL147" i="55" s="1"/>
  <c r="EA147" i="55"/>
  <c r="DF147" i="55"/>
  <c r="DW147" i="55"/>
  <c r="CE147" i="55"/>
  <c r="BW147" i="55"/>
  <c r="GK131" i="55"/>
  <c r="GL131" i="55" s="1"/>
  <c r="DF131" i="55"/>
  <c r="DW131" i="55"/>
  <c r="EA131" i="55"/>
  <c r="BW131" i="55"/>
  <c r="GK115" i="55"/>
  <c r="GL115" i="55" s="1"/>
  <c r="DW115" i="55"/>
  <c r="EA115" i="55"/>
  <c r="DF115" i="55"/>
  <c r="GK99" i="55"/>
  <c r="GL99" i="55" s="1"/>
  <c r="EA99" i="55"/>
  <c r="DW99" i="55"/>
  <c r="GK83" i="55"/>
  <c r="GL83" i="55" s="1"/>
  <c r="DW83" i="55"/>
  <c r="DF83" i="55"/>
  <c r="EA83" i="55"/>
  <c r="CE83" i="55"/>
  <c r="BW83" i="55"/>
  <c r="GK67" i="55"/>
  <c r="GL67" i="55" s="1"/>
  <c r="DW67" i="55"/>
  <c r="DF67" i="55"/>
  <c r="GK51" i="55"/>
  <c r="GL51" i="55" s="1"/>
  <c r="EA51" i="55"/>
  <c r="DW51" i="55"/>
  <c r="DF51" i="55"/>
  <c r="CE51" i="55"/>
  <c r="GK35" i="55"/>
  <c r="GL35" i="55" s="1"/>
  <c r="DW35" i="55"/>
  <c r="EA35" i="55"/>
  <c r="DF35" i="55"/>
  <c r="BW35" i="55"/>
  <c r="GK19" i="55"/>
  <c r="GL19" i="55" s="1"/>
  <c r="DW19" i="55"/>
  <c r="DF19" i="55"/>
  <c r="EA19" i="55"/>
  <c r="BW19" i="55"/>
  <c r="CE19" i="55"/>
  <c r="DW3" i="55"/>
  <c r="DQ3" i="55"/>
  <c r="CE3" i="55"/>
  <c r="CN341" i="55"/>
  <c r="BM341" i="55" a="1"/>
  <c r="BM341" i="55" s="1"/>
  <c r="CN325" i="55"/>
  <c r="BM325" i="55" s="1" a="1"/>
  <c r="BM325" i="55" s="1"/>
  <c r="CA325" i="55" s="1"/>
  <c r="BM309" i="55" a="1"/>
  <c r="BM309" i="55" s="1"/>
  <c r="CN293" i="55"/>
  <c r="CN261" i="55"/>
  <c r="BM261" i="55" a="1"/>
  <c r="BM261" i="55" s="1"/>
  <c r="CA261" i="55" s="1"/>
  <c r="CN245" i="55"/>
  <c r="BM245" i="55" s="1" a="1"/>
  <c r="BM245" i="55" s="1"/>
  <c r="CN229" i="55"/>
  <c r="BM229" i="55" s="1" a="1"/>
  <c r="BM229" i="55" s="1"/>
  <c r="CN213" i="55"/>
  <c r="BM213" i="55" s="1" a="1"/>
  <c r="BM213" i="55" s="1"/>
  <c r="CN197" i="55"/>
  <c r="BM197" i="55" a="1"/>
  <c r="BM197" i="55" s="1"/>
  <c r="CA197" i="55" s="1"/>
  <c r="CN181" i="55"/>
  <c r="BM181" i="55" s="1" a="1"/>
  <c r="BM181" i="55" s="1"/>
  <c r="BM165" i="55" a="1"/>
  <c r="BM165" i="55" s="1"/>
  <c r="BM149" i="55" a="1"/>
  <c r="BM149" i="55" s="1"/>
  <c r="CX149" i="55" s="1"/>
  <c r="CN117" i="55"/>
  <c r="BM117" i="55" s="1" a="1"/>
  <c r="BM117" i="55" s="1"/>
  <c r="CN101" i="55"/>
  <c r="BM101" i="55" a="1"/>
  <c r="BM101" i="55" s="1"/>
  <c r="CA101" i="55" s="1"/>
  <c r="BM85" i="55" a="1"/>
  <c r="BM85" i="55" s="1"/>
  <c r="CN69" i="55"/>
  <c r="BM69" i="55" s="1" a="1"/>
  <c r="BM69" i="55" s="1"/>
  <c r="BM53" i="55" a="1"/>
  <c r="BM53" i="55" s="1"/>
  <c r="CN37" i="55"/>
  <c r="BM37" i="55" s="1" a="1"/>
  <c r="BM37" i="55" s="1"/>
  <c r="GD351" i="55"/>
  <c r="DY351" i="55"/>
  <c r="DR351" i="55"/>
  <c r="GD335" i="55"/>
  <c r="DR335" i="55"/>
  <c r="DY335" i="55"/>
  <c r="DZ335" i="55" s="1"/>
  <c r="GD319" i="55"/>
  <c r="DR319" i="55"/>
  <c r="DY319" i="55"/>
  <c r="DZ319" i="55" s="1"/>
  <c r="GD303" i="55"/>
  <c r="DY303" i="55"/>
  <c r="DR303" i="55"/>
  <c r="GD287" i="55"/>
  <c r="DY287" i="55"/>
  <c r="GD271" i="55"/>
  <c r="DY271" i="55"/>
  <c r="DR271" i="55"/>
  <c r="GD255" i="55"/>
  <c r="DY255" i="55"/>
  <c r="DZ255" i="55" s="1"/>
  <c r="DR255" i="55"/>
  <c r="GD239" i="55"/>
  <c r="DY239" i="55"/>
  <c r="DZ239" i="55" s="1"/>
  <c r="DR239" i="55"/>
  <c r="GD223" i="55"/>
  <c r="DY223" i="55"/>
  <c r="DZ223" i="55" s="1"/>
  <c r="DR223" i="55"/>
  <c r="GD207" i="55"/>
  <c r="DY207" i="55"/>
  <c r="DZ207" i="55" s="1"/>
  <c r="DR207" i="55"/>
  <c r="GD191" i="55"/>
  <c r="DR191" i="55"/>
  <c r="DY191" i="55"/>
  <c r="GD175" i="55"/>
  <c r="DZ175" i="55"/>
  <c r="DR175" i="55"/>
  <c r="GD159" i="55"/>
  <c r="DY159" i="55"/>
  <c r="DZ159" i="55" s="1"/>
  <c r="DR159" i="55"/>
  <c r="GD143" i="55"/>
  <c r="DY143" i="55"/>
  <c r="DZ143" i="55" s="1"/>
  <c r="DR143" i="55"/>
  <c r="GD127" i="55"/>
  <c r="DR127" i="55"/>
  <c r="DY127" i="55"/>
  <c r="GD111" i="55"/>
  <c r="DY111" i="55"/>
  <c r="DZ111" i="55" s="1"/>
  <c r="DR111" i="55"/>
  <c r="GD95" i="55"/>
  <c r="DY95" i="55"/>
  <c r="DR95" i="55"/>
  <c r="GD79" i="55"/>
  <c r="DY79" i="55"/>
  <c r="DZ79" i="55" s="1"/>
  <c r="DR79" i="55"/>
  <c r="GD63" i="55"/>
  <c r="DY63" i="55"/>
  <c r="DR63" i="55"/>
  <c r="GD47" i="55"/>
  <c r="DY47" i="55"/>
  <c r="DR47" i="55"/>
  <c r="GD31" i="55"/>
  <c r="DY31" i="55"/>
  <c r="DZ31" i="55" s="1"/>
  <c r="DZ32" i="55" s="1"/>
  <c r="DZ33" i="55" s="1"/>
  <c r="DZ34" i="55" s="1"/>
  <c r="DZ35" i="55" s="1"/>
  <c r="DZ36" i="55" s="1"/>
  <c r="DZ37" i="55" s="1"/>
  <c r="DZ38" i="55" s="1"/>
  <c r="DZ39" i="55" s="1"/>
  <c r="DZ40" i="55" s="1"/>
  <c r="DZ41" i="55" s="1"/>
  <c r="DZ42" i="55" s="1"/>
  <c r="DZ43" i="55" s="1"/>
  <c r="DZ44" i="55" s="1"/>
  <c r="DZ45" i="55" s="1"/>
  <c r="DZ46" i="55" s="1"/>
  <c r="DZ47" i="55" s="1"/>
  <c r="DZ48" i="55" s="1"/>
  <c r="DZ49" i="55" s="1"/>
  <c r="DZ50" i="55" s="1"/>
  <c r="DZ51" i="55" s="1"/>
  <c r="DZ52" i="55" s="1"/>
  <c r="DR31" i="55"/>
  <c r="DR15" i="55"/>
  <c r="BF229" i="55"/>
  <c r="DT229" i="55" s="1"/>
  <c r="BF101" i="55"/>
  <c r="DT101" i="55" s="1"/>
  <c r="DV339" i="55"/>
  <c r="BZ339" i="55"/>
  <c r="DV323" i="55"/>
  <c r="BZ307" i="55"/>
  <c r="DV307" i="55"/>
  <c r="DV291" i="55"/>
  <c r="BZ291" i="55"/>
  <c r="DV275" i="55"/>
  <c r="DV243" i="55"/>
  <c r="DV227" i="55"/>
  <c r="BZ227" i="55"/>
  <c r="DV211" i="55"/>
  <c r="BZ211" i="55"/>
  <c r="DV195" i="55"/>
  <c r="DV179" i="55"/>
  <c r="CG145" i="55"/>
  <c r="CJ282" i="55"/>
  <c r="BT260" i="55"/>
  <c r="BU260" i="55"/>
  <c r="CJ196" i="55"/>
  <c r="BT196" i="55"/>
  <c r="BU196" i="55"/>
  <c r="BT343" i="55"/>
  <c r="CI335" i="55"/>
  <c r="CE115" i="55"/>
  <c r="CN277" i="55"/>
  <c r="BM277" i="55" s="1" a="1"/>
  <c r="BM277" i="55" s="1"/>
  <c r="CR226" i="55"/>
  <c r="CS226" i="55"/>
  <c r="CV226" i="55"/>
  <c r="CT226" i="55"/>
  <c r="CW226" i="55"/>
  <c r="CQ226" i="55"/>
  <c r="CN133" i="55"/>
  <c r="DN166" i="55"/>
  <c r="DK294" i="55"/>
  <c r="DN228" i="55"/>
  <c r="DK182" i="55"/>
  <c r="DN182" i="55"/>
  <c r="DN196" i="55"/>
  <c r="DK196" i="55"/>
  <c r="DK79" i="55"/>
  <c r="DN79" i="55"/>
  <c r="DW317" i="55"/>
  <c r="BF260" i="55"/>
  <c r="CN260" i="55"/>
  <c r="CN228" i="55"/>
  <c r="BF228" i="55"/>
  <c r="CN212" i="55"/>
  <c r="BF212" i="55"/>
  <c r="CN196" i="55"/>
  <c r="BF196" i="55"/>
  <c r="DT196" i="55" s="1"/>
  <c r="CN180" i="55"/>
  <c r="BF180" i="55"/>
  <c r="CN148" i="55"/>
  <c r="BF148" i="55"/>
  <c r="CN132" i="55"/>
  <c r="BF132" i="55"/>
  <c r="CN100" i="55"/>
  <c r="BF100" i="55"/>
  <c r="CN84" i="55"/>
  <c r="BF84" i="55"/>
  <c r="DT84" i="55" s="1"/>
  <c r="BF4" i="55"/>
  <c r="CN4" i="55"/>
  <c r="GD350" i="55"/>
  <c r="DY350" i="55"/>
  <c r="DZ350" i="55"/>
  <c r="GD334" i="55"/>
  <c r="DY334" i="55"/>
  <c r="DR334" i="55"/>
  <c r="GD318" i="55"/>
  <c r="DY318" i="55"/>
  <c r="DZ318" i="55" s="1"/>
  <c r="DR318" i="55"/>
  <c r="GD302" i="55"/>
  <c r="DY302" i="55"/>
  <c r="DR302" i="55"/>
  <c r="DZ302" i="55"/>
  <c r="GD286" i="55"/>
  <c r="DY286" i="55"/>
  <c r="GD270" i="55"/>
  <c r="DY270" i="55"/>
  <c r="DZ270" i="55" s="1"/>
  <c r="DR270" i="55"/>
  <c r="GD254" i="55"/>
  <c r="DY254" i="55"/>
  <c r="DR254" i="55"/>
  <c r="GD238" i="55"/>
  <c r="DY238" i="55"/>
  <c r="DR238" i="55"/>
  <c r="DZ238" i="55"/>
  <c r="GD222" i="55"/>
  <c r="DY222" i="55"/>
  <c r="DR222" i="55"/>
  <c r="DZ222" i="55"/>
  <c r="GD206" i="55"/>
  <c r="DY206" i="55"/>
  <c r="DZ206" i="55" s="1"/>
  <c r="GD190" i="55"/>
  <c r="DY190" i="55"/>
  <c r="DZ190" i="55" s="1"/>
  <c r="DR190" i="55"/>
  <c r="GD174" i="55"/>
  <c r="DY174" i="55"/>
  <c r="DZ174" i="55" s="1"/>
  <c r="DR174" i="55"/>
  <c r="GD158" i="55"/>
  <c r="DY158" i="55"/>
  <c r="DZ158" i="55" s="1"/>
  <c r="DR158" i="55"/>
  <c r="GD142" i="55"/>
  <c r="DY142" i="55"/>
  <c r="DZ142" i="55" s="1"/>
  <c r="DR142" i="55"/>
  <c r="GD126" i="55"/>
  <c r="DY126" i="55"/>
  <c r="DZ126" i="55" s="1"/>
  <c r="DR126" i="55"/>
  <c r="GD110" i="55"/>
  <c r="DY110" i="55"/>
  <c r="DZ110" i="55" s="1"/>
  <c r="GD94" i="55"/>
  <c r="DY94" i="55"/>
  <c r="DR94" i="55"/>
  <c r="GD78" i="55"/>
  <c r="DY78" i="55"/>
  <c r="DZ78" i="55" s="1"/>
  <c r="DR78" i="55"/>
  <c r="GD62" i="55"/>
  <c r="DY62" i="55"/>
  <c r="GD46" i="55"/>
  <c r="DY46" i="55"/>
  <c r="DR46" i="55"/>
  <c r="GD30" i="55"/>
  <c r="DY30" i="55"/>
  <c r="DZ30" i="55" s="1"/>
  <c r="GD14" i="55"/>
  <c r="DR14" i="55"/>
  <c r="BE121" i="55"/>
  <c r="BF351" i="55"/>
  <c r="CG48" i="55"/>
  <c r="BP302" i="55"/>
  <c r="EB302" i="55" s="1"/>
  <c r="BP286" i="55"/>
  <c r="BR238" i="55"/>
  <c r="EB238" i="55" s="1"/>
  <c r="BR222" i="55"/>
  <c r="BP206" i="55"/>
  <c r="BR158" i="55"/>
  <c r="EB158" i="55" s="1"/>
  <c r="BR142" i="55"/>
  <c r="EB142" i="55" s="1"/>
  <c r="BP46" i="55"/>
  <c r="EB46" i="55" s="1"/>
  <c r="BP30" i="55"/>
  <c r="BU233" i="55"/>
  <c r="CJ185" i="55"/>
  <c r="BT185" i="55"/>
  <c r="CJ153" i="55"/>
  <c r="CJ121" i="55"/>
  <c r="BT121" i="55"/>
  <c r="BU121" i="55"/>
  <c r="CJ89" i="55"/>
  <c r="BU57" i="55"/>
  <c r="BT57" i="55"/>
  <c r="BL317" i="55"/>
  <c r="BL253" i="55"/>
  <c r="BL189" i="55"/>
  <c r="BL125" i="55"/>
  <c r="BL61" i="55"/>
  <c r="BM338" i="55" a="1"/>
  <c r="BM338" i="55" s="1"/>
  <c r="CX338" i="55" s="1"/>
  <c r="BM306" i="55" a="1"/>
  <c r="BM306" i="55" s="1"/>
  <c r="CX306" i="55" s="1"/>
  <c r="BM274" i="55" a="1"/>
  <c r="BM274" i="55" s="1"/>
  <c r="CX274" i="55" s="1"/>
  <c r="BM210" i="55" a="1"/>
  <c r="BM210" i="55" s="1"/>
  <c r="BP153" i="55"/>
  <c r="CJ313" i="55"/>
  <c r="BT313" i="55"/>
  <c r="BT282" i="55"/>
  <c r="BZ333" i="55"/>
  <c r="BZ259" i="55"/>
  <c r="BZ195" i="55"/>
  <c r="CE221" i="55"/>
  <c r="CE157" i="55"/>
  <c r="CF123" i="55"/>
  <c r="CG209" i="55"/>
  <c r="CG126" i="55"/>
  <c r="CJ13" i="55"/>
  <c r="CN68" i="55"/>
  <c r="CP226" i="55"/>
  <c r="CV303" i="55"/>
  <c r="DN348" i="55"/>
  <c r="DK348" i="55"/>
  <c r="DN83" i="55"/>
  <c r="DK83" i="55"/>
  <c r="DK181" i="55"/>
  <c r="DN181" i="55"/>
  <c r="DK306" i="55"/>
  <c r="DN306" i="55"/>
  <c r="DK274" i="55"/>
  <c r="DN274" i="55"/>
  <c r="DN223" i="55"/>
  <c r="DK223" i="55"/>
  <c r="DN118" i="55"/>
  <c r="DK118" i="55"/>
  <c r="DN147" i="55"/>
  <c r="DR350" i="55"/>
  <c r="DR206" i="55"/>
  <c r="DR62" i="55"/>
  <c r="DX34" i="55"/>
  <c r="DX26" i="55"/>
  <c r="EK26" i="55"/>
  <c r="CY26" i="55"/>
  <c r="CY27" i="55" s="1"/>
  <c r="CZ27" i="55" s="1"/>
  <c r="DX18" i="55"/>
  <c r="GK352" i="55"/>
  <c r="GL352" i="55" s="1"/>
  <c r="DW352" i="55"/>
  <c r="DF352" i="55"/>
  <c r="BW352" i="55"/>
  <c r="DW336" i="55"/>
  <c r="DQ336" i="55"/>
  <c r="DF336" i="55"/>
  <c r="CE336" i="55"/>
  <c r="GK320" i="55"/>
  <c r="GL320" i="55" s="1"/>
  <c r="EA320" i="55"/>
  <c r="DW320" i="55"/>
  <c r="GK304" i="55"/>
  <c r="GL304" i="55" s="1"/>
  <c r="EA304" i="55"/>
  <c r="DW304" i="55"/>
  <c r="DF304" i="55"/>
  <c r="CE304" i="55"/>
  <c r="GK288" i="55"/>
  <c r="GL288" i="55" s="1"/>
  <c r="EA288" i="55"/>
  <c r="DW288" i="55"/>
  <c r="DF288" i="55"/>
  <c r="GK272" i="55"/>
  <c r="GL272" i="55" s="1"/>
  <c r="EA272" i="55"/>
  <c r="DW272" i="55"/>
  <c r="DF272" i="55"/>
  <c r="BW272" i="55"/>
  <c r="GK256" i="55"/>
  <c r="GL256" i="55" s="1"/>
  <c r="EA256" i="55"/>
  <c r="DW256" i="55"/>
  <c r="DF256" i="55"/>
  <c r="BW256" i="55"/>
  <c r="CE256" i="55"/>
  <c r="GK240" i="55"/>
  <c r="GL240" i="55" s="1"/>
  <c r="EA240" i="55"/>
  <c r="DF240" i="55"/>
  <c r="DW224" i="55"/>
  <c r="DQ224" i="55"/>
  <c r="DF224" i="55"/>
  <c r="CE224" i="55"/>
  <c r="GK208" i="55"/>
  <c r="GL208" i="55" s="1"/>
  <c r="DF208" i="55"/>
  <c r="DW208" i="55"/>
  <c r="CE208" i="55"/>
  <c r="GK192" i="55"/>
  <c r="GL192" i="55" s="1"/>
  <c r="EA192" i="55"/>
  <c r="DW192" i="55"/>
  <c r="DF192" i="55"/>
  <c r="GK176" i="55"/>
  <c r="GL176" i="55" s="1"/>
  <c r="DF176" i="55"/>
  <c r="EA176" i="55"/>
  <c r="BW176" i="55"/>
  <c r="DW176" i="55"/>
  <c r="GK160" i="55"/>
  <c r="GL160" i="55" s="1"/>
  <c r="EA160" i="55"/>
  <c r="DW160" i="55"/>
  <c r="GK144" i="55"/>
  <c r="GL144" i="55" s="1"/>
  <c r="DW144" i="55"/>
  <c r="EA144" i="55"/>
  <c r="DF144" i="55"/>
  <c r="CE144" i="55"/>
  <c r="BW144" i="55"/>
  <c r="GK128" i="55"/>
  <c r="GL128" i="55" s="1"/>
  <c r="EA128" i="55"/>
  <c r="DW128" i="55"/>
  <c r="CE128" i="55"/>
  <c r="DF128" i="55"/>
  <c r="BW128" i="55"/>
  <c r="GK112" i="55"/>
  <c r="GL112" i="55" s="1"/>
  <c r="EA112" i="55"/>
  <c r="DW112" i="55"/>
  <c r="GK96" i="55"/>
  <c r="GL96" i="55" s="1"/>
  <c r="DF96" i="55"/>
  <c r="EA96" i="55"/>
  <c r="DW96" i="55"/>
  <c r="CE96" i="55"/>
  <c r="GK80" i="55"/>
  <c r="GL80" i="55" s="1"/>
  <c r="DW80" i="55"/>
  <c r="EA80" i="55"/>
  <c r="DF80" i="55"/>
  <c r="BW80" i="55"/>
  <c r="GK64" i="55"/>
  <c r="GL64" i="55" s="1"/>
  <c r="EA64" i="55"/>
  <c r="DF64" i="55"/>
  <c r="DW64" i="55"/>
  <c r="GK48" i="55"/>
  <c r="GL48" i="55" s="1"/>
  <c r="DW48" i="55"/>
  <c r="DF48" i="55"/>
  <c r="CE48" i="55"/>
  <c r="EA48" i="55"/>
  <c r="GK32" i="55"/>
  <c r="GL32" i="55" s="1"/>
  <c r="DW32" i="55"/>
  <c r="EA32" i="55"/>
  <c r="DF32" i="55"/>
  <c r="BW32" i="55"/>
  <c r="DW16" i="55"/>
  <c r="DF16" i="55"/>
  <c r="BW16" i="55"/>
  <c r="CE16" i="55"/>
  <c r="CR338" i="55"/>
  <c r="CU338" i="55"/>
  <c r="CT338" i="55"/>
  <c r="CO338" i="55"/>
  <c r="CQ338" i="55"/>
  <c r="CO322" i="55"/>
  <c r="CP322" i="55"/>
  <c r="CQ306" i="55"/>
  <c r="CT306" i="55"/>
  <c r="CR258" i="55"/>
  <c r="CW258" i="55"/>
  <c r="CU258" i="55"/>
  <c r="CS258" i="55"/>
  <c r="CT258" i="55"/>
  <c r="CV258" i="55"/>
  <c r="CU242" i="55"/>
  <c r="CS242" i="55"/>
  <c r="CV242" i="55"/>
  <c r="CP242" i="55"/>
  <c r="CR210" i="55"/>
  <c r="CU210" i="55"/>
  <c r="CS210" i="55"/>
  <c r="CP210" i="55"/>
  <c r="CT210" i="55"/>
  <c r="CW210" i="55"/>
  <c r="CR194" i="55"/>
  <c r="CT194" i="55"/>
  <c r="CP194" i="55"/>
  <c r="CS194" i="55"/>
  <c r="CR178" i="55"/>
  <c r="CP178" i="55"/>
  <c r="CW178" i="55"/>
  <c r="CS178" i="55"/>
  <c r="CQ178" i="55"/>
  <c r="CT178" i="55"/>
  <c r="CV178" i="55"/>
  <c r="CR162" i="55"/>
  <c r="CV162" i="55"/>
  <c r="CT162" i="55"/>
  <c r="CS162" i="55"/>
  <c r="CP162" i="55"/>
  <c r="CW162" i="55"/>
  <c r="CN146" i="55"/>
  <c r="CV130" i="55"/>
  <c r="CP130" i="55"/>
  <c r="CN114" i="55"/>
  <c r="CN98" i="55"/>
  <c r="CN82" i="55"/>
  <c r="CN66" i="55"/>
  <c r="CN34" i="55"/>
  <c r="CN18" i="55"/>
  <c r="GD348" i="55"/>
  <c r="DR348" i="55"/>
  <c r="DY348" i="55"/>
  <c r="DZ348" i="55" s="1"/>
  <c r="GD332" i="55"/>
  <c r="DR332" i="55"/>
  <c r="DY332" i="55"/>
  <c r="DR316" i="55"/>
  <c r="DY316" i="55"/>
  <c r="DZ316" i="55" s="1"/>
  <c r="DR300" i="55"/>
  <c r="DY300" i="55"/>
  <c r="DZ300" i="55" s="1"/>
  <c r="GD284" i="55"/>
  <c r="DR284" i="55"/>
  <c r="DY284" i="55"/>
  <c r="GD268" i="55"/>
  <c r="DR268" i="55"/>
  <c r="DY268" i="55"/>
  <c r="DR252" i="55"/>
  <c r="DY252" i="55"/>
  <c r="DZ252" i="55" s="1"/>
  <c r="DR236" i="55"/>
  <c r="DY236" i="55"/>
  <c r="GD220" i="55"/>
  <c r="DR220" i="55"/>
  <c r="DY220" i="55"/>
  <c r="GD204" i="55"/>
  <c r="DR204" i="55"/>
  <c r="DY204" i="55"/>
  <c r="GD188" i="55"/>
  <c r="DR188" i="55"/>
  <c r="DY188" i="55"/>
  <c r="GD172" i="55"/>
  <c r="DR172" i="55"/>
  <c r="DY172" i="55"/>
  <c r="GD156" i="55"/>
  <c r="DR156" i="55"/>
  <c r="DY156" i="55"/>
  <c r="GD140" i="55"/>
  <c r="DR140" i="55"/>
  <c r="DY140" i="55"/>
  <c r="DZ140" i="55" s="1"/>
  <c r="GD124" i="55"/>
  <c r="DR124" i="55"/>
  <c r="DY124" i="55"/>
  <c r="GD108" i="55"/>
  <c r="DR108" i="55"/>
  <c r="DY108" i="55"/>
  <c r="GD92" i="55"/>
  <c r="DR92" i="55"/>
  <c r="DY92" i="55"/>
  <c r="DZ92" i="55" s="1"/>
  <c r="GD76" i="55"/>
  <c r="DR76" i="55"/>
  <c r="DY76" i="55"/>
  <c r="GD60" i="55"/>
  <c r="DR60" i="55"/>
  <c r="DY60" i="55"/>
  <c r="GD44" i="55"/>
  <c r="DR44" i="55"/>
  <c r="GD28" i="55"/>
  <c r="DR28" i="55"/>
  <c r="DY28" i="55"/>
  <c r="GD12" i="55"/>
  <c r="DR12" i="55"/>
  <c r="BE153" i="55"/>
  <c r="C153" i="55" s="1"/>
  <c r="BF242" i="55"/>
  <c r="BF114" i="55"/>
  <c r="BP300" i="55"/>
  <c r="BP284" i="55"/>
  <c r="BP108" i="55"/>
  <c r="BP44" i="55"/>
  <c r="BP26" i="55"/>
  <c r="BR9" i="55"/>
  <c r="BP9" i="55"/>
  <c r="CJ263" i="55"/>
  <c r="BU21" i="55"/>
  <c r="BT21" i="55"/>
  <c r="BU5" i="55"/>
  <c r="BT5" i="55"/>
  <c r="BL291" i="55"/>
  <c r="BL227" i="55"/>
  <c r="BL163" i="55"/>
  <c r="BL99" i="55"/>
  <c r="BL35" i="55"/>
  <c r="BM145" i="55" a="1"/>
  <c r="BM145" i="55" s="1"/>
  <c r="BM113" i="55" a="1"/>
  <c r="BM113" i="55" s="1"/>
  <c r="CA113" i="55" s="1"/>
  <c r="BM81" i="55" a="1"/>
  <c r="BM81" i="55" s="1"/>
  <c r="CA81" i="55" s="1"/>
  <c r="BN303" i="55" a="1"/>
  <c r="BN303" i="55" s="1"/>
  <c r="DU303" i="55" s="1"/>
  <c r="BP121" i="55"/>
  <c r="BR26" i="55"/>
  <c r="BT220" i="55"/>
  <c r="BW195" i="55"/>
  <c r="BW99" i="55"/>
  <c r="BW67" i="55"/>
  <c r="BW3" i="55"/>
  <c r="BZ45" i="55"/>
  <c r="CE259" i="55"/>
  <c r="CE189" i="55"/>
  <c r="CF331" i="55"/>
  <c r="CN21" i="55"/>
  <c r="CP79" i="55"/>
  <c r="CU194" i="55"/>
  <c r="DF253" i="55"/>
  <c r="DK291" i="55"/>
  <c r="DN291" i="55"/>
  <c r="DJ216" i="55" a="1"/>
  <c r="DJ216" i="55" s="1"/>
  <c r="DN150" i="55"/>
  <c r="DN28" i="55"/>
  <c r="GK351" i="55"/>
  <c r="GL351" i="55" s="1"/>
  <c r="DW351" i="55"/>
  <c r="DF351" i="55"/>
  <c r="CE351" i="55"/>
  <c r="DF335" i="55"/>
  <c r="DW335" i="55"/>
  <c r="DQ335" i="55"/>
  <c r="CE335" i="55"/>
  <c r="GK319" i="55"/>
  <c r="GL319" i="55" s="1"/>
  <c r="DW319" i="55"/>
  <c r="EA319" i="55"/>
  <c r="CE319" i="55"/>
  <c r="GK303" i="55"/>
  <c r="GL303" i="55" s="1"/>
  <c r="EA303" i="55"/>
  <c r="DW303" i="55"/>
  <c r="CE303" i="55"/>
  <c r="DF303" i="55"/>
  <c r="BW303" i="55"/>
  <c r="GK287" i="55"/>
  <c r="GL287" i="55" s="1"/>
  <c r="EA287" i="55"/>
  <c r="DW287" i="55"/>
  <c r="DF287" i="55"/>
  <c r="CE287" i="55"/>
  <c r="GK271" i="55"/>
  <c r="GL271" i="55" s="1"/>
  <c r="DW271" i="55"/>
  <c r="EA271" i="55"/>
  <c r="DF271" i="55"/>
  <c r="CE271" i="55"/>
  <c r="BW271" i="55"/>
  <c r="GK255" i="55"/>
  <c r="GL255" i="55" s="1"/>
  <c r="EA255" i="55"/>
  <c r="DW255" i="55"/>
  <c r="DF255" i="55"/>
  <c r="CE255" i="55"/>
  <c r="BW255" i="55"/>
  <c r="GK239" i="55"/>
  <c r="GL239" i="55" s="1"/>
  <c r="EA239" i="55"/>
  <c r="DW239" i="55"/>
  <c r="DF239" i="55"/>
  <c r="CE239" i="55"/>
  <c r="BW239" i="55"/>
  <c r="CJ239" i="55" s="1"/>
  <c r="GK223" i="55"/>
  <c r="GL223" i="55" s="1"/>
  <c r="EA223" i="55"/>
  <c r="DW223" i="55"/>
  <c r="DF223" i="55"/>
  <c r="CE223" i="55"/>
  <c r="GK207" i="55"/>
  <c r="GL207" i="55" s="1"/>
  <c r="EA207" i="55"/>
  <c r="DW207" i="55"/>
  <c r="DF207" i="55"/>
  <c r="CE207" i="55"/>
  <c r="BW207" i="55"/>
  <c r="GK191" i="55"/>
  <c r="GL191" i="55" s="1"/>
  <c r="DW191" i="55"/>
  <c r="EA191" i="55"/>
  <c r="CE191" i="55"/>
  <c r="DF191" i="55"/>
  <c r="GK175" i="55"/>
  <c r="GL175" i="55" s="1"/>
  <c r="DW175" i="55"/>
  <c r="DF175" i="55"/>
  <c r="EA175" i="55"/>
  <c r="CE175" i="55"/>
  <c r="BW175" i="55"/>
  <c r="GK159" i="55"/>
  <c r="GL159" i="55" s="1"/>
  <c r="EA159" i="55"/>
  <c r="DF159" i="55"/>
  <c r="CE159" i="55"/>
  <c r="DW159" i="55"/>
  <c r="GK143" i="55"/>
  <c r="GL143" i="55" s="1"/>
  <c r="EA143" i="55"/>
  <c r="DW143" i="55"/>
  <c r="CE143" i="55"/>
  <c r="DF143" i="55"/>
  <c r="GK127" i="55"/>
  <c r="GL127" i="55" s="1"/>
  <c r="EA127" i="55"/>
  <c r="DW127" i="55"/>
  <c r="BW127" i="55"/>
  <c r="DF127" i="55"/>
  <c r="GK111" i="55"/>
  <c r="GL111" i="55" s="1"/>
  <c r="EA111" i="55"/>
  <c r="DF111" i="55"/>
  <c r="BW111" i="55"/>
  <c r="GK95" i="55"/>
  <c r="GL95" i="55" s="1"/>
  <c r="EA95" i="55"/>
  <c r="DF95" i="55"/>
  <c r="CE95" i="55"/>
  <c r="GK79" i="55"/>
  <c r="GL79" i="55" s="1"/>
  <c r="DF79" i="55"/>
  <c r="EA79" i="55"/>
  <c r="DW79" i="55"/>
  <c r="BW79" i="55"/>
  <c r="CI79" i="55" s="1"/>
  <c r="GK63" i="55"/>
  <c r="GL63" i="55" s="1"/>
  <c r="DW63" i="55"/>
  <c r="EA63" i="55"/>
  <c r="CE63" i="55"/>
  <c r="DF63" i="55"/>
  <c r="GK47" i="55"/>
  <c r="GL47" i="55" s="1"/>
  <c r="DW47" i="55"/>
  <c r="DF47" i="55"/>
  <c r="EA47" i="55"/>
  <c r="CE47" i="55"/>
  <c r="DW31" i="55"/>
  <c r="DQ31" i="55"/>
  <c r="DF31" i="55"/>
  <c r="GK15" i="55"/>
  <c r="GL15" i="55" s="1"/>
  <c r="DW15" i="55"/>
  <c r="DF15" i="55"/>
  <c r="EA15" i="55"/>
  <c r="CN337" i="55"/>
  <c r="CN305" i="55"/>
  <c r="BC20" i="54" s="1"/>
  <c r="CN289" i="55"/>
  <c r="CN273" i="55"/>
  <c r="CN257" i="55"/>
  <c r="CN241" i="55"/>
  <c r="BM241" i="55" s="1" a="1"/>
  <c r="BM241" i="55" s="1"/>
  <c r="CA241" i="55" s="1"/>
  <c r="CN225" i="55"/>
  <c r="CN209" i="55"/>
  <c r="CN193" i="55"/>
  <c r="CN177" i="55"/>
  <c r="CN161" i="55"/>
  <c r="CV145" i="55"/>
  <c r="CT145" i="55"/>
  <c r="CR145" i="55"/>
  <c r="CP145" i="55"/>
  <c r="CU145" i="55"/>
  <c r="CO145" i="55"/>
  <c r="CS145" i="55" s="1"/>
  <c r="CN129" i="55"/>
  <c r="CV113" i="55"/>
  <c r="CT113" i="55"/>
  <c r="CR113" i="55"/>
  <c r="CU113" i="55"/>
  <c r="CO113" i="55"/>
  <c r="CP113" i="55"/>
  <c r="CV81" i="55"/>
  <c r="CO81" i="55"/>
  <c r="CS81" i="55" s="1"/>
  <c r="CQ81" i="55"/>
  <c r="CT81" i="55"/>
  <c r="CT49" i="55"/>
  <c r="CQ49" i="55"/>
  <c r="CV49" i="55"/>
  <c r="CU49" i="55"/>
  <c r="CS49" i="55"/>
  <c r="CS33" i="55"/>
  <c r="CP33" i="55"/>
  <c r="CT33" i="55"/>
  <c r="CU33" i="55"/>
  <c r="CW33" i="55"/>
  <c r="CW17" i="55"/>
  <c r="CU17" i="55"/>
  <c r="CS17" i="55"/>
  <c r="CO17" i="55"/>
  <c r="CV17" i="55"/>
  <c r="CP17" i="55"/>
  <c r="GD347" i="55"/>
  <c r="DY347" i="55"/>
  <c r="DZ347" i="55" s="1"/>
  <c r="DR347" i="55"/>
  <c r="GD331" i="55"/>
  <c r="DY331" i="55"/>
  <c r="DR331" i="55"/>
  <c r="GD315" i="55"/>
  <c r="DR315" i="55"/>
  <c r="DY315" i="55"/>
  <c r="GD299" i="55"/>
  <c r="DR299" i="55"/>
  <c r="DY299" i="55"/>
  <c r="GD283" i="55"/>
  <c r="DR283" i="55"/>
  <c r="DY283" i="55"/>
  <c r="DZ283" i="55" s="1"/>
  <c r="GD267" i="55"/>
  <c r="DZ267" i="55"/>
  <c r="GD251" i="55"/>
  <c r="DY251" i="55"/>
  <c r="DZ251" i="55" s="1"/>
  <c r="DR251" i="55"/>
  <c r="GD235" i="55"/>
  <c r="DZ235" i="55"/>
  <c r="DR235" i="55"/>
  <c r="GD219" i="55"/>
  <c r="DY219" i="55"/>
  <c r="DR219" i="55"/>
  <c r="DZ219" i="55"/>
  <c r="GD203" i="55"/>
  <c r="DY203" i="55"/>
  <c r="DZ203" i="55" s="1"/>
  <c r="DR203" i="55"/>
  <c r="GD187" i="55"/>
  <c r="DY187" i="55"/>
  <c r="DR187" i="55"/>
  <c r="DZ187" i="55"/>
  <c r="DY171" i="55"/>
  <c r="DZ171" i="55" s="1"/>
  <c r="DR171" i="55"/>
  <c r="DR155" i="55"/>
  <c r="DY155" i="55"/>
  <c r="DZ155" i="55" s="1"/>
  <c r="GD139" i="55"/>
  <c r="DR139" i="55"/>
  <c r="DY139" i="55"/>
  <c r="DZ139" i="55" s="1"/>
  <c r="GD123" i="55"/>
  <c r="DY123" i="55"/>
  <c r="DZ123" i="55" s="1"/>
  <c r="DR123" i="55"/>
  <c r="GD107" i="55"/>
  <c r="DZ107" i="55"/>
  <c r="DR107" i="55"/>
  <c r="DY91" i="55"/>
  <c r="DZ91" i="55" s="1"/>
  <c r="DR91" i="55"/>
  <c r="DZ75" i="55"/>
  <c r="DY75" i="55"/>
  <c r="DR75" i="55"/>
  <c r="GD59" i="55"/>
  <c r="DY59" i="55"/>
  <c r="DR59" i="55"/>
  <c r="GD43" i="55"/>
  <c r="DR43" i="55"/>
  <c r="GD27" i="55"/>
  <c r="DR27" i="55"/>
  <c r="DY27" i="55"/>
  <c r="GD11" i="55"/>
  <c r="DR11" i="55"/>
  <c r="BE345" i="55"/>
  <c r="C345" i="55" s="1"/>
  <c r="BE329" i="55"/>
  <c r="BE313" i="55"/>
  <c r="C313" i="55" s="1"/>
  <c r="BE297" i="55"/>
  <c r="C297" i="55" s="1"/>
  <c r="BE281" i="55"/>
  <c r="BE265" i="55"/>
  <c r="BE249" i="55"/>
  <c r="C249" i="55" s="1"/>
  <c r="BE233" i="55"/>
  <c r="BE217" i="55"/>
  <c r="BE201" i="55"/>
  <c r="C201" i="55" s="1"/>
  <c r="BE185" i="55"/>
  <c r="C185" i="55" s="1"/>
  <c r="BE169" i="55"/>
  <c r="BE15" i="55"/>
  <c r="C15" i="55" s="1"/>
  <c r="BF261" i="55"/>
  <c r="DT261" i="55" s="1"/>
  <c r="BF241" i="55"/>
  <c r="DT241" i="55" s="1"/>
  <c r="BF223" i="55"/>
  <c r="CT223" i="55" s="1"/>
  <c r="BF133" i="55"/>
  <c r="DT133" i="55" s="1"/>
  <c r="BF113" i="55"/>
  <c r="CW113" i="55" s="1"/>
  <c r="BF95" i="55"/>
  <c r="CG333" i="55"/>
  <c r="CJ342" i="55"/>
  <c r="BT342" i="55"/>
  <c r="CJ214" i="55"/>
  <c r="BT214" i="55"/>
  <c r="BT20" i="55"/>
  <c r="CJ20" i="55"/>
  <c r="BP41" i="55"/>
  <c r="BU313" i="55"/>
  <c r="BW31" i="55"/>
  <c r="BZ221" i="55"/>
  <c r="CE64" i="55"/>
  <c r="CJ5" i="55"/>
  <c r="CN116" i="55"/>
  <c r="CN20" i="55"/>
  <c r="CU306" i="55"/>
  <c r="CW335" i="55"/>
  <c r="CW145" i="55"/>
  <c r="CW31" i="55"/>
  <c r="BB22" i="54"/>
  <c r="BD22" i="54"/>
  <c r="BC22" i="54"/>
  <c r="DF163" i="55"/>
  <c r="DK327" i="55"/>
  <c r="DN327" i="55"/>
  <c r="DJ289" i="55" a="1"/>
  <c r="DJ289" i="55" s="1"/>
  <c r="DJ249" i="55" a="1"/>
  <c r="DJ249" i="55" s="1"/>
  <c r="DK215" i="55"/>
  <c r="DN176" i="55"/>
  <c r="DK176" i="55"/>
  <c r="DK127" i="55"/>
  <c r="DN127" i="55"/>
  <c r="DR329" i="55"/>
  <c r="DW93" i="55"/>
  <c r="DV351" i="55"/>
  <c r="CZ335" i="55"/>
  <c r="DV335" i="55"/>
  <c r="DV303" i="55"/>
  <c r="DV287" i="55"/>
  <c r="BZ287" i="55"/>
  <c r="DV255" i="55"/>
  <c r="DV239" i="55"/>
  <c r="DV223" i="55"/>
  <c r="BZ207" i="55"/>
  <c r="DV191" i="55"/>
  <c r="BZ191" i="55"/>
  <c r="DV159" i="55"/>
  <c r="DV127" i="55"/>
  <c r="DV111" i="55"/>
  <c r="BZ111" i="55"/>
  <c r="DV95" i="55"/>
  <c r="DV63" i="55"/>
  <c r="DV47" i="55"/>
  <c r="CZ15" i="55"/>
  <c r="DV15" i="55"/>
  <c r="CF349" i="55"/>
  <c r="CG285" i="55"/>
  <c r="CF253" i="55"/>
  <c r="CG237" i="55"/>
  <c r="CG189" i="55"/>
  <c r="CG141" i="55"/>
  <c r="CG93" i="55"/>
  <c r="CF45" i="55"/>
  <c r="CG45" i="55" s="1"/>
  <c r="BR347" i="55"/>
  <c r="EB347" i="55" s="1"/>
  <c r="BR331" i="55"/>
  <c r="EB331" i="55" s="1"/>
  <c r="BR315" i="55"/>
  <c r="BR299" i="55"/>
  <c r="EB299" i="55" s="1"/>
  <c r="BR283" i="55"/>
  <c r="BR267" i="55"/>
  <c r="EB267" i="55" s="1"/>
  <c r="BR251" i="55"/>
  <c r="EB251" i="55" s="1"/>
  <c r="BR235" i="55"/>
  <c r="EB235" i="55" s="1"/>
  <c r="BR219" i="55"/>
  <c r="EB219" i="55" s="1"/>
  <c r="BR203" i="55"/>
  <c r="BR187" i="55"/>
  <c r="BR171" i="55"/>
  <c r="BR155" i="55"/>
  <c r="EB155" i="55" s="1"/>
  <c r="BR139" i="55"/>
  <c r="EB139" i="55" s="1"/>
  <c r="BR123" i="55"/>
  <c r="BR107" i="55"/>
  <c r="BR91" i="55"/>
  <c r="EB91" i="55" s="1"/>
  <c r="BR75" i="55"/>
  <c r="EB75" i="55" s="1"/>
  <c r="BR59" i="55"/>
  <c r="EB59" i="55" s="1"/>
  <c r="BR43" i="55"/>
  <c r="EB43" i="55" s="1"/>
  <c r="BP222" i="55"/>
  <c r="BP123" i="55"/>
  <c r="BZ290" i="55"/>
  <c r="BZ79" i="55"/>
  <c r="DV79" i="55"/>
  <c r="DV147" i="55"/>
  <c r="BZ147" i="55"/>
  <c r="CZ131" i="55"/>
  <c r="DV131" i="55"/>
  <c r="BZ131" i="55"/>
  <c r="DV99" i="55"/>
  <c r="DV67" i="55"/>
  <c r="DV51" i="55"/>
  <c r="BZ51" i="55"/>
  <c r="CG337" i="55"/>
  <c r="CG289" i="55"/>
  <c r="CF241" i="55"/>
  <c r="CG241" i="55" s="1"/>
  <c r="CG193" i="55"/>
  <c r="CG177" i="55"/>
  <c r="CF177" i="55"/>
  <c r="CF33" i="55"/>
  <c r="BP351" i="55"/>
  <c r="EB351" i="55" s="1"/>
  <c r="BP335" i="55"/>
  <c r="EB335" i="55" s="1"/>
  <c r="BP319" i="55"/>
  <c r="BP303" i="55"/>
  <c r="EB303" i="55" s="1"/>
  <c r="BP287" i="55"/>
  <c r="EB287" i="55" s="1"/>
  <c r="BP271" i="55"/>
  <c r="EB271" i="55" s="1"/>
  <c r="BP255" i="55"/>
  <c r="EB255" i="55" s="1"/>
  <c r="BP239" i="55"/>
  <c r="EB239" i="55" s="1"/>
  <c r="BP223" i="55"/>
  <c r="EB223" i="55" s="1"/>
  <c r="BP207" i="55"/>
  <c r="EB207" i="55" s="1"/>
  <c r="BP191" i="55"/>
  <c r="EB191" i="55" s="1"/>
  <c r="BP175" i="55"/>
  <c r="EB175" i="55" s="1"/>
  <c r="BP159" i="55"/>
  <c r="BP143" i="55"/>
  <c r="BP127" i="55"/>
  <c r="EB127" i="55" s="1"/>
  <c r="BP111" i="55"/>
  <c r="EB111" i="55" s="1"/>
  <c r="BP95" i="55"/>
  <c r="EB95" i="55" s="1"/>
  <c r="BP79" i="55"/>
  <c r="EB79" i="55" s="1"/>
  <c r="BP63" i="55"/>
  <c r="BP47" i="55"/>
  <c r="EB47" i="55" s="1"/>
  <c r="BP31" i="55"/>
  <c r="EB31" i="55" s="1"/>
  <c r="BP15" i="55"/>
  <c r="EB15" i="55" s="1"/>
  <c r="CJ349" i="55"/>
  <c r="CJ333" i="55"/>
  <c r="CJ317" i="55"/>
  <c r="CJ253" i="55"/>
  <c r="CJ205" i="55"/>
  <c r="CJ189" i="55"/>
  <c r="CJ109" i="55"/>
  <c r="BU109" i="55"/>
  <c r="BU93" i="55"/>
  <c r="CJ77" i="55"/>
  <c r="CJ45" i="55"/>
  <c r="BP187" i="55"/>
  <c r="BR143" i="55"/>
  <c r="BU125" i="55"/>
  <c r="BU29" i="55"/>
  <c r="BZ271" i="55"/>
  <c r="BZ192" i="55"/>
  <c r="CG273" i="55"/>
  <c r="CG206" i="55"/>
  <c r="CG176" i="55"/>
  <c r="CG109" i="55"/>
  <c r="CG80" i="55"/>
  <c r="CJ173" i="55"/>
  <c r="CZ3" i="55"/>
  <c r="BD26" i="54"/>
  <c r="BC23" i="54"/>
  <c r="BD23" i="54"/>
  <c r="DN349" i="55"/>
  <c r="DK314" i="55"/>
  <c r="DJ152" i="55" a="1"/>
  <c r="DJ152" i="55" s="1"/>
  <c r="DN101" i="55"/>
  <c r="DK101" i="55"/>
  <c r="DJ312" i="55" a="1"/>
  <c r="DJ312" i="55" s="1"/>
  <c r="DK311" i="55"/>
  <c r="DN311" i="55"/>
  <c r="DN108" i="55"/>
  <c r="DV338" i="55"/>
  <c r="DV306" i="55"/>
  <c r="BZ306" i="55"/>
  <c r="CZ274" i="55"/>
  <c r="DV274" i="55"/>
  <c r="DV258" i="55"/>
  <c r="DV242" i="55"/>
  <c r="DV226" i="55"/>
  <c r="BZ226" i="55"/>
  <c r="DV210" i="55"/>
  <c r="BZ210" i="55"/>
  <c r="DV194" i="55"/>
  <c r="DV178" i="55"/>
  <c r="DV162" i="55"/>
  <c r="DV146" i="55"/>
  <c r="CZ130" i="55"/>
  <c r="DV130" i="55"/>
  <c r="BZ130" i="55"/>
  <c r="DV114" i="55"/>
  <c r="DV98" i="55"/>
  <c r="CZ82" i="55"/>
  <c r="DV82" i="55"/>
  <c r="DV66" i="55"/>
  <c r="DV50" i="55"/>
  <c r="BZ50" i="55"/>
  <c r="DV18" i="55"/>
  <c r="CF336" i="55"/>
  <c r="CG336" i="55" s="1"/>
  <c r="CG288" i="55"/>
  <c r="CG256" i="55"/>
  <c r="CG192" i="55"/>
  <c r="CG96" i="55"/>
  <c r="CG16" i="55"/>
  <c r="CJ156" i="55"/>
  <c r="CJ124" i="55"/>
  <c r="CJ108" i="55"/>
  <c r="BU108" i="55"/>
  <c r="CJ92" i="55"/>
  <c r="BU92" i="55"/>
  <c r="CJ60" i="55"/>
  <c r="CJ44" i="55"/>
  <c r="BP107" i="55"/>
  <c r="BR319" i="55"/>
  <c r="BR63" i="55"/>
  <c r="BT333" i="55"/>
  <c r="BT205" i="55"/>
  <c r="BT141" i="55"/>
  <c r="BT77" i="55"/>
  <c r="BU124" i="55"/>
  <c r="BX50" i="55"/>
  <c r="BY50" i="55"/>
  <c r="BZ319" i="55"/>
  <c r="BZ82" i="55"/>
  <c r="BZ3" i="55"/>
  <c r="CF272" i="55"/>
  <c r="CG302" i="55"/>
  <c r="CG205" i="55"/>
  <c r="CG78" i="55"/>
  <c r="CJ172" i="55"/>
  <c r="DJ296" i="55" a="1"/>
  <c r="DJ296" i="55" s="1"/>
  <c r="DJ280" i="55" a="1"/>
  <c r="DJ280" i="55" s="1"/>
  <c r="DN167" i="55"/>
  <c r="DK167" i="55"/>
  <c r="DK135" i="55"/>
  <c r="DK346" i="55"/>
  <c r="DN346" i="55"/>
  <c r="DN244" i="55"/>
  <c r="DK244" i="55"/>
  <c r="DN82" i="55"/>
  <c r="DK82" i="55"/>
  <c r="DK66" i="55"/>
  <c r="DN66" i="55"/>
  <c r="DK310" i="55"/>
  <c r="DK277" i="55"/>
  <c r="DV352" i="55"/>
  <c r="DV336" i="55"/>
  <c r="CZ336" i="55"/>
  <c r="DV320" i="55"/>
  <c r="DV288" i="55"/>
  <c r="BZ288" i="55"/>
  <c r="DV272" i="55"/>
  <c r="DV256" i="55"/>
  <c r="DV208" i="55"/>
  <c r="BZ208" i="55"/>
  <c r="DV176" i="55"/>
  <c r="DV128" i="55"/>
  <c r="BZ128" i="55"/>
  <c r="DV112" i="55"/>
  <c r="BZ112" i="55"/>
  <c r="DV96" i="55"/>
  <c r="DV48" i="55"/>
  <c r="DV32" i="55"/>
  <c r="BZ32" i="55"/>
  <c r="CF334" i="55"/>
  <c r="CG334" i="55"/>
  <c r="CG286" i="55"/>
  <c r="CF238" i="55"/>
  <c r="CG238" i="55" s="1"/>
  <c r="CG190" i="55"/>
  <c r="CG174" i="55"/>
  <c r="CF158" i="55"/>
  <c r="CG158" i="55" s="1"/>
  <c r="CG142" i="55"/>
  <c r="CG94" i="55"/>
  <c r="CG46" i="55"/>
  <c r="CG14" i="55"/>
  <c r="BR348" i="55"/>
  <c r="EB348" i="55" s="1"/>
  <c r="BR332" i="55"/>
  <c r="BR316" i="55"/>
  <c r="EB316" i="55" s="1"/>
  <c r="BR300" i="55"/>
  <c r="BR284" i="55"/>
  <c r="BR268" i="55"/>
  <c r="EB268" i="55" s="1"/>
  <c r="BR252" i="55"/>
  <c r="EB252" i="55" s="1"/>
  <c r="BR236" i="55"/>
  <c r="EB236" i="55" s="1"/>
  <c r="BR220" i="55"/>
  <c r="EB220" i="55" s="1"/>
  <c r="BR204" i="55"/>
  <c r="EB204" i="55" s="1"/>
  <c r="BR188" i="55"/>
  <c r="EB188" i="55" s="1"/>
  <c r="BR172" i="55"/>
  <c r="EB172" i="55" s="1"/>
  <c r="BR156" i="55"/>
  <c r="EB156" i="55" s="1"/>
  <c r="BR140" i="55"/>
  <c r="EB140" i="55" s="1"/>
  <c r="BR124" i="55"/>
  <c r="BR108" i="55"/>
  <c r="BR92" i="55"/>
  <c r="EB92" i="55" s="1"/>
  <c r="BR76" i="55"/>
  <c r="EB76" i="55" s="1"/>
  <c r="BR60" i="55"/>
  <c r="EB60" i="55" s="1"/>
  <c r="BR44" i="55"/>
  <c r="BR12" i="55"/>
  <c r="EB12" i="55" s="1"/>
  <c r="BP203" i="55"/>
  <c r="BP124" i="55"/>
  <c r="BR159" i="55"/>
  <c r="BU317" i="55"/>
  <c r="BU253" i="55"/>
  <c r="BU189" i="55"/>
  <c r="BU76" i="55"/>
  <c r="BY224" i="55"/>
  <c r="BX224" i="55"/>
  <c r="BZ159" i="55"/>
  <c r="CB159" i="55" s="1"/>
  <c r="CC159" i="55" s="1"/>
  <c r="BZ80" i="55"/>
  <c r="CF337" i="55"/>
  <c r="CF270" i="55"/>
  <c r="CF240" i="55"/>
  <c r="CG240" i="55" s="1"/>
  <c r="CF144" i="55"/>
  <c r="CF112" i="55"/>
  <c r="BD16" i="54"/>
  <c r="DJ200" i="55" a="1"/>
  <c r="DJ200" i="55" s="1"/>
  <c r="DK307" i="55"/>
  <c r="DN229" i="55"/>
  <c r="DV175" i="55"/>
  <c r="DV80" i="55"/>
  <c r="DN183" i="55"/>
  <c r="DK183" i="55"/>
  <c r="BY31" i="55"/>
  <c r="DN62" i="55"/>
  <c r="DN340" i="55"/>
  <c r="DK340" i="55"/>
  <c r="DJ264" i="55" a="1"/>
  <c r="DJ264" i="55" s="1"/>
  <c r="DN231" i="55"/>
  <c r="DK231" i="55"/>
  <c r="DJ56" i="55" a="1"/>
  <c r="DJ56" i="55" s="1"/>
  <c r="BY301" i="55"/>
  <c r="BY285" i="55"/>
  <c r="DJ290" i="55" a="1"/>
  <c r="DJ290" i="55" s="1"/>
  <c r="DJ242" i="55" a="1"/>
  <c r="DJ242" i="55" s="1"/>
  <c r="DJ226" i="55" a="1"/>
  <c r="DJ226" i="55" s="1"/>
  <c r="DJ210" i="55" a="1"/>
  <c r="DJ210" i="55" s="1"/>
  <c r="DJ194" i="55" a="1"/>
  <c r="DJ194" i="55" s="1"/>
  <c r="DJ145" i="55" a="1"/>
  <c r="DJ145" i="55" s="1"/>
  <c r="DK111" i="55"/>
  <c r="DN61" i="55"/>
  <c r="DK263" i="55"/>
  <c r="DN263" i="55"/>
  <c r="DN230" i="55"/>
  <c r="DK230" i="55"/>
  <c r="DK55" i="55"/>
  <c r="DN55" i="55"/>
  <c r="DK293" i="55"/>
  <c r="DN261" i="55"/>
  <c r="DK261" i="55"/>
  <c r="DN132" i="55"/>
  <c r="DK132" i="55"/>
  <c r="DJ257" i="55" a="1"/>
  <c r="DJ257" i="55" s="1"/>
  <c r="DK110" i="55"/>
  <c r="DN110" i="55"/>
  <c r="DJ328" i="55" a="1"/>
  <c r="DJ328" i="55" s="1"/>
  <c r="DN292" i="55"/>
  <c r="DJ338" i="55" a="1"/>
  <c r="DJ338" i="55" s="1"/>
  <c r="DN303" i="55"/>
  <c r="DK255" i="55"/>
  <c r="DN255" i="55"/>
  <c r="DK108" i="55"/>
  <c r="DK74" i="55"/>
  <c r="DJ265" i="55" a="1"/>
  <c r="DJ265" i="55" s="1"/>
  <c r="DJ199" i="55" a="1"/>
  <c r="DJ199" i="55" s="1"/>
  <c r="DN74" i="55"/>
  <c r="DJ345" i="55" a="1"/>
  <c r="DJ345" i="55" s="1"/>
  <c r="DK89" i="55"/>
  <c r="DN63" i="55"/>
  <c r="DN275" i="55"/>
  <c r="DK275" i="55"/>
  <c r="DN212" i="55"/>
  <c r="DK149" i="55"/>
  <c r="DJ344" i="55" a="1"/>
  <c r="DJ344" i="55" s="1"/>
  <c r="DN121" i="55"/>
  <c r="DK121" i="55"/>
  <c r="DN57" i="55"/>
  <c r="DK57" i="55"/>
  <c r="DN211" i="55"/>
  <c r="DN89" i="55"/>
  <c r="DJ273" i="55" a="1"/>
  <c r="DJ273" i="55" s="1"/>
  <c r="DJ209" i="55" a="1"/>
  <c r="DJ209" i="55" s="1"/>
  <c r="DJ201" i="55" a="1"/>
  <c r="DJ201" i="55" s="1"/>
  <c r="DN227" i="55"/>
  <c r="DK303" i="55"/>
  <c r="DK86" i="55"/>
  <c r="GF38" i="55"/>
  <c r="DN276" i="55"/>
  <c r="DN163" i="55"/>
  <c r="GF48" i="55"/>
  <c r="GF32" i="55"/>
  <c r="GN25" i="55"/>
  <c r="EQ25" i="55"/>
  <c r="GN9" i="55"/>
  <c r="EQ9" i="55"/>
  <c r="GT227" i="55"/>
  <c r="DN308" i="55"/>
  <c r="DK308" i="55"/>
  <c r="BD25" i="54"/>
  <c r="BC25" i="54"/>
  <c r="DK326" i="55"/>
  <c r="DN326" i="55"/>
  <c r="DJ136" i="55" a="1"/>
  <c r="DJ136" i="55" s="1"/>
  <c r="GN43" i="55"/>
  <c r="EQ43" i="55"/>
  <c r="DJ178" i="55" a="1"/>
  <c r="DJ178" i="55" s="1"/>
  <c r="DJ146" i="55" a="1"/>
  <c r="DJ146" i="55" s="1"/>
  <c r="DN84" i="55"/>
  <c r="DK166" i="55"/>
  <c r="AE3" i="57" a="1"/>
  <c r="AE3" i="57" s="1"/>
  <c r="DJ162" i="55" a="1"/>
  <c r="DJ162" i="55" s="1"/>
  <c r="DN80" i="55"/>
  <c r="GF283" i="55"/>
  <c r="EK283" i="55"/>
  <c r="GT350" i="55"/>
  <c r="GT334" i="55"/>
  <c r="GT318" i="55"/>
  <c r="GT302" i="55"/>
  <c r="GT286" i="55"/>
  <c r="GT270" i="55"/>
  <c r="GT254" i="55"/>
  <c r="GT238" i="55"/>
  <c r="GT222" i="55"/>
  <c r="GT206" i="55"/>
  <c r="GT190" i="55"/>
  <c r="GT174" i="55"/>
  <c r="GT158" i="55"/>
  <c r="GT142" i="55"/>
  <c r="GT126" i="55"/>
  <c r="GT110" i="55"/>
  <c r="GT94" i="55"/>
  <c r="GT78" i="55"/>
  <c r="GT62" i="55"/>
  <c r="GT46" i="55"/>
  <c r="GT30" i="55"/>
  <c r="GT340" i="55"/>
  <c r="GT255" i="55"/>
  <c r="DK80" i="55"/>
  <c r="GF43" i="55"/>
  <c r="DJ98" i="55" a="1"/>
  <c r="DJ98" i="55" s="1"/>
  <c r="DJ281" i="55" a="1"/>
  <c r="DJ281" i="55" s="1"/>
  <c r="DJ71" i="55" a="1"/>
  <c r="DJ71" i="55" s="1"/>
  <c r="BD24" i="54"/>
  <c r="BC24" i="54"/>
  <c r="BB24" i="54"/>
  <c r="DJ153" i="55" a="1"/>
  <c r="DJ153" i="55" s="1"/>
  <c r="GF336" i="55"/>
  <c r="EK336" i="55"/>
  <c r="BD21" i="54"/>
  <c r="BB21" i="54"/>
  <c r="BC21" i="54"/>
  <c r="GT85" i="55"/>
  <c r="GT38" i="55"/>
  <c r="GN341" i="55"/>
  <c r="EQ341" i="55"/>
  <c r="GT141" i="55"/>
  <c r="GT349" i="55"/>
  <c r="GT317" i="55"/>
  <c r="ET317" i="55"/>
  <c r="GT301" i="55"/>
  <c r="GT285" i="55"/>
  <c r="GT269" i="55"/>
  <c r="GT237" i="55"/>
  <c r="GT221" i="55"/>
  <c r="GT205" i="55"/>
  <c r="GT189" i="55"/>
  <c r="GT173" i="55"/>
  <c r="GT157" i="55"/>
  <c r="GT125" i="55"/>
  <c r="GT109" i="55"/>
  <c r="GT93" i="55"/>
  <c r="GT77" i="55"/>
  <c r="GT61" i="55"/>
  <c r="GT45" i="55"/>
  <c r="GT29" i="55"/>
  <c r="GT13" i="55"/>
  <c r="GT339" i="55"/>
  <c r="GT207" i="55"/>
  <c r="GT344" i="55"/>
  <c r="GT86" i="55"/>
  <c r="GT39" i="55"/>
  <c r="GT84" i="55"/>
  <c r="GT136" i="55"/>
  <c r="GT83" i="55"/>
  <c r="GT223" i="55"/>
  <c r="GT191" i="55"/>
  <c r="GT111" i="55"/>
  <c r="GT293" i="55"/>
  <c r="GT257" i="55"/>
  <c r="EQ46" i="55"/>
  <c r="GT327" i="55"/>
  <c r="GT295" i="55"/>
  <c r="GT231" i="55"/>
  <c r="GT151" i="55"/>
  <c r="GT119" i="55"/>
  <c r="GT87" i="55"/>
  <c r="GT55" i="55"/>
  <c r="GT135" i="55"/>
  <c r="GT134" i="55"/>
  <c r="GT180" i="55"/>
  <c r="GF317" i="55"/>
  <c r="EK317" i="55"/>
  <c r="GF49" i="55"/>
  <c r="GF33" i="55"/>
  <c r="GT309" i="55"/>
  <c r="GT261" i="55"/>
  <c r="GT117" i="55"/>
  <c r="GT104" i="55"/>
  <c r="GF26" i="55"/>
  <c r="EL26" i="55"/>
  <c r="EM26" i="55" s="1"/>
  <c r="GF10" i="55"/>
  <c r="GN11" i="55"/>
  <c r="EQ11" i="55"/>
  <c r="ET342" i="55"/>
  <c r="GF6" i="55"/>
  <c r="EL330" i="55"/>
  <c r="EM330" i="55" s="1"/>
  <c r="GN24" i="55"/>
  <c r="EQ24" i="55"/>
  <c r="GN8" i="55"/>
  <c r="EQ8" i="55"/>
  <c r="GT326" i="55"/>
  <c r="ET326" i="55"/>
  <c r="ET327" i="55" s="1"/>
  <c r="GT294" i="55"/>
  <c r="GT214" i="55"/>
  <c r="GT118" i="55"/>
  <c r="GT70" i="55"/>
  <c r="GT22" i="55"/>
  <c r="GT277" i="55"/>
  <c r="GT163" i="55"/>
  <c r="GF129" i="55"/>
  <c r="GF21" i="55"/>
  <c r="GN41" i="55"/>
  <c r="EQ41" i="55"/>
  <c r="GN23" i="55"/>
  <c r="EQ23" i="55"/>
  <c r="GN7" i="55"/>
  <c r="EQ7" i="55"/>
  <c r="GT312" i="55"/>
  <c r="GT276" i="55"/>
  <c r="GT71" i="55"/>
  <c r="GF4" i="55"/>
  <c r="EK4" i="55"/>
  <c r="EL4" i="55" s="1"/>
  <c r="EM4" i="55" s="1"/>
  <c r="GN330" i="55"/>
  <c r="EQ330" i="55"/>
  <c r="GN40" i="55"/>
  <c r="EQ40" i="55"/>
  <c r="GT196" i="55"/>
  <c r="GT164" i="55"/>
  <c r="GT148" i="55"/>
  <c r="GT132" i="55"/>
  <c r="GT116" i="55"/>
  <c r="GT311" i="55"/>
  <c r="GT275" i="55"/>
  <c r="GT197" i="55"/>
  <c r="GT33" i="55"/>
  <c r="GF325" i="55"/>
  <c r="EK325" i="55"/>
  <c r="GF224" i="55"/>
  <c r="EK224" i="55"/>
  <c r="EL224" i="55" s="1"/>
  <c r="EM224" i="55" s="1"/>
  <c r="GT310" i="55"/>
  <c r="GT274" i="55"/>
  <c r="BB18" i="54"/>
  <c r="BC14" i="54"/>
  <c r="BD14" i="54"/>
  <c r="GF53" i="55"/>
  <c r="EK53" i="55"/>
  <c r="GF17" i="55"/>
  <c r="GN224" i="55"/>
  <c r="EQ224" i="55"/>
  <c r="GT305" i="55"/>
  <c r="GT273" i="55"/>
  <c r="GT241" i="55"/>
  <c r="GT343" i="55"/>
  <c r="GT308" i="55"/>
  <c r="GT226" i="55"/>
  <c r="GT193" i="55"/>
  <c r="GT103" i="55"/>
  <c r="GT66" i="55"/>
  <c r="GT20" i="55"/>
  <c r="GF88" i="55"/>
  <c r="EL88" i="55"/>
  <c r="EM88" i="55" s="1"/>
  <c r="GF52" i="55"/>
  <c r="GF36" i="55"/>
  <c r="GF16" i="55"/>
  <c r="GN325" i="55"/>
  <c r="EQ325" i="55"/>
  <c r="GT342" i="55"/>
  <c r="GT307" i="55"/>
  <c r="GT225" i="55"/>
  <c r="ET225" i="55"/>
  <c r="ET226" i="55" s="1"/>
  <c r="ET227" i="55" s="1"/>
  <c r="GT54" i="55"/>
  <c r="GT19" i="55"/>
  <c r="GF184" i="55"/>
  <c r="EK184" i="55"/>
  <c r="GF15" i="55"/>
  <c r="GT351" i="55"/>
  <c r="GT335" i="55"/>
  <c r="GT319" i="55"/>
  <c r="GT303" i="55"/>
  <c r="GT271" i="55"/>
  <c r="GT239" i="55"/>
  <c r="GT175" i="55"/>
  <c r="GT159" i="55"/>
  <c r="GT143" i="55"/>
  <c r="GT127" i="55"/>
  <c r="GT95" i="55"/>
  <c r="GT79" i="55"/>
  <c r="GT63" i="55"/>
  <c r="GT47" i="55"/>
  <c r="GT341" i="55"/>
  <c r="ET341" i="55"/>
  <c r="GT306" i="55"/>
  <c r="GT53" i="55"/>
  <c r="ET53" i="55"/>
  <c r="ET54" i="55" s="1"/>
  <c r="ET55" i="55" s="1"/>
  <c r="GT18" i="55"/>
  <c r="GF47" i="55"/>
  <c r="GF14" i="55"/>
  <c r="GN39" i="55"/>
  <c r="EQ39" i="55"/>
  <c r="GN5" i="55"/>
  <c r="EQ5" i="55"/>
  <c r="GT296" i="55"/>
  <c r="GT280" i="55"/>
  <c r="GT264" i="55"/>
  <c r="GT232" i="55"/>
  <c r="GT216" i="55"/>
  <c r="GT200" i="55"/>
  <c r="GT184" i="55"/>
  <c r="GT72" i="55"/>
  <c r="GT40" i="55"/>
  <c r="GT24" i="55"/>
  <c r="GT8" i="55"/>
  <c r="GT242" i="55"/>
  <c r="GT101" i="55"/>
  <c r="GT37" i="55"/>
  <c r="GT5" i="55"/>
  <c r="GF46" i="55"/>
  <c r="GN20" i="55"/>
  <c r="EQ20" i="55"/>
  <c r="GN4" i="55"/>
  <c r="EQ4" i="55"/>
  <c r="GT279" i="55"/>
  <c r="GT263" i="55"/>
  <c r="GT247" i="55"/>
  <c r="GT215" i="55"/>
  <c r="GT199" i="55"/>
  <c r="GT183" i="55"/>
  <c r="GT167" i="55"/>
  <c r="GT23" i="55"/>
  <c r="GT7" i="55"/>
  <c r="GT100" i="55"/>
  <c r="GT69" i="55"/>
  <c r="GT36" i="55"/>
  <c r="GT4" i="55"/>
  <c r="GF45" i="55"/>
  <c r="GN37" i="55"/>
  <c r="EQ37" i="55"/>
  <c r="GN19" i="55"/>
  <c r="EQ19" i="55"/>
  <c r="GT262" i="55"/>
  <c r="GT246" i="55"/>
  <c r="GT230" i="55"/>
  <c r="GT198" i="55"/>
  <c r="GT182" i="55"/>
  <c r="GT166" i="55"/>
  <c r="GT150" i="55"/>
  <c r="GT102" i="55"/>
  <c r="ET102" i="55"/>
  <c r="GT6" i="55"/>
  <c r="GT68" i="55"/>
  <c r="GT35" i="55"/>
  <c r="GT3" i="55"/>
  <c r="ET3" i="55"/>
  <c r="EK31" i="55"/>
  <c r="GN52" i="55"/>
  <c r="EQ52" i="55"/>
  <c r="GN36" i="55"/>
  <c r="EQ36" i="55"/>
  <c r="GT213" i="55"/>
  <c r="GT181" i="55"/>
  <c r="GT165" i="55"/>
  <c r="GT149" i="55"/>
  <c r="GT133" i="55"/>
  <c r="GT210" i="55"/>
  <c r="GT67" i="55"/>
  <c r="GT34" i="55"/>
  <c r="GF42" i="55"/>
  <c r="GF9" i="55"/>
  <c r="GN50" i="55"/>
  <c r="EQ50" i="55"/>
  <c r="GT179" i="55"/>
  <c r="GT147" i="55"/>
  <c r="GT131" i="55"/>
  <c r="GT115" i="55"/>
  <c r="GT99" i="55"/>
  <c r="GT31" i="55"/>
  <c r="ET184" i="55"/>
  <c r="GF24" i="55"/>
  <c r="GN313" i="55"/>
  <c r="EQ313" i="55"/>
  <c r="EQ53" i="55"/>
  <c r="GT323" i="55"/>
  <c r="GT291" i="55"/>
  <c r="GT259" i="55"/>
  <c r="GN88" i="55"/>
  <c r="EQ88" i="55"/>
  <c r="EQ3" i="55"/>
  <c r="GT337" i="55"/>
  <c r="GT321" i="55"/>
  <c r="GT209" i="55"/>
  <c r="GT177" i="55"/>
  <c r="GT161" i="55"/>
  <c r="GT145" i="55"/>
  <c r="GT129" i="55"/>
  <c r="GT113" i="55"/>
  <c r="GT97" i="55"/>
  <c r="GT81" i="55"/>
  <c r="GT65" i="55"/>
  <c r="GT322" i="55"/>
  <c r="GT290" i="55"/>
  <c r="GT258" i="55"/>
  <c r="GT146" i="55"/>
  <c r="GT324" i="55"/>
  <c r="GT292" i="55"/>
  <c r="GT260" i="55"/>
  <c r="GT15" i="55"/>
  <c r="GT338" i="55"/>
  <c r="GT82" i="55"/>
  <c r="GT98" i="55"/>
  <c r="GT114" i="55"/>
  <c r="GT130" i="55"/>
  <c r="GT352" i="55"/>
  <c r="GT336" i="55"/>
  <c r="GT320" i="55"/>
  <c r="GT304" i="55"/>
  <c r="GT288" i="55"/>
  <c r="GT272" i="55"/>
  <c r="GT256" i="55"/>
  <c r="GT240" i="55"/>
  <c r="GT224" i="55"/>
  <c r="GT208" i="55"/>
  <c r="GT192" i="55"/>
  <c r="GT176" i="55"/>
  <c r="GT144" i="55"/>
  <c r="GT128" i="55"/>
  <c r="GT112" i="55"/>
  <c r="GT96" i="55"/>
  <c r="GT80" i="55"/>
  <c r="GT64" i="55"/>
  <c r="GT48" i="55"/>
  <c r="GT32" i="55"/>
  <c r="GT16" i="55"/>
  <c r="GT162" i="55"/>
  <c r="GT229" i="55"/>
  <c r="GT212" i="55"/>
  <c r="GT195" i="55"/>
  <c r="GT178" i="55"/>
  <c r="GT245" i="55"/>
  <c r="GT228" i="55"/>
  <c r="GT211" i="55"/>
  <c r="GT194" i="55"/>
  <c r="N16" i="42"/>
  <c r="P16" i="42" s="1"/>
  <c r="AE16" i="42" s="1"/>
  <c r="AF16" i="42" s="1"/>
  <c r="N32" i="42"/>
  <c r="P32" i="42" s="1"/>
  <c r="AE32" i="42" s="1"/>
  <c r="AF32" i="42" s="1"/>
  <c r="N17" i="42"/>
  <c r="P17" i="42" s="1"/>
  <c r="AE17" i="42" s="1"/>
  <c r="AF17" i="42" s="1"/>
  <c r="N19" i="42"/>
  <c r="P19" i="42" s="1"/>
  <c r="AE19" i="42" s="1"/>
  <c r="AF19" i="42" s="1"/>
  <c r="N20" i="42"/>
  <c r="P20" i="42" s="1"/>
  <c r="AE20" i="42" s="1"/>
  <c r="AF20" i="42" s="1"/>
  <c r="N27" i="42"/>
  <c r="N15" i="42"/>
  <c r="P15" i="42" s="1"/>
  <c r="AE15" i="42" s="1"/>
  <c r="AF15" i="42" s="1"/>
  <c r="N13" i="42"/>
  <c r="P13" i="42" s="1"/>
  <c r="AE13" i="42" s="1"/>
  <c r="AF13" i="42" s="1"/>
  <c r="N30" i="42"/>
  <c r="P30" i="42" s="1"/>
  <c r="AE30" i="42" s="1"/>
  <c r="AF30" i="42" s="1"/>
  <c r="N29" i="42"/>
  <c r="P29" i="42" s="1"/>
  <c r="AE29" i="42" s="1"/>
  <c r="AF29" i="42" s="1"/>
  <c r="N28" i="42"/>
  <c r="P28" i="42" s="1"/>
  <c r="AE28" i="42" s="1"/>
  <c r="AF28" i="42" s="1"/>
  <c r="X226" i="19"/>
  <c r="W432" i="19"/>
  <c r="W392" i="19"/>
  <c r="X360" i="19"/>
  <c r="W302" i="19"/>
  <c r="X436" i="19"/>
  <c r="W66" i="19"/>
  <c r="W336" i="19"/>
  <c r="W43" i="19"/>
  <c r="W122" i="19"/>
  <c r="W16" i="42"/>
  <c r="X229" i="19"/>
  <c r="W155" i="19"/>
  <c r="W309" i="19"/>
  <c r="X415" i="19"/>
  <c r="BF13" i="10"/>
  <c r="P27" i="42"/>
  <c r="AE27" i="42" s="1"/>
  <c r="AF27" i="42" s="1"/>
  <c r="W28" i="42"/>
  <c r="W10" i="19"/>
  <c r="W29" i="19"/>
  <c r="W200" i="19"/>
  <c r="W253" i="19"/>
  <c r="W325" i="19"/>
  <c r="X114" i="19"/>
  <c r="W127" i="19"/>
  <c r="X134" i="19"/>
  <c r="W228" i="19"/>
  <c r="X420" i="19"/>
  <c r="W475" i="19"/>
  <c r="W6" i="19"/>
  <c r="X189" i="19"/>
  <c r="W202" i="19"/>
  <c r="W464" i="19"/>
  <c r="X7" i="19"/>
  <c r="W355" i="19"/>
  <c r="W424" i="19"/>
  <c r="W232" i="19"/>
  <c r="W330" i="19"/>
  <c r="W452" i="19"/>
  <c r="X466" i="19"/>
  <c r="X71" i="19"/>
  <c r="W117" i="19"/>
  <c r="W130" i="19"/>
  <c r="W153" i="19"/>
  <c r="W413" i="19"/>
  <c r="W111" i="19"/>
  <c r="W206" i="19"/>
  <c r="W260" i="19"/>
  <c r="W344" i="19"/>
  <c r="W400" i="19"/>
  <c r="W27" i="19"/>
  <c r="W164" i="19"/>
  <c r="W234" i="19"/>
  <c r="W320" i="19"/>
  <c r="W440" i="19"/>
  <c r="W483" i="19"/>
  <c r="X50" i="19"/>
  <c r="W118" i="19"/>
  <c r="W125" i="19"/>
  <c r="X250" i="19"/>
  <c r="W308" i="19"/>
  <c r="W390" i="19"/>
  <c r="W33" i="42"/>
  <c r="W17" i="42"/>
  <c r="W29" i="42"/>
  <c r="W22" i="42"/>
  <c r="W14" i="42"/>
  <c r="W27" i="42"/>
  <c r="W23" i="42"/>
  <c r="W35" i="42"/>
  <c r="W19" i="42"/>
  <c r="W12" i="42"/>
  <c r="W301" i="19"/>
  <c r="X312" i="19"/>
  <c r="X445" i="19"/>
  <c r="W456" i="19"/>
  <c r="W162" i="19"/>
  <c r="W107" i="19"/>
  <c r="W113" i="19"/>
  <c r="W93" i="19"/>
  <c r="W216" i="19"/>
  <c r="W292" i="19"/>
  <c r="X362" i="19"/>
  <c r="X14" i="19"/>
  <c r="X49" i="19"/>
  <c r="X79" i="19"/>
  <c r="X242" i="19"/>
  <c r="W294" i="19"/>
  <c r="X328" i="19"/>
  <c r="W339" i="19"/>
  <c r="W426" i="19"/>
  <c r="X450" i="19"/>
  <c r="X472" i="19"/>
  <c r="W496" i="19"/>
  <c r="X102" i="19"/>
  <c r="W109" i="19"/>
  <c r="W266" i="19"/>
  <c r="W381" i="19"/>
  <c r="X416" i="19"/>
  <c r="W461" i="19"/>
  <c r="X135" i="19"/>
  <c r="W208" i="19"/>
  <c r="X254" i="19"/>
  <c r="X319" i="19"/>
  <c r="W451" i="19"/>
  <c r="W486" i="19"/>
  <c r="W158" i="19"/>
  <c r="X169" i="19"/>
  <c r="W298" i="19"/>
  <c r="W397" i="19"/>
  <c r="W408" i="19"/>
  <c r="X429" i="19"/>
  <c r="W137" i="19"/>
  <c r="X170" i="19"/>
  <c r="X211" i="19"/>
  <c r="W248" i="19"/>
  <c r="W490" i="19"/>
  <c r="X38" i="19"/>
  <c r="X398" i="19"/>
  <c r="X421" i="19"/>
  <c r="W478" i="19"/>
  <c r="W96" i="42"/>
  <c r="W30" i="42"/>
  <c r="V17" i="42"/>
  <c r="W25" i="42"/>
  <c r="W105" i="42"/>
  <c r="V12" i="42"/>
  <c r="W20" i="42"/>
  <c r="V23" i="42"/>
  <c r="W46" i="42"/>
  <c r="W15" i="42"/>
  <c r="W458" i="42"/>
  <c r="W73" i="42"/>
  <c r="W91" i="42"/>
  <c r="W120" i="42"/>
  <c r="W26" i="42"/>
  <c r="W21" i="42"/>
  <c r="W18" i="42"/>
  <c r="W13" i="42"/>
  <c r="W474" i="42"/>
  <c r="V4" i="42"/>
  <c r="W4" i="42"/>
  <c r="W125" i="42"/>
  <c r="V16" i="42"/>
  <c r="W24" i="42"/>
  <c r="W195" i="42"/>
  <c r="W250" i="42"/>
  <c r="V29" i="42"/>
  <c r="V35" i="42"/>
  <c r="V250" i="42"/>
  <c r="V14" i="42"/>
  <c r="V22" i="42"/>
  <c r="V27" i="42"/>
  <c r="V33" i="42"/>
  <c r="W214" i="42"/>
  <c r="W352" i="42"/>
  <c r="W359" i="42"/>
  <c r="W48" i="42"/>
  <c r="W254" i="42"/>
  <c r="X446" i="19"/>
  <c r="W446" i="19"/>
  <c r="X163" i="19"/>
  <c r="W163" i="19"/>
  <c r="X176" i="19"/>
  <c r="W176" i="19"/>
  <c r="W434" i="19"/>
  <c r="X434" i="19"/>
  <c r="X81" i="19"/>
  <c r="W81" i="19"/>
  <c r="W322" i="19"/>
  <c r="X322" i="19"/>
  <c r="W59" i="19"/>
  <c r="X59" i="19"/>
  <c r="W270" i="19"/>
  <c r="X270" i="19"/>
  <c r="W386" i="19"/>
  <c r="X386" i="19"/>
  <c r="W235" i="19"/>
  <c r="X235" i="19"/>
  <c r="X227" i="19"/>
  <c r="W227" i="19"/>
  <c r="X237" i="19"/>
  <c r="W237" i="19"/>
  <c r="X4" i="19"/>
  <c r="W4" i="19"/>
  <c r="W240" i="19"/>
  <c r="X240" i="19"/>
  <c r="X414" i="19"/>
  <c r="W414" i="19"/>
  <c r="X447" i="19"/>
  <c r="W447" i="19"/>
  <c r="W402" i="19"/>
  <c r="X402" i="19"/>
  <c r="W218" i="19"/>
  <c r="X218" i="19"/>
  <c r="X13" i="19"/>
  <c r="W13" i="19"/>
  <c r="X30" i="19"/>
  <c r="W30" i="19"/>
  <c r="X45" i="19"/>
  <c r="X103" i="19"/>
  <c r="X290" i="19"/>
  <c r="W299" i="19"/>
  <c r="X299" i="19"/>
  <c r="W370" i="19"/>
  <c r="X370" i="19"/>
  <c r="X296" i="19"/>
  <c r="W296" i="19"/>
  <c r="X256" i="19"/>
  <c r="W256" i="19"/>
  <c r="W354" i="19"/>
  <c r="X354" i="19"/>
  <c r="W365" i="19"/>
  <c r="X394" i="19"/>
  <c r="W394" i="19"/>
  <c r="W404" i="19"/>
  <c r="X404" i="19"/>
  <c r="W146" i="19"/>
  <c r="X146" i="19"/>
  <c r="X282" i="19"/>
  <c r="W282" i="19"/>
  <c r="W378" i="19"/>
  <c r="X378" i="19"/>
  <c r="W454" i="19"/>
  <c r="W41" i="19"/>
  <c r="X41" i="19"/>
  <c r="W313" i="19"/>
  <c r="X313" i="19"/>
  <c r="X264" i="19"/>
  <c r="W484" i="19"/>
  <c r="X210" i="19"/>
  <c r="W221" i="19"/>
  <c r="X243" i="19"/>
  <c r="W349" i="19"/>
  <c r="X349" i="19"/>
  <c r="X389" i="19"/>
  <c r="X474" i="19"/>
  <c r="X326" i="19"/>
  <c r="W326" i="19"/>
  <c r="W376" i="19"/>
  <c r="X86" i="19"/>
  <c r="W86" i="19"/>
  <c r="X219" i="19"/>
  <c r="X249" i="19"/>
  <c r="X258" i="19"/>
  <c r="X285" i="19"/>
  <c r="W285" i="19"/>
  <c r="W307" i="19"/>
  <c r="X338" i="19"/>
  <c r="X388" i="19"/>
  <c r="X418" i="19"/>
  <c r="X61" i="19"/>
  <c r="W61" i="19"/>
  <c r="X280" i="19"/>
  <c r="W280" i="19"/>
  <c r="W47" i="19"/>
  <c r="W195" i="19"/>
  <c r="W255" i="19"/>
  <c r="W304" i="19"/>
  <c r="W315" i="19"/>
  <c r="X315" i="19"/>
  <c r="X405" i="19"/>
  <c r="W405" i="19"/>
  <c r="X477" i="19"/>
  <c r="W477" i="19"/>
  <c r="X184" i="19"/>
  <c r="W184" i="19"/>
  <c r="X419" i="19"/>
  <c r="W419" i="19"/>
  <c r="W480" i="19"/>
  <c r="X480" i="19"/>
  <c r="X62" i="19"/>
  <c r="X157" i="19"/>
  <c r="W212" i="19"/>
  <c r="W323" i="19"/>
  <c r="W410" i="19"/>
  <c r="W22" i="19"/>
  <c r="W35" i="19"/>
  <c r="X70" i="19"/>
  <c r="W70" i="19"/>
  <c r="X143" i="19"/>
  <c r="W167" i="19"/>
  <c r="W203" i="19"/>
  <c r="W272" i="19"/>
  <c r="W287" i="19"/>
  <c r="W314" i="19"/>
  <c r="X333" i="19"/>
  <c r="W333" i="19"/>
  <c r="X379" i="19"/>
  <c r="X180" i="19"/>
  <c r="X194" i="19"/>
  <c r="X306" i="19"/>
  <c r="X324" i="19"/>
  <c r="X368" i="19"/>
  <c r="X482" i="19"/>
  <c r="W187" i="19"/>
  <c r="X187" i="19"/>
  <c r="X293" i="19"/>
  <c r="W293" i="19"/>
  <c r="X441" i="19"/>
  <c r="W441" i="19"/>
  <c r="W467" i="19"/>
  <c r="X467" i="19"/>
  <c r="X9" i="19"/>
  <c r="W9" i="19"/>
  <c r="X25" i="19"/>
  <c r="W25" i="19"/>
  <c r="W91" i="19"/>
  <c r="W173" i="19"/>
  <c r="W196" i="19"/>
  <c r="W205" i="19"/>
  <c r="X213" i="19"/>
  <c r="W213" i="19"/>
  <c r="W259" i="19"/>
  <c r="W269" i="19"/>
  <c r="W291" i="19"/>
  <c r="W356" i="19"/>
  <c r="W403" i="19"/>
  <c r="W411" i="19"/>
  <c r="X468" i="19"/>
  <c r="W468" i="19"/>
  <c r="W488" i="19"/>
  <c r="W5" i="19"/>
  <c r="X5" i="19"/>
  <c r="W31" i="19"/>
  <c r="X57" i="19"/>
  <c r="W98" i="19"/>
  <c r="X98" i="19"/>
  <c r="X224" i="19"/>
  <c r="W224" i="19"/>
  <c r="W251" i="19"/>
  <c r="X317" i="19"/>
  <c r="W317" i="19"/>
  <c r="X345" i="19"/>
  <c r="X377" i="19"/>
  <c r="W387" i="19"/>
  <c r="X458" i="19"/>
  <c r="X498" i="19"/>
  <c r="X73" i="19"/>
  <c r="X99" i="19"/>
  <c r="X105" i="19"/>
  <c r="X141" i="19"/>
  <c r="X161" i="19"/>
  <c r="X178" i="19"/>
  <c r="X274" i="19"/>
  <c r="X363" i="19"/>
  <c r="W81" i="42"/>
  <c r="W85" i="42"/>
  <c r="V91" i="42"/>
  <c r="W142" i="42"/>
  <c r="W178" i="42"/>
  <c r="W180" i="42"/>
  <c r="W182" i="42"/>
  <c r="W186" i="42"/>
  <c r="W202" i="42"/>
  <c r="W229" i="42"/>
  <c r="W235" i="42"/>
  <c r="W237" i="42"/>
  <c r="W258" i="42"/>
  <c r="W265" i="42"/>
  <c r="W269" i="42"/>
  <c r="W286" i="42"/>
  <c r="W323" i="42"/>
  <c r="W31" i="42"/>
  <c r="W87" i="42"/>
  <c r="AD4" i="42"/>
  <c r="W378" i="42"/>
  <c r="W132" i="42"/>
  <c r="W41" i="42"/>
  <c r="W371" i="42"/>
  <c r="W193" i="42"/>
  <c r="W392" i="42"/>
  <c r="W375" i="42"/>
  <c r="W441" i="42"/>
  <c r="W322" i="42"/>
  <c r="W444" i="42"/>
  <c r="W409" i="42"/>
  <c r="W385" i="42"/>
  <c r="W372" i="42"/>
  <c r="W473" i="42"/>
  <c r="W460" i="42"/>
  <c r="W450" i="42"/>
  <c r="W405" i="42"/>
  <c r="W388" i="42"/>
  <c r="W271" i="42"/>
  <c r="W361" i="42"/>
  <c r="W293" i="42"/>
  <c r="W389" i="42"/>
  <c r="W297" i="42"/>
  <c r="W283" i="42"/>
  <c r="W137" i="42"/>
  <c r="W109" i="42"/>
  <c r="W104" i="42"/>
  <c r="W461" i="42"/>
  <c r="W349" i="42"/>
  <c r="W273" i="42"/>
  <c r="W201" i="42"/>
  <c r="W163" i="42"/>
  <c r="W449" i="42"/>
  <c r="W411" i="42"/>
  <c r="W400" i="42"/>
  <c r="W380" i="42"/>
  <c r="W363" i="42"/>
  <c r="W353" i="42"/>
  <c r="W320" i="42"/>
  <c r="W295" i="42"/>
  <c r="W277" i="42"/>
  <c r="W259" i="42"/>
  <c r="V42" i="42"/>
  <c r="W42" i="42"/>
  <c r="W112" i="42"/>
  <c r="W114" i="42"/>
  <c r="W136" i="42"/>
  <c r="W148" i="42"/>
  <c r="W152" i="42"/>
  <c r="V196" i="42"/>
  <c r="W196" i="42"/>
  <c r="W219" i="42"/>
  <c r="W223" i="42"/>
  <c r="W225" i="42"/>
  <c r="W231" i="42"/>
  <c r="V254" i="42"/>
  <c r="V258" i="42"/>
  <c r="V332" i="42"/>
  <c r="W332" i="42"/>
  <c r="V382" i="42"/>
  <c r="W382" i="42"/>
  <c r="W413" i="42"/>
  <c r="W456" i="42"/>
  <c r="AC12" i="42"/>
  <c r="AD5" i="42" s="1"/>
  <c r="W44" i="42"/>
  <c r="W57" i="42"/>
  <c r="W66" i="42"/>
  <c r="V66" i="42"/>
  <c r="W68" i="42"/>
  <c r="W70" i="42"/>
  <c r="V114" i="42"/>
  <c r="W126" i="42"/>
  <c r="W128" i="42"/>
  <c r="W144" i="42"/>
  <c r="W158" i="42"/>
  <c r="W162" i="42"/>
  <c r="W190" i="42"/>
  <c r="W192" i="42"/>
  <c r="W215" i="42"/>
  <c r="V223" i="42"/>
  <c r="W233" i="42"/>
  <c r="W341" i="42"/>
  <c r="W355" i="42"/>
  <c r="V355" i="42"/>
  <c r="W369" i="42"/>
  <c r="W248" i="42"/>
  <c r="W291" i="42"/>
  <c r="W319" i="42"/>
  <c r="W445" i="42"/>
  <c r="W454" i="42"/>
  <c r="V454" i="42"/>
  <c r="W465" i="42"/>
  <c r="W481" i="42"/>
  <c r="W242" i="42"/>
  <c r="W246" i="42"/>
  <c r="W306" i="42"/>
  <c r="W310" i="42"/>
  <c r="W339" i="42"/>
  <c r="W387" i="42"/>
  <c r="W396" i="42"/>
  <c r="V474" i="42"/>
  <c r="W240" i="42"/>
  <c r="W276" i="42"/>
  <c r="W315" i="42"/>
  <c r="V315" i="42"/>
  <c r="W351" i="42"/>
  <c r="W362" i="42"/>
  <c r="W401" i="42"/>
  <c r="W59" i="42"/>
  <c r="W200" i="42"/>
  <c r="W118" i="42"/>
  <c r="W174" i="42"/>
  <c r="W78" i="42"/>
  <c r="W170" i="42"/>
  <c r="W211" i="42"/>
  <c r="W54" i="42"/>
  <c r="W63" i="42"/>
  <c r="W80" i="42"/>
  <c r="W82" i="42"/>
  <c r="W86" i="42"/>
  <c r="W179" i="42"/>
  <c r="W228" i="42"/>
  <c r="W238" i="42"/>
  <c r="W298" i="42"/>
  <c r="W302" i="42"/>
  <c r="W326" i="42"/>
  <c r="W335" i="42"/>
  <c r="V335" i="42"/>
  <c r="W365" i="42"/>
  <c r="V365" i="42"/>
  <c r="W408" i="42"/>
  <c r="W433" i="42"/>
  <c r="W435" i="42"/>
  <c r="W194" i="42"/>
  <c r="V194" i="42"/>
  <c r="V48" i="42"/>
  <c r="V105" i="42"/>
  <c r="W176" i="42"/>
  <c r="W61" i="42"/>
  <c r="W124" i="42"/>
  <c r="W107" i="42"/>
  <c r="AA22" i="42"/>
  <c r="W56" i="42"/>
  <c r="V86" i="42"/>
  <c r="W111" i="42"/>
  <c r="W296" i="42"/>
  <c r="W410" i="42"/>
  <c r="W469" i="42"/>
  <c r="V32" i="42"/>
  <c r="V43" i="42"/>
  <c r="W43" i="42"/>
  <c r="W58" i="42"/>
  <c r="W90" i="42"/>
  <c r="W113" i="42"/>
  <c r="W115" i="42"/>
  <c r="W117" i="42"/>
  <c r="W145" i="42"/>
  <c r="V195" i="42"/>
  <c r="W197" i="42"/>
  <c r="V214" i="42"/>
  <c r="W222" i="42"/>
  <c r="W224" i="42"/>
  <c r="W232" i="42"/>
  <c r="W253" i="42"/>
  <c r="W264" i="42"/>
  <c r="W313" i="42"/>
  <c r="W390" i="42"/>
  <c r="W448" i="42"/>
  <c r="W280" i="42"/>
  <c r="V120" i="42"/>
  <c r="W209" i="42"/>
  <c r="W213" i="42"/>
  <c r="V213" i="42"/>
  <c r="W101" i="42"/>
  <c r="W198" i="42"/>
  <c r="W52" i="42"/>
  <c r="W490" i="42"/>
  <c r="W141" i="42"/>
  <c r="W147" i="42"/>
  <c r="W181" i="42"/>
  <c r="W268" i="42"/>
  <c r="W272" i="42"/>
  <c r="W72" i="42"/>
  <c r="W134" i="42"/>
  <c r="W122" i="42"/>
  <c r="W172" i="42"/>
  <c r="W95" i="42"/>
  <c r="V209" i="42"/>
  <c r="W76" i="42"/>
  <c r="W99" i="42"/>
  <c r="V99" i="42"/>
  <c r="W207" i="42"/>
  <c r="W143" i="42"/>
  <c r="W153" i="42"/>
  <c r="W183" i="42"/>
  <c r="W287" i="42"/>
  <c r="W342" i="42"/>
  <c r="W495" i="42"/>
  <c r="W67" i="42"/>
  <c r="W129" i="42"/>
  <c r="W139" i="42"/>
  <c r="V147" i="42"/>
  <c r="W155" i="42"/>
  <c r="W185" i="42"/>
  <c r="V342" i="42"/>
  <c r="W468" i="42"/>
  <c r="W491" i="42"/>
  <c r="V491" i="42"/>
  <c r="W133" i="42"/>
  <c r="W47" i="42"/>
  <c r="V47" i="42"/>
  <c r="V73" i="42"/>
  <c r="V96" i="42"/>
  <c r="V352" i="42"/>
  <c r="W368" i="42"/>
  <c r="W429" i="42"/>
  <c r="W477" i="42"/>
  <c r="W218" i="42"/>
  <c r="W230" i="42"/>
  <c r="W257" i="42"/>
  <c r="V257" i="42"/>
  <c r="W294" i="42"/>
  <c r="V294" i="42"/>
  <c r="W376" i="42"/>
  <c r="W418" i="42"/>
  <c r="W32" i="42"/>
  <c r="W157" i="42"/>
  <c r="W331" i="42"/>
  <c r="W354" i="42"/>
  <c r="W466" i="42"/>
  <c r="V171" i="42"/>
  <c r="W171" i="42"/>
  <c r="W175" i="42"/>
  <c r="V175" i="42"/>
  <c r="V199" i="42"/>
  <c r="W199" i="42"/>
  <c r="W98" i="42"/>
  <c r="W123" i="42"/>
  <c r="V123" i="42"/>
  <c r="W169" i="42"/>
  <c r="W173" i="42"/>
  <c r="W208" i="42"/>
  <c r="V208" i="42"/>
  <c r="W245" i="42"/>
  <c r="V245" i="42"/>
  <c r="W247" i="42"/>
  <c r="W309" i="42"/>
  <c r="V316" i="42"/>
  <c r="W316" i="42"/>
  <c r="W318" i="42"/>
  <c r="W329" i="42"/>
  <c r="W425" i="42"/>
  <c r="W480" i="42"/>
  <c r="V498" i="42"/>
  <c r="W498" i="42"/>
  <c r="W414" i="42"/>
  <c r="W45" i="42"/>
  <c r="W119" i="42"/>
  <c r="W161" i="42"/>
  <c r="V161" i="42"/>
  <c r="W345" i="42"/>
  <c r="V345" i="42"/>
  <c r="W381" i="42"/>
  <c r="W94" i="42"/>
  <c r="V119" i="42"/>
  <c r="Y12" i="42"/>
  <c r="W62" i="42"/>
  <c r="W79" i="42"/>
  <c r="W100" i="42"/>
  <c r="W106" i="42"/>
  <c r="W167" i="42"/>
  <c r="W241" i="42"/>
  <c r="V279" i="42"/>
  <c r="W279" i="42"/>
  <c r="W290" i="42"/>
  <c r="V290" i="42"/>
  <c r="W336" i="42"/>
  <c r="V348" i="42"/>
  <c r="W348" i="42"/>
  <c r="W423" i="42"/>
  <c r="W496" i="42"/>
  <c r="V406" i="42"/>
  <c r="W406" i="42"/>
  <c r="V482" i="42"/>
  <c r="W482" i="42"/>
  <c r="W49" i="42"/>
  <c r="W191" i="42"/>
  <c r="W34" i="42"/>
  <c r="W77" i="42"/>
  <c r="V210" i="42"/>
  <c r="W210" i="42"/>
  <c r="V31" i="42"/>
  <c r="W53" i="42"/>
  <c r="W110" i="42"/>
  <c r="W138" i="42"/>
  <c r="W150" i="42"/>
  <c r="V204" i="42"/>
  <c r="W204" i="42"/>
  <c r="W262" i="42"/>
  <c r="W275" i="42"/>
  <c r="V275" i="42"/>
  <c r="W301" i="42"/>
  <c r="V301" i="42"/>
  <c r="V325" i="42"/>
  <c r="W325" i="42"/>
  <c r="W379" i="42"/>
  <c r="W393" i="42"/>
  <c r="V451" i="42"/>
  <c r="W451" i="42"/>
  <c r="W330" i="42"/>
  <c r="W333" i="42"/>
  <c r="V333" i="42"/>
  <c r="W373" i="42"/>
  <c r="W403" i="42"/>
  <c r="V452" i="42"/>
  <c r="W452" i="42"/>
  <c r="W489" i="42"/>
  <c r="W205" i="42"/>
  <c r="V284" i="42"/>
  <c r="W284" i="42"/>
  <c r="V330" i="42"/>
  <c r="V366" i="42"/>
  <c r="W366" i="42"/>
  <c r="V373" i="42"/>
  <c r="V403" i="42"/>
  <c r="W439" i="42"/>
  <c r="V489" i="42"/>
  <c r="W492" i="42"/>
  <c r="W166" i="42"/>
  <c r="W227" i="42"/>
  <c r="W305" i="42"/>
  <c r="W399" i="42"/>
  <c r="W421" i="42"/>
  <c r="V428" i="42"/>
  <c r="W428" i="42"/>
  <c r="W438" i="42"/>
  <c r="W488" i="42"/>
  <c r="W358" i="42"/>
  <c r="W402" i="42"/>
  <c r="W417" i="42"/>
  <c r="W431" i="42"/>
  <c r="W479" i="42"/>
  <c r="V479" i="42"/>
  <c r="V488" i="42"/>
  <c r="W470" i="42"/>
  <c r="W485" i="42"/>
  <c r="W494" i="42"/>
  <c r="V494" i="42"/>
  <c r="V413" i="42"/>
  <c r="V420" i="42"/>
  <c r="W420" i="42"/>
  <c r="W424" i="42"/>
  <c r="W434" i="42"/>
  <c r="W457" i="42"/>
  <c r="W464" i="42"/>
  <c r="W398" i="42"/>
  <c r="V401" i="42"/>
  <c r="W427" i="42"/>
  <c r="W476" i="42"/>
  <c r="W497" i="42"/>
  <c r="W261" i="42"/>
  <c r="W127" i="42"/>
  <c r="W156" i="42"/>
  <c r="V170" i="42"/>
  <c r="V222" i="42"/>
  <c r="W344" i="42"/>
  <c r="W395" i="42"/>
  <c r="V94" i="42"/>
  <c r="V141" i="42"/>
  <c r="W146" i="42"/>
  <c r="W151" i="42"/>
  <c r="W184" i="42"/>
  <c r="W189" i="42"/>
  <c r="W203" i="42"/>
  <c r="W217" i="42"/>
  <c r="V341" i="42"/>
  <c r="V368" i="42"/>
  <c r="V98" i="42"/>
  <c r="W103" i="42"/>
  <c r="W165" i="42"/>
  <c r="W226" i="42"/>
  <c r="V240" i="42"/>
  <c r="W267" i="42"/>
  <c r="V296" i="42"/>
  <c r="W300" i="42"/>
  <c r="W304" i="42"/>
  <c r="V318" i="42"/>
  <c r="W338" i="42"/>
  <c r="W347" i="42"/>
  <c r="V354" i="42"/>
  <c r="W364" i="42"/>
  <c r="V381" i="42"/>
  <c r="V416" i="42"/>
  <c r="W416" i="42"/>
  <c r="V85" i="42"/>
  <c r="V113" i="42"/>
  <c r="W236" i="42"/>
  <c r="V253" i="42"/>
  <c r="V261" i="42"/>
  <c r="V264" i="42"/>
  <c r="V286" i="42"/>
  <c r="V351" i="42"/>
  <c r="V61" i="42"/>
  <c r="V127" i="42"/>
  <c r="W328" i="42"/>
  <c r="W51" i="42"/>
  <c r="W75" i="42"/>
  <c r="V122" i="42"/>
  <c r="V136" i="42"/>
  <c r="V198" i="42"/>
  <c r="W39" i="42"/>
  <c r="V70" i="42"/>
  <c r="V117" i="42"/>
  <c r="V150" i="42"/>
  <c r="V169" i="42"/>
  <c r="W244" i="42"/>
  <c r="V248" i="42"/>
  <c r="V331" i="42"/>
  <c r="W334" i="42"/>
  <c r="W384" i="42"/>
  <c r="V456" i="42"/>
  <c r="V463" i="42"/>
  <c r="W463" i="42"/>
  <c r="V80" i="42"/>
  <c r="V118" i="42"/>
  <c r="V231" i="42"/>
  <c r="W249" i="42"/>
  <c r="W312" i="42"/>
  <c r="W40" i="42"/>
  <c r="W108" i="42"/>
  <c r="V344" i="42"/>
  <c r="W89" i="42"/>
  <c r="W131" i="42"/>
  <c r="V145" i="42"/>
  <c r="V155" i="42"/>
  <c r="V174" i="42"/>
  <c r="V188" i="42"/>
  <c r="W188" i="42"/>
  <c r="V207" i="42"/>
  <c r="W216" i="42"/>
  <c r="V235" i="42"/>
  <c r="W256" i="42"/>
  <c r="V481" i="42"/>
  <c r="W38" i="42"/>
  <c r="V46" i="42"/>
  <c r="V60" i="42"/>
  <c r="W60" i="42"/>
  <c r="W65" i="42"/>
  <c r="V79" i="42"/>
  <c r="W84" i="42"/>
  <c r="W88" i="42"/>
  <c r="V107" i="42"/>
  <c r="V112" i="42"/>
  <c r="V126" i="42"/>
  <c r="W140" i="42"/>
  <c r="V178" i="42"/>
  <c r="V183" i="42"/>
  <c r="V202" i="42"/>
  <c r="V216" i="42"/>
  <c r="W221" i="42"/>
  <c r="V230" i="42"/>
  <c r="W252" i="42"/>
  <c r="V256" i="42"/>
  <c r="W270" i="42"/>
  <c r="W274" i="42"/>
  <c r="W278" i="42"/>
  <c r="W282" i="42"/>
  <c r="W292" i="42"/>
  <c r="W321" i="42"/>
  <c r="W324" i="42"/>
  <c r="V334" i="42"/>
  <c r="W357" i="42"/>
  <c r="W374" i="42"/>
  <c r="W377" i="42"/>
  <c r="V384" i="42"/>
  <c r="W412" i="42"/>
  <c r="V423" i="42"/>
  <c r="W453" i="42"/>
  <c r="V466" i="42"/>
  <c r="W484" i="42"/>
  <c r="W487" i="42"/>
  <c r="V496" i="42"/>
  <c r="W437" i="42"/>
  <c r="W350" i="42"/>
  <c r="W483" i="42"/>
  <c r="W475" i="42"/>
  <c r="W471" i="42"/>
  <c r="W459" i="42"/>
  <c r="W455" i="42"/>
  <c r="W443" i="42"/>
  <c r="W432" i="42"/>
  <c r="W407" i="42"/>
  <c r="W386" i="42"/>
  <c r="W370" i="42"/>
  <c r="W289" i="42"/>
  <c r="W260" i="42"/>
  <c r="W93" i="42"/>
  <c r="W164" i="42"/>
  <c r="W285" i="42"/>
  <c r="W303" i="42"/>
  <c r="W307" i="42"/>
  <c r="W367" i="42"/>
  <c r="W394" i="42"/>
  <c r="V394" i="42"/>
  <c r="W404" i="42"/>
  <c r="W419" i="42"/>
  <c r="W446" i="42"/>
  <c r="W493" i="42"/>
  <c r="W71" i="42"/>
  <c r="V179" i="42"/>
  <c r="V56" i="42"/>
  <c r="V308" i="42"/>
  <c r="W308" i="42"/>
  <c r="W160" i="42"/>
  <c r="W212" i="42"/>
  <c r="W391" i="42"/>
  <c r="W430" i="42"/>
  <c r="W440" i="42"/>
  <c r="W478" i="42"/>
  <c r="W500" i="42"/>
  <c r="W36" i="42"/>
  <c r="W37" i="42"/>
  <c r="W50" i="42"/>
  <c r="W55" i="42"/>
  <c r="W74" i="42"/>
  <c r="W102" i="42"/>
  <c r="W121" i="42"/>
  <c r="W220" i="42"/>
  <c r="W243" i="42"/>
  <c r="W266" i="42"/>
  <c r="V285" i="42"/>
  <c r="W311" i="42"/>
  <c r="W314" i="42"/>
  <c r="W327" i="42"/>
  <c r="W337" i="42"/>
  <c r="W360" i="42"/>
  <c r="V446" i="42"/>
  <c r="W472" i="42"/>
  <c r="W499" i="42"/>
  <c r="V28" i="42"/>
  <c r="W64" i="42"/>
  <c r="W69" i="42"/>
  <c r="W83" i="42"/>
  <c r="W92" i="42"/>
  <c r="W97" i="42"/>
  <c r="W116" i="42"/>
  <c r="W130" i="42"/>
  <c r="W135" i="42"/>
  <c r="W149" i="42"/>
  <c r="W154" i="42"/>
  <c r="W159" i="42"/>
  <c r="W168" i="42"/>
  <c r="W177" i="42"/>
  <c r="W187" i="42"/>
  <c r="W206" i="42"/>
  <c r="W234" i="42"/>
  <c r="W239" i="42"/>
  <c r="W251" i="42"/>
  <c r="W263" i="42"/>
  <c r="W281" i="42"/>
  <c r="W288" i="42"/>
  <c r="W299" i="42"/>
  <c r="V317" i="42"/>
  <c r="W317" i="42"/>
  <c r="W340" i="42"/>
  <c r="W343" i="42"/>
  <c r="W346" i="42"/>
  <c r="V356" i="42"/>
  <c r="W356" i="42"/>
  <c r="W383" i="42"/>
  <c r="W397" i="42"/>
  <c r="W415" i="42"/>
  <c r="W426" i="42"/>
  <c r="W436" i="42"/>
  <c r="W442" i="42"/>
  <c r="W255" i="42"/>
  <c r="W486" i="42"/>
  <c r="W447" i="42"/>
  <c r="W467" i="42"/>
  <c r="W422" i="42"/>
  <c r="W462" i="42"/>
  <c r="L34" i="16"/>
  <c r="L32" i="16"/>
  <c r="L36" i="16"/>
  <c r="L35" i="16"/>
  <c r="L30" i="16"/>
  <c r="L33" i="16"/>
  <c r="L27" i="16"/>
  <c r="L29" i="16"/>
  <c r="L28" i="16"/>
  <c r="L31" i="16"/>
  <c r="X179" i="19"/>
  <c r="W179" i="19"/>
  <c r="X275" i="19"/>
  <c r="W275" i="19"/>
  <c r="W286" i="19"/>
  <c r="X286" i="19"/>
  <c r="W383" i="19"/>
  <c r="X383" i="19"/>
  <c r="X469" i="19"/>
  <c r="W469" i="19"/>
  <c r="X190" i="19"/>
  <c r="W190" i="19"/>
  <c r="X494" i="19"/>
  <c r="W494" i="19"/>
  <c r="X495" i="19"/>
  <c r="W495" i="19"/>
  <c r="X401" i="19"/>
  <c r="W401" i="19"/>
  <c r="X409" i="19"/>
  <c r="W409" i="19"/>
  <c r="W479" i="19"/>
  <c r="X479" i="19"/>
  <c r="W94" i="19"/>
  <c r="X94" i="19"/>
  <c r="X63" i="19"/>
  <c r="W63" i="19"/>
  <c r="W453" i="19"/>
  <c r="X453" i="19"/>
  <c r="X497" i="19"/>
  <c r="W497" i="19"/>
  <c r="X12" i="19"/>
  <c r="W12" i="19"/>
  <c r="W58" i="19"/>
  <c r="W89" i="19"/>
  <c r="W244" i="19"/>
  <c r="X244" i="19"/>
  <c r="X288" i="19"/>
  <c r="W288" i="19"/>
  <c r="X347" i="19"/>
  <c r="W347" i="19"/>
  <c r="X357" i="19"/>
  <c r="W357" i="19"/>
  <c r="X435" i="19"/>
  <c r="W435" i="19"/>
  <c r="X245" i="19"/>
  <c r="W245" i="19"/>
  <c r="X337" i="19"/>
  <c r="W337" i="19"/>
  <c r="X358" i="19"/>
  <c r="W358" i="19"/>
  <c r="X489" i="19"/>
  <c r="W489" i="19"/>
  <c r="X23" i="19"/>
  <c r="W23" i="19"/>
  <c r="W473" i="19"/>
  <c r="X473" i="19"/>
  <c r="X329" i="19"/>
  <c r="W329" i="19"/>
  <c r="X427" i="19"/>
  <c r="W427" i="19"/>
  <c r="X437" i="19"/>
  <c r="W437" i="19"/>
  <c r="X499" i="19"/>
  <c r="W499" i="19"/>
  <c r="X261" i="19"/>
  <c r="W261" i="19"/>
  <c r="X133" i="19"/>
  <c r="W133" i="19"/>
  <c r="X238" i="19"/>
  <c r="W238" i="19"/>
  <c r="X281" i="19"/>
  <c r="W281" i="19"/>
  <c r="X465" i="19"/>
  <c r="W465" i="19"/>
  <c r="X67" i="19"/>
  <c r="W67" i="19"/>
  <c r="X159" i="19"/>
  <c r="W159" i="19"/>
  <c r="W222" i="19"/>
  <c r="X222" i="19"/>
  <c r="X448" i="19"/>
  <c r="W448" i="19"/>
  <c r="W197" i="19"/>
  <c r="X223" i="19"/>
  <c r="W223" i="19"/>
  <c r="X198" i="19"/>
  <c r="W198" i="19"/>
  <c r="X34" i="19"/>
  <c r="W34" i="19"/>
  <c r="X46" i="19"/>
  <c r="W46" i="19"/>
  <c r="X230" i="19"/>
  <c r="W230" i="19"/>
  <c r="W350" i="19"/>
  <c r="X350" i="19"/>
  <c r="X78" i="19"/>
  <c r="W78" i="19"/>
  <c r="W331" i="19"/>
  <c r="X331" i="19"/>
  <c r="X17" i="19"/>
  <c r="W17" i="19"/>
  <c r="X53" i="19"/>
  <c r="W53" i="19"/>
  <c r="X90" i="19"/>
  <c r="X95" i="19"/>
  <c r="W95" i="19"/>
  <c r="W150" i="19"/>
  <c r="W181" i="19"/>
  <c r="W85" i="19"/>
  <c r="X85" i="19"/>
  <c r="X39" i="19"/>
  <c r="W39" i="19"/>
  <c r="W121" i="19"/>
  <c r="X121" i="19"/>
  <c r="X191" i="19"/>
  <c r="W191" i="19"/>
  <c r="X21" i="19"/>
  <c r="W21" i="19"/>
  <c r="W372" i="19"/>
  <c r="W430" i="19"/>
  <c r="X430" i="19"/>
  <c r="X126" i="19"/>
  <c r="W126" i="19"/>
  <c r="X154" i="19"/>
  <c r="W154" i="19"/>
  <c r="X267" i="19"/>
  <c r="W267" i="19"/>
  <c r="X341" i="19"/>
  <c r="W341" i="19"/>
  <c r="X265" i="19"/>
  <c r="W265" i="19"/>
  <c r="X457" i="19"/>
  <c r="W457" i="19"/>
  <c r="X491" i="19"/>
  <c r="W491" i="19"/>
  <c r="X257" i="19"/>
  <c r="W257" i="19"/>
  <c r="W422" i="19"/>
  <c r="W18" i="19"/>
  <c r="X18" i="19"/>
  <c r="X340" i="19"/>
  <c r="W340" i="19"/>
  <c r="X145" i="19"/>
  <c r="W145" i="19"/>
  <c r="X262" i="19"/>
  <c r="W262" i="19"/>
  <c r="X449" i="19"/>
  <c r="W449" i="19"/>
  <c r="W139" i="19"/>
  <c r="W165" i="19"/>
  <c r="W442" i="19"/>
  <c r="X26" i="19"/>
  <c r="W26" i="19"/>
  <c r="W77" i="19"/>
  <c r="W82" i="19"/>
  <c r="X110" i="19"/>
  <c r="W110" i="19"/>
  <c r="W174" i="19"/>
  <c r="W371" i="19"/>
  <c r="X395" i="19"/>
  <c r="X321" i="19"/>
  <c r="W321" i="19"/>
  <c r="W346" i="19"/>
  <c r="X192" i="19"/>
  <c r="W192" i="19"/>
  <c r="X303" i="19"/>
  <c r="W303" i="19"/>
  <c r="X351" i="19"/>
  <c r="W351" i="19"/>
  <c r="X399" i="19"/>
  <c r="W399" i="19"/>
  <c r="X500" i="19"/>
  <c r="W500" i="19"/>
  <c r="X119" i="19"/>
  <c r="W119" i="19"/>
  <c r="W149" i="19"/>
  <c r="X175" i="19"/>
  <c r="W175" i="19"/>
  <c r="X193" i="19"/>
  <c r="W193" i="19"/>
  <c r="X217" i="19"/>
  <c r="W217" i="19"/>
  <c r="X225" i="19"/>
  <c r="W225" i="19"/>
  <c r="X233" i="19"/>
  <c r="W233" i="19"/>
  <c r="X318" i="19"/>
  <c r="W384" i="19"/>
  <c r="W443" i="19"/>
  <c r="X131" i="19"/>
  <c r="W131" i="19"/>
  <c r="X160" i="19"/>
  <c r="W160" i="19"/>
  <c r="X209" i="19"/>
  <c r="W209" i="19"/>
  <c r="X289" i="19"/>
  <c r="W289" i="19"/>
  <c r="X353" i="19"/>
  <c r="W353" i="19"/>
  <c r="X369" i="19"/>
  <c r="W369" i="19"/>
  <c r="X459" i="19"/>
  <c r="W459" i="19"/>
  <c r="X87" i="19"/>
  <c r="W87" i="19"/>
  <c r="X168" i="19"/>
  <c r="W168" i="19"/>
  <c r="W185" i="19"/>
  <c r="X273" i="19"/>
  <c r="W273" i="19"/>
  <c r="X385" i="19"/>
  <c r="W385" i="19"/>
  <c r="X393" i="19"/>
  <c r="W393" i="19"/>
  <c r="X69" i="19"/>
  <c r="W69" i="19"/>
  <c r="X186" i="19"/>
  <c r="W186" i="19"/>
  <c r="W16" i="19"/>
  <c r="X37" i="19"/>
  <c r="W37" i="19"/>
  <c r="W123" i="19"/>
  <c r="X177" i="19"/>
  <c r="W177" i="19"/>
  <c r="X283" i="19"/>
  <c r="X334" i="19"/>
  <c r="W366" i="19"/>
  <c r="W373" i="19"/>
  <c r="X425" i="19"/>
  <c r="W425" i="19"/>
  <c r="W462" i="19"/>
  <c r="W485" i="19"/>
  <c r="X501" i="19"/>
  <c r="W501" i="19"/>
  <c r="X75" i="19"/>
  <c r="W75" i="19"/>
  <c r="X151" i="19"/>
  <c r="W151" i="19"/>
  <c r="X239" i="19"/>
  <c r="W239" i="19"/>
  <c r="X335" i="19"/>
  <c r="W335" i="19"/>
  <c r="X433" i="19"/>
  <c r="W433" i="19"/>
  <c r="X54" i="19"/>
  <c r="X276" i="19"/>
  <c r="W352" i="19"/>
  <c r="X382" i="19"/>
  <c r="W382" i="19"/>
  <c r="X463" i="19"/>
  <c r="W463" i="19"/>
  <c r="X201" i="19"/>
  <c r="W201" i="19"/>
  <c r="X271" i="19"/>
  <c r="W271" i="19"/>
  <c r="X481" i="19"/>
  <c r="W481" i="19"/>
  <c r="X241" i="19"/>
  <c r="W241" i="19"/>
  <c r="X297" i="19"/>
  <c r="W297" i="19"/>
  <c r="X367" i="19"/>
  <c r="W367" i="19"/>
  <c r="X305" i="19"/>
  <c r="W305" i="19"/>
  <c r="X361" i="19"/>
  <c r="W361" i="19"/>
  <c r="X431" i="19"/>
  <c r="W431" i="19"/>
  <c r="W8" i="19"/>
  <c r="X15" i="19"/>
  <c r="W15" i="19"/>
  <c r="X55" i="19"/>
  <c r="W55" i="19"/>
  <c r="X101" i="19"/>
  <c r="W101" i="19"/>
  <c r="X142" i="19"/>
  <c r="W142" i="19"/>
  <c r="X207" i="19"/>
  <c r="W207" i="19"/>
  <c r="W277" i="19"/>
  <c r="X417" i="19"/>
  <c r="W417" i="19"/>
  <c r="W19" i="19"/>
  <c r="W33" i="19"/>
  <c r="W42" i="19"/>
  <c r="W51" i="19"/>
  <c r="W65" i="19"/>
  <c r="W74" i="19"/>
  <c r="W83" i="19"/>
  <c r="W97" i="19"/>
  <c r="W106" i="19"/>
  <c r="W115" i="19"/>
  <c r="W129" i="19"/>
  <c r="W138" i="19"/>
  <c r="W147" i="19"/>
  <c r="W182" i="19"/>
  <c r="W214" i="19"/>
  <c r="W246" i="19"/>
  <c r="W278" i="19"/>
  <c r="W310" i="19"/>
  <c r="W342" i="19"/>
  <c r="W374" i="19"/>
  <c r="W406" i="19"/>
  <c r="W438" i="19"/>
  <c r="W470" i="19"/>
  <c r="W502" i="19"/>
  <c r="W171" i="19"/>
  <c r="W188" i="19"/>
  <c r="W204" i="19"/>
  <c r="W220" i="19"/>
  <c r="W236" i="19"/>
  <c r="W252" i="19"/>
  <c r="W268" i="19"/>
  <c r="W284" i="19"/>
  <c r="W300" i="19"/>
  <c r="W316" i="19"/>
  <c r="W332" i="19"/>
  <c r="W348" i="19"/>
  <c r="W364" i="19"/>
  <c r="W380" i="19"/>
  <c r="W396" i="19"/>
  <c r="W412" i="19"/>
  <c r="W428" i="19"/>
  <c r="W444" i="19"/>
  <c r="W460" i="19"/>
  <c r="W476" i="19"/>
  <c r="W492" i="19"/>
  <c r="W11" i="19"/>
  <c r="W20" i="19"/>
  <c r="W24" i="19"/>
  <c r="W28" i="19"/>
  <c r="W32" i="19"/>
  <c r="W36" i="19"/>
  <c r="W40" i="19"/>
  <c r="W44" i="19"/>
  <c r="W48" i="19"/>
  <c r="W52" i="19"/>
  <c r="W56" i="19"/>
  <c r="W60" i="19"/>
  <c r="W64" i="19"/>
  <c r="W68" i="19"/>
  <c r="W72" i="19"/>
  <c r="W76" i="19"/>
  <c r="W80" i="19"/>
  <c r="W84" i="19"/>
  <c r="W88" i="19"/>
  <c r="W92" i="19"/>
  <c r="W96" i="19"/>
  <c r="W100" i="19"/>
  <c r="W104" i="19"/>
  <c r="W108" i="19"/>
  <c r="W112" i="19"/>
  <c r="W116" i="19"/>
  <c r="W120" i="19"/>
  <c r="W124" i="19"/>
  <c r="W128" i="19"/>
  <c r="W132" i="19"/>
  <c r="W136" i="19"/>
  <c r="W140" i="19"/>
  <c r="W144" i="19"/>
  <c r="W148" i="19"/>
  <c r="W152" i="19"/>
  <c r="W156" i="19"/>
  <c r="W166" i="19"/>
  <c r="W183" i="19"/>
  <c r="W199" i="19"/>
  <c r="W215" i="19"/>
  <c r="W231" i="19"/>
  <c r="W247" i="19"/>
  <c r="W263" i="19"/>
  <c r="W279" i="19"/>
  <c r="W295" i="19"/>
  <c r="W311" i="19"/>
  <c r="W327" i="19"/>
  <c r="W343" i="19"/>
  <c r="W359" i="19"/>
  <c r="W375" i="19"/>
  <c r="W391" i="19"/>
  <c r="W407" i="19"/>
  <c r="W423" i="19"/>
  <c r="W439" i="19"/>
  <c r="W455" i="19"/>
  <c r="W471" i="19"/>
  <c r="W487" i="19"/>
  <c r="W503" i="19"/>
  <c r="DK301" i="55" l="1"/>
  <c r="DK220" i="55"/>
  <c r="DK65" i="55"/>
  <c r="DN87" i="55"/>
  <c r="DK237" i="55"/>
  <c r="DK113" i="55"/>
  <c r="DK253" i="55"/>
  <c r="DN179" i="55"/>
  <c r="DK94" i="55"/>
  <c r="DN204" i="55"/>
  <c r="DK247" i="55"/>
  <c r="DN332" i="55"/>
  <c r="DK161" i="55"/>
  <c r="DN78" i="55"/>
  <c r="DN172" i="55"/>
  <c r="DK173" i="55"/>
  <c r="DK168" i="55"/>
  <c r="DN158" i="55"/>
  <c r="DK131" i="55"/>
  <c r="DK60" i="55"/>
  <c r="DK190" i="55"/>
  <c r="DN169" i="55"/>
  <c r="CA191" i="55"/>
  <c r="CX191" i="55"/>
  <c r="CA63" i="55"/>
  <c r="CB63" i="55" s="1"/>
  <c r="CC63" i="55" s="1"/>
  <c r="BN63" i="55" a="1"/>
  <c r="BN63" i="55" s="1"/>
  <c r="DU63" i="55" s="1"/>
  <c r="CX63" i="55"/>
  <c r="DC63" i="55"/>
  <c r="DC259" i="55"/>
  <c r="BM143" i="55" a="1"/>
  <c r="BM143" i="55" s="1"/>
  <c r="CP271" i="55"/>
  <c r="BB20" i="54"/>
  <c r="CP128" i="55"/>
  <c r="DK302" i="55"/>
  <c r="C118" i="55"/>
  <c r="CS322" i="55"/>
  <c r="CW49" i="55"/>
  <c r="CP306" i="55"/>
  <c r="BD20" i="54"/>
  <c r="DN350" i="55"/>
  <c r="GD185" i="55"/>
  <c r="CR271" i="55"/>
  <c r="CU128" i="55"/>
  <c r="BC26" i="54"/>
  <c r="DC31" i="55"/>
  <c r="DC25" i="55"/>
  <c r="CX198" i="55"/>
  <c r="DC300" i="55"/>
  <c r="BN334" i="55" a="1"/>
  <c r="BN334" i="55" s="1"/>
  <c r="DU334" i="55" s="1"/>
  <c r="DC329" i="55"/>
  <c r="C81" i="55"/>
  <c r="DN331" i="55"/>
  <c r="BN239" i="55" a="1"/>
  <c r="BN239" i="55" s="1"/>
  <c r="CS306" i="55"/>
  <c r="CQ143" i="55"/>
  <c r="CU271" i="55"/>
  <c r="CV128" i="55"/>
  <c r="DC73" i="55"/>
  <c r="CT271" i="55"/>
  <c r="CR306" i="55"/>
  <c r="CW143" i="55"/>
  <c r="GD201" i="55"/>
  <c r="CT143" i="55"/>
  <c r="CX128" i="55"/>
  <c r="DK248" i="55"/>
  <c r="C216" i="55"/>
  <c r="CQ175" i="55"/>
  <c r="GD300" i="55"/>
  <c r="CO130" i="55"/>
  <c r="CU322" i="55"/>
  <c r="CS85" i="55"/>
  <c r="CW271" i="55"/>
  <c r="CU143" i="55"/>
  <c r="CU287" i="55"/>
  <c r="CQ112" i="55"/>
  <c r="CS128" i="55"/>
  <c r="C259" i="55"/>
  <c r="DC157" i="55"/>
  <c r="C134" i="55"/>
  <c r="CQ290" i="55"/>
  <c r="C86" i="55"/>
  <c r="DC169" i="55"/>
  <c r="CR343" i="55"/>
  <c r="GD167" i="55"/>
  <c r="CP320" i="55"/>
  <c r="DC198" i="55"/>
  <c r="GD264" i="55"/>
  <c r="BM31" i="55" a="1"/>
  <c r="BM31" i="55" s="1"/>
  <c r="BM304" i="55" a="1"/>
  <c r="BM304" i="55" s="1"/>
  <c r="CA304" i="55" s="1"/>
  <c r="CS321" i="55"/>
  <c r="GD221" i="55"/>
  <c r="DK193" i="55"/>
  <c r="CQ343" i="55"/>
  <c r="CR320" i="55"/>
  <c r="BM219" i="55" a="1"/>
  <c r="BM219" i="55" s="1"/>
  <c r="CA219" i="55" s="1"/>
  <c r="DN126" i="55"/>
  <c r="CS159" i="55"/>
  <c r="GD75" i="55"/>
  <c r="CR33" i="55"/>
  <c r="CU130" i="55"/>
  <c r="CV322" i="55"/>
  <c r="CV143" i="55"/>
  <c r="CQ287" i="55"/>
  <c r="GD90" i="55"/>
  <c r="CS112" i="55"/>
  <c r="CT160" i="55"/>
  <c r="DC255" i="55"/>
  <c r="CQ321" i="55"/>
  <c r="GD301" i="55"/>
  <c r="GD113" i="55"/>
  <c r="DC207" i="55"/>
  <c r="CT343" i="55"/>
  <c r="GD276" i="55"/>
  <c r="CQ320" i="55"/>
  <c r="BM251" i="55" a="1"/>
  <c r="BM251" i="55" s="1"/>
  <c r="CX251" i="55" s="1"/>
  <c r="GD296" i="55"/>
  <c r="DN27" i="55"/>
  <c r="GD155" i="55"/>
  <c r="BC18" i="54"/>
  <c r="GD236" i="55"/>
  <c r="CT130" i="55"/>
  <c r="CW322" i="55"/>
  <c r="CQ159" i="55"/>
  <c r="CW287" i="55"/>
  <c r="CR160" i="55"/>
  <c r="BM135" i="55" a="1"/>
  <c r="BM135" i="55" s="1"/>
  <c r="CB135" i="55" s="1"/>
  <c r="CC135" i="55" s="1"/>
  <c r="CH135" i="55" s="1"/>
  <c r="DN137" i="55"/>
  <c r="CW130" i="55"/>
  <c r="GD16" i="55"/>
  <c r="CW290" i="55"/>
  <c r="CS343" i="55"/>
  <c r="CQ192" i="55"/>
  <c r="CR97" i="55"/>
  <c r="CV22" i="55"/>
  <c r="CR290" i="55"/>
  <c r="CU304" i="55"/>
  <c r="CU343" i="55"/>
  <c r="C22" i="55"/>
  <c r="GD199" i="55"/>
  <c r="CW306" i="55"/>
  <c r="CU319" i="55"/>
  <c r="C252" i="55"/>
  <c r="GD91" i="55"/>
  <c r="CQ113" i="55"/>
  <c r="BM99" i="55" a="1"/>
  <c r="BM99" i="55" s="1"/>
  <c r="CA99" i="55" s="1"/>
  <c r="CQ322" i="55"/>
  <c r="CV175" i="55"/>
  <c r="CO31" i="55"/>
  <c r="CT335" i="55"/>
  <c r="CR159" i="55"/>
  <c r="CX239" i="55"/>
  <c r="CV287" i="55"/>
  <c r="CQ32" i="55"/>
  <c r="CQ160" i="55"/>
  <c r="CP164" i="55"/>
  <c r="DK269" i="55"/>
  <c r="CP97" i="55"/>
  <c r="BM156" i="55" a="1"/>
  <c r="BM156" i="55" s="1"/>
  <c r="CA156" i="55" s="1"/>
  <c r="CW22" i="55"/>
  <c r="BM22" i="55" a="1"/>
  <c r="BM22" i="55" s="1"/>
  <c r="BN22" i="55" s="1" a="1"/>
  <c r="BN22" i="55" s="1"/>
  <c r="DU22" i="55" s="1"/>
  <c r="CW304" i="55"/>
  <c r="DN114" i="55"/>
  <c r="C54" i="55"/>
  <c r="C197" i="55"/>
  <c r="CP120" i="55"/>
  <c r="CO319" i="55"/>
  <c r="CS319" i="55" s="1"/>
  <c r="CQ210" i="55"/>
  <c r="GD171" i="55"/>
  <c r="BM163" i="55" a="1"/>
  <c r="BM163" i="55" s="1"/>
  <c r="CX163" i="55" s="1"/>
  <c r="CW194" i="55"/>
  <c r="CT322" i="55"/>
  <c r="BM178" i="55" a="1"/>
  <c r="BM178" i="55" s="1"/>
  <c r="CX178" i="55" s="1"/>
  <c r="CP175" i="55"/>
  <c r="DK187" i="55"/>
  <c r="CP31" i="55"/>
  <c r="CV335" i="55"/>
  <c r="CW159" i="55"/>
  <c r="CQ303" i="55"/>
  <c r="GD26" i="55"/>
  <c r="CP32" i="55"/>
  <c r="CW112" i="55"/>
  <c r="CV160" i="55"/>
  <c r="CW321" i="55"/>
  <c r="DN233" i="55"/>
  <c r="DN205" i="55"/>
  <c r="CS324" i="55"/>
  <c r="CW164" i="55"/>
  <c r="CU256" i="55"/>
  <c r="GD112" i="55"/>
  <c r="BB23" i="54"/>
  <c r="CT97" i="55"/>
  <c r="GD67" i="55"/>
  <c r="CQ22" i="55"/>
  <c r="CX304" i="55"/>
  <c r="CR47" i="55"/>
  <c r="DC236" i="55"/>
  <c r="DC9" i="55"/>
  <c r="DC241" i="55"/>
  <c r="CT120" i="55"/>
  <c r="BM320" i="55" a="1"/>
  <c r="BM320" i="55" s="1"/>
  <c r="CQ33" i="55"/>
  <c r="CQ194" i="55"/>
  <c r="CR322" i="55"/>
  <c r="CX210" i="55"/>
  <c r="CS175" i="55"/>
  <c r="GD57" i="55"/>
  <c r="CX112" i="55"/>
  <c r="CP160" i="55"/>
  <c r="CW274" i="55"/>
  <c r="C19" i="55"/>
  <c r="CS164" i="55"/>
  <c r="GD173" i="55"/>
  <c r="CW256" i="55"/>
  <c r="CX275" i="55"/>
  <c r="CV97" i="55"/>
  <c r="BM27" i="55" a="1"/>
  <c r="BM27" i="55" s="1"/>
  <c r="CA27" i="55" s="1"/>
  <c r="BM123" i="55" a="1"/>
  <c r="BM123" i="55" s="1"/>
  <c r="CA123" i="55" s="1"/>
  <c r="CR120" i="55"/>
  <c r="DC108" i="55"/>
  <c r="DN243" i="55"/>
  <c r="C133" i="55"/>
  <c r="CS108" i="55"/>
  <c r="CO120" i="55"/>
  <c r="CS120" i="55" s="1"/>
  <c r="CI267" i="55"/>
  <c r="CJ267" i="55"/>
  <c r="CZ331" i="55"/>
  <c r="CY332" i="55"/>
  <c r="CI161" i="55"/>
  <c r="CJ161" i="55"/>
  <c r="CY104" i="55"/>
  <c r="CY105" i="55" s="1"/>
  <c r="CZ103" i="55"/>
  <c r="CA192" i="55"/>
  <c r="BN192" i="55" a="1"/>
  <c r="BN192" i="55" s="1"/>
  <c r="DU192" i="55" s="1"/>
  <c r="CX192" i="55"/>
  <c r="CA287" i="55"/>
  <c r="CX287" i="55"/>
  <c r="CY320" i="55"/>
  <c r="CZ319" i="55"/>
  <c r="CI327" i="55"/>
  <c r="CJ327" i="55"/>
  <c r="CI329" i="55"/>
  <c r="CJ329" i="55"/>
  <c r="CA79" i="55"/>
  <c r="BN79" i="55" a="1"/>
  <c r="BN79" i="55" s="1"/>
  <c r="DU79" i="55" s="1"/>
  <c r="CX79" i="55"/>
  <c r="CA206" i="55"/>
  <c r="CB206" i="55" s="1"/>
  <c r="CC206" i="55" s="1"/>
  <c r="BN206" i="55" a="1"/>
  <c r="BN206" i="55" s="1"/>
  <c r="CA320" i="55"/>
  <c r="BN320" i="55" a="1"/>
  <c r="BN320" i="55" s="1"/>
  <c r="DU320" i="55" s="1"/>
  <c r="CZ284" i="55"/>
  <c r="CY285" i="55"/>
  <c r="CI304" i="55"/>
  <c r="CJ304" i="55"/>
  <c r="CI228" i="55"/>
  <c r="CJ228" i="55"/>
  <c r="CI331" i="55"/>
  <c r="CJ331" i="55"/>
  <c r="GD321" i="55"/>
  <c r="BN271" i="55" a="1"/>
  <c r="BN271" i="55" s="1"/>
  <c r="DU271" i="55" s="1"/>
  <c r="EB311" i="55"/>
  <c r="C162" i="55"/>
  <c r="EB338" i="55"/>
  <c r="C325" i="55"/>
  <c r="BN59" i="55" a="1"/>
  <c r="BN59" i="55" s="1"/>
  <c r="DU59" i="55" s="1"/>
  <c r="CQ319" i="55"/>
  <c r="CX81" i="55"/>
  <c r="EB9" i="55"/>
  <c r="EB259" i="55"/>
  <c r="GD106" i="55"/>
  <c r="EB199" i="55"/>
  <c r="DC131" i="55"/>
  <c r="DC201" i="55"/>
  <c r="C84" i="55"/>
  <c r="EB213" i="55"/>
  <c r="DC228" i="55"/>
  <c r="C71" i="55"/>
  <c r="EB305" i="55"/>
  <c r="C328" i="55"/>
  <c r="C184" i="55"/>
  <c r="CP49" i="55"/>
  <c r="CR49" i="55"/>
  <c r="CR220" i="55"/>
  <c r="CS220" i="55"/>
  <c r="CB191" i="55"/>
  <c r="CC191" i="55" s="1"/>
  <c r="CH191" i="55" s="1"/>
  <c r="EB233" i="55"/>
  <c r="C247" i="55"/>
  <c r="BN283" i="55" a="1"/>
  <c r="BN283" i="55" s="1"/>
  <c r="DU283" i="55" s="1"/>
  <c r="CQ104" i="55"/>
  <c r="C200" i="55"/>
  <c r="EB159" i="55"/>
  <c r="GD13" i="55"/>
  <c r="CJ63" i="55"/>
  <c r="GD274" i="55"/>
  <c r="C82" i="55"/>
  <c r="DC80" i="55"/>
  <c r="DC272" i="55"/>
  <c r="DC333" i="55"/>
  <c r="EB342" i="55"/>
  <c r="CR319" i="55"/>
  <c r="GD312" i="55"/>
  <c r="CP63" i="55"/>
  <c r="CW63" i="55"/>
  <c r="BN207" i="55" a="1"/>
  <c r="BN207" i="55" s="1"/>
  <c r="CB207" i="55" s="1"/>
  <c r="CC207" i="55" s="1"/>
  <c r="CH207" i="55" s="1"/>
  <c r="BM288" i="55" a="1"/>
  <c r="BM288" i="55" s="1"/>
  <c r="CA288" i="55" s="1"/>
  <c r="DA93" i="55" a="1"/>
  <c r="DA93" i="55" s="1"/>
  <c r="DB93" i="55"/>
  <c r="GD317" i="55"/>
  <c r="DN238" i="55"/>
  <c r="DC159" i="55"/>
  <c r="DB320" i="55"/>
  <c r="DN76" i="55"/>
  <c r="EB273" i="55"/>
  <c r="CJ40" i="55"/>
  <c r="DC237" i="55"/>
  <c r="CR304" i="55"/>
  <c r="BN349" i="55" a="1"/>
  <c r="BN349" i="55" s="1"/>
  <c r="DU349" i="55" s="1"/>
  <c r="GD85" i="55"/>
  <c r="BN203" i="55" a="1"/>
  <c r="BN203" i="55" s="1"/>
  <c r="DU203" i="55" s="1"/>
  <c r="CT207" i="55"/>
  <c r="DK93" i="55"/>
  <c r="DA336" i="55" a="1"/>
  <c r="DA336" i="55" s="1"/>
  <c r="CT319" i="55"/>
  <c r="DN134" i="55"/>
  <c r="DK134" i="55"/>
  <c r="CV32" i="55"/>
  <c r="CU32" i="55"/>
  <c r="CZ339" i="55"/>
  <c r="BN81" i="55" a="1"/>
  <c r="BN81" i="55" s="1"/>
  <c r="DU81" i="55" s="1"/>
  <c r="GD122" i="55"/>
  <c r="GD346" i="55"/>
  <c r="CZ90" i="55"/>
  <c r="CB283" i="55"/>
  <c r="CC283" i="55" s="1"/>
  <c r="CD283" i="55" s="1"/>
  <c r="EB318" i="55"/>
  <c r="CT256" i="55"/>
  <c r="DA320" i="55" a="1"/>
  <c r="DA320" i="55" s="1"/>
  <c r="EB22" i="55"/>
  <c r="CR278" i="55"/>
  <c r="CW342" i="55"/>
  <c r="DB109" i="55"/>
  <c r="DC109" i="55" s="1"/>
  <c r="CW121" i="55"/>
  <c r="CJ155" i="55"/>
  <c r="EB98" i="55"/>
  <c r="BN191" i="55" a="1"/>
  <c r="BN191" i="55" s="1"/>
  <c r="CQ304" i="55"/>
  <c r="GD342" i="55"/>
  <c r="C263" i="55"/>
  <c r="CX207" i="55"/>
  <c r="GD135" i="55"/>
  <c r="CJ307" i="55"/>
  <c r="DK318" i="55"/>
  <c r="C150" i="55"/>
  <c r="CV319" i="55"/>
  <c r="AY120" i="55"/>
  <c r="BR3" i="55"/>
  <c r="BP3" i="55"/>
  <c r="CR223" i="55"/>
  <c r="CU223" i="55"/>
  <c r="EB284" i="55"/>
  <c r="CZ283" i="55"/>
  <c r="EB19" i="55"/>
  <c r="CP256" i="55"/>
  <c r="GD64" i="55"/>
  <c r="CJ187" i="55"/>
  <c r="BN56" i="55" a="1"/>
  <c r="BN56" i="55" s="1"/>
  <c r="DU56" i="55" s="1"/>
  <c r="CV207" i="55"/>
  <c r="EB146" i="55"/>
  <c r="EB160" i="55"/>
  <c r="EB242" i="55"/>
  <c r="EB33" i="55"/>
  <c r="BW225" i="55"/>
  <c r="AY307" i="55"/>
  <c r="E307" i="55" s="1"/>
  <c r="AZ307" i="55" s="1"/>
  <c r="C182" i="55"/>
  <c r="GD277" i="55"/>
  <c r="AY226" i="55"/>
  <c r="BW132" i="55"/>
  <c r="CJ132" i="55" s="1"/>
  <c r="CP207" i="55"/>
  <c r="GD70" i="55"/>
  <c r="DC238" i="55"/>
  <c r="CX319" i="55"/>
  <c r="C232" i="55"/>
  <c r="GD248" i="55"/>
  <c r="DK70" i="55"/>
  <c r="DN70" i="55"/>
  <c r="CQ130" i="55"/>
  <c r="CS130" i="55"/>
  <c r="AY218" i="55"/>
  <c r="E218" i="55" s="1"/>
  <c r="AZ218" i="55" s="1"/>
  <c r="DA323" i="55" a="1"/>
  <c r="DA323" i="55" s="1"/>
  <c r="DB323" i="55"/>
  <c r="BD18" i="54"/>
  <c r="EB44" i="55"/>
  <c r="EB123" i="55"/>
  <c r="EB38" i="55"/>
  <c r="EB278" i="55"/>
  <c r="CZ318" i="55"/>
  <c r="CV256" i="55"/>
  <c r="GD66" i="55"/>
  <c r="EB161" i="55"/>
  <c r="AY127" i="55"/>
  <c r="AY161" i="55"/>
  <c r="E161" i="55" s="1"/>
  <c r="AZ161" i="55" s="1"/>
  <c r="DC47" i="55"/>
  <c r="C119" i="55"/>
  <c r="CQ207" i="55"/>
  <c r="DC196" i="55"/>
  <c r="AY304" i="55"/>
  <c r="E304" i="55" s="1"/>
  <c r="AZ304" i="55" s="1"/>
  <c r="CQ162" i="55"/>
  <c r="DT162" i="55"/>
  <c r="EB247" i="55"/>
  <c r="GD269" i="55"/>
  <c r="DN270" i="55"/>
  <c r="EB232" i="55"/>
  <c r="CR256" i="55"/>
  <c r="CJ289" i="55"/>
  <c r="BN198" i="55" a="1"/>
  <c r="BN198" i="55" s="1"/>
  <c r="DU198" i="55" s="1"/>
  <c r="CX278" i="55"/>
  <c r="CJ129" i="55"/>
  <c r="CQ278" i="55"/>
  <c r="CR288" i="55"/>
  <c r="GD195" i="55"/>
  <c r="CQ121" i="55"/>
  <c r="CI223" i="55"/>
  <c r="DK305" i="55"/>
  <c r="CP309" i="55"/>
  <c r="DB352" i="55"/>
  <c r="CW343" i="55"/>
  <c r="C164" i="55"/>
  <c r="CX96" i="55"/>
  <c r="BN237" i="55" a="1"/>
  <c r="BN237" i="55" s="1"/>
  <c r="CB237" i="55" s="1"/>
  <c r="CC237" i="55" s="1"/>
  <c r="CX320" i="55"/>
  <c r="CJ217" i="55"/>
  <c r="CS207" i="55"/>
  <c r="CI339" i="55"/>
  <c r="BN278" i="55" a="1"/>
  <c r="BN278" i="55" s="1"/>
  <c r="CV255" i="55"/>
  <c r="DK198" i="55"/>
  <c r="DN198" i="55"/>
  <c r="DA339" i="55" a="1"/>
  <c r="DA339" i="55" s="1"/>
  <c r="DB339" i="55"/>
  <c r="C80" i="55"/>
  <c r="BW71" i="55"/>
  <c r="CI71" i="55" s="1"/>
  <c r="BW231" i="55"/>
  <c r="CI231" i="55" s="1"/>
  <c r="DC221" i="55"/>
  <c r="CJ79" i="55"/>
  <c r="CY226" i="55"/>
  <c r="EB279" i="55"/>
  <c r="CV164" i="55"/>
  <c r="CJ14" i="55"/>
  <c r="CX256" i="55"/>
  <c r="CW214" i="55"/>
  <c r="CQ275" i="55"/>
  <c r="EB154" i="55"/>
  <c r="CY92" i="55"/>
  <c r="CY93" i="55" s="1"/>
  <c r="CY94" i="55" s="1"/>
  <c r="CW288" i="55"/>
  <c r="CF3" i="55"/>
  <c r="DC173" i="55"/>
  <c r="DK225" i="55"/>
  <c r="CR309" i="55"/>
  <c r="C322" i="55"/>
  <c r="AY255" i="55"/>
  <c r="E255" i="55" s="1"/>
  <c r="AZ255" i="55" s="1"/>
  <c r="DC324" i="55"/>
  <c r="GD132" i="55"/>
  <c r="CR36" i="55"/>
  <c r="DB32" i="55"/>
  <c r="DC32" i="55" s="1"/>
  <c r="CS96" i="55"/>
  <c r="CO320" i="55"/>
  <c r="CU207" i="55"/>
  <c r="DN347" i="55"/>
  <c r="CB278" i="55"/>
  <c r="CC278" i="55" s="1"/>
  <c r="AY233" i="55"/>
  <c r="AY267" i="55"/>
  <c r="CW65" i="55"/>
  <c r="CR255" i="55"/>
  <c r="GD72" i="55"/>
  <c r="EB293" i="55"/>
  <c r="DN214" i="55"/>
  <c r="DK214" i="55"/>
  <c r="BW279" i="55"/>
  <c r="AY279" i="55"/>
  <c r="E279" i="55" s="1"/>
  <c r="AZ279" i="55" s="1"/>
  <c r="CV271" i="55"/>
  <c r="CS271" i="55"/>
  <c r="EB171" i="55"/>
  <c r="EB329" i="55"/>
  <c r="CX271" i="55"/>
  <c r="BM50" i="55" a="1"/>
  <c r="BM50" i="55" s="1"/>
  <c r="BN50" i="55" s="1" a="1"/>
  <c r="BN50" i="55" s="1"/>
  <c r="CQ164" i="55"/>
  <c r="CQ256" i="55"/>
  <c r="CS121" i="55"/>
  <c r="AY50" i="55"/>
  <c r="E50" i="55" s="1"/>
  <c r="AZ50" i="55" s="1"/>
  <c r="CQ51" i="55"/>
  <c r="DC19" i="55"/>
  <c r="CQ309" i="55"/>
  <c r="CW220" i="55"/>
  <c r="CT36" i="55"/>
  <c r="EB274" i="55"/>
  <c r="CJ209" i="55"/>
  <c r="CT320" i="55"/>
  <c r="BM93" i="55" a="1"/>
  <c r="BM93" i="55" s="1"/>
  <c r="CA93" i="55" s="1"/>
  <c r="GD293" i="55"/>
  <c r="CW207" i="55"/>
  <c r="AY165" i="55"/>
  <c r="E165" i="55" s="1"/>
  <c r="AZ165" i="55" s="1"/>
  <c r="S3" i="40" s="1" a="1"/>
  <c r="S3" i="40" s="1"/>
  <c r="C327" i="55"/>
  <c r="DC289" i="55"/>
  <c r="BY307" i="55"/>
  <c r="BW299" i="55"/>
  <c r="CR204" i="55"/>
  <c r="CX255" i="55"/>
  <c r="CP159" i="55"/>
  <c r="CT159" i="55"/>
  <c r="EB108" i="55"/>
  <c r="CB112" i="55"/>
  <c r="CC112" i="55" s="1"/>
  <c r="CZ338" i="55"/>
  <c r="CY18" i="55"/>
  <c r="GD345" i="55"/>
  <c r="GD218" i="55"/>
  <c r="DC192" i="55"/>
  <c r="EB71" i="55"/>
  <c r="EB344" i="55"/>
  <c r="GD115" i="55"/>
  <c r="EB210" i="55"/>
  <c r="CX51" i="55"/>
  <c r="CJ252" i="55"/>
  <c r="AY97" i="55"/>
  <c r="DA208" i="55" a="1"/>
  <c r="DA208" i="55" s="1"/>
  <c r="DC208" i="55" s="1"/>
  <c r="CV309" i="55"/>
  <c r="CP220" i="55"/>
  <c r="CP36" i="55"/>
  <c r="CJ216" i="55"/>
  <c r="C295" i="55"/>
  <c r="CU320" i="55"/>
  <c r="C309" i="55"/>
  <c r="BN235" i="55" a="1"/>
  <c r="BN235" i="55" s="1"/>
  <c r="DU235" i="55" s="1"/>
  <c r="AY228" i="55"/>
  <c r="CJ320" i="55"/>
  <c r="EB24" i="55"/>
  <c r="CJ229" i="55"/>
  <c r="CX120" i="55"/>
  <c r="BN287" i="55" a="1"/>
  <c r="BN287" i="55" s="1"/>
  <c r="DU287" i="55" s="1"/>
  <c r="DB50" i="55"/>
  <c r="DC50" i="55" s="1"/>
  <c r="CQ255" i="55"/>
  <c r="BN286" i="55" a="1"/>
  <c r="BN286" i="55" s="1"/>
  <c r="DU286" i="55" s="1"/>
  <c r="DK262" i="55"/>
  <c r="DN262" i="55"/>
  <c r="EB35" i="55"/>
  <c r="EK5" i="55"/>
  <c r="EL5" i="55" s="1"/>
  <c r="EM5" i="55" s="1"/>
  <c r="GD15" i="55"/>
  <c r="GD249" i="55"/>
  <c r="EB66" i="55"/>
  <c r="DC96" i="55"/>
  <c r="CR51" i="55"/>
  <c r="DA111" i="55" a="1"/>
  <c r="DA111" i="55" s="1"/>
  <c r="DC111" i="55" s="1"/>
  <c r="CG341" i="55"/>
  <c r="AY284" i="55"/>
  <c r="E284" i="55" s="1"/>
  <c r="AZ284" i="55" s="1"/>
  <c r="EB80" i="55"/>
  <c r="CS309" i="55"/>
  <c r="BW178" i="55"/>
  <c r="BN348" i="55" a="1"/>
  <c r="BN348" i="55" s="1"/>
  <c r="DU348" i="55" s="1"/>
  <c r="CV220" i="55"/>
  <c r="CV36" i="55"/>
  <c r="EB81" i="55"/>
  <c r="DC288" i="55"/>
  <c r="CW320" i="55"/>
  <c r="CJ301" i="55"/>
  <c r="GD151" i="55"/>
  <c r="C181" i="55"/>
  <c r="BM155" i="55" a="1"/>
  <c r="BM155" i="55" s="1"/>
  <c r="CX155" i="55" s="1"/>
  <c r="DK155" i="55"/>
  <c r="CU120" i="55"/>
  <c r="CQ97" i="55"/>
  <c r="DN278" i="55"/>
  <c r="DK278" i="55"/>
  <c r="CW278" i="55"/>
  <c r="DK151" i="55"/>
  <c r="DN151" i="55"/>
  <c r="DA64" i="55" a="1"/>
  <c r="DA64" i="55" s="1"/>
  <c r="DB64" i="55"/>
  <c r="AY239" i="55"/>
  <c r="E239" i="55" s="1"/>
  <c r="AZ239" i="55" s="1"/>
  <c r="CU175" i="55"/>
  <c r="BM175" i="55" a="1"/>
  <c r="BM175" i="55" s="1"/>
  <c r="CR287" i="55"/>
  <c r="EB26" i="55"/>
  <c r="EB180" i="55"/>
  <c r="EB118" i="55"/>
  <c r="BM263" i="55" a="1"/>
  <c r="BM263" i="55" s="1"/>
  <c r="CA263" i="55" s="1"/>
  <c r="DK329" i="55"/>
  <c r="CU309" i="55"/>
  <c r="C262" i="55"/>
  <c r="CT220" i="55"/>
  <c r="DN333" i="55"/>
  <c r="CS36" i="55"/>
  <c r="CJ219" i="55"/>
  <c r="CS320" i="55"/>
  <c r="DK252" i="55"/>
  <c r="CJ251" i="55"/>
  <c r="DC281" i="55"/>
  <c r="CJ245" i="55"/>
  <c r="DC144" i="55"/>
  <c r="CQ108" i="55"/>
  <c r="CQ120" i="55"/>
  <c r="GD136" i="55"/>
  <c r="CW319" i="55"/>
  <c r="CQ165" i="55"/>
  <c r="BN256" i="55" a="1"/>
  <c r="BN256" i="55" s="1"/>
  <c r="CB256" i="55" s="1"/>
  <c r="CC256" i="55" s="1"/>
  <c r="CH256" i="55" s="1"/>
  <c r="CJ29" i="55"/>
  <c r="CS113" i="55"/>
  <c r="CQ258" i="55"/>
  <c r="CP335" i="55"/>
  <c r="CQ63" i="55"/>
  <c r="CR79" i="55"/>
  <c r="CP143" i="55"/>
  <c r="CO223" i="55"/>
  <c r="GD170" i="55"/>
  <c r="BW120" i="55"/>
  <c r="EB196" i="55"/>
  <c r="BW199" i="55"/>
  <c r="CJ199" i="55" s="1"/>
  <c r="CB235" i="55"/>
  <c r="CC235" i="55" s="1"/>
  <c r="CH235" i="55" s="1"/>
  <c r="EX235" i="55" s="1"/>
  <c r="CX324" i="55"/>
  <c r="EB150" i="55"/>
  <c r="BM3" i="55" a="1"/>
  <c r="BM3" i="55" s="1"/>
  <c r="CA3" i="55" s="1"/>
  <c r="EB183" i="55"/>
  <c r="DN157" i="55"/>
  <c r="DC15" i="55"/>
  <c r="CW309" i="55"/>
  <c r="CO220" i="55"/>
  <c r="EB162" i="55"/>
  <c r="BN221" i="55" a="1"/>
  <c r="BN221" i="55" s="1"/>
  <c r="DU221" i="55" s="1"/>
  <c r="C245" i="55"/>
  <c r="CJ211" i="55"/>
  <c r="CY55" i="55"/>
  <c r="DC302" i="55"/>
  <c r="DC301" i="55"/>
  <c r="DC147" i="55"/>
  <c r="BM319" i="55" a="1"/>
  <c r="BM319" i="55" s="1"/>
  <c r="DB49" i="55"/>
  <c r="DC49" i="55" s="1"/>
  <c r="GD8" i="55"/>
  <c r="DN156" i="55"/>
  <c r="DK156" i="55"/>
  <c r="CV31" i="55"/>
  <c r="CU31" i="55"/>
  <c r="CQ31" i="55"/>
  <c r="CA229" i="55"/>
  <c r="BN229" i="55" a="1"/>
  <c r="BN229" i="55" s="1"/>
  <c r="CA117" i="55"/>
  <c r="BN117" i="55" a="1"/>
  <c r="BN117" i="55" s="1"/>
  <c r="DU117" i="55" s="1"/>
  <c r="CA69" i="55"/>
  <c r="BN69" i="55" a="1"/>
  <c r="BN69" i="55" s="1"/>
  <c r="DU69" i="55" s="1"/>
  <c r="EU342" i="55"/>
  <c r="GU342" i="55" s="1"/>
  <c r="EV342" i="55"/>
  <c r="EU317" i="55"/>
  <c r="GU317" i="55" s="1"/>
  <c r="EV317" i="55"/>
  <c r="DK281" i="55"/>
  <c r="DN281" i="55"/>
  <c r="EV227" i="55"/>
  <c r="EU227" i="55"/>
  <c r="GU227" i="55" s="1"/>
  <c r="ET228" i="55"/>
  <c r="DK273" i="55"/>
  <c r="DN273" i="55"/>
  <c r="DK280" i="55"/>
  <c r="DN280" i="55"/>
  <c r="C217" i="55"/>
  <c r="GD217" i="55"/>
  <c r="CI67" i="55"/>
  <c r="CJ67" i="55"/>
  <c r="DZ28" i="55"/>
  <c r="DB317" i="55"/>
  <c r="DA317" i="55" a="1"/>
  <c r="DA317" i="55" s="1"/>
  <c r="BM317" i="55" a="1"/>
  <c r="BM317" i="55" s="1"/>
  <c r="CX317" i="55" s="1"/>
  <c r="DT148" i="55"/>
  <c r="CT133" i="55"/>
  <c r="CW133" i="55"/>
  <c r="CV133" i="55"/>
  <c r="CO133" i="55"/>
  <c r="CS133" i="55"/>
  <c r="CR133" i="55"/>
  <c r="CP133" i="55"/>
  <c r="CQ133" i="55"/>
  <c r="CU133" i="55"/>
  <c r="BM133" i="55" a="1"/>
  <c r="BM133" i="55" s="1"/>
  <c r="CA133" i="55" s="1"/>
  <c r="DZ63" i="55"/>
  <c r="CA213" i="55"/>
  <c r="BN213" i="55" a="1"/>
  <c r="BN213" i="55" s="1"/>
  <c r="AM3" i="40" a="1"/>
  <c r="AM3" i="40" s="1"/>
  <c r="C29" i="55"/>
  <c r="GD29" i="55"/>
  <c r="CS240" i="55"/>
  <c r="CT240" i="55"/>
  <c r="CW240" i="55"/>
  <c r="CQ240" i="55"/>
  <c r="CU240" i="55"/>
  <c r="CP240" i="55"/>
  <c r="CR240" i="55"/>
  <c r="CV240" i="55"/>
  <c r="BM240" i="55" a="1"/>
  <c r="BM240" i="55" s="1"/>
  <c r="DB102" i="55"/>
  <c r="DA102" i="55" a="1"/>
  <c r="DA102" i="55" s="1"/>
  <c r="BM102" i="55" a="1"/>
  <c r="BM102" i="55" s="1"/>
  <c r="CA102" i="55" s="1"/>
  <c r="CG328" i="55"/>
  <c r="CI103" i="55"/>
  <c r="CJ103" i="55"/>
  <c r="DA183" i="55" a="1"/>
  <c r="DA183" i="55" s="1"/>
  <c r="DB183" i="55"/>
  <c r="EV102" i="55"/>
  <c r="EU102" i="55"/>
  <c r="GU102" i="55" s="1"/>
  <c r="DN98" i="55"/>
  <c r="DK98" i="55"/>
  <c r="DK345" i="55"/>
  <c r="DN345" i="55"/>
  <c r="DK296" i="55"/>
  <c r="DN296" i="55"/>
  <c r="DK152" i="55"/>
  <c r="DN152" i="55"/>
  <c r="EB107" i="55"/>
  <c r="C233" i="55"/>
  <c r="GD233" i="55"/>
  <c r="CW273" i="55"/>
  <c r="CU273" i="55"/>
  <c r="CS273" i="55"/>
  <c r="CR273" i="55"/>
  <c r="CQ273" i="55"/>
  <c r="CT273" i="55"/>
  <c r="CV273" i="55"/>
  <c r="CP273" i="55"/>
  <c r="BM273" i="55" a="1"/>
  <c r="BM273" i="55" s="1"/>
  <c r="CI207" i="55"/>
  <c r="CJ207" i="55"/>
  <c r="CI99" i="55"/>
  <c r="CJ99" i="55"/>
  <c r="CA145" i="55"/>
  <c r="BN145" i="55" a="1"/>
  <c r="BN145" i="55" s="1"/>
  <c r="CR18" i="55"/>
  <c r="CQ18" i="55"/>
  <c r="CO18" i="55"/>
  <c r="CS18" i="55"/>
  <c r="CW18" i="55"/>
  <c r="CV18" i="55"/>
  <c r="CP18" i="55"/>
  <c r="CT18" i="55"/>
  <c r="CU18" i="55"/>
  <c r="CX18" i="55"/>
  <c r="DZ94" i="55"/>
  <c r="CA37" i="55"/>
  <c r="BN37" i="55" a="1"/>
  <c r="BN37" i="55" s="1"/>
  <c r="CB37" i="55" s="1"/>
  <c r="CC37" i="55" s="1"/>
  <c r="CX213" i="55"/>
  <c r="CV213" i="55"/>
  <c r="CT213" i="55"/>
  <c r="CR213" i="55"/>
  <c r="CP213" i="55"/>
  <c r="CU213" i="55"/>
  <c r="CS213" i="55"/>
  <c r="CW213" i="55"/>
  <c r="CQ213" i="55"/>
  <c r="CI131" i="55"/>
  <c r="CJ131" i="55"/>
  <c r="CI61" i="55"/>
  <c r="CJ61" i="55"/>
  <c r="BS14" i="54" a="1"/>
  <c r="BS14" i="54" s="1"/>
  <c r="U14" i="54" a="1"/>
  <c r="U14" i="54" s="1"/>
  <c r="BV14" i="54" a="1"/>
  <c r="BV14" i="54" s="1"/>
  <c r="W14" i="54" a="1"/>
  <c r="W14" i="54" s="1"/>
  <c r="ET103" i="55"/>
  <c r="DN264" i="55"/>
  <c r="DK264" i="55"/>
  <c r="CI255" i="55"/>
  <c r="CJ255" i="55"/>
  <c r="CI195" i="55"/>
  <c r="CJ195" i="55"/>
  <c r="DZ127" i="55"/>
  <c r="DZ191" i="55"/>
  <c r="CA53" i="55"/>
  <c r="BN53" i="55" a="1"/>
  <c r="BN53" i="55" s="1"/>
  <c r="DU53" i="55" s="1"/>
  <c r="CI19" i="55"/>
  <c r="BK24" i="54" s="1" a="1"/>
  <c r="BK24" i="54" s="1"/>
  <c r="CJ19" i="55"/>
  <c r="BO24" i="54" s="1" a="1"/>
  <c r="BO24" i="54" s="1"/>
  <c r="CI179" i="55"/>
  <c r="CJ179" i="55"/>
  <c r="CI233" i="55"/>
  <c r="DZ250" i="55"/>
  <c r="CQ276" i="55"/>
  <c r="CW276" i="55"/>
  <c r="CU276" i="55"/>
  <c r="CS276" i="55"/>
  <c r="CR276" i="55"/>
  <c r="CV276" i="55"/>
  <c r="CT276" i="55"/>
  <c r="CP276" i="55"/>
  <c r="BM276" i="55" a="1"/>
  <c r="BM276" i="55" s="1"/>
  <c r="DA136" i="55" a="1"/>
  <c r="DA136" i="55" s="1"/>
  <c r="DB136" i="55"/>
  <c r="BM136" i="55" a="1"/>
  <c r="BM136" i="55" s="1"/>
  <c r="CX136" i="55" s="1"/>
  <c r="CI264" i="55"/>
  <c r="CJ264" i="55"/>
  <c r="BS11" i="54" a="1"/>
  <c r="BS11" i="54" s="1"/>
  <c r="W11" i="54" a="1"/>
  <c r="W11" i="54" s="1"/>
  <c r="BV11" i="54" a="1"/>
  <c r="BV11" i="54" s="1"/>
  <c r="U11" i="54" a="1"/>
  <c r="U11" i="54" s="1"/>
  <c r="CQ339" i="55"/>
  <c r="CO339" i="55"/>
  <c r="CR339" i="55"/>
  <c r="CV339" i="55"/>
  <c r="CW339" i="55"/>
  <c r="CS339" i="55"/>
  <c r="CT339" i="55"/>
  <c r="CP339" i="55"/>
  <c r="CU339" i="55"/>
  <c r="BM339" i="55" a="1"/>
  <c r="BM339" i="55" s="1"/>
  <c r="CX339" i="55" s="1"/>
  <c r="CP134" i="55"/>
  <c r="CO134" i="55"/>
  <c r="CS134" i="55" s="1"/>
  <c r="CT134" i="55"/>
  <c r="CW134" i="55"/>
  <c r="CR134" i="55"/>
  <c r="CV134" i="55"/>
  <c r="CU134" i="55"/>
  <c r="CQ134" i="55"/>
  <c r="BM134" i="55" a="1"/>
  <c r="BM134" i="55" s="1"/>
  <c r="ET343" i="55"/>
  <c r="EV55" i="55"/>
  <c r="EU55" i="55"/>
  <c r="GU55" i="55" s="1"/>
  <c r="CG272" i="55"/>
  <c r="CI31" i="55"/>
  <c r="CK31" i="55"/>
  <c r="CL31" i="55" s="1"/>
  <c r="FH31" i="55" s="1"/>
  <c r="FJ31" i="55" s="1"/>
  <c r="CJ31" i="55"/>
  <c r="C265" i="55"/>
  <c r="GD265" i="55"/>
  <c r="CX145" i="55"/>
  <c r="CQ289" i="55"/>
  <c r="CV289" i="55"/>
  <c r="CS289" i="55"/>
  <c r="CW289" i="55"/>
  <c r="CP289" i="55"/>
  <c r="CU289" i="55"/>
  <c r="CT289" i="55"/>
  <c r="CR289" i="55"/>
  <c r="BM289" i="55" a="1"/>
  <c r="BM289" i="55" s="1"/>
  <c r="CI111" i="55"/>
  <c r="CJ111" i="55"/>
  <c r="CI303" i="55"/>
  <c r="CJ303" i="55"/>
  <c r="DZ204" i="55"/>
  <c r="CR34" i="55"/>
  <c r="CW34" i="55"/>
  <c r="CU34" i="55"/>
  <c r="CS34" i="55"/>
  <c r="CV34" i="55"/>
  <c r="CT34" i="55"/>
  <c r="CP34" i="55"/>
  <c r="CQ34" i="55"/>
  <c r="CR229" i="55"/>
  <c r="CX229" i="55"/>
  <c r="CP229" i="55"/>
  <c r="CQ229" i="55"/>
  <c r="CU229" i="55"/>
  <c r="CW229" i="55"/>
  <c r="CV229" i="55"/>
  <c r="CS229" i="55"/>
  <c r="CT229" i="55"/>
  <c r="CI125" i="55"/>
  <c r="CJ125" i="55"/>
  <c r="CI297" i="55"/>
  <c r="CJ297" i="55"/>
  <c r="DU32" i="55"/>
  <c r="BO32" i="55"/>
  <c r="BM183" i="55" a="1"/>
  <c r="BM183" i="55" s="1"/>
  <c r="DB71" i="55"/>
  <c r="DA71" i="55" a="1"/>
  <c r="DA71" i="55" s="1"/>
  <c r="DC71" i="55" s="1"/>
  <c r="BM71" i="55" a="1"/>
  <c r="BM71" i="55" s="1"/>
  <c r="CX71" i="55" s="1"/>
  <c r="DA279" i="55" a="1"/>
  <c r="DA279" i="55" s="1"/>
  <c r="DB279" i="55"/>
  <c r="BM279" i="55" a="1"/>
  <c r="BM279" i="55" s="1"/>
  <c r="AX10" i="54"/>
  <c r="AY10" i="54" s="1" a="1"/>
  <c r="AY10" i="54" s="1"/>
  <c r="CW3" i="55"/>
  <c r="CU3" i="55"/>
  <c r="CS3" i="55"/>
  <c r="CR3" i="55"/>
  <c r="CO3" i="55"/>
  <c r="CT3" i="55"/>
  <c r="CV3" i="55"/>
  <c r="CP3" i="55"/>
  <c r="CQ3" i="55"/>
  <c r="C281" i="55"/>
  <c r="GD281" i="55"/>
  <c r="AX16" i="54"/>
  <c r="AY16" i="54" s="1" a="1"/>
  <c r="AY16" i="54" s="1"/>
  <c r="CT69" i="55"/>
  <c r="CW69" i="55"/>
  <c r="CQ69" i="55"/>
  <c r="CO69" i="55"/>
  <c r="CS69" i="55" s="1"/>
  <c r="CX69" i="55"/>
  <c r="CP69" i="55"/>
  <c r="CR69" i="55"/>
  <c r="CU69" i="55"/>
  <c r="CV69" i="55"/>
  <c r="CA245" i="55"/>
  <c r="BN245" i="55" a="1"/>
  <c r="BN245" i="55" s="1"/>
  <c r="CI83" i="55"/>
  <c r="CJ83" i="55"/>
  <c r="ET56" i="55"/>
  <c r="CI237" i="55"/>
  <c r="CJ237" i="55"/>
  <c r="DA250" i="55" a="1"/>
  <c r="DA250" i="55" s="1"/>
  <c r="DB250" i="55"/>
  <c r="BM250" i="55" a="1"/>
  <c r="BM250" i="55" s="1"/>
  <c r="CA250" i="55" s="1"/>
  <c r="CY95" i="55"/>
  <c r="CZ94" i="55"/>
  <c r="FG184" i="55"/>
  <c r="FE184" i="55"/>
  <c r="FI184" i="55" s="1"/>
  <c r="FD184" i="55"/>
  <c r="FF184" i="55"/>
  <c r="DG184" i="55"/>
  <c r="DH184" i="55" s="1"/>
  <c r="DJ184" i="55" s="1" a="1"/>
  <c r="DJ184" i="55" s="1"/>
  <c r="EL184" i="55"/>
  <c r="EM184" i="55" s="1"/>
  <c r="EV327" i="55"/>
  <c r="EU327" i="55"/>
  <c r="GU327" i="55" s="1"/>
  <c r="ET328" i="55"/>
  <c r="FF336" i="55"/>
  <c r="FG336" i="55"/>
  <c r="FE336" i="55"/>
  <c r="FI336" i="55" s="1"/>
  <c r="FD336" i="55"/>
  <c r="EL336" i="55"/>
  <c r="EM336" i="55" s="1"/>
  <c r="DG336" i="55"/>
  <c r="DH336" i="55" s="1"/>
  <c r="DJ336" i="55" s="1" a="1"/>
  <c r="DJ336" i="55" s="1"/>
  <c r="DK146" i="55"/>
  <c r="DN146" i="55"/>
  <c r="DK328" i="55"/>
  <c r="DN328" i="55"/>
  <c r="BB16" i="54"/>
  <c r="DZ59" i="55"/>
  <c r="CR161" i="55"/>
  <c r="CS161" i="55"/>
  <c r="CP161" i="55"/>
  <c r="CV161" i="55"/>
  <c r="CT161" i="55"/>
  <c r="CW161" i="55"/>
  <c r="CU161" i="55"/>
  <c r="CQ161" i="55"/>
  <c r="CQ305" i="55"/>
  <c r="CT305" i="55"/>
  <c r="CR305" i="55"/>
  <c r="CS305" i="55"/>
  <c r="CW305" i="55"/>
  <c r="CV305" i="55"/>
  <c r="CP305" i="55"/>
  <c r="CU305" i="55"/>
  <c r="DZ9" i="55"/>
  <c r="DY10" i="55" s="1"/>
  <c r="DU50" i="55"/>
  <c r="BO50" i="55"/>
  <c r="BS50" i="55" s="1" a="1"/>
  <c r="BS50" i="55" s="1"/>
  <c r="CI50" i="55" s="1"/>
  <c r="CA85" i="55"/>
  <c r="BN85" i="55" a="1"/>
  <c r="BN85" i="55" s="1"/>
  <c r="DU85" i="55" s="1"/>
  <c r="CS245" i="55"/>
  <c r="CP245" i="55"/>
  <c r="CV245" i="55"/>
  <c r="CX245" i="55"/>
  <c r="CT245" i="55"/>
  <c r="CQ245" i="55"/>
  <c r="CU245" i="55"/>
  <c r="CR245" i="55"/>
  <c r="CW245" i="55"/>
  <c r="DZ137" i="55"/>
  <c r="DU342" i="55"/>
  <c r="BO342" i="55"/>
  <c r="DZ266" i="55"/>
  <c r="DZ346" i="55"/>
  <c r="CX53" i="55"/>
  <c r="CI250" i="55"/>
  <c r="CJ250" i="55"/>
  <c r="FF5" i="55"/>
  <c r="FD5" i="55"/>
  <c r="EV326" i="55"/>
  <c r="EU326" i="55"/>
  <c r="GU326" i="55" s="1"/>
  <c r="DN178" i="55"/>
  <c r="DK178" i="55"/>
  <c r="BC16" i="54"/>
  <c r="DT95" i="55"/>
  <c r="CQ95" i="55"/>
  <c r="CX95" i="55"/>
  <c r="CW95" i="55"/>
  <c r="CS95" i="55"/>
  <c r="DZ299" i="55"/>
  <c r="CI175" i="55"/>
  <c r="CJ175" i="55"/>
  <c r="DB291" i="55"/>
  <c r="DA291" i="55" a="1"/>
  <c r="DA291" i="55" s="1"/>
  <c r="BM291" i="55" a="1"/>
  <c r="BM291" i="55" s="1"/>
  <c r="DZ156" i="55"/>
  <c r="DZ268" i="55"/>
  <c r="CR146" i="55"/>
  <c r="CU146" i="55"/>
  <c r="CP146" i="55"/>
  <c r="CW146" i="55"/>
  <c r="CT146" i="55"/>
  <c r="CV146" i="55"/>
  <c r="CQ146" i="55"/>
  <c r="CO146" i="55"/>
  <c r="CS146" i="55" s="1"/>
  <c r="BM146" i="55" a="1"/>
  <c r="BM146" i="55" s="1"/>
  <c r="CX146" i="55" s="1"/>
  <c r="CI147" i="55"/>
  <c r="CJ147" i="55"/>
  <c r="DZ265" i="55"/>
  <c r="DZ74" i="55"/>
  <c r="C138" i="55"/>
  <c r="GD138" i="55"/>
  <c r="CV80" i="55"/>
  <c r="CT80" i="55"/>
  <c r="CR80" i="55"/>
  <c r="CP80" i="55"/>
  <c r="CQ80" i="55"/>
  <c r="CU80" i="55"/>
  <c r="CO80" i="55"/>
  <c r="CS80" i="55" s="1"/>
  <c r="CW80" i="55"/>
  <c r="BM80" i="55" a="1"/>
  <c r="BM80" i="55" s="1"/>
  <c r="CX80" i="55" s="1"/>
  <c r="BB13" i="54"/>
  <c r="BC13" i="54"/>
  <c r="BD13" i="54"/>
  <c r="CB303" i="55"/>
  <c r="CC303" i="55" s="1"/>
  <c r="CH303" i="55" s="1"/>
  <c r="DT243" i="55"/>
  <c r="DT247" i="55"/>
  <c r="FG31" i="55"/>
  <c r="FD31" i="55"/>
  <c r="FE31" i="55"/>
  <c r="FI31" i="55" s="1"/>
  <c r="FF31" i="55"/>
  <c r="DG31" i="55"/>
  <c r="DH31" i="55" s="1"/>
  <c r="DJ31" i="55" s="1" a="1"/>
  <c r="DJ31" i="55" s="1"/>
  <c r="DN153" i="55"/>
  <c r="DK153" i="55"/>
  <c r="EV340" i="55"/>
  <c r="EU340" i="55"/>
  <c r="GU340" i="55" s="1"/>
  <c r="FF283" i="55"/>
  <c r="FD283" i="55"/>
  <c r="FG283" i="55"/>
  <c r="FE283" i="55"/>
  <c r="FI283" i="55" s="1"/>
  <c r="DG283" i="55"/>
  <c r="DH283" i="55" s="1"/>
  <c r="DJ283" i="55" s="1" a="1"/>
  <c r="DJ283" i="55" s="1"/>
  <c r="DT113" i="55"/>
  <c r="BN113" i="55" a="1"/>
  <c r="BN113" i="55" s="1"/>
  <c r="DU113" i="55" s="1"/>
  <c r="C329" i="55"/>
  <c r="GD329" i="55"/>
  <c r="CP177" i="55"/>
  <c r="CW177" i="55"/>
  <c r="CT177" i="55"/>
  <c r="CU177" i="55"/>
  <c r="CV177" i="55"/>
  <c r="CS177" i="55"/>
  <c r="CR177" i="55"/>
  <c r="CQ177" i="55"/>
  <c r="BM177" i="55" a="1"/>
  <c r="BM177" i="55" s="1"/>
  <c r="CU21" i="55"/>
  <c r="CR21" i="55"/>
  <c r="CV21" i="55"/>
  <c r="CW21" i="55"/>
  <c r="CO21" i="55"/>
  <c r="CS21" i="55" s="1"/>
  <c r="CQ21" i="55"/>
  <c r="CT21" i="55"/>
  <c r="CP21" i="55"/>
  <c r="BM21" i="55" a="1"/>
  <c r="BM21" i="55" s="1"/>
  <c r="DU239" i="55"/>
  <c r="BO239" i="55"/>
  <c r="CR66" i="55"/>
  <c r="CO66" i="55"/>
  <c r="CQ66" i="55"/>
  <c r="CS66" i="55"/>
  <c r="CU66" i="55"/>
  <c r="CW66" i="55"/>
  <c r="CP66" i="55"/>
  <c r="CV66" i="55"/>
  <c r="CT66" i="55"/>
  <c r="BN101" i="55" a="1"/>
  <c r="BN101" i="55" s="1"/>
  <c r="DU101" i="55" s="1"/>
  <c r="CW261" i="55"/>
  <c r="CT261" i="55"/>
  <c r="CU261" i="55"/>
  <c r="CX261" i="55"/>
  <c r="CR261" i="55"/>
  <c r="CP261" i="55"/>
  <c r="CV261" i="55"/>
  <c r="CS261" i="55"/>
  <c r="CQ261" i="55"/>
  <c r="EV88" i="55"/>
  <c r="EU88" i="55"/>
  <c r="GU88" i="55" s="1"/>
  <c r="ET89" i="55"/>
  <c r="EB105" i="55"/>
  <c r="CG251" i="55"/>
  <c r="DT239" i="55"/>
  <c r="CW239" i="55"/>
  <c r="DZ201" i="55"/>
  <c r="CV111" i="55"/>
  <c r="CT111" i="55"/>
  <c r="CW111" i="55"/>
  <c r="CP111" i="55"/>
  <c r="CQ111" i="55"/>
  <c r="CO111" i="55"/>
  <c r="CS111" i="55" s="1"/>
  <c r="CU111" i="55"/>
  <c r="BM111" i="55" a="1"/>
  <c r="BM111" i="55" s="1"/>
  <c r="CA111" i="55" s="1"/>
  <c r="CR111" i="55"/>
  <c r="CV243" i="55"/>
  <c r="CW243" i="55"/>
  <c r="CX243" i="55"/>
  <c r="CT243" i="55"/>
  <c r="CS243" i="55"/>
  <c r="CU243" i="55"/>
  <c r="CQ243" i="55"/>
  <c r="CR243" i="55"/>
  <c r="CP243" i="55"/>
  <c r="BM243" i="55" a="1"/>
  <c r="BM243" i="55" s="1"/>
  <c r="CA243" i="55" s="1"/>
  <c r="DZ138" i="55"/>
  <c r="C282" i="55"/>
  <c r="GD282" i="55"/>
  <c r="CG121" i="55"/>
  <c r="DT182" i="55"/>
  <c r="CW182" i="55"/>
  <c r="CQ182" i="55"/>
  <c r="CT182" i="55"/>
  <c r="CV247" i="55"/>
  <c r="CT247" i="55"/>
  <c r="CR247" i="55"/>
  <c r="CP247" i="55"/>
  <c r="CS247" i="55"/>
  <c r="CQ247" i="55"/>
  <c r="CU247" i="55"/>
  <c r="CW247" i="55"/>
  <c r="CB239" i="55"/>
  <c r="CC239" i="55" s="1"/>
  <c r="EV3" i="55"/>
  <c r="EU3" i="55"/>
  <c r="ET4" i="55"/>
  <c r="FF224" i="55"/>
  <c r="FD224" i="55"/>
  <c r="FG224" i="55"/>
  <c r="FE224" i="55"/>
  <c r="FI224" i="55" s="1"/>
  <c r="DG224" i="55"/>
  <c r="DH224" i="55" s="1"/>
  <c r="DJ224" i="55" s="1" a="1"/>
  <c r="DJ224" i="55" s="1"/>
  <c r="EL283" i="55"/>
  <c r="EM283" i="55" s="1"/>
  <c r="EK32" i="55"/>
  <c r="DN338" i="55"/>
  <c r="DK338" i="55"/>
  <c r="DK200" i="55"/>
  <c r="DN200" i="55"/>
  <c r="EB300" i="55"/>
  <c r="CG33" i="55"/>
  <c r="DN249" i="55"/>
  <c r="DK249" i="55"/>
  <c r="BN95" i="55" a="1"/>
  <c r="BN95" i="55" s="1"/>
  <c r="CR337" i="55"/>
  <c r="AK25" i="54" s="1"/>
  <c r="CU337" i="55"/>
  <c r="CQ337" i="55"/>
  <c r="CO337" i="55"/>
  <c r="CP337" i="55"/>
  <c r="CT337" i="55"/>
  <c r="CS337" i="55"/>
  <c r="CW337" i="55"/>
  <c r="CV337" i="55"/>
  <c r="CI127" i="55"/>
  <c r="CJ127" i="55"/>
  <c r="CI271" i="55"/>
  <c r="CJ271" i="55"/>
  <c r="BN261" i="55" a="1"/>
  <c r="BN261" i="55" s="1"/>
  <c r="CB261" i="55" s="1"/>
  <c r="CC261" i="55" s="1"/>
  <c r="CH261" i="55" s="1"/>
  <c r="DT114" i="55"/>
  <c r="DZ108" i="55"/>
  <c r="DZ220" i="55"/>
  <c r="DT228" i="55"/>
  <c r="CX101" i="55"/>
  <c r="CQ101" i="55"/>
  <c r="CO101" i="55"/>
  <c r="CS101" i="55" s="1"/>
  <c r="CV101" i="55"/>
  <c r="CP101" i="55"/>
  <c r="CU101" i="55"/>
  <c r="CW101" i="55"/>
  <c r="CT101" i="55"/>
  <c r="CR101" i="55"/>
  <c r="CA277" i="55"/>
  <c r="CB277" i="55" s="1"/>
  <c r="CC277" i="55" s="1"/>
  <c r="BN277" i="55" a="1"/>
  <c r="BN277" i="55" s="1"/>
  <c r="CQ239" i="55"/>
  <c r="CG183" i="55"/>
  <c r="CI38" i="55"/>
  <c r="DA118" i="55" a="1"/>
  <c r="DA118" i="55" s="1"/>
  <c r="DB118" i="55"/>
  <c r="BM118" i="55" a="1"/>
  <c r="BM118" i="55" s="1"/>
  <c r="CA118" i="55" s="1"/>
  <c r="CI310" i="55"/>
  <c r="CJ310" i="55"/>
  <c r="DZ241" i="55"/>
  <c r="EL31" i="55"/>
  <c r="EM31" i="55" s="1"/>
  <c r="FG53" i="55"/>
  <c r="FE53" i="55"/>
  <c r="FI53" i="55" s="1"/>
  <c r="FF53" i="55"/>
  <c r="FD53" i="55"/>
  <c r="DG53" i="55"/>
  <c r="DH53" i="55" s="1"/>
  <c r="DJ53" i="55" s="1" a="1"/>
  <c r="DJ53" i="55" s="1"/>
  <c r="FD4" i="55"/>
  <c r="FF4" i="55"/>
  <c r="FG4" i="55"/>
  <c r="FE4" i="55"/>
  <c r="FI4" i="55" s="1"/>
  <c r="DG4" i="55"/>
  <c r="DH4" i="55" s="1"/>
  <c r="DJ4" i="55" s="1" a="1"/>
  <c r="DJ4" i="55" s="1"/>
  <c r="FF317" i="55"/>
  <c r="FD317" i="55"/>
  <c r="FE317" i="55"/>
  <c r="FI317" i="55" s="1"/>
  <c r="FG317" i="55"/>
  <c r="DG317" i="55"/>
  <c r="DH317" i="55" s="1"/>
  <c r="DJ317" i="55" s="1" a="1"/>
  <c r="DJ317" i="55" s="1"/>
  <c r="BC17" i="54"/>
  <c r="DN257" i="55"/>
  <c r="DK257" i="55"/>
  <c r="DK289" i="55"/>
  <c r="DN289" i="55"/>
  <c r="CU193" i="55"/>
  <c r="CR193" i="55"/>
  <c r="CW193" i="55"/>
  <c r="CQ193" i="55"/>
  <c r="CV193" i="55"/>
  <c r="CT193" i="55"/>
  <c r="CP193" i="55"/>
  <c r="CS193" i="55"/>
  <c r="DT242" i="55"/>
  <c r="CQ242" i="55"/>
  <c r="CR242" i="55"/>
  <c r="CW242" i="55"/>
  <c r="DZ60" i="55"/>
  <c r="DZ332" i="55"/>
  <c r="CR82" i="55"/>
  <c r="CU82" i="55"/>
  <c r="CT82" i="55"/>
  <c r="CQ82" i="55"/>
  <c r="CO82" i="55"/>
  <c r="CS82" i="55" s="1"/>
  <c r="CP82" i="55"/>
  <c r="CW82" i="55"/>
  <c r="CV82" i="55"/>
  <c r="BM82" i="55" a="1"/>
  <c r="BM82" i="55" s="1"/>
  <c r="CI80" i="55"/>
  <c r="CJ80" i="55"/>
  <c r="DZ62" i="55"/>
  <c r="CQ228" i="55"/>
  <c r="CP228" i="55"/>
  <c r="CS228" i="55"/>
  <c r="CW228" i="55"/>
  <c r="CV228" i="55"/>
  <c r="CT228" i="55"/>
  <c r="CU228" i="55"/>
  <c r="CR228" i="55"/>
  <c r="BM228" i="55" a="1"/>
  <c r="BM228" i="55" s="1"/>
  <c r="DZ271" i="55"/>
  <c r="DN104" i="55"/>
  <c r="DK104" i="55"/>
  <c r="EB345" i="55"/>
  <c r="CR127" i="55"/>
  <c r="CU127" i="55"/>
  <c r="CP127" i="55"/>
  <c r="CW127" i="55"/>
  <c r="CO127" i="55"/>
  <c r="CS127" i="55" s="1"/>
  <c r="CT127" i="55"/>
  <c r="CV127" i="55"/>
  <c r="CQ127" i="55"/>
  <c r="BM127" i="55" a="1"/>
  <c r="BM127" i="55" s="1"/>
  <c r="CJ38" i="55"/>
  <c r="CG200" i="55"/>
  <c r="CA87" i="55"/>
  <c r="BN87" i="55" a="1"/>
  <c r="BN87" i="55" s="1"/>
  <c r="DU87" i="55" s="1"/>
  <c r="CX87" i="55"/>
  <c r="CP54" i="55"/>
  <c r="CW54" i="55"/>
  <c r="CU54" i="55"/>
  <c r="CV54" i="55"/>
  <c r="CT54" i="55"/>
  <c r="CR54" i="55"/>
  <c r="CQ54" i="55"/>
  <c r="CO54" i="55"/>
  <c r="CS54" i="55" s="1"/>
  <c r="AX13" i="54"/>
  <c r="AY13" i="54" s="1" a="1"/>
  <c r="AY13" i="54" s="1"/>
  <c r="CI57" i="55"/>
  <c r="CJ57" i="55"/>
  <c r="N21" i="42"/>
  <c r="P21" i="42" s="1"/>
  <c r="AE21" i="42" s="1"/>
  <c r="AF21" i="42" s="1"/>
  <c r="N14" i="42"/>
  <c r="P14" i="42" s="1"/>
  <c r="AE14" i="42" s="1"/>
  <c r="AF14" i="42" s="1"/>
  <c r="N18" i="42"/>
  <c r="P18" i="42" s="1"/>
  <c r="AE18" i="42" s="1"/>
  <c r="AF18" i="42" s="1"/>
  <c r="N12" i="42"/>
  <c r="P12" i="42" s="1"/>
  <c r="AE12" i="42" s="1"/>
  <c r="AF12" i="42" s="1"/>
  <c r="EU184" i="55"/>
  <c r="GU184" i="55" s="1"/>
  <c r="EV184" i="55"/>
  <c r="ET185" i="55"/>
  <c r="BS3" i="40" a="1"/>
  <c r="BS3" i="40" s="1"/>
  <c r="BH30" i="10" s="1"/>
  <c r="EV54" i="55"/>
  <c r="EU54" i="55"/>
  <c r="GU54" i="55" s="1"/>
  <c r="EL53" i="55"/>
  <c r="EM53" i="55" s="1"/>
  <c r="FG325" i="55"/>
  <c r="FE325" i="55"/>
  <c r="FI325" i="55" s="1"/>
  <c r="FF325" i="55"/>
  <c r="FD325" i="55"/>
  <c r="DG325" i="55"/>
  <c r="DH325" i="55" s="1"/>
  <c r="DJ325" i="55" s="1" a="1"/>
  <c r="DJ325" i="55" s="1"/>
  <c r="EL317" i="55"/>
  <c r="EM317" i="55" s="1"/>
  <c r="DK199" i="55"/>
  <c r="DN199" i="55"/>
  <c r="DK145" i="55"/>
  <c r="DN145" i="55"/>
  <c r="CG349" i="55"/>
  <c r="CX113" i="55"/>
  <c r="CG331" i="55"/>
  <c r="CI256" i="55"/>
  <c r="CJ256" i="55"/>
  <c r="DZ254" i="55"/>
  <c r="CQ260" i="55"/>
  <c r="CW260" i="55"/>
  <c r="CT260" i="55"/>
  <c r="CS260" i="55"/>
  <c r="CR260" i="55"/>
  <c r="CU260" i="55"/>
  <c r="CP260" i="55"/>
  <c r="CV260" i="55"/>
  <c r="CO117" i="55"/>
  <c r="CS117" i="55" s="1"/>
  <c r="CX117" i="55"/>
  <c r="CT117" i="55"/>
  <c r="CU117" i="55"/>
  <c r="CV117" i="55"/>
  <c r="CR117" i="55"/>
  <c r="CW117" i="55"/>
  <c r="CQ117" i="55"/>
  <c r="CP117" i="55"/>
  <c r="AX25" i="54"/>
  <c r="AY25" i="54" s="1" a="1"/>
  <c r="AY25" i="54" s="1"/>
  <c r="EB153" i="55"/>
  <c r="CO15" i="55"/>
  <c r="CV15" i="55"/>
  <c r="CX15" i="55"/>
  <c r="CS15" i="55"/>
  <c r="CW15" i="55"/>
  <c r="CQ15" i="55"/>
  <c r="CP15" i="55"/>
  <c r="CU15" i="55"/>
  <c r="CR15" i="55"/>
  <c r="CT15" i="55"/>
  <c r="CI106" i="55"/>
  <c r="CJ106" i="55"/>
  <c r="CG216" i="55"/>
  <c r="DT163" i="55"/>
  <c r="EL325" i="55"/>
  <c r="EM325" i="55" s="1"/>
  <c r="BB17" i="54"/>
  <c r="DN265" i="55"/>
  <c r="DK265" i="55"/>
  <c r="DN194" i="55"/>
  <c r="DK194" i="55"/>
  <c r="DZ315" i="55"/>
  <c r="CR209" i="55"/>
  <c r="CT209" i="55"/>
  <c r="CS209" i="55"/>
  <c r="CP209" i="55"/>
  <c r="CW209" i="55"/>
  <c r="CU209" i="55"/>
  <c r="CV209" i="55"/>
  <c r="CQ209" i="55"/>
  <c r="BM209" i="55" a="1"/>
  <c r="BM209" i="55" s="1"/>
  <c r="CX209" i="55" s="1"/>
  <c r="DZ172" i="55"/>
  <c r="DZ236" i="55"/>
  <c r="DZ284" i="55"/>
  <c r="CI32" i="55"/>
  <c r="CJ32" i="55"/>
  <c r="CQ84" i="55"/>
  <c r="CR84" i="55"/>
  <c r="CO84" i="55"/>
  <c r="CS84" i="55" s="1"/>
  <c r="CU84" i="55"/>
  <c r="CV84" i="55"/>
  <c r="CW84" i="55"/>
  <c r="CT84" i="55"/>
  <c r="CP84" i="55"/>
  <c r="DT260" i="55"/>
  <c r="AX12" i="54"/>
  <c r="AY12" i="54" s="1" a="1"/>
  <c r="AY12" i="54" s="1"/>
  <c r="DZ89" i="55"/>
  <c r="DV25" i="55"/>
  <c r="BZ25" i="55"/>
  <c r="DT73" i="55"/>
  <c r="BN73" i="55" a="1"/>
  <c r="BN73" i="55" s="1"/>
  <c r="DU73" i="55" s="1"/>
  <c r="EB286" i="55"/>
  <c r="DT103" i="55"/>
  <c r="BN103" i="55" a="1"/>
  <c r="BN103" i="55" s="1"/>
  <c r="DB55" i="55"/>
  <c r="DA55" i="55" a="1"/>
  <c r="DA55" i="55" s="1"/>
  <c r="DC55" i="55" s="1"/>
  <c r="BM55" i="55" a="1"/>
  <c r="BM55" i="55" s="1"/>
  <c r="CA55" i="55" s="1"/>
  <c r="DB121" i="55"/>
  <c r="DA121" i="55" a="1"/>
  <c r="DA121" i="55" s="1"/>
  <c r="DC121" i="55" s="1"/>
  <c r="BM121" i="55" a="1"/>
  <c r="BM121" i="55" s="1"/>
  <c r="CG123" i="55"/>
  <c r="GX317" i="55"/>
  <c r="GY317" i="55"/>
  <c r="GR317" i="55"/>
  <c r="GS317" i="55" s="1"/>
  <c r="EY317" i="55"/>
  <c r="FN317" i="55" s="1"/>
  <c r="FO317" i="55" s="1"/>
  <c r="CA163" i="55"/>
  <c r="EV339" i="55"/>
  <c r="EU339" i="55"/>
  <c r="GU339" i="55" s="1"/>
  <c r="DK162" i="55"/>
  <c r="DN162" i="55"/>
  <c r="DN210" i="55"/>
  <c r="DK210" i="55"/>
  <c r="EB283" i="55"/>
  <c r="DZ27" i="55"/>
  <c r="CR129" i="55"/>
  <c r="CU129" i="55"/>
  <c r="CP129" i="55"/>
  <c r="CQ129" i="55"/>
  <c r="CO129" i="55"/>
  <c r="CS129" i="55" s="1"/>
  <c r="CW129" i="55"/>
  <c r="CV129" i="55"/>
  <c r="CT129" i="55"/>
  <c r="BN325" i="55" a="1"/>
  <c r="BN325" i="55" s="1"/>
  <c r="C3" i="40" a="1"/>
  <c r="C3" i="40" s="1"/>
  <c r="CI144" i="55"/>
  <c r="CJ144" i="55"/>
  <c r="DB61" i="55"/>
  <c r="DA61" i="55" a="1"/>
  <c r="DA61" i="55" s="1"/>
  <c r="BM61" i="55" a="1"/>
  <c r="BM61" i="55" s="1"/>
  <c r="DT100" i="55"/>
  <c r="DZ287" i="55"/>
  <c r="CX85" i="55"/>
  <c r="GD153" i="55"/>
  <c r="CG39" i="55"/>
  <c r="DT102" i="55"/>
  <c r="CW102" i="55"/>
  <c r="BN102" i="55" a="1"/>
  <c r="BN102" i="55" s="1"/>
  <c r="DU102" i="55" s="1"/>
  <c r="DZ298" i="55"/>
  <c r="CI166" i="55"/>
  <c r="CJ166" i="55"/>
  <c r="DA246" i="55" a="1"/>
  <c r="DA246" i="55" s="1"/>
  <c r="DB246" i="55"/>
  <c r="BM246" i="55" a="1"/>
  <c r="BM246" i="55" s="1"/>
  <c r="CA246" i="55" s="1"/>
  <c r="DB249" i="55"/>
  <c r="DA249" i="55" a="1"/>
  <c r="DA249" i="55" s="1"/>
  <c r="DC249" i="55" s="1"/>
  <c r="BM249" i="55" a="1"/>
  <c r="BM249" i="55" s="1"/>
  <c r="DT55" i="55"/>
  <c r="CW55" i="55"/>
  <c r="CQ55" i="55"/>
  <c r="CS55" i="55"/>
  <c r="CX55" i="55"/>
  <c r="BN83" i="55" a="1"/>
  <c r="BN83" i="55" s="1"/>
  <c r="DU83" i="55" s="1"/>
  <c r="EV225" i="55"/>
  <c r="EU225" i="55"/>
  <c r="GU225" i="55" s="1"/>
  <c r="BC19" i="54"/>
  <c r="EB124" i="55"/>
  <c r="CG112" i="55"/>
  <c r="CH112" i="55" s="1"/>
  <c r="DK312" i="55"/>
  <c r="DN312" i="55"/>
  <c r="C169" i="55"/>
  <c r="GD169" i="55"/>
  <c r="DZ124" i="55"/>
  <c r="FF26" i="55"/>
  <c r="FD26" i="55"/>
  <c r="FG26" i="55"/>
  <c r="FE26" i="55"/>
  <c r="FI26" i="55" s="1"/>
  <c r="DG26" i="55"/>
  <c r="DH26" i="55" s="1"/>
  <c r="DJ26" i="55" s="1" a="1"/>
  <c r="DJ26" i="55" s="1"/>
  <c r="DA125" i="55" a="1"/>
  <c r="DA125" i="55" s="1"/>
  <c r="DB125" i="55"/>
  <c r="BM125" i="55" a="1"/>
  <c r="BM125" i="55" s="1"/>
  <c r="CX125" i="55" s="1"/>
  <c r="CQ100" i="55"/>
  <c r="CO100" i="55"/>
  <c r="CS100" i="55" s="1"/>
  <c r="CV100" i="55"/>
  <c r="CP100" i="55"/>
  <c r="CR100" i="55"/>
  <c r="CU100" i="55"/>
  <c r="CT100" i="55"/>
  <c r="CW100" i="55"/>
  <c r="CA181" i="55"/>
  <c r="BN181" i="55" a="1"/>
  <c r="BN181" i="55" s="1"/>
  <c r="DU181" i="55" s="1"/>
  <c r="DT153" i="55"/>
  <c r="DZ170" i="55"/>
  <c r="C314" i="55"/>
  <c r="GD314" i="55"/>
  <c r="DB54" i="55"/>
  <c r="DA54" i="55" a="1"/>
  <c r="DA54" i="55" s="1"/>
  <c r="BM54" i="55" a="1"/>
  <c r="BM54" i="55" s="1"/>
  <c r="CA54" i="55" s="1"/>
  <c r="CZ186" i="55"/>
  <c r="CY187" i="55"/>
  <c r="DZ77" i="55"/>
  <c r="EV341" i="55"/>
  <c r="EU341" i="55"/>
  <c r="GU341" i="55" s="1"/>
  <c r="EV226" i="55"/>
  <c r="EU226" i="55"/>
  <c r="GU226" i="55" s="1"/>
  <c r="BB14" i="54"/>
  <c r="DK136" i="55"/>
  <c r="DN136" i="55"/>
  <c r="BB19" i="54"/>
  <c r="DN201" i="55"/>
  <c r="DK201" i="55"/>
  <c r="DN242" i="55"/>
  <c r="DK242" i="55"/>
  <c r="DN56" i="55"/>
  <c r="DK56" i="55"/>
  <c r="CB32" i="55"/>
  <c r="CC32" i="55" s="1"/>
  <c r="EB63" i="55"/>
  <c r="CG144" i="55"/>
  <c r="EB315" i="55"/>
  <c r="CA49" i="55"/>
  <c r="BN49" i="55" a="1"/>
  <c r="BN49" i="55" s="1"/>
  <c r="CX49" i="55"/>
  <c r="DZ76" i="55"/>
  <c r="DZ188" i="55"/>
  <c r="DB189" i="55"/>
  <c r="DA189" i="55" a="1"/>
  <c r="DA189" i="55" s="1"/>
  <c r="DC189" i="55" s="1"/>
  <c r="BM189" i="55" a="1"/>
  <c r="BM189" i="55" s="1"/>
  <c r="DT351" i="55"/>
  <c r="CW351" i="55"/>
  <c r="CX351" i="55"/>
  <c r="CQ351" i="55"/>
  <c r="BN351" i="55" a="1"/>
  <c r="BN351" i="55" s="1"/>
  <c r="DU351" i="55" s="1"/>
  <c r="CT351" i="55"/>
  <c r="BB26" i="54"/>
  <c r="DT132" i="55"/>
  <c r="DZ351" i="55"/>
  <c r="GD297" i="55"/>
  <c r="EB51" i="55"/>
  <c r="CI298" i="55"/>
  <c r="CJ298" i="55"/>
  <c r="DB8" i="55"/>
  <c r="DA8" i="55" a="1"/>
  <c r="DA8" i="55" s="1"/>
  <c r="CI200" i="55"/>
  <c r="CJ200" i="55"/>
  <c r="DB248" i="55"/>
  <c r="DA248" i="55" a="1"/>
  <c r="DA248" i="55" s="1"/>
  <c r="BM248" i="55" a="1"/>
  <c r="BM248" i="55" s="1"/>
  <c r="CA248" i="55" s="1"/>
  <c r="DB328" i="55"/>
  <c r="DA328" i="55" a="1"/>
  <c r="DA328" i="55" s="1"/>
  <c r="BM328" i="55" a="1"/>
  <c r="BM328" i="55" s="1"/>
  <c r="CG346" i="55"/>
  <c r="DZ221" i="55"/>
  <c r="DC67" i="55"/>
  <c r="CX7" i="55"/>
  <c r="CQ7" i="55"/>
  <c r="CP7" i="55"/>
  <c r="CW7" i="55"/>
  <c r="CT7" i="55"/>
  <c r="CS7" i="55"/>
  <c r="CU7" i="55"/>
  <c r="CR7" i="55"/>
  <c r="CV7" i="55"/>
  <c r="CO7" i="55"/>
  <c r="DK71" i="55"/>
  <c r="DN71" i="55"/>
  <c r="ET318" i="55"/>
  <c r="BD19" i="54"/>
  <c r="DK209" i="55"/>
  <c r="DN209" i="55"/>
  <c r="DK344" i="55"/>
  <c r="DN344" i="55"/>
  <c r="DK290" i="55"/>
  <c r="DN290" i="55"/>
  <c r="EB319" i="55"/>
  <c r="CW257" i="55"/>
  <c r="CQ257" i="55"/>
  <c r="CP257" i="55"/>
  <c r="CV257" i="55"/>
  <c r="CU257" i="55"/>
  <c r="CR257" i="55"/>
  <c r="CS257" i="55"/>
  <c r="CT257" i="55"/>
  <c r="CI272" i="55"/>
  <c r="CJ272" i="55"/>
  <c r="CQ68" i="55"/>
  <c r="CW68" i="55"/>
  <c r="CU68" i="55"/>
  <c r="CO68" i="55"/>
  <c r="CS68" i="55" s="1"/>
  <c r="CT68" i="55"/>
  <c r="CP68" i="55"/>
  <c r="CR68" i="55"/>
  <c r="CV68" i="55"/>
  <c r="DA253" i="55" a="1"/>
  <c r="DA253" i="55" s="1"/>
  <c r="DB253" i="55"/>
  <c r="BM253" i="55" a="1"/>
  <c r="BM253" i="55" s="1"/>
  <c r="CX253" i="55" s="1"/>
  <c r="C121" i="55"/>
  <c r="GD121" i="55"/>
  <c r="DZ334" i="55"/>
  <c r="CQ132" i="55"/>
  <c r="CW132" i="55"/>
  <c r="CT132" i="55"/>
  <c r="CR132" i="55"/>
  <c r="CP132" i="55"/>
  <c r="CV132" i="55"/>
  <c r="CU132" i="55"/>
  <c r="CO132" i="55"/>
  <c r="CS132" i="55"/>
  <c r="DZ303" i="55"/>
  <c r="CI291" i="55"/>
  <c r="CJ291" i="55"/>
  <c r="CI221" i="55"/>
  <c r="CJ221" i="55"/>
  <c r="CG71" i="55"/>
  <c r="DT308" i="55"/>
  <c r="BN308" i="55" a="1"/>
  <c r="BN308" i="55" s="1"/>
  <c r="DU308" i="55" s="1"/>
  <c r="CQ308" i="55"/>
  <c r="CX308" i="55"/>
  <c r="CR308" i="55"/>
  <c r="CW308" i="55"/>
  <c r="DA298" i="55" a="1"/>
  <c r="DA298" i="55" s="1"/>
  <c r="DB298" i="55"/>
  <c r="BM298" i="55" a="1"/>
  <c r="BM298" i="55" s="1"/>
  <c r="CX298" i="55" s="1"/>
  <c r="DA23" i="55" a="1"/>
  <c r="DA23" i="55" s="1"/>
  <c r="DB23" i="55"/>
  <c r="BM23" i="55" a="1"/>
  <c r="BM23" i="55" s="1"/>
  <c r="CA23" i="55" s="1"/>
  <c r="DB103" i="55"/>
  <c r="DA103" i="55" a="1"/>
  <c r="DA103" i="55" s="1"/>
  <c r="DC103" i="55" s="1"/>
  <c r="BM103" i="55" a="1"/>
  <c r="BM103" i="55" s="1"/>
  <c r="CA103" i="55" s="1"/>
  <c r="DB311" i="55"/>
  <c r="DA311" i="55" a="1"/>
  <c r="DA311" i="55" s="1"/>
  <c r="BM311" i="55" a="1"/>
  <c r="BM311" i="55" s="1"/>
  <c r="CA311" i="55" s="1"/>
  <c r="CI8" i="55"/>
  <c r="BK13" i="54" s="1" a="1"/>
  <c r="BK13" i="54" s="1"/>
  <c r="CJ8" i="55"/>
  <c r="DB88" i="55"/>
  <c r="DA88" i="55" a="1"/>
  <c r="DA88" i="55" s="1"/>
  <c r="BM88" i="55" a="1"/>
  <c r="BM88" i="55" s="1"/>
  <c r="CA88" i="55" s="1"/>
  <c r="CI168" i="55"/>
  <c r="CJ168" i="55"/>
  <c r="CI328" i="55"/>
  <c r="CJ328" i="55"/>
  <c r="AN3" i="40" a="1"/>
  <c r="AN3" i="40" s="1"/>
  <c r="CQ292" i="55"/>
  <c r="CW292" i="55"/>
  <c r="CU292" i="55"/>
  <c r="CS292" i="55"/>
  <c r="CP292" i="55"/>
  <c r="CV292" i="55"/>
  <c r="CR292" i="55"/>
  <c r="CT292" i="55"/>
  <c r="DB138" i="55"/>
  <c r="DA138" i="55" a="1"/>
  <c r="DA138" i="55" s="1"/>
  <c r="BM138" i="55" a="1"/>
  <c r="BM138" i="55" s="1"/>
  <c r="CA138" i="55" s="1"/>
  <c r="DT23" i="55"/>
  <c r="AY314" i="55"/>
  <c r="BW314" i="55"/>
  <c r="DT312" i="55"/>
  <c r="CI49" i="55"/>
  <c r="CJ49" i="55"/>
  <c r="DA305" i="55" a="1"/>
  <c r="DA305" i="55" s="1"/>
  <c r="DB305" i="55"/>
  <c r="DA34" i="55" a="1"/>
  <c r="DA34" i="55" s="1"/>
  <c r="BM34" i="55" a="1"/>
  <c r="BM34" i="55" s="1"/>
  <c r="DB34" i="55"/>
  <c r="CY156" i="55"/>
  <c r="CT318" i="55"/>
  <c r="CV318" i="55"/>
  <c r="CR318" i="55"/>
  <c r="CU318" i="55"/>
  <c r="CQ318" i="55"/>
  <c r="CO318" i="55"/>
  <c r="CS318" i="55" s="1"/>
  <c r="CP318" i="55"/>
  <c r="CW318" i="55"/>
  <c r="DZ323" i="55"/>
  <c r="CW137" i="55"/>
  <c r="CQ137" i="55"/>
  <c r="CO137" i="55"/>
  <c r="CR137" i="55"/>
  <c r="CS137" i="55"/>
  <c r="CV137" i="55"/>
  <c r="CU137" i="55"/>
  <c r="CP137" i="55"/>
  <c r="CT137" i="55"/>
  <c r="CU12" i="55"/>
  <c r="CX12" i="55"/>
  <c r="CV12" i="55"/>
  <c r="CS12" i="55"/>
  <c r="CW12" i="55"/>
  <c r="CQ12" i="55"/>
  <c r="CP12" i="55"/>
  <c r="CT12" i="55"/>
  <c r="CO12" i="55"/>
  <c r="CR12" i="55"/>
  <c r="DC174" i="55"/>
  <c r="C98" i="55"/>
  <c r="GD98" i="55"/>
  <c r="CW312" i="55"/>
  <c r="CO312" i="55"/>
  <c r="CS312" i="55"/>
  <c r="CT312" i="55"/>
  <c r="CQ312" i="55"/>
  <c r="CU312" i="55"/>
  <c r="CV312" i="55"/>
  <c r="CR312" i="55"/>
  <c r="CP312" i="55"/>
  <c r="CI17" i="55"/>
  <c r="BK22" i="54" s="1" a="1"/>
  <c r="BK22" i="54" s="1"/>
  <c r="AY76" i="55"/>
  <c r="BW76" i="55"/>
  <c r="CI241" i="55"/>
  <c r="CJ241" i="55"/>
  <c r="CI305" i="55"/>
  <c r="BY305" i="55"/>
  <c r="CJ305" i="55"/>
  <c r="CV218" i="55"/>
  <c r="CT218" i="55"/>
  <c r="CW218" i="55"/>
  <c r="CU218" i="55"/>
  <c r="CP218" i="55"/>
  <c r="CS218" i="55"/>
  <c r="CQ218" i="55"/>
  <c r="CR218" i="55"/>
  <c r="BW192" i="55"/>
  <c r="CB192" i="55" s="1"/>
  <c r="CC192" i="55" s="1"/>
  <c r="AY192" i="55"/>
  <c r="E192" i="55" s="1"/>
  <c r="AZ192" i="55" s="1"/>
  <c r="BN171" i="55" a="1"/>
  <c r="BN171" i="55" s="1"/>
  <c r="DU171" i="55" s="1"/>
  <c r="GD168" i="55"/>
  <c r="C168" i="55"/>
  <c r="DT231" i="55"/>
  <c r="CS176" i="55"/>
  <c r="CW176" i="55"/>
  <c r="CT176" i="55"/>
  <c r="CQ176" i="55"/>
  <c r="CV176" i="55"/>
  <c r="CP176" i="55"/>
  <c r="CU176" i="55"/>
  <c r="CR176" i="55"/>
  <c r="BM176" i="55" a="1"/>
  <c r="BM176" i="55" s="1"/>
  <c r="BB3" i="40" a="1"/>
  <c r="BB3" i="40" s="1"/>
  <c r="CI134" i="55"/>
  <c r="CJ134" i="55"/>
  <c r="DA186" i="55" a="1"/>
  <c r="DA186" i="55" s="1"/>
  <c r="DB186" i="55"/>
  <c r="BM186" i="55" a="1"/>
  <c r="BM186" i="55" s="1"/>
  <c r="CI183" i="55"/>
  <c r="CJ183" i="55"/>
  <c r="DA231" i="55" a="1"/>
  <c r="DA231" i="55" s="1"/>
  <c r="DB231" i="55"/>
  <c r="CI249" i="55"/>
  <c r="DA90" i="55" a="1"/>
  <c r="DA90" i="55" s="1"/>
  <c r="DB90" i="55"/>
  <c r="BM90" i="55" a="1"/>
  <c r="BM90" i="55" s="1"/>
  <c r="EB18" i="55"/>
  <c r="DA168" i="55" a="1"/>
  <c r="DA168" i="55" s="1"/>
  <c r="DB168" i="55"/>
  <c r="BM168" i="55" a="1"/>
  <c r="BM168" i="55" s="1"/>
  <c r="CX168" i="55" s="1"/>
  <c r="CI296" i="55"/>
  <c r="CJ296" i="55"/>
  <c r="DA58" i="55" a="1"/>
  <c r="DA58" i="55" s="1"/>
  <c r="DB58" i="55"/>
  <c r="BM58" i="55" a="1"/>
  <c r="BM58" i="55" s="1"/>
  <c r="GX154" i="55"/>
  <c r="GY154" i="55"/>
  <c r="GR154" i="55"/>
  <c r="GS154" i="55" s="1"/>
  <c r="EY154" i="55"/>
  <c r="FN154" i="55" s="1"/>
  <c r="FO154" i="55" s="1"/>
  <c r="BE10" i="54" a="1"/>
  <c r="BE10" i="54" s="1"/>
  <c r="BO10" i="54" a="1"/>
  <c r="BO10" i="54" s="1"/>
  <c r="BV10" i="54" a="1"/>
  <c r="BV10" i="54" s="1"/>
  <c r="BK10" i="54" a="1"/>
  <c r="BK10" i="54" s="1"/>
  <c r="U10" i="54" a="1"/>
  <c r="U10" i="54" s="1"/>
  <c r="BU10" i="54" a="1"/>
  <c r="BU10" i="54" s="1"/>
  <c r="W10" i="54" a="1"/>
  <c r="W10" i="54" s="1"/>
  <c r="BS10" i="54" a="1"/>
  <c r="BS10" i="54" s="1"/>
  <c r="CW259" i="55"/>
  <c r="CU259" i="55"/>
  <c r="CS259" i="55"/>
  <c r="CT259" i="55"/>
  <c r="CP259" i="55"/>
  <c r="CV259" i="55"/>
  <c r="CR259" i="55"/>
  <c r="CQ259" i="55"/>
  <c r="BM259" i="55" a="1"/>
  <c r="BM259" i="55" s="1"/>
  <c r="CX259" i="55" s="1"/>
  <c r="DA10" i="55" a="1"/>
  <c r="DA10" i="55" s="1"/>
  <c r="DB10" i="55"/>
  <c r="CJ249" i="55"/>
  <c r="CU23" i="55"/>
  <c r="CR23" i="55"/>
  <c r="CV23" i="55"/>
  <c r="CQ23" i="55"/>
  <c r="CW23" i="55"/>
  <c r="CT23" i="55"/>
  <c r="CP23" i="55"/>
  <c r="CO23" i="55"/>
  <c r="CS23" i="55" s="1"/>
  <c r="DT41" i="55"/>
  <c r="DB41" i="55"/>
  <c r="DC41" i="55" s="1"/>
  <c r="CW139" i="55"/>
  <c r="CU139" i="55"/>
  <c r="CV139" i="55"/>
  <c r="CQ139" i="55"/>
  <c r="CP139" i="55"/>
  <c r="CR139" i="55"/>
  <c r="CO139" i="55"/>
  <c r="CS139" i="55" s="1"/>
  <c r="CT139" i="55"/>
  <c r="CW200" i="55"/>
  <c r="CT200" i="55"/>
  <c r="CQ200" i="55"/>
  <c r="CR200" i="55"/>
  <c r="CS200" i="55"/>
  <c r="CU200" i="55"/>
  <c r="CV200" i="55"/>
  <c r="CP200" i="55"/>
  <c r="BN284" i="55" a="1"/>
  <c r="BN284" i="55" s="1"/>
  <c r="DU284" i="55" s="1"/>
  <c r="CI65" i="55"/>
  <c r="CJ65" i="55"/>
  <c r="DB321" i="55"/>
  <c r="DA321" i="55" a="1"/>
  <c r="DA321" i="55" s="1"/>
  <c r="BM321" i="55" a="1"/>
  <c r="BM321" i="55" s="1"/>
  <c r="DT187" i="55"/>
  <c r="BN187" i="55" a="1"/>
  <c r="BN187" i="55" s="1"/>
  <c r="CV267" i="55"/>
  <c r="CT267" i="55"/>
  <c r="CR267" i="55"/>
  <c r="CS267" i="55"/>
  <c r="CP267" i="55"/>
  <c r="CW267" i="55"/>
  <c r="CQ267" i="55"/>
  <c r="CU267" i="55"/>
  <c r="BM267" i="55" a="1"/>
  <c r="BM267" i="55" s="1"/>
  <c r="CU44" i="55"/>
  <c r="CT44" i="55"/>
  <c r="CR44" i="55"/>
  <c r="CP44" i="55"/>
  <c r="CS44" i="55"/>
  <c r="CV44" i="55"/>
  <c r="CQ44" i="55"/>
  <c r="CW44" i="55"/>
  <c r="BM44" i="55" a="1"/>
  <c r="BM44" i="55" s="1"/>
  <c r="CA44" i="55" s="1"/>
  <c r="DZ344" i="55"/>
  <c r="GD120" i="55"/>
  <c r="C120" i="55"/>
  <c r="CS16" i="55"/>
  <c r="CQ16" i="55"/>
  <c r="CO16" i="55"/>
  <c r="CV16" i="55"/>
  <c r="CX16" i="55"/>
  <c r="CP16" i="55"/>
  <c r="CU16" i="55"/>
  <c r="CR16" i="55"/>
  <c r="CT16" i="55"/>
  <c r="CW16" i="55"/>
  <c r="CS272" i="55"/>
  <c r="CR272" i="55"/>
  <c r="CU272" i="55"/>
  <c r="CQ272" i="55"/>
  <c r="CV272" i="55"/>
  <c r="CP272" i="55"/>
  <c r="CT272" i="55"/>
  <c r="CW272" i="55"/>
  <c r="BM272" i="55" a="1"/>
  <c r="BM272" i="55" s="1"/>
  <c r="CX272" i="55" s="1"/>
  <c r="GL6" i="55"/>
  <c r="BK3" i="40" s="1" a="1"/>
  <c r="BK3" i="40" s="1"/>
  <c r="BY3" i="40" a="1"/>
  <c r="BY3" i="40" s="1"/>
  <c r="CI54" i="55"/>
  <c r="CJ54" i="55"/>
  <c r="DB294" i="55"/>
  <c r="DA294" i="55" a="1"/>
  <c r="DA294" i="55" s="1"/>
  <c r="BM294" i="55" a="1"/>
  <c r="BM294" i="55" s="1"/>
  <c r="CI326" i="55"/>
  <c r="CJ326" i="55"/>
  <c r="DT263" i="55"/>
  <c r="DN81" i="55"/>
  <c r="DK81" i="55"/>
  <c r="CI90" i="55"/>
  <c r="CJ90" i="55"/>
  <c r="CI136" i="55"/>
  <c r="CJ136" i="55"/>
  <c r="DA296" i="55" a="1"/>
  <c r="DA296" i="55" s="1"/>
  <c r="DB296" i="55"/>
  <c r="BM296" i="55" a="1"/>
  <c r="BM296" i="55" s="1"/>
  <c r="CX296" i="55" s="1"/>
  <c r="CZ132" i="55"/>
  <c r="CY133" i="55"/>
  <c r="DB185" i="55"/>
  <c r="DA185" i="55" a="1"/>
  <c r="DA185" i="55" s="1"/>
  <c r="BM185" i="55" a="1"/>
  <c r="BM185" i="55" s="1"/>
  <c r="CP166" i="55"/>
  <c r="CU166" i="55"/>
  <c r="CT166" i="55"/>
  <c r="CQ166" i="55"/>
  <c r="CR166" i="55"/>
  <c r="CW166" i="55"/>
  <c r="CV166" i="55"/>
  <c r="CS166" i="55"/>
  <c r="DC191" i="55"/>
  <c r="BO26" i="54" a="1"/>
  <c r="BO26" i="54" s="1"/>
  <c r="U26" i="54" a="1"/>
  <c r="U26" i="54" s="1"/>
  <c r="BV26" i="54" a="1"/>
  <c r="BV26" i="54" s="1"/>
  <c r="BS26" i="54" a="1"/>
  <c r="BS26" i="54" s="1"/>
  <c r="W26" i="54" a="1"/>
  <c r="W26" i="54" s="1"/>
  <c r="BV17" i="54" a="1"/>
  <c r="BV17" i="54" s="1"/>
  <c r="W17" i="54" a="1"/>
  <c r="W17" i="54" s="1"/>
  <c r="U17" i="54" a="1"/>
  <c r="U17" i="54" s="1"/>
  <c r="BS17" i="54" a="1"/>
  <c r="BS17" i="54" s="1"/>
  <c r="CQ83" i="55"/>
  <c r="CO83" i="55"/>
  <c r="CS83" i="55" s="1"/>
  <c r="CU83" i="55"/>
  <c r="CV83" i="55"/>
  <c r="CP83" i="55"/>
  <c r="CW83" i="55"/>
  <c r="CX83" i="55"/>
  <c r="CT83" i="55"/>
  <c r="CR83" i="55"/>
  <c r="CG156" i="55"/>
  <c r="C256" i="55"/>
  <c r="GD256" i="55"/>
  <c r="CV263" i="55"/>
  <c r="CP263" i="55"/>
  <c r="CU263" i="55"/>
  <c r="CW263" i="55"/>
  <c r="CT263" i="55"/>
  <c r="CR263" i="55"/>
  <c r="CS263" i="55"/>
  <c r="CQ263" i="55"/>
  <c r="CJ71" i="55"/>
  <c r="CU41" i="55"/>
  <c r="CP41" i="55"/>
  <c r="CR41" i="55"/>
  <c r="CS41" i="55"/>
  <c r="CT41" i="55"/>
  <c r="CV41" i="55"/>
  <c r="CQ41" i="55"/>
  <c r="CW41" i="55"/>
  <c r="CI302" i="55"/>
  <c r="BY302" i="55"/>
  <c r="CJ302" i="55"/>
  <c r="CH325" i="55"/>
  <c r="CG325" i="55"/>
  <c r="EU27" i="55"/>
  <c r="GU27" i="55" s="1"/>
  <c r="EV27" i="55"/>
  <c r="ET28" i="55"/>
  <c r="BM200" i="55" a="1"/>
  <c r="BM200" i="55" s="1"/>
  <c r="DZ260" i="55"/>
  <c r="CV90" i="55"/>
  <c r="CT90" i="55"/>
  <c r="CW90" i="55"/>
  <c r="CQ90" i="55"/>
  <c r="CO90" i="55"/>
  <c r="CS90" i="55" s="1"/>
  <c r="CU90" i="55"/>
  <c r="CP90" i="55"/>
  <c r="CR90" i="55"/>
  <c r="CI340" i="55"/>
  <c r="CJ340" i="55"/>
  <c r="CW345" i="55"/>
  <c r="CT345" i="55"/>
  <c r="CO345" i="55"/>
  <c r="CU345" i="55"/>
  <c r="CS345" i="55"/>
  <c r="CR345" i="55"/>
  <c r="CQ345" i="55"/>
  <c r="CV345" i="55"/>
  <c r="CP345" i="55"/>
  <c r="BM345" i="55" a="1"/>
  <c r="BM345" i="55" s="1"/>
  <c r="CI58" i="55"/>
  <c r="CJ58" i="55"/>
  <c r="BO25" i="54" a="1"/>
  <c r="BO25" i="54" s="1"/>
  <c r="BS25" i="54" a="1"/>
  <c r="BS25" i="54" s="1"/>
  <c r="BV25" i="54" a="1"/>
  <c r="BV25" i="54" s="1"/>
  <c r="U25" i="54" a="1"/>
  <c r="U25" i="54" s="1"/>
  <c r="BK25" i="54" a="1"/>
  <c r="BK25" i="54" s="1"/>
  <c r="W25" i="54" a="1"/>
  <c r="W25" i="54" s="1"/>
  <c r="DT179" i="55"/>
  <c r="BN179" i="55" a="1"/>
  <c r="BN179" i="55" s="1"/>
  <c r="DU179" i="55" s="1"/>
  <c r="DA330" i="55" a="1"/>
  <c r="DA330" i="55" s="1"/>
  <c r="DB330" i="55"/>
  <c r="BM330" i="55" a="1"/>
  <c r="BM330" i="55" s="1"/>
  <c r="CX330" i="55" s="1"/>
  <c r="CG172" i="55"/>
  <c r="DZ64" i="55"/>
  <c r="DZ192" i="55"/>
  <c r="DZ256" i="55"/>
  <c r="DT215" i="55"/>
  <c r="CW215" i="55"/>
  <c r="CQ215" i="55"/>
  <c r="DZ177" i="55"/>
  <c r="DT57" i="55"/>
  <c r="BN57" i="55" a="1"/>
  <c r="BN57" i="55" s="1"/>
  <c r="DU57" i="55" s="1"/>
  <c r="CZ332" i="55"/>
  <c r="CY333" i="55"/>
  <c r="CI177" i="55"/>
  <c r="CJ177" i="55"/>
  <c r="DB242" i="55"/>
  <c r="DA242" i="55" a="1"/>
  <c r="DA242" i="55" s="1"/>
  <c r="DZ262" i="55"/>
  <c r="DB293" i="55"/>
  <c r="DA293" i="55" a="1"/>
  <c r="DA293" i="55" s="1"/>
  <c r="DB52" i="55"/>
  <c r="DA52" i="55" a="1"/>
  <c r="DA52" i="55" s="1"/>
  <c r="BM52" i="55" a="1"/>
  <c r="BM52" i="55" s="1"/>
  <c r="DB164" i="55"/>
  <c r="DA164" i="55" a="1"/>
  <c r="DA164" i="55" s="1"/>
  <c r="BM164" i="55" a="1"/>
  <c r="BM164" i="55" s="1"/>
  <c r="CJ17" i="55"/>
  <c r="BO22" i="54" s="1" a="1"/>
  <c r="BO22" i="54" s="1"/>
  <c r="CI240" i="55"/>
  <c r="CJ240" i="55"/>
  <c r="DZ286" i="55"/>
  <c r="CQ148" i="55"/>
  <c r="CV148" i="55"/>
  <c r="CT148" i="55"/>
  <c r="CR148" i="55"/>
  <c r="CU148" i="55"/>
  <c r="CW148" i="55"/>
  <c r="CP148" i="55"/>
  <c r="CO148" i="55"/>
  <c r="CS148" i="55" s="1"/>
  <c r="BM148" i="55" a="1"/>
  <c r="BM148" i="55" s="1"/>
  <c r="CX148" i="55" s="1"/>
  <c r="BM293" i="55" a="1"/>
  <c r="BM293" i="55" s="1"/>
  <c r="CI35" i="55"/>
  <c r="CI102" i="55"/>
  <c r="CJ102" i="55"/>
  <c r="DA151" i="55" a="1"/>
  <c r="DA151" i="55" s="1"/>
  <c r="DB151" i="55"/>
  <c r="CJ167" i="55"/>
  <c r="EB341" i="55"/>
  <c r="DB56" i="55"/>
  <c r="DA56" i="55" a="1"/>
  <c r="DA56" i="55" s="1"/>
  <c r="DA216" i="55" a="1"/>
  <c r="DA216" i="55" s="1"/>
  <c r="DB216" i="55"/>
  <c r="BM216" i="55" a="1"/>
  <c r="BM216" i="55" s="1"/>
  <c r="DA264" i="55" a="1"/>
  <c r="DA264" i="55" s="1"/>
  <c r="DB264" i="55"/>
  <c r="BM264" i="55" a="1"/>
  <c r="BM264" i="55" s="1"/>
  <c r="DB218" i="55"/>
  <c r="DA218" i="55" a="1"/>
  <c r="DA218" i="55" s="1"/>
  <c r="DC218" i="55" s="1"/>
  <c r="BM218" i="55" a="1"/>
  <c r="BM218" i="55" s="1"/>
  <c r="CX218" i="55" s="1"/>
  <c r="CG202" i="55"/>
  <c r="C333" i="55"/>
  <c r="GD333" i="55"/>
  <c r="CV179" i="55"/>
  <c r="CT179" i="55"/>
  <c r="CR179" i="55"/>
  <c r="CP179" i="55"/>
  <c r="CU179" i="55"/>
  <c r="CQ179" i="55"/>
  <c r="CO179" i="55"/>
  <c r="CS179" i="55"/>
  <c r="CW179" i="55"/>
  <c r="BM179" i="55" a="1"/>
  <c r="BM179" i="55" s="1"/>
  <c r="CI122" i="55"/>
  <c r="DT342" i="55"/>
  <c r="CX342" i="55"/>
  <c r="CQ342" i="55"/>
  <c r="GD177" i="55"/>
  <c r="CW279" i="55"/>
  <c r="CT279" i="55"/>
  <c r="CV279" i="55"/>
  <c r="CP279" i="55"/>
  <c r="CS279" i="55"/>
  <c r="CQ279" i="55"/>
  <c r="CR279" i="55"/>
  <c r="CU279" i="55"/>
  <c r="CV57" i="55"/>
  <c r="CT57" i="55"/>
  <c r="CO57" i="55"/>
  <c r="CS57" i="55" s="1"/>
  <c r="CW57" i="55"/>
  <c r="CQ57" i="55"/>
  <c r="CU57" i="55"/>
  <c r="CR57" i="55"/>
  <c r="CP57" i="55"/>
  <c r="CX57" i="55"/>
  <c r="DA254" i="55" a="1"/>
  <c r="DA254" i="55" s="1"/>
  <c r="DB254" i="55"/>
  <c r="BM254" i="55" a="1"/>
  <c r="BM254" i="55" s="1"/>
  <c r="CG181" i="55"/>
  <c r="CI30" i="55"/>
  <c r="CJ30" i="55"/>
  <c r="DB190" i="55"/>
  <c r="DA190" i="55" a="1"/>
  <c r="DA190" i="55" s="1"/>
  <c r="DA97" i="55" a="1"/>
  <c r="DA97" i="55" s="1"/>
  <c r="DB97" i="55"/>
  <c r="BM97" i="55" a="1"/>
  <c r="BM97" i="55" s="1"/>
  <c r="CG38" i="55"/>
  <c r="DC352" i="55"/>
  <c r="CW264" i="55"/>
  <c r="CV264" i="55"/>
  <c r="CT264" i="55"/>
  <c r="CR264" i="55"/>
  <c r="CP264" i="55"/>
  <c r="CQ264" i="55"/>
  <c r="CU264" i="55"/>
  <c r="CS264" i="55"/>
  <c r="CI242" i="55"/>
  <c r="CJ242" i="55"/>
  <c r="AY227" i="55"/>
  <c r="E227" i="55" s="1"/>
  <c r="AZ227" i="55" s="1"/>
  <c r="DZ294" i="55"/>
  <c r="DZ277" i="55"/>
  <c r="CG194" i="55"/>
  <c r="DT142" i="55"/>
  <c r="CF11" i="55"/>
  <c r="CH11" i="55" s="1"/>
  <c r="CG11" i="55"/>
  <c r="CT222" i="55"/>
  <c r="CW222" i="55"/>
  <c r="CU222" i="55"/>
  <c r="CS222" i="55"/>
  <c r="CQ222" i="55"/>
  <c r="CO222" i="55"/>
  <c r="CV222" i="55"/>
  <c r="CP222" i="55"/>
  <c r="CR222" i="55"/>
  <c r="DT180" i="55"/>
  <c r="CU277" i="55"/>
  <c r="CX277" i="55"/>
  <c r="CT277" i="55"/>
  <c r="CS277" i="55"/>
  <c r="CV277" i="55"/>
  <c r="CW277" i="55"/>
  <c r="CQ277" i="55"/>
  <c r="CP277" i="55"/>
  <c r="CR277" i="55"/>
  <c r="CB307" i="55"/>
  <c r="CC307" i="55" s="1"/>
  <c r="CA149" i="55"/>
  <c r="CB149" i="55" s="1"/>
  <c r="CC149" i="55" s="1"/>
  <c r="BN149" i="55" a="1"/>
  <c r="BN149" i="55" s="1"/>
  <c r="CW293" i="55"/>
  <c r="CU293" i="55"/>
  <c r="CS293" i="55"/>
  <c r="CR293" i="55"/>
  <c r="CX293" i="55"/>
  <c r="CP293" i="55"/>
  <c r="CV293" i="55"/>
  <c r="CQ293" i="55"/>
  <c r="CT293" i="55"/>
  <c r="CX303" i="55"/>
  <c r="CA70" i="55"/>
  <c r="BN70" i="55" a="1"/>
  <c r="BN70" i="55" s="1"/>
  <c r="CS336" i="55"/>
  <c r="CV336" i="55"/>
  <c r="CT336" i="55"/>
  <c r="CR336" i="55"/>
  <c r="CU336" i="55"/>
  <c r="CQ336" i="55"/>
  <c r="CO336" i="55"/>
  <c r="CP336" i="55"/>
  <c r="CW336" i="55"/>
  <c r="DB182" i="55"/>
  <c r="DA182" i="55" a="1"/>
  <c r="DA182" i="55" s="1"/>
  <c r="DC182" i="55" s="1"/>
  <c r="DB26" i="55"/>
  <c r="DA26" i="55" a="1"/>
  <c r="DA26" i="55" s="1"/>
  <c r="BM26" i="55" a="1"/>
  <c r="BM26" i="55" s="1"/>
  <c r="DA346" i="55" a="1"/>
  <c r="DA346" i="55" s="1"/>
  <c r="DB346" i="55"/>
  <c r="BM346" i="55" a="1"/>
  <c r="BM346" i="55" s="1"/>
  <c r="CA346" i="55" s="1"/>
  <c r="C225" i="55"/>
  <c r="GD225" i="55"/>
  <c r="BM305" i="55" a="1"/>
  <c r="BM305" i="55" s="1"/>
  <c r="CX305" i="55" s="1"/>
  <c r="DA39" i="55" a="1"/>
  <c r="DA39" i="55" s="1"/>
  <c r="DB39" i="55"/>
  <c r="BM39" i="55" a="1"/>
  <c r="BM39" i="55" s="1"/>
  <c r="CA39" i="55" s="1"/>
  <c r="DA314" i="55" a="1"/>
  <c r="DA314" i="55" s="1"/>
  <c r="DB314" i="55"/>
  <c r="BM314" i="55" a="1"/>
  <c r="BM314" i="55" s="1"/>
  <c r="DT310" i="55"/>
  <c r="CT310" i="55"/>
  <c r="CI56" i="55"/>
  <c r="DB104" i="55"/>
  <c r="DA104" i="55" a="1"/>
  <c r="DA104" i="55" s="1"/>
  <c r="DC104" i="55" s="1"/>
  <c r="BM104" i="55" a="1"/>
  <c r="BM104" i="55" s="1"/>
  <c r="CA104" i="55" s="1"/>
  <c r="DB344" i="55"/>
  <c r="DA344" i="55" a="1"/>
  <c r="DA344" i="55" s="1"/>
  <c r="BM344" i="55" a="1"/>
  <c r="BM344" i="55" s="1"/>
  <c r="CX344" i="55" s="1"/>
  <c r="CI345" i="55"/>
  <c r="CJ345" i="55"/>
  <c r="DT313" i="55"/>
  <c r="CI218" i="55"/>
  <c r="CJ218" i="55"/>
  <c r="CZ32" i="55"/>
  <c r="DD32" i="55" s="1"/>
  <c r="CY33" i="55"/>
  <c r="CG25" i="55"/>
  <c r="CF25" i="55"/>
  <c r="CH25" i="55" s="1"/>
  <c r="DZ141" i="55"/>
  <c r="BS12" i="54" a="1"/>
  <c r="BS12" i="54" s="1"/>
  <c r="BV12" i="54" a="1"/>
  <c r="BV12" i="54" s="1"/>
  <c r="BO12" i="54" a="1"/>
  <c r="BO12" i="54" s="1"/>
  <c r="BK12" i="54" a="1"/>
  <c r="BK12" i="54" s="1"/>
  <c r="BU12" i="54" a="1"/>
  <c r="BU12" i="54" s="1"/>
  <c r="W12" i="54" a="1"/>
  <c r="W12" i="54" s="1"/>
  <c r="U12" i="54" a="1"/>
  <c r="U12" i="54" s="1"/>
  <c r="AY186" i="55"/>
  <c r="E186" i="55" s="1"/>
  <c r="AZ186" i="55" s="1"/>
  <c r="BW186" i="55"/>
  <c r="CG44" i="55"/>
  <c r="EB30" i="55"/>
  <c r="CP230" i="55"/>
  <c r="CV230" i="55"/>
  <c r="CT230" i="55"/>
  <c r="CR230" i="55"/>
  <c r="CU230" i="55"/>
  <c r="CW230" i="55"/>
  <c r="CQ230" i="55"/>
  <c r="CS230" i="55"/>
  <c r="CW119" i="55"/>
  <c r="CU119" i="55"/>
  <c r="CV119" i="55"/>
  <c r="CQ119" i="55"/>
  <c r="CO119" i="55"/>
  <c r="CS119" i="55" s="1"/>
  <c r="CX119" i="55"/>
  <c r="CR119" i="55"/>
  <c r="CP119" i="55"/>
  <c r="CT119" i="55"/>
  <c r="N22" i="42"/>
  <c r="P22" i="42" s="1"/>
  <c r="AE22" i="42" s="1"/>
  <c r="AF22" i="42" s="1"/>
  <c r="N24" i="42"/>
  <c r="P24" i="42" s="1"/>
  <c r="AE24" i="42" s="1"/>
  <c r="AF24" i="42" s="1"/>
  <c r="N26" i="42"/>
  <c r="P26" i="42" s="1"/>
  <c r="AE26" i="42" s="1"/>
  <c r="AF26" i="42" s="1"/>
  <c r="N31" i="42"/>
  <c r="P31" i="42" s="1"/>
  <c r="AE31" i="42" s="1"/>
  <c r="AF31" i="42" s="1"/>
  <c r="N23" i="42"/>
  <c r="P23" i="42" s="1"/>
  <c r="AE23" i="42" s="1"/>
  <c r="AF23" i="42" s="1"/>
  <c r="N25" i="42"/>
  <c r="P25" i="42" s="1"/>
  <c r="AE25" i="42" s="1"/>
  <c r="AF25" i="42" s="1"/>
  <c r="DC271" i="55"/>
  <c r="GX283" i="55"/>
  <c r="GY283" i="55"/>
  <c r="GR283" i="55"/>
  <c r="GS283" i="55" s="1"/>
  <c r="EY283" i="55"/>
  <c r="FN283" i="55" s="1"/>
  <c r="FO283" i="55" s="1"/>
  <c r="BW268" i="55"/>
  <c r="AY268" i="55"/>
  <c r="DB142" i="55"/>
  <c r="DA142" i="55" a="1"/>
  <c r="DA142" i="55" s="1"/>
  <c r="DC142" i="55" s="1"/>
  <c r="BM142" i="55" a="1"/>
  <c r="BM142" i="55" s="1"/>
  <c r="CY344" i="55"/>
  <c r="CI113" i="55"/>
  <c r="DA337" i="55" a="1"/>
  <c r="DA337" i="55" s="1"/>
  <c r="DB337" i="55"/>
  <c r="CI338" i="55"/>
  <c r="CJ338" i="55"/>
  <c r="DZ132" i="55"/>
  <c r="DZ226" i="55"/>
  <c r="DT124" i="55"/>
  <c r="DT60" i="55"/>
  <c r="BN60" i="55" a="1"/>
  <c r="BN60" i="55" s="1"/>
  <c r="GD341" i="55"/>
  <c r="C341" i="55"/>
  <c r="FG341" i="55"/>
  <c r="FE341" i="55"/>
  <c r="FI341" i="55" s="1"/>
  <c r="FD341" i="55"/>
  <c r="FF341" i="55"/>
  <c r="EL341" i="55"/>
  <c r="EM341" i="55" s="1"/>
  <c r="DG341" i="55"/>
  <c r="DH341" i="55" s="1"/>
  <c r="DJ341" i="55" s="1" a="1"/>
  <c r="DJ341" i="55" s="1"/>
  <c r="CI352" i="55"/>
  <c r="CA210" i="55"/>
  <c r="CB210" i="55" s="1"/>
  <c r="CC210" i="55" s="1"/>
  <c r="BN210" i="55" a="1"/>
  <c r="BN210" i="55" s="1"/>
  <c r="CQ180" i="55"/>
  <c r="CV180" i="55"/>
  <c r="CP180" i="55"/>
  <c r="CW180" i="55"/>
  <c r="CO180" i="55"/>
  <c r="CU180" i="55"/>
  <c r="CT180" i="55"/>
  <c r="CR180" i="55"/>
  <c r="CS180" i="55"/>
  <c r="DZ95" i="55"/>
  <c r="CA165" i="55"/>
  <c r="CX165" i="55"/>
  <c r="CA309" i="55"/>
  <c r="CX309" i="55"/>
  <c r="BN309" i="55" a="1"/>
  <c r="BN309" i="55" s="1"/>
  <c r="EB41" i="55"/>
  <c r="DZ121" i="55"/>
  <c r="DZ234" i="55"/>
  <c r="DT352" i="55"/>
  <c r="CI70" i="55"/>
  <c r="CJ70" i="55"/>
  <c r="CI294" i="55"/>
  <c r="CJ294" i="55"/>
  <c r="BM41" i="55" a="1"/>
  <c r="BM41" i="55" s="1"/>
  <c r="CG264" i="55"/>
  <c r="AY247" i="55"/>
  <c r="E247" i="55" s="1"/>
  <c r="AZ247" i="55" s="1"/>
  <c r="BW247" i="55"/>
  <c r="CI39" i="55"/>
  <c r="DB119" i="55"/>
  <c r="DA119" i="55" a="1"/>
  <c r="DA119" i="55" s="1"/>
  <c r="DC119" i="55" s="1"/>
  <c r="DA199" i="55" a="1"/>
  <c r="DA199" i="55" s="1"/>
  <c r="DB199" i="55"/>
  <c r="DB247" i="55"/>
  <c r="DA247" i="55" a="1"/>
  <c r="DA247" i="55" s="1"/>
  <c r="DB327" i="55"/>
  <c r="DA327" i="55" a="1"/>
  <c r="DA327" i="55" s="1"/>
  <c r="DC327" i="55" s="1"/>
  <c r="BM327" i="55" a="1"/>
  <c r="BM327" i="55" s="1"/>
  <c r="DA24" i="55" a="1"/>
  <c r="DA24" i="55" s="1"/>
  <c r="DB24" i="55"/>
  <c r="BM24" i="55" a="1"/>
  <c r="BM24" i="55" s="1"/>
  <c r="BN24" i="55" s="1" a="1"/>
  <c r="BN24" i="55" s="1"/>
  <c r="DU24" i="55" s="1"/>
  <c r="CI104" i="55"/>
  <c r="CJ104" i="55"/>
  <c r="CI105" i="55"/>
  <c r="CJ105" i="55"/>
  <c r="EU338" i="55"/>
  <c r="GU338" i="55" s="1"/>
  <c r="EV338" i="55"/>
  <c r="CG218" i="55"/>
  <c r="DT105" i="55"/>
  <c r="BN105" i="55" a="1"/>
  <c r="BN105" i="55" s="1"/>
  <c r="GD189" i="55"/>
  <c r="GD237" i="55"/>
  <c r="BN275" i="55" a="1"/>
  <c r="BN275" i="55" s="1"/>
  <c r="EU337" i="55"/>
  <c r="GU337" i="55" s="1"/>
  <c r="EV337" i="55"/>
  <c r="CQ169" i="55"/>
  <c r="CR169" i="55"/>
  <c r="CU169" i="55"/>
  <c r="CT169" i="55"/>
  <c r="CS169" i="55"/>
  <c r="CW169" i="55"/>
  <c r="CV169" i="55"/>
  <c r="CP169" i="55"/>
  <c r="BM169" i="55" a="1"/>
  <c r="BM169" i="55" s="1"/>
  <c r="CA169" i="55" s="1"/>
  <c r="GD128" i="55"/>
  <c r="DZ208" i="55"/>
  <c r="DZ272" i="55"/>
  <c r="DT246" i="55"/>
  <c r="DZ193" i="55"/>
  <c r="BN119" i="55" a="1"/>
  <c r="BN119" i="55" s="1"/>
  <c r="DU119" i="55" s="1"/>
  <c r="BM199" i="55" a="1"/>
  <c r="BM199" i="55" s="1"/>
  <c r="CX199" i="55" s="1"/>
  <c r="CV329" i="55"/>
  <c r="CT329" i="55"/>
  <c r="CP329" i="55"/>
  <c r="CO329" i="55"/>
  <c r="CS329" i="55" s="1"/>
  <c r="CQ329" i="55"/>
  <c r="CU329" i="55"/>
  <c r="CW329" i="55"/>
  <c r="CR329" i="55"/>
  <c r="BM329" i="55" a="1"/>
  <c r="BM329" i="55" s="1"/>
  <c r="CA329" i="55" s="1"/>
  <c r="CI287" i="55"/>
  <c r="BY287" i="55"/>
  <c r="CJ287" i="55"/>
  <c r="CA92" i="55"/>
  <c r="BN92" i="55" a="1"/>
  <c r="BN92" i="55" s="1"/>
  <c r="DU92" i="55" s="1"/>
  <c r="CI348" i="55"/>
  <c r="CI254" i="55"/>
  <c r="CJ254" i="55"/>
  <c r="CG37" i="55"/>
  <c r="DB350" i="55"/>
  <c r="DA350" i="55" a="1"/>
  <c r="DA350" i="55" s="1"/>
  <c r="DC350" i="55" s="1"/>
  <c r="BM350" i="55" a="1"/>
  <c r="BM350" i="55" s="1"/>
  <c r="CA350" i="55" s="1"/>
  <c r="C306" i="55"/>
  <c r="CG262" i="55"/>
  <c r="CW328" i="55"/>
  <c r="CO328" i="55"/>
  <c r="CS328" i="55" s="1"/>
  <c r="CV328" i="55"/>
  <c r="CP328" i="55"/>
  <c r="CR328" i="55"/>
  <c r="CT328" i="55"/>
  <c r="CQ328" i="55"/>
  <c r="CU328" i="55"/>
  <c r="GD183" i="55"/>
  <c r="C183" i="55"/>
  <c r="EB321" i="55"/>
  <c r="DZ134" i="55"/>
  <c r="BO203" i="55"/>
  <c r="CG210" i="55"/>
  <c r="DB35" i="55"/>
  <c r="DA35" i="55" a="1"/>
  <c r="DA35" i="55" s="1"/>
  <c r="CR98" i="55"/>
  <c r="CV98" i="55"/>
  <c r="CU98" i="55"/>
  <c r="CP98" i="55"/>
  <c r="CW98" i="55"/>
  <c r="CT98" i="55"/>
  <c r="CQ98" i="55"/>
  <c r="CO98" i="55"/>
  <c r="CS98" i="55" s="1"/>
  <c r="BM242" i="55" a="1"/>
  <c r="BM242" i="55" s="1"/>
  <c r="CI275" i="55"/>
  <c r="CJ275" i="55"/>
  <c r="EB265" i="55"/>
  <c r="CG155" i="55"/>
  <c r="CI93" i="55"/>
  <c r="CB233" i="55"/>
  <c r="CC233" i="55" s="1"/>
  <c r="GD186" i="55"/>
  <c r="DZ282" i="55"/>
  <c r="CR144" i="55"/>
  <c r="CP144" i="55"/>
  <c r="CU144" i="55"/>
  <c r="CT144" i="55"/>
  <c r="CO144" i="55"/>
  <c r="CS144" i="55" s="1"/>
  <c r="CQ144" i="55"/>
  <c r="CV144" i="55"/>
  <c r="CW144" i="55"/>
  <c r="BM144" i="55" a="1"/>
  <c r="BM144" i="55" s="1"/>
  <c r="CS352" i="55"/>
  <c r="CV352" i="55"/>
  <c r="CT352" i="55"/>
  <c r="CR352" i="55"/>
  <c r="CW352" i="55"/>
  <c r="CU352" i="55"/>
  <c r="CP352" i="55"/>
  <c r="CQ352" i="55"/>
  <c r="CO352" i="55"/>
  <c r="BM352" i="55" a="1"/>
  <c r="BM352" i="55" s="1"/>
  <c r="DA230" i="55" a="1"/>
  <c r="DA230" i="55" s="1"/>
  <c r="DB230" i="55"/>
  <c r="BM230" i="55" a="1"/>
  <c r="BM230" i="55" s="1"/>
  <c r="CX230" i="55" s="1"/>
  <c r="EB276" i="55"/>
  <c r="CG120" i="55"/>
  <c r="CI199" i="55"/>
  <c r="CI281" i="55"/>
  <c r="CJ281" i="55"/>
  <c r="BM182" i="55" a="1"/>
  <c r="BM182" i="55" s="1"/>
  <c r="EB101" i="55"/>
  <c r="CG169" i="55"/>
  <c r="CB203" i="55"/>
  <c r="CC203" i="55" s="1"/>
  <c r="C157" i="55"/>
  <c r="GD157" i="55"/>
  <c r="DB184" i="55"/>
  <c r="DA184" i="55" a="1"/>
  <c r="DA184" i="55" s="1"/>
  <c r="DC184" i="55" s="1"/>
  <c r="BM184" i="55" a="1"/>
  <c r="BM184" i="55" s="1"/>
  <c r="CI232" i="55"/>
  <c r="CJ232" i="55"/>
  <c r="BW119" i="55"/>
  <c r="DT128" i="55"/>
  <c r="BN128" i="55" a="1"/>
  <c r="BN128" i="55" s="1"/>
  <c r="DU128" i="55" s="1"/>
  <c r="DZ93" i="55"/>
  <c r="BM35" i="55" a="1"/>
  <c r="BM35" i="55" s="1"/>
  <c r="CX35" i="55" s="1"/>
  <c r="CW195" i="55"/>
  <c r="CT195" i="55"/>
  <c r="CP195" i="55"/>
  <c r="CV195" i="55"/>
  <c r="CQ195" i="55"/>
  <c r="CS195" i="55"/>
  <c r="CR195" i="55"/>
  <c r="CU195" i="55"/>
  <c r="BM195" i="55" a="1"/>
  <c r="BM195" i="55" s="1"/>
  <c r="DT291" i="55"/>
  <c r="CW291" i="55"/>
  <c r="CR291" i="55"/>
  <c r="CI9" i="55"/>
  <c r="BK14" i="54" s="1" a="1"/>
  <c r="BK14" i="54" s="1"/>
  <c r="CJ9" i="55"/>
  <c r="BO14" i="54" s="1" a="1"/>
  <c r="BO14" i="54" s="1"/>
  <c r="CG316" i="55"/>
  <c r="DB74" i="55"/>
  <c r="DA74" i="55" a="1"/>
  <c r="DA74" i="55" s="1"/>
  <c r="BM74" i="55" a="1"/>
  <c r="BM74" i="55" s="1"/>
  <c r="CJ323" i="55"/>
  <c r="DC6" i="55"/>
  <c r="EB42" i="55"/>
  <c r="CQ135" i="55"/>
  <c r="CO135" i="55"/>
  <c r="CT135" i="55"/>
  <c r="CV135" i="55"/>
  <c r="CR135" i="55"/>
  <c r="CS135" i="55"/>
  <c r="CU135" i="55"/>
  <c r="CP135" i="55"/>
  <c r="CW135" i="55"/>
  <c r="CV199" i="55"/>
  <c r="CT199" i="55"/>
  <c r="CR199" i="55"/>
  <c r="CP199" i="55"/>
  <c r="CS199" i="55"/>
  <c r="CQ199" i="55"/>
  <c r="CU199" i="55"/>
  <c r="CW199" i="55"/>
  <c r="GD275" i="55"/>
  <c r="CT217" i="55"/>
  <c r="CW217" i="55"/>
  <c r="CP217" i="55"/>
  <c r="CV217" i="55"/>
  <c r="CU217" i="55"/>
  <c r="CR217" i="55"/>
  <c r="CQ217" i="55"/>
  <c r="CS217" i="55"/>
  <c r="CI319" i="55"/>
  <c r="CJ319" i="55"/>
  <c r="DC351" i="55"/>
  <c r="CI236" i="55"/>
  <c r="DB316" i="55"/>
  <c r="DA316" i="55" a="1"/>
  <c r="DA316" i="55" s="1"/>
  <c r="BM316" i="55" a="1"/>
  <c r="BM316" i="55" s="1"/>
  <c r="CA316" i="55" s="1"/>
  <c r="EV330" i="55"/>
  <c r="EU330" i="55"/>
  <c r="GU330" i="55" s="1"/>
  <c r="ET331" i="55"/>
  <c r="EB256" i="55"/>
  <c r="DZ71" i="55"/>
  <c r="DZ165" i="55"/>
  <c r="C229" i="55"/>
  <c r="DZ200" i="55"/>
  <c r="EB69" i="55"/>
  <c r="EB187" i="55"/>
  <c r="DT223" i="55"/>
  <c r="CX223" i="55"/>
  <c r="BN223" i="55" a="1"/>
  <c r="BN223" i="55" s="1"/>
  <c r="DZ331" i="55"/>
  <c r="CW225" i="55"/>
  <c r="CU225" i="55"/>
  <c r="CS225" i="55"/>
  <c r="CV225" i="55"/>
  <c r="CQ225" i="55"/>
  <c r="CT225" i="55"/>
  <c r="CP225" i="55"/>
  <c r="CR225" i="55"/>
  <c r="DB99" i="55"/>
  <c r="DA99" i="55" a="1"/>
  <c r="DA99" i="55" s="1"/>
  <c r="CR114" i="55"/>
  <c r="CV114" i="55"/>
  <c r="CT114" i="55"/>
  <c r="CW114" i="55"/>
  <c r="CO114" i="55"/>
  <c r="CS114" i="55" s="1"/>
  <c r="CU114" i="55"/>
  <c r="CQ114" i="55"/>
  <c r="CP114" i="55"/>
  <c r="CI128" i="55"/>
  <c r="CJ128" i="55"/>
  <c r="CI176" i="55"/>
  <c r="CJ176" i="55"/>
  <c r="CW223" i="55"/>
  <c r="CA274" i="55"/>
  <c r="BN274" i="55" a="1"/>
  <c r="BN274" i="55" s="1"/>
  <c r="CQ196" i="55"/>
  <c r="CX196" i="55"/>
  <c r="CV196" i="55"/>
  <c r="CT196" i="55"/>
  <c r="CR196" i="55"/>
  <c r="CW196" i="55"/>
  <c r="CP196" i="55"/>
  <c r="CU196" i="55"/>
  <c r="CS196" i="55"/>
  <c r="BM196" i="55" a="1"/>
  <c r="BM196" i="55" s="1"/>
  <c r="CA196" i="55" s="1"/>
  <c r="CX181" i="55"/>
  <c r="CV181" i="55"/>
  <c r="CT181" i="55"/>
  <c r="CR181" i="55"/>
  <c r="CS181" i="55"/>
  <c r="CU181" i="55"/>
  <c r="CP181" i="55"/>
  <c r="CQ181" i="55"/>
  <c r="CO181" i="55"/>
  <c r="CW181" i="55"/>
  <c r="AX23" i="54"/>
  <c r="AY23" i="54" s="1" a="1"/>
  <c r="AY23" i="54" s="1"/>
  <c r="CQ325" i="55"/>
  <c r="CT325" i="55"/>
  <c r="CO325" i="55"/>
  <c r="CW325" i="55"/>
  <c r="CP325" i="55"/>
  <c r="CV325" i="55"/>
  <c r="CU325" i="55"/>
  <c r="CX325" i="55"/>
  <c r="CS325" i="55"/>
  <c r="CR325" i="55"/>
  <c r="DA160" i="55" a="1"/>
  <c r="DA160" i="55" s="1"/>
  <c r="DB160" i="55"/>
  <c r="BM160" i="55" a="1"/>
  <c r="BM160" i="55" s="1"/>
  <c r="DZ73" i="55"/>
  <c r="DZ281" i="55"/>
  <c r="GD234" i="55"/>
  <c r="DB38" i="55"/>
  <c r="DA38" i="55" a="1"/>
  <c r="DA38" i="55" s="1"/>
  <c r="BM38" i="55" a="1"/>
  <c r="BM38" i="55" s="1"/>
  <c r="CI234" i="55"/>
  <c r="CJ234" i="55"/>
  <c r="CJ202" i="55"/>
  <c r="EB308" i="55"/>
  <c r="DA7" i="55" a="1"/>
  <c r="DA7" i="55" s="1"/>
  <c r="DB7" i="55"/>
  <c r="CA335" i="55"/>
  <c r="BN335" i="55" a="1"/>
  <c r="BN335" i="55" s="1"/>
  <c r="DU335" i="55" s="1"/>
  <c r="CB123" i="55"/>
  <c r="CC123" i="55" s="1"/>
  <c r="CI184" i="55"/>
  <c r="CJ184" i="55"/>
  <c r="DB312" i="55"/>
  <c r="DA312" i="55" a="1"/>
  <c r="DA312" i="55" s="1"/>
  <c r="DC312" i="55" s="1"/>
  <c r="BM312" i="55" a="1"/>
  <c r="BM312" i="55" s="1"/>
  <c r="CA312" i="55" s="1"/>
  <c r="C83" i="55"/>
  <c r="BM151" i="55" a="1"/>
  <c r="BM151" i="55" s="1"/>
  <c r="EB166" i="55"/>
  <c r="DT183" i="55"/>
  <c r="BN183" i="55" a="1"/>
  <c r="BN183" i="55" s="1"/>
  <c r="DU183" i="55" s="1"/>
  <c r="CT183" i="55"/>
  <c r="CQ183" i="55"/>
  <c r="GD285" i="55"/>
  <c r="BS22" i="54" a="1"/>
  <c r="BS22" i="54" s="1"/>
  <c r="W22" i="54" a="1"/>
  <c r="W22" i="54" s="1"/>
  <c r="U22" i="54" a="1"/>
  <c r="U22" i="54" s="1"/>
  <c r="BV22" i="54" a="1"/>
  <c r="BV22" i="54" s="1"/>
  <c r="CX115" i="55"/>
  <c r="CT115" i="55"/>
  <c r="CU115" i="55"/>
  <c r="CQ115" i="55"/>
  <c r="CO115" i="55"/>
  <c r="CS115" i="55" s="1"/>
  <c r="CW115" i="55"/>
  <c r="CR115" i="55"/>
  <c r="CV115" i="55"/>
  <c r="CP115" i="55"/>
  <c r="CG220" i="55"/>
  <c r="GD272" i="55"/>
  <c r="DT262" i="55"/>
  <c r="BN262" i="55" a="1"/>
  <c r="BN262" i="55" s="1"/>
  <c r="CW310" i="55"/>
  <c r="DC105" i="55"/>
  <c r="CA135" i="55"/>
  <c r="BN135" i="55" a="1"/>
  <c r="BN135" i="55" s="1"/>
  <c r="DC335" i="55"/>
  <c r="C260" i="55"/>
  <c r="GD260" i="55"/>
  <c r="CF28" i="55"/>
  <c r="CH28" i="55" s="1"/>
  <c r="CG28" i="55"/>
  <c r="DB204" i="55"/>
  <c r="DA204" i="55" a="1"/>
  <c r="DA204" i="55" s="1"/>
  <c r="BM204" i="55" a="1"/>
  <c r="BM204" i="55" s="1"/>
  <c r="CX204" i="55" s="1"/>
  <c r="DZ306" i="55"/>
  <c r="CH278" i="55"/>
  <c r="DA322" i="55" a="1"/>
  <c r="DA322" i="55" s="1"/>
  <c r="DB322" i="55"/>
  <c r="BM322" i="55" a="1"/>
  <c r="BM322" i="55" s="1"/>
  <c r="DZ290" i="55"/>
  <c r="CV234" i="55"/>
  <c r="CR234" i="55"/>
  <c r="CS234" i="55"/>
  <c r="CQ234" i="55"/>
  <c r="CW234" i="55"/>
  <c r="CP234" i="55"/>
  <c r="CU234" i="55"/>
  <c r="CT234" i="55"/>
  <c r="DT106" i="55"/>
  <c r="DC86" i="55"/>
  <c r="EB29" i="55"/>
  <c r="BN196" i="55" a="1"/>
  <c r="BN196" i="55" s="1"/>
  <c r="EV53" i="55"/>
  <c r="EU53" i="55"/>
  <c r="GU53" i="55" s="1"/>
  <c r="BB25" i="54"/>
  <c r="DK226" i="55"/>
  <c r="DN226" i="55"/>
  <c r="EB332" i="55"/>
  <c r="CG270" i="55"/>
  <c r="EB203" i="55"/>
  <c r="CQ20" i="55"/>
  <c r="CW20" i="55"/>
  <c r="CU20" i="55"/>
  <c r="CS20" i="55"/>
  <c r="CR20" i="55"/>
  <c r="CX20" i="55"/>
  <c r="CT20" i="55"/>
  <c r="CO20" i="55"/>
  <c r="CP20" i="55"/>
  <c r="CV20" i="55"/>
  <c r="BN241" i="55" a="1"/>
  <c r="BN241" i="55" s="1"/>
  <c r="CB241" i="55" s="1"/>
  <c r="CC241" i="55" s="1"/>
  <c r="CI239" i="55"/>
  <c r="BN165" i="55" a="1"/>
  <c r="BN165" i="55" s="1"/>
  <c r="DU165" i="55" s="1"/>
  <c r="DB163" i="55"/>
  <c r="DA163" i="55" a="1"/>
  <c r="DA163" i="55" s="1"/>
  <c r="CA306" i="55"/>
  <c r="BN306" i="55" a="1"/>
  <c r="BN306" i="55" s="1"/>
  <c r="DU306" i="55" s="1"/>
  <c r="CQ4" i="55"/>
  <c r="CU4" i="55"/>
  <c r="CR4" i="55"/>
  <c r="CT4" i="55"/>
  <c r="CO4" i="55"/>
  <c r="CS4" i="55"/>
  <c r="CV4" i="55"/>
  <c r="CW4" i="55"/>
  <c r="CP4" i="55"/>
  <c r="DT212" i="55"/>
  <c r="CA341" i="55"/>
  <c r="BN341" i="55" a="1"/>
  <c r="BN341" i="55" s="1"/>
  <c r="DU341" i="55" s="1"/>
  <c r="CI163" i="55"/>
  <c r="CJ163" i="55"/>
  <c r="DB89" i="55"/>
  <c r="DA89" i="55" a="1"/>
  <c r="DA89" i="55" s="1"/>
  <c r="BM89" i="55" a="1"/>
  <c r="BM89" i="55" s="1"/>
  <c r="CI230" i="55"/>
  <c r="CJ230" i="55"/>
  <c r="DB234" i="55"/>
  <c r="DA234" i="55" a="1"/>
  <c r="DA234" i="55" s="1"/>
  <c r="DC234" i="55" s="1"/>
  <c r="BM234" i="55" a="1"/>
  <c r="BM234" i="55" s="1"/>
  <c r="CA234" i="55" s="1"/>
  <c r="CA150" i="55"/>
  <c r="BN150" i="55" a="1"/>
  <c r="BN150" i="55" s="1"/>
  <c r="CB150" i="55" s="1"/>
  <c r="CC150" i="55" s="1"/>
  <c r="CX150" i="55"/>
  <c r="CI7" i="55"/>
  <c r="BK15" i="54" s="1" a="1"/>
  <c r="BK15" i="54" s="1"/>
  <c r="CJ7" i="55"/>
  <c r="BO15" i="54" s="1" a="1"/>
  <c r="BO15" i="54" s="1"/>
  <c r="DB87" i="55"/>
  <c r="DA87" i="55" a="1"/>
  <c r="DA87" i="55" s="1"/>
  <c r="DA295" i="55" a="1"/>
  <c r="DA295" i="55" s="1"/>
  <c r="DB295" i="55"/>
  <c r="BM295" i="55" a="1"/>
  <c r="BM295" i="55" s="1"/>
  <c r="CA295" i="55" s="1"/>
  <c r="CI73" i="55"/>
  <c r="CJ73" i="55"/>
  <c r="DB154" i="55"/>
  <c r="DA154" i="55" a="1"/>
  <c r="DA154" i="55" s="1"/>
  <c r="DC154" i="55" s="1"/>
  <c r="BM154" i="55" a="1"/>
  <c r="BM154" i="55" s="1"/>
  <c r="EB135" i="55"/>
  <c r="EB133" i="55"/>
  <c r="C273" i="55"/>
  <c r="GD273" i="55"/>
  <c r="DA152" i="55" a="1"/>
  <c r="DA152" i="55" s="1"/>
  <c r="DB152" i="55"/>
  <c r="BM152" i="55" a="1"/>
  <c r="BM152" i="55" s="1"/>
  <c r="DB232" i="55"/>
  <c r="DA232" i="55" a="1"/>
  <c r="DA232" i="55" s="1"/>
  <c r="BM232" i="55" a="1"/>
  <c r="BM232" i="55" s="1"/>
  <c r="CA232" i="55" s="1"/>
  <c r="DB122" i="55"/>
  <c r="DA122" i="55" a="1"/>
  <c r="DA122" i="55" s="1"/>
  <c r="DC122" i="55" s="1"/>
  <c r="BM166" i="55" a="1"/>
  <c r="BM166" i="55" s="1"/>
  <c r="DT311" i="55"/>
  <c r="CQ311" i="55"/>
  <c r="CT311" i="55"/>
  <c r="CW311" i="55"/>
  <c r="BV21" i="54" a="1"/>
  <c r="BV21" i="54" s="1"/>
  <c r="BS21" i="54" a="1"/>
  <c r="BS21" i="54" s="1"/>
  <c r="BO21" i="54" a="1"/>
  <c r="BO21" i="54" s="1"/>
  <c r="U21" i="54" a="1"/>
  <c r="U21" i="54" s="1"/>
  <c r="W21" i="54" a="1"/>
  <c r="W21" i="54" s="1"/>
  <c r="DT131" i="55"/>
  <c r="BN131" i="55" a="1"/>
  <c r="BN131" i="55" s="1"/>
  <c r="CP262" i="55"/>
  <c r="CW262" i="55"/>
  <c r="CS262" i="55"/>
  <c r="CT262" i="55"/>
  <c r="CR262" i="55"/>
  <c r="CQ262" i="55"/>
  <c r="CU262" i="55"/>
  <c r="CV262" i="55"/>
  <c r="GD17" i="55"/>
  <c r="CX233" i="55"/>
  <c r="CV233" i="55"/>
  <c r="CT233" i="55"/>
  <c r="CR233" i="55"/>
  <c r="CU233" i="55"/>
  <c r="CW233" i="55"/>
  <c r="CS233" i="55"/>
  <c r="CQ233" i="55"/>
  <c r="CP233" i="55"/>
  <c r="BZ28" i="55"/>
  <c r="DV28" i="55"/>
  <c r="AK3" i="40" s="1" a="1"/>
  <c r="AK3" i="40" s="1"/>
  <c r="CY28" i="55"/>
  <c r="CI92" i="55"/>
  <c r="DB172" i="55"/>
  <c r="DA172" i="55" a="1"/>
  <c r="DA172" i="55" s="1"/>
  <c r="BM172" i="55" a="1"/>
  <c r="BM172" i="55" s="1"/>
  <c r="DB284" i="55"/>
  <c r="DA284" i="55" a="1"/>
  <c r="DA284" i="55" s="1"/>
  <c r="AY332" i="55"/>
  <c r="E332" i="55" s="1"/>
  <c r="AZ332" i="55" s="1"/>
  <c r="BW332" i="55"/>
  <c r="CI78" i="55"/>
  <c r="CG21" i="55"/>
  <c r="CU300" i="55"/>
  <c r="CT300" i="55"/>
  <c r="CR300" i="55"/>
  <c r="CW300" i="55"/>
  <c r="CP300" i="55"/>
  <c r="CV300" i="55"/>
  <c r="CQ300" i="55"/>
  <c r="CS300" i="55"/>
  <c r="BM300" i="55" a="1"/>
  <c r="BM300" i="55" s="1"/>
  <c r="CA300" i="55" s="1"/>
  <c r="DA101" i="55" a="1"/>
  <c r="DA101" i="55" s="1"/>
  <c r="DB101" i="55"/>
  <c r="EB143" i="55"/>
  <c r="CG253" i="55"/>
  <c r="CB287" i="55"/>
  <c r="CC287" i="55" s="1"/>
  <c r="CH287" i="55" s="1"/>
  <c r="CQ116" i="55"/>
  <c r="CT116" i="55"/>
  <c r="CR116" i="55"/>
  <c r="CV116" i="55"/>
  <c r="CU116" i="55"/>
  <c r="CO116" i="55"/>
  <c r="CS116" i="55" s="1"/>
  <c r="CW116" i="55"/>
  <c r="CP116" i="55"/>
  <c r="CW241" i="55"/>
  <c r="CU241" i="55"/>
  <c r="CS241" i="55"/>
  <c r="CT241" i="55"/>
  <c r="CP241" i="55"/>
  <c r="CR241" i="55"/>
  <c r="CV241" i="55"/>
  <c r="CQ241" i="55"/>
  <c r="CX241" i="55"/>
  <c r="DK216" i="55"/>
  <c r="DN216" i="55"/>
  <c r="BN197" i="55" a="1"/>
  <c r="BN197" i="55" s="1"/>
  <c r="CB197" i="55" s="1"/>
  <c r="CC197" i="55" s="1"/>
  <c r="CH197" i="55" s="1"/>
  <c r="DB227" i="55"/>
  <c r="DA227" i="55" a="1"/>
  <c r="DA227" i="55" s="1"/>
  <c r="CI16" i="55"/>
  <c r="BK21" i="54" s="1" a="1"/>
  <c r="BK21" i="54" s="1"/>
  <c r="CJ16" i="55"/>
  <c r="CA338" i="55"/>
  <c r="BN338" i="55" a="1"/>
  <c r="BN338" i="55" s="1"/>
  <c r="DU338" i="55" s="1"/>
  <c r="EB222" i="55"/>
  <c r="DT4" i="55"/>
  <c r="CQ212" i="55"/>
  <c r="CP212" i="55"/>
  <c r="CU212" i="55"/>
  <c r="CR212" i="55"/>
  <c r="CS212" i="55"/>
  <c r="CT212" i="55"/>
  <c r="CW212" i="55"/>
  <c r="CV212" i="55"/>
  <c r="CW37" i="55"/>
  <c r="CU37" i="55"/>
  <c r="CS37" i="55"/>
  <c r="CX37" i="55"/>
  <c r="CV37" i="55"/>
  <c r="CQ37" i="55"/>
  <c r="CT37" i="55"/>
  <c r="CP37" i="55"/>
  <c r="CR37" i="55"/>
  <c r="CW197" i="55"/>
  <c r="CT197" i="55"/>
  <c r="CP197" i="55"/>
  <c r="CX197" i="55"/>
  <c r="CQ197" i="55"/>
  <c r="CU197" i="55"/>
  <c r="CV197" i="55"/>
  <c r="CR197" i="55"/>
  <c r="CS197" i="55"/>
  <c r="AX26" i="54"/>
  <c r="AY26" i="54" s="1" a="1"/>
  <c r="AY26" i="54" s="1"/>
  <c r="CW341" i="55"/>
  <c r="CU341" i="55"/>
  <c r="CS341" i="55"/>
  <c r="CQ341" i="55"/>
  <c r="CO341" i="55"/>
  <c r="CR341" i="55"/>
  <c r="CX341" i="55"/>
  <c r="CT341" i="55"/>
  <c r="CV341" i="55"/>
  <c r="CP341" i="55"/>
  <c r="CI227" i="55"/>
  <c r="CJ227" i="55"/>
  <c r="EB89" i="55"/>
  <c r="CI109" i="55"/>
  <c r="CJ157" i="55"/>
  <c r="CI157" i="55"/>
  <c r="DB150" i="55"/>
  <c r="DA150" i="55" a="1"/>
  <c r="DA150" i="55" s="1"/>
  <c r="DC150" i="55" s="1"/>
  <c r="CB73" i="55"/>
  <c r="CC73" i="55" s="1"/>
  <c r="CH73" i="55" s="1"/>
  <c r="DZ58" i="55"/>
  <c r="GD330" i="55"/>
  <c r="DB310" i="55"/>
  <c r="DA310" i="55" a="1"/>
  <c r="DA310" i="55" s="1"/>
  <c r="BM310" i="55" a="1"/>
  <c r="BM310" i="55" s="1"/>
  <c r="CA310" i="55" s="1"/>
  <c r="DC345" i="55"/>
  <c r="DB106" i="55"/>
  <c r="DA106" i="55" a="1"/>
  <c r="DA106" i="55" s="1"/>
  <c r="DC106" i="55" s="1"/>
  <c r="BM106" i="55" a="1"/>
  <c r="BM106" i="55" s="1"/>
  <c r="DC29" i="55"/>
  <c r="EB84" i="55"/>
  <c r="DB167" i="55"/>
  <c r="DA167" i="55" a="1"/>
  <c r="DA167" i="55" s="1"/>
  <c r="BM167" i="55" a="1"/>
  <c r="BM167" i="55" s="1"/>
  <c r="CI295" i="55"/>
  <c r="CJ295" i="55"/>
  <c r="CI201" i="55"/>
  <c r="CJ201" i="55"/>
  <c r="AY122" i="55"/>
  <c r="CI154" i="55"/>
  <c r="CK154" i="55"/>
  <c r="CL154" i="55" s="1"/>
  <c r="FH154" i="55" s="1"/>
  <c r="FJ154" i="55" s="1"/>
  <c r="CJ154" i="55"/>
  <c r="CG41" i="55"/>
  <c r="DB72" i="55"/>
  <c r="DA72" i="55" a="1"/>
  <c r="DA72" i="55" s="1"/>
  <c r="BM72" i="55" a="1"/>
  <c r="BM72" i="55" s="1"/>
  <c r="CX72" i="55" s="1"/>
  <c r="CI312" i="55"/>
  <c r="CJ312" i="55"/>
  <c r="DB282" i="55"/>
  <c r="DA282" i="55" a="1"/>
  <c r="DA282" i="55" s="1"/>
  <c r="BM282" i="55" a="1"/>
  <c r="BM282" i="55" s="1"/>
  <c r="CA282" i="55" s="1"/>
  <c r="CA214" i="55"/>
  <c r="CB214" i="55" s="1"/>
  <c r="CC214" i="55" s="1"/>
  <c r="CX214" i="55"/>
  <c r="CJ352" i="55"/>
  <c r="CG74" i="55"/>
  <c r="C109" i="55"/>
  <c r="GD109" i="55"/>
  <c r="DT51" i="55"/>
  <c r="CW51" i="55"/>
  <c r="BN211" i="55" a="1"/>
  <c r="BN211" i="55" s="1"/>
  <c r="DT307" i="55"/>
  <c r="CX307" i="55"/>
  <c r="CR307" i="55"/>
  <c r="CW307" i="55"/>
  <c r="BN307" i="55" a="1"/>
  <c r="BN307" i="55" s="1"/>
  <c r="DU307" i="55" s="1"/>
  <c r="CQ307" i="55"/>
  <c r="CJ231" i="55"/>
  <c r="DZ337" i="55"/>
  <c r="CW71" i="55"/>
  <c r="CU71" i="55"/>
  <c r="CT71" i="55"/>
  <c r="CO71" i="55"/>
  <c r="CS71" i="55" s="1"/>
  <c r="CQ71" i="55"/>
  <c r="CP71" i="55"/>
  <c r="CR71" i="55"/>
  <c r="CV71" i="55"/>
  <c r="CR215" i="55"/>
  <c r="DZ163" i="55"/>
  <c r="BN233" i="55" a="1"/>
  <c r="BN233" i="55" s="1"/>
  <c r="CJ346" i="55"/>
  <c r="DB28" i="55"/>
  <c r="DA28" i="55" a="1"/>
  <c r="DA28" i="55" s="1"/>
  <c r="BM28" i="55" a="1"/>
  <c r="BM28" i="55" s="1"/>
  <c r="CA28" i="55" s="1"/>
  <c r="DB60" i="55"/>
  <c r="DA60" i="55" a="1"/>
  <c r="DA60" i="55" s="1"/>
  <c r="CW280" i="55"/>
  <c r="CP280" i="55"/>
  <c r="CT280" i="55"/>
  <c r="CQ280" i="55"/>
  <c r="CS280" i="55"/>
  <c r="CR280" i="55"/>
  <c r="CU280" i="55"/>
  <c r="CV280" i="55"/>
  <c r="CJ56" i="55"/>
  <c r="FF313" i="55"/>
  <c r="FD313" i="55"/>
  <c r="FG313" i="55"/>
  <c r="FE313" i="55"/>
  <c r="FI313" i="55" s="1"/>
  <c r="EL313" i="55"/>
  <c r="EM313" i="55" s="1"/>
  <c r="DG313" i="55"/>
  <c r="DH313" i="55" s="1"/>
  <c r="DJ313" i="55" s="1" a="1"/>
  <c r="DJ313" i="55" s="1"/>
  <c r="C4" i="55"/>
  <c r="CA3" i="40" a="1"/>
  <c r="CA3" i="40" s="1"/>
  <c r="DZ194" i="55"/>
  <c r="CW40" i="55"/>
  <c r="CR40" i="55"/>
  <c r="CU40" i="55"/>
  <c r="CP40" i="55"/>
  <c r="CT40" i="55"/>
  <c r="CS40" i="55"/>
  <c r="CV40" i="55"/>
  <c r="CQ40" i="55"/>
  <c r="CG118" i="55"/>
  <c r="DT123" i="55"/>
  <c r="BN123" i="55" a="1"/>
  <c r="BN123" i="55" s="1"/>
  <c r="DU123" i="55" s="1"/>
  <c r="BM122" i="55" a="1"/>
  <c r="BM122" i="55" s="1"/>
  <c r="CX122" i="55" s="1"/>
  <c r="C68" i="55"/>
  <c r="GD68" i="55"/>
  <c r="CA47" i="55"/>
  <c r="CB47" i="55" s="1"/>
  <c r="CC47" i="55" s="1"/>
  <c r="BN47" i="55" a="1"/>
  <c r="BN47" i="55" s="1"/>
  <c r="CI277" i="55"/>
  <c r="CG339" i="55"/>
  <c r="DT110" i="55"/>
  <c r="BW42" i="55"/>
  <c r="DN337" i="55"/>
  <c r="DK337" i="55"/>
  <c r="EX313" i="55"/>
  <c r="DS313" i="55"/>
  <c r="CG233" i="55"/>
  <c r="CI72" i="55"/>
  <c r="CJ72" i="55"/>
  <c r="CI280" i="55"/>
  <c r="BM336" i="55" a="1"/>
  <c r="BM336" i="55" s="1"/>
  <c r="C131" i="55"/>
  <c r="GD131" i="55"/>
  <c r="GD205" i="55"/>
  <c r="DZ301" i="55"/>
  <c r="BO18" i="54" a="1"/>
  <c r="BO18" i="54" s="1"/>
  <c r="BK18" i="54" a="1"/>
  <c r="BK18" i="54" s="1"/>
  <c r="U18" i="54" a="1"/>
  <c r="U18" i="54" s="1"/>
  <c r="BS18" i="54" a="1"/>
  <c r="BS18" i="54" s="1"/>
  <c r="BV18" i="54" a="1"/>
  <c r="BV18" i="54" s="1"/>
  <c r="W18" i="54" a="1"/>
  <c r="W18" i="54" s="1"/>
  <c r="CX131" i="55"/>
  <c r="CV131" i="55"/>
  <c r="CT131" i="55"/>
  <c r="CR131" i="55"/>
  <c r="CW131" i="55"/>
  <c r="CQ131" i="55"/>
  <c r="CP131" i="55"/>
  <c r="CU131" i="55"/>
  <c r="CO131" i="55"/>
  <c r="CS131" i="55" s="1"/>
  <c r="CP211" i="55"/>
  <c r="CU211" i="55"/>
  <c r="CR211" i="55"/>
  <c r="CX211" i="55"/>
  <c r="CW211" i="55"/>
  <c r="CS211" i="55"/>
  <c r="CT211" i="55"/>
  <c r="CV211" i="55"/>
  <c r="CQ211" i="55"/>
  <c r="CG92" i="55"/>
  <c r="BM247" i="55" a="1"/>
  <c r="BM247" i="55" s="1"/>
  <c r="CA247" i="55" s="1"/>
  <c r="CP326" i="55"/>
  <c r="CW326" i="55"/>
  <c r="CU326" i="55"/>
  <c r="CS326" i="55"/>
  <c r="CQ326" i="55"/>
  <c r="CO326" i="55"/>
  <c r="CV326" i="55"/>
  <c r="CT326" i="55"/>
  <c r="CR326" i="55"/>
  <c r="BM326" i="55" a="1"/>
  <c r="BM326" i="55" s="1"/>
  <c r="CX326" i="55" s="1"/>
  <c r="DZ209" i="55"/>
  <c r="CW151" i="55"/>
  <c r="CO151" i="55"/>
  <c r="CR151" i="55"/>
  <c r="CU151" i="55"/>
  <c r="CQ151" i="55"/>
  <c r="CV151" i="55"/>
  <c r="CS151" i="55"/>
  <c r="CT151" i="55"/>
  <c r="CP151" i="55"/>
  <c r="GD227" i="55"/>
  <c r="DC79" i="55"/>
  <c r="EU313" i="55"/>
  <c r="GU313" i="55" s="1"/>
  <c r="EV313" i="55"/>
  <c r="ET314" i="55"/>
  <c r="CG84" i="55"/>
  <c r="CG244" i="55"/>
  <c r="DB140" i="55"/>
  <c r="DA140" i="55" a="1"/>
  <c r="DA140" i="55" s="1"/>
  <c r="BM140" i="55" a="1"/>
  <c r="BM140" i="55" s="1"/>
  <c r="CI172" i="55"/>
  <c r="CJ182" i="55"/>
  <c r="CJ280" i="55"/>
  <c r="DA46" i="55" a="1"/>
  <c r="DA46" i="55" s="1"/>
  <c r="DB46" i="55"/>
  <c r="BM46" i="55" a="1"/>
  <c r="BM46" i="55" s="1"/>
  <c r="CA46" i="55" s="1"/>
  <c r="DB78" i="55"/>
  <c r="DA78" i="55" a="1"/>
  <c r="DA78" i="55" s="1"/>
  <c r="BM78" i="55" a="1"/>
  <c r="BM78" i="55" s="1"/>
  <c r="DB158" i="55"/>
  <c r="DA158" i="55" a="1"/>
  <c r="DA158" i="55" s="1"/>
  <c r="BM158" i="55" a="1"/>
  <c r="BM158" i="55" s="1"/>
  <c r="CX158" i="55" s="1"/>
  <c r="CI206" i="55"/>
  <c r="EU283" i="55"/>
  <c r="GU283" i="55" s="1"/>
  <c r="EV283" i="55"/>
  <c r="ET284" i="55"/>
  <c r="DB20" i="55"/>
  <c r="DA20" i="55" a="1"/>
  <c r="DA20" i="55" s="1"/>
  <c r="DC20" i="55" s="1"/>
  <c r="DZ180" i="55"/>
  <c r="GD148" i="55"/>
  <c r="C148" i="55"/>
  <c r="BW47" i="55"/>
  <c r="AY47" i="55"/>
  <c r="E47" i="55" s="1"/>
  <c r="AZ47" i="55" s="1"/>
  <c r="DZ69" i="55"/>
  <c r="DB37" i="55"/>
  <c r="DA37" i="55" a="1"/>
  <c r="DA37" i="55" s="1"/>
  <c r="DC37" i="55" s="1"/>
  <c r="CG98" i="55"/>
  <c r="CG63" i="55"/>
  <c r="CA94" i="55"/>
  <c r="BN94" i="55" a="1"/>
  <c r="BN94" i="55" s="1"/>
  <c r="DU94" i="55" s="1"/>
  <c r="BM190" i="55" a="1"/>
  <c r="BM190" i="55" s="1"/>
  <c r="CA190" i="55" s="1"/>
  <c r="CI349" i="55"/>
  <c r="CS48" i="55"/>
  <c r="CW48" i="55"/>
  <c r="CQ48" i="55"/>
  <c r="CT48" i="55"/>
  <c r="CV48" i="55"/>
  <c r="CU48" i="55"/>
  <c r="CR48" i="55"/>
  <c r="CP48" i="55"/>
  <c r="BM48" i="55" a="1"/>
  <c r="BM48" i="55" s="1"/>
  <c r="CX48" i="55" s="1"/>
  <c r="CS208" i="55"/>
  <c r="CW208" i="55"/>
  <c r="CU208" i="55"/>
  <c r="CR208" i="55"/>
  <c r="CT208" i="55"/>
  <c r="CP208" i="55"/>
  <c r="CV208" i="55"/>
  <c r="CQ208" i="55"/>
  <c r="BM208" i="55" a="1"/>
  <c r="BM208" i="55" s="1"/>
  <c r="CX208" i="55" s="1"/>
  <c r="DB166" i="55"/>
  <c r="DA166" i="55" a="1"/>
  <c r="DA166" i="55" s="1"/>
  <c r="CI198" i="55"/>
  <c r="CJ198" i="55"/>
  <c r="EB52" i="55"/>
  <c r="EB132" i="55"/>
  <c r="CI55" i="55"/>
  <c r="CJ55" i="55"/>
  <c r="DA135" i="55" a="1"/>
  <c r="DA135" i="55" s="1"/>
  <c r="DB135" i="55"/>
  <c r="DB343" i="55"/>
  <c r="DA343" i="55" a="1"/>
  <c r="DA343" i="55" s="1"/>
  <c r="BM343" i="55" a="1"/>
  <c r="BM343" i="55" s="1"/>
  <c r="CJ169" i="55"/>
  <c r="EB325" i="55"/>
  <c r="DC127" i="55"/>
  <c r="CG57" i="55"/>
  <c r="CA120" i="55"/>
  <c r="BN120" i="55" a="1"/>
  <c r="BN120" i="55" s="1"/>
  <c r="DU120" i="55" s="1"/>
  <c r="C339" i="55"/>
  <c r="EB254" i="55"/>
  <c r="DZ109" i="55"/>
  <c r="GD253" i="55"/>
  <c r="BS13" i="54" a="1"/>
  <c r="BS13" i="54" s="1"/>
  <c r="BV13" i="54" a="1"/>
  <c r="BV13" i="54" s="1"/>
  <c r="U13" i="54" a="1"/>
  <c r="U13" i="54" s="1"/>
  <c r="W13" i="54" a="1"/>
  <c r="W13" i="54" s="1"/>
  <c r="BO13" i="54" a="1"/>
  <c r="BO13" i="54" s="1"/>
  <c r="BN51" i="55" a="1"/>
  <c r="BN51" i="55" s="1"/>
  <c r="CB51" i="55" s="1"/>
  <c r="CC51" i="55" s="1"/>
  <c r="DT147" i="55"/>
  <c r="BN147" i="55" a="1"/>
  <c r="BN147" i="55" s="1"/>
  <c r="CB147" i="55" s="1"/>
  <c r="CC147" i="55" s="1"/>
  <c r="DT323" i="55"/>
  <c r="DB266" i="55"/>
  <c r="DA266" i="55" a="1"/>
  <c r="DA266" i="55" s="1"/>
  <c r="BM266" i="55" a="1"/>
  <c r="BM266" i="55" s="1"/>
  <c r="CJ258" i="55"/>
  <c r="EB200" i="55"/>
  <c r="BM262" i="55" a="1"/>
  <c r="BM262" i="55" s="1"/>
  <c r="DZ160" i="55"/>
  <c r="DT118" i="55"/>
  <c r="DC134" i="55"/>
  <c r="DZ243" i="55"/>
  <c r="CV249" i="55"/>
  <c r="CT249" i="55"/>
  <c r="CR249" i="55"/>
  <c r="CP249" i="55"/>
  <c r="CU249" i="55"/>
  <c r="CS249" i="55"/>
  <c r="CW249" i="55"/>
  <c r="CQ249" i="55"/>
  <c r="BR28" i="55"/>
  <c r="BP28" i="55"/>
  <c r="DB252" i="55"/>
  <c r="DA252" i="55" a="1"/>
  <c r="DA252" i="55" s="1"/>
  <c r="BM252" i="55" a="1"/>
  <c r="BM252" i="55" s="1"/>
  <c r="CX252" i="55" s="1"/>
  <c r="CG4" i="55"/>
  <c r="CF4" i="55"/>
  <c r="CH3" i="55"/>
  <c r="CJ348" i="55"/>
  <c r="C261" i="55"/>
  <c r="GD261" i="55"/>
  <c r="C210" i="55"/>
  <c r="GD210" i="55"/>
  <c r="DA212" i="55" a="1"/>
  <c r="DA212" i="55" s="1"/>
  <c r="DB212" i="55"/>
  <c r="BM212" i="55" a="1"/>
  <c r="BM212" i="55" s="1"/>
  <c r="CV122" i="55"/>
  <c r="CW122" i="55"/>
  <c r="CU122" i="55"/>
  <c r="CO122" i="55"/>
  <c r="CS122" i="55" s="1"/>
  <c r="CQ122" i="55"/>
  <c r="CT122" i="55"/>
  <c r="CP122" i="55"/>
  <c r="CR122" i="55"/>
  <c r="DA229" i="55" a="1"/>
  <c r="DA229" i="55" s="1"/>
  <c r="DB229" i="55"/>
  <c r="CS189" i="55"/>
  <c r="CU189" i="55"/>
  <c r="CR189" i="55"/>
  <c r="CQ189" i="55"/>
  <c r="CP189" i="55"/>
  <c r="CW189" i="55"/>
  <c r="CV189" i="55"/>
  <c r="CT189" i="55"/>
  <c r="CA173" i="55"/>
  <c r="CB173" i="55"/>
  <c r="CC173" i="55" s="1"/>
  <c r="CW347" i="55"/>
  <c r="CU347" i="55"/>
  <c r="CP347" i="55"/>
  <c r="CT347" i="55"/>
  <c r="CS347" i="55"/>
  <c r="CV347" i="55"/>
  <c r="CQ347" i="55"/>
  <c r="CO347" i="55"/>
  <c r="CR347" i="55"/>
  <c r="AY290" i="55"/>
  <c r="E290" i="55" s="1"/>
  <c r="AZ290" i="55" s="1"/>
  <c r="BW290" i="55"/>
  <c r="DB36" i="55"/>
  <c r="DA36" i="55" a="1"/>
  <c r="DA36" i="55" s="1"/>
  <c r="DC36" i="55" s="1"/>
  <c r="BM36" i="55" a="1"/>
  <c r="BM36" i="55" s="1"/>
  <c r="CI180" i="55"/>
  <c r="DB260" i="55"/>
  <c r="DA260" i="55" a="1"/>
  <c r="DA260" i="55" s="1"/>
  <c r="DC260" i="55" s="1"/>
  <c r="BM260" i="55" a="1"/>
  <c r="BM260" i="55" s="1"/>
  <c r="CA260" i="55" s="1"/>
  <c r="CG195" i="55"/>
  <c r="CJ277" i="55"/>
  <c r="GD202" i="55"/>
  <c r="GD250" i="55"/>
  <c r="CR64" i="55"/>
  <c r="CU64" i="55"/>
  <c r="CW64" i="55"/>
  <c r="CP64" i="55"/>
  <c r="CQ64" i="55"/>
  <c r="CV64" i="55"/>
  <c r="CO64" i="55"/>
  <c r="CS64" i="55" s="1"/>
  <c r="BM64" i="55" a="1"/>
  <c r="BM64" i="55" s="1"/>
  <c r="CT64" i="55"/>
  <c r="CQ128" i="55"/>
  <c r="DT224" i="55"/>
  <c r="CI278" i="55"/>
  <c r="CJ278" i="55"/>
  <c r="C179" i="55"/>
  <c r="GY184" i="55"/>
  <c r="GX184" i="55"/>
  <c r="GR184" i="55"/>
  <c r="GS184" i="55" s="1"/>
  <c r="EY184" i="55"/>
  <c r="FN184" i="55" s="1"/>
  <c r="FO184" i="55" s="1"/>
  <c r="CI135" i="55"/>
  <c r="CJ135" i="55"/>
  <c r="DA263" i="55" a="1"/>
  <c r="DA263" i="55" s="1"/>
  <c r="DB263" i="55"/>
  <c r="DA42" i="55" a="1"/>
  <c r="DA42" i="55" s="1"/>
  <c r="DB42" i="55"/>
  <c r="DA217" i="55" a="1"/>
  <c r="DA217" i="55" s="1"/>
  <c r="DB217" i="55"/>
  <c r="BM217" i="55" a="1"/>
  <c r="BM217" i="55" s="1"/>
  <c r="CX217" i="55" s="1"/>
  <c r="BM114" i="55" a="1"/>
  <c r="BM114" i="55" s="1"/>
  <c r="AY164" i="55"/>
  <c r="E164" i="55" s="1"/>
  <c r="AZ164" i="55" s="1"/>
  <c r="BW164" i="55"/>
  <c r="EB20" i="55"/>
  <c r="CG106" i="55"/>
  <c r="CG314" i="55"/>
  <c r="GD349" i="55"/>
  <c r="BV16" i="54" a="1"/>
  <c r="BV16" i="54" s="1"/>
  <c r="BS16" i="54" a="1"/>
  <c r="BS16" i="54" s="1"/>
  <c r="U16" i="54" a="1"/>
  <c r="U16" i="54" s="1"/>
  <c r="W16" i="54" a="1"/>
  <c r="W16" i="54" s="1"/>
  <c r="DT67" i="55"/>
  <c r="BN67" i="55" a="1"/>
  <c r="BN67" i="55" s="1"/>
  <c r="CX67" i="55"/>
  <c r="BM227" i="55" a="1"/>
  <c r="BM227" i="55" s="1"/>
  <c r="CA227" i="55" s="1"/>
  <c r="CT323" i="55"/>
  <c r="CQ323" i="55"/>
  <c r="CO323" i="55"/>
  <c r="CS323" i="55" s="1"/>
  <c r="CW323" i="55"/>
  <c r="CU323" i="55"/>
  <c r="CV323" i="55"/>
  <c r="CP323" i="55"/>
  <c r="CR323" i="55"/>
  <c r="BM323" i="55" a="1"/>
  <c r="BM323" i="55" s="1"/>
  <c r="CA323" i="55" s="1"/>
  <c r="BR25" i="55"/>
  <c r="BP25" i="55"/>
  <c r="GX26" i="55"/>
  <c r="GR26" i="55"/>
  <c r="GS26" i="55" s="1"/>
  <c r="GY26" i="55"/>
  <c r="EY26" i="55"/>
  <c r="FN26" i="55" s="1"/>
  <c r="FO26" i="55" s="1"/>
  <c r="GD224" i="55"/>
  <c r="DZ145" i="55"/>
  <c r="BM231" i="55" a="1"/>
  <c r="BM231" i="55" s="1"/>
  <c r="CJ311" i="55"/>
  <c r="CG100" i="55"/>
  <c r="CG260" i="55"/>
  <c r="AY298" i="55"/>
  <c r="E298" i="55" s="1"/>
  <c r="AZ298" i="55" s="1"/>
  <c r="CI140" i="55"/>
  <c r="CJ140" i="55"/>
  <c r="CW344" i="55"/>
  <c r="CO344" i="55"/>
  <c r="CU344" i="55"/>
  <c r="CS344" i="55"/>
  <c r="CT344" i="55"/>
  <c r="CQ344" i="55"/>
  <c r="CR344" i="55"/>
  <c r="CV344" i="55"/>
  <c r="CP344" i="55"/>
  <c r="GD338" i="55"/>
  <c r="C338" i="55"/>
  <c r="BN311" i="55" a="1"/>
  <c r="BN311" i="55" s="1"/>
  <c r="DU311" i="55" s="1"/>
  <c r="BP50" i="55"/>
  <c r="BR50" i="55"/>
  <c r="DZ114" i="55"/>
  <c r="CW24" i="55"/>
  <c r="CO24" i="55"/>
  <c r="CP24" i="55"/>
  <c r="CU24" i="55"/>
  <c r="CQ24" i="55"/>
  <c r="CR24" i="55"/>
  <c r="CT24" i="55"/>
  <c r="CV24" i="55"/>
  <c r="CS24" i="55"/>
  <c r="DT268" i="55"/>
  <c r="DZ326" i="55"/>
  <c r="CG211" i="55"/>
  <c r="C88" i="55"/>
  <c r="GD298" i="55"/>
  <c r="CW128" i="55"/>
  <c r="AX19" i="54"/>
  <c r="AY19" i="54" s="1" a="1"/>
  <c r="AY19" i="54" s="1"/>
  <c r="CS224" i="55"/>
  <c r="CW224" i="55"/>
  <c r="CU224" i="55"/>
  <c r="CV224" i="55"/>
  <c r="CR224" i="55"/>
  <c r="CQ224" i="55"/>
  <c r="CO224" i="55"/>
  <c r="CP224" i="55"/>
  <c r="CT224" i="55"/>
  <c r="BM224" i="55" a="1"/>
  <c r="BM224" i="55" s="1"/>
  <c r="CI6" i="55"/>
  <c r="CJ6" i="55"/>
  <c r="EB174" i="55"/>
  <c r="DA153" i="55" a="1"/>
  <c r="DA153" i="55" s="1"/>
  <c r="DB153" i="55"/>
  <c r="BM153" i="55" a="1"/>
  <c r="BM153" i="55" s="1"/>
  <c r="CA153" i="55" s="1"/>
  <c r="BM337" i="55" a="1"/>
  <c r="BM337" i="55" s="1"/>
  <c r="DA215" i="55" a="1"/>
  <c r="DA215" i="55" s="1"/>
  <c r="DB215" i="55"/>
  <c r="BM215" i="55" a="1"/>
  <c r="BM215" i="55" s="1"/>
  <c r="CA215" i="55" s="1"/>
  <c r="DA313" i="55" a="1"/>
  <c r="DA313" i="55" s="1"/>
  <c r="DB313" i="55"/>
  <c r="BM313" i="55" a="1"/>
  <c r="BM313" i="55" s="1"/>
  <c r="DC307" i="55"/>
  <c r="CG297" i="55"/>
  <c r="DA40" i="55" a="1"/>
  <c r="DA40" i="55" s="1"/>
  <c r="DB40" i="55"/>
  <c r="BM40" i="55" a="1"/>
  <c r="BM40" i="55" s="1"/>
  <c r="DA57" i="55" a="1"/>
  <c r="DA57" i="55" s="1"/>
  <c r="DB57" i="55"/>
  <c r="BM137" i="55" a="1"/>
  <c r="BM137" i="55" s="1"/>
  <c r="EB87" i="55"/>
  <c r="DA170" i="55" a="1"/>
  <c r="DA170" i="55" s="1"/>
  <c r="DB170" i="55"/>
  <c r="BM170" i="55" a="1"/>
  <c r="BM170" i="55" s="1"/>
  <c r="CA170" i="55" s="1"/>
  <c r="CJ41" i="55"/>
  <c r="DC128" i="55"/>
  <c r="EX330" i="55"/>
  <c r="DS330" i="55"/>
  <c r="BV15" i="54" a="1"/>
  <c r="BV15" i="54" s="1"/>
  <c r="BS15" i="54" a="1"/>
  <c r="BS15" i="54" s="1"/>
  <c r="U15" i="54" a="1"/>
  <c r="U15" i="54" s="1"/>
  <c r="W15" i="54" a="1"/>
  <c r="W15" i="54" s="1"/>
  <c r="CX147" i="55"/>
  <c r="CV147" i="55"/>
  <c r="CT147" i="55"/>
  <c r="CR147" i="55"/>
  <c r="CU147" i="55"/>
  <c r="CP147" i="55"/>
  <c r="CW147" i="55"/>
  <c r="CQ147" i="55"/>
  <c r="CO147" i="55"/>
  <c r="CS147" i="55" s="1"/>
  <c r="DT292" i="55"/>
  <c r="CI138" i="55"/>
  <c r="CJ138" i="55"/>
  <c r="DT134" i="55"/>
  <c r="DZ97" i="55"/>
  <c r="CU231" i="55"/>
  <c r="CR231" i="55"/>
  <c r="CP231" i="55"/>
  <c r="CV231" i="55"/>
  <c r="CS231" i="55"/>
  <c r="CQ231" i="55"/>
  <c r="CW231" i="55"/>
  <c r="CT231" i="55"/>
  <c r="BN265" i="55" a="1"/>
  <c r="BN265" i="55" s="1"/>
  <c r="CG276" i="55"/>
  <c r="CG293" i="55"/>
  <c r="DC262" i="55"/>
  <c r="CV170" i="55"/>
  <c r="CU170" i="55"/>
  <c r="CS170" i="55"/>
  <c r="CQ170" i="55"/>
  <c r="CR170" i="55"/>
  <c r="CP170" i="55"/>
  <c r="CW170" i="55"/>
  <c r="CT170" i="55"/>
  <c r="CU156" i="55"/>
  <c r="CW156" i="55"/>
  <c r="CS156" i="55"/>
  <c r="CT156" i="55"/>
  <c r="CX156" i="55"/>
  <c r="CP156" i="55"/>
  <c r="CR156" i="55"/>
  <c r="CQ156" i="55"/>
  <c r="CV156" i="55"/>
  <c r="DT88" i="55"/>
  <c r="GD100" i="55"/>
  <c r="C100" i="55"/>
  <c r="C231" i="55"/>
  <c r="GD231" i="55"/>
  <c r="CJ170" i="55"/>
  <c r="CI81" i="55"/>
  <c r="CJ81" i="55"/>
  <c r="EV26" i="55"/>
  <c r="EU26" i="55"/>
  <c r="GU26" i="55" s="1"/>
  <c r="EB288" i="55"/>
  <c r="CI82" i="55"/>
  <c r="CR253" i="55"/>
  <c r="CU253" i="55"/>
  <c r="CT253" i="55"/>
  <c r="CQ253" i="55"/>
  <c r="CP253" i="55"/>
  <c r="CW253" i="55"/>
  <c r="CV253" i="55"/>
  <c r="CS253" i="55"/>
  <c r="EB177" i="55"/>
  <c r="AY111" i="55"/>
  <c r="DB225" i="55"/>
  <c r="DA225" i="55" a="1"/>
  <c r="DA225" i="55" s="1"/>
  <c r="BM225" i="55" a="1"/>
  <c r="BM225" i="55" s="1"/>
  <c r="CY327" i="55"/>
  <c r="CZ326" i="55"/>
  <c r="CT109" i="55"/>
  <c r="CP109" i="55"/>
  <c r="CU109" i="55"/>
  <c r="CR109" i="55"/>
  <c r="CV109" i="55"/>
  <c r="CW109" i="55"/>
  <c r="CO109" i="55"/>
  <c r="CS109" i="55" s="1"/>
  <c r="CX109" i="55"/>
  <c r="CQ109" i="55"/>
  <c r="BW208" i="55"/>
  <c r="AY208" i="55"/>
  <c r="E208" i="55" s="1"/>
  <c r="AZ208" i="55" s="1"/>
  <c r="DB130" i="55"/>
  <c r="DA130" i="55" a="1"/>
  <c r="DA130" i="55" s="1"/>
  <c r="BM130" i="55" a="1"/>
  <c r="BM130" i="55" s="1"/>
  <c r="CV10" i="55"/>
  <c r="CX10" i="55"/>
  <c r="CT10" i="55"/>
  <c r="CR10" i="55"/>
  <c r="CW10" i="55"/>
  <c r="CQ10" i="55"/>
  <c r="CP10" i="55"/>
  <c r="CU10" i="55"/>
  <c r="CS10" i="55"/>
  <c r="CO10" i="55"/>
  <c r="CU60" i="55"/>
  <c r="CX60" i="55"/>
  <c r="CV60" i="55"/>
  <c r="CP60" i="55"/>
  <c r="CQ60" i="55"/>
  <c r="CR60" i="55"/>
  <c r="CO60" i="55"/>
  <c r="CS60" i="55" s="1"/>
  <c r="CT60" i="55"/>
  <c r="CW60" i="55"/>
  <c r="CV75" i="55"/>
  <c r="CP75" i="55"/>
  <c r="CW75" i="55"/>
  <c r="CO75" i="55"/>
  <c r="CS75" i="55" s="1"/>
  <c r="CR75" i="55"/>
  <c r="CT75" i="55"/>
  <c r="CU75" i="55"/>
  <c r="CQ75" i="55"/>
  <c r="CX13" i="55"/>
  <c r="CS13" i="55"/>
  <c r="CV13" i="55"/>
  <c r="CU13" i="55"/>
  <c r="CO13" i="55"/>
  <c r="CQ13" i="55"/>
  <c r="CR13" i="55"/>
  <c r="CT13" i="55"/>
  <c r="CW13" i="55"/>
  <c r="CP13" i="55"/>
  <c r="EU130" i="55"/>
  <c r="GU130" i="55" s="1"/>
  <c r="EV130" i="55"/>
  <c r="ET131" i="55"/>
  <c r="DZ232" i="55"/>
  <c r="CT254" i="55"/>
  <c r="CQ254" i="55"/>
  <c r="CR254" i="55"/>
  <c r="CU254" i="55"/>
  <c r="CW254" i="55"/>
  <c r="CV254" i="55"/>
  <c r="CS254" i="55"/>
  <c r="CP254" i="55"/>
  <c r="CG246" i="55"/>
  <c r="DB114" i="55"/>
  <c r="DA114" i="55" a="1"/>
  <c r="DA114" i="55" s="1"/>
  <c r="DC114" i="55" s="1"/>
  <c r="CI248" i="55"/>
  <c r="CJ248" i="55"/>
  <c r="C180" i="55"/>
  <c r="DT170" i="55"/>
  <c r="C311" i="55"/>
  <c r="EB65" i="55"/>
  <c r="EB209" i="55"/>
  <c r="AX14" i="54"/>
  <c r="AY14" i="54" s="1" a="1"/>
  <c r="AY14" i="54" s="1"/>
  <c r="CW88" i="55"/>
  <c r="CO88" i="55"/>
  <c r="CU88" i="55"/>
  <c r="CS88" i="55"/>
  <c r="CR88" i="55"/>
  <c r="CQ88" i="55"/>
  <c r="CV88" i="55"/>
  <c r="CT88" i="55"/>
  <c r="CP88" i="55"/>
  <c r="DA161" i="55" a="1"/>
  <c r="DA161" i="55" s="1"/>
  <c r="DB161" i="55"/>
  <c r="BM161" i="55" a="1"/>
  <c r="BM161" i="55" s="1"/>
  <c r="CX161" i="55" s="1"/>
  <c r="BN42" i="55" a="1"/>
  <c r="BN42" i="55" s="1"/>
  <c r="CU332" i="55"/>
  <c r="CT332" i="55"/>
  <c r="CR332" i="55"/>
  <c r="CP332" i="55"/>
  <c r="CS332" i="55"/>
  <c r="CX332" i="55"/>
  <c r="CW332" i="55"/>
  <c r="CV332" i="55"/>
  <c r="CO332" i="55"/>
  <c r="CQ332" i="55"/>
  <c r="CI181" i="55"/>
  <c r="CJ181" i="55"/>
  <c r="BN173" i="55" a="1"/>
  <c r="BN173" i="55" s="1"/>
  <c r="DU173" i="55" s="1"/>
  <c r="CV346" i="55"/>
  <c r="CW346" i="55"/>
  <c r="CS346" i="55"/>
  <c r="CP346" i="55"/>
  <c r="CR346" i="55"/>
  <c r="CQ346" i="55"/>
  <c r="CX346" i="55"/>
  <c r="CT346" i="55"/>
  <c r="CO346" i="55"/>
  <c r="CU346" i="55"/>
  <c r="DB309" i="55"/>
  <c r="DA309" i="55" a="1"/>
  <c r="DA309" i="55" s="1"/>
  <c r="CW91" i="55"/>
  <c r="CX91" i="55"/>
  <c r="CT91" i="55"/>
  <c r="CO91" i="55"/>
  <c r="CS91" i="55" s="1"/>
  <c r="CV91" i="55"/>
  <c r="CQ91" i="55"/>
  <c r="CU91" i="55"/>
  <c r="CP91" i="55"/>
  <c r="CR91" i="55"/>
  <c r="DZ135" i="55"/>
  <c r="EX224" i="55"/>
  <c r="DS224" i="55"/>
  <c r="CG83" i="55"/>
  <c r="EB263" i="55"/>
  <c r="FE130" i="55"/>
  <c r="FI130" i="55" s="1"/>
  <c r="FF130" i="55"/>
  <c r="FG130" i="55"/>
  <c r="EL130" i="55"/>
  <c r="EM130" i="55" s="1"/>
  <c r="DG130" i="55"/>
  <c r="DH130" i="55" s="1"/>
  <c r="DJ130" i="55" s="1" a="1"/>
  <c r="DJ130" i="55" s="1"/>
  <c r="FD130" i="55"/>
  <c r="CG223" i="55"/>
  <c r="C344" i="55"/>
  <c r="CT270" i="55"/>
  <c r="CV270" i="55"/>
  <c r="CP270" i="55"/>
  <c r="CR270" i="55"/>
  <c r="CQ270" i="55"/>
  <c r="CU270" i="55"/>
  <c r="CS270" i="55"/>
  <c r="CW270" i="55"/>
  <c r="C104" i="55"/>
  <c r="DB21" i="55"/>
  <c r="DA21" i="55" a="1"/>
  <c r="DA21" i="55" s="1"/>
  <c r="DC21" i="55" s="1"/>
  <c r="CV42" i="55"/>
  <c r="CT42" i="55"/>
  <c r="CR42" i="55"/>
  <c r="CU42" i="55"/>
  <c r="CP42" i="55"/>
  <c r="CQ42" i="55"/>
  <c r="CX42" i="55"/>
  <c r="CS42" i="55"/>
  <c r="CW42" i="55"/>
  <c r="AX24" i="54"/>
  <c r="AY24" i="54" s="1" a="1"/>
  <c r="AY24" i="54" s="1"/>
  <c r="CV330" i="55"/>
  <c r="CS330" i="55"/>
  <c r="CR330" i="55"/>
  <c r="CT330" i="55"/>
  <c r="CP330" i="55"/>
  <c r="CO330" i="55"/>
  <c r="CQ330" i="55"/>
  <c r="CU330" i="55"/>
  <c r="CW330" i="55"/>
  <c r="DB98" i="55"/>
  <c r="DA98" i="55" a="1"/>
  <c r="DA98" i="55" s="1"/>
  <c r="DC98" i="55" s="1"/>
  <c r="BM98" i="55" a="1"/>
  <c r="BM98" i="55" s="1"/>
  <c r="C166" i="55"/>
  <c r="GD166" i="55"/>
  <c r="CI117" i="55"/>
  <c r="CI309" i="55"/>
  <c r="CJ309" i="55"/>
  <c r="CW157" i="55"/>
  <c r="CU157" i="55"/>
  <c r="CQ157" i="55"/>
  <c r="CX157" i="55"/>
  <c r="CP157" i="55"/>
  <c r="CT157" i="55"/>
  <c r="CS157" i="55"/>
  <c r="CR157" i="55"/>
  <c r="CV157" i="55"/>
  <c r="DZ85" i="55"/>
  <c r="CA77" i="55"/>
  <c r="BN77" i="55" a="1"/>
  <c r="BN77" i="55" s="1"/>
  <c r="DU77" i="55" s="1"/>
  <c r="CB342" i="55"/>
  <c r="CC342" i="55" s="1"/>
  <c r="CH342" i="55" s="1"/>
  <c r="DB43" i="55"/>
  <c r="DA43" i="55" a="1"/>
  <c r="DA43" i="55" s="1"/>
  <c r="BM43" i="55" a="1"/>
  <c r="BM43" i="55" s="1"/>
  <c r="CX43" i="55" s="1"/>
  <c r="DB107" i="55"/>
  <c r="DA107" i="55" a="1"/>
  <c r="DA107" i="55" s="1"/>
  <c r="BM107" i="55" a="1"/>
  <c r="BM107" i="55" s="1"/>
  <c r="CA107" i="55" s="1"/>
  <c r="DB139" i="55"/>
  <c r="DA139" i="55" a="1"/>
  <c r="DA139" i="55" s="1"/>
  <c r="BM139" i="55" a="1"/>
  <c r="BM139" i="55" s="1"/>
  <c r="CA139" i="55" s="1"/>
  <c r="DZ104" i="55"/>
  <c r="DT46" i="55"/>
  <c r="DC70" i="55"/>
  <c r="EB225" i="55"/>
  <c r="DB65" i="55"/>
  <c r="DA65" i="55" a="1"/>
  <c r="DA65" i="55" s="1"/>
  <c r="BM65" i="55" a="1"/>
  <c r="BM65" i="55" s="1"/>
  <c r="CW173" i="55"/>
  <c r="CU173" i="55"/>
  <c r="CS173" i="55"/>
  <c r="CT173" i="55"/>
  <c r="CP173" i="55"/>
  <c r="CR173" i="55"/>
  <c r="CQ173" i="55"/>
  <c r="CV173" i="55"/>
  <c r="CX173" i="55"/>
  <c r="DA117" i="55" a="1"/>
  <c r="DA117" i="55" s="1"/>
  <c r="DB117" i="55"/>
  <c r="C7" i="55"/>
  <c r="BN91" i="55" a="1"/>
  <c r="BN91" i="55" s="1"/>
  <c r="DA340" i="55" a="1"/>
  <c r="DA340" i="55" s="1"/>
  <c r="DB340" i="55"/>
  <c r="BM340" i="55" a="1"/>
  <c r="BM340" i="55" s="1"/>
  <c r="EB55" i="55"/>
  <c r="BN44" i="55" a="1"/>
  <c r="BN44" i="55" s="1"/>
  <c r="CG258" i="55"/>
  <c r="DU278" i="55"/>
  <c r="BO278" i="55"/>
  <c r="DC336" i="55"/>
  <c r="EB189" i="55"/>
  <c r="CI107" i="55"/>
  <c r="CJ107" i="55"/>
  <c r="CG271" i="55"/>
  <c r="CG351" i="55"/>
  <c r="DZ248" i="55"/>
  <c r="BS20" i="54" a="1"/>
  <c r="BS20" i="54" s="1"/>
  <c r="BV20" i="54" a="1"/>
  <c r="BV20" i="54" s="1"/>
  <c r="BO20" i="54" a="1"/>
  <c r="BO20" i="54" s="1"/>
  <c r="W20" i="54" a="1"/>
  <c r="W20" i="54" s="1"/>
  <c r="U20" i="54" a="1"/>
  <c r="U20" i="54" s="1"/>
  <c r="BK20" i="54" a="1"/>
  <c r="BK20" i="54" s="1"/>
  <c r="DT99" i="55"/>
  <c r="CS163" i="55"/>
  <c r="CV163" i="55"/>
  <c r="CP163" i="55"/>
  <c r="CR163" i="55"/>
  <c r="CW163" i="55"/>
  <c r="CT163" i="55"/>
  <c r="CQ163" i="55"/>
  <c r="CU163" i="55"/>
  <c r="CS227" i="55"/>
  <c r="CV227" i="55"/>
  <c r="CX227" i="55"/>
  <c r="CW227" i="55"/>
  <c r="CQ227" i="55"/>
  <c r="CT227" i="55"/>
  <c r="CP227" i="55"/>
  <c r="CR227" i="55"/>
  <c r="CU227" i="55"/>
  <c r="EB39" i="55"/>
  <c r="CI10" i="55"/>
  <c r="BK16" i="54" s="1" a="1"/>
  <c r="BK16" i="54" s="1"/>
  <c r="DC285" i="55"/>
  <c r="CG300" i="55"/>
  <c r="EB206" i="55"/>
  <c r="DC349" i="55"/>
  <c r="DC195" i="55"/>
  <c r="DT39" i="55"/>
  <c r="DC233" i="55"/>
  <c r="CW73" i="55"/>
  <c r="CU73" i="55"/>
  <c r="CV73" i="55"/>
  <c r="CT73" i="55"/>
  <c r="CR73" i="55"/>
  <c r="CP73" i="55"/>
  <c r="CQ73" i="55"/>
  <c r="CO73" i="55"/>
  <c r="CS73" i="55" s="1"/>
  <c r="CX73" i="55"/>
  <c r="CX265" i="55"/>
  <c r="CS265" i="55"/>
  <c r="CV265" i="55"/>
  <c r="CP265" i="55"/>
  <c r="CW265" i="55"/>
  <c r="CR265" i="55"/>
  <c r="CQ265" i="55"/>
  <c r="CT265" i="55"/>
  <c r="CU265" i="55"/>
  <c r="CI95" i="55"/>
  <c r="CJ95" i="55"/>
  <c r="DB76" i="55"/>
  <c r="DA76" i="55" a="1"/>
  <c r="DA76" i="55" s="1"/>
  <c r="DB220" i="55"/>
  <c r="DA220" i="55" a="1"/>
  <c r="DA220" i="55" s="1"/>
  <c r="BM220" i="55" a="1"/>
  <c r="BM220" i="55" s="1"/>
  <c r="CW56" i="55"/>
  <c r="CO56" i="55"/>
  <c r="CS56" i="55" s="1"/>
  <c r="CX56" i="55"/>
  <c r="CV56" i="55"/>
  <c r="CR56" i="55"/>
  <c r="CQ56" i="55"/>
  <c r="CT56" i="55"/>
  <c r="CU56" i="55"/>
  <c r="CP56" i="55"/>
  <c r="AY303" i="55"/>
  <c r="E303" i="55" s="1"/>
  <c r="AZ303" i="55" s="1"/>
  <c r="CI46" i="55"/>
  <c r="AY96" i="55"/>
  <c r="BW96" i="55"/>
  <c r="DT104" i="55"/>
  <c r="CS104" i="55"/>
  <c r="AY207" i="55"/>
  <c r="E207" i="55" s="1"/>
  <c r="AZ207" i="55" s="1"/>
  <c r="CW152" i="55"/>
  <c r="CO152" i="55"/>
  <c r="CS152" i="55" s="1"/>
  <c r="CQ152" i="55"/>
  <c r="CP152" i="55"/>
  <c r="CV152" i="55"/>
  <c r="CU152" i="55"/>
  <c r="CT152" i="55"/>
  <c r="CX152" i="55"/>
  <c r="CR152" i="55"/>
  <c r="DT138" i="55"/>
  <c r="CU188" i="55"/>
  <c r="CW188" i="55"/>
  <c r="CR188" i="55"/>
  <c r="CX188" i="55"/>
  <c r="CQ188" i="55"/>
  <c r="CT188" i="55"/>
  <c r="CV188" i="55"/>
  <c r="CS188" i="55"/>
  <c r="CP188" i="55"/>
  <c r="GD279" i="55"/>
  <c r="C149" i="55"/>
  <c r="CV203" i="55"/>
  <c r="CQ203" i="55"/>
  <c r="CS203" i="55"/>
  <c r="CU203" i="55"/>
  <c r="CW203" i="55"/>
  <c r="CR203" i="55"/>
  <c r="CX203" i="55"/>
  <c r="CT203" i="55"/>
  <c r="CP203" i="55"/>
  <c r="CI34" i="55"/>
  <c r="DB276" i="55"/>
  <c r="DA276" i="55" a="1"/>
  <c r="DA276" i="55" s="1"/>
  <c r="DC276" i="55" s="1"/>
  <c r="DB308" i="55"/>
  <c r="DA308" i="55" a="1"/>
  <c r="DA308" i="55" s="1"/>
  <c r="CJ159" i="55"/>
  <c r="EB327" i="55"/>
  <c r="DB165" i="55"/>
  <c r="DA165" i="55" a="1"/>
  <c r="DA165" i="55" s="1"/>
  <c r="CV141" i="55"/>
  <c r="CT141" i="55"/>
  <c r="CQ141" i="55"/>
  <c r="CO141" i="55"/>
  <c r="CS141" i="55" s="1"/>
  <c r="CP141" i="55"/>
  <c r="CU141" i="55"/>
  <c r="CR141" i="55"/>
  <c r="CW141" i="55"/>
  <c r="AZ32" i="55"/>
  <c r="DB347" i="55"/>
  <c r="DA347" i="55" a="1"/>
  <c r="DA347" i="55" s="1"/>
  <c r="CT94" i="55"/>
  <c r="CX94" i="55"/>
  <c r="CV94" i="55"/>
  <c r="CP94" i="55"/>
  <c r="CW94" i="55"/>
  <c r="CR94" i="55"/>
  <c r="CQ94" i="55"/>
  <c r="CU94" i="55"/>
  <c r="CO94" i="55"/>
  <c r="CS94" i="55" s="1"/>
  <c r="CX70" i="55"/>
  <c r="CP70" i="55"/>
  <c r="CW70" i="55"/>
  <c r="CU70" i="55"/>
  <c r="CQ70" i="55"/>
  <c r="CT70" i="55"/>
  <c r="CR70" i="55"/>
  <c r="CO70" i="55"/>
  <c r="CS70" i="55" s="1"/>
  <c r="CV70" i="55"/>
  <c r="EB74" i="55"/>
  <c r="GD257" i="55"/>
  <c r="CU153" i="55"/>
  <c r="CT153" i="55"/>
  <c r="CW153" i="55"/>
  <c r="CQ153" i="55"/>
  <c r="CO153" i="55"/>
  <c r="CS153" i="55" s="1"/>
  <c r="CV153" i="55"/>
  <c r="CR153" i="55"/>
  <c r="CP153" i="55"/>
  <c r="DB188" i="55"/>
  <c r="DA188" i="55" a="1"/>
  <c r="DA188" i="55" s="1"/>
  <c r="DB332" i="55"/>
  <c r="DA332" i="55" a="1"/>
  <c r="DA332" i="55" s="1"/>
  <c r="DC332" i="55" s="1"/>
  <c r="CI174" i="55"/>
  <c r="CJ174" i="55"/>
  <c r="CB320" i="55"/>
  <c r="CC320" i="55" s="1"/>
  <c r="C6" i="55"/>
  <c r="GD6" i="55"/>
  <c r="EV154" i="55"/>
  <c r="EU154" i="55"/>
  <c r="GU154" i="55" s="1"/>
  <c r="DA126" i="55" a="1"/>
  <c r="DA126" i="55" s="1"/>
  <c r="DB126" i="55"/>
  <c r="CI97" i="55"/>
  <c r="CJ97" i="55"/>
  <c r="DA210" i="55" a="1"/>
  <c r="DA210" i="55" s="1"/>
  <c r="DB210" i="55"/>
  <c r="GD308" i="55"/>
  <c r="GD18" i="55"/>
  <c r="FF88" i="55"/>
  <c r="FD88" i="55"/>
  <c r="FE88" i="55"/>
  <c r="FI88" i="55" s="1"/>
  <c r="FG88" i="55"/>
  <c r="DG88" i="55"/>
  <c r="DH88" i="55" s="1"/>
  <c r="DJ88" i="55" s="1" a="1"/>
  <c r="DJ88" i="55" s="1"/>
  <c r="CI226" i="55"/>
  <c r="CJ226" i="55"/>
  <c r="CV106" i="55"/>
  <c r="CW106" i="55"/>
  <c r="CU106" i="55"/>
  <c r="CR106" i="55"/>
  <c r="CT106" i="55"/>
  <c r="CP106" i="55"/>
  <c r="CO106" i="55"/>
  <c r="CS106" i="55" s="1"/>
  <c r="CQ106" i="55"/>
  <c r="CU252" i="55"/>
  <c r="CR252" i="55"/>
  <c r="CV252" i="55"/>
  <c r="CQ252" i="55"/>
  <c r="CP252" i="55"/>
  <c r="CS252" i="55"/>
  <c r="CT252" i="55"/>
  <c r="CW252" i="55"/>
  <c r="DZ343" i="55"/>
  <c r="C53" i="55"/>
  <c r="GD53" i="55"/>
  <c r="DZ245" i="55"/>
  <c r="BN11" i="55" a="1"/>
  <c r="BN11" i="55" s="1"/>
  <c r="CI276" i="55"/>
  <c r="CI308" i="55"/>
  <c r="BY308" i="55"/>
  <c r="BM141" i="55" a="1"/>
  <c r="BM141" i="55" s="1"/>
  <c r="CX141" i="55" s="1"/>
  <c r="CH130" i="55"/>
  <c r="CG130" i="55"/>
  <c r="CG290" i="55"/>
  <c r="CG259" i="55"/>
  <c r="CI284" i="55"/>
  <c r="CJ10" i="55"/>
  <c r="BO16" i="54" s="1" a="1"/>
  <c r="BO16" i="54" s="1"/>
  <c r="CT14" i="55"/>
  <c r="CV14" i="55"/>
  <c r="CX14" i="55"/>
  <c r="CS14" i="55"/>
  <c r="CU14" i="55"/>
  <c r="CP14" i="55"/>
  <c r="CO14" i="55"/>
  <c r="CQ14" i="55"/>
  <c r="CR14" i="55"/>
  <c r="CW14" i="55"/>
  <c r="EU31" i="55"/>
  <c r="GU31" i="55" s="1"/>
  <c r="EV31" i="55"/>
  <c r="ET32" i="55"/>
  <c r="BV24" i="54" a="1"/>
  <c r="BV24" i="54" s="1"/>
  <c r="BS24" i="54" a="1"/>
  <c r="BS24" i="54" s="1"/>
  <c r="U24" i="54" a="1"/>
  <c r="U24" i="54" s="1"/>
  <c r="W24" i="54" a="1"/>
  <c r="W24" i="54" s="1"/>
  <c r="CW19" i="55"/>
  <c r="CU19" i="55"/>
  <c r="CS19" i="55"/>
  <c r="CQ19" i="55"/>
  <c r="CR19" i="55"/>
  <c r="CV19" i="55"/>
  <c r="CO19" i="55"/>
  <c r="CX19" i="55"/>
  <c r="CP19" i="55"/>
  <c r="CT19" i="55"/>
  <c r="CV99" i="55"/>
  <c r="CS99" i="55"/>
  <c r="CW99" i="55"/>
  <c r="CP99" i="55"/>
  <c r="CR99" i="55"/>
  <c r="CT99" i="55"/>
  <c r="CU99" i="55"/>
  <c r="CQ99" i="55"/>
  <c r="CO99" i="55"/>
  <c r="DA202" i="55" a="1"/>
  <c r="DA202" i="55" s="1"/>
  <c r="DB202" i="55"/>
  <c r="BM202" i="55" a="1"/>
  <c r="BM202" i="55" s="1"/>
  <c r="DN321" i="55"/>
  <c r="DK321" i="55"/>
  <c r="DC319" i="55"/>
  <c r="CP86" i="55"/>
  <c r="CR86" i="55"/>
  <c r="CQ86" i="55"/>
  <c r="CU86" i="55"/>
  <c r="CO86" i="55"/>
  <c r="CS86" i="55" s="1"/>
  <c r="CV86" i="55"/>
  <c r="CW86" i="55"/>
  <c r="CT86" i="55"/>
  <c r="CP294" i="55"/>
  <c r="CU294" i="55"/>
  <c r="CR294" i="55"/>
  <c r="CS294" i="55"/>
  <c r="CQ294" i="55"/>
  <c r="CW294" i="55"/>
  <c r="CV294" i="55"/>
  <c r="CT294" i="55"/>
  <c r="DC287" i="55"/>
  <c r="DZ65" i="55"/>
  <c r="DZ161" i="55"/>
  <c r="CS39" i="55"/>
  <c r="CW39" i="55"/>
  <c r="CQ39" i="55"/>
  <c r="CT39" i="55"/>
  <c r="CV39" i="55"/>
  <c r="CP39" i="55"/>
  <c r="CR39" i="55"/>
  <c r="CU39" i="55"/>
  <c r="CU167" i="55"/>
  <c r="CV167" i="55"/>
  <c r="CQ167" i="55"/>
  <c r="CR167" i="55"/>
  <c r="CW167" i="55"/>
  <c r="CT167" i="55"/>
  <c r="CP167" i="55"/>
  <c r="CS167" i="55"/>
  <c r="CU295" i="55"/>
  <c r="CR295" i="55"/>
  <c r="CW295" i="55"/>
  <c r="CP295" i="55"/>
  <c r="CV295" i="55"/>
  <c r="CS295" i="55"/>
  <c r="CT295" i="55"/>
  <c r="CQ295" i="55"/>
  <c r="DZ195" i="55"/>
  <c r="CX9" i="55"/>
  <c r="CW9" i="55"/>
  <c r="CQ9" i="55"/>
  <c r="CP9" i="55"/>
  <c r="CT9" i="55"/>
  <c r="CS9" i="55"/>
  <c r="CV9" i="55"/>
  <c r="CU9" i="55"/>
  <c r="CR9" i="55"/>
  <c r="CO9" i="55"/>
  <c r="CV281" i="55"/>
  <c r="CT281" i="55"/>
  <c r="CR281" i="55"/>
  <c r="CW281" i="55"/>
  <c r="CP281" i="55"/>
  <c r="CQ281" i="55"/>
  <c r="CS281" i="55"/>
  <c r="CU281" i="55"/>
  <c r="BM281" i="55" a="1"/>
  <c r="BM281" i="55" s="1"/>
  <c r="CX281" i="55" s="1"/>
  <c r="DC143" i="55"/>
  <c r="CG164" i="55"/>
  <c r="CG292" i="55"/>
  <c r="DB12" i="55"/>
  <c r="DA12" i="55" a="1"/>
  <c r="DA12" i="55" s="1"/>
  <c r="DC12" i="55" s="1"/>
  <c r="DB44" i="55"/>
  <c r="DA44" i="55" a="1"/>
  <c r="DA44" i="55" s="1"/>
  <c r="DC44" i="55" s="1"/>
  <c r="CI188" i="55"/>
  <c r="CJ188" i="55"/>
  <c r="CI220" i="55"/>
  <c r="CJ220" i="55"/>
  <c r="DA33" i="55" a="1"/>
  <c r="DA33" i="55" s="1"/>
  <c r="DB33" i="55"/>
  <c r="BM33" i="55" a="1"/>
  <c r="BM33" i="55" s="1"/>
  <c r="CG229" i="55"/>
  <c r="DB14" i="55"/>
  <c r="DA14" i="55" a="1"/>
  <c r="DA14" i="55" s="1"/>
  <c r="AY287" i="55"/>
  <c r="E287" i="55" s="1"/>
  <c r="AZ287" i="55" s="1"/>
  <c r="EB324" i="55"/>
  <c r="DB146" i="55"/>
  <c r="DA146" i="55" a="1"/>
  <c r="DA146" i="55" s="1"/>
  <c r="DC146" i="55" s="1"/>
  <c r="DT314" i="55"/>
  <c r="CU28" i="55"/>
  <c r="CV28" i="55"/>
  <c r="CT28" i="55"/>
  <c r="CR28" i="55"/>
  <c r="CW28" i="55"/>
  <c r="CQ28" i="55"/>
  <c r="CO28" i="55"/>
  <c r="CS28" i="55"/>
  <c r="CP28" i="55"/>
  <c r="CU348" i="55"/>
  <c r="CV348" i="55"/>
  <c r="CP348" i="55"/>
  <c r="CO348" i="55"/>
  <c r="CT348" i="55"/>
  <c r="CR348" i="55"/>
  <c r="CQ348" i="55"/>
  <c r="CW348" i="55"/>
  <c r="CS348" i="55"/>
  <c r="CX348" i="55"/>
  <c r="CI293" i="55"/>
  <c r="CJ293" i="55"/>
  <c r="CT61" i="55"/>
  <c r="CR61" i="55"/>
  <c r="CP61" i="55"/>
  <c r="CU61" i="55"/>
  <c r="CO61" i="55"/>
  <c r="CS61" i="55" s="1"/>
  <c r="CV61" i="55"/>
  <c r="CQ61" i="55"/>
  <c r="CW61" i="55"/>
  <c r="GD114" i="55"/>
  <c r="CV138" i="55"/>
  <c r="CU138" i="55"/>
  <c r="CQ138" i="55"/>
  <c r="CO138" i="55"/>
  <c r="CS138" i="55" s="1"/>
  <c r="CT138" i="55"/>
  <c r="CP138" i="55"/>
  <c r="CR138" i="55"/>
  <c r="CW138" i="55"/>
  <c r="BM76" i="55" a="1"/>
  <c r="BM76" i="55" s="1"/>
  <c r="C87" i="55"/>
  <c r="CJ130" i="55"/>
  <c r="DT285" i="55"/>
  <c r="DT27" i="55"/>
  <c r="CW123" i="55"/>
  <c r="CP123" i="55"/>
  <c r="CV123" i="55"/>
  <c r="CT123" i="55"/>
  <c r="CQ123" i="55"/>
  <c r="CO123" i="55"/>
  <c r="CS123" i="55" s="1"/>
  <c r="CR123" i="55"/>
  <c r="CU123" i="55"/>
  <c r="BN315" i="55" a="1"/>
  <c r="BN315" i="55" s="1"/>
  <c r="DU315" i="55" s="1"/>
  <c r="CI53" i="55"/>
  <c r="CI165" i="55"/>
  <c r="CJ165" i="55"/>
  <c r="CT286" i="55"/>
  <c r="CS286" i="55"/>
  <c r="CU286" i="55"/>
  <c r="CX286" i="55"/>
  <c r="CW286" i="55"/>
  <c r="CQ286" i="55"/>
  <c r="CP286" i="55"/>
  <c r="CR286" i="55"/>
  <c r="CV286" i="55"/>
  <c r="CJ210" i="55"/>
  <c r="DT30" i="55"/>
  <c r="BN30" i="55" a="1"/>
  <c r="BN30" i="55" s="1"/>
  <c r="EB229" i="55"/>
  <c r="DB120" i="55"/>
  <c r="DA120" i="55" a="1"/>
  <c r="DA120" i="55" s="1"/>
  <c r="DB200" i="55"/>
  <c r="DA200" i="55" a="1"/>
  <c r="DA200" i="55" s="1"/>
  <c r="DA280" i="55" a="1"/>
  <c r="DA280" i="55" s="1"/>
  <c r="DB280" i="55"/>
  <c r="BM280" i="55" a="1"/>
  <c r="BM280" i="55" s="1"/>
  <c r="EB102" i="55"/>
  <c r="CG170" i="55"/>
  <c r="BV23" i="54" a="1"/>
  <c r="BV23" i="54" s="1"/>
  <c r="BK23" i="54" a="1"/>
  <c r="BK23" i="54" s="1"/>
  <c r="BO23" i="54" a="1"/>
  <c r="BO23" i="54" s="1"/>
  <c r="U23" i="54" a="1"/>
  <c r="U23" i="54" s="1"/>
  <c r="BS23" i="54" a="1"/>
  <c r="BS23" i="54" s="1"/>
  <c r="W23" i="54" a="1"/>
  <c r="W23" i="54" s="1"/>
  <c r="DT115" i="55"/>
  <c r="BN115" i="55" a="1"/>
  <c r="BN115" i="55" s="1"/>
  <c r="DU115" i="55" s="1"/>
  <c r="EB103" i="55"/>
  <c r="CI330" i="55"/>
  <c r="CJ330" i="55"/>
  <c r="CJ194" i="55"/>
  <c r="EB104" i="55"/>
  <c r="CA201" i="55"/>
  <c r="CX201" i="55"/>
  <c r="DT214" i="55"/>
  <c r="BN214" i="55" a="1"/>
  <c r="BN214" i="55" s="1"/>
  <c r="DZ96" i="55"/>
  <c r="DZ321" i="55"/>
  <c r="CW327" i="55"/>
  <c r="CU327" i="55"/>
  <c r="CV327" i="55"/>
  <c r="CP327" i="55"/>
  <c r="CQ327" i="55"/>
  <c r="CO327" i="55"/>
  <c r="CS327" i="55" s="1"/>
  <c r="CR327" i="55"/>
  <c r="CT327" i="55"/>
  <c r="CW105" i="55"/>
  <c r="CU105" i="55"/>
  <c r="CR105" i="55"/>
  <c r="CP105" i="55"/>
  <c r="CV105" i="55"/>
  <c r="CT105" i="55"/>
  <c r="CX105" i="55"/>
  <c r="CQ105" i="55"/>
  <c r="CO105" i="55"/>
  <c r="CS105" i="55" s="1"/>
  <c r="BN169" i="55" a="1"/>
  <c r="BN169" i="55" s="1"/>
  <c r="DU169" i="55" s="1"/>
  <c r="CG36" i="55"/>
  <c r="CI12" i="55"/>
  <c r="BK17" i="54" s="1" a="1"/>
  <c r="BK17" i="54" s="1"/>
  <c r="CJ12" i="55"/>
  <c r="BO17" i="54" s="1" a="1"/>
  <c r="BO17" i="54" s="1"/>
  <c r="CI44" i="55"/>
  <c r="DB156" i="55"/>
  <c r="DA156" i="55" a="1"/>
  <c r="DA156" i="55" s="1"/>
  <c r="DA318" i="55" a="1"/>
  <c r="DA318" i="55" s="1"/>
  <c r="DB318" i="55"/>
  <c r="BM318" i="55" a="1"/>
  <c r="BM318" i="55" s="1"/>
  <c r="CX318" i="55" s="1"/>
  <c r="CG245" i="55"/>
  <c r="AY188" i="55"/>
  <c r="E188" i="55" s="1"/>
  <c r="AZ188" i="55" s="1"/>
  <c r="CI334" i="55"/>
  <c r="CJ334" i="55"/>
  <c r="DA306" i="55" a="1"/>
  <c r="DA306" i="55" s="1"/>
  <c r="DB306" i="55"/>
  <c r="DC176" i="55"/>
  <c r="CV314" i="55"/>
  <c r="CU314" i="55"/>
  <c r="CP314" i="55"/>
  <c r="CR314" i="55"/>
  <c r="CT314" i="55"/>
  <c r="CQ314" i="55"/>
  <c r="CO314" i="55"/>
  <c r="CS314" i="55" s="1"/>
  <c r="CW314" i="55"/>
  <c r="CI149" i="55"/>
  <c r="CJ149" i="55"/>
  <c r="DC211" i="55"/>
  <c r="C178" i="55"/>
  <c r="GD178" i="55"/>
  <c r="EU336" i="55"/>
  <c r="GU336" i="55" s="1"/>
  <c r="EV336" i="55"/>
  <c r="GD292" i="55"/>
  <c r="CI133" i="55"/>
  <c r="CT237" i="55"/>
  <c r="CQ237" i="55"/>
  <c r="CW237" i="55"/>
  <c r="CS237" i="55"/>
  <c r="CP237" i="55"/>
  <c r="CR237" i="55"/>
  <c r="CX237" i="55"/>
  <c r="CV237" i="55"/>
  <c r="CU237" i="55"/>
  <c r="DA162" i="55" a="1"/>
  <c r="DA162" i="55" s="1"/>
  <c r="DB162" i="55"/>
  <c r="BM162" i="55" a="1"/>
  <c r="BM162" i="55" s="1"/>
  <c r="CV285" i="55"/>
  <c r="CS285" i="55"/>
  <c r="CP285" i="55"/>
  <c r="CT285" i="55"/>
  <c r="CU285" i="55"/>
  <c r="CW285" i="55"/>
  <c r="CQ285" i="55"/>
  <c r="CR285" i="55"/>
  <c r="DZ261" i="55"/>
  <c r="CT315" i="55"/>
  <c r="CR315" i="55"/>
  <c r="CU315" i="55"/>
  <c r="CP315" i="55"/>
  <c r="CX315" i="55"/>
  <c r="CQ315" i="55"/>
  <c r="CW315" i="55"/>
  <c r="CO315" i="55"/>
  <c r="CV315" i="55"/>
  <c r="CS315" i="55"/>
  <c r="CA269" i="55"/>
  <c r="BN269" i="55" a="1"/>
  <c r="BN269" i="55" s="1"/>
  <c r="CG275" i="55"/>
  <c r="DC148" i="55"/>
  <c r="CA62" i="55"/>
  <c r="CB62" i="55" s="1"/>
  <c r="CC62" i="55" s="1"/>
  <c r="BN62" i="55" a="1"/>
  <c r="BN62" i="55" s="1"/>
  <c r="DU62" i="55" s="1"/>
  <c r="DZ99" i="55"/>
  <c r="BN297" i="55" a="1"/>
  <c r="BN297" i="55" s="1"/>
  <c r="CI191" i="55"/>
  <c r="CJ191" i="55"/>
  <c r="DC16" i="55"/>
  <c r="CG180" i="55"/>
  <c r="CG308" i="55"/>
  <c r="CI300" i="55"/>
  <c r="BY300" i="55"/>
  <c r="CI270" i="55"/>
  <c r="EB34" i="55"/>
  <c r="DZ146" i="55"/>
  <c r="CW168" i="55"/>
  <c r="CR168" i="55"/>
  <c r="CU168" i="55"/>
  <c r="CP168" i="55"/>
  <c r="CS168" i="55"/>
  <c r="CQ168" i="55"/>
  <c r="CT168" i="55"/>
  <c r="CV168" i="55"/>
  <c r="CG101" i="55"/>
  <c r="DA94" i="55" a="1"/>
  <c r="DA94" i="55" s="1"/>
  <c r="DB94" i="55"/>
  <c r="CI126" i="55"/>
  <c r="CJ126" i="55"/>
  <c r="DB222" i="55"/>
  <c r="DA222" i="55" a="1"/>
  <c r="DA222" i="55" s="1"/>
  <c r="BM222" i="55" a="1"/>
  <c r="BM222" i="55" s="1"/>
  <c r="DB334" i="55"/>
  <c r="DA334" i="55" a="1"/>
  <c r="DA334" i="55" s="1"/>
  <c r="AX18" i="54"/>
  <c r="AY18" i="54" s="1" a="1"/>
  <c r="AY18" i="54" s="1"/>
  <c r="CW184" i="55"/>
  <c r="CO184" i="55"/>
  <c r="CV184" i="55"/>
  <c r="CS184" i="55"/>
  <c r="CX184" i="55"/>
  <c r="CP184" i="55"/>
  <c r="CU184" i="55"/>
  <c r="CT184" i="55"/>
  <c r="CQ184" i="55"/>
  <c r="CR184" i="55"/>
  <c r="EB96" i="55"/>
  <c r="CI146" i="55"/>
  <c r="CJ146" i="55"/>
  <c r="BY306" i="55"/>
  <c r="CI306" i="55"/>
  <c r="CA324" i="55"/>
  <c r="BN324" i="55" a="1"/>
  <c r="BN324" i="55" s="1"/>
  <c r="DU324" i="55" s="1"/>
  <c r="DB261" i="55"/>
  <c r="DA261" i="55" a="1"/>
  <c r="DA261" i="55" s="1"/>
  <c r="EB257" i="55"/>
  <c r="DZ338" i="55"/>
  <c r="CW296" i="55"/>
  <c r="CU296" i="55"/>
  <c r="CR296" i="55"/>
  <c r="CP296" i="55"/>
  <c r="CV296" i="55"/>
  <c r="CS296" i="55"/>
  <c r="CQ296" i="55"/>
  <c r="CT296" i="55"/>
  <c r="DB193" i="55"/>
  <c r="DA193" i="55" a="1"/>
  <c r="DA193" i="55" s="1"/>
  <c r="BM193" i="55" a="1"/>
  <c r="BM193" i="55" s="1"/>
  <c r="CX193" i="55" s="1"/>
  <c r="DC269" i="55"/>
  <c r="DC83" i="55"/>
  <c r="BN301" i="55" a="1"/>
  <c r="BN301" i="55" s="1"/>
  <c r="DU301" i="55" s="1"/>
  <c r="CI162" i="55"/>
  <c r="C324" i="55"/>
  <c r="GD324" i="55"/>
  <c r="CU316" i="55"/>
  <c r="CX316" i="55"/>
  <c r="CV316" i="55"/>
  <c r="CR316" i="55"/>
  <c r="CP316" i="55"/>
  <c r="CT316" i="55"/>
  <c r="CO316" i="55"/>
  <c r="CS316" i="55" s="1"/>
  <c r="CW316" i="55"/>
  <c r="CQ316" i="55"/>
  <c r="GD343" i="55"/>
  <c r="BM285" i="55" a="1"/>
  <c r="BM285" i="55" s="1"/>
  <c r="CA285" i="55" s="1"/>
  <c r="DC177" i="55"/>
  <c r="BN139" i="55" a="1"/>
  <c r="BN139" i="55" s="1"/>
  <c r="DB133" i="55"/>
  <c r="DA133" i="55" a="1"/>
  <c r="DA133" i="55" s="1"/>
  <c r="DC133" i="55" s="1"/>
  <c r="CU172" i="55"/>
  <c r="CS172" i="55"/>
  <c r="CQ172" i="55"/>
  <c r="CR172" i="55"/>
  <c r="CW172" i="55"/>
  <c r="CT172" i="55"/>
  <c r="CV172" i="55"/>
  <c r="CP172" i="55"/>
  <c r="CV269" i="55"/>
  <c r="CS269" i="55"/>
  <c r="CP269" i="55"/>
  <c r="CR269" i="55"/>
  <c r="CX269" i="55"/>
  <c r="CQ269" i="55"/>
  <c r="CW269" i="55"/>
  <c r="CT269" i="55"/>
  <c r="CU269" i="55"/>
  <c r="EB70" i="55"/>
  <c r="CG147" i="55"/>
  <c r="EB151" i="55"/>
  <c r="CJ261" i="55"/>
  <c r="DC297" i="55"/>
  <c r="CT142" i="55"/>
  <c r="CV142" i="55"/>
  <c r="CP142" i="55"/>
  <c r="CQ142" i="55"/>
  <c r="CO142" i="55"/>
  <c r="CS142" i="55" s="1"/>
  <c r="CU142" i="55"/>
  <c r="CR142" i="55"/>
  <c r="CW142" i="55"/>
  <c r="C152" i="55"/>
  <c r="CP297" i="55"/>
  <c r="CU297" i="55"/>
  <c r="CS297" i="55"/>
  <c r="CQ297" i="55"/>
  <c r="CT297" i="55"/>
  <c r="CW297" i="55"/>
  <c r="CR297" i="55"/>
  <c r="CV297" i="55"/>
  <c r="CX297" i="55"/>
  <c r="DA110" i="55" a="1"/>
  <c r="DA110" i="55" s="1"/>
  <c r="DB110" i="55"/>
  <c r="BM110" i="55" a="1"/>
  <c r="BM110" i="55" s="1"/>
  <c r="BN110" i="55" s="1" a="1"/>
  <c r="BN110" i="55" s="1"/>
  <c r="DU110" i="55" s="1"/>
  <c r="DB124" i="55"/>
  <c r="DA124" i="55" a="1"/>
  <c r="DA124" i="55" s="1"/>
  <c r="DC124" i="55" s="1"/>
  <c r="BM124" i="55" a="1"/>
  <c r="BM124" i="55" s="1"/>
  <c r="CA124" i="55" s="1"/>
  <c r="DB268" i="55"/>
  <c r="DA268" i="55" a="1"/>
  <c r="DA268" i="55" s="1"/>
  <c r="DT232" i="55"/>
  <c r="CG117" i="55"/>
  <c r="BN248" i="55" a="1"/>
  <c r="BN248" i="55" s="1"/>
  <c r="ET155" i="55"/>
  <c r="BO191" i="55"/>
  <c r="DU191" i="55"/>
  <c r="CW136" i="55"/>
  <c r="CO136" i="55"/>
  <c r="CU136" i="55"/>
  <c r="CS136" i="55"/>
  <c r="CQ136" i="55"/>
  <c r="CT136" i="55"/>
  <c r="CR136" i="55"/>
  <c r="CP136" i="55"/>
  <c r="CV136" i="55"/>
  <c r="DB145" i="55"/>
  <c r="DA145" i="55" a="1"/>
  <c r="DA145" i="55" s="1"/>
  <c r="DC145" i="55" s="1"/>
  <c r="EU335" i="55"/>
  <c r="GU335" i="55" s="1"/>
  <c r="EV335" i="55"/>
  <c r="DB5" i="55"/>
  <c r="DA5" i="55" a="1"/>
  <c r="DA5" i="55" s="1"/>
  <c r="BM268" i="55" a="1"/>
  <c r="BM268" i="55" s="1"/>
  <c r="CA268" i="55" s="1"/>
  <c r="DB129" i="55"/>
  <c r="DA129" i="55" a="1"/>
  <c r="DA129" i="55" s="1"/>
  <c r="DC129" i="55" s="1"/>
  <c r="BM129" i="55" a="1"/>
  <c r="BM129" i="55" s="1"/>
  <c r="CX129" i="55" s="1"/>
  <c r="GD228" i="55"/>
  <c r="C228" i="55"/>
  <c r="CU76" i="55"/>
  <c r="CT76" i="55"/>
  <c r="CR76" i="55"/>
  <c r="CV76" i="55"/>
  <c r="CP76" i="55"/>
  <c r="CW76" i="55"/>
  <c r="CQ76" i="55"/>
  <c r="CO76" i="55"/>
  <c r="CS76" i="55" s="1"/>
  <c r="CI21" i="55"/>
  <c r="CJ21" i="55"/>
  <c r="DA66" i="55" a="1"/>
  <c r="DA66" i="55" s="1"/>
  <c r="DB66" i="55"/>
  <c r="BM66" i="55" a="1"/>
  <c r="BM66" i="55" s="1"/>
  <c r="BW322" i="55"/>
  <c r="CV202" i="55"/>
  <c r="CS202" i="55"/>
  <c r="CR202" i="55"/>
  <c r="CU202" i="55"/>
  <c r="CW202" i="55"/>
  <c r="CP202" i="55"/>
  <c r="CT202" i="55"/>
  <c r="CQ202" i="55"/>
  <c r="GD246" i="55"/>
  <c r="BW243" i="55"/>
  <c r="AY243" i="55"/>
  <c r="E243" i="55" s="1"/>
  <c r="AZ243" i="55" s="1"/>
  <c r="CI213" i="55"/>
  <c r="CJ213" i="55"/>
  <c r="CJ270" i="55"/>
  <c r="DC275" i="55"/>
  <c r="C165" i="55"/>
  <c r="GD165" i="55"/>
  <c r="DZ213" i="55"/>
  <c r="CV43" i="55"/>
  <c r="CU43" i="55"/>
  <c r="CR43" i="55"/>
  <c r="CP43" i="55"/>
  <c r="CW43" i="55"/>
  <c r="CQ43" i="55"/>
  <c r="CS43" i="55"/>
  <c r="CT43" i="55"/>
  <c r="DT236" i="55"/>
  <c r="DB27" i="55"/>
  <c r="DA27" i="55" a="1"/>
  <c r="DA27" i="55" s="1"/>
  <c r="CI123" i="55"/>
  <c r="CJ123" i="55"/>
  <c r="CT110" i="55"/>
  <c r="CR110" i="55"/>
  <c r="CP110" i="55"/>
  <c r="CQ110" i="55"/>
  <c r="CO110" i="55"/>
  <c r="CS110" i="55" s="1"/>
  <c r="CW110" i="55"/>
  <c r="CV110" i="55"/>
  <c r="CU110" i="55"/>
  <c r="CJ82" i="55"/>
  <c r="BK19" i="54" a="1"/>
  <c r="BK19" i="54" s="1"/>
  <c r="BS19" i="54" a="1"/>
  <c r="BS19" i="54" s="1"/>
  <c r="BO19" i="54" a="1"/>
  <c r="BO19" i="54" s="1"/>
  <c r="W19" i="54" a="1"/>
  <c r="W19" i="54" s="1"/>
  <c r="BV19" i="54" a="1"/>
  <c r="BV19" i="54" s="1"/>
  <c r="U19" i="54" a="1"/>
  <c r="U19" i="54" s="1"/>
  <c r="CQ35" i="55"/>
  <c r="CV35" i="55"/>
  <c r="CS35" i="55"/>
  <c r="CW35" i="55"/>
  <c r="CR35" i="55"/>
  <c r="CT35" i="55"/>
  <c r="CP35" i="55"/>
  <c r="CU35" i="55"/>
  <c r="CI74" i="55"/>
  <c r="CJ74" i="55"/>
  <c r="EB120" i="55"/>
  <c r="CP6" i="55"/>
  <c r="CW6" i="55"/>
  <c r="CT6" i="55"/>
  <c r="CO6" i="55"/>
  <c r="CQ6" i="55"/>
  <c r="CS6" i="55"/>
  <c r="CU6" i="55"/>
  <c r="CV6" i="55"/>
  <c r="CR6" i="55"/>
  <c r="BM6" i="55" a="1"/>
  <c r="BM6" i="55" s="1"/>
  <c r="CX246" i="55"/>
  <c r="CP246" i="55"/>
  <c r="CS246" i="55"/>
  <c r="CV246" i="55"/>
  <c r="CR246" i="55"/>
  <c r="CT246" i="55"/>
  <c r="CU246" i="55"/>
  <c r="CW246" i="55"/>
  <c r="CQ246" i="55"/>
  <c r="EB186" i="55"/>
  <c r="CX185" i="55"/>
  <c r="CV185" i="55"/>
  <c r="CS185" i="55"/>
  <c r="CP185" i="55"/>
  <c r="CU185" i="55"/>
  <c r="CR185" i="55"/>
  <c r="CQ185" i="55"/>
  <c r="CT185" i="55"/>
  <c r="CW185" i="55"/>
  <c r="DA149" i="55" a="1"/>
  <c r="DA149" i="55" s="1"/>
  <c r="DB149" i="55"/>
  <c r="CG196" i="55"/>
  <c r="CG324" i="55"/>
  <c r="DA270" i="55" a="1"/>
  <c r="DA270" i="55" s="1"/>
  <c r="DB270" i="55"/>
  <c r="BM270" i="55" a="1"/>
  <c r="BM270" i="55" s="1"/>
  <c r="CX270" i="55" s="1"/>
  <c r="CI62" i="55"/>
  <c r="CJ62" i="55"/>
  <c r="CW248" i="55"/>
  <c r="CP248" i="55"/>
  <c r="CS248" i="55"/>
  <c r="CT248" i="55"/>
  <c r="CU248" i="55"/>
  <c r="CR248" i="55"/>
  <c r="CV248" i="55"/>
  <c r="CQ248" i="55"/>
  <c r="DB17" i="55"/>
  <c r="DA17" i="55" a="1"/>
  <c r="DA17" i="55" s="1"/>
  <c r="CG19" i="55"/>
  <c r="FE335" i="55"/>
  <c r="FI335" i="55" s="1"/>
  <c r="FF335" i="55"/>
  <c r="FD335" i="55"/>
  <c r="FG335" i="55"/>
  <c r="DG335" i="55"/>
  <c r="DH335" i="55" s="1"/>
  <c r="DJ335" i="55" s="1" a="1"/>
  <c r="DJ335" i="55" s="1"/>
  <c r="EL335" i="55"/>
  <c r="EM335" i="55" s="1"/>
  <c r="GD212" i="55"/>
  <c r="CU92" i="55"/>
  <c r="CP92" i="55"/>
  <c r="CW92" i="55"/>
  <c r="CX92" i="55"/>
  <c r="CT92" i="55"/>
  <c r="CQ92" i="55"/>
  <c r="CO92" i="55"/>
  <c r="CS92" i="55" s="1"/>
  <c r="CV92" i="55"/>
  <c r="CR92" i="55"/>
  <c r="CR125" i="55"/>
  <c r="CW125" i="55"/>
  <c r="CP125" i="55"/>
  <c r="CT125" i="55"/>
  <c r="CQ125" i="55"/>
  <c r="CO125" i="55"/>
  <c r="CS125" i="55" s="1"/>
  <c r="CV125" i="55"/>
  <c r="CU125" i="55"/>
  <c r="BN157" i="55" a="1"/>
  <c r="BN157" i="55" s="1"/>
  <c r="DU157" i="55" s="1"/>
  <c r="DT45" i="55"/>
  <c r="BN45" i="55" a="1"/>
  <c r="BN45" i="55" s="1"/>
  <c r="CB45" i="55" s="1"/>
  <c r="CC45" i="55" s="1"/>
  <c r="DB45" i="55"/>
  <c r="DC45" i="55" s="1"/>
  <c r="CA301" i="55"/>
  <c r="CB301" i="55" s="1"/>
  <c r="CC301" i="55" s="1"/>
  <c r="AY34" i="55"/>
  <c r="E34" i="55" s="1"/>
  <c r="AZ34" i="55" s="1"/>
  <c r="GD294" i="55"/>
  <c r="C294" i="55"/>
  <c r="DB213" i="55"/>
  <c r="DA213" i="55" a="1"/>
  <c r="DA213" i="55" s="1"/>
  <c r="CX29" i="55"/>
  <c r="CV29" i="55"/>
  <c r="CT29" i="55"/>
  <c r="CW29" i="55"/>
  <c r="CQ29" i="55"/>
  <c r="CR29" i="55"/>
  <c r="CS29" i="55"/>
  <c r="CO29" i="55"/>
  <c r="CP29" i="55"/>
  <c r="CU29" i="55"/>
  <c r="CA155" i="55"/>
  <c r="BN155" i="55" a="1"/>
  <c r="BN155" i="55" s="1"/>
  <c r="DU155" i="55" s="1"/>
  <c r="BO235" i="55"/>
  <c r="BM347" i="55" a="1"/>
  <c r="BM347" i="55" s="1"/>
  <c r="CA347" i="55" s="1"/>
  <c r="CI274" i="55"/>
  <c r="DB68" i="55"/>
  <c r="DA68" i="55" a="1"/>
  <c r="DA68" i="55" s="1"/>
  <c r="DC68" i="55" s="1"/>
  <c r="BM68" i="55" a="1"/>
  <c r="BM68" i="55" s="1"/>
  <c r="DC178" i="55"/>
  <c r="CG338" i="55"/>
  <c r="DB123" i="55"/>
  <c r="DA123" i="55" a="1"/>
  <c r="DA123" i="55" s="1"/>
  <c r="GD56" i="55"/>
  <c r="CT238" i="55"/>
  <c r="CS238" i="55"/>
  <c r="CQ238" i="55"/>
  <c r="CW238" i="55"/>
  <c r="CP238" i="55"/>
  <c r="CR238" i="55"/>
  <c r="CV238" i="55"/>
  <c r="CU238" i="55"/>
  <c r="BM238" i="55" a="1"/>
  <c r="BM238" i="55" s="1"/>
  <c r="EB245" i="55"/>
  <c r="EB100" i="55"/>
  <c r="DT174" i="55"/>
  <c r="BN174" i="55" a="1"/>
  <c r="BN174" i="55" s="1"/>
  <c r="DU174" i="55" s="1"/>
  <c r="BM126" i="55" a="1"/>
  <c r="BM126" i="55" s="1"/>
  <c r="CA126" i="55" s="1"/>
  <c r="EB136" i="55"/>
  <c r="CW89" i="55"/>
  <c r="CX89" i="55"/>
  <c r="CT89" i="55"/>
  <c r="CQ89" i="55"/>
  <c r="CO89" i="55"/>
  <c r="CS89" i="55" s="1"/>
  <c r="CV89" i="55"/>
  <c r="CU89" i="55"/>
  <c r="CP89" i="55"/>
  <c r="CR89" i="55"/>
  <c r="CP118" i="55"/>
  <c r="CV118" i="55"/>
  <c r="CQ118" i="55"/>
  <c r="CO118" i="55"/>
  <c r="CS118" i="55" s="1"/>
  <c r="CW118" i="55"/>
  <c r="CR118" i="55"/>
  <c r="CU118" i="55"/>
  <c r="CT118" i="55"/>
  <c r="CU103" i="55"/>
  <c r="CQ103" i="55"/>
  <c r="CO103" i="55"/>
  <c r="CS103" i="55" s="1"/>
  <c r="CR103" i="55"/>
  <c r="CT103" i="55"/>
  <c r="CP103" i="55"/>
  <c r="CW103" i="55"/>
  <c r="CV103" i="55"/>
  <c r="AX15" i="54"/>
  <c r="AY15" i="54" s="1" a="1"/>
  <c r="AY15" i="54" s="1"/>
  <c r="DK177" i="55"/>
  <c r="DN177" i="55"/>
  <c r="DC13" i="55"/>
  <c r="DZ211" i="55"/>
  <c r="BN201" i="55" a="1"/>
  <c r="BN201" i="55" s="1"/>
  <c r="AX21" i="54"/>
  <c r="AY21" i="54" s="1" a="1"/>
  <c r="AY21" i="54" s="1"/>
  <c r="CR313" i="55"/>
  <c r="CU313" i="55"/>
  <c r="CQ313" i="55"/>
  <c r="CT313" i="55"/>
  <c r="CS313" i="55"/>
  <c r="CO313" i="55"/>
  <c r="CP313" i="55"/>
  <c r="CV313" i="55"/>
  <c r="CW313" i="55"/>
  <c r="CG68" i="55"/>
  <c r="DB92" i="55"/>
  <c r="DA92" i="55" a="1"/>
  <c r="DA92" i="55" s="1"/>
  <c r="DB348" i="55"/>
  <c r="DA348" i="55" a="1"/>
  <c r="DA348" i="55" s="1"/>
  <c r="EB130" i="55"/>
  <c r="AY252" i="55"/>
  <c r="E252" i="55" s="1"/>
  <c r="AZ252" i="55" s="1"/>
  <c r="DB30" i="55"/>
  <c r="DA30" i="55" a="1"/>
  <c r="DA30" i="55" s="1"/>
  <c r="BM30" i="55" a="1"/>
  <c r="BM30" i="55" s="1"/>
  <c r="CA30" i="55" s="1"/>
  <c r="DA62" i="55" a="1"/>
  <c r="DA62" i="55" s="1"/>
  <c r="DB62" i="55"/>
  <c r="CI190" i="55"/>
  <c r="CJ190" i="55"/>
  <c r="EB240" i="55"/>
  <c r="DC115" i="55"/>
  <c r="AY271" i="55"/>
  <c r="CI145" i="55"/>
  <c r="CJ145" i="55"/>
  <c r="CV74" i="55"/>
  <c r="CW74" i="55"/>
  <c r="CP74" i="55"/>
  <c r="CT74" i="55"/>
  <c r="CR74" i="55"/>
  <c r="CQ74" i="55"/>
  <c r="CU74" i="55"/>
  <c r="CO74" i="55"/>
  <c r="CS74" i="55" s="1"/>
  <c r="GD198" i="55"/>
  <c r="BM86" i="55" a="1"/>
  <c r="BM86" i="55" s="1"/>
  <c r="DT204" i="55"/>
  <c r="CW204" i="55"/>
  <c r="GD215" i="55"/>
  <c r="CV250" i="55"/>
  <c r="CT250" i="55"/>
  <c r="CR250" i="55"/>
  <c r="CU250" i="55"/>
  <c r="CQ250" i="55"/>
  <c r="CW250" i="55"/>
  <c r="CS250" i="55"/>
  <c r="CP250" i="55"/>
  <c r="CW205" i="55"/>
  <c r="CU205" i="55"/>
  <c r="CV205" i="55"/>
  <c r="CQ205" i="55"/>
  <c r="CS205" i="55"/>
  <c r="CR205" i="55"/>
  <c r="CP205" i="55"/>
  <c r="CT205" i="55"/>
  <c r="BM205" i="55" a="1"/>
  <c r="BM205" i="55" s="1"/>
  <c r="CA205" i="55" s="1"/>
  <c r="CW171" i="55"/>
  <c r="CQ171" i="55"/>
  <c r="CR171" i="55"/>
  <c r="CV171" i="55"/>
  <c r="CS171" i="55"/>
  <c r="CT171" i="55"/>
  <c r="CP171" i="55"/>
  <c r="CU171" i="55"/>
  <c r="CX171" i="55"/>
  <c r="CV251" i="55"/>
  <c r="CU251" i="55"/>
  <c r="CQ251" i="55"/>
  <c r="CT251" i="55"/>
  <c r="CW251" i="55"/>
  <c r="CR251" i="55"/>
  <c r="CS251" i="55"/>
  <c r="CP251" i="55"/>
  <c r="DB180" i="55"/>
  <c r="DA180" i="55" a="1"/>
  <c r="DA180" i="55" s="1"/>
  <c r="BM180" i="55" a="1"/>
  <c r="BM180" i="55" s="1"/>
  <c r="CA180" i="55" s="1"/>
  <c r="DB292" i="55"/>
  <c r="DA292" i="55" a="1"/>
  <c r="DA292" i="55" s="1"/>
  <c r="BM292" i="55" a="1"/>
  <c r="BM292" i="55" s="1"/>
  <c r="GD278" i="55"/>
  <c r="DC141" i="55"/>
  <c r="CI91" i="55"/>
  <c r="CG127" i="55"/>
  <c r="CJ315" i="55"/>
  <c r="DU206" i="55"/>
  <c r="BO206" i="55"/>
  <c r="EB36" i="55"/>
  <c r="DT302" i="55"/>
  <c r="BN302" i="55" a="1"/>
  <c r="BN302" i="55" s="1"/>
  <c r="DU302" i="55" s="1"/>
  <c r="CI20" i="55"/>
  <c r="BK26" i="54" s="1" a="1"/>
  <c r="BK26" i="54" s="1"/>
  <c r="DB132" i="55"/>
  <c r="DA132" i="55" a="1"/>
  <c r="DA132" i="55" s="1"/>
  <c r="BM132" i="55" a="1"/>
  <c r="BM132" i="55" s="1"/>
  <c r="CA132" i="55" s="1"/>
  <c r="DA244" i="55" a="1"/>
  <c r="DA244" i="55" s="1"/>
  <c r="DB244" i="55"/>
  <c r="BM244" i="55" a="1"/>
  <c r="BM244" i="55" s="1"/>
  <c r="BR11" i="55"/>
  <c r="BP11" i="55"/>
  <c r="DA331" i="55" a="1"/>
  <c r="DA331" i="55" s="1"/>
  <c r="DB331" i="55"/>
  <c r="EB45" i="55"/>
  <c r="CJ139" i="55"/>
  <c r="DS31" i="55"/>
  <c r="EX31" i="55"/>
  <c r="EB164" i="55"/>
  <c r="EB165" i="55"/>
  <c r="EB309" i="55"/>
  <c r="CU124" i="55"/>
  <c r="CR124" i="55"/>
  <c r="CW124" i="55"/>
  <c r="CP124" i="55"/>
  <c r="CV124" i="55"/>
  <c r="CQ124" i="55"/>
  <c r="CT124" i="55"/>
  <c r="CO124" i="55"/>
  <c r="CS124" i="55" s="1"/>
  <c r="EB134" i="55"/>
  <c r="DZ133" i="55"/>
  <c r="CX27" i="55"/>
  <c r="CT27" i="55"/>
  <c r="CR27" i="55"/>
  <c r="CW27" i="55"/>
  <c r="CQ27" i="55"/>
  <c r="CP27" i="55"/>
  <c r="CO27" i="55"/>
  <c r="CU27" i="55"/>
  <c r="CV27" i="55"/>
  <c r="CS27" i="55"/>
  <c r="CU107" i="55"/>
  <c r="CR107" i="55"/>
  <c r="CT107" i="55"/>
  <c r="CV107" i="55"/>
  <c r="CW107" i="55"/>
  <c r="CQ107" i="55"/>
  <c r="CO107" i="55"/>
  <c r="CS107" i="55" s="1"/>
  <c r="CP107" i="55"/>
  <c r="DA100" i="55" a="1"/>
  <c r="DA100" i="55" s="1"/>
  <c r="DB100" i="55"/>
  <c r="BM100" i="55" a="1"/>
  <c r="BM100" i="55" s="1"/>
  <c r="CA100" i="55" s="1"/>
  <c r="CB81" i="55"/>
  <c r="CC81" i="55" s="1"/>
  <c r="CU236" i="55"/>
  <c r="CW236" i="55"/>
  <c r="CP236" i="55"/>
  <c r="CS236" i="55"/>
  <c r="CR236" i="55"/>
  <c r="CV236" i="55"/>
  <c r="CQ236" i="55"/>
  <c r="CT236" i="55"/>
  <c r="AX22" i="54"/>
  <c r="AY22" i="54" s="1" a="1"/>
  <c r="AY22" i="54" s="1"/>
  <c r="CT317" i="55"/>
  <c r="CR317" i="55"/>
  <c r="CU317" i="55"/>
  <c r="CP317" i="55"/>
  <c r="CW317" i="55"/>
  <c r="CO317" i="55"/>
  <c r="CV317" i="55"/>
  <c r="CQ317" i="55"/>
  <c r="CS317" i="55"/>
  <c r="CG35" i="55"/>
  <c r="CG163" i="55"/>
  <c r="CG291" i="55"/>
  <c r="DA11" i="55" a="1"/>
  <c r="DA11" i="55" s="1"/>
  <c r="DB11" i="55"/>
  <c r="DA299" i="55" a="1"/>
  <c r="DA299" i="55" s="1"/>
  <c r="DB299" i="55"/>
  <c r="CG31" i="55"/>
  <c r="CT334" i="55"/>
  <c r="CR334" i="55"/>
  <c r="CX334" i="55"/>
  <c r="CP334" i="55"/>
  <c r="CV334" i="55"/>
  <c r="CQ334" i="55"/>
  <c r="CO334" i="55"/>
  <c r="CS334" i="55" s="1"/>
  <c r="CW334" i="55"/>
  <c r="CU334" i="55"/>
  <c r="CT302" i="55"/>
  <c r="CX302" i="55"/>
  <c r="CV302" i="55"/>
  <c r="CW302" i="55"/>
  <c r="CR302" i="55"/>
  <c r="CU302" i="55"/>
  <c r="CS302" i="55"/>
  <c r="CP302" i="55"/>
  <c r="CQ302" i="55"/>
  <c r="CT30" i="55"/>
  <c r="CW30" i="55"/>
  <c r="CQ30" i="55"/>
  <c r="CV30" i="55"/>
  <c r="CR30" i="55"/>
  <c r="CS30" i="55"/>
  <c r="CP30" i="55"/>
  <c r="CU30" i="55"/>
  <c r="CV282" i="55"/>
  <c r="CW282" i="55"/>
  <c r="CP282" i="55"/>
  <c r="CT282" i="55"/>
  <c r="CR282" i="55"/>
  <c r="CU282" i="55"/>
  <c r="CO282" i="55"/>
  <c r="CQ282" i="55"/>
  <c r="CS282" i="55"/>
  <c r="DB258" i="55"/>
  <c r="DA258" i="55" a="1"/>
  <c r="DA258" i="55" s="1"/>
  <c r="BM258" i="55" a="1"/>
  <c r="BM258" i="55" s="1"/>
  <c r="AX17" i="54"/>
  <c r="AY17" i="54" s="1" a="1"/>
  <c r="AY17" i="54" s="1"/>
  <c r="CV154" i="55"/>
  <c r="CW154" i="55"/>
  <c r="CT154" i="55"/>
  <c r="CQ154" i="55"/>
  <c r="CO154" i="55"/>
  <c r="CS154" i="55"/>
  <c r="CP154" i="55"/>
  <c r="CU154" i="55"/>
  <c r="CR154" i="55"/>
  <c r="DZ246" i="55"/>
  <c r="BN188" i="55" a="1"/>
  <c r="BN188" i="55" s="1"/>
  <c r="CS221" i="55"/>
  <c r="CQ221" i="55"/>
  <c r="CO221" i="55"/>
  <c r="CX221" i="55"/>
  <c r="CR221" i="55"/>
  <c r="CV221" i="55"/>
  <c r="CT221" i="55"/>
  <c r="CP221" i="55"/>
  <c r="CW221" i="55"/>
  <c r="CU221" i="55"/>
  <c r="CU187" i="55"/>
  <c r="CS187" i="55"/>
  <c r="CX187" i="55"/>
  <c r="CQ187" i="55"/>
  <c r="CR187" i="55"/>
  <c r="CV187" i="55"/>
  <c r="CP187" i="55"/>
  <c r="CT187" i="55"/>
  <c r="CW187" i="55"/>
  <c r="BN331" i="55" a="1"/>
  <c r="BN331" i="55" s="1"/>
  <c r="DU331" i="55" s="1"/>
  <c r="CI132" i="55"/>
  <c r="CI212" i="55"/>
  <c r="DB277" i="55"/>
  <c r="DA277" i="55" a="1"/>
  <c r="DA277" i="55" s="1"/>
  <c r="DC214" i="55"/>
  <c r="EX50" i="55"/>
  <c r="DS50" i="55"/>
  <c r="EB198" i="55"/>
  <c r="DC240" i="55"/>
  <c r="CH307" i="55"/>
  <c r="CJ101" i="55"/>
  <c r="EB61" i="55"/>
  <c r="EB173" i="55"/>
  <c r="DA75" i="55" a="1"/>
  <c r="DA75" i="55" s="1"/>
  <c r="DB75" i="55"/>
  <c r="DA203" i="55" a="1"/>
  <c r="DA203" i="55" s="1"/>
  <c r="DB203" i="55"/>
  <c r="DB235" i="55"/>
  <c r="DA235" i="55" a="1"/>
  <c r="DA235" i="55" s="1"/>
  <c r="DB267" i="55"/>
  <c r="DA267" i="55" a="1"/>
  <c r="DA267" i="55" s="1"/>
  <c r="DC113" i="55"/>
  <c r="DC325" i="55"/>
  <c r="FG102" i="55"/>
  <c r="FE102" i="55"/>
  <c r="FI102" i="55" s="1"/>
  <c r="FF102" i="55"/>
  <c r="FD102" i="55"/>
  <c r="DG102" i="55"/>
  <c r="DH102" i="55" s="1"/>
  <c r="DJ102" i="55" s="1" a="1"/>
  <c r="DJ102" i="55" s="1"/>
  <c r="EL102" i="55"/>
  <c r="EM102" i="55" s="1"/>
  <c r="DZ264" i="55"/>
  <c r="CT78" i="55"/>
  <c r="CX78" i="55"/>
  <c r="CR78" i="55"/>
  <c r="CV78" i="55"/>
  <c r="CP78" i="55"/>
  <c r="CU78" i="55"/>
  <c r="CW78" i="55"/>
  <c r="CQ78" i="55"/>
  <c r="CO78" i="55"/>
  <c r="CS78" i="55" s="1"/>
  <c r="DZ72" i="55"/>
  <c r="CT46" i="55"/>
  <c r="CX46" i="55"/>
  <c r="CV46" i="55"/>
  <c r="CQ46" i="55"/>
  <c r="CR46" i="55"/>
  <c r="CU46" i="55"/>
  <c r="CP46" i="55"/>
  <c r="CS46" i="55"/>
  <c r="CW46" i="55"/>
  <c r="CT62" i="55"/>
  <c r="CX62" i="55"/>
  <c r="CV62" i="55"/>
  <c r="CR62" i="55"/>
  <c r="CU62" i="55"/>
  <c r="CQ62" i="55"/>
  <c r="CP62" i="55"/>
  <c r="CW62" i="55"/>
  <c r="CO62" i="55"/>
  <c r="CS62" i="55" s="1"/>
  <c r="DA194" i="55" a="1"/>
  <c r="DA194" i="55" s="1"/>
  <c r="DB194" i="55"/>
  <c r="BM194" i="55" a="1"/>
  <c r="BM194" i="55" s="1"/>
  <c r="DT202" i="55"/>
  <c r="DA84" i="55" a="1"/>
  <c r="DA84" i="55" s="1"/>
  <c r="DB84" i="55"/>
  <c r="BM84" i="55" a="1"/>
  <c r="BM84" i="55" s="1"/>
  <c r="CX84" i="55" s="1"/>
  <c r="EB214" i="55"/>
  <c r="DZ293" i="55"/>
  <c r="CP331" i="55"/>
  <c r="CV331" i="55"/>
  <c r="CT331" i="55"/>
  <c r="CX331" i="55"/>
  <c r="CW331" i="55"/>
  <c r="CO331" i="55"/>
  <c r="CS331" i="55" s="1"/>
  <c r="CQ331" i="55"/>
  <c r="CU331" i="55"/>
  <c r="CR331" i="55"/>
  <c r="CI244" i="55"/>
  <c r="DB197" i="55"/>
  <c r="DA197" i="55" a="1"/>
  <c r="DA197" i="55" s="1"/>
  <c r="DC197" i="55" s="1"/>
  <c r="DZ231" i="55"/>
  <c r="CX77" i="55"/>
  <c r="CV77" i="55"/>
  <c r="CP77" i="55"/>
  <c r="CT77" i="55"/>
  <c r="CU77" i="55"/>
  <c r="CQ77" i="55"/>
  <c r="CO77" i="55"/>
  <c r="CS77" i="55" s="1"/>
  <c r="CR77" i="55"/>
  <c r="CW77" i="55"/>
  <c r="DC342" i="55"/>
  <c r="CB198" i="55"/>
  <c r="CC198" i="55" s="1"/>
  <c r="CH198" i="55" s="1"/>
  <c r="EV224" i="55"/>
  <c r="EU224" i="55"/>
  <c r="GU224" i="55" s="1"/>
  <c r="CJ197" i="55"/>
  <c r="CI43" i="55"/>
  <c r="DB171" i="55"/>
  <c r="DA171" i="55" a="1"/>
  <c r="DA171" i="55" s="1"/>
  <c r="DC171" i="55" s="1"/>
  <c r="BN255" i="55" a="1"/>
  <c r="BN255" i="55" s="1"/>
  <c r="CA255" i="55"/>
  <c r="CB255" i="55" s="1"/>
  <c r="CC255" i="55" s="1"/>
  <c r="CJ318" i="55"/>
  <c r="EB17" i="55"/>
  <c r="CB341" i="55"/>
  <c r="CC341" i="55" s="1"/>
  <c r="EB244" i="55"/>
  <c r="CT350" i="55"/>
  <c r="CV350" i="55"/>
  <c r="CS350" i="55"/>
  <c r="CP350" i="55"/>
  <c r="CW350" i="55"/>
  <c r="CR350" i="55"/>
  <c r="CO350" i="55"/>
  <c r="CU350" i="55"/>
  <c r="CQ350" i="55"/>
  <c r="EB178" i="55"/>
  <c r="CW232" i="55"/>
  <c r="CV232" i="55"/>
  <c r="CT232" i="55"/>
  <c r="CR232" i="55"/>
  <c r="CX232" i="55"/>
  <c r="CU232" i="55"/>
  <c r="CP232" i="55"/>
  <c r="CS232" i="55"/>
  <c r="CQ232" i="55"/>
  <c r="EV325" i="55"/>
  <c r="EU325" i="55"/>
  <c r="GU325" i="55" s="1"/>
  <c r="EX341" i="55"/>
  <c r="DS341" i="55"/>
  <c r="DA286" i="55" a="1"/>
  <c r="DA286" i="55" s="1"/>
  <c r="DB286" i="55"/>
  <c r="EB48" i="55"/>
  <c r="EB304" i="55"/>
  <c r="CW8" i="55"/>
  <c r="CO8" i="55"/>
  <c r="CV8" i="55"/>
  <c r="CT8" i="55"/>
  <c r="CR8" i="55"/>
  <c r="CX8" i="55"/>
  <c r="CQ8" i="55"/>
  <c r="CP8" i="55"/>
  <c r="CU8" i="55"/>
  <c r="CS8" i="55"/>
  <c r="DB273" i="55"/>
  <c r="DA273" i="55" a="1"/>
  <c r="DA273" i="55" s="1"/>
  <c r="DC273" i="55" s="1"/>
  <c r="DB82" i="55"/>
  <c r="DA82" i="55" a="1"/>
  <c r="DA82" i="55" s="1"/>
  <c r="FG154" i="55"/>
  <c r="FE154" i="55"/>
  <c r="FI154" i="55" s="1"/>
  <c r="FF154" i="55"/>
  <c r="FD154" i="55"/>
  <c r="EL154" i="55"/>
  <c r="EM154" i="55" s="1"/>
  <c r="DG154" i="55"/>
  <c r="DH154" i="55" s="1"/>
  <c r="DJ154" i="55" s="1" a="1"/>
  <c r="DJ154" i="55" s="1"/>
  <c r="BN333" i="55" a="1"/>
  <c r="BN333" i="55" s="1"/>
  <c r="DU333" i="55" s="1"/>
  <c r="EB129" i="55"/>
  <c r="EB289" i="55"/>
  <c r="CW216" i="55"/>
  <c r="CX216" i="55"/>
  <c r="CV216" i="55"/>
  <c r="CT216" i="55"/>
  <c r="CR216" i="55"/>
  <c r="CU216" i="55"/>
  <c r="CP216" i="55"/>
  <c r="CQ216" i="55"/>
  <c r="CS216" i="55"/>
  <c r="DC326" i="55"/>
  <c r="DB18" i="55"/>
  <c r="DA18" i="55" a="1"/>
  <c r="DA18" i="55" s="1"/>
  <c r="GD116" i="55"/>
  <c r="CT59" i="55"/>
  <c r="CR59" i="55"/>
  <c r="CP59" i="55"/>
  <c r="CV59" i="55"/>
  <c r="CO59" i="55"/>
  <c r="CS59" i="55" s="1"/>
  <c r="CW59" i="55"/>
  <c r="CU59" i="55"/>
  <c r="CX59" i="55"/>
  <c r="CQ59" i="55"/>
  <c r="AX20" i="54"/>
  <c r="AY20" i="54" s="1" a="1"/>
  <c r="AY20" i="54" s="1"/>
  <c r="CT283" i="55"/>
  <c r="CR283" i="55"/>
  <c r="CW283" i="55"/>
  <c r="CP283" i="55"/>
  <c r="CU283" i="55"/>
  <c r="CO283" i="55"/>
  <c r="CQ283" i="55"/>
  <c r="CS283" i="55"/>
  <c r="CX283" i="55"/>
  <c r="CV283" i="55"/>
  <c r="CI148" i="55"/>
  <c r="CJ148" i="55"/>
  <c r="EB86" i="55"/>
  <c r="EB109" i="55"/>
  <c r="DA315" i="55" a="1"/>
  <c r="DA315" i="55" s="1"/>
  <c r="DB315" i="55"/>
  <c r="CJ37" i="55"/>
  <c r="DC239" i="55"/>
  <c r="CH239" i="55"/>
  <c r="DC85" i="55"/>
  <c r="CT206" i="55"/>
  <c r="CS206" i="55"/>
  <c r="CX206" i="55"/>
  <c r="CV206" i="55"/>
  <c r="CQ206" i="55"/>
  <c r="CW206" i="55"/>
  <c r="CR206" i="55"/>
  <c r="CU206" i="55"/>
  <c r="CP206" i="55"/>
  <c r="CT126" i="55"/>
  <c r="CU126" i="55"/>
  <c r="CP126" i="55"/>
  <c r="CR126" i="55"/>
  <c r="CW126" i="55"/>
  <c r="CO126" i="55"/>
  <c r="CQ126" i="55"/>
  <c r="CV126" i="55"/>
  <c r="CS126" i="55"/>
  <c r="EB277" i="55"/>
  <c r="EB258" i="55"/>
  <c r="CU140" i="55"/>
  <c r="CW140" i="55"/>
  <c r="CV140" i="55"/>
  <c r="CO140" i="55"/>
  <c r="CS140" i="55" s="1"/>
  <c r="CR140" i="55"/>
  <c r="CT140" i="55"/>
  <c r="CQ140" i="55"/>
  <c r="CP140" i="55"/>
  <c r="CJ171" i="55"/>
  <c r="EB176" i="55"/>
  <c r="AY95" i="55"/>
  <c r="DB274" i="55"/>
  <c r="DA274" i="55" a="1"/>
  <c r="DA274" i="55" s="1"/>
  <c r="DA338" i="55" a="1"/>
  <c r="DA338" i="55" s="1"/>
  <c r="DB338" i="55"/>
  <c r="FF3" i="55"/>
  <c r="FD3" i="55"/>
  <c r="FG3" i="55"/>
  <c r="FE3" i="55"/>
  <c r="FI3" i="55" s="1"/>
  <c r="EL3" i="55"/>
  <c r="DG3" i="55"/>
  <c r="DH3" i="55" s="1"/>
  <c r="DJ3" i="55" s="1" a="1"/>
  <c r="DJ3" i="55" s="1"/>
  <c r="CU268" i="55"/>
  <c r="CV268" i="55"/>
  <c r="CS268" i="55"/>
  <c r="CQ268" i="55"/>
  <c r="CW268" i="55"/>
  <c r="CP268" i="55"/>
  <c r="CR268" i="55"/>
  <c r="CT268" i="55"/>
  <c r="DB181" i="55"/>
  <c r="DA181" i="55" a="1"/>
  <c r="DA181" i="55" s="1"/>
  <c r="CX45" i="55"/>
  <c r="CV45" i="55"/>
  <c r="CT45" i="55"/>
  <c r="CR45" i="55"/>
  <c r="CU45" i="55"/>
  <c r="CP45" i="55"/>
  <c r="CW45" i="55"/>
  <c r="CQ45" i="55"/>
  <c r="CS45" i="55"/>
  <c r="CX301" i="55"/>
  <c r="CV301" i="55"/>
  <c r="CT301" i="55"/>
  <c r="CR301" i="55"/>
  <c r="CW301" i="55"/>
  <c r="CQ301" i="55"/>
  <c r="CU301" i="55"/>
  <c r="CP301" i="55"/>
  <c r="CS301" i="55"/>
  <c r="CV298" i="55"/>
  <c r="CT298" i="55"/>
  <c r="CR298" i="55"/>
  <c r="CP298" i="55"/>
  <c r="CU298" i="55"/>
  <c r="CW298" i="55"/>
  <c r="CS298" i="55"/>
  <c r="CQ298" i="55"/>
  <c r="CT219" i="55"/>
  <c r="CW219" i="55"/>
  <c r="CX219" i="55"/>
  <c r="CR219" i="55"/>
  <c r="CQ219" i="55"/>
  <c r="CV219" i="55"/>
  <c r="CU219" i="55"/>
  <c r="CP219" i="55"/>
  <c r="CS219" i="55"/>
  <c r="BM299" i="55" a="1"/>
  <c r="BM299" i="55" s="1"/>
  <c r="CX299" i="55" s="1"/>
  <c r="BR4" i="55"/>
  <c r="BP4" i="55"/>
  <c r="DB116" i="55"/>
  <c r="DA116" i="55" a="1"/>
  <c r="DA116" i="55" s="1"/>
  <c r="BM116" i="55" a="1"/>
  <c r="BM116" i="55" s="1"/>
  <c r="CX116" i="55" s="1"/>
  <c r="CI260" i="55"/>
  <c r="CJ260" i="55"/>
  <c r="DB341" i="55"/>
  <c r="DA341" i="55" a="1"/>
  <c r="DA341" i="55" s="1"/>
  <c r="DC341" i="55" s="1"/>
  <c r="CF27" i="55"/>
  <c r="CH27" i="55" s="1"/>
  <c r="CG27" i="55"/>
  <c r="DB219" i="55"/>
  <c r="DA219" i="55" a="1"/>
  <c r="DA219" i="55" s="1"/>
  <c r="CX108" i="55"/>
  <c r="CJ137" i="55"/>
  <c r="CH159" i="55"/>
  <c r="EB228" i="55"/>
  <c r="CT158" i="55"/>
  <c r="CW158" i="55"/>
  <c r="CU158" i="55"/>
  <c r="CV158" i="55"/>
  <c r="CR158" i="55"/>
  <c r="CS158" i="55"/>
  <c r="CQ158" i="55"/>
  <c r="CP158" i="55"/>
  <c r="EB85" i="55"/>
  <c r="CT174" i="55"/>
  <c r="CW174" i="55"/>
  <c r="CU174" i="55"/>
  <c r="CS174" i="55"/>
  <c r="CR174" i="55"/>
  <c r="CP174" i="55"/>
  <c r="CQ174" i="55"/>
  <c r="CV174" i="55"/>
  <c r="CX174" i="55"/>
  <c r="FG330" i="55"/>
  <c r="FE330" i="55"/>
  <c r="FI330" i="55" s="1"/>
  <c r="FF330" i="55"/>
  <c r="FD330" i="55"/>
  <c r="DG330" i="55"/>
  <c r="DH330" i="55" s="1"/>
  <c r="DJ330" i="55" s="1" a="1"/>
  <c r="DJ330" i="55" s="1"/>
  <c r="CT190" i="55"/>
  <c r="CW190" i="55"/>
  <c r="CU190" i="55"/>
  <c r="CS190" i="55"/>
  <c r="CR190" i="55"/>
  <c r="CV190" i="55"/>
  <c r="CQ190" i="55"/>
  <c r="CP190" i="55"/>
  <c r="EB149" i="55"/>
  <c r="DB209" i="55"/>
  <c r="DA209" i="55" a="1"/>
  <c r="DA209" i="55" s="1"/>
  <c r="DC209" i="55" s="1"/>
  <c r="BM236" i="55" a="1"/>
  <c r="BM236" i="55" s="1"/>
  <c r="BN236" i="55" s="1" a="1"/>
  <c r="BN236" i="55" s="1"/>
  <c r="CV266" i="55"/>
  <c r="CT266" i="55"/>
  <c r="CR266" i="55"/>
  <c r="CS266" i="55"/>
  <c r="CP266" i="55"/>
  <c r="CU266" i="55"/>
  <c r="CQ266" i="55"/>
  <c r="CW266" i="55"/>
  <c r="AY288" i="55"/>
  <c r="E288" i="55" s="1"/>
  <c r="AZ288" i="55" s="1"/>
  <c r="BW288" i="55"/>
  <c r="DB257" i="55"/>
  <c r="DA257" i="55" a="1"/>
  <c r="DA257" i="55" s="1"/>
  <c r="BM257" i="55" a="1"/>
  <c r="BM257" i="55" s="1"/>
  <c r="CX257" i="55" s="1"/>
  <c r="BN332" i="55" a="1"/>
  <c r="BN332" i="55" s="1"/>
  <c r="DU332" i="55" s="1"/>
  <c r="DZ55" i="55"/>
  <c r="BN316" i="55" a="1"/>
  <c r="BN316" i="55" s="1"/>
  <c r="DU316" i="55" s="1"/>
  <c r="CT349" i="55"/>
  <c r="CR349" i="55"/>
  <c r="CS349" i="55"/>
  <c r="CV349" i="55"/>
  <c r="CP349" i="55"/>
  <c r="CW349" i="55"/>
  <c r="CQ349" i="55"/>
  <c r="CX349" i="55"/>
  <c r="CO349" i="55"/>
  <c r="CU349" i="55"/>
  <c r="DZ309" i="55"/>
  <c r="BM75" i="55" a="1"/>
  <c r="BM75" i="55" s="1"/>
  <c r="CA75" i="55" s="1"/>
  <c r="DB4" i="55"/>
  <c r="DA4" i="55" a="1"/>
  <c r="DA4" i="55" s="1"/>
  <c r="DC4" i="55" s="1"/>
  <c r="BM4" i="55" a="1"/>
  <c r="BM4" i="55" s="1"/>
  <c r="CI36" i="55"/>
  <c r="CJ36" i="55"/>
  <c r="DZ278" i="55"/>
  <c r="BN108" i="55" a="1"/>
  <c r="BN108" i="55" s="1"/>
  <c r="DU108" i="55" s="1"/>
  <c r="DA245" i="55" a="1"/>
  <c r="DA245" i="55" s="1"/>
  <c r="DB245" i="55"/>
  <c r="CG114" i="55"/>
  <c r="CG242" i="55"/>
  <c r="EB230" i="55"/>
  <c r="EB125" i="55"/>
  <c r="DA187" i="55" a="1"/>
  <c r="DA187" i="55" s="1"/>
  <c r="DB187" i="55"/>
  <c r="DA251" i="55" a="1"/>
  <c r="DA251" i="55" s="1"/>
  <c r="DB251" i="55"/>
  <c r="DA283" i="55" a="1"/>
  <c r="DA283" i="55" s="1"/>
  <c r="DB283" i="55"/>
  <c r="CW108" i="55"/>
  <c r="CA319" i="55"/>
  <c r="CB319" i="55" s="1"/>
  <c r="CC319" i="55" s="1"/>
  <c r="BN319" i="55" a="1"/>
  <c r="BN319" i="55" s="1"/>
  <c r="DU319" i="55" s="1"/>
  <c r="CB245" i="55"/>
  <c r="CC245" i="55" s="1"/>
  <c r="EB148" i="55"/>
  <c r="EB292" i="55"/>
  <c r="DA81" i="55" a="1"/>
  <c r="DA81" i="55" s="1"/>
  <c r="DB81" i="55"/>
  <c r="CB96" i="55"/>
  <c r="CC96" i="55" s="1"/>
  <c r="DB206" i="55"/>
  <c r="DA206" i="55" a="1"/>
  <c r="DA206" i="55" s="1"/>
  <c r="DC206" i="55" s="1"/>
  <c r="EB64" i="55"/>
  <c r="EB192" i="55"/>
  <c r="CJ203" i="55"/>
  <c r="CW72" i="55"/>
  <c r="CO72" i="55"/>
  <c r="CT72" i="55"/>
  <c r="CS72" i="55"/>
  <c r="CP72" i="55"/>
  <c r="CQ72" i="55"/>
  <c r="CU72" i="55"/>
  <c r="CR72" i="55"/>
  <c r="CV72" i="55"/>
  <c r="DC175" i="55"/>
  <c r="AX11" i="54"/>
  <c r="AY11" i="54" s="1" a="1"/>
  <c r="AY11" i="54" s="1"/>
  <c r="CV26" i="55"/>
  <c r="CT26" i="55"/>
  <c r="CP26" i="55"/>
  <c r="CR26" i="55"/>
  <c r="CW26" i="55"/>
  <c r="CU26" i="55"/>
  <c r="CO26" i="55"/>
  <c r="CQ26" i="55"/>
  <c r="CS26" i="55"/>
  <c r="CU284" i="55"/>
  <c r="CX284" i="55"/>
  <c r="CV284" i="55"/>
  <c r="CT284" i="55"/>
  <c r="CR284" i="55"/>
  <c r="CS284" i="55"/>
  <c r="CW284" i="55"/>
  <c r="CQ284" i="55"/>
  <c r="CP284" i="55"/>
  <c r="CX333" i="55"/>
  <c r="CV333" i="55"/>
  <c r="CP333" i="55"/>
  <c r="CR333" i="55"/>
  <c r="CQ333" i="55"/>
  <c r="CW333" i="55"/>
  <c r="CU333" i="55"/>
  <c r="CO333" i="55"/>
  <c r="CS333" i="55" s="1"/>
  <c r="CT333" i="55"/>
  <c r="DZ82" i="55"/>
  <c r="CV186" i="55"/>
  <c r="CU186" i="55"/>
  <c r="CQ186" i="55"/>
  <c r="CP186" i="55"/>
  <c r="CR186" i="55"/>
  <c r="CS186" i="55"/>
  <c r="CT186" i="55"/>
  <c r="CW186" i="55"/>
  <c r="DB69" i="55"/>
  <c r="DA69" i="55" a="1"/>
  <c r="DA69" i="55" s="1"/>
  <c r="DC69" i="55" s="1"/>
  <c r="BN109" i="55" a="1"/>
  <c r="BN109" i="55" s="1"/>
  <c r="DB226" i="55"/>
  <c r="DA226" i="55" a="1"/>
  <c r="DA226" i="55" s="1"/>
  <c r="BM226" i="55" a="1"/>
  <c r="BM226" i="55" s="1"/>
  <c r="DA290" i="55" a="1"/>
  <c r="DA290" i="55" s="1"/>
  <c r="BM290" i="55" a="1"/>
  <c r="BM290" i="55" s="1"/>
  <c r="DB290" i="55"/>
  <c r="DZ244" i="55"/>
  <c r="CV58" i="55"/>
  <c r="CP58" i="55"/>
  <c r="CX58" i="55"/>
  <c r="CR58" i="55"/>
  <c r="CO58" i="55"/>
  <c r="CS58" i="55" s="1"/>
  <c r="CW58" i="55"/>
  <c r="CQ58" i="55"/>
  <c r="CU58" i="55"/>
  <c r="CT58" i="55"/>
  <c r="BN346" i="55" a="1"/>
  <c r="BN346" i="55" s="1"/>
  <c r="CT93" i="55"/>
  <c r="CR93" i="55"/>
  <c r="CP93" i="55"/>
  <c r="CW93" i="55"/>
  <c r="CO93" i="55"/>
  <c r="CS93" i="55" s="1"/>
  <c r="CU93" i="55"/>
  <c r="CV93" i="55"/>
  <c r="CQ93" i="55"/>
  <c r="DZ70" i="55"/>
  <c r="CX11" i="55"/>
  <c r="CV11" i="55"/>
  <c r="CT11" i="55"/>
  <c r="CR11" i="55"/>
  <c r="CU11" i="55"/>
  <c r="CS11" i="55"/>
  <c r="CP11" i="55"/>
  <c r="CW11" i="55"/>
  <c r="CQ11" i="55"/>
  <c r="CU155" i="55"/>
  <c r="CS155" i="55"/>
  <c r="CW155" i="55"/>
  <c r="CT155" i="55"/>
  <c r="CQ155" i="55"/>
  <c r="CP155" i="55"/>
  <c r="CV155" i="55"/>
  <c r="CR155" i="55"/>
  <c r="CX235" i="55"/>
  <c r="CR235" i="55"/>
  <c r="CU235" i="55"/>
  <c r="CS235" i="55"/>
  <c r="CQ235" i="55"/>
  <c r="CV235" i="55"/>
  <c r="CW235" i="55"/>
  <c r="CP235" i="55"/>
  <c r="CT235" i="55"/>
  <c r="CV299" i="55"/>
  <c r="CT299" i="55"/>
  <c r="CP299" i="55"/>
  <c r="CW299" i="55"/>
  <c r="CR299" i="55"/>
  <c r="CS299" i="55"/>
  <c r="CU299" i="55"/>
  <c r="CQ299" i="55"/>
  <c r="CI84" i="55"/>
  <c r="CJ84" i="55"/>
  <c r="EB167" i="55"/>
  <c r="EB237" i="55"/>
  <c r="EB349" i="55"/>
  <c r="BR27" i="55"/>
  <c r="BP27" i="55"/>
  <c r="DA59" i="55" a="1"/>
  <c r="DA59" i="55" s="1"/>
  <c r="DB59" i="55"/>
  <c r="DA91" i="55" a="1"/>
  <c r="DA91" i="55" s="1"/>
  <c r="DB91" i="55"/>
  <c r="DB155" i="55"/>
  <c r="DA155" i="55" a="1"/>
  <c r="DA155" i="55" s="1"/>
  <c r="DC155" i="55" s="1"/>
  <c r="DC51" i="55"/>
  <c r="W5" i="42"/>
  <c r="X4" i="42"/>
  <c r="M28" i="16"/>
  <c r="AG25" i="42"/>
  <c r="AH25" i="42" s="1"/>
  <c r="BH8" i="10"/>
  <c r="BI39" i="10"/>
  <c r="BH32" i="10"/>
  <c r="BI23" i="10"/>
  <c r="BH16" i="10"/>
  <c r="BI21" i="10"/>
  <c r="BI34" i="10"/>
  <c r="M31" i="16"/>
  <c r="AG28" i="42"/>
  <c r="AH28" i="42" s="1"/>
  <c r="AB4" i="42"/>
  <c r="AA23" i="42"/>
  <c r="AB5" i="42" s="1"/>
  <c r="M27" i="16"/>
  <c r="AG24" i="42"/>
  <c r="AH24" i="42" s="1"/>
  <c r="M33" i="16"/>
  <c r="AG30" i="42"/>
  <c r="AH30" i="42" s="1"/>
  <c r="M35" i="16"/>
  <c r="AG32" i="42"/>
  <c r="AH32" i="42" s="1"/>
  <c r="M36" i="16"/>
  <c r="AG33" i="42"/>
  <c r="AH33" i="42" s="1"/>
  <c r="M32" i="16"/>
  <c r="AG29" i="42"/>
  <c r="AH29" i="42" s="1"/>
  <c r="M29" i="16"/>
  <c r="AG26" i="42"/>
  <c r="AH26" i="42" s="1"/>
  <c r="M30" i="16"/>
  <c r="AG27" i="42"/>
  <c r="AH27" i="42" s="1"/>
  <c r="M34" i="16"/>
  <c r="AG31" i="42"/>
  <c r="AH31" i="42" s="1"/>
  <c r="Z4" i="42"/>
  <c r="Y13" i="42"/>
  <c r="AC17" i="42"/>
  <c r="AD6" i="42" s="1"/>
  <c r="DC229" i="55" l="1"/>
  <c r="AM16" i="54"/>
  <c r="CX30" i="55"/>
  <c r="DC27" i="55"/>
  <c r="DC334" i="55"/>
  <c r="AP16" i="54"/>
  <c r="DC247" i="55"/>
  <c r="CX23" i="55"/>
  <c r="AQ22" i="54"/>
  <c r="DC292" i="55"/>
  <c r="DC14" i="55"/>
  <c r="DC266" i="55"/>
  <c r="BN282" i="55" a="1"/>
  <c r="BN282" i="55" s="1"/>
  <c r="DU282" i="55" s="1"/>
  <c r="DC344" i="55"/>
  <c r="DC56" i="55"/>
  <c r="DC293" i="55"/>
  <c r="DC294" i="55"/>
  <c r="CH210" i="55"/>
  <c r="DC17" i="55"/>
  <c r="DC165" i="55"/>
  <c r="DC248" i="55"/>
  <c r="DC43" i="55"/>
  <c r="DC130" i="55"/>
  <c r="DC225" i="55"/>
  <c r="DC74" i="55"/>
  <c r="DC321" i="55"/>
  <c r="DC54" i="55"/>
  <c r="DC291" i="55"/>
  <c r="DC317" i="55"/>
  <c r="BN156" i="55" a="1"/>
  <c r="BN156" i="55" s="1"/>
  <c r="DU156" i="55" s="1"/>
  <c r="CB87" i="55"/>
  <c r="CC87" i="55" s="1"/>
  <c r="BH18" i="10"/>
  <c r="CB334" i="55"/>
  <c r="CC334" i="55" s="1"/>
  <c r="CH334" i="55" s="1"/>
  <c r="CB83" i="55"/>
  <c r="CC83" i="55" s="1"/>
  <c r="CH83" i="55" s="1"/>
  <c r="CB348" i="55"/>
  <c r="CC348" i="55" s="1"/>
  <c r="CH348" i="55" s="1"/>
  <c r="BI15" i="10"/>
  <c r="DC210" i="55"/>
  <c r="BN350" i="55" a="1"/>
  <c r="BN350" i="55" s="1"/>
  <c r="DU350" i="55" s="1"/>
  <c r="BN118" i="55" a="1"/>
  <c r="BN118" i="55" s="1"/>
  <c r="DU118" i="55" s="1"/>
  <c r="BH7" i="10"/>
  <c r="BN347" i="55" a="1"/>
  <c r="BN347" i="55" s="1"/>
  <c r="DU347" i="55" s="1"/>
  <c r="CB335" i="55"/>
  <c r="CC335" i="55" s="1"/>
  <c r="CH335" i="55" s="1"/>
  <c r="DS335" i="55" s="1"/>
  <c r="CB274" i="55"/>
  <c r="CC274" i="55" s="1"/>
  <c r="CH274" i="55" s="1"/>
  <c r="DC296" i="55"/>
  <c r="CX102" i="55"/>
  <c r="CA143" i="55"/>
  <c r="CB143" i="55" s="1"/>
  <c r="CC143" i="55" s="1"/>
  <c r="CH143" i="55" s="1"/>
  <c r="DS143" i="55" s="1"/>
  <c r="CX143" i="55"/>
  <c r="CB286" i="55"/>
  <c r="CC286" i="55" s="1"/>
  <c r="BN133" i="55" a="1"/>
  <c r="BN133" i="55" s="1"/>
  <c r="CB165" i="55"/>
  <c r="CC165" i="55" s="1"/>
  <c r="BI27" i="10"/>
  <c r="CB53" i="55"/>
  <c r="CC53" i="55" s="1"/>
  <c r="CX133" i="55"/>
  <c r="BH38" i="10"/>
  <c r="BN300" i="55" a="1"/>
  <c r="BN300" i="55" s="1"/>
  <c r="DU300" i="55" s="1"/>
  <c r="CX248" i="55"/>
  <c r="CX123" i="55"/>
  <c r="BN104" i="55" a="1"/>
  <c r="BN104" i="55" s="1"/>
  <c r="CB104" i="55" s="1"/>
  <c r="CC104" i="55" s="1"/>
  <c r="CX180" i="55"/>
  <c r="CA251" i="55"/>
  <c r="CX132" i="55"/>
  <c r="CB282" i="55"/>
  <c r="CC282" i="55" s="1"/>
  <c r="BN219" i="55" a="1"/>
  <c r="BN219" i="55" s="1"/>
  <c r="CB219" i="55" s="1"/>
  <c r="CC219" i="55" s="1"/>
  <c r="CH219" i="55" s="1"/>
  <c r="CX300" i="55"/>
  <c r="CB351" i="55"/>
  <c r="CC351" i="55" s="1"/>
  <c r="CX135" i="55"/>
  <c r="CX288" i="55"/>
  <c r="BH20" i="10"/>
  <c r="CB108" i="55"/>
  <c r="CC108" i="55" s="1"/>
  <c r="CH108" i="55" s="1"/>
  <c r="CX28" i="55"/>
  <c r="CX99" i="55"/>
  <c r="BN88" i="55" a="1"/>
  <c r="BN88" i="55" s="1"/>
  <c r="DU88" i="55" s="1"/>
  <c r="CH63" i="55"/>
  <c r="EX63" i="55" s="1"/>
  <c r="BN28" i="55" a="1"/>
  <c r="BN28" i="55" s="1"/>
  <c r="BO28" i="55" s="1"/>
  <c r="BS28" i="55" s="1" a="1"/>
  <c r="BS28" i="55" s="1"/>
  <c r="EB28" i="55" s="1"/>
  <c r="BN251" i="55" a="1"/>
  <c r="BN251" i="55" s="1"/>
  <c r="DU251" i="55" s="1"/>
  <c r="CB181" i="55"/>
  <c r="CC181" i="55" s="1"/>
  <c r="CH181" i="55" s="1"/>
  <c r="EX181" i="55" s="1"/>
  <c r="BN163" i="55" a="1"/>
  <c r="BN163" i="55" s="1"/>
  <c r="DU163" i="55" s="1"/>
  <c r="CA178" i="55"/>
  <c r="CB178" i="55" s="1"/>
  <c r="CC178" i="55" s="1"/>
  <c r="CH178" i="55" s="1"/>
  <c r="AQ25" i="54"/>
  <c r="CX3" i="55"/>
  <c r="CB315" i="55"/>
  <c r="CC315" i="55" s="1"/>
  <c r="CH315" i="55" s="1"/>
  <c r="AN25" i="54"/>
  <c r="BO198" i="55"/>
  <c r="BN3" i="55" a="1"/>
  <c r="BN3" i="55" s="1"/>
  <c r="BN143" i="55" a="1"/>
  <c r="BN143" i="55" s="1"/>
  <c r="BI7" i="10"/>
  <c r="BK7" i="10" s="1"/>
  <c r="BN7" i="10" s="1"/>
  <c r="BO192" i="55"/>
  <c r="CB201" i="55"/>
  <c r="CC201" i="55" s="1"/>
  <c r="CH201" i="55" s="1"/>
  <c r="BN304" i="55" a="1"/>
  <c r="BN304" i="55" s="1"/>
  <c r="CA31" i="55"/>
  <c r="BN31" i="55" a="1"/>
  <c r="BN31" i="55" s="1"/>
  <c r="DU31" i="55" s="1"/>
  <c r="CX31" i="55"/>
  <c r="BI5" i="10"/>
  <c r="BM5" i="10" s="1"/>
  <c r="AQ21" i="54"/>
  <c r="CB92" i="55"/>
  <c r="CC92" i="55" s="1"/>
  <c r="BN178" i="55" a="1"/>
  <c r="BN178" i="55" s="1"/>
  <c r="DU178" i="55" s="1"/>
  <c r="BH22" i="10"/>
  <c r="CX190" i="55"/>
  <c r="DC213" i="55"/>
  <c r="CX22" i="55"/>
  <c r="CB333" i="55"/>
  <c r="CC333" i="55" s="1"/>
  <c r="AP25" i="54"/>
  <c r="DC61" i="55"/>
  <c r="BN243" i="55" a="1"/>
  <c r="BN243" i="55" s="1"/>
  <c r="DU243" i="55" s="1"/>
  <c r="BN288" i="55" a="1"/>
  <c r="BN288" i="55" s="1"/>
  <c r="DU288" i="55" s="1"/>
  <c r="CB324" i="55"/>
  <c r="CC324" i="55" s="1"/>
  <c r="CH324" i="55" s="1"/>
  <c r="AJ25" i="54"/>
  <c r="BI14" i="10"/>
  <c r="BL14" i="10" s="1"/>
  <c r="DC219" i="55"/>
  <c r="CX124" i="55"/>
  <c r="CA22" i="55"/>
  <c r="CB22" i="55" s="1"/>
  <c r="CC22" i="55" s="1"/>
  <c r="CH22" i="55" s="1"/>
  <c r="EX22" i="55" s="1"/>
  <c r="DC156" i="55"/>
  <c r="BN27" i="55" a="1"/>
  <c r="BN27" i="55" s="1"/>
  <c r="CB56" i="55"/>
  <c r="CC56" i="55" s="1"/>
  <c r="BN99" i="55" a="1"/>
  <c r="BN99" i="55" s="1"/>
  <c r="DU99" i="55" s="1"/>
  <c r="AN12" i="54"/>
  <c r="DC163" i="55"/>
  <c r="DC52" i="55"/>
  <c r="DC328" i="55"/>
  <c r="AL15" i="54"/>
  <c r="EX256" i="55"/>
  <c r="GR256" i="55" s="1"/>
  <c r="GX256" i="55" s="1"/>
  <c r="DS256" i="55"/>
  <c r="DC315" i="55"/>
  <c r="CB69" i="55"/>
  <c r="CC69" i="55" s="1"/>
  <c r="DS235" i="55"/>
  <c r="GR235" i="55" s="1"/>
  <c r="GX235" i="55" s="1"/>
  <c r="CY19" i="55"/>
  <c r="CZ18" i="55"/>
  <c r="AK21" i="54"/>
  <c r="CX93" i="55"/>
  <c r="CB77" i="55"/>
  <c r="CC77" i="55" s="1"/>
  <c r="DC203" i="55"/>
  <c r="CH123" i="55"/>
  <c r="EX123" i="55" s="1"/>
  <c r="CY321" i="55"/>
  <c r="CZ320" i="55"/>
  <c r="CI225" i="55"/>
  <c r="CJ225" i="55"/>
  <c r="CY106" i="55"/>
  <c r="CZ105" i="55"/>
  <c r="BN93" i="55" a="1"/>
  <c r="BN93" i="55" s="1"/>
  <c r="DU93" i="55" s="1"/>
  <c r="CX100" i="55"/>
  <c r="BO271" i="55"/>
  <c r="CY227" i="55"/>
  <c r="CZ226" i="55"/>
  <c r="CX170" i="55"/>
  <c r="CI299" i="55"/>
  <c r="CJ299" i="55"/>
  <c r="DC125" i="55"/>
  <c r="BN190" i="55" a="1"/>
  <c r="BN190" i="55" s="1"/>
  <c r="DU190" i="55" s="1"/>
  <c r="DC257" i="55"/>
  <c r="DC258" i="55"/>
  <c r="DC92" i="55"/>
  <c r="DC5" i="55"/>
  <c r="BO237" i="55"/>
  <c r="DC76" i="55"/>
  <c r="DC139" i="55"/>
  <c r="DC263" i="55"/>
  <c r="DC252" i="55"/>
  <c r="DC204" i="55"/>
  <c r="CB57" i="55"/>
  <c r="CC57" i="55" s="1"/>
  <c r="CH57" i="55" s="1"/>
  <c r="CB169" i="55"/>
  <c r="CC169" i="55" s="1"/>
  <c r="CH169" i="55" s="1"/>
  <c r="BN153" i="55" a="1"/>
  <c r="BN153" i="55" s="1"/>
  <c r="DU153" i="55" s="1"/>
  <c r="BN55" i="55" a="1"/>
  <c r="BN55" i="55" s="1"/>
  <c r="CB171" i="55"/>
  <c r="CC171" i="55" s="1"/>
  <c r="CH171" i="55" s="1"/>
  <c r="CB128" i="55"/>
  <c r="CC128" i="55" s="1"/>
  <c r="CH128" i="55" s="1"/>
  <c r="CB85" i="55"/>
  <c r="CC85" i="55" s="1"/>
  <c r="CZ285" i="55"/>
  <c r="CY286" i="55"/>
  <c r="DC24" i="55"/>
  <c r="DC168" i="55"/>
  <c r="DC34" i="55"/>
  <c r="DC116" i="55"/>
  <c r="BN170" i="55" a="1"/>
  <c r="BN170" i="55" s="1"/>
  <c r="DU170" i="55" s="1"/>
  <c r="CX323" i="55"/>
  <c r="DC140" i="55"/>
  <c r="CB113" i="55"/>
  <c r="CC113" i="55" s="1"/>
  <c r="DC310" i="55"/>
  <c r="DC232" i="55"/>
  <c r="DC89" i="55"/>
  <c r="DC35" i="55"/>
  <c r="DC190" i="55"/>
  <c r="DC311" i="55"/>
  <c r="CA175" i="55"/>
  <c r="BN175" i="55" a="1"/>
  <c r="BN175" i="55" s="1"/>
  <c r="DU175" i="55" s="1"/>
  <c r="CX175" i="55"/>
  <c r="CZ55" i="55"/>
  <c r="CY56" i="55"/>
  <c r="AK26" i="54"/>
  <c r="AK12" i="54"/>
  <c r="CX215" i="55"/>
  <c r="AL13" i="54"/>
  <c r="DC339" i="55"/>
  <c r="CI120" i="55"/>
  <c r="CJ120" i="55"/>
  <c r="DC75" i="55"/>
  <c r="AN16" i="54"/>
  <c r="DC306" i="55"/>
  <c r="DU237" i="55"/>
  <c r="AJ22" i="54"/>
  <c r="CH233" i="55"/>
  <c r="EX233" i="55" s="1"/>
  <c r="DC226" i="55"/>
  <c r="AL11" i="54"/>
  <c r="CX268" i="55"/>
  <c r="CB118" i="55"/>
  <c r="CC118" i="55" s="1"/>
  <c r="CH118" i="55" s="1"/>
  <c r="AM12" i="54"/>
  <c r="CH245" i="55"/>
  <c r="EX245" i="55" s="1"/>
  <c r="DC107" i="55"/>
  <c r="CB94" i="55"/>
  <c r="CC94" i="55" s="1"/>
  <c r="CH94" i="55" s="1"/>
  <c r="DC28" i="55"/>
  <c r="CB271" i="55"/>
  <c r="CC271" i="55" s="1"/>
  <c r="CB349" i="55"/>
  <c r="CC349" i="55" s="1"/>
  <c r="CH349" i="55" s="1"/>
  <c r="DC323" i="55"/>
  <c r="BN232" i="55" a="1"/>
  <c r="BN232" i="55" s="1"/>
  <c r="CB232" i="55" s="1"/>
  <c r="CC232" i="55" s="1"/>
  <c r="CH232" i="55" s="1"/>
  <c r="DC318" i="55"/>
  <c r="AQ13" i="54"/>
  <c r="CZ93" i="55"/>
  <c r="DC279" i="55"/>
  <c r="BI25" i="10"/>
  <c r="BK25" i="10" s="1"/>
  <c r="BN25" i="10" s="1"/>
  <c r="AJ14" i="54"/>
  <c r="CA50" i="55"/>
  <c r="BN23" i="55" a="1"/>
  <c r="BN23" i="55" s="1"/>
  <c r="CB23" i="55" s="1"/>
  <c r="CC23" i="55" s="1"/>
  <c r="DC253" i="55"/>
  <c r="EK6" i="55"/>
  <c r="FF6" i="55" s="1"/>
  <c r="CB79" i="55"/>
  <c r="CC79" i="55" s="1"/>
  <c r="CH79" i="55" s="1"/>
  <c r="DC212" i="55"/>
  <c r="CB120" i="55"/>
  <c r="CC120" i="55" s="1"/>
  <c r="CH120" i="55" s="1"/>
  <c r="CX263" i="55"/>
  <c r="CB221" i="55"/>
  <c r="CC221" i="55" s="1"/>
  <c r="CH221" i="55" s="1"/>
  <c r="CX50" i="55"/>
  <c r="AL25" i="54"/>
  <c r="DC231" i="55"/>
  <c r="DC93" i="55"/>
  <c r="BH35" i="10"/>
  <c r="DC286" i="55"/>
  <c r="BN107" i="55" a="1"/>
  <c r="BN107" i="55" s="1"/>
  <c r="DU107" i="55" s="1"/>
  <c r="CB196" i="55"/>
  <c r="CC196" i="55" s="1"/>
  <c r="CH196" i="55" s="1"/>
  <c r="DS196" i="55" s="1"/>
  <c r="CX103" i="55"/>
  <c r="DC268" i="55"/>
  <c r="DC222" i="55"/>
  <c r="DC200" i="55"/>
  <c r="BN227" i="55" a="1"/>
  <c r="BN227" i="55" s="1"/>
  <c r="CB227" i="55" s="1"/>
  <c r="CC227" i="55" s="1"/>
  <c r="CH227" i="55" s="1"/>
  <c r="EX227" i="55" s="1"/>
  <c r="CB139" i="55"/>
  <c r="CC139" i="55" s="1"/>
  <c r="DC78" i="55"/>
  <c r="DC167" i="55"/>
  <c r="DC254" i="55"/>
  <c r="BN263" i="55" a="1"/>
  <c r="BN263" i="55" s="1"/>
  <c r="BO263" i="55" s="1"/>
  <c r="BN100" i="55" a="1"/>
  <c r="BN100" i="55" s="1"/>
  <c r="DU100" i="55" s="1"/>
  <c r="CZ92" i="55"/>
  <c r="CB175" i="55"/>
  <c r="CC175" i="55" s="1"/>
  <c r="CH175" i="55" s="1"/>
  <c r="DG5" i="55"/>
  <c r="DH5" i="55" s="1"/>
  <c r="DJ5" i="55" s="1" a="1"/>
  <c r="DJ5" i="55" s="1"/>
  <c r="DN5" i="55" s="1"/>
  <c r="CI178" i="55"/>
  <c r="CJ178" i="55"/>
  <c r="DC320" i="55"/>
  <c r="DU207" i="55"/>
  <c r="BO207" i="55"/>
  <c r="BN215" i="55" a="1"/>
  <c r="BN215" i="55" s="1"/>
  <c r="DU215" i="55" s="1"/>
  <c r="BI35" i="10"/>
  <c r="BJ35" i="10" s="1"/>
  <c r="DC277" i="55"/>
  <c r="CX295" i="55"/>
  <c r="DC347" i="55"/>
  <c r="DC308" i="55"/>
  <c r="CB59" i="55"/>
  <c r="CC59" i="55" s="1"/>
  <c r="CH59" i="55" s="1"/>
  <c r="DC166" i="55"/>
  <c r="DC172" i="55"/>
  <c r="AJ23" i="54"/>
  <c r="DC242" i="55"/>
  <c r="CX260" i="55"/>
  <c r="FE5" i="55"/>
  <c r="FI5" i="55" s="1"/>
  <c r="DU256" i="55"/>
  <c r="BO256" i="55"/>
  <c r="CI279" i="55"/>
  <c r="CJ279" i="55"/>
  <c r="CB331" i="55"/>
  <c r="CC331" i="55" s="1"/>
  <c r="CH331" i="55" s="1"/>
  <c r="CX310" i="55"/>
  <c r="DC64" i="55"/>
  <c r="AM15" i="54"/>
  <c r="AQ14" i="54"/>
  <c r="BH6" i="10"/>
  <c r="DC181" i="55"/>
  <c r="DC235" i="55"/>
  <c r="CX282" i="55"/>
  <c r="AM22" i="54"/>
  <c r="CB102" i="55"/>
  <c r="CC102" i="55" s="1"/>
  <c r="CH102" i="55" s="1"/>
  <c r="EX102" i="55" s="1"/>
  <c r="EZ102" i="55" s="1"/>
  <c r="AP14" i="54"/>
  <c r="CH37" i="55"/>
  <c r="EX37" i="55" s="1"/>
  <c r="DC26" i="55"/>
  <c r="DC138" i="55"/>
  <c r="DC88" i="55"/>
  <c r="CX54" i="55"/>
  <c r="FG5" i="55"/>
  <c r="BI14" i="54"/>
  <c r="BJ14" i="54" s="1"/>
  <c r="BM14" i="54"/>
  <c r="BN14" i="54" s="1"/>
  <c r="BG14" i="54"/>
  <c r="AF14" i="54" a="1"/>
  <c r="AF14" i="54" s="1"/>
  <c r="BG12" i="54"/>
  <c r="BI12" i="54"/>
  <c r="BJ12" i="54" s="1"/>
  <c r="BM12" i="54"/>
  <c r="BN12" i="54" s="1"/>
  <c r="AF12" i="54" a="1"/>
  <c r="AF12" i="54" s="1"/>
  <c r="CH165" i="55"/>
  <c r="BG13" i="54"/>
  <c r="BM13" i="54"/>
  <c r="BN13" i="54" s="1"/>
  <c r="BI13" i="54"/>
  <c r="BJ13" i="54" s="1"/>
  <c r="AF13" i="54" a="1"/>
  <c r="AF13" i="54" s="1"/>
  <c r="BG19" i="54"/>
  <c r="BM19" i="54"/>
  <c r="BN19" i="54" s="1"/>
  <c r="BI19" i="54"/>
  <c r="BJ19" i="54" s="1"/>
  <c r="AF19" i="54" a="1"/>
  <c r="AF19" i="54" s="1"/>
  <c r="CH69" i="55"/>
  <c r="BI22" i="54"/>
  <c r="BJ22" i="54" s="1"/>
  <c r="BM22" i="54"/>
  <c r="BN22" i="54" s="1"/>
  <c r="BG22" i="54"/>
  <c r="AF22" i="54" a="1"/>
  <c r="AF22" i="54" s="1"/>
  <c r="EX73" i="55"/>
  <c r="DS73" i="55"/>
  <c r="BM21" i="54"/>
  <c r="BN21" i="54" s="1"/>
  <c r="BG21" i="54"/>
  <c r="AF21" i="54" a="1"/>
  <c r="AF21" i="54" s="1"/>
  <c r="BI21" i="54"/>
  <c r="BJ21" i="54" s="1"/>
  <c r="EX135" i="55"/>
  <c r="DS135" i="55"/>
  <c r="CA182" i="55"/>
  <c r="CX182" i="55"/>
  <c r="CA34" i="55"/>
  <c r="BN34" i="55" a="1"/>
  <c r="BN34" i="55" s="1"/>
  <c r="CX34" i="55"/>
  <c r="CB34" i="55"/>
  <c r="CC34" i="55" s="1"/>
  <c r="CA249" i="55"/>
  <c r="BN249" i="55" a="1"/>
  <c r="BN249" i="55" s="1"/>
  <c r="CX249" i="55"/>
  <c r="FF32" i="55"/>
  <c r="FE32" i="55"/>
  <c r="FI32" i="55" s="1"/>
  <c r="FD32" i="55"/>
  <c r="FG32" i="55"/>
  <c r="DG32" i="55"/>
  <c r="DH32" i="55" s="1"/>
  <c r="DJ32" i="55" s="1" a="1"/>
  <c r="DJ32" i="55" s="1"/>
  <c r="EL32" i="55"/>
  <c r="EM32" i="55" s="1"/>
  <c r="EK33" i="55"/>
  <c r="BM11" i="54"/>
  <c r="BN11" i="54" s="1"/>
  <c r="BG11" i="54"/>
  <c r="AF11" i="54" a="1"/>
  <c r="AF11" i="54" s="1"/>
  <c r="BI11" i="54"/>
  <c r="BJ11" i="54" s="1"/>
  <c r="DK330" i="55"/>
  <c r="DN330" i="55"/>
  <c r="BQ24" i="54" s="1"/>
  <c r="CY29" i="55"/>
  <c r="CY30" i="55" s="1"/>
  <c r="CZ28" i="55"/>
  <c r="CA89" i="55"/>
  <c r="BN89" i="55" a="1"/>
  <c r="BN89" i="55" s="1"/>
  <c r="DU89" i="55" s="1"/>
  <c r="DU133" i="55"/>
  <c r="BO133" i="55"/>
  <c r="CB133" i="55"/>
  <c r="CC133" i="55" s="1"/>
  <c r="CA127" i="55"/>
  <c r="BN127" i="55" a="1"/>
  <c r="BN127" i="55" s="1"/>
  <c r="DU127" i="55" s="1"/>
  <c r="CX127" i="55"/>
  <c r="CB127" i="55"/>
  <c r="CC127" i="55" s="1"/>
  <c r="CH127" i="55" s="1"/>
  <c r="DK31" i="55"/>
  <c r="DN31" i="55"/>
  <c r="CA240" i="55"/>
  <c r="BN240" i="55" a="1"/>
  <c r="BN240" i="55" s="1"/>
  <c r="CX240" i="55"/>
  <c r="FC130" i="55"/>
  <c r="FA130" i="55"/>
  <c r="GB130" i="55" s="1"/>
  <c r="EW130" i="55"/>
  <c r="DU67" i="55"/>
  <c r="CB67" i="55"/>
  <c r="CC67" i="55" s="1"/>
  <c r="DN102" i="55"/>
  <c r="DK102" i="55"/>
  <c r="DU236" i="55"/>
  <c r="BO236" i="55"/>
  <c r="CH113" i="55"/>
  <c r="DN335" i="55"/>
  <c r="DK335" i="55"/>
  <c r="CA64" i="55"/>
  <c r="CB64" i="55" s="1"/>
  <c r="CC64" i="55" s="1"/>
  <c r="BN64" i="55" a="1"/>
  <c r="BN64" i="55" s="1"/>
  <c r="DU64" i="55" s="1"/>
  <c r="CX64" i="55"/>
  <c r="BI18" i="54"/>
  <c r="BJ18" i="54" s="1"/>
  <c r="AF18" i="54" a="1"/>
  <c r="AF18" i="54" s="1"/>
  <c r="BM18" i="54"/>
  <c r="BN18" i="54" s="1"/>
  <c r="BG18" i="54"/>
  <c r="CI119" i="55"/>
  <c r="CJ119" i="55"/>
  <c r="CB119" i="55"/>
  <c r="CC119" i="55" s="1"/>
  <c r="CH119" i="55" s="1"/>
  <c r="EX112" i="55"/>
  <c r="DS112" i="55"/>
  <c r="CH319" i="55"/>
  <c r="CH214" i="55"/>
  <c r="CH286" i="55"/>
  <c r="CA266" i="55"/>
  <c r="BN266" i="55" a="1"/>
  <c r="BN266" i="55" s="1"/>
  <c r="CX266" i="55"/>
  <c r="CA236" i="55"/>
  <c r="CB236" i="55"/>
  <c r="CC236" i="55" s="1"/>
  <c r="CX236" i="55"/>
  <c r="CH62" i="55"/>
  <c r="AM23" i="54"/>
  <c r="CH271" i="55"/>
  <c r="DU187" i="55"/>
  <c r="BO187" i="55"/>
  <c r="CB187" i="55"/>
  <c r="CC187" i="55" s="1"/>
  <c r="CH87" i="55"/>
  <c r="CI288" i="55"/>
  <c r="CJ288" i="55"/>
  <c r="CA258" i="55"/>
  <c r="BN258" i="55" a="1"/>
  <c r="BN258" i="55" s="1"/>
  <c r="CX258" i="55"/>
  <c r="EX342" i="55"/>
  <c r="DS342" i="55"/>
  <c r="CA66" i="55"/>
  <c r="BN66" i="55" a="1"/>
  <c r="BN66" i="55" s="1"/>
  <c r="DU66" i="55" s="1"/>
  <c r="CX66" i="55"/>
  <c r="CH85" i="55"/>
  <c r="CH301" i="55"/>
  <c r="DU91" i="55"/>
  <c r="CB91" i="55"/>
  <c r="CC91" i="55" s="1"/>
  <c r="CH173" i="55"/>
  <c r="GY313" i="55"/>
  <c r="GX313" i="55"/>
  <c r="GR313" i="55"/>
  <c r="GS313" i="55" s="1"/>
  <c r="EY313" i="55"/>
  <c r="FN313" i="55" s="1"/>
  <c r="FO313" i="55" s="1"/>
  <c r="CA195" i="55"/>
  <c r="CX195" i="55"/>
  <c r="BN195" i="55" a="1"/>
  <c r="BN195" i="55" s="1"/>
  <c r="CI247" i="55"/>
  <c r="CJ247" i="55"/>
  <c r="CA86" i="55"/>
  <c r="BN86" i="55" a="1"/>
  <c r="BN86" i="55" s="1"/>
  <c r="DU86" i="55" s="1"/>
  <c r="CX86" i="55"/>
  <c r="CY96" i="55"/>
  <c r="CZ95" i="55"/>
  <c r="CA4" i="55"/>
  <c r="BN4" i="55" a="1"/>
  <c r="BN4" i="55" s="1"/>
  <c r="CA222" i="55"/>
  <c r="BN222" i="55" a="1"/>
  <c r="BN222" i="55" s="1"/>
  <c r="DU222" i="55" s="1"/>
  <c r="CX222" i="55"/>
  <c r="AN14" i="54"/>
  <c r="CH139" i="55"/>
  <c r="CA106" i="55"/>
  <c r="BN106" i="55" a="1"/>
  <c r="BN106" i="55" s="1"/>
  <c r="DU106" i="55" s="1"/>
  <c r="DC290" i="55"/>
  <c r="AK18" i="54"/>
  <c r="AP13" i="54"/>
  <c r="EX197" i="55"/>
  <c r="DS197" i="55"/>
  <c r="CA41" i="55"/>
  <c r="BN41" i="55" a="1"/>
  <c r="BN41" i="55" s="1"/>
  <c r="CX41" i="55"/>
  <c r="CA267" i="55"/>
  <c r="BN267" i="55" a="1"/>
  <c r="BN267" i="55" s="1"/>
  <c r="CX267" i="55"/>
  <c r="BM10" i="54"/>
  <c r="BN10" i="54" s="1"/>
  <c r="BG10" i="54"/>
  <c r="AF10" i="54" a="1"/>
  <c r="AF10" i="54" s="1"/>
  <c r="BI10" i="54"/>
  <c r="BJ10" i="54" s="1"/>
  <c r="C4" i="60"/>
  <c r="CA189" i="55"/>
  <c r="CB189" i="55" s="1"/>
  <c r="CC189" i="55" s="1"/>
  <c r="BN189" i="55" a="1"/>
  <c r="BN189" i="55" s="1"/>
  <c r="DU297" i="55"/>
  <c r="CB297" i="55"/>
  <c r="CC297" i="55" s="1"/>
  <c r="DC126" i="55"/>
  <c r="CA98" i="55"/>
  <c r="BN98" i="55" a="1"/>
  <c r="BN98" i="55" s="1"/>
  <c r="DU98" i="55" s="1"/>
  <c r="CX98" i="55"/>
  <c r="BG16" i="54"/>
  <c r="BM16" i="54"/>
  <c r="BN16" i="54" s="1"/>
  <c r="BI16" i="54"/>
  <c r="BJ16" i="54" s="1"/>
  <c r="AF16" i="54" a="1"/>
  <c r="AF16" i="54" s="1"/>
  <c r="EX201" i="55"/>
  <c r="DS201" i="55"/>
  <c r="CZ344" i="55"/>
  <c r="CY345" i="55"/>
  <c r="DN336" i="55"/>
  <c r="DK336" i="55"/>
  <c r="CH277" i="55"/>
  <c r="CA292" i="55"/>
  <c r="CX292" i="55"/>
  <c r="DU309" i="55"/>
  <c r="CB309" i="55"/>
  <c r="CC309" i="55" s="1"/>
  <c r="BN182" i="55" a="1"/>
  <c r="BN182" i="55" s="1"/>
  <c r="DU182" i="55" s="1"/>
  <c r="BD3" i="40" a="1"/>
  <c r="BD3" i="40" s="1"/>
  <c r="CY328" i="55"/>
  <c r="CZ327" i="55"/>
  <c r="DU145" i="55"/>
  <c r="BO145" i="55"/>
  <c r="CB145" i="55"/>
  <c r="CC145" i="55" s="1"/>
  <c r="BI19" i="10"/>
  <c r="BH26" i="10"/>
  <c r="BH36" i="10"/>
  <c r="BI29" i="10"/>
  <c r="BK29" i="10" s="1"/>
  <c r="BN29" i="10" s="1"/>
  <c r="BI9" i="10"/>
  <c r="BL9" i="10" s="1"/>
  <c r="BI24" i="10"/>
  <c r="BJ24" i="10" s="1"/>
  <c r="BH29" i="10"/>
  <c r="BI28" i="10"/>
  <c r="BK28" i="10" s="1"/>
  <c r="BN28" i="10" s="1"/>
  <c r="BI12" i="10"/>
  <c r="BM12" i="10" s="1"/>
  <c r="BI26" i="10"/>
  <c r="BK26" i="10" s="1"/>
  <c r="BN26" i="10" s="1"/>
  <c r="BH12" i="10"/>
  <c r="BH21" i="10"/>
  <c r="BH17" i="10"/>
  <c r="BH24" i="10"/>
  <c r="BH9" i="10"/>
  <c r="BH5" i="10"/>
  <c r="BI32" i="10"/>
  <c r="BH39" i="10"/>
  <c r="BI17" i="10"/>
  <c r="BH27" i="10"/>
  <c r="BI20" i="10"/>
  <c r="BM20" i="10" s="1"/>
  <c r="BH25" i="10"/>
  <c r="BI30" i="10"/>
  <c r="BK30" i="10" s="1"/>
  <c r="BN30" i="10" s="1"/>
  <c r="BH15" i="10"/>
  <c r="BI31" i="10"/>
  <c r="BK31" i="10" s="1"/>
  <c r="BN31" i="10" s="1"/>
  <c r="BH19" i="10"/>
  <c r="BI16" i="10"/>
  <c r="BK16" i="10" s="1"/>
  <c r="BN16" i="10" s="1"/>
  <c r="BI33" i="10"/>
  <c r="BM33" i="10" s="1"/>
  <c r="BI38" i="10"/>
  <c r="BK38" i="10" s="1"/>
  <c r="BN38" i="10" s="1"/>
  <c r="BH23" i="10"/>
  <c r="AL20" i="54"/>
  <c r="DC299" i="55"/>
  <c r="DC100" i="55"/>
  <c r="BN154" i="55" a="1"/>
  <c r="BN154" i="55" s="1"/>
  <c r="DU154" i="55" s="1"/>
  <c r="AJ19" i="54"/>
  <c r="AJ20" i="54"/>
  <c r="CA84" i="55"/>
  <c r="BN84" i="55" a="1"/>
  <c r="BN84" i="55" s="1"/>
  <c r="DU84" i="55" s="1"/>
  <c r="CA327" i="55"/>
  <c r="BN327" i="55" a="1"/>
  <c r="BN327" i="55" s="1"/>
  <c r="DU327" i="55" s="1"/>
  <c r="CX327" i="55"/>
  <c r="CA148" i="55"/>
  <c r="BN148" i="55" a="1"/>
  <c r="BN148" i="55" s="1"/>
  <c r="DU269" i="55"/>
  <c r="BO269" i="55"/>
  <c r="CA129" i="55"/>
  <c r="BN129" i="55" a="1"/>
  <c r="BN129" i="55" s="1"/>
  <c r="DU129" i="55" s="1"/>
  <c r="CB269" i="55"/>
  <c r="CC269" i="55" s="1"/>
  <c r="CA224" i="55"/>
  <c r="BN224" i="55" a="1"/>
  <c r="BN224" i="55" s="1"/>
  <c r="DU224" i="55" s="1"/>
  <c r="FC337" i="55"/>
  <c r="FA337" i="55"/>
  <c r="GB337" i="55" s="1"/>
  <c r="CH56" i="55"/>
  <c r="AL16" i="54"/>
  <c r="CA24" i="55"/>
  <c r="CB24" i="55" s="1"/>
  <c r="CC24" i="55" s="1"/>
  <c r="CX24" i="55"/>
  <c r="EX303" i="55"/>
  <c r="DS303" i="55"/>
  <c r="EX221" i="55"/>
  <c r="DS221" i="55"/>
  <c r="CA186" i="55"/>
  <c r="CB186" i="55" s="1"/>
  <c r="CC186" i="55" s="1"/>
  <c r="CH186" i="55" s="1"/>
  <c r="CX186" i="55"/>
  <c r="CH45" i="55"/>
  <c r="CA202" i="55"/>
  <c r="BN202" i="55" a="1"/>
  <c r="BN202" i="55" s="1"/>
  <c r="CX202" i="55"/>
  <c r="CA130" i="55"/>
  <c r="BN130" i="55" a="1"/>
  <c r="BN130" i="55" s="1"/>
  <c r="DU130" i="55" s="1"/>
  <c r="CX130" i="55"/>
  <c r="CA313" i="55"/>
  <c r="CB313" i="55" s="1"/>
  <c r="CC313" i="55" s="1"/>
  <c r="CX313" i="55"/>
  <c r="CI42" i="55"/>
  <c r="CB42" i="55"/>
  <c r="CC42" i="55" s="1"/>
  <c r="CJ42" i="55"/>
  <c r="DC7" i="55"/>
  <c r="CA144" i="55"/>
  <c r="BN144" i="55" a="1"/>
  <c r="BN144" i="55" s="1"/>
  <c r="CX144" i="55"/>
  <c r="BI25" i="54"/>
  <c r="BJ25" i="54" s="1"/>
  <c r="BM25" i="54"/>
  <c r="BN25" i="54" s="1"/>
  <c r="AF25" i="54" a="1"/>
  <c r="AF25" i="54" s="1"/>
  <c r="BG25" i="54"/>
  <c r="BH10" i="10"/>
  <c r="FX184" i="55" a="1"/>
  <c r="FX184" i="55" s="1"/>
  <c r="FY184" i="55" s="1"/>
  <c r="FV184" i="55" a="1"/>
  <c r="FV184" i="55" s="1"/>
  <c r="FW184" i="55" s="1"/>
  <c r="FZ184" i="55" a="1"/>
  <c r="FZ184" i="55" s="1"/>
  <c r="GA184" i="55" s="1"/>
  <c r="FT184" i="55" a="1"/>
  <c r="FT184" i="55" s="1"/>
  <c r="FU184" i="55" s="1"/>
  <c r="FR184" i="55" a="1"/>
  <c r="FR184" i="55" s="1"/>
  <c r="FS184" i="55" s="1"/>
  <c r="FP184" i="55" a="1"/>
  <c r="FP184" i="55" s="1"/>
  <c r="FQ184" i="55" s="1"/>
  <c r="BI18" i="10"/>
  <c r="BM18" i="10" s="1"/>
  <c r="BI37" i="10"/>
  <c r="BK37" i="10" s="1"/>
  <c r="BN37" i="10" s="1"/>
  <c r="CA226" i="55"/>
  <c r="CB226" i="55" s="1"/>
  <c r="CC226" i="55" s="1"/>
  <c r="CX226" i="55"/>
  <c r="BN226" i="55" a="1"/>
  <c r="BN226" i="55" s="1"/>
  <c r="CA110" i="55"/>
  <c r="CX110" i="55"/>
  <c r="AK19" i="54"/>
  <c r="CI332" i="55"/>
  <c r="CJ332" i="55"/>
  <c r="CB332" i="55"/>
  <c r="CC332" i="55" s="1"/>
  <c r="CH332" i="55" s="1"/>
  <c r="EX27" i="55"/>
  <c r="DS27" i="55"/>
  <c r="AQ15" i="54"/>
  <c r="CA36" i="55"/>
  <c r="CX36" i="55"/>
  <c r="BN36" i="55" a="1"/>
  <c r="BN36" i="55" s="1"/>
  <c r="CB36" i="55"/>
  <c r="CC36" i="55" s="1"/>
  <c r="CH4" i="55"/>
  <c r="O5" i="59" a="1"/>
  <c r="O5" i="59" s="1"/>
  <c r="CA142" i="55"/>
  <c r="BN142" i="55" a="1"/>
  <c r="BN142" i="55" s="1"/>
  <c r="CX142" i="55"/>
  <c r="CA76" i="55"/>
  <c r="CB76" i="55" s="1"/>
  <c r="CC76" i="55" s="1"/>
  <c r="BN76" i="55" a="1"/>
  <c r="BN76" i="55" s="1"/>
  <c r="DU76" i="55" s="1"/>
  <c r="CX76" i="55"/>
  <c r="DK88" i="55"/>
  <c r="DN88" i="55"/>
  <c r="BQ14" i="54" s="1"/>
  <c r="BI17" i="54"/>
  <c r="BJ17" i="54" s="1"/>
  <c r="BG17" i="54"/>
  <c r="BM17" i="54"/>
  <c r="BN17" i="54" s="1"/>
  <c r="AF17" i="54" a="1"/>
  <c r="AF17" i="54" s="1"/>
  <c r="DU103" i="55"/>
  <c r="CB103" i="55"/>
  <c r="CC103" i="55" s="1"/>
  <c r="CA290" i="55"/>
  <c r="CX290" i="55"/>
  <c r="BN290" i="55" a="1"/>
  <c r="BN290" i="55" s="1"/>
  <c r="DU290" i="55" s="1"/>
  <c r="EX287" i="55"/>
  <c r="DS287" i="55"/>
  <c r="CH147" i="55"/>
  <c r="CA154" i="55"/>
  <c r="CB154" i="55" s="1"/>
  <c r="CC154" i="55" s="1"/>
  <c r="CD154" i="55" s="1"/>
  <c r="CX154" i="55"/>
  <c r="DU60" i="55"/>
  <c r="CB60" i="55"/>
  <c r="CC60" i="55" s="1"/>
  <c r="CI314" i="55"/>
  <c r="CJ314" i="55"/>
  <c r="DN4" i="55"/>
  <c r="DK4" i="55"/>
  <c r="EX191" i="55"/>
  <c r="DS191" i="55"/>
  <c r="AK15" i="54"/>
  <c r="CX106" i="55"/>
  <c r="CA140" i="55"/>
  <c r="CB140" i="55" s="1"/>
  <c r="CC140" i="55" s="1"/>
  <c r="BN140" i="55" a="1"/>
  <c r="BN140" i="55" s="1"/>
  <c r="CX140" i="55"/>
  <c r="AM13" i="54"/>
  <c r="CA231" i="55"/>
  <c r="CX231" i="55"/>
  <c r="BN231" i="55" a="1"/>
  <c r="BN231" i="55" s="1"/>
  <c r="CA166" i="55"/>
  <c r="BN166" i="55" a="1"/>
  <c r="BN166" i="55" s="1"/>
  <c r="DU166" i="55" s="1"/>
  <c r="CX166" i="55"/>
  <c r="CB306" i="55"/>
  <c r="CC306" i="55" s="1"/>
  <c r="AJ21" i="54"/>
  <c r="DU42" i="55"/>
  <c r="BO42" i="55"/>
  <c r="CA151" i="55"/>
  <c r="CB151" i="55" s="1"/>
  <c r="CC151" i="55" s="1"/>
  <c r="BN151" i="55" a="1"/>
  <c r="BN151" i="55" s="1"/>
  <c r="CX151" i="55"/>
  <c r="AJ13" i="54"/>
  <c r="AP20" i="54"/>
  <c r="FA336" i="55"/>
  <c r="GB336" i="55" s="1"/>
  <c r="FC336" i="55"/>
  <c r="CI208" i="55"/>
  <c r="CJ208" i="55"/>
  <c r="CB208" i="55"/>
  <c r="CC208" i="55" s="1"/>
  <c r="BH33" i="10"/>
  <c r="DU109" i="55"/>
  <c r="CB109" i="55"/>
  <c r="CC109" i="55" s="1"/>
  <c r="EM3" i="55"/>
  <c r="AP15" i="54"/>
  <c r="DC33" i="55"/>
  <c r="AM24" i="54"/>
  <c r="BI15" i="54"/>
  <c r="BJ15" i="54" s="1"/>
  <c r="BG15" i="54"/>
  <c r="BM15" i="54"/>
  <c r="BN15" i="54" s="1"/>
  <c r="AF15" i="54" a="1"/>
  <c r="AF15" i="54" s="1"/>
  <c r="DC215" i="55"/>
  <c r="CA336" i="55"/>
  <c r="BN336" i="55" a="1"/>
  <c r="BN336" i="55" s="1"/>
  <c r="DU336" i="55" s="1"/>
  <c r="CB336" i="55"/>
  <c r="CC336" i="55" s="1"/>
  <c r="CX336" i="55"/>
  <c r="DU262" i="55"/>
  <c r="BO262" i="55"/>
  <c r="DU223" i="55"/>
  <c r="CB223" i="55"/>
  <c r="CC223" i="55" s="1"/>
  <c r="CH223" i="55" s="1"/>
  <c r="CH192" i="55"/>
  <c r="CI76" i="55"/>
  <c r="CJ76" i="55"/>
  <c r="CH96" i="55"/>
  <c r="AK10" i="54"/>
  <c r="EX210" i="55"/>
  <c r="DS210" i="55"/>
  <c r="DU229" i="55"/>
  <c r="BO229" i="55"/>
  <c r="CB229" i="55"/>
  <c r="CC229" i="55" s="1"/>
  <c r="CH229" i="55" s="1"/>
  <c r="FA3" i="55"/>
  <c r="FC3" i="55"/>
  <c r="EW3" i="55"/>
  <c r="BI13" i="10"/>
  <c r="BL13" i="10" s="1"/>
  <c r="CA238" i="55"/>
  <c r="BN238" i="55" a="1"/>
  <c r="BN238" i="55" s="1"/>
  <c r="CX238" i="55"/>
  <c r="CA33" i="55"/>
  <c r="BN33" i="55" a="1"/>
  <c r="BN33" i="55" s="1"/>
  <c r="CX33" i="55"/>
  <c r="CB33" i="55"/>
  <c r="CC33" i="55" s="1"/>
  <c r="CX224" i="55"/>
  <c r="CX4" i="55"/>
  <c r="CB110" i="55"/>
  <c r="CC110" i="55" s="1"/>
  <c r="DC346" i="55"/>
  <c r="EV343" i="55"/>
  <c r="EU343" i="55"/>
  <c r="GU343" i="55" s="1"/>
  <c r="ET344" i="55"/>
  <c r="EX239" i="55"/>
  <c r="DS239" i="55"/>
  <c r="CA68" i="55"/>
  <c r="CB68" i="55" s="1"/>
  <c r="CC68" i="55" s="1"/>
  <c r="CH68" i="55" s="1"/>
  <c r="BN68" i="55" a="1"/>
  <c r="BN68" i="55" s="1"/>
  <c r="DU68" i="55" s="1"/>
  <c r="CX68" i="55"/>
  <c r="CH206" i="55"/>
  <c r="CA212" i="55"/>
  <c r="BN212" i="55" a="1"/>
  <c r="BN212" i="55" s="1"/>
  <c r="CX212" i="55"/>
  <c r="CH203" i="55"/>
  <c r="AN13" i="54"/>
  <c r="BH34" i="10"/>
  <c r="BI10" i="10"/>
  <c r="BJ10" i="10" s="1"/>
  <c r="BH14" i="10"/>
  <c r="W6" i="42"/>
  <c r="X5" i="42"/>
  <c r="EX159" i="55"/>
  <c r="DS159" i="55"/>
  <c r="EU155" i="55"/>
  <c r="GU155" i="55" s="1"/>
  <c r="EV155" i="55"/>
  <c r="ET156" i="55"/>
  <c r="DC94" i="55"/>
  <c r="AK24" i="54"/>
  <c r="CA137" i="55"/>
  <c r="CX137" i="55"/>
  <c r="BN137" i="55" a="1"/>
  <c r="BN137" i="55" s="1"/>
  <c r="CA337" i="55"/>
  <c r="BN337" i="55" a="1"/>
  <c r="BN337" i="55" s="1"/>
  <c r="DU337" i="55" s="1"/>
  <c r="CX337" i="55"/>
  <c r="EX108" i="55"/>
  <c r="DS108" i="55"/>
  <c r="CA114" i="55"/>
  <c r="BN114" i="55" a="1"/>
  <c r="BN114" i="55" s="1"/>
  <c r="DU114" i="55" s="1"/>
  <c r="CA262" i="55"/>
  <c r="CB262" i="55" s="1"/>
  <c r="CC262" i="55" s="1"/>
  <c r="CX262" i="55"/>
  <c r="EV314" i="55"/>
  <c r="EU314" i="55"/>
  <c r="GU314" i="55" s="1"/>
  <c r="ET315" i="55"/>
  <c r="AQ16" i="54"/>
  <c r="DC227" i="55"/>
  <c r="DU131" i="55"/>
  <c r="BO131" i="55"/>
  <c r="CB131" i="55"/>
  <c r="CC131" i="55" s="1"/>
  <c r="AP23" i="54"/>
  <c r="CX114" i="55"/>
  <c r="CA35" i="55"/>
  <c r="BN35" i="55" a="1"/>
  <c r="BN35" i="55" s="1"/>
  <c r="CB35" i="55"/>
  <c r="CC35" i="55" s="1"/>
  <c r="CA352" i="55"/>
  <c r="CX352" i="55"/>
  <c r="BN352" i="55" a="1"/>
  <c r="BN352" i="55" s="1"/>
  <c r="DU352" i="55" s="1"/>
  <c r="DC97" i="55"/>
  <c r="CA179" i="55"/>
  <c r="CB179" i="55" s="1"/>
  <c r="CC179" i="55" s="1"/>
  <c r="CX179" i="55"/>
  <c r="EX349" i="55"/>
  <c r="DS349" i="55"/>
  <c r="AM25" i="54"/>
  <c r="AL10" i="54"/>
  <c r="DU213" i="55"/>
  <c r="BO213" i="55"/>
  <c r="EX198" i="55"/>
  <c r="DS198" i="55"/>
  <c r="DC101" i="55"/>
  <c r="CH351" i="55"/>
  <c r="DU105" i="55"/>
  <c r="CB105" i="55"/>
  <c r="CC105" i="55" s="1"/>
  <c r="CZ33" i="55"/>
  <c r="DD33" i="55" s="1"/>
  <c r="CY34" i="55"/>
  <c r="AJ12" i="54"/>
  <c r="BH11" i="10"/>
  <c r="AP21" i="54"/>
  <c r="AK13" i="54"/>
  <c r="CI164" i="55"/>
  <c r="CJ164" i="55"/>
  <c r="CX189" i="55"/>
  <c r="CA26" i="55"/>
  <c r="BN26" i="55" a="1"/>
  <c r="BN26" i="55" s="1"/>
  <c r="DU26" i="55" s="1"/>
  <c r="CB26" i="55"/>
  <c r="CC26" i="55" s="1"/>
  <c r="CX26" i="55"/>
  <c r="AO11" i="54" s="1"/>
  <c r="CH282" i="55"/>
  <c r="CA259" i="55"/>
  <c r="BN259" i="55" a="1"/>
  <c r="BN259" i="55" s="1"/>
  <c r="BN186" i="55" a="1"/>
  <c r="BN186" i="55" s="1"/>
  <c r="BI36" i="10"/>
  <c r="BK36" i="10" s="1"/>
  <c r="BN36" i="10" s="1"/>
  <c r="CH149" i="55"/>
  <c r="CA194" i="55"/>
  <c r="BN194" i="55" a="1"/>
  <c r="BN194" i="55" s="1"/>
  <c r="CX194" i="55"/>
  <c r="AJ17" i="54"/>
  <c r="DC149" i="55"/>
  <c r="DU248" i="55"/>
  <c r="BO248" i="55"/>
  <c r="AL18" i="54"/>
  <c r="BM20" i="54"/>
  <c r="BN20" i="54" s="1"/>
  <c r="BG20" i="54"/>
  <c r="AF20" i="54" a="1"/>
  <c r="AF20" i="54" s="1"/>
  <c r="BI20" i="54"/>
  <c r="BJ20" i="54" s="1"/>
  <c r="DU265" i="55"/>
  <c r="BO265" i="55"/>
  <c r="CB265" i="55"/>
  <c r="CC265" i="55" s="1"/>
  <c r="FC313" i="55"/>
  <c r="FA313" i="55"/>
  <c r="GB313" i="55" s="1"/>
  <c r="EZ313" i="55"/>
  <c r="EW313" i="55"/>
  <c r="BN313" i="55" a="1"/>
  <c r="BN313" i="55" s="1"/>
  <c r="DU313" i="55" s="1"/>
  <c r="CA314" i="55"/>
  <c r="CX314" i="55"/>
  <c r="BN314" i="55" a="1"/>
  <c r="BN314" i="55" s="1"/>
  <c r="DU314" i="55" s="1"/>
  <c r="CA264" i="55"/>
  <c r="BN264" i="55" a="1"/>
  <c r="BN264" i="55" s="1"/>
  <c r="CX264" i="55"/>
  <c r="CB264" i="55"/>
  <c r="CC264" i="55" s="1"/>
  <c r="DU49" i="55"/>
  <c r="BO49" i="55"/>
  <c r="CB49" i="55"/>
  <c r="CC49" i="55" s="1"/>
  <c r="EX315" i="55"/>
  <c r="DS315" i="55"/>
  <c r="CA228" i="55"/>
  <c r="CX228" i="55"/>
  <c r="BN228" i="55" a="1"/>
  <c r="BN228" i="55" s="1"/>
  <c r="DN184" i="55"/>
  <c r="BQ18" i="54" s="1"/>
  <c r="DK184" i="55"/>
  <c r="AP10" i="54"/>
  <c r="AL12" i="54"/>
  <c r="CB213" i="55"/>
  <c r="CC213" i="55" s="1"/>
  <c r="FC55" i="55"/>
  <c r="FA55" i="55"/>
  <c r="GB55" i="55" s="1"/>
  <c r="BI6" i="10"/>
  <c r="BM6" i="10" s="1"/>
  <c r="DC81" i="55"/>
  <c r="CA280" i="55"/>
  <c r="BN280" i="55" a="1"/>
  <c r="BN280" i="55" s="1"/>
  <c r="CB280" i="55" s="1"/>
  <c r="CC280" i="55" s="1"/>
  <c r="CX280" i="55"/>
  <c r="BI8" i="10"/>
  <c r="BJ8" i="10" s="1"/>
  <c r="DU346" i="55"/>
  <c r="CB346" i="55"/>
  <c r="CC346" i="55" s="1"/>
  <c r="AJ15" i="54"/>
  <c r="AK16" i="54"/>
  <c r="DU70" i="55"/>
  <c r="CB70" i="55"/>
  <c r="CC70" i="55" s="1"/>
  <c r="CA97" i="55"/>
  <c r="CX97" i="55"/>
  <c r="BN97" i="55" a="1"/>
  <c r="BN97" i="55" s="1"/>
  <c r="DU97" i="55" s="1"/>
  <c r="CA134" i="55"/>
  <c r="CX134" i="55"/>
  <c r="BN134" i="55" a="1"/>
  <c r="BN134" i="55" s="1"/>
  <c r="BH28" i="10"/>
  <c r="BI22" i="10"/>
  <c r="BL22" i="10" s="1"/>
  <c r="BH37" i="10"/>
  <c r="BH31" i="10"/>
  <c r="BH13" i="10"/>
  <c r="BI11" i="10"/>
  <c r="BM11" i="10" s="1"/>
  <c r="AJ11" i="54"/>
  <c r="DC18" i="55"/>
  <c r="AM17" i="54"/>
  <c r="AL22" i="54"/>
  <c r="DC348" i="55"/>
  <c r="DC261" i="55"/>
  <c r="BM23" i="54"/>
  <c r="BN23" i="54" s="1"/>
  <c r="BG23" i="54"/>
  <c r="BI23" i="54"/>
  <c r="BJ23" i="54" s="1"/>
  <c r="AF23" i="54" a="1"/>
  <c r="AF23" i="54" s="1"/>
  <c r="DC120" i="55"/>
  <c r="BM24" i="54"/>
  <c r="BN24" i="54" s="1"/>
  <c r="BI24" i="54"/>
  <c r="BJ24" i="54" s="1"/>
  <c r="AF24" i="54" a="1"/>
  <c r="AF24" i="54" s="1"/>
  <c r="BG24" i="54"/>
  <c r="CH77" i="55"/>
  <c r="BN292" i="55" a="1"/>
  <c r="BN292" i="55" s="1"/>
  <c r="DU292" i="55" s="1"/>
  <c r="CA78" i="55"/>
  <c r="BN78" i="55" a="1"/>
  <c r="BN78" i="55" s="1"/>
  <c r="DU78" i="55" s="1"/>
  <c r="CB78" i="55"/>
  <c r="CC78" i="55" s="1"/>
  <c r="CH92" i="55"/>
  <c r="DC99" i="55"/>
  <c r="CH255" i="55"/>
  <c r="DN341" i="55"/>
  <c r="BQ26" i="54" s="1"/>
  <c r="DK341" i="55"/>
  <c r="BG26" i="54"/>
  <c r="AF26" i="54" a="1"/>
  <c r="AF26" i="54" s="1"/>
  <c r="BI26" i="54"/>
  <c r="BJ26" i="54" s="1"/>
  <c r="BM26" i="54"/>
  <c r="BN26" i="54" s="1"/>
  <c r="CA294" i="55"/>
  <c r="BN294" i="55" a="1"/>
  <c r="BN294" i="55" s="1"/>
  <c r="DU294" i="55" s="1"/>
  <c r="CX294" i="55"/>
  <c r="CA328" i="55"/>
  <c r="BN328" i="55" a="1"/>
  <c r="BN328" i="55" s="1"/>
  <c r="DU328" i="55" s="1"/>
  <c r="CX328" i="55"/>
  <c r="DU325" i="55"/>
  <c r="CB325" i="55"/>
  <c r="CC325" i="55" s="1"/>
  <c r="AP12" i="54"/>
  <c r="AP11" i="54"/>
  <c r="GX341" i="55"/>
  <c r="GY341" i="55"/>
  <c r="GR341" i="55"/>
  <c r="GS341" i="55" s="1"/>
  <c r="EY341" i="55"/>
  <c r="FN341" i="55" s="1"/>
  <c r="FO341" i="55" s="1"/>
  <c r="DC84" i="55"/>
  <c r="DU188" i="55"/>
  <c r="BO188" i="55"/>
  <c r="GY31" i="55"/>
  <c r="GR31" i="55"/>
  <c r="GS31" i="55" s="1"/>
  <c r="GX31" i="55"/>
  <c r="EY31" i="55"/>
  <c r="FN31" i="55" s="1"/>
  <c r="FO31" i="55" s="1"/>
  <c r="EX261" i="55"/>
  <c r="DS261" i="55"/>
  <c r="DC110" i="55"/>
  <c r="AQ18" i="54"/>
  <c r="DC202" i="55"/>
  <c r="DC57" i="55"/>
  <c r="AQ19" i="54"/>
  <c r="BN323" i="55" a="1"/>
  <c r="BN323" i="55" s="1"/>
  <c r="DU323" i="55" s="1"/>
  <c r="CA343" i="55"/>
  <c r="CX343" i="55"/>
  <c r="BN343" i="55" a="1"/>
  <c r="BN343" i="55" s="1"/>
  <c r="CI47" i="55"/>
  <c r="CJ47" i="55"/>
  <c r="DK313" i="55"/>
  <c r="DN313" i="55"/>
  <c r="BQ21" i="54" s="1"/>
  <c r="DU211" i="55"/>
  <c r="BO211" i="55"/>
  <c r="CA72" i="55"/>
  <c r="BN72" i="55" a="1"/>
  <c r="BN72" i="55" s="1"/>
  <c r="DU72" i="55" s="1"/>
  <c r="AJ26" i="54"/>
  <c r="CB338" i="55"/>
  <c r="CC338" i="55" s="1"/>
  <c r="DU150" i="55"/>
  <c r="BO150" i="55"/>
  <c r="EX28" i="55"/>
  <c r="DS28" i="55"/>
  <c r="CA242" i="55"/>
  <c r="CX242" i="55"/>
  <c r="DC186" i="55"/>
  <c r="DC305" i="55"/>
  <c r="EX334" i="55"/>
  <c r="DS334" i="55"/>
  <c r="CX311" i="55"/>
  <c r="DK325" i="55"/>
  <c r="DN325" i="55"/>
  <c r="BQ23" i="54" s="1"/>
  <c r="DU95" i="55"/>
  <c r="CB95" i="55"/>
  <c r="CC95" i="55" s="1"/>
  <c r="DK224" i="55"/>
  <c r="DN224" i="55"/>
  <c r="BQ19" i="54" s="1"/>
  <c r="CA291" i="55"/>
  <c r="BN291" i="55" a="1"/>
  <c r="BN291" i="55" s="1"/>
  <c r="DU291" i="55" s="1"/>
  <c r="DZ10" i="55"/>
  <c r="DY11" i="55" s="1"/>
  <c r="EX348" i="55"/>
  <c r="DS348" i="55"/>
  <c r="EV56" i="55"/>
  <c r="EU56" i="55"/>
  <c r="GU56" i="55" s="1"/>
  <c r="ET57" i="55"/>
  <c r="AN10" i="54"/>
  <c r="CA273" i="55"/>
  <c r="BN273" i="55" a="1"/>
  <c r="BN273" i="55" s="1"/>
  <c r="FC102" i="55"/>
  <c r="FA102" i="55"/>
  <c r="GB102" i="55" s="1"/>
  <c r="EW102" i="55"/>
  <c r="AN11" i="54"/>
  <c r="AN20" i="54"/>
  <c r="DK154" i="55"/>
  <c r="DN154" i="55"/>
  <c r="BQ17" i="54" s="1"/>
  <c r="DC11" i="55"/>
  <c r="AN22" i="54"/>
  <c r="CA270" i="55"/>
  <c r="BN270" i="55" a="1"/>
  <c r="BN270" i="55" s="1"/>
  <c r="CA6" i="55"/>
  <c r="BN6" i="55" a="1"/>
  <c r="BN6" i="55" s="1"/>
  <c r="DU6" i="55" s="1"/>
  <c r="CB115" i="55"/>
  <c r="CC115" i="55" s="1"/>
  <c r="CA40" i="55"/>
  <c r="BN40" i="55" a="1"/>
  <c r="BN40" i="55" s="1"/>
  <c r="AP19" i="54"/>
  <c r="DC343" i="55"/>
  <c r="CA208" i="55"/>
  <c r="BN208" i="55" a="1"/>
  <c r="BN208" i="55" s="1"/>
  <c r="DC60" i="55"/>
  <c r="DC72" i="55"/>
  <c r="CA167" i="55"/>
  <c r="BN167" i="55" a="1"/>
  <c r="BN167" i="55" s="1"/>
  <c r="DU167" i="55" s="1"/>
  <c r="AL26" i="54"/>
  <c r="DC284" i="55"/>
  <c r="CA322" i="55"/>
  <c r="BN322" i="55" a="1"/>
  <c r="BN322" i="55" s="1"/>
  <c r="DU322" i="55" s="1"/>
  <c r="CX322" i="55"/>
  <c r="CA74" i="55"/>
  <c r="CB74" i="55" s="1"/>
  <c r="CC74" i="55" s="1"/>
  <c r="CA199" i="55"/>
  <c r="BN199" i="55" a="1"/>
  <c r="BN199" i="55" s="1"/>
  <c r="CB190" i="55"/>
  <c r="CC190" i="55" s="1"/>
  <c r="BO275" i="55"/>
  <c r="DU275" i="55"/>
  <c r="CB275" i="55"/>
  <c r="CC275" i="55" s="1"/>
  <c r="DC314" i="55"/>
  <c r="DC264" i="55"/>
  <c r="FZ154" i="55" a="1"/>
  <c r="FZ154" i="55" s="1"/>
  <c r="GA154" i="55" s="1"/>
  <c r="FX154" i="55" a="1"/>
  <c r="FX154" i="55" s="1"/>
  <c r="FY154" i="55" s="1"/>
  <c r="FV154" i="55" a="1"/>
  <c r="FV154" i="55" s="1"/>
  <c r="FW154" i="55" s="1"/>
  <c r="FT154" i="55" a="1"/>
  <c r="FT154" i="55" s="1"/>
  <c r="FU154" i="55" s="1"/>
  <c r="FP154" i="55" a="1"/>
  <c r="FP154" i="55" s="1"/>
  <c r="FQ154" i="55" s="1"/>
  <c r="FR154" i="55" a="1"/>
  <c r="FR154" i="55" s="1"/>
  <c r="FS154" i="55" s="1"/>
  <c r="CA177" i="55"/>
  <c r="BN177" i="55" a="1"/>
  <c r="BN177" i="55" s="1"/>
  <c r="DU177" i="55" s="1"/>
  <c r="EU228" i="55"/>
  <c r="GU228" i="55" s="1"/>
  <c r="EV228" i="55"/>
  <c r="ET229" i="55"/>
  <c r="AK20" i="54"/>
  <c r="AK17" i="54"/>
  <c r="DU201" i="55"/>
  <c r="BO201" i="55"/>
  <c r="DU139" i="55"/>
  <c r="BO139" i="55"/>
  <c r="AN18" i="54"/>
  <c r="DU30" i="55"/>
  <c r="BO30" i="55"/>
  <c r="EV32" i="55"/>
  <c r="EU32" i="55"/>
  <c r="GU32" i="55" s="1"/>
  <c r="ET33" i="55"/>
  <c r="DU44" i="55"/>
  <c r="BO44" i="55"/>
  <c r="CJ50" i="55"/>
  <c r="BU50" i="55"/>
  <c r="BT50" i="55"/>
  <c r="AN19" i="54"/>
  <c r="CA217" i="55"/>
  <c r="BN217" i="55" a="1"/>
  <c r="BN217" i="55" s="1"/>
  <c r="CI290" i="55"/>
  <c r="BY290" i="55"/>
  <c r="A5" i="59" s="1" a="1"/>
  <c r="A5" i="59" s="1"/>
  <c r="CJ290" i="55"/>
  <c r="DU147" i="55"/>
  <c r="BO147" i="55"/>
  <c r="AJ16" i="54"/>
  <c r="AP26" i="54"/>
  <c r="CB157" i="55"/>
  <c r="CC157" i="55" s="1"/>
  <c r="CB30" i="55"/>
  <c r="CC30" i="55" s="1"/>
  <c r="FA338" i="55"/>
  <c r="GB338" i="55" s="1"/>
  <c r="FC338" i="55"/>
  <c r="CI268" i="55"/>
  <c r="CJ268" i="55"/>
  <c r="CA344" i="55"/>
  <c r="BN344" i="55" a="1"/>
  <c r="BN344" i="55" s="1"/>
  <c r="DU344" i="55" s="1"/>
  <c r="CA216" i="55"/>
  <c r="BN216" i="55" a="1"/>
  <c r="BN216" i="55" s="1"/>
  <c r="CY334" i="55"/>
  <c r="CZ334" i="55" s="1"/>
  <c r="CZ333" i="55"/>
  <c r="CA90" i="55"/>
  <c r="BN90" i="55" a="1"/>
  <c r="BN90" i="55" s="1"/>
  <c r="DU90" i="55" s="1"/>
  <c r="DC246" i="55"/>
  <c r="CA61" i="55"/>
  <c r="BN61" i="55" a="1"/>
  <c r="BN61" i="55" s="1"/>
  <c r="DU61" i="55" s="1"/>
  <c r="FZ317" i="55" a="1"/>
  <c r="FZ317" i="55" s="1"/>
  <c r="GA317" i="55" s="1"/>
  <c r="FT317" i="55" a="1"/>
  <c r="FT317" i="55" s="1"/>
  <c r="FU317" i="55" s="1"/>
  <c r="FX317" i="55" a="1"/>
  <c r="FX317" i="55" s="1"/>
  <c r="FY317" i="55" s="1"/>
  <c r="FV317" i="55" a="1"/>
  <c r="FV317" i="55" s="1"/>
  <c r="FW317" i="55" s="1"/>
  <c r="FR317" i="55" a="1"/>
  <c r="FR317" i="55" s="1"/>
  <c r="FS317" i="55" s="1"/>
  <c r="FP317" i="55" a="1"/>
  <c r="FP317" i="55" s="1"/>
  <c r="FQ317" i="55" s="1"/>
  <c r="CA82" i="55"/>
  <c r="BN82" i="55" a="1"/>
  <c r="BN82" i="55" s="1"/>
  <c r="DU82" i="55" s="1"/>
  <c r="CA136" i="55"/>
  <c r="BN136" i="55" a="1"/>
  <c r="BN136" i="55" s="1"/>
  <c r="AK11" i="54"/>
  <c r="DC283" i="55"/>
  <c r="CA257" i="55"/>
  <c r="BN257" i="55" a="1"/>
  <c r="BN257" i="55" s="1"/>
  <c r="BN75" i="55" a="1"/>
  <c r="BN75" i="55" s="1"/>
  <c r="DU75" i="55" s="1"/>
  <c r="AM20" i="54"/>
  <c r="BT23" i="54"/>
  <c r="EX307" i="55"/>
  <c r="DS307" i="55"/>
  <c r="AP17" i="54"/>
  <c r="CA244" i="55"/>
  <c r="BN244" i="55" a="1"/>
  <c r="BN244" i="55" s="1"/>
  <c r="CX244" i="55"/>
  <c r="DC270" i="55"/>
  <c r="EX79" i="55"/>
  <c r="DS79" i="55"/>
  <c r="CA281" i="55"/>
  <c r="BN281" i="55" a="1"/>
  <c r="BN281" i="55" s="1"/>
  <c r="FA31" i="55"/>
  <c r="GB31" i="55" s="1"/>
  <c r="EW31" i="55"/>
  <c r="FC31" i="55"/>
  <c r="EZ31" i="55"/>
  <c r="GC154" i="55"/>
  <c r="FC154" i="55"/>
  <c r="EZ154" i="55"/>
  <c r="FA154" i="55"/>
  <c r="GB154" i="55" s="1"/>
  <c r="EW154" i="55"/>
  <c r="AN24" i="54"/>
  <c r="CA161" i="55"/>
  <c r="BN161" i="55" a="1"/>
  <c r="BN161" i="55" s="1"/>
  <c r="DU161" i="55" s="1"/>
  <c r="DC40" i="55"/>
  <c r="AL19" i="54"/>
  <c r="DC46" i="55"/>
  <c r="AN26" i="54"/>
  <c r="CA172" i="55"/>
  <c r="CB172" i="55" s="1"/>
  <c r="CC172" i="55" s="1"/>
  <c r="BN172" i="55" a="1"/>
  <c r="BN172" i="55" s="1"/>
  <c r="DU172" i="55" s="1"/>
  <c r="DC322" i="55"/>
  <c r="CA160" i="55"/>
  <c r="CB160" i="55" s="1"/>
  <c r="CC160" i="55" s="1"/>
  <c r="BN160" i="55" a="1"/>
  <c r="BN160" i="55" s="1"/>
  <c r="DU160" i="55" s="1"/>
  <c r="CX160" i="55"/>
  <c r="EU331" i="55"/>
  <c r="GU331" i="55" s="1"/>
  <c r="EV331" i="55"/>
  <c r="ET332" i="55"/>
  <c r="CA184" i="55"/>
  <c r="BN184" i="55" a="1"/>
  <c r="BN184" i="55" s="1"/>
  <c r="DU184" i="55" s="1"/>
  <c r="CB211" i="55"/>
  <c r="CC211" i="55" s="1"/>
  <c r="CH211" i="55" s="1"/>
  <c r="CA200" i="55"/>
  <c r="BN200" i="55" a="1"/>
  <c r="BN200" i="55" s="1"/>
  <c r="CY188" i="55"/>
  <c r="CZ187" i="55"/>
  <c r="EV89" i="55"/>
  <c r="EU89" i="55"/>
  <c r="GU89" i="55" s="1"/>
  <c r="ET90" i="55"/>
  <c r="FA227" i="55"/>
  <c r="GB227" i="55" s="1"/>
  <c r="FC227" i="55"/>
  <c r="DC251" i="55"/>
  <c r="CB311" i="55"/>
  <c r="CC311" i="55" s="1"/>
  <c r="BN126" i="55" a="1"/>
  <c r="BN126" i="55" s="1"/>
  <c r="CH150" i="55"/>
  <c r="BO11" i="55"/>
  <c r="BS11" i="55" s="1" a="1"/>
  <c r="BS11" i="55" s="1"/>
  <c r="EB11" i="55" s="1"/>
  <c r="DU11" i="55"/>
  <c r="CX153" i="55"/>
  <c r="CA340" i="55"/>
  <c r="CX340" i="55"/>
  <c r="BN340" i="55" a="1"/>
  <c r="BN340" i="55" s="1"/>
  <c r="DU340" i="55" s="1"/>
  <c r="AP24" i="54"/>
  <c r="CB308" i="55"/>
  <c r="CC308" i="55" s="1"/>
  <c r="GC26" i="55"/>
  <c r="FA26" i="55"/>
  <c r="GB26" i="55" s="1"/>
  <c r="EW26" i="55"/>
  <c r="EW27" i="55" s="1"/>
  <c r="EZ26" i="55"/>
  <c r="FC26" i="55"/>
  <c r="DC153" i="55"/>
  <c r="BN268" i="55" a="1"/>
  <c r="BN268" i="55" s="1"/>
  <c r="DC217" i="55"/>
  <c r="EX3" i="55"/>
  <c r="EZ3" i="55" s="1"/>
  <c r="DS3" i="55"/>
  <c r="DU51" i="55"/>
  <c r="BO51" i="55"/>
  <c r="DC135" i="55"/>
  <c r="BO47" i="55"/>
  <c r="DU47" i="55"/>
  <c r="CA152" i="55"/>
  <c r="BN152" i="55" a="1"/>
  <c r="BN152" i="55" s="1"/>
  <c r="BN246" i="55" a="1"/>
  <c r="BN246" i="55" s="1"/>
  <c r="DC199" i="55"/>
  <c r="CB284" i="55"/>
  <c r="CC284" i="55" s="1"/>
  <c r="DC39" i="55"/>
  <c r="DC216" i="55"/>
  <c r="DC90" i="55"/>
  <c r="CX312" i="55"/>
  <c r="FA225" i="55"/>
  <c r="GB225" i="55" s="1"/>
  <c r="FC225" i="55"/>
  <c r="DK53" i="55"/>
  <c r="DN53" i="55"/>
  <c r="BQ13" i="54" s="1"/>
  <c r="DN283" i="55"/>
  <c r="BQ20" i="54" s="1"/>
  <c r="DK283" i="55"/>
  <c r="EV328" i="55"/>
  <c r="EU328" i="55"/>
  <c r="GU328" i="55" s="1"/>
  <c r="ET329" i="55"/>
  <c r="CA279" i="55"/>
  <c r="BN279" i="55" a="1"/>
  <c r="BN279" i="55" s="1"/>
  <c r="DC136" i="55"/>
  <c r="DC183" i="55"/>
  <c r="DC250" i="55"/>
  <c r="EZ224" i="55"/>
  <c r="FA224" i="55"/>
  <c r="GB224" i="55" s="1"/>
  <c r="EW224" i="55"/>
  <c r="EW225" i="55" s="1"/>
  <c r="EW226" i="55" s="1"/>
  <c r="EW227" i="55" s="1"/>
  <c r="FC224" i="55"/>
  <c r="DC245" i="55"/>
  <c r="CA116" i="55"/>
  <c r="BN116" i="55" a="1"/>
  <c r="BN116" i="55" s="1"/>
  <c r="DU116" i="55" s="1"/>
  <c r="BN205" i="55" a="1"/>
  <c r="BN205" i="55" s="1"/>
  <c r="CH47" i="55"/>
  <c r="CH51" i="55"/>
  <c r="AK22" i="54"/>
  <c r="DC244" i="55"/>
  <c r="CX205" i="55"/>
  <c r="DC62" i="55"/>
  <c r="CX285" i="55"/>
  <c r="DU27" i="55"/>
  <c r="BO27" i="55"/>
  <c r="BS27" i="55" s="1" a="1"/>
  <c r="BS27" i="55" s="1"/>
  <c r="EB27" i="55" s="1"/>
  <c r="BN138" i="55" a="1"/>
  <c r="BN138" i="55" s="1"/>
  <c r="AJ24" i="54"/>
  <c r="GY224" i="55"/>
  <c r="GX224" i="55"/>
  <c r="GR224" i="55"/>
  <c r="GS224" i="55" s="1"/>
  <c r="EY224" i="55"/>
  <c r="FN224" i="55" s="1"/>
  <c r="FO224" i="55" s="1"/>
  <c r="DC309" i="55"/>
  <c r="DC161" i="55"/>
  <c r="CB316" i="55"/>
  <c r="CC316" i="55" s="1"/>
  <c r="CH316" i="55" s="1"/>
  <c r="EB50" i="55"/>
  <c r="CX40" i="55"/>
  <c r="EX278" i="55"/>
  <c r="DS278" i="55"/>
  <c r="DU135" i="55"/>
  <c r="BO135" i="55"/>
  <c r="DC160" i="55"/>
  <c r="FC330" i="55"/>
  <c r="FA330" i="55"/>
  <c r="GB330" i="55" s="1"/>
  <c r="EZ330" i="55"/>
  <c r="EW330" i="55"/>
  <c r="CA305" i="55"/>
  <c r="BN305" i="55" a="1"/>
  <c r="BN305" i="55" s="1"/>
  <c r="DU305" i="55" s="1"/>
  <c r="CA345" i="55"/>
  <c r="BN345" i="55" a="1"/>
  <c r="BN345" i="55" s="1"/>
  <c r="DU345" i="55" s="1"/>
  <c r="EU28" i="55"/>
  <c r="GU28" i="55" s="1"/>
  <c r="EV28" i="55"/>
  <c r="ET29" i="55"/>
  <c r="CA58" i="55"/>
  <c r="BN58" i="55" a="1"/>
  <c r="BN58" i="55" s="1"/>
  <c r="DU58" i="55" s="1"/>
  <c r="BN312" i="55" a="1"/>
  <c r="BN312" i="55" s="1"/>
  <c r="BN132" i="55" a="1"/>
  <c r="BN132" i="55" s="1"/>
  <c r="CB132" i="55" s="1"/>
  <c r="CC132" i="55" s="1"/>
  <c r="CH32" i="55"/>
  <c r="FA226" i="55"/>
  <c r="GB226" i="55" s="1"/>
  <c r="FC226" i="55"/>
  <c r="EV4" i="55"/>
  <c r="EU4" i="55"/>
  <c r="GU4" i="55" s="1"/>
  <c r="ET5" i="55"/>
  <c r="EW88" i="55"/>
  <c r="FA88" i="55"/>
  <c r="GB88" i="55" s="1"/>
  <c r="FC88" i="55"/>
  <c r="CX177" i="55"/>
  <c r="FC326" i="55"/>
  <c r="FA326" i="55"/>
  <c r="GB326" i="55" s="1"/>
  <c r="EW326" i="55"/>
  <c r="EW327" i="55" s="1"/>
  <c r="DU245" i="55"/>
  <c r="BO245" i="55"/>
  <c r="DU277" i="55"/>
  <c r="BO277" i="55"/>
  <c r="BN247" i="55" a="1"/>
  <c r="BN247" i="55" s="1"/>
  <c r="CB247" i="55" s="1"/>
  <c r="CC247" i="55" s="1"/>
  <c r="FA325" i="55"/>
  <c r="GB325" i="55" s="1"/>
  <c r="FC325" i="55"/>
  <c r="EW325" i="55"/>
  <c r="DC91" i="55"/>
  <c r="CB117" i="55"/>
  <c r="CC117" i="55" s="1"/>
  <c r="DC338" i="55"/>
  <c r="AL17" i="54"/>
  <c r="CH81" i="55"/>
  <c r="DC331" i="55"/>
  <c r="CX250" i="55"/>
  <c r="CX74" i="55"/>
  <c r="BN250" i="55" a="1"/>
  <c r="BN250" i="55" s="1"/>
  <c r="CB250" i="55" s="1"/>
  <c r="CC250" i="55" s="1"/>
  <c r="BN74" i="55" a="1"/>
  <c r="BN74" i="55" s="1"/>
  <c r="DU74" i="55" s="1"/>
  <c r="CX172" i="55"/>
  <c r="CX138" i="55"/>
  <c r="CX39" i="55"/>
  <c r="CH320" i="55"/>
  <c r="DC340" i="55"/>
  <c r="DC42" i="55"/>
  <c r="EX207" i="55"/>
  <c r="DS207" i="55"/>
  <c r="EU284" i="55"/>
  <c r="GU284" i="55" s="1"/>
  <c r="EV284" i="55"/>
  <c r="ET285" i="55"/>
  <c r="DC152" i="55"/>
  <c r="DC295" i="55"/>
  <c r="CA38" i="55"/>
  <c r="BN38" i="55" a="1"/>
  <c r="BN38" i="55" s="1"/>
  <c r="CX38" i="55"/>
  <c r="AK23" i="54"/>
  <c r="CI186" i="55"/>
  <c r="CJ186" i="55"/>
  <c r="EX25" i="55"/>
  <c r="DS25" i="55"/>
  <c r="CA254" i="55"/>
  <c r="BN254" i="55" a="1"/>
  <c r="BN254" i="55" s="1"/>
  <c r="FA27" i="55"/>
  <c r="GB27" i="55" s="1"/>
  <c r="FC27" i="55"/>
  <c r="CA185" i="55"/>
  <c r="BN185" i="55" a="1"/>
  <c r="BN185" i="55" s="1"/>
  <c r="CA272" i="55"/>
  <c r="BN272" i="55" a="1"/>
  <c r="BN272" i="55" s="1"/>
  <c r="EU318" i="55"/>
  <c r="GU318" i="55" s="1"/>
  <c r="EV318" i="55"/>
  <c r="ET319" i="55"/>
  <c r="CA125" i="55"/>
  <c r="BN125" i="55" a="1"/>
  <c r="BN125" i="55" s="1"/>
  <c r="DU125" i="55" s="1"/>
  <c r="DU261" i="55"/>
  <c r="BO261" i="55"/>
  <c r="CA21" i="55"/>
  <c r="CB21" i="55" s="1"/>
  <c r="CC21" i="55" s="1"/>
  <c r="BN21" i="55" a="1"/>
  <c r="BN21" i="55" s="1"/>
  <c r="DU21" i="55" s="1"/>
  <c r="FA327" i="55"/>
  <c r="GB327" i="55" s="1"/>
  <c r="FC327" i="55"/>
  <c r="CA276" i="55"/>
  <c r="BN276" i="55" a="1"/>
  <c r="BN276" i="55" s="1"/>
  <c r="EV103" i="55"/>
  <c r="EU103" i="55"/>
  <c r="GU103" i="55" s="1"/>
  <c r="ET104" i="55"/>
  <c r="DU37" i="55"/>
  <c r="BO37" i="55"/>
  <c r="AM11" i="54"/>
  <c r="AP22" i="54"/>
  <c r="AQ11" i="54"/>
  <c r="DC187" i="55"/>
  <c r="DC59" i="55"/>
  <c r="DC274" i="55"/>
  <c r="CX126" i="55"/>
  <c r="DC82" i="55"/>
  <c r="DC267" i="55"/>
  <c r="DC132" i="55"/>
  <c r="DC30" i="55"/>
  <c r="AN21" i="54"/>
  <c r="DC123" i="55"/>
  <c r="CB155" i="55"/>
  <c r="CC155" i="55" s="1"/>
  <c r="CH155" i="55" s="1"/>
  <c r="CI243" i="55"/>
  <c r="CJ243" i="55"/>
  <c r="CB243" i="55"/>
  <c r="CC243" i="55" s="1"/>
  <c r="CI322" i="55"/>
  <c r="CJ322" i="55"/>
  <c r="DU214" i="55"/>
  <c r="BO214" i="55"/>
  <c r="CB302" i="55"/>
  <c r="CC302" i="55" s="1"/>
  <c r="CX104" i="55"/>
  <c r="AM14" i="54"/>
  <c r="EU131" i="55"/>
  <c r="GU131" i="55" s="1"/>
  <c r="EV131" i="55"/>
  <c r="ET132" i="55"/>
  <c r="GY330" i="55"/>
  <c r="GX330" i="55"/>
  <c r="GR330" i="55"/>
  <c r="GS330" i="55" s="1"/>
  <c r="EY330" i="55"/>
  <c r="FN330" i="55" s="1"/>
  <c r="FO330" i="55" s="1"/>
  <c r="CX347" i="55"/>
  <c r="GC283" i="55"/>
  <c r="FC283" i="55"/>
  <c r="FA283" i="55"/>
  <c r="GB283" i="55" s="1"/>
  <c r="EZ283" i="55"/>
  <c r="EW283" i="55"/>
  <c r="CA326" i="55"/>
  <c r="BN326" i="55" a="1"/>
  <c r="BN326" i="55" s="1"/>
  <c r="DU326" i="55" s="1"/>
  <c r="DC87" i="55"/>
  <c r="DC38" i="55"/>
  <c r="AL23" i="54"/>
  <c r="DC316" i="55"/>
  <c r="FZ283" i="55" a="1"/>
  <c r="FZ283" i="55" s="1"/>
  <c r="GA283" i="55" s="1"/>
  <c r="FX283" i="55" a="1"/>
  <c r="FX283" i="55" s="1"/>
  <c r="FY283" i="55" s="1"/>
  <c r="FV283" i="55" a="1"/>
  <c r="FV283" i="55" s="1"/>
  <c r="FW283" i="55" s="1"/>
  <c r="FP283" i="55" a="1"/>
  <c r="FP283" i="55" s="1"/>
  <c r="FQ283" i="55" s="1"/>
  <c r="FR283" i="55" a="1"/>
  <c r="FR283" i="55" s="1"/>
  <c r="FS283" i="55" s="1"/>
  <c r="FT283" i="55" a="1"/>
  <c r="FT283" i="55" s="1"/>
  <c r="FU283" i="55" s="1"/>
  <c r="CB174" i="55"/>
  <c r="CC174" i="55" s="1"/>
  <c r="CX345" i="55"/>
  <c r="AO26" i="54" s="1"/>
  <c r="DC185" i="55"/>
  <c r="BT18" i="54" s="1"/>
  <c r="CX139" i="55"/>
  <c r="DC58" i="55"/>
  <c r="CA176" i="55"/>
  <c r="BN176" i="55" a="1"/>
  <c r="BN176" i="55" s="1"/>
  <c r="DU176" i="55" s="1"/>
  <c r="DC8" i="55"/>
  <c r="EZ341" i="55"/>
  <c r="FA341" i="55"/>
  <c r="GB341" i="55" s="1"/>
  <c r="FC341" i="55"/>
  <c r="EW341" i="55"/>
  <c r="CA121" i="55"/>
  <c r="BN121" i="55" a="1"/>
  <c r="BN121" i="55" s="1"/>
  <c r="DU121" i="55" s="1"/>
  <c r="CX121" i="55"/>
  <c r="FC54" i="55"/>
  <c r="FA54" i="55"/>
  <c r="GB54" i="55" s="1"/>
  <c r="CX82" i="55"/>
  <c r="DC118" i="55"/>
  <c r="GU3" i="55"/>
  <c r="AJ10" i="54"/>
  <c r="CA71" i="55"/>
  <c r="BN71" i="55" a="1"/>
  <c r="BN71" i="55" s="1"/>
  <c r="DU71" i="55" s="1"/>
  <c r="CA289" i="55"/>
  <c r="BN289" i="55" a="1"/>
  <c r="BN289" i="55" s="1"/>
  <c r="DU289" i="55" s="1"/>
  <c r="CX276" i="55"/>
  <c r="CX273" i="55"/>
  <c r="GC317" i="55"/>
  <c r="FC317" i="55"/>
  <c r="FA317" i="55"/>
  <c r="GB317" i="55" s="1"/>
  <c r="EZ317" i="55"/>
  <c r="EW317" i="55"/>
  <c r="CX279" i="55"/>
  <c r="CB44" i="55"/>
  <c r="CC44" i="55" s="1"/>
  <c r="CA164" i="55"/>
  <c r="BN164" i="55" a="1"/>
  <c r="BN164" i="55" s="1"/>
  <c r="DU164" i="55" s="1"/>
  <c r="CX164" i="55"/>
  <c r="CY134" i="55"/>
  <c r="CZ133" i="55"/>
  <c r="CZ156" i="55"/>
  <c r="CY157" i="55"/>
  <c r="DC23" i="55"/>
  <c r="CH241" i="55"/>
  <c r="DK26" i="55"/>
  <c r="DN26" i="55"/>
  <c r="BQ11" i="54" s="1"/>
  <c r="CA209" i="55"/>
  <c r="BN209" i="55" a="1"/>
  <c r="BN209" i="55" s="1"/>
  <c r="EV185" i="55"/>
  <c r="EU185" i="55"/>
  <c r="GU185" i="55" s="1"/>
  <c r="ET186" i="55"/>
  <c r="BN242" i="55" a="1"/>
  <c r="BN242" i="55" s="1"/>
  <c r="DK317" i="55"/>
  <c r="DN317" i="55"/>
  <c r="BQ22" i="54" s="1"/>
  <c r="FC342" i="55"/>
  <c r="FA342" i="55"/>
  <c r="GB342" i="55" s="1"/>
  <c r="EW342" i="55"/>
  <c r="CA299" i="55"/>
  <c r="BN299" i="55" a="1"/>
  <c r="BN299" i="55" s="1"/>
  <c r="DU299" i="55" s="1"/>
  <c r="AQ20" i="54"/>
  <c r="DC194" i="55"/>
  <c r="AN17" i="54"/>
  <c r="CX107" i="55"/>
  <c r="DC66" i="55"/>
  <c r="AJ18" i="54"/>
  <c r="BN295" i="55" a="1"/>
  <c r="BN295" i="55" s="1"/>
  <c r="DU295" i="55" s="1"/>
  <c r="CA162" i="55"/>
  <c r="BN162" i="55" a="1"/>
  <c r="BN162" i="55" s="1"/>
  <c r="DU162" i="55" s="1"/>
  <c r="CX162" i="55"/>
  <c r="CA318" i="55"/>
  <c r="BN318" i="55" a="1"/>
  <c r="BN318" i="55" s="1"/>
  <c r="DU318" i="55" s="1"/>
  <c r="DC280" i="55"/>
  <c r="BN46" i="55" a="1"/>
  <c r="BN46" i="55" s="1"/>
  <c r="CA43" i="55"/>
  <c r="CB43" i="55" s="1"/>
  <c r="CC43" i="55" s="1"/>
  <c r="BN43" i="55" a="1"/>
  <c r="BN43" i="55" s="1"/>
  <c r="AO24" i="54"/>
  <c r="CB101" i="55"/>
  <c r="CC101" i="55" s="1"/>
  <c r="CX88" i="55"/>
  <c r="CX254" i="55"/>
  <c r="CA225" i="55"/>
  <c r="BN225" i="55" a="1"/>
  <c r="BN225" i="55" s="1"/>
  <c r="AM19" i="54"/>
  <c r="FZ26" i="55" a="1"/>
  <c r="FZ26" i="55" s="1"/>
  <c r="GA26" i="55" s="1"/>
  <c r="FV26" i="55" a="1"/>
  <c r="FV26" i="55" s="1"/>
  <c r="FW26" i="55" s="1"/>
  <c r="FT26" i="55" a="1"/>
  <c r="FT26" i="55" s="1"/>
  <c r="FU26" i="55" s="1"/>
  <c r="FP26" i="55" a="1"/>
  <c r="FP26" i="55" s="1"/>
  <c r="FQ26" i="55" s="1"/>
  <c r="FR26" i="55" a="1"/>
  <c r="FR26" i="55" s="1"/>
  <c r="FS26" i="55" s="1"/>
  <c r="FX26" i="55" a="1"/>
  <c r="FX26" i="55" s="1"/>
  <c r="FY26" i="55" s="1"/>
  <c r="CA252" i="55"/>
  <c r="BN252" i="55" a="1"/>
  <c r="BN252" i="55" s="1"/>
  <c r="CA122" i="55"/>
  <c r="BN122" i="55" a="1"/>
  <c r="BN122" i="55" s="1"/>
  <c r="DU122" i="55" s="1"/>
  <c r="BO233" i="55"/>
  <c r="DU233" i="55"/>
  <c r="DU197" i="55"/>
  <c r="BO197" i="55"/>
  <c r="FA53" i="55"/>
  <c r="GB53" i="55" s="1"/>
  <c r="FC53" i="55"/>
  <c r="EW53" i="55"/>
  <c r="EW54" i="55" s="1"/>
  <c r="EW55" i="55" s="1"/>
  <c r="CX234" i="55"/>
  <c r="AQ23" i="54"/>
  <c r="CA230" i="55"/>
  <c r="BN230" i="55" a="1"/>
  <c r="BN230" i="55" s="1"/>
  <c r="CX169" i="55"/>
  <c r="BO210" i="55"/>
  <c r="DU210" i="55"/>
  <c r="BN124" i="55" a="1"/>
  <c r="BN124" i="55" s="1"/>
  <c r="DU124" i="55" s="1"/>
  <c r="DC337" i="55"/>
  <c r="BN310" i="55" a="1"/>
  <c r="BN310" i="55" s="1"/>
  <c r="CA293" i="55"/>
  <c r="BN293" i="55" a="1"/>
  <c r="BN293" i="55" s="1"/>
  <c r="DU293" i="55" s="1"/>
  <c r="DC164" i="55"/>
  <c r="CA330" i="55"/>
  <c r="BN330" i="55" a="1"/>
  <c r="BN330" i="55" s="1"/>
  <c r="DU330" i="55" s="1"/>
  <c r="EX325" i="55"/>
  <c r="EZ325" i="55" s="1"/>
  <c r="DS325" i="55"/>
  <c r="CA321" i="55"/>
  <c r="CX321" i="55"/>
  <c r="BN321" i="55" a="1"/>
  <c r="BN321" i="55" s="1"/>
  <c r="DU321" i="55" s="1"/>
  <c r="CX176" i="55"/>
  <c r="BO251" i="55"/>
  <c r="CA298" i="55"/>
  <c r="BN298" i="55" a="1"/>
  <c r="BN298" i="55" s="1"/>
  <c r="DU298" i="55" s="1"/>
  <c r="BN260" i="55" a="1"/>
  <c r="BN260" i="55" s="1"/>
  <c r="GC184" i="55"/>
  <c r="FC184" i="55"/>
  <c r="EW184" i="55"/>
  <c r="FA184" i="55"/>
  <c r="GB184" i="55" s="1"/>
  <c r="EZ184" i="55"/>
  <c r="FA340" i="55"/>
  <c r="GB340" i="55" s="1"/>
  <c r="FC340" i="55"/>
  <c r="AQ10" i="54"/>
  <c r="CB99" i="55"/>
  <c r="CC99" i="55" s="1"/>
  <c r="CA317" i="55"/>
  <c r="BN317" i="55" a="1"/>
  <c r="BN317" i="55" s="1"/>
  <c r="DU317" i="55" s="1"/>
  <c r="CB317" i="55"/>
  <c r="CC317" i="55" s="1"/>
  <c r="DU3" i="55"/>
  <c r="BO3" i="55"/>
  <c r="BS3" i="55" s="1" a="1"/>
  <c r="BS3" i="55" s="1"/>
  <c r="DN3" i="55"/>
  <c r="DK3" i="55"/>
  <c r="CX350" i="55"/>
  <c r="DU255" i="55"/>
  <c r="BO255" i="55"/>
  <c r="AQ17" i="54"/>
  <c r="AL21" i="54"/>
  <c r="DU45" i="55"/>
  <c r="BO45" i="55"/>
  <c r="CX6" i="55"/>
  <c r="FA335" i="55"/>
  <c r="GB335" i="55" s="1"/>
  <c r="FC335" i="55"/>
  <c r="EW335" i="55"/>
  <c r="EW336" i="55" s="1"/>
  <c r="EW337" i="55" s="1"/>
  <c r="EW338" i="55" s="1"/>
  <c r="EW339" i="55" s="1"/>
  <c r="EW340" i="55" s="1"/>
  <c r="CB248" i="55"/>
  <c r="CC248" i="55" s="1"/>
  <c r="CA193" i="55"/>
  <c r="BN193" i="55" a="1"/>
  <c r="BN193" i="55" s="1"/>
  <c r="AM18" i="54"/>
  <c r="BN285" i="55" a="1"/>
  <c r="BN285" i="55" s="1"/>
  <c r="DU285" i="55" s="1"/>
  <c r="CX167" i="55"/>
  <c r="EX130" i="55"/>
  <c r="DS130" i="55"/>
  <c r="CI96" i="55"/>
  <c r="CJ96" i="55"/>
  <c r="CA220" i="55"/>
  <c r="BN220" i="55" a="1"/>
  <c r="BN220" i="55" s="1"/>
  <c r="DU220" i="55" s="1"/>
  <c r="CX220" i="55"/>
  <c r="DC117" i="55"/>
  <c r="CA65" i="55"/>
  <c r="BN65" i="55" a="1"/>
  <c r="BN65" i="55" s="1"/>
  <c r="DU65" i="55" s="1"/>
  <c r="CX65" i="55"/>
  <c r="AL24" i="54"/>
  <c r="DK130" i="55"/>
  <c r="DN130" i="55"/>
  <c r="BQ16" i="54" s="1"/>
  <c r="AK14" i="54"/>
  <c r="CX75" i="55"/>
  <c r="DC313" i="55"/>
  <c r="CA158" i="55"/>
  <c r="BN158" i="55" a="1"/>
  <c r="BN158" i="55" s="1"/>
  <c r="DU158" i="55" s="1"/>
  <c r="AQ26" i="54"/>
  <c r="CB323" i="55"/>
  <c r="CC323" i="55" s="1"/>
  <c r="DU241" i="55"/>
  <c r="BO241" i="55"/>
  <c r="DU196" i="55"/>
  <c r="BO196" i="55"/>
  <c r="CH53" i="55"/>
  <c r="BN54" i="55" a="1"/>
  <c r="BN54" i="55" s="1"/>
  <c r="BO274" i="55"/>
  <c r="DU274" i="55"/>
  <c r="CX291" i="55"/>
  <c r="DU149" i="55"/>
  <c r="BO149" i="55"/>
  <c r="EX11" i="55"/>
  <c r="DS11" i="55"/>
  <c r="CA296" i="55"/>
  <c r="BN296" i="55" a="1"/>
  <c r="BN296" i="55" s="1"/>
  <c r="DU296" i="55" s="1"/>
  <c r="CX44" i="55"/>
  <c r="CA168" i="55"/>
  <c r="BN168" i="55" a="1"/>
  <c r="BN168" i="55" s="1"/>
  <c r="DU168" i="55" s="1"/>
  <c r="FA339" i="55"/>
  <c r="GB339" i="55" s="1"/>
  <c r="FC339" i="55"/>
  <c r="BN111" i="55" a="1"/>
  <c r="BN111" i="55" s="1"/>
  <c r="DU111" i="55" s="1"/>
  <c r="CA146" i="55"/>
  <c r="BN146" i="55" a="1"/>
  <c r="BN146" i="55" s="1"/>
  <c r="AM10" i="54"/>
  <c r="CA183" i="55"/>
  <c r="CB183" i="55" s="1"/>
  <c r="CC183" i="55" s="1"/>
  <c r="CX183" i="55"/>
  <c r="AQ12" i="54"/>
  <c r="CX289" i="55"/>
  <c r="GX50" i="55"/>
  <c r="GR50" i="55"/>
  <c r="GS50" i="55" s="1"/>
  <c r="GY50" i="55"/>
  <c r="EY50" i="55"/>
  <c r="FN50" i="55" s="1"/>
  <c r="FO50" i="55" s="1"/>
  <c r="DC180" i="55"/>
  <c r="BN234" i="55" a="1"/>
  <c r="BN234" i="55" s="1"/>
  <c r="AM21" i="54"/>
  <c r="CX118" i="55"/>
  <c r="DC193" i="55"/>
  <c r="AP18" i="54"/>
  <c r="DC162" i="55"/>
  <c r="CX61" i="55"/>
  <c r="CA141" i="55"/>
  <c r="BN141" i="55" a="1"/>
  <c r="BN141" i="55" s="1"/>
  <c r="DC188" i="55"/>
  <c r="DC220" i="55"/>
  <c r="BN39" i="55" a="1"/>
  <c r="BN39" i="55" s="1"/>
  <c r="DC65" i="55"/>
  <c r="AQ24" i="54"/>
  <c r="AL14" i="54"/>
  <c r="DC170" i="55"/>
  <c r="CA48" i="55"/>
  <c r="BN48" i="55" a="1"/>
  <c r="BN48" i="55" s="1"/>
  <c r="DC158" i="55"/>
  <c r="CB300" i="55"/>
  <c r="CC300" i="55" s="1"/>
  <c r="DC282" i="55"/>
  <c r="AM26" i="54"/>
  <c r="CB46" i="55"/>
  <c r="CC46" i="55" s="1"/>
  <c r="CB188" i="55"/>
  <c r="CC188" i="55" s="1"/>
  <c r="CA204" i="55"/>
  <c r="BN204" i="55" a="1"/>
  <c r="BN204" i="55" s="1"/>
  <c r="CB204" i="55"/>
  <c r="CC204" i="55" s="1"/>
  <c r="AN23" i="54"/>
  <c r="CX225" i="55"/>
  <c r="CH237" i="55"/>
  <c r="DC230" i="55"/>
  <c r="CX329" i="55"/>
  <c r="BN329" i="55" a="1"/>
  <c r="BN329" i="55" s="1"/>
  <c r="DU329" i="55" s="1"/>
  <c r="BN180" i="55" a="1"/>
  <c r="BN180" i="55" s="1"/>
  <c r="CA218" i="55"/>
  <c r="BN218" i="55" a="1"/>
  <c r="BN218" i="55" s="1"/>
  <c r="DC151" i="55"/>
  <c r="CA52" i="55"/>
  <c r="BN52" i="55" a="1"/>
  <c r="BN52" i="55" s="1"/>
  <c r="CX52" i="55"/>
  <c r="DC330" i="55"/>
  <c r="CX90" i="55"/>
  <c r="CX200" i="55"/>
  <c r="DC10" i="55"/>
  <c r="CI192" i="55"/>
  <c r="CJ192" i="55"/>
  <c r="DC298" i="55"/>
  <c r="CA253" i="55"/>
  <c r="BN253" i="55" a="1"/>
  <c r="BN253" i="55" s="1"/>
  <c r="AN15" i="54"/>
  <c r="CX247" i="55"/>
  <c r="CX111" i="55"/>
  <c r="CX21" i="55"/>
  <c r="CA80" i="55"/>
  <c r="BN80" i="55" a="1"/>
  <c r="BN80" i="55" s="1"/>
  <c r="DU80" i="55" s="1"/>
  <c r="CA339" i="55"/>
  <c r="BN339" i="55" a="1"/>
  <c r="BN339" i="55" s="1"/>
  <c r="DU339" i="55" s="1"/>
  <c r="DC102" i="55"/>
  <c r="CH333" i="55"/>
  <c r="X6" i="42"/>
  <c r="W7" i="42"/>
  <c r="Z5" i="42"/>
  <c r="Y14" i="42"/>
  <c r="BM19" i="10"/>
  <c r="BJ19" i="10"/>
  <c r="BL19" i="10"/>
  <c r="BK19" i="10"/>
  <c r="BN19" i="10" s="1"/>
  <c r="BK8" i="10"/>
  <c r="BN8" i="10" s="1"/>
  <c r="AA24" i="42"/>
  <c r="BL15" i="10"/>
  <c r="BM15" i="10"/>
  <c r="BK15" i="10"/>
  <c r="BN15" i="10" s="1"/>
  <c r="BJ15" i="10"/>
  <c r="BK27" i="10"/>
  <c r="BN27" i="10" s="1"/>
  <c r="BM27" i="10"/>
  <c r="BJ27" i="10"/>
  <c r="BL27" i="10"/>
  <c r="BM10" i="10"/>
  <c r="BK10" i="10"/>
  <c r="BN10" i="10" s="1"/>
  <c r="BL10" i="10"/>
  <c r="BL36" i="10"/>
  <c r="BL21" i="10"/>
  <c r="BK21" i="10"/>
  <c r="BN21" i="10" s="1"/>
  <c r="BJ21" i="10"/>
  <c r="BM21" i="10"/>
  <c r="BJ23" i="10"/>
  <c r="BL23" i="10"/>
  <c r="BM23" i="10"/>
  <c r="BK23" i="10"/>
  <c r="BN23" i="10" s="1"/>
  <c r="BJ39" i="10"/>
  <c r="BM39" i="10"/>
  <c r="BL39" i="10"/>
  <c r="BK39" i="10"/>
  <c r="BN39" i="10" s="1"/>
  <c r="BM25" i="10"/>
  <c r="BL25" i="10"/>
  <c r="BL34" i="10"/>
  <c r="BK34" i="10"/>
  <c r="BN34" i="10" s="1"/>
  <c r="BM34" i="10"/>
  <c r="BJ34" i="10"/>
  <c r="AC21" i="42"/>
  <c r="AC31" i="42" s="1"/>
  <c r="BK20" i="10"/>
  <c r="BN20" i="10" s="1"/>
  <c r="BJ20" i="10"/>
  <c r="BL17" i="10"/>
  <c r="BM17" i="10"/>
  <c r="BJ17" i="10"/>
  <c r="BK17" i="10"/>
  <c r="BN17" i="10" s="1"/>
  <c r="BJ32" i="10"/>
  <c r="BM32" i="10"/>
  <c r="BL32" i="10"/>
  <c r="BK32" i="10"/>
  <c r="BN32" i="10" s="1"/>
  <c r="EX118" i="55" l="1"/>
  <c r="DS118" i="55"/>
  <c r="DS83" i="55"/>
  <c r="EX83" i="55"/>
  <c r="BL7" i="10"/>
  <c r="BM7" i="10"/>
  <c r="CB193" i="55"/>
  <c r="CC193" i="55" s="1"/>
  <c r="CH193" i="55" s="1"/>
  <c r="CB61" i="55"/>
  <c r="CC61" i="55" s="1"/>
  <c r="CB97" i="55"/>
  <c r="CC97" i="55" s="1"/>
  <c r="CB345" i="55"/>
  <c r="CC345" i="55" s="1"/>
  <c r="CH345" i="55" s="1"/>
  <c r="BO219" i="55"/>
  <c r="DU219" i="55"/>
  <c r="DS22" i="55"/>
  <c r="GR22" i="55" s="1"/>
  <c r="GX22" i="55" s="1"/>
  <c r="GY22" i="55" s="1"/>
  <c r="CB240" i="55"/>
  <c r="CC240" i="55" s="1"/>
  <c r="CH240" i="55" s="1"/>
  <c r="DS245" i="55"/>
  <c r="GR245" i="55" s="1"/>
  <c r="GX245" i="55" s="1"/>
  <c r="CB146" i="55"/>
  <c r="CC146" i="55" s="1"/>
  <c r="CH146" i="55" s="1"/>
  <c r="BT26" i="54"/>
  <c r="DS63" i="55"/>
  <c r="DS102" i="55"/>
  <c r="DU28" i="55"/>
  <c r="CB281" i="55"/>
  <c r="CC281" i="55" s="1"/>
  <c r="DU304" i="55"/>
  <c r="CB304" i="55"/>
  <c r="CC304" i="55" s="1"/>
  <c r="CH304" i="55" s="1"/>
  <c r="DS304" i="55" s="1"/>
  <c r="BJ37" i="10"/>
  <c r="BT17" i="54"/>
  <c r="EX196" i="55"/>
  <c r="CB88" i="55"/>
  <c r="CC88" i="55" s="1"/>
  <c r="CB251" i="55"/>
  <c r="CC251" i="55" s="1"/>
  <c r="CH251" i="55" s="1"/>
  <c r="DS251" i="55" s="1"/>
  <c r="CB107" i="55"/>
  <c r="CC107" i="55" s="1"/>
  <c r="CB200" i="55"/>
  <c r="CC200" i="55" s="1"/>
  <c r="CH200" i="55" s="1"/>
  <c r="DS200" i="55" s="1"/>
  <c r="CB270" i="55"/>
  <c r="CC270" i="55" s="1"/>
  <c r="CH270" i="55" s="1"/>
  <c r="EX270" i="55" s="1"/>
  <c r="DU104" i="55"/>
  <c r="CB337" i="55"/>
  <c r="CC337" i="55" s="1"/>
  <c r="BL38" i="10"/>
  <c r="BL37" i="10"/>
  <c r="CB75" i="55"/>
  <c r="CC75" i="55" s="1"/>
  <c r="CB90" i="55"/>
  <c r="CC90" i="55" s="1"/>
  <c r="AO25" i="54"/>
  <c r="CB156" i="55"/>
  <c r="CC156" i="55" s="1"/>
  <c r="CB163" i="55"/>
  <c r="CC163" i="55" s="1"/>
  <c r="CH163" i="55" s="1"/>
  <c r="CB31" i="55"/>
  <c r="CC31" i="55" s="1"/>
  <c r="CD31" i="55" s="1"/>
  <c r="BM37" i="10"/>
  <c r="CB195" i="55"/>
  <c r="CC195" i="55" s="1"/>
  <c r="CH195" i="55" s="1"/>
  <c r="CB66" i="55"/>
  <c r="CC66" i="55" s="1"/>
  <c r="CH66" i="55" s="1"/>
  <c r="CB170" i="55"/>
  <c r="CC170" i="55" s="1"/>
  <c r="DS233" i="55"/>
  <c r="GR233" i="55" s="1"/>
  <c r="BJ5" i="10"/>
  <c r="AO20" i="54"/>
  <c r="AA20" i="54" s="1"/>
  <c r="BM15" i="55" s="1" a="1"/>
  <c r="BM15" i="55" s="1"/>
  <c r="CB184" i="55"/>
  <c r="CC184" i="55" s="1"/>
  <c r="CD184" i="55" s="1"/>
  <c r="CB217" i="55"/>
  <c r="CC217" i="55" s="1"/>
  <c r="BK5" i="10"/>
  <c r="BN5" i="10" s="1"/>
  <c r="BM14" i="10"/>
  <c r="CB194" i="55"/>
  <c r="CC194" i="55" s="1"/>
  <c r="BT19" i="54"/>
  <c r="CB263" i="55"/>
  <c r="CC263" i="55" s="1"/>
  <c r="CH263" i="55" s="1"/>
  <c r="EX143" i="55"/>
  <c r="GR143" i="55" s="1"/>
  <c r="GX143" i="55" s="1"/>
  <c r="GY143" i="55" s="1"/>
  <c r="CB100" i="55"/>
  <c r="CC100" i="55" s="1"/>
  <c r="CB212" i="55"/>
  <c r="CC212" i="55" s="1"/>
  <c r="CB291" i="55"/>
  <c r="CC291" i="55" s="1"/>
  <c r="CB41" i="55"/>
  <c r="CC41" i="55" s="1"/>
  <c r="CH41" i="55" s="1"/>
  <c r="BJ9" i="10"/>
  <c r="BL5" i="10"/>
  <c r="BJ14" i="10"/>
  <c r="BK35" i="10"/>
  <c r="BN35" i="10" s="1"/>
  <c r="BM9" i="10"/>
  <c r="BK14" i="10"/>
  <c r="BN14" i="10" s="1"/>
  <c r="BL8" i="10"/>
  <c r="CB347" i="55"/>
  <c r="CC347" i="55" s="1"/>
  <c r="CB242" i="55"/>
  <c r="CC242" i="55" s="1"/>
  <c r="CH242" i="55" s="1"/>
  <c r="DK5" i="55"/>
  <c r="BU25" i="54" s="1" a="1"/>
  <c r="BU25" i="54" s="1"/>
  <c r="EX335" i="55"/>
  <c r="EZ335" i="55" s="1"/>
  <c r="BO243" i="55"/>
  <c r="BT13" i="54"/>
  <c r="CB288" i="55"/>
  <c r="CC288" i="55" s="1"/>
  <c r="CH288" i="55" s="1"/>
  <c r="AO18" i="54"/>
  <c r="CB350" i="55"/>
  <c r="CC350" i="55" s="1"/>
  <c r="BT16" i="54"/>
  <c r="BO282" i="55"/>
  <c r="DU143" i="55"/>
  <c r="BO143" i="55"/>
  <c r="GC224" i="55"/>
  <c r="BJ25" i="10"/>
  <c r="BJ7" i="10"/>
  <c r="BM8" i="10"/>
  <c r="CB329" i="55"/>
  <c r="CC329" i="55" s="1"/>
  <c r="CB259" i="55"/>
  <c r="CC259" i="55" s="1"/>
  <c r="CH259" i="55" s="1"/>
  <c r="CB249" i="55"/>
  <c r="CC249" i="55" s="1"/>
  <c r="CH249" i="55" s="1"/>
  <c r="AO15" i="54"/>
  <c r="EX169" i="55"/>
  <c r="GR169" i="55" s="1"/>
  <c r="DS169" i="55"/>
  <c r="EX331" i="55"/>
  <c r="DS331" i="55"/>
  <c r="BT11" i="54"/>
  <c r="CB254" i="55"/>
  <c r="CC254" i="55" s="1"/>
  <c r="CH254" i="55" s="1"/>
  <c r="BL6" i="10"/>
  <c r="CB48" i="55"/>
  <c r="CC48" i="55" s="1"/>
  <c r="CH48" i="55" s="1"/>
  <c r="BM35" i="10"/>
  <c r="CY322" i="55"/>
  <c r="CZ321" i="55"/>
  <c r="BL35" i="10"/>
  <c r="CB289" i="55"/>
  <c r="CC289" i="55" s="1"/>
  <c r="CH289" i="55" s="1"/>
  <c r="CB142" i="55"/>
  <c r="CC142" i="55" s="1"/>
  <c r="CH142" i="55" s="1"/>
  <c r="CB40" i="55"/>
  <c r="CC40" i="55" s="1"/>
  <c r="CH40" i="55" s="1"/>
  <c r="DU55" i="55"/>
  <c r="CB55" i="55"/>
  <c r="CC55" i="55" s="1"/>
  <c r="CH55" i="55" s="1"/>
  <c r="CB65" i="55"/>
  <c r="CC65" i="55" s="1"/>
  <c r="CB318" i="55"/>
  <c r="CC318" i="55" s="1"/>
  <c r="CB290" i="55"/>
  <c r="CC290" i="55" s="1"/>
  <c r="CH290" i="55" s="1"/>
  <c r="CB327" i="55"/>
  <c r="CC327" i="55" s="1"/>
  <c r="BO227" i="55"/>
  <c r="CB72" i="55"/>
  <c r="CC72" i="55" s="1"/>
  <c r="CH72" i="55" s="1"/>
  <c r="BM36" i="10"/>
  <c r="BL12" i="10"/>
  <c r="BO153" i="55"/>
  <c r="CB6" i="55"/>
  <c r="CC6" i="55" s="1"/>
  <c r="BK12" i="10"/>
  <c r="BN12" i="10" s="1"/>
  <c r="CB82" i="55"/>
  <c r="CC82" i="55" s="1"/>
  <c r="CH82" i="55" s="1"/>
  <c r="CB137" i="55"/>
  <c r="CC137" i="55" s="1"/>
  <c r="CH137" i="55" s="1"/>
  <c r="AO10" i="54"/>
  <c r="BT12" i="54"/>
  <c r="CB177" i="55"/>
  <c r="CC177" i="55" s="1"/>
  <c r="CB168" i="55"/>
  <c r="CC168" i="55" s="1"/>
  <c r="CB298" i="55"/>
  <c r="CC298" i="55" s="1"/>
  <c r="CB166" i="55"/>
  <c r="CC166" i="55" s="1"/>
  <c r="CB322" i="55"/>
  <c r="CC322" i="55" s="1"/>
  <c r="CH322" i="55" s="1"/>
  <c r="DS123" i="55"/>
  <c r="GR123" i="55" s="1"/>
  <c r="CB182" i="55"/>
  <c r="CC182" i="55" s="1"/>
  <c r="CH182" i="55" s="1"/>
  <c r="BJ36" i="10"/>
  <c r="CZ227" i="55"/>
  <c r="CY228" i="55"/>
  <c r="CB225" i="55"/>
  <c r="CC225" i="55" s="1"/>
  <c r="EK7" i="55"/>
  <c r="FG7" i="55" s="1"/>
  <c r="CB153" i="55"/>
  <c r="CC153" i="55" s="1"/>
  <c r="CB352" i="55"/>
  <c r="CC352" i="55" s="1"/>
  <c r="CH352" i="55" s="1"/>
  <c r="CB86" i="55"/>
  <c r="CC86" i="55" s="1"/>
  <c r="CH86" i="55" s="1"/>
  <c r="BO232" i="55"/>
  <c r="CB276" i="55"/>
  <c r="CC276" i="55" s="1"/>
  <c r="CB125" i="55"/>
  <c r="CC125" i="55" s="1"/>
  <c r="CB161" i="55"/>
  <c r="CC161" i="55" s="1"/>
  <c r="DU232" i="55"/>
  <c r="BT14" i="54"/>
  <c r="DS37" i="55"/>
  <c r="GR37" i="55" s="1"/>
  <c r="GX37" i="55" s="1"/>
  <c r="DU227" i="55"/>
  <c r="CB339" i="55"/>
  <c r="CC339" i="55" s="1"/>
  <c r="CH339" i="55" s="1"/>
  <c r="CB111" i="55"/>
  <c r="CC111" i="55" s="1"/>
  <c r="CH111" i="55" s="1"/>
  <c r="CB314" i="55"/>
  <c r="CC314" i="55" s="1"/>
  <c r="CH314" i="55" s="1"/>
  <c r="CB202" i="55"/>
  <c r="CC202" i="55" s="1"/>
  <c r="BT25" i="54"/>
  <c r="CB216" i="55"/>
  <c r="CC216" i="55" s="1"/>
  <c r="CZ19" i="55"/>
  <c r="CY20" i="55"/>
  <c r="CY21" i="55" s="1"/>
  <c r="CY22" i="55" s="1"/>
  <c r="CY23" i="55" s="1"/>
  <c r="BJ12" i="10"/>
  <c r="CB244" i="55"/>
  <c r="CC244" i="55" s="1"/>
  <c r="CB231" i="55"/>
  <c r="CC231" i="55" s="1"/>
  <c r="BJ18" i="10"/>
  <c r="EL6" i="55"/>
  <c r="EM6" i="55" s="1"/>
  <c r="CB272" i="55"/>
  <c r="CC272" i="55" s="1"/>
  <c r="CH272" i="55" s="1"/>
  <c r="CB344" i="55"/>
  <c r="CC344" i="55" s="1"/>
  <c r="CH344" i="55" s="1"/>
  <c r="CB224" i="55"/>
  <c r="CC224" i="55" s="1"/>
  <c r="CD224" i="55" s="1"/>
  <c r="BL20" i="10"/>
  <c r="BK11" i="10"/>
  <c r="BN11" i="10" s="1"/>
  <c r="CB141" i="55"/>
  <c r="CC141" i="55" s="1"/>
  <c r="AO14" i="54"/>
  <c r="CZ56" i="55"/>
  <c r="CY57" i="55"/>
  <c r="BK24" i="10"/>
  <c r="BN24" i="10" s="1"/>
  <c r="BK18" i="10"/>
  <c r="BN18" i="10" s="1"/>
  <c r="BL11" i="10"/>
  <c r="BJ29" i="10"/>
  <c r="FE6" i="55"/>
  <c r="FI6" i="55" s="1"/>
  <c r="DG6" i="55"/>
  <c r="DH6" i="55" s="1"/>
  <c r="DJ6" i="55" s="1" a="1"/>
  <c r="DJ6" i="55" s="1"/>
  <c r="DL6" i="55" s="1"/>
  <c r="DO6" i="55" s="1"/>
  <c r="BT22" i="54"/>
  <c r="CB328" i="55"/>
  <c r="CC328" i="55" s="1"/>
  <c r="CH328" i="55" s="1"/>
  <c r="DU23" i="55"/>
  <c r="CB129" i="55"/>
  <c r="CC129" i="55" s="1"/>
  <c r="CH129" i="55" s="1"/>
  <c r="CY107" i="55"/>
  <c r="CZ106" i="55"/>
  <c r="CB215" i="55"/>
  <c r="CC215" i="55" s="1"/>
  <c r="CH215" i="55" s="1"/>
  <c r="AO22" i="54"/>
  <c r="AA22" i="54" s="1"/>
  <c r="BM17" i="55" s="1" a="1"/>
  <c r="BM17" i="55" s="1"/>
  <c r="FG6" i="55"/>
  <c r="AO23" i="54"/>
  <c r="AA23" i="54" s="1"/>
  <c r="BM18" i="55" s="1" a="1"/>
  <c r="BM18" i="55" s="1"/>
  <c r="CB228" i="55"/>
  <c r="CC228" i="55" s="1"/>
  <c r="CH228" i="55" s="1"/>
  <c r="CB238" i="55"/>
  <c r="CC238" i="55" s="1"/>
  <c r="CH238" i="55" s="1"/>
  <c r="CB144" i="55"/>
  <c r="CC144" i="55" s="1"/>
  <c r="CH144" i="55" s="1"/>
  <c r="CB106" i="55"/>
  <c r="CC106" i="55" s="1"/>
  <c r="CH106" i="55" s="1"/>
  <c r="EX106" i="55" s="1"/>
  <c r="BL18" i="10"/>
  <c r="CB252" i="55"/>
  <c r="CC252" i="55" s="1"/>
  <c r="BM24" i="10"/>
  <c r="BJ30" i="10"/>
  <c r="BJ11" i="10"/>
  <c r="BL29" i="10"/>
  <c r="DU263" i="55"/>
  <c r="FD6" i="55"/>
  <c r="CB116" i="55"/>
  <c r="CC116" i="55" s="1"/>
  <c r="CH116" i="55" s="1"/>
  <c r="BO190" i="55"/>
  <c r="DS227" i="55"/>
  <c r="CB267" i="55"/>
  <c r="CC267" i="55" s="1"/>
  <c r="CH267" i="55" s="1"/>
  <c r="CY287" i="55"/>
  <c r="CZ286" i="55"/>
  <c r="BL24" i="10"/>
  <c r="CB89" i="55"/>
  <c r="CC89" i="55" s="1"/>
  <c r="CB93" i="55"/>
  <c r="CC93" i="55" s="1"/>
  <c r="CH93" i="55" s="1"/>
  <c r="BL28" i="10"/>
  <c r="BJ38" i="10"/>
  <c r="BM29" i="10"/>
  <c r="BO215" i="55"/>
  <c r="DS181" i="55"/>
  <c r="GR181" i="55" s="1"/>
  <c r="GX181" i="55" s="1"/>
  <c r="CB38" i="55"/>
  <c r="CC38" i="55" s="1"/>
  <c r="CH38" i="55" s="1"/>
  <c r="CB167" i="55"/>
  <c r="CC167" i="55" s="1"/>
  <c r="CH167" i="55" s="1"/>
  <c r="CB266" i="55"/>
  <c r="CC266" i="55" s="1"/>
  <c r="AO13" i="54"/>
  <c r="BT10" i="54"/>
  <c r="C22" i="60" s="1"/>
  <c r="BM28" i="10"/>
  <c r="BM38" i="10"/>
  <c r="DS186" i="55"/>
  <c r="EX186" i="55"/>
  <c r="EX155" i="55"/>
  <c r="DS155" i="55"/>
  <c r="CH21" i="55"/>
  <c r="CH24" i="55"/>
  <c r="CH74" i="55"/>
  <c r="CH327" i="55"/>
  <c r="DS314" i="55"/>
  <c r="EX314" i="55"/>
  <c r="CH202" i="55"/>
  <c r="CH244" i="55"/>
  <c r="CH231" i="55"/>
  <c r="EX332" i="55"/>
  <c r="DS332" i="55"/>
  <c r="CH216" i="55"/>
  <c r="CH262" i="55"/>
  <c r="DS106" i="55"/>
  <c r="CH266" i="55"/>
  <c r="CH250" i="55"/>
  <c r="CH6" i="55"/>
  <c r="CH141" i="55"/>
  <c r="CH247" i="55"/>
  <c r="CH89" i="55"/>
  <c r="BO209" i="55"/>
  <c r="DU209" i="55"/>
  <c r="FZ330" i="55" a="1"/>
  <c r="FZ330" i="55" s="1"/>
  <c r="GA330" i="55" s="1"/>
  <c r="FX330" i="55" a="1"/>
  <c r="FX330" i="55" s="1"/>
  <c r="FY330" i="55" s="1"/>
  <c r="FV330" i="55" a="1"/>
  <c r="FV330" i="55" s="1"/>
  <c r="FW330" i="55" s="1"/>
  <c r="FR330" i="55" a="1"/>
  <c r="FR330" i="55" s="1"/>
  <c r="FS330" i="55" s="1"/>
  <c r="FP330" i="55" a="1"/>
  <c r="FP330" i="55" s="1"/>
  <c r="FQ330" i="55" s="1"/>
  <c r="FT330" i="55" a="1"/>
  <c r="FT330" i="55" s="1"/>
  <c r="FU330" i="55" s="1"/>
  <c r="DU152" i="55"/>
  <c r="BO152" i="55"/>
  <c r="CH61" i="55"/>
  <c r="DU217" i="55"/>
  <c r="BO217" i="55"/>
  <c r="CH275" i="55"/>
  <c r="GR261" i="55"/>
  <c r="AG26" i="54"/>
  <c r="AH26" i="54"/>
  <c r="DP352" i="55"/>
  <c r="DP342" i="55"/>
  <c r="DP344" i="55"/>
  <c r="DP345" i="55"/>
  <c r="DP341" i="55"/>
  <c r="DP343" i="55"/>
  <c r="DP346" i="55"/>
  <c r="DP347" i="55"/>
  <c r="DP348" i="55"/>
  <c r="DP349" i="55"/>
  <c r="DP351" i="55"/>
  <c r="DP350" i="55"/>
  <c r="CH23" i="55"/>
  <c r="CH265" i="55"/>
  <c r="CH105" i="55"/>
  <c r="AO19" i="54"/>
  <c r="CH264" i="55"/>
  <c r="CH226" i="55"/>
  <c r="GR196" i="55"/>
  <c r="DU148" i="55"/>
  <c r="BO148" i="55"/>
  <c r="BM22" i="10"/>
  <c r="DU141" i="55"/>
  <c r="BO141" i="55"/>
  <c r="CH298" i="55"/>
  <c r="CH252" i="55"/>
  <c r="CH318" i="55"/>
  <c r="GC341" i="55"/>
  <c r="BO276" i="55"/>
  <c r="DU276" i="55"/>
  <c r="FA318" i="55"/>
  <c r="GB318" i="55" s="1"/>
  <c r="FC318" i="55"/>
  <c r="EW318" i="55"/>
  <c r="EV329" i="55"/>
  <c r="EU329" i="55"/>
  <c r="GU329" i="55" s="1"/>
  <c r="DU246" i="55"/>
  <c r="BO246" i="55"/>
  <c r="CB246" i="55"/>
  <c r="CC246" i="55" s="1"/>
  <c r="EU332" i="55"/>
  <c r="GU332" i="55" s="1"/>
  <c r="EV332" i="55"/>
  <c r="ET333" i="55"/>
  <c r="GR227" i="55"/>
  <c r="EX324" i="55"/>
  <c r="DS324" i="55"/>
  <c r="GR198" i="55"/>
  <c r="GX198" i="55" s="1"/>
  <c r="EX203" i="55"/>
  <c r="DS203" i="55"/>
  <c r="EX96" i="55"/>
  <c r="DS96" i="55"/>
  <c r="AE25" i="54" a="1"/>
  <c r="AE25" i="54" s="1"/>
  <c r="AH25" i="54"/>
  <c r="AG25" i="54"/>
  <c r="DP336" i="55"/>
  <c r="DP338" i="55"/>
  <c r="DP339" i="55"/>
  <c r="DP335" i="55"/>
  <c r="DP337" i="55"/>
  <c r="DP340" i="55"/>
  <c r="AO16" i="54"/>
  <c r="AA16" i="54" s="1"/>
  <c r="BM10" i="55" s="1" a="1"/>
  <c r="BM10" i="55" s="1"/>
  <c r="CH145" i="55"/>
  <c r="EX277" i="55"/>
  <c r="DS277" i="55"/>
  <c r="GR201" i="55"/>
  <c r="DU267" i="55"/>
  <c r="BO267" i="55"/>
  <c r="CH156" i="55"/>
  <c r="DU52" i="55"/>
  <c r="BO52" i="55"/>
  <c r="CH117" i="55"/>
  <c r="FC331" i="55"/>
  <c r="EW331" i="55"/>
  <c r="FA331" i="55"/>
  <c r="GB331" i="55" s="1"/>
  <c r="GR315" i="55"/>
  <c r="GX315" i="55" s="1"/>
  <c r="EX316" i="55"/>
  <c r="DS316" i="55"/>
  <c r="DU234" i="55"/>
  <c r="BO234" i="55"/>
  <c r="CB234" i="55"/>
  <c r="CC234" i="55" s="1"/>
  <c r="CH168" i="55"/>
  <c r="EX286" i="55"/>
  <c r="DS286" i="55"/>
  <c r="DU240" i="55"/>
  <c r="BO240" i="55"/>
  <c r="GR135" i="55"/>
  <c r="GX135" i="55" s="1"/>
  <c r="GR118" i="55"/>
  <c r="DU202" i="55"/>
  <c r="BO202" i="55"/>
  <c r="EX56" i="55"/>
  <c r="DS56" i="55"/>
  <c r="CZ328" i="55"/>
  <c r="CY329" i="55"/>
  <c r="CZ329" i="55" s="1"/>
  <c r="CH189" i="55"/>
  <c r="DU41" i="55"/>
  <c r="BO41" i="55"/>
  <c r="GR342" i="55"/>
  <c r="EY342" i="55"/>
  <c r="EX271" i="55"/>
  <c r="DS271" i="55"/>
  <c r="AG19" i="54"/>
  <c r="AH19" i="54"/>
  <c r="DP224" i="55"/>
  <c r="DP240" i="55"/>
  <c r="DP256" i="55"/>
  <c r="DP272" i="55"/>
  <c r="DP235" i="55"/>
  <c r="DP252" i="55"/>
  <c r="DP269" i="55"/>
  <c r="DP229" i="55"/>
  <c r="DP247" i="55"/>
  <c r="DP265" i="55"/>
  <c r="DP237" i="55"/>
  <c r="DP257" i="55"/>
  <c r="DP276" i="55"/>
  <c r="DP238" i="55"/>
  <c r="DP258" i="55"/>
  <c r="DP277" i="55"/>
  <c r="DP239" i="55"/>
  <c r="DP259" i="55"/>
  <c r="DP278" i="55"/>
  <c r="DP241" i="55"/>
  <c r="DP260" i="55"/>
  <c r="DP279" i="55"/>
  <c r="DP234" i="55"/>
  <c r="DP263" i="55"/>
  <c r="DP242" i="55"/>
  <c r="DP266" i="55"/>
  <c r="DP243" i="55"/>
  <c r="DP267" i="55"/>
  <c r="DP233" i="55"/>
  <c r="DP262" i="55"/>
  <c r="DP236" i="55"/>
  <c r="DP273" i="55"/>
  <c r="DP244" i="55"/>
  <c r="DP274" i="55"/>
  <c r="DP245" i="55"/>
  <c r="DP275" i="55"/>
  <c r="DP246" i="55"/>
  <c r="DP280" i="55"/>
  <c r="DP228" i="55"/>
  <c r="DP281" i="55"/>
  <c r="DP231" i="55"/>
  <c r="DP232" i="55"/>
  <c r="DP248" i="55"/>
  <c r="DP226" i="55"/>
  <c r="DP270" i="55"/>
  <c r="DP249" i="55"/>
  <c r="DP250" i="55"/>
  <c r="DP251" i="55"/>
  <c r="DP253" i="55"/>
  <c r="DP255" i="55"/>
  <c r="DP264" i="55"/>
  <c r="DP268" i="55"/>
  <c r="DP254" i="55"/>
  <c r="DP227" i="55"/>
  <c r="DP230" i="55"/>
  <c r="DP271" i="55"/>
  <c r="DP282" i="55"/>
  <c r="DP225" i="55"/>
  <c r="DP261" i="55"/>
  <c r="CH35" i="55"/>
  <c r="FC343" i="55"/>
  <c r="FA343" i="55"/>
  <c r="GB343" i="55" s="1"/>
  <c r="EW343" i="55"/>
  <c r="EX242" i="55"/>
  <c r="DS242" i="55"/>
  <c r="DN32" i="55"/>
  <c r="DK32" i="55"/>
  <c r="DU230" i="55"/>
  <c r="BO230" i="55"/>
  <c r="EW328" i="55"/>
  <c r="FA328" i="55"/>
  <c r="GB328" i="55" s="1"/>
  <c r="FC328" i="55"/>
  <c r="CH212" i="55"/>
  <c r="DU35" i="55"/>
  <c r="BO35" i="55"/>
  <c r="EX68" i="55"/>
  <c r="DS68" i="55"/>
  <c r="EX69" i="55"/>
  <c r="DS69" i="55"/>
  <c r="CB230" i="55"/>
  <c r="CC230" i="55" s="1"/>
  <c r="CB257" i="55"/>
  <c r="CC257" i="55" s="1"/>
  <c r="CH115" i="55"/>
  <c r="DS282" i="55"/>
  <c r="EX282" i="55"/>
  <c r="DU212" i="55"/>
  <c r="BO212" i="55"/>
  <c r="EX178" i="55"/>
  <c r="DS178" i="55"/>
  <c r="EX229" i="55"/>
  <c r="DS229" i="55"/>
  <c r="CB296" i="55"/>
  <c r="CC296" i="55" s="1"/>
  <c r="CH323" i="55"/>
  <c r="CH217" i="55"/>
  <c r="EX32" i="55"/>
  <c r="DS32" i="55"/>
  <c r="BT20" i="54"/>
  <c r="EU229" i="55"/>
  <c r="GU229" i="55" s="1"/>
  <c r="EV229" i="55"/>
  <c r="ET230" i="55"/>
  <c r="CH64" i="55"/>
  <c r="FC155" i="55"/>
  <c r="FA155" i="55"/>
  <c r="GB155" i="55" s="1"/>
  <c r="EW155" i="55"/>
  <c r="AH17" i="54"/>
  <c r="AG17" i="54"/>
  <c r="DP160" i="55"/>
  <c r="DP176" i="55"/>
  <c r="DP167" i="55"/>
  <c r="DP156" i="55"/>
  <c r="DP174" i="55"/>
  <c r="DP159" i="55"/>
  <c r="DP179" i="55"/>
  <c r="DP161" i="55"/>
  <c r="DP180" i="55"/>
  <c r="DP162" i="55"/>
  <c r="DP181" i="55"/>
  <c r="DP163" i="55"/>
  <c r="DP182" i="55"/>
  <c r="DP157" i="55"/>
  <c r="DP164" i="55"/>
  <c r="DP165" i="55"/>
  <c r="DP155" i="55"/>
  <c r="DP170" i="55"/>
  <c r="DP171" i="55"/>
  <c r="DP172" i="55"/>
  <c r="DP173" i="55"/>
  <c r="DP178" i="55"/>
  <c r="DP169" i="55"/>
  <c r="DP175" i="55"/>
  <c r="DP177" i="55"/>
  <c r="DP183" i="55"/>
  <c r="DP158" i="55"/>
  <c r="DP168" i="55"/>
  <c r="DP154" i="55"/>
  <c r="DP166" i="55"/>
  <c r="CH132" i="55"/>
  <c r="CB295" i="55"/>
  <c r="CC295" i="55" s="1"/>
  <c r="AH23" i="54"/>
  <c r="AG23" i="54"/>
  <c r="DP326" i="55"/>
  <c r="DP328" i="55"/>
  <c r="DP329" i="55"/>
  <c r="DP325" i="55"/>
  <c r="DP327" i="55"/>
  <c r="GR108" i="55"/>
  <c r="GX108" i="55" s="1"/>
  <c r="DU151" i="55"/>
  <c r="BO151" i="55"/>
  <c r="CH140" i="55"/>
  <c r="CH60" i="55"/>
  <c r="EX4" i="55"/>
  <c r="DS4" i="55"/>
  <c r="AG12" i="54"/>
  <c r="AH12" i="54"/>
  <c r="DP32" i="55"/>
  <c r="DP48" i="55"/>
  <c r="DP47" i="55"/>
  <c r="DP46" i="55"/>
  <c r="DP42" i="55"/>
  <c r="DP43" i="55"/>
  <c r="DP44" i="55"/>
  <c r="DP45" i="55"/>
  <c r="DP31" i="55"/>
  <c r="DP34" i="55"/>
  <c r="DP35" i="55"/>
  <c r="DP33" i="55"/>
  <c r="DP36" i="55"/>
  <c r="DP37" i="55"/>
  <c r="DP38" i="55"/>
  <c r="DP50" i="55"/>
  <c r="DP52" i="55"/>
  <c r="DP41" i="55"/>
  <c r="DP39" i="55"/>
  <c r="DP40" i="55"/>
  <c r="DP49" i="55"/>
  <c r="DP51" i="55"/>
  <c r="DU259" i="55"/>
  <c r="BO259" i="55"/>
  <c r="CH336" i="55"/>
  <c r="EX163" i="55"/>
  <c r="DS163" i="55"/>
  <c r="DU142" i="55"/>
  <c r="BO142" i="55"/>
  <c r="AH16" i="54"/>
  <c r="AG16" i="54"/>
  <c r="DP144" i="55"/>
  <c r="DP133" i="55"/>
  <c r="DP150" i="55"/>
  <c r="DP138" i="55"/>
  <c r="DP140" i="55"/>
  <c r="DP141" i="55"/>
  <c r="DP142" i="55"/>
  <c r="DP143" i="55"/>
  <c r="DP132" i="55"/>
  <c r="DP135" i="55"/>
  <c r="DP136" i="55"/>
  <c r="DP131" i="55"/>
  <c r="DP134" i="55"/>
  <c r="DP137" i="55"/>
  <c r="DP139" i="55"/>
  <c r="DP145" i="55"/>
  <c r="DP146" i="55"/>
  <c r="DP148" i="55"/>
  <c r="DP149" i="55"/>
  <c r="DP151" i="55"/>
  <c r="DP147" i="55"/>
  <c r="DP152" i="55"/>
  <c r="DP153" i="55"/>
  <c r="DP130" i="55"/>
  <c r="EX171" i="55"/>
  <c r="DS171" i="55"/>
  <c r="FZ313" i="55" a="1"/>
  <c r="FZ313" i="55" s="1"/>
  <c r="GA313" i="55" s="1"/>
  <c r="FV313" i="55" a="1"/>
  <c r="FV313" i="55" s="1"/>
  <c r="FW313" i="55" s="1"/>
  <c r="FR313" i="55" a="1"/>
  <c r="FR313" i="55" s="1"/>
  <c r="FS313" i="55" s="1"/>
  <c r="FX313" i="55" a="1"/>
  <c r="FX313" i="55" s="1"/>
  <c r="FY313" i="55" s="1"/>
  <c r="FP313" i="55" a="1"/>
  <c r="FP313" i="55" s="1"/>
  <c r="FQ313" i="55" s="1"/>
  <c r="FT313" i="55" a="1"/>
  <c r="FT313" i="55" s="1"/>
  <c r="FU313" i="55" s="1"/>
  <c r="DU266" i="55"/>
  <c r="BO266" i="55"/>
  <c r="DU257" i="55"/>
  <c r="BO257" i="55"/>
  <c r="DU216" i="55"/>
  <c r="BO216" i="55"/>
  <c r="FT341" i="55" a="1"/>
  <c r="FT341" i="55" s="1"/>
  <c r="FU341" i="55" s="1"/>
  <c r="FX341" i="55" a="1"/>
  <c r="FX341" i="55" s="1"/>
  <c r="FY341" i="55" s="1"/>
  <c r="FV341" i="55" a="1"/>
  <c r="FV341" i="55" s="1"/>
  <c r="FW341" i="55" s="1"/>
  <c r="FZ341" i="55" a="1"/>
  <c r="FZ341" i="55" s="1"/>
  <c r="GA341" i="55" s="1"/>
  <c r="FP341" i="55" a="1"/>
  <c r="FP341" i="55" s="1"/>
  <c r="FQ341" i="55" s="1"/>
  <c r="FR341" i="55" a="1"/>
  <c r="FR341" i="55" s="1"/>
  <c r="FS341" i="55" s="1"/>
  <c r="CB130" i="55"/>
  <c r="CC130" i="55" s="1"/>
  <c r="CH269" i="55"/>
  <c r="CB253" i="55"/>
  <c r="CC253" i="55" s="1"/>
  <c r="CH188" i="55"/>
  <c r="EX175" i="55"/>
  <c r="DS175" i="55"/>
  <c r="CH101" i="55"/>
  <c r="DU242" i="55"/>
  <c r="BO242" i="55"/>
  <c r="EX320" i="55"/>
  <c r="DS320" i="55"/>
  <c r="EU156" i="55"/>
  <c r="GU156" i="55" s="1"/>
  <c r="EV156" i="55"/>
  <c r="ET157" i="55"/>
  <c r="CB80" i="55"/>
  <c r="CC80" i="55" s="1"/>
  <c r="CH46" i="55"/>
  <c r="CH49" i="55"/>
  <c r="CH76" i="55"/>
  <c r="CH109" i="55"/>
  <c r="X7" i="42"/>
  <c r="CB293" i="55"/>
  <c r="CC293" i="55" s="1"/>
  <c r="EV33" i="55"/>
  <c r="EU33" i="55"/>
  <c r="GU33" i="55" s="1"/>
  <c r="ET34" i="55"/>
  <c r="GR334" i="55"/>
  <c r="GX334" i="55" s="1"/>
  <c r="GY334" i="55" s="1"/>
  <c r="CB294" i="55"/>
  <c r="CC294" i="55" s="1"/>
  <c r="CH78" i="55"/>
  <c r="DU134" i="55"/>
  <c r="BO134" i="55"/>
  <c r="BO189" i="55"/>
  <c r="DU189" i="55"/>
  <c r="EX173" i="55"/>
  <c r="DS173" i="55"/>
  <c r="EX214" i="55"/>
  <c r="DS214" i="55"/>
  <c r="EX127" i="55"/>
  <c r="DS127" i="55"/>
  <c r="BM13" i="10"/>
  <c r="GY130" i="55"/>
  <c r="GX130" i="55"/>
  <c r="GR130" i="55"/>
  <c r="GS130" i="55" s="1"/>
  <c r="EY130" i="55"/>
  <c r="DU43" i="55"/>
  <c r="BO43" i="55"/>
  <c r="EV186" i="55"/>
  <c r="EU186" i="55"/>
  <c r="GU186" i="55" s="1"/>
  <c r="ET187" i="55"/>
  <c r="DU185" i="55"/>
  <c r="BO185" i="55"/>
  <c r="EX81" i="55"/>
  <c r="DS81" i="55"/>
  <c r="CB340" i="55"/>
  <c r="CC340" i="55" s="1"/>
  <c r="CH131" i="55"/>
  <c r="CH337" i="55"/>
  <c r="EX206" i="55"/>
  <c r="DS206" i="55"/>
  <c r="CH110" i="55"/>
  <c r="AH15" i="54"/>
  <c r="AG15" i="54"/>
  <c r="DP112" i="55"/>
  <c r="DP128" i="55"/>
  <c r="DP116" i="55"/>
  <c r="DP102" i="55"/>
  <c r="DP120" i="55"/>
  <c r="DP121" i="55"/>
  <c r="DP103" i="55"/>
  <c r="DP122" i="55"/>
  <c r="DP104" i="55"/>
  <c r="DP123" i="55"/>
  <c r="DP105" i="55"/>
  <c r="DP124" i="55"/>
  <c r="DP108" i="55"/>
  <c r="DP110" i="55"/>
  <c r="DP111" i="55"/>
  <c r="DP107" i="55"/>
  <c r="DP106" i="55"/>
  <c r="DP109" i="55"/>
  <c r="DP129" i="55"/>
  <c r="DP114" i="55"/>
  <c r="DP115" i="55"/>
  <c r="DP117" i="55"/>
  <c r="DP118" i="55"/>
  <c r="DP126" i="55"/>
  <c r="DP127" i="55"/>
  <c r="DP119" i="55"/>
  <c r="DP125" i="55"/>
  <c r="DP113" i="55"/>
  <c r="EX45" i="55"/>
  <c r="DS45" i="55"/>
  <c r="DU258" i="55"/>
  <c r="BO258" i="55"/>
  <c r="AG18" i="54"/>
  <c r="AH18" i="54"/>
  <c r="DP192" i="55"/>
  <c r="DP208" i="55"/>
  <c r="DP184" i="55"/>
  <c r="DP201" i="55"/>
  <c r="DP218" i="55"/>
  <c r="DP193" i="55"/>
  <c r="DP211" i="55"/>
  <c r="DP198" i="55"/>
  <c r="DP217" i="55"/>
  <c r="DP199" i="55"/>
  <c r="DP219" i="55"/>
  <c r="DP200" i="55"/>
  <c r="DP220" i="55"/>
  <c r="DP202" i="55"/>
  <c r="DP221" i="55"/>
  <c r="DP186" i="55"/>
  <c r="DP210" i="55"/>
  <c r="DP188" i="55"/>
  <c r="DP213" i="55"/>
  <c r="DP189" i="55"/>
  <c r="DP214" i="55"/>
  <c r="DP185" i="55"/>
  <c r="DP209" i="55"/>
  <c r="DP204" i="55"/>
  <c r="DP205" i="55"/>
  <c r="DP206" i="55"/>
  <c r="DP207" i="55"/>
  <c r="DP187" i="55"/>
  <c r="DP191" i="55"/>
  <c r="DP194" i="55"/>
  <c r="DP195" i="55"/>
  <c r="DP190" i="55"/>
  <c r="DP196" i="55"/>
  <c r="DP223" i="55"/>
  <c r="DP197" i="55"/>
  <c r="DP203" i="55"/>
  <c r="DP215" i="55"/>
  <c r="DP212" i="55"/>
  <c r="DP216" i="55"/>
  <c r="DP222" i="55"/>
  <c r="AH21" i="54"/>
  <c r="AG21" i="54"/>
  <c r="DP314" i="55"/>
  <c r="DP315" i="55"/>
  <c r="DP316" i="55"/>
  <c r="DP313" i="55"/>
  <c r="CH99" i="55"/>
  <c r="DU260" i="55"/>
  <c r="BO260" i="55"/>
  <c r="CB260" i="55"/>
  <c r="CC260" i="55" s="1"/>
  <c r="CB321" i="55"/>
  <c r="CC321" i="55" s="1"/>
  <c r="CB176" i="55"/>
  <c r="CC176" i="55" s="1"/>
  <c r="CB185" i="55"/>
  <c r="CC185" i="55" s="1"/>
  <c r="DU38" i="55"/>
  <c r="BO38" i="55"/>
  <c r="FC284" i="55"/>
  <c r="FA284" i="55"/>
  <c r="GB284" i="55" s="1"/>
  <c r="EW284" i="55"/>
  <c r="FA4" i="55"/>
  <c r="GB4" i="55" s="1"/>
  <c r="FC4" i="55"/>
  <c r="EW4" i="55"/>
  <c r="DU132" i="55"/>
  <c r="BO132" i="55"/>
  <c r="FA32" i="55"/>
  <c r="GB32" i="55" s="1"/>
  <c r="FC32" i="55"/>
  <c r="EW32" i="55"/>
  <c r="DZ11" i="55"/>
  <c r="DY12" i="55" s="1"/>
  <c r="CH346" i="55"/>
  <c r="GC313" i="55"/>
  <c r="CY35" i="55"/>
  <c r="CZ34" i="55"/>
  <c r="DD34" i="55" s="1"/>
  <c r="GB3" i="55"/>
  <c r="DU140" i="55"/>
  <c r="BO140" i="55"/>
  <c r="EX120" i="55"/>
  <c r="DS120" i="55"/>
  <c r="DU36" i="55"/>
  <c r="BO36" i="55"/>
  <c r="CH338" i="55"/>
  <c r="CH309" i="55"/>
  <c r="CH91" i="55"/>
  <c r="CB258" i="55"/>
  <c r="CC258" i="55" s="1"/>
  <c r="EX319" i="55"/>
  <c r="DS319" i="55"/>
  <c r="CH183" i="55"/>
  <c r="EU285" i="55"/>
  <c r="GU285" i="55" s="1"/>
  <c r="EV285" i="55"/>
  <c r="ET286" i="55"/>
  <c r="GC330" i="55"/>
  <c r="GY3" i="55"/>
  <c r="GX3" i="55"/>
  <c r="GR3" i="55"/>
  <c r="EY3" i="55"/>
  <c r="EX150" i="55"/>
  <c r="DS150" i="55"/>
  <c r="DU244" i="55"/>
  <c r="BO244" i="55"/>
  <c r="DU270" i="55"/>
  <c r="BO270" i="55"/>
  <c r="CB134" i="55"/>
  <c r="CC134" i="55" s="1"/>
  <c r="CH213" i="55"/>
  <c r="CH36" i="55"/>
  <c r="BL30" i="10"/>
  <c r="BL16" i="10"/>
  <c r="BJ13" i="10"/>
  <c r="DU218" i="55"/>
  <c r="BO218" i="55"/>
  <c r="BM30" i="10"/>
  <c r="BM16" i="10"/>
  <c r="BK13" i="10"/>
  <c r="BN13" i="10" s="1"/>
  <c r="EX333" i="55"/>
  <c r="DS333" i="55"/>
  <c r="CB218" i="55"/>
  <c r="CC218" i="55" s="1"/>
  <c r="FZ50" i="55" a="1"/>
  <c r="FZ50" i="55" s="1"/>
  <c r="GA50" i="55" s="1"/>
  <c r="FV50" i="55" a="1"/>
  <c r="FV50" i="55" s="1"/>
  <c r="FW50" i="55" s="1"/>
  <c r="FX50" i="55" a="1"/>
  <c r="FX50" i="55" s="1"/>
  <c r="FY50" i="55" s="1"/>
  <c r="FP50" i="55" a="1"/>
  <c r="FP50" i="55" s="1"/>
  <c r="FQ50" i="55" s="1"/>
  <c r="FT50" i="55" a="1"/>
  <c r="FT50" i="55" s="1"/>
  <c r="FU50" i="55" s="1"/>
  <c r="FR50" i="55" a="1"/>
  <c r="FR50" i="55" s="1"/>
  <c r="FS50" i="55" s="1"/>
  <c r="DU310" i="55"/>
  <c r="CB310" i="55"/>
  <c r="CC310" i="55" s="1"/>
  <c r="DU46" i="55"/>
  <c r="BO46" i="55"/>
  <c r="EW185" i="55"/>
  <c r="FA185" i="55"/>
  <c r="GB185" i="55" s="1"/>
  <c r="FC185" i="55"/>
  <c r="CZ157" i="55"/>
  <c r="CY158" i="55"/>
  <c r="CB121" i="55"/>
  <c r="CC121" i="55" s="1"/>
  <c r="GX25" i="55"/>
  <c r="GR25" i="55"/>
  <c r="GS25" i="55" s="1"/>
  <c r="GY25" i="55"/>
  <c r="EY25" i="55"/>
  <c r="FN25" i="55" s="1"/>
  <c r="FO25" i="55" s="1"/>
  <c r="DU312" i="55"/>
  <c r="CB312" i="55"/>
  <c r="CC312" i="55" s="1"/>
  <c r="DU138" i="55"/>
  <c r="BO138" i="55"/>
  <c r="CB138" i="55"/>
  <c r="CC138" i="55" s="1"/>
  <c r="DU126" i="55"/>
  <c r="CB126" i="55"/>
  <c r="CC126" i="55" s="1"/>
  <c r="CY189" i="55"/>
  <c r="CZ188" i="55"/>
  <c r="EX195" i="55"/>
  <c r="DS195" i="55"/>
  <c r="GY256" i="55"/>
  <c r="CH172" i="55"/>
  <c r="GR349" i="55"/>
  <c r="GX349" i="55" s="1"/>
  <c r="GY349" i="55" s="1"/>
  <c r="GR159" i="55"/>
  <c r="GX159" i="55" s="1"/>
  <c r="EX192" i="55"/>
  <c r="DS192" i="55"/>
  <c r="CH208" i="55"/>
  <c r="AO17" i="54"/>
  <c r="AA17" i="54" s="1"/>
  <c r="BM12" i="55" s="1" a="1"/>
  <c r="BM12" i="55" s="1"/>
  <c r="CB84" i="55"/>
  <c r="CC84" i="55" s="1"/>
  <c r="CY346" i="55"/>
  <c r="CZ345" i="55"/>
  <c r="CB222" i="55"/>
  <c r="CC222" i="55" s="1"/>
  <c r="GR83" i="55"/>
  <c r="GX83" i="55"/>
  <c r="CH67" i="55"/>
  <c r="DU249" i="55"/>
  <c r="BO249" i="55"/>
  <c r="CY97" i="55"/>
  <c r="CZ96" i="55"/>
  <c r="DU253" i="55"/>
  <c r="BO253" i="55"/>
  <c r="CB52" i="55"/>
  <c r="CC52" i="55" s="1"/>
  <c r="CH329" i="55"/>
  <c r="CJ3" i="55"/>
  <c r="BT3" i="55"/>
  <c r="CK3" i="55"/>
  <c r="CL3" i="55" s="1"/>
  <c r="FH3" i="55" s="1"/>
  <c r="FJ3" i="55" s="1"/>
  <c r="BU3" i="55"/>
  <c r="EB3" i="55"/>
  <c r="CI3" i="55"/>
  <c r="CH43" i="55"/>
  <c r="CH153" i="55"/>
  <c r="CB114" i="55"/>
  <c r="CC114" i="55" s="1"/>
  <c r="CH103" i="55"/>
  <c r="DS139" i="55"/>
  <c r="EX139" i="55"/>
  <c r="CH75" i="55"/>
  <c r="CH160" i="55"/>
  <c r="GR348" i="55"/>
  <c r="CH151" i="55"/>
  <c r="CB162" i="55"/>
  <c r="CC162" i="55" s="1"/>
  <c r="CB164" i="55"/>
  <c r="CC164" i="55" s="1"/>
  <c r="BO272" i="55"/>
  <c r="DU272" i="55"/>
  <c r="DU254" i="55"/>
  <c r="BO254" i="55"/>
  <c r="DU247" i="55"/>
  <c r="BO247" i="55"/>
  <c r="DU205" i="55"/>
  <c r="BO205" i="55"/>
  <c r="CB205" i="55"/>
  <c r="CC205" i="55" s="1"/>
  <c r="EX92" i="55"/>
  <c r="DS92" i="55"/>
  <c r="EX241" i="55"/>
  <c r="DS241" i="55"/>
  <c r="EV5" i="55"/>
  <c r="EU5" i="55"/>
  <c r="GU5" i="55" s="1"/>
  <c r="ET6" i="55"/>
  <c r="CH308" i="55"/>
  <c r="FA228" i="55"/>
  <c r="GB228" i="55" s="1"/>
  <c r="EW228" i="55"/>
  <c r="FC228" i="55"/>
  <c r="DU144" i="55"/>
  <c r="BO144" i="55"/>
  <c r="GR63" i="55"/>
  <c r="GX63" i="55" s="1"/>
  <c r="BJ16" i="10"/>
  <c r="BT15" i="54"/>
  <c r="EX237" i="55"/>
  <c r="DS237" i="55"/>
  <c r="CH65" i="55"/>
  <c r="GR197" i="55"/>
  <c r="EX301" i="55"/>
  <c r="DS301" i="55"/>
  <c r="CH347" i="55"/>
  <c r="CH248" i="55"/>
  <c r="BT11" i="55"/>
  <c r="CJ11" i="55"/>
  <c r="BU11" i="55"/>
  <c r="CI11" i="55"/>
  <c r="CH161" i="55"/>
  <c r="GR79" i="55"/>
  <c r="DU40" i="55"/>
  <c r="BO40" i="55"/>
  <c r="EW56" i="55"/>
  <c r="FA56" i="55"/>
  <c r="GB56" i="55" s="1"/>
  <c r="FC56" i="55"/>
  <c r="EX59" i="55"/>
  <c r="DS59" i="55"/>
  <c r="DU250" i="55"/>
  <c r="BO250" i="55"/>
  <c r="CB98" i="55"/>
  <c r="CC98" i="55" s="1"/>
  <c r="EX288" i="55"/>
  <c r="DS288" i="55"/>
  <c r="DU180" i="55"/>
  <c r="CB180" i="55"/>
  <c r="CC180" i="55" s="1"/>
  <c r="DU39" i="55"/>
  <c r="BO39" i="55"/>
  <c r="CH350" i="55"/>
  <c r="EX274" i="55"/>
  <c r="DS274" i="55"/>
  <c r="DU194" i="55"/>
  <c r="BO194" i="55"/>
  <c r="CH179" i="55"/>
  <c r="DU137" i="55"/>
  <c r="BO137" i="55"/>
  <c r="CH34" i="55"/>
  <c r="BK33" i="10"/>
  <c r="BN33" i="10" s="1"/>
  <c r="BJ6" i="10"/>
  <c r="CB299" i="55"/>
  <c r="CC299" i="55" s="1"/>
  <c r="CB39" i="55"/>
  <c r="CC39" i="55" s="1"/>
  <c r="CH284" i="55"/>
  <c r="EX351" i="55"/>
  <c r="DS351" i="55"/>
  <c r="CH42" i="55"/>
  <c r="EX85" i="55"/>
  <c r="DS85" i="55"/>
  <c r="AH11" i="54"/>
  <c r="AG11" i="54"/>
  <c r="DP30" i="55"/>
  <c r="DP28" i="55"/>
  <c r="DP27" i="55"/>
  <c r="DP29" i="55"/>
  <c r="DP26" i="55"/>
  <c r="AG13" i="54"/>
  <c r="AH13" i="54"/>
  <c r="DP64" i="55"/>
  <c r="DP80" i="55"/>
  <c r="DP65" i="55"/>
  <c r="DP82" i="55"/>
  <c r="DP66" i="55"/>
  <c r="DP84" i="55"/>
  <c r="DP61" i="55"/>
  <c r="DP81" i="55"/>
  <c r="DP62" i="55"/>
  <c r="DP83" i="55"/>
  <c r="DP63" i="55"/>
  <c r="DP85" i="55"/>
  <c r="DP67" i="55"/>
  <c r="DP86" i="55"/>
  <c r="DP55" i="55"/>
  <c r="DP78" i="55"/>
  <c r="DP57" i="55"/>
  <c r="DP87" i="55"/>
  <c r="DP58" i="55"/>
  <c r="DP54" i="55"/>
  <c r="DP77" i="55"/>
  <c r="DP69" i="55"/>
  <c r="DP70" i="55"/>
  <c r="DP71" i="55"/>
  <c r="DP72" i="55"/>
  <c r="DP53" i="55"/>
  <c r="DP56" i="55"/>
  <c r="DP75" i="55"/>
  <c r="DP79" i="55"/>
  <c r="DP74" i="55"/>
  <c r="DP59" i="55"/>
  <c r="DP60" i="55"/>
  <c r="DP76" i="55"/>
  <c r="DP68" i="55"/>
  <c r="DP73" i="55"/>
  <c r="AG14" i="54"/>
  <c r="AH14" i="54"/>
  <c r="DP96" i="55"/>
  <c r="DP99" i="55"/>
  <c r="DP101" i="55"/>
  <c r="DP88" i="55"/>
  <c r="DP97" i="55"/>
  <c r="DP98" i="55"/>
  <c r="DP100" i="55"/>
  <c r="DP92" i="55"/>
  <c r="DP94" i="55"/>
  <c r="DP95" i="55"/>
  <c r="DP90" i="55"/>
  <c r="DP89" i="55"/>
  <c r="DP91" i="55"/>
  <c r="DP93" i="55"/>
  <c r="BM26" i="10"/>
  <c r="BL31" i="10"/>
  <c r="BJ33" i="10"/>
  <c r="BK6" i="10"/>
  <c r="BN6" i="10" s="1"/>
  <c r="CH300" i="55"/>
  <c r="DU54" i="55"/>
  <c r="CB54" i="55"/>
  <c r="CC54" i="55" s="1"/>
  <c r="CB158" i="55"/>
  <c r="CC158" i="55" s="1"/>
  <c r="CH170" i="55"/>
  <c r="GR325" i="55"/>
  <c r="GS325" i="55" s="1"/>
  <c r="GX325" i="55"/>
  <c r="GY325" i="55"/>
  <c r="EY325" i="55"/>
  <c r="CB122" i="55"/>
  <c r="CC122" i="55" s="1"/>
  <c r="DU225" i="55"/>
  <c r="BO225" i="55"/>
  <c r="CY135" i="55"/>
  <c r="CZ134" i="55"/>
  <c r="CB71" i="55"/>
  <c r="CC71" i="55" s="1"/>
  <c r="EU29" i="55"/>
  <c r="GU29" i="55" s="1"/>
  <c r="EV29" i="55"/>
  <c r="ET30" i="55"/>
  <c r="CK27" i="55"/>
  <c r="CL27" i="55" s="1"/>
  <c r="FH27" i="55" s="1"/>
  <c r="FJ27" i="55" s="1"/>
  <c r="CJ27" i="55"/>
  <c r="BT27" i="55"/>
  <c r="BU27" i="55"/>
  <c r="CI27" i="55"/>
  <c r="EX51" i="55"/>
  <c r="DS51" i="55"/>
  <c r="CH311" i="55"/>
  <c r="EV90" i="55"/>
  <c r="EU90" i="55"/>
  <c r="GU90" i="55" s="1"/>
  <c r="ET91" i="55"/>
  <c r="GC31" i="55"/>
  <c r="GR307" i="55"/>
  <c r="GX307" i="55" s="1"/>
  <c r="GY235" i="55"/>
  <c r="CB50" i="55"/>
  <c r="CC50" i="55" s="1"/>
  <c r="CH190" i="55"/>
  <c r="CB273" i="55"/>
  <c r="CC273" i="55" s="1"/>
  <c r="CH104" i="55"/>
  <c r="EX149" i="55"/>
  <c r="DS149" i="55"/>
  <c r="CH291" i="55"/>
  <c r="BO33" i="55"/>
  <c r="DU33" i="55"/>
  <c r="EX147" i="55"/>
  <c r="DS147" i="55"/>
  <c r="EX57" i="55"/>
  <c r="DS57" i="55"/>
  <c r="EX219" i="55"/>
  <c r="DS219" i="55"/>
  <c r="CH194" i="55"/>
  <c r="GR331" i="55"/>
  <c r="EY331" i="55"/>
  <c r="CH297" i="55"/>
  <c r="BR19" i="54" a="1"/>
  <c r="BR19" i="54" s="1"/>
  <c r="AW16" i="54"/>
  <c r="AV15" i="54"/>
  <c r="AU14" i="54"/>
  <c r="AT13" i="54"/>
  <c r="AR10" i="54"/>
  <c r="AR26" i="54"/>
  <c r="AW17" i="54"/>
  <c r="AV16" i="54"/>
  <c r="AU15" i="54"/>
  <c r="AT14" i="54"/>
  <c r="AR11" i="54"/>
  <c r="BR13" i="54" a="1"/>
  <c r="BR13" i="54" s="1"/>
  <c r="BR21" i="54" a="1"/>
  <c r="BR21" i="54" s="1"/>
  <c r="AW11" i="54"/>
  <c r="AV10" i="54"/>
  <c r="C10" i="60" s="1"/>
  <c r="AV26" i="54"/>
  <c r="AU25" i="54"/>
  <c r="AT24" i="54"/>
  <c r="AR21" i="54"/>
  <c r="BR18" i="54" a="1"/>
  <c r="BR18" i="54" s="1"/>
  <c r="AW10" i="54"/>
  <c r="C11" i="60" s="1"/>
  <c r="AV13" i="54"/>
  <c r="AU17" i="54"/>
  <c r="AT19" i="54"/>
  <c r="AW12" i="54"/>
  <c r="AV14" i="54"/>
  <c r="AU18" i="54"/>
  <c r="AT20" i="54"/>
  <c r="BR20" i="54" a="1"/>
  <c r="BR20" i="54" s="1"/>
  <c r="AW13" i="54"/>
  <c r="AV17" i="54"/>
  <c r="AU19" i="54"/>
  <c r="AT21" i="54"/>
  <c r="AW18" i="54"/>
  <c r="AV20" i="54"/>
  <c r="AU22" i="54"/>
  <c r="AT25" i="54"/>
  <c r="AR14" i="54"/>
  <c r="AH10" i="54"/>
  <c r="AG10" i="54"/>
  <c r="X14" i="54"/>
  <c r="BR23" i="54" a="1"/>
  <c r="BR23" i="54" s="1"/>
  <c r="AW19" i="54"/>
  <c r="AV21" i="54"/>
  <c r="AU23" i="54"/>
  <c r="AT26" i="54"/>
  <c r="AR15" i="54"/>
  <c r="BR24" i="54" a="1"/>
  <c r="BR24" i="54" s="1"/>
  <c r="AW21" i="54"/>
  <c r="AV23" i="54"/>
  <c r="AU26" i="54"/>
  <c r="AR17" i="54"/>
  <c r="BR14" i="54" a="1"/>
  <c r="BR14" i="54" s="1"/>
  <c r="AW25" i="54"/>
  <c r="AU24" i="54"/>
  <c r="AV11" i="54"/>
  <c r="AT11" i="54"/>
  <c r="AR22" i="54"/>
  <c r="BR17" i="54" a="1"/>
  <c r="BR17" i="54" s="1"/>
  <c r="AV18" i="54"/>
  <c r="AT15" i="54"/>
  <c r="AR24" i="54"/>
  <c r="AA24" i="54"/>
  <c r="BM19" i="55" s="1" a="1"/>
  <c r="BM19" i="55" s="1"/>
  <c r="X24" i="54"/>
  <c r="AV19" i="54"/>
  <c r="AT16" i="54"/>
  <c r="AR25" i="54"/>
  <c r="AV22" i="54"/>
  <c r="AT17" i="54"/>
  <c r="AA26" i="54"/>
  <c r="BM20" i="55" s="1" a="1"/>
  <c r="BM20" i="55" s="1"/>
  <c r="X26" i="54"/>
  <c r="BR22" i="54" a="1"/>
  <c r="BR22" i="54" s="1"/>
  <c r="AV24" i="54"/>
  <c r="AT18" i="54"/>
  <c r="AU21" i="54"/>
  <c r="AA18" i="54"/>
  <c r="BM13" i="55" s="1" a="1"/>
  <c r="BM13" i="55" s="1"/>
  <c r="X25" i="54"/>
  <c r="AW14" i="54"/>
  <c r="AT10" i="54"/>
  <c r="C8" i="60" s="1"/>
  <c r="AA19" i="54"/>
  <c r="BM14" i="55" s="1" a="1"/>
  <c r="BM14" i="55" s="1"/>
  <c r="AW15" i="54"/>
  <c r="AT12" i="54"/>
  <c r="AR12" i="54"/>
  <c r="AW22" i="54"/>
  <c r="AT23" i="54"/>
  <c r="AR16" i="54"/>
  <c r="X11" i="54"/>
  <c r="AW23" i="54"/>
  <c r="AR18" i="54"/>
  <c r="X12" i="54"/>
  <c r="AW24" i="54"/>
  <c r="AR19" i="54"/>
  <c r="AA25" i="54"/>
  <c r="BM5" i="55" s="1" a="1"/>
  <c r="BM5" i="55" s="1"/>
  <c r="X13" i="54"/>
  <c r="AW26" i="54"/>
  <c r="AR20" i="54"/>
  <c r="AE10" i="54" a="1"/>
  <c r="AE10" i="54" s="1"/>
  <c r="X15" i="54"/>
  <c r="X18" i="54"/>
  <c r="AU10" i="54"/>
  <c r="C9" i="60" s="1"/>
  <c r="AU11" i="54"/>
  <c r="AU12" i="54"/>
  <c r="AU16" i="54"/>
  <c r="AU20" i="54"/>
  <c r="AT22" i="54"/>
  <c r="BR26" i="54" a="1"/>
  <c r="BR26" i="54" s="1"/>
  <c r="X16" i="54"/>
  <c r="X17" i="54"/>
  <c r="AW20" i="54"/>
  <c r="X19" i="54"/>
  <c r="AU13" i="54"/>
  <c r="X22" i="54"/>
  <c r="X23" i="54"/>
  <c r="BR16" i="54" a="1"/>
  <c r="BR16" i="54" s="1"/>
  <c r="AV12" i="54"/>
  <c r="AV25" i="54"/>
  <c r="X10" i="54"/>
  <c r="X20" i="54"/>
  <c r="X21" i="54"/>
  <c r="AA15" i="54"/>
  <c r="BM7" i="55" s="1" a="1"/>
  <c r="BM7" i="55" s="1"/>
  <c r="AR13" i="54"/>
  <c r="AA13" i="54"/>
  <c r="BM8" i="55" s="1" a="1"/>
  <c r="BM8" i="55" s="1"/>
  <c r="AR23" i="54"/>
  <c r="AA14" i="54"/>
  <c r="BM9" i="55" s="1" a="1"/>
  <c r="BM9" i="55" s="1"/>
  <c r="DP16" i="55"/>
  <c r="DP13" i="55"/>
  <c r="DP10" i="55"/>
  <c r="DP8" i="55"/>
  <c r="DP22" i="55"/>
  <c r="DP3" i="55"/>
  <c r="DP23" i="55"/>
  <c r="DP4" i="55"/>
  <c r="DP24" i="55"/>
  <c r="DP5" i="55"/>
  <c r="DP25" i="55"/>
  <c r="DP6" i="55"/>
  <c r="DP7" i="55"/>
  <c r="DP11" i="55"/>
  <c r="DP12" i="55"/>
  <c r="DP14" i="55"/>
  <c r="DP9" i="55"/>
  <c r="DP17" i="55"/>
  <c r="DP18" i="55"/>
  <c r="DP20" i="55"/>
  <c r="DP21" i="55"/>
  <c r="DP15" i="55"/>
  <c r="DP19" i="55"/>
  <c r="DU195" i="55"/>
  <c r="BO195" i="55"/>
  <c r="EZ130" i="55"/>
  <c r="DU34" i="55"/>
  <c r="BO34" i="55"/>
  <c r="EX62" i="55"/>
  <c r="DS62" i="55"/>
  <c r="CB152" i="55"/>
  <c r="CC152" i="55" s="1"/>
  <c r="DU268" i="55"/>
  <c r="BO268" i="55"/>
  <c r="CB268" i="55"/>
  <c r="CC268" i="55" s="1"/>
  <c r="DU136" i="55"/>
  <c r="BO136" i="55"/>
  <c r="FX31" i="55" a="1"/>
  <c r="FX31" i="55" s="1"/>
  <c r="FY31" i="55" s="1"/>
  <c r="FV31" i="55" a="1"/>
  <c r="FV31" i="55" s="1"/>
  <c r="FW31" i="55" s="1"/>
  <c r="FZ31" i="55" a="1"/>
  <c r="FZ31" i="55" s="1"/>
  <c r="GA31" i="55" s="1"/>
  <c r="FT31" i="55" a="1"/>
  <c r="FT31" i="55" s="1"/>
  <c r="FU31" i="55" s="1"/>
  <c r="FP31" i="55" a="1"/>
  <c r="FP31" i="55" s="1"/>
  <c r="FQ31" i="55" s="1"/>
  <c r="FR31" i="55" a="1"/>
  <c r="FR31" i="55" s="1"/>
  <c r="FS31" i="55" s="1"/>
  <c r="EX77" i="55"/>
  <c r="DS77" i="55"/>
  <c r="EX223" i="55"/>
  <c r="DS223" i="55"/>
  <c r="CH33" i="55"/>
  <c r="CH44" i="55"/>
  <c r="EV104" i="55"/>
  <c r="EU104" i="55"/>
  <c r="GU104" i="55" s="1"/>
  <c r="ET105" i="55"/>
  <c r="GR207" i="55"/>
  <c r="CB58" i="55"/>
  <c r="CC58" i="55" s="1"/>
  <c r="BO273" i="55"/>
  <c r="DU273" i="55"/>
  <c r="CH97" i="55"/>
  <c r="DU264" i="55"/>
  <c r="BO264" i="55"/>
  <c r="EU315" i="55"/>
  <c r="GU315" i="55" s="1"/>
  <c r="EV315" i="55"/>
  <c r="ET316" i="55"/>
  <c r="BT24" i="54"/>
  <c r="CH204" i="55"/>
  <c r="CH225" i="55"/>
  <c r="CH174" i="55"/>
  <c r="CH243" i="55"/>
  <c r="FC103" i="55"/>
  <c r="EW103" i="55"/>
  <c r="FA103" i="55"/>
  <c r="GB103" i="55" s="1"/>
  <c r="EL7" i="55"/>
  <c r="CH125" i="55"/>
  <c r="FC28" i="55"/>
  <c r="FA28" i="55"/>
  <c r="GB28" i="55" s="1"/>
  <c r="EW28" i="55"/>
  <c r="EX47" i="55"/>
  <c r="DS47" i="55"/>
  <c r="DU279" i="55"/>
  <c r="BO279" i="55"/>
  <c r="DU281" i="55"/>
  <c r="BO281" i="55"/>
  <c r="CH177" i="55"/>
  <c r="DU199" i="55"/>
  <c r="BO199" i="55"/>
  <c r="DU208" i="55"/>
  <c r="BO208" i="55"/>
  <c r="CH95" i="55"/>
  <c r="DU343" i="55"/>
  <c r="BO343" i="55"/>
  <c r="DU280" i="55"/>
  <c r="BO280" i="55"/>
  <c r="DU228" i="55"/>
  <c r="BO228" i="55"/>
  <c r="FC314" i="55"/>
  <c r="EW314" i="55"/>
  <c r="FA314" i="55"/>
  <c r="GB314" i="55" s="1"/>
  <c r="CH166" i="55"/>
  <c r="GR191" i="55"/>
  <c r="AO21" i="54"/>
  <c r="AA21" i="54" s="1"/>
  <c r="BM16" i="55" s="1" a="1"/>
  <c r="BM16" i="55" s="1"/>
  <c r="GR221" i="55"/>
  <c r="CB292" i="55"/>
  <c r="CC292" i="55" s="1"/>
  <c r="GR102" i="55"/>
  <c r="EY102" i="55"/>
  <c r="EX87" i="55"/>
  <c r="DS87" i="55"/>
  <c r="CH236" i="55"/>
  <c r="BQ25" i="54"/>
  <c r="BR25" i="54" s="1" a="1"/>
  <c r="BR25" i="54" s="1"/>
  <c r="CH133" i="55"/>
  <c r="AH22" i="54"/>
  <c r="AG22" i="54"/>
  <c r="DP320" i="55"/>
  <c r="DP321" i="55"/>
  <c r="DP319" i="55"/>
  <c r="DP317" i="55"/>
  <c r="DP318" i="55"/>
  <c r="DP322" i="55"/>
  <c r="DP324" i="55"/>
  <c r="DP323" i="55"/>
  <c r="DS211" i="55"/>
  <c r="EX211" i="55"/>
  <c r="BJ26" i="10"/>
  <c r="CB209" i="55"/>
  <c r="CC209" i="55" s="1"/>
  <c r="CH276" i="55"/>
  <c r="CH306" i="55"/>
  <c r="CH88" i="55"/>
  <c r="GR112" i="55"/>
  <c r="BL26" i="10"/>
  <c r="BJ31" i="10"/>
  <c r="CB136" i="55"/>
  <c r="CC136" i="55" s="1"/>
  <c r="EX119" i="55"/>
  <c r="DS119" i="55"/>
  <c r="BL33" i="10"/>
  <c r="CB124" i="55"/>
  <c r="CC124" i="55" s="1"/>
  <c r="BK9" i="10"/>
  <c r="BN9" i="10" s="1"/>
  <c r="BJ28" i="10"/>
  <c r="BM31" i="10"/>
  <c r="BK22" i="10"/>
  <c r="BN22" i="10" s="1"/>
  <c r="CH90" i="55"/>
  <c r="DU204" i="55"/>
  <c r="BO204" i="55"/>
  <c r="CH281" i="55"/>
  <c r="GX11" i="55"/>
  <c r="GY11" i="55"/>
  <c r="GR11" i="55"/>
  <c r="GS11" i="55" s="1"/>
  <c r="CB220" i="55"/>
  <c r="CC220" i="55" s="1"/>
  <c r="CB326" i="55"/>
  <c r="CC326" i="55" s="1"/>
  <c r="EU132" i="55"/>
  <c r="GU132" i="55" s="1"/>
  <c r="EV132" i="55"/>
  <c r="ET133" i="55"/>
  <c r="CB285" i="55"/>
  <c r="CC285" i="55" s="1"/>
  <c r="FV224" i="55" a="1"/>
  <c r="FV224" i="55" s="1"/>
  <c r="FW224" i="55" s="1"/>
  <c r="FZ224" i="55" a="1"/>
  <c r="FZ224" i="55" s="1"/>
  <c r="GA224" i="55" s="1"/>
  <c r="FX224" i="55" a="1"/>
  <c r="FX224" i="55" s="1"/>
  <c r="FY224" i="55" s="1"/>
  <c r="FT224" i="55" a="1"/>
  <c r="FT224" i="55" s="1"/>
  <c r="FU224" i="55" s="1"/>
  <c r="FR224" i="55" a="1"/>
  <c r="FR224" i="55" s="1"/>
  <c r="FS224" i="55" s="1"/>
  <c r="FP224" i="55" a="1"/>
  <c r="FP224" i="55" s="1"/>
  <c r="FQ224" i="55" s="1"/>
  <c r="CB279" i="55"/>
  <c r="CC279" i="55" s="1"/>
  <c r="FC89" i="55"/>
  <c r="FA89" i="55"/>
  <c r="GB89" i="55" s="1"/>
  <c r="EW89" i="55"/>
  <c r="EX128" i="55"/>
  <c r="DS128" i="55"/>
  <c r="CH30" i="55"/>
  <c r="CB199" i="55"/>
  <c r="CC199" i="55" s="1"/>
  <c r="GY28" i="55"/>
  <c r="GX28" i="55"/>
  <c r="GR28" i="55"/>
  <c r="GS28" i="55" s="1"/>
  <c r="EY28" i="55"/>
  <c r="EX255" i="55"/>
  <c r="DS255" i="55"/>
  <c r="AG20" i="54"/>
  <c r="AH20" i="54"/>
  <c r="DP288" i="55"/>
  <c r="DP304" i="55"/>
  <c r="DP286" i="55"/>
  <c r="DP303" i="55"/>
  <c r="DP283" i="55"/>
  <c r="DP301" i="55"/>
  <c r="DP295" i="55"/>
  <c r="DP296" i="55"/>
  <c r="DP297" i="55"/>
  <c r="DP298" i="55"/>
  <c r="DP289" i="55"/>
  <c r="DP312" i="55"/>
  <c r="DP291" i="55"/>
  <c r="DP292" i="55"/>
  <c r="DP287" i="55"/>
  <c r="DP311" i="55"/>
  <c r="DP307" i="55"/>
  <c r="DP308" i="55"/>
  <c r="DP309" i="55"/>
  <c r="DP310" i="55"/>
  <c r="DP284" i="55"/>
  <c r="DP285" i="55"/>
  <c r="DP290" i="55"/>
  <c r="DP305" i="55"/>
  <c r="DP306" i="55"/>
  <c r="DP293" i="55"/>
  <c r="DP294" i="55"/>
  <c r="DP299" i="55"/>
  <c r="DP300" i="55"/>
  <c r="DP302" i="55"/>
  <c r="GR239" i="55"/>
  <c r="GX239" i="55" s="1"/>
  <c r="GR210" i="55"/>
  <c r="GX210" i="55"/>
  <c r="GR287" i="55"/>
  <c r="DU4" i="55"/>
  <c r="BO4" i="55"/>
  <c r="BS4" i="55" s="1" a="1"/>
  <c r="BS4" i="55" s="1"/>
  <c r="EX113" i="55"/>
  <c r="DS113" i="55"/>
  <c r="CH302" i="55"/>
  <c r="CB305" i="55"/>
  <c r="CC305" i="55" s="1"/>
  <c r="DU226" i="55"/>
  <c r="BO226" i="55"/>
  <c r="CB148" i="55"/>
  <c r="CC148" i="55" s="1"/>
  <c r="GR73" i="55"/>
  <c r="DU146" i="55"/>
  <c r="BO146" i="55"/>
  <c r="CH100" i="55"/>
  <c r="DU200" i="55"/>
  <c r="BO200" i="55"/>
  <c r="CH280" i="55"/>
  <c r="AO12" i="54"/>
  <c r="AA11" i="54" s="1"/>
  <c r="BM25" i="55" s="1" a="1"/>
  <c r="BM25" i="55" s="1"/>
  <c r="CA25" i="55" s="1"/>
  <c r="BJ22" i="10"/>
  <c r="EX53" i="55"/>
  <c r="DS53" i="55"/>
  <c r="CH107" i="55"/>
  <c r="DU48" i="55"/>
  <c r="BO48" i="55"/>
  <c r="BT21" i="54"/>
  <c r="DU193" i="55"/>
  <c r="BO193" i="55"/>
  <c r="CB330" i="55"/>
  <c r="CC330" i="55" s="1"/>
  <c r="BO252" i="55"/>
  <c r="DU252" i="55"/>
  <c r="FC131" i="55"/>
  <c r="FA131" i="55"/>
  <c r="GB131" i="55" s="1"/>
  <c r="EW131" i="55"/>
  <c r="EU319" i="55"/>
  <c r="GU319" i="55" s="1"/>
  <c r="EV319" i="55"/>
  <c r="ET320" i="55"/>
  <c r="GR278" i="55"/>
  <c r="CH157" i="55"/>
  <c r="EU57" i="55"/>
  <c r="GU57" i="55" s="1"/>
  <c r="EV57" i="55"/>
  <c r="ET58" i="55"/>
  <c r="CB343" i="55"/>
  <c r="CC343" i="55" s="1"/>
  <c r="AH24" i="54"/>
  <c r="AG24" i="54"/>
  <c r="DP333" i="55"/>
  <c r="DP334" i="55"/>
  <c r="DP330" i="55"/>
  <c r="DP331" i="55"/>
  <c r="DP332" i="55"/>
  <c r="CH70" i="55"/>
  <c r="DU186" i="55"/>
  <c r="BO186" i="55"/>
  <c r="EV344" i="55"/>
  <c r="EU344" i="55"/>
  <c r="GU344" i="55" s="1"/>
  <c r="ET345" i="55"/>
  <c r="DU238" i="55"/>
  <c r="BO238" i="55"/>
  <c r="DU231" i="55"/>
  <c r="BO231" i="55"/>
  <c r="GX27" i="55"/>
  <c r="GY27" i="55"/>
  <c r="GR27" i="55"/>
  <c r="GS27" i="55" s="1"/>
  <c r="EY27" i="55"/>
  <c r="EX94" i="55"/>
  <c r="DS94" i="55"/>
  <c r="GR303" i="55"/>
  <c r="CH187" i="55"/>
  <c r="CM28" i="55"/>
  <c r="CJ28" i="55"/>
  <c r="CK28" i="55"/>
  <c r="CL28" i="55" s="1"/>
  <c r="FH28" i="55" s="1"/>
  <c r="FJ28" i="55" s="1"/>
  <c r="BU28" i="55"/>
  <c r="BT28" i="55"/>
  <c r="CI28" i="55"/>
  <c r="EX232" i="55"/>
  <c r="DS232" i="55"/>
  <c r="FG33" i="55"/>
  <c r="FE33" i="55"/>
  <c r="FI33" i="55" s="1"/>
  <c r="FF33" i="55"/>
  <c r="FD33" i="55"/>
  <c r="DG33" i="55"/>
  <c r="DH33" i="55" s="1"/>
  <c r="DJ33" i="55" s="1" a="1"/>
  <c r="DJ33" i="55" s="1"/>
  <c r="EL33" i="55"/>
  <c r="EM33" i="55" s="1"/>
  <c r="EK34" i="55"/>
  <c r="EX165" i="55"/>
  <c r="DS165" i="55"/>
  <c r="W8" i="42"/>
  <c r="AA25" i="42"/>
  <c r="AB6" i="42"/>
  <c r="Z6" i="42"/>
  <c r="AD8" i="42"/>
  <c r="AC33" i="42"/>
  <c r="AC55" i="42" s="1"/>
  <c r="AD10" i="42" s="1"/>
  <c r="AD7" i="42"/>
  <c r="Y15" i="42"/>
  <c r="Z7" i="42" s="1"/>
  <c r="DN6" i="55" l="1"/>
  <c r="DK6" i="55"/>
  <c r="EX251" i="55"/>
  <c r="CB28" i="55"/>
  <c r="CC28" i="55" s="1"/>
  <c r="CD28" i="55" s="1"/>
  <c r="DS263" i="55"/>
  <c r="EX263" i="55"/>
  <c r="GR263" i="55" s="1"/>
  <c r="EY335" i="55"/>
  <c r="DS270" i="55"/>
  <c r="GY63" i="55"/>
  <c r="GR335" i="55"/>
  <c r="GX335" i="55" s="1"/>
  <c r="GY335" i="55" s="1"/>
  <c r="GY83" i="55"/>
  <c r="EX200" i="55"/>
  <c r="EX304" i="55"/>
  <c r="GR304" i="55" s="1"/>
  <c r="GX304" i="55" s="1"/>
  <c r="CY288" i="55"/>
  <c r="CZ287" i="55"/>
  <c r="CZ23" i="55"/>
  <c r="CY24" i="55"/>
  <c r="CY58" i="55"/>
  <c r="CZ57" i="55"/>
  <c r="EK8" i="55"/>
  <c r="FF8" i="55" s="1"/>
  <c r="DG7" i="55"/>
  <c r="DH7" i="55" s="1"/>
  <c r="DJ7" i="55" s="1" a="1"/>
  <c r="DJ7" i="55" s="1"/>
  <c r="AE15" i="54" s="1" a="1"/>
  <c r="AE15" i="54" s="1"/>
  <c r="EX215" i="55"/>
  <c r="DS215" i="55"/>
  <c r="CY323" i="55"/>
  <c r="CZ322" i="55"/>
  <c r="FE7" i="55"/>
  <c r="FI7" i="55" s="1"/>
  <c r="GY108" i="55"/>
  <c r="CY229" i="55"/>
  <c r="CZ228" i="55"/>
  <c r="GX191" i="55"/>
  <c r="GY191" i="55" s="1"/>
  <c r="FD7" i="55"/>
  <c r="BN41" i="10"/>
  <c r="FF7" i="55"/>
  <c r="CY108" i="55"/>
  <c r="CZ107" i="55"/>
  <c r="DS55" i="55"/>
  <c r="EX55" i="55"/>
  <c r="GR55" i="55" s="1"/>
  <c r="CA16" i="55"/>
  <c r="CA12" i="55"/>
  <c r="BL24" i="54" a="1"/>
  <c r="BL24" i="54" s="1"/>
  <c r="BP24" i="54" a="1"/>
  <c r="BP24" i="54" s="1"/>
  <c r="EX347" i="55"/>
  <c r="DS347" i="55"/>
  <c r="FA229" i="55"/>
  <c r="GB229" i="55" s="1"/>
  <c r="EW229" i="55"/>
  <c r="FC229" i="55"/>
  <c r="EX61" i="55"/>
  <c r="DS61" i="55"/>
  <c r="DS142" i="55"/>
  <c r="EX142" i="55"/>
  <c r="BF15" i="55"/>
  <c r="DT15" i="55" s="1"/>
  <c r="BF19" i="55"/>
  <c r="DT19" i="55" s="1"/>
  <c r="CH122" i="55"/>
  <c r="CH52" i="55"/>
  <c r="DZ12" i="55"/>
  <c r="DY13" i="55" s="1"/>
  <c r="GR127" i="55"/>
  <c r="GX127" i="55" s="1"/>
  <c r="GY127" i="55" s="1"/>
  <c r="CH253" i="55"/>
  <c r="EX89" i="55"/>
  <c r="DS89" i="55"/>
  <c r="EX272" i="55"/>
  <c r="DS272" i="55"/>
  <c r="EX182" i="55"/>
  <c r="DS182" i="55"/>
  <c r="DN7" i="55"/>
  <c r="CA19" i="55"/>
  <c r="CH205" i="55"/>
  <c r="CH222" i="55"/>
  <c r="CH80" i="55"/>
  <c r="BL12" i="54" a="1"/>
  <c r="BL12" i="54" s="1"/>
  <c r="BP12" i="54" a="1"/>
  <c r="BP12" i="54" s="1"/>
  <c r="EX132" i="55"/>
  <c r="DS132" i="55"/>
  <c r="BP17" i="54" a="1"/>
  <c r="BP17" i="54" s="1"/>
  <c r="BL17" i="54" a="1"/>
  <c r="BL17" i="54" s="1"/>
  <c r="AS24" i="54" a="1"/>
  <c r="AS24" i="54" s="1"/>
  <c r="Y24" i="54" s="1"/>
  <c r="BA24" i="54" s="1"/>
  <c r="Z24" i="54" s="1"/>
  <c r="BN19" i="55" s="1" a="1"/>
  <c r="BN19" i="55" s="1"/>
  <c r="EM7" i="55"/>
  <c r="GR150" i="55"/>
  <c r="GX150" i="55" s="1"/>
  <c r="EX46" i="55"/>
  <c r="DS46" i="55"/>
  <c r="DS266" i="55"/>
  <c r="EX266" i="55"/>
  <c r="DS90" i="55"/>
  <c r="EX90" i="55"/>
  <c r="EL8" i="55"/>
  <c r="EM8" i="55" s="1"/>
  <c r="CA14" i="55"/>
  <c r="GR51" i="55"/>
  <c r="GX51" i="55" s="1"/>
  <c r="CH180" i="55"/>
  <c r="CH340" i="55"/>
  <c r="EX193" i="55"/>
  <c r="DS193" i="55"/>
  <c r="GY287" i="55"/>
  <c r="GX207" i="55"/>
  <c r="GY207" i="55" s="1"/>
  <c r="CH152" i="55"/>
  <c r="AS15" i="54" a="1"/>
  <c r="AS15" i="54" s="1"/>
  <c r="Y15" i="54" s="1"/>
  <c r="BA15" i="54" s="1"/>
  <c r="EX172" i="55"/>
  <c r="DS172" i="55"/>
  <c r="EX249" i="55"/>
  <c r="DS249" i="55"/>
  <c r="EX212" i="55"/>
  <c r="DS212" i="55"/>
  <c r="GY181" i="55"/>
  <c r="GR106" i="55"/>
  <c r="GX106" i="55" s="1"/>
  <c r="EX48" i="55"/>
  <c r="DS48" i="55"/>
  <c r="EX187" i="55"/>
  <c r="DS187" i="55"/>
  <c r="GS3" i="55"/>
  <c r="BF16" i="55"/>
  <c r="DT16" i="55" s="1"/>
  <c r="EX91" i="55"/>
  <c r="DS91" i="55"/>
  <c r="GR282" i="55"/>
  <c r="W9" i="42"/>
  <c r="FN102" i="55"/>
  <c r="FO102" i="55" s="1"/>
  <c r="GC102" i="55"/>
  <c r="EX174" i="55"/>
  <c r="DS174" i="55"/>
  <c r="CA5" i="55"/>
  <c r="EX42" i="55"/>
  <c r="DS42" i="55"/>
  <c r="GR92" i="55"/>
  <c r="GX92" i="55" s="1"/>
  <c r="CH114" i="55"/>
  <c r="GR324" i="55"/>
  <c r="EX267" i="55"/>
  <c r="DS267" i="55"/>
  <c r="C5" i="60"/>
  <c r="FN325" i="55"/>
  <c r="FO325" i="55" s="1"/>
  <c r="GC325" i="55"/>
  <c r="BP18" i="54" a="1"/>
  <c r="BP18" i="54" s="1"/>
  <c r="BL18" i="54" a="1"/>
  <c r="BL18" i="54" s="1"/>
  <c r="EV34" i="55"/>
  <c r="EU34" i="55"/>
  <c r="GU34" i="55" s="1"/>
  <c r="ET35" i="55"/>
  <c r="EX265" i="55"/>
  <c r="DS265" i="55"/>
  <c r="EX177" i="55"/>
  <c r="DS177" i="55"/>
  <c r="EV105" i="55"/>
  <c r="EU105" i="55"/>
  <c r="GU105" i="55" s="1"/>
  <c r="ET106" i="55"/>
  <c r="BL13" i="54" a="1"/>
  <c r="BL13" i="54" s="1"/>
  <c r="BP13" i="54" a="1"/>
  <c r="BP13" i="54" s="1"/>
  <c r="GR87" i="55"/>
  <c r="GX87" i="55" s="1"/>
  <c r="GR77" i="55"/>
  <c r="BF8" i="55"/>
  <c r="DT8" i="55" s="1"/>
  <c r="AS21" i="54" a="1"/>
  <c r="AS21" i="54" s="1"/>
  <c r="Y21" i="54" s="1"/>
  <c r="BA21" i="54" s="1"/>
  <c r="Z21" i="54" s="1"/>
  <c r="BN16" i="55" s="1" a="1"/>
  <c r="BN16" i="55" s="1"/>
  <c r="CH295" i="55"/>
  <c r="GR53" i="55"/>
  <c r="EY53" i="55"/>
  <c r="EZ53" i="55"/>
  <c r="DS302" i="55"/>
  <c r="EX302" i="55"/>
  <c r="CH279" i="55"/>
  <c r="EU316" i="55"/>
  <c r="GU316" i="55" s="1"/>
  <c r="EV316" i="55"/>
  <c r="AS19" i="54" a="1"/>
  <c r="AS19" i="54" s="1"/>
  <c r="Y19" i="54" s="1"/>
  <c r="BA19" i="54" s="1"/>
  <c r="Z19" i="54" s="1"/>
  <c r="BN14" i="55" s="1" a="1"/>
  <c r="BN14" i="55" s="1"/>
  <c r="GR57" i="55"/>
  <c r="GX57" i="55" s="1"/>
  <c r="EX300" i="55"/>
  <c r="DS300" i="55"/>
  <c r="EX153" i="55"/>
  <c r="DS153" i="55"/>
  <c r="FN3" i="55"/>
  <c r="FO3" i="55" s="1"/>
  <c r="GC3" i="55"/>
  <c r="EX240" i="55"/>
  <c r="DS240" i="55"/>
  <c r="GR165" i="55"/>
  <c r="GX287" i="55"/>
  <c r="CH199" i="55"/>
  <c r="FC315" i="55"/>
  <c r="EW315" i="55"/>
  <c r="FA315" i="55"/>
  <c r="GB315" i="55" s="1"/>
  <c r="AB3" i="57" a="1"/>
  <c r="AB3" i="57" s="1"/>
  <c r="AA3" i="57" a="1"/>
  <c r="AA3" i="57" s="1"/>
  <c r="A17" i="58" a="1"/>
  <c r="A17" i="58" s="1"/>
  <c r="C16" i="58" a="1"/>
  <c r="GR301" i="55"/>
  <c r="GX301" i="55" s="1"/>
  <c r="GY301" i="55" s="1"/>
  <c r="BP21" i="54" a="1"/>
  <c r="BP21" i="54" s="1"/>
  <c r="BL21" i="54" a="1"/>
  <c r="BL21" i="54" s="1"/>
  <c r="GR81" i="55"/>
  <c r="GX81" i="55" s="1"/>
  <c r="GX263" i="55"/>
  <c r="GY263" i="55" s="1"/>
  <c r="EX129" i="55"/>
  <c r="DS129" i="55"/>
  <c r="FN335" i="55"/>
  <c r="FO335" i="55" s="1"/>
  <c r="GC335" i="55"/>
  <c r="GX123" i="55"/>
  <c r="GY123" i="55" s="1"/>
  <c r="BF5" i="55"/>
  <c r="DT5" i="55" s="1"/>
  <c r="GX79" i="55"/>
  <c r="GY79" i="55" s="1"/>
  <c r="EX43" i="55"/>
  <c r="DS43" i="55"/>
  <c r="EV157" i="55"/>
  <c r="EU157" i="55"/>
  <c r="GU157" i="55" s="1"/>
  <c r="ET158" i="55"/>
  <c r="CA13" i="55"/>
  <c r="GX197" i="55"/>
  <c r="GY197" i="55" s="1"/>
  <c r="CZ97" i="55"/>
  <c r="CY98" i="55"/>
  <c r="GR195" i="55"/>
  <c r="CH138" i="55"/>
  <c r="GX4" i="55"/>
  <c r="GY4" i="55"/>
  <c r="GR4" i="55"/>
  <c r="GS4" i="55" s="1"/>
  <c r="EY4" i="55"/>
  <c r="GR314" i="55"/>
  <c r="EY314" i="55"/>
  <c r="EX346" i="55"/>
  <c r="DS346" i="55"/>
  <c r="GR173" i="55"/>
  <c r="EX60" i="55"/>
  <c r="DS60" i="55"/>
  <c r="BP26" i="54" a="1"/>
  <c r="BP26" i="54" s="1"/>
  <c r="BL26" i="54" a="1"/>
  <c r="BL26" i="54" s="1"/>
  <c r="GR332" i="55"/>
  <c r="EY332" i="55"/>
  <c r="EX97" i="55"/>
  <c r="DS97" i="55"/>
  <c r="EX208" i="55"/>
  <c r="DS208" i="55"/>
  <c r="CH218" i="55"/>
  <c r="EX323" i="55"/>
  <c r="DS323" i="55"/>
  <c r="CH234" i="55"/>
  <c r="GX118" i="55"/>
  <c r="GY118" i="55" s="1"/>
  <c r="DL339" i="55"/>
  <c r="DO339" i="55" s="1"/>
  <c r="DL340" i="55"/>
  <c r="DO340" i="55" s="1"/>
  <c r="DL338" i="55"/>
  <c r="DO338" i="55" s="1"/>
  <c r="DL337" i="55"/>
  <c r="DO337" i="55" s="1"/>
  <c r="DL335" i="55"/>
  <c r="DO335" i="55" s="1"/>
  <c r="DL336" i="55"/>
  <c r="DO336" i="55" s="1"/>
  <c r="EX262" i="55"/>
  <c r="DS262" i="55"/>
  <c r="EV345" i="55"/>
  <c r="EU345" i="55"/>
  <c r="GU345" i="55" s="1"/>
  <c r="ET346" i="55"/>
  <c r="CH343" i="55"/>
  <c r="GX102" i="55"/>
  <c r="GY102" i="55" s="1"/>
  <c r="BF29" i="55"/>
  <c r="FC33" i="55"/>
  <c r="FA33" i="55"/>
  <c r="GB33" i="55" s="1"/>
  <c r="EW33" i="55"/>
  <c r="GR171" i="55"/>
  <c r="GX227" i="55"/>
  <c r="GY227" i="55" s="1"/>
  <c r="EV58" i="55"/>
  <c r="EU58" i="55"/>
  <c r="GU58" i="55" s="1"/>
  <c r="ET59" i="55"/>
  <c r="EX280" i="55"/>
  <c r="DS280" i="55"/>
  <c r="CH209" i="55"/>
  <c r="CA18" i="55"/>
  <c r="CH98" i="55"/>
  <c r="BL15" i="54" a="1"/>
  <c r="BL15" i="54" s="1"/>
  <c r="BP15" i="54" a="1"/>
  <c r="BP15" i="54" s="1"/>
  <c r="FC156" i="55"/>
  <c r="EW156" i="55"/>
  <c r="FA156" i="55"/>
  <c r="GB156" i="55" s="1"/>
  <c r="GR163" i="55"/>
  <c r="GX163" i="55" s="1"/>
  <c r="EX217" i="55"/>
  <c r="DS217" i="55"/>
  <c r="EX35" i="55"/>
  <c r="DS35" i="55"/>
  <c r="BP19" i="54" a="1"/>
  <c r="BP19" i="54" s="1"/>
  <c r="BL19" i="54" a="1"/>
  <c r="BL19" i="54" s="1"/>
  <c r="EX117" i="55"/>
  <c r="DS117" i="55"/>
  <c r="EX23" i="55"/>
  <c r="DS23" i="55"/>
  <c r="EX345" i="55"/>
  <c r="DS345" i="55"/>
  <c r="DS141" i="55"/>
  <c r="EX141" i="55"/>
  <c r="DS216" i="55"/>
  <c r="EX216" i="55"/>
  <c r="EX161" i="55"/>
  <c r="DS161" i="55"/>
  <c r="CH293" i="55"/>
  <c r="EU333" i="55"/>
  <c r="GU333" i="55" s="1"/>
  <c r="EV333" i="55"/>
  <c r="ET334" i="55"/>
  <c r="AA10" i="54"/>
  <c r="C15" i="60" s="1"/>
  <c r="AS22" i="54" a="1"/>
  <c r="AS22" i="54" s="1"/>
  <c r="Y22" i="54"/>
  <c r="BA22" i="54" s="1"/>
  <c r="Z22" i="54" s="1"/>
  <c r="BN17" i="55" s="1" a="1"/>
  <c r="BN17" i="55" s="1"/>
  <c r="EX291" i="55"/>
  <c r="DS291" i="55"/>
  <c r="CH71" i="55"/>
  <c r="EX65" i="55"/>
  <c r="DS65" i="55"/>
  <c r="EX160" i="55"/>
  <c r="DS160" i="55"/>
  <c r="GR200" i="55"/>
  <c r="BL23" i="54" a="1"/>
  <c r="BL23" i="54" s="1"/>
  <c r="BP23" i="54" a="1"/>
  <c r="BP23" i="54" s="1"/>
  <c r="CH257" i="55"/>
  <c r="GR271" i="55"/>
  <c r="EX6" i="55"/>
  <c r="DS6" i="55"/>
  <c r="EX72" i="55"/>
  <c r="DS72" i="55"/>
  <c r="BF25" i="55"/>
  <c r="DT25" i="55" s="1"/>
  <c r="AS11" i="54" a="1"/>
  <c r="AS11" i="54" s="1"/>
  <c r="CO30" i="55" s="1"/>
  <c r="Y11" i="54"/>
  <c r="BA11" i="54" s="1"/>
  <c r="CH39" i="55"/>
  <c r="GR45" i="55"/>
  <c r="FC186" i="55"/>
  <c r="FA186" i="55"/>
  <c r="GB186" i="55" s="1"/>
  <c r="EW186" i="55"/>
  <c r="GR320" i="55"/>
  <c r="GX320" i="55" s="1"/>
  <c r="GY320" i="55" s="1"/>
  <c r="GX112" i="55"/>
  <c r="GY112" i="55" s="1"/>
  <c r="BF14" i="55"/>
  <c r="DT14" i="55" s="1"/>
  <c r="EU30" i="55"/>
  <c r="GU30" i="55" s="1"/>
  <c r="EV30" i="55"/>
  <c r="CH321" i="55"/>
  <c r="EX110" i="55"/>
  <c r="DS110" i="55"/>
  <c r="EX109" i="55"/>
  <c r="DS109" i="55"/>
  <c r="CH230" i="55"/>
  <c r="GR56" i="55"/>
  <c r="EX247" i="55"/>
  <c r="DS247" i="55"/>
  <c r="EX202" i="55"/>
  <c r="DS202" i="55"/>
  <c r="FE34" i="55"/>
  <c r="FI34" i="55" s="1"/>
  <c r="FG34" i="55"/>
  <c r="FF34" i="55"/>
  <c r="FD34" i="55"/>
  <c r="EL34" i="55"/>
  <c r="EM34" i="55" s="1"/>
  <c r="DG34" i="55"/>
  <c r="DH34" i="55" s="1"/>
  <c r="DJ34" i="55" s="1" a="1"/>
  <c r="DJ34" i="55" s="1"/>
  <c r="EK35" i="55"/>
  <c r="GX278" i="55"/>
  <c r="GY278" i="55" s="1"/>
  <c r="GR288" i="55"/>
  <c r="GX169" i="55"/>
  <c r="GY169" i="55" s="1"/>
  <c r="EX144" i="55"/>
  <c r="DS144" i="55"/>
  <c r="EX21" i="55"/>
  <c r="DS21" i="55"/>
  <c r="EX225" i="55"/>
  <c r="DS225" i="55"/>
  <c r="AA12" i="54"/>
  <c r="BM29" i="55" s="1" a="1"/>
  <c r="BM29" i="55" s="1"/>
  <c r="EX297" i="55"/>
  <c r="DS297" i="55"/>
  <c r="GY307" i="55"/>
  <c r="EX284" i="55"/>
  <c r="DS284" i="55"/>
  <c r="CH84" i="55"/>
  <c r="CH121" i="55"/>
  <c r="EX115" i="55"/>
  <c r="DS115" i="55"/>
  <c r="EX168" i="55"/>
  <c r="DS168" i="55"/>
  <c r="BL25" i="54" a="1"/>
  <c r="BL25" i="54" s="1"/>
  <c r="BP25" i="54" a="1"/>
  <c r="BP25" i="54" s="1"/>
  <c r="DK33" i="55"/>
  <c r="DN33" i="55"/>
  <c r="EW344" i="55"/>
  <c r="FC344" i="55"/>
  <c r="FA344" i="55"/>
  <c r="GB344" i="55" s="1"/>
  <c r="FA57" i="55"/>
  <c r="GB57" i="55" s="1"/>
  <c r="FC57" i="55"/>
  <c r="EW57" i="55"/>
  <c r="GY210" i="55"/>
  <c r="BP22" i="54" a="1"/>
  <c r="BP22" i="54" s="1"/>
  <c r="BL22" i="54" a="1"/>
  <c r="BL22" i="54" s="1"/>
  <c r="BF18" i="55"/>
  <c r="DT18" i="55" s="1"/>
  <c r="AS18" i="54" a="1"/>
  <c r="AS18" i="54" s="1"/>
  <c r="GX348" i="55"/>
  <c r="GY348" i="55" s="1"/>
  <c r="CZ158" i="55"/>
  <c r="CY159" i="55"/>
  <c r="EV187" i="55"/>
  <c r="EU187" i="55"/>
  <c r="GU187" i="55" s="1"/>
  <c r="ET188" i="55"/>
  <c r="GR128" i="55"/>
  <c r="CH220" i="55"/>
  <c r="BF17" i="55"/>
  <c r="DT17" i="55" s="1"/>
  <c r="EU91" i="55"/>
  <c r="GU91" i="55" s="1"/>
  <c r="EV91" i="55"/>
  <c r="ET92" i="55"/>
  <c r="EX170" i="55"/>
  <c r="DS170" i="55"/>
  <c r="EX308" i="55"/>
  <c r="DS308" i="55"/>
  <c r="EU286" i="55"/>
  <c r="GU286" i="55" s="1"/>
  <c r="EV286" i="55"/>
  <c r="ET287" i="55"/>
  <c r="CH185" i="55"/>
  <c r="EX34" i="55"/>
  <c r="DS34" i="55"/>
  <c r="DS213" i="55"/>
  <c r="EX213" i="55"/>
  <c r="GX303" i="55"/>
  <c r="GY303" i="55" s="1"/>
  <c r="GR113" i="55"/>
  <c r="GX113" i="55" s="1"/>
  <c r="FC132" i="55"/>
  <c r="FA132" i="55"/>
  <c r="GB132" i="55" s="1"/>
  <c r="EW132" i="55"/>
  <c r="GX221" i="55"/>
  <c r="GY221" i="55" s="1"/>
  <c r="GR192" i="55"/>
  <c r="GR333" i="55"/>
  <c r="EY333" i="55"/>
  <c r="EX30" i="55"/>
  <c r="DS30" i="55"/>
  <c r="GR147" i="55"/>
  <c r="CB27" i="55"/>
  <c r="CC27" i="55" s="1"/>
  <c r="CD27" i="55" s="1"/>
  <c r="GR351" i="55"/>
  <c r="CY347" i="55"/>
  <c r="CZ346" i="55"/>
  <c r="EX36" i="55"/>
  <c r="DS36" i="55"/>
  <c r="CZ35" i="55"/>
  <c r="DD35" i="55" s="1"/>
  <c r="CY36" i="55"/>
  <c r="GR214" i="55"/>
  <c r="GX214" i="55" s="1"/>
  <c r="GR32" i="55"/>
  <c r="EY32" i="55"/>
  <c r="GR119" i="55"/>
  <c r="CH292" i="55"/>
  <c r="EW104" i="55"/>
  <c r="FC104" i="55"/>
  <c r="FA104" i="55"/>
  <c r="GB104" i="55" s="1"/>
  <c r="GR251" i="55"/>
  <c r="GX233" i="55"/>
  <c r="GY233" i="55" s="1"/>
  <c r="EX336" i="55"/>
  <c r="DS336" i="55"/>
  <c r="EX146" i="55"/>
  <c r="DS146" i="55"/>
  <c r="GX73" i="55"/>
  <c r="GY73" i="55" s="1"/>
  <c r="GY245" i="55"/>
  <c r="EX309" i="55"/>
  <c r="DS309" i="55"/>
  <c r="EZ32" i="55"/>
  <c r="FC332" i="55"/>
  <c r="EW332" i="55"/>
  <c r="FA332" i="55"/>
  <c r="GB332" i="55" s="1"/>
  <c r="EX238" i="55"/>
  <c r="DS238" i="55"/>
  <c r="EX86" i="55"/>
  <c r="DS86" i="55"/>
  <c r="EX322" i="55"/>
  <c r="DS322" i="55"/>
  <c r="EX157" i="55"/>
  <c r="DS157" i="55"/>
  <c r="GY239" i="55"/>
  <c r="EU133" i="55"/>
  <c r="GU133" i="55" s="1"/>
  <c r="EV133" i="55"/>
  <c r="ET134" i="55"/>
  <c r="CH136" i="55"/>
  <c r="BF9" i="55"/>
  <c r="DT9" i="55" s="1"/>
  <c r="FC285" i="55"/>
  <c r="EW285" i="55"/>
  <c r="FA285" i="55"/>
  <c r="GB285" i="55" s="1"/>
  <c r="CH176" i="55"/>
  <c r="DS140" i="55"/>
  <c r="EX140" i="55"/>
  <c r="EX70" i="55"/>
  <c r="DS70" i="55"/>
  <c r="CH148" i="55"/>
  <c r="CA9" i="55"/>
  <c r="CA17" i="55"/>
  <c r="GR149" i="55"/>
  <c r="FA90" i="55"/>
  <c r="GB90" i="55" s="1"/>
  <c r="FC90" i="55"/>
  <c r="EW90" i="55"/>
  <c r="EX338" i="55"/>
  <c r="DS338" i="55"/>
  <c r="GY196" i="55"/>
  <c r="EX231" i="55"/>
  <c r="DS231" i="55"/>
  <c r="EX104" i="55"/>
  <c r="DS104" i="55"/>
  <c r="GY135" i="55"/>
  <c r="GR96" i="55"/>
  <c r="GX261" i="55"/>
  <c r="GY261" i="55" s="1"/>
  <c r="EX327" i="55"/>
  <c r="DS327" i="55"/>
  <c r="GR94" i="55"/>
  <c r="BF12" i="55"/>
  <c r="DT12" i="55" s="1"/>
  <c r="CH164" i="55"/>
  <c r="CB3" i="55"/>
  <c r="CC3" i="55" s="1"/>
  <c r="CD3" i="55" s="1"/>
  <c r="EX76" i="55"/>
  <c r="DS76" i="55"/>
  <c r="GX342" i="55"/>
  <c r="GY342" i="55" s="1"/>
  <c r="GR316" i="55"/>
  <c r="GX316" i="55" s="1"/>
  <c r="GY316" i="55" s="1"/>
  <c r="EY316" i="55"/>
  <c r="GR277" i="55"/>
  <c r="EX167" i="55"/>
  <c r="DS167" i="55"/>
  <c r="EX352" i="55"/>
  <c r="DS352" i="55"/>
  <c r="EX107" i="55"/>
  <c r="DS107" i="55"/>
  <c r="BL20" i="54" a="1"/>
  <c r="BL20" i="54" s="1"/>
  <c r="BP20" i="54" a="1"/>
  <c r="BP20" i="54" s="1"/>
  <c r="GR211" i="55"/>
  <c r="GX211" i="55"/>
  <c r="EX95" i="55"/>
  <c r="DS95" i="55"/>
  <c r="GR62" i="55"/>
  <c r="BF10" i="55"/>
  <c r="DT10" i="55" s="1"/>
  <c r="BF7" i="55"/>
  <c r="AS14" i="54" a="1"/>
  <c r="AS14" i="54" s="1"/>
  <c r="Y14" i="54"/>
  <c r="BA14" i="54" s="1"/>
  <c r="Z14" i="54" s="1"/>
  <c r="BN9" i="55" s="1" a="1"/>
  <c r="BN9" i="55" s="1"/>
  <c r="DU9" i="55" s="1"/>
  <c r="DS194" i="55"/>
  <c r="EX194" i="55"/>
  <c r="CH273" i="55"/>
  <c r="EX179" i="55"/>
  <c r="DS179" i="55"/>
  <c r="CB11" i="55"/>
  <c r="CC11" i="55" s="1"/>
  <c r="CH162" i="55"/>
  <c r="GR206" i="55"/>
  <c r="GR69" i="55"/>
  <c r="EY315" i="55"/>
  <c r="EX145" i="55"/>
  <c r="DS145" i="55"/>
  <c r="GR203" i="55"/>
  <c r="DS252" i="55"/>
  <c r="EX252" i="55"/>
  <c r="EX275" i="55"/>
  <c r="DS275" i="55"/>
  <c r="EX74" i="55"/>
  <c r="DS74" i="55"/>
  <c r="GR186" i="55"/>
  <c r="BF20" i="55"/>
  <c r="DT20" i="55" s="1"/>
  <c r="BP10" i="54" a="1"/>
  <c r="BP10" i="54" s="1"/>
  <c r="BL10" i="54" a="1"/>
  <c r="BL10" i="54" s="1"/>
  <c r="EX311" i="55"/>
  <c r="DS311" i="55"/>
  <c r="FC29" i="55"/>
  <c r="EW29" i="55"/>
  <c r="FA29" i="55"/>
  <c r="GB29" i="55" s="1"/>
  <c r="CH158" i="55"/>
  <c r="GR274" i="55"/>
  <c r="EX75" i="55"/>
  <c r="DS75" i="55"/>
  <c r="CH260" i="55"/>
  <c r="CH246" i="55"/>
  <c r="EX116" i="55"/>
  <c r="DS116" i="55"/>
  <c r="CA8" i="55"/>
  <c r="EX41" i="55"/>
  <c r="DS41" i="55"/>
  <c r="BP14" i="54" a="1"/>
  <c r="BP14" i="54" s="1"/>
  <c r="BL14" i="54" a="1"/>
  <c r="BL14" i="54" s="1"/>
  <c r="GR59" i="55"/>
  <c r="GR229" i="55"/>
  <c r="EX226" i="55"/>
  <c r="DS226" i="55"/>
  <c r="EX259" i="55"/>
  <c r="DS259" i="55"/>
  <c r="EX40" i="55"/>
  <c r="DS40" i="55"/>
  <c r="GR232" i="55"/>
  <c r="GX232" i="55" s="1"/>
  <c r="GY232" i="55" s="1"/>
  <c r="EU320" i="55"/>
  <c r="GU320" i="55" s="1"/>
  <c r="EV320" i="55"/>
  <c r="ET321" i="55"/>
  <c r="CH305" i="55"/>
  <c r="EX306" i="55"/>
  <c r="DS306" i="55"/>
  <c r="EX236" i="55"/>
  <c r="DS236" i="55"/>
  <c r="EX125" i="55"/>
  <c r="DS125" i="55"/>
  <c r="EX243" i="55"/>
  <c r="DS243" i="55"/>
  <c r="CH58" i="55"/>
  <c r="AS13" i="54" a="1"/>
  <c r="AS13" i="54" s="1"/>
  <c r="Y13" i="54" s="1"/>
  <c r="BA13" i="54" s="1"/>
  <c r="Z13" i="54" s="1"/>
  <c r="BN8" i="55" s="1" a="1"/>
  <c r="BN8" i="55" s="1"/>
  <c r="C27" i="60"/>
  <c r="G6" i="58"/>
  <c r="DL3" i="55"/>
  <c r="DO3" i="55" s="1"/>
  <c r="DL4" i="55"/>
  <c r="DO4" i="55" s="1"/>
  <c r="DL5" i="55"/>
  <c r="DO5" i="55" s="1"/>
  <c r="CA15" i="55"/>
  <c r="AS17" i="54" a="1"/>
  <c r="AS17" i="54" s="1"/>
  <c r="Y17" i="54"/>
  <c r="BA17" i="54" s="1"/>
  <c r="Z17" i="54" s="1"/>
  <c r="BN12" i="55" s="1" a="1"/>
  <c r="BN12" i="55" s="1"/>
  <c r="DU12" i="55" s="1"/>
  <c r="AS26" i="54" a="1"/>
  <c r="AS26" i="54" s="1"/>
  <c r="Y26" i="54" s="1"/>
  <c r="BA26" i="54" s="1"/>
  <c r="Z26" i="54" s="1"/>
  <c r="BN20" i="55" s="1" a="1"/>
  <c r="BN20" i="55" s="1"/>
  <c r="EX190" i="55"/>
  <c r="DS190" i="55"/>
  <c r="FA5" i="55"/>
  <c r="EW5" i="55"/>
  <c r="FC5" i="55"/>
  <c r="GR139" i="55"/>
  <c r="GX139" i="55" s="1"/>
  <c r="GY159" i="55"/>
  <c r="CY190" i="55"/>
  <c r="CZ189" i="55"/>
  <c r="GR120" i="55"/>
  <c r="EX99" i="55"/>
  <c r="DS99" i="55"/>
  <c r="DS337" i="55"/>
  <c r="EX337" i="55"/>
  <c r="CH294" i="55"/>
  <c r="BL16" i="54" a="1"/>
  <c r="BL16" i="54" s="1"/>
  <c r="BP16" i="54" a="1"/>
  <c r="BP16" i="54" s="1"/>
  <c r="GR178" i="55"/>
  <c r="EX264" i="55"/>
  <c r="DS264" i="55"/>
  <c r="EX289" i="55"/>
  <c r="DS289" i="55"/>
  <c r="EX38" i="55"/>
  <c r="DS38" i="55"/>
  <c r="EX254" i="55"/>
  <c r="DS254" i="55"/>
  <c r="EX244" i="55"/>
  <c r="DS244" i="55"/>
  <c r="CH296" i="55"/>
  <c r="GX201" i="55"/>
  <c r="GY201" i="55" s="1"/>
  <c r="EX290" i="55"/>
  <c r="DS290" i="55"/>
  <c r="EX228" i="55"/>
  <c r="DS228" i="55"/>
  <c r="EX137" i="55"/>
  <c r="DS137" i="55"/>
  <c r="GR155" i="55"/>
  <c r="EY155" i="55"/>
  <c r="EX100" i="55"/>
  <c r="DS100" i="55"/>
  <c r="EX339" i="55"/>
  <c r="DS339" i="55"/>
  <c r="CH285" i="55"/>
  <c r="CH124" i="55"/>
  <c r="EX133" i="55"/>
  <c r="DS133" i="55"/>
  <c r="EX44" i="55"/>
  <c r="DS44" i="55"/>
  <c r="AS23" i="54" a="1"/>
  <c r="AS23" i="54" s="1"/>
  <c r="Y23" i="54" s="1"/>
  <c r="BA23" i="54" s="1"/>
  <c r="Z23" i="54" s="1"/>
  <c r="BN18" i="55" s="1" a="1"/>
  <c r="BN18" i="55" s="1"/>
  <c r="GR237" i="55"/>
  <c r="EX183" i="55"/>
  <c r="DS183" i="55"/>
  <c r="GY37" i="55"/>
  <c r="GX196" i="55"/>
  <c r="CH326" i="55"/>
  <c r="EX281" i="55"/>
  <c r="DS281" i="55"/>
  <c r="EX88" i="55"/>
  <c r="DS88" i="55"/>
  <c r="DS33" i="55"/>
  <c r="EX33" i="55"/>
  <c r="EZ33" i="55" s="1"/>
  <c r="BF13" i="55"/>
  <c r="DT13" i="55" s="1"/>
  <c r="CH54" i="55"/>
  <c r="EX78" i="55"/>
  <c r="DS78" i="55"/>
  <c r="EX269" i="55"/>
  <c r="DS269" i="55"/>
  <c r="FA319" i="55"/>
  <c r="GB319" i="55" s="1"/>
  <c r="FC319" i="55"/>
  <c r="EW319" i="55"/>
  <c r="GR255" i="55"/>
  <c r="GX255" i="55" s="1"/>
  <c r="GY255" i="55" s="1"/>
  <c r="EX204" i="55"/>
  <c r="DS204" i="55"/>
  <c r="GR223" i="55"/>
  <c r="CA10" i="55"/>
  <c r="AS20" i="54" a="1"/>
  <c r="AS20" i="54" s="1"/>
  <c r="Y20" i="54"/>
  <c r="BA20" i="54" s="1"/>
  <c r="Z20" i="54" s="1"/>
  <c r="BN15" i="55" s="1" a="1"/>
  <c r="BN15" i="55" s="1"/>
  <c r="DU15" i="55" s="1"/>
  <c r="AS12" i="54" a="1"/>
  <c r="AS12" i="54" s="1"/>
  <c r="Y12" i="54" s="1"/>
  <c r="BA12" i="54" s="1"/>
  <c r="AS25" i="54" a="1"/>
  <c r="AS25" i="54" s="1"/>
  <c r="Y25" i="54"/>
  <c r="BA25" i="54" s="1"/>
  <c r="Z25" i="54" s="1"/>
  <c r="BN5" i="55" s="1" a="1"/>
  <c r="BN5" i="55" s="1"/>
  <c r="DU5" i="55" s="1"/>
  <c r="C6" i="60"/>
  <c r="AS10" i="54" a="1"/>
  <c r="AS10" i="54" s="1"/>
  <c r="Y10" i="54"/>
  <c r="C13" i="60" s="1"/>
  <c r="GR219" i="55"/>
  <c r="EX248" i="55"/>
  <c r="DS248" i="55"/>
  <c r="EX151" i="55"/>
  <c r="DS151" i="55"/>
  <c r="GR319" i="55"/>
  <c r="EY319" i="55"/>
  <c r="EZ4" i="55"/>
  <c r="EY334" i="55"/>
  <c r="EX49" i="55"/>
  <c r="DS49" i="55"/>
  <c r="GR175" i="55"/>
  <c r="GR68" i="55"/>
  <c r="GX68" i="55" s="1"/>
  <c r="EX189" i="55"/>
  <c r="DS189" i="55"/>
  <c r="FA329" i="55"/>
  <c r="GB329" i="55" s="1"/>
  <c r="FC329" i="55"/>
  <c r="EW329" i="55"/>
  <c r="DS298" i="55"/>
  <c r="EX298" i="55"/>
  <c r="DS250" i="55"/>
  <c r="EX250" i="55"/>
  <c r="EX24" i="55"/>
  <c r="DS24" i="55"/>
  <c r="EX328" i="55"/>
  <c r="DS328" i="55"/>
  <c r="AS16" i="54" a="1"/>
  <c r="AS16" i="54" s="1"/>
  <c r="Y16" i="54"/>
  <c r="BA16" i="54" s="1"/>
  <c r="Z16" i="54" s="1"/>
  <c r="BN10" i="55" s="1" a="1"/>
  <c r="BN10" i="55" s="1"/>
  <c r="GX331" i="55"/>
  <c r="GY331" i="55" s="1"/>
  <c r="CZ135" i="55"/>
  <c r="CY136" i="55"/>
  <c r="CH312" i="55"/>
  <c r="CH134" i="55"/>
  <c r="GR270" i="55"/>
  <c r="GX270" i="55" s="1"/>
  <c r="EX93" i="55"/>
  <c r="DS93" i="55"/>
  <c r="DS318" i="55"/>
  <c r="EX318" i="55"/>
  <c r="CA20" i="55"/>
  <c r="BP11" i="54" a="1"/>
  <c r="BP11" i="54" s="1"/>
  <c r="BL11" i="54" a="1"/>
  <c r="BL11" i="54" s="1"/>
  <c r="EX350" i="55"/>
  <c r="DS350" i="55"/>
  <c r="EU6" i="55"/>
  <c r="EV6" i="55"/>
  <c r="ET7" i="55"/>
  <c r="FN7" i="55" s="1"/>
  <c r="FO7" i="55" s="1"/>
  <c r="EX67" i="55"/>
  <c r="DS67" i="55"/>
  <c r="FN130" i="55"/>
  <c r="FO130" i="55" s="1"/>
  <c r="GC130" i="55"/>
  <c r="EX101" i="55"/>
  <c r="DS101" i="55"/>
  <c r="EX64" i="55"/>
  <c r="DS64" i="55"/>
  <c r="BT4" i="55"/>
  <c r="CK4" i="55"/>
  <c r="CL4" i="55" s="1"/>
  <c r="FH4" i="55" s="1"/>
  <c r="FJ4" i="55" s="1"/>
  <c r="BU4" i="55"/>
  <c r="CJ4" i="55"/>
  <c r="CI4" i="55"/>
  <c r="EB4" i="55"/>
  <c r="AB3" i="40" s="1" a="1"/>
  <c r="AB3" i="40" s="1"/>
  <c r="EX276" i="55"/>
  <c r="DS276" i="55"/>
  <c r="EX166" i="55"/>
  <c r="DS166" i="55"/>
  <c r="GR47" i="55"/>
  <c r="GX47" i="55" s="1"/>
  <c r="GY47" i="55" s="1"/>
  <c r="CH268" i="55"/>
  <c r="CA7" i="55"/>
  <c r="GR85" i="55"/>
  <c r="GX85" i="55" s="1"/>
  <c r="CH299" i="55"/>
  <c r="GR241" i="55"/>
  <c r="EX103" i="55"/>
  <c r="DS103" i="55"/>
  <c r="EX329" i="55"/>
  <c r="DS329" i="55"/>
  <c r="CH126" i="55"/>
  <c r="FZ25" i="55" a="1"/>
  <c r="FZ25" i="55" s="1"/>
  <c r="GA25" i="55" s="1"/>
  <c r="FX25" i="55" a="1"/>
  <c r="FX25" i="55" s="1"/>
  <c r="FY25" i="55" s="1"/>
  <c r="FV25" i="55" a="1"/>
  <c r="FV25" i="55" s="1"/>
  <c r="FW25" i="55" s="1"/>
  <c r="FR25" i="55" a="1"/>
  <c r="FR25" i="55" s="1"/>
  <c r="FS25" i="55" s="1"/>
  <c r="FT25" i="55" a="1"/>
  <c r="FT25" i="55" s="1"/>
  <c r="FU25" i="55" s="1"/>
  <c r="FP25" i="55" a="1"/>
  <c r="FP25" i="55" s="1"/>
  <c r="FQ25" i="55" s="1"/>
  <c r="CH310" i="55"/>
  <c r="CH258" i="55"/>
  <c r="EX131" i="55"/>
  <c r="DS131" i="55"/>
  <c r="EX188" i="55"/>
  <c r="DS188" i="55"/>
  <c r="EU230" i="55"/>
  <c r="GU230" i="55" s="1"/>
  <c r="EV230" i="55"/>
  <c r="ET231" i="55"/>
  <c r="GR242" i="55"/>
  <c r="GX242" i="55" s="1"/>
  <c r="GY242" i="55" s="1"/>
  <c r="GX286" i="55"/>
  <c r="GY286" i="55" s="1"/>
  <c r="GR286" i="55"/>
  <c r="GY315" i="55"/>
  <c r="EX156" i="55"/>
  <c r="DS156" i="55"/>
  <c r="GY198" i="55"/>
  <c r="EX111" i="55"/>
  <c r="DS111" i="55"/>
  <c r="EX105" i="55"/>
  <c r="DS105" i="55"/>
  <c r="EX344" i="55"/>
  <c r="DS344" i="55"/>
  <c r="EX66" i="55"/>
  <c r="DS66" i="55"/>
  <c r="EX82" i="55"/>
  <c r="DS82" i="55"/>
  <c r="X8" i="42"/>
  <c r="AD9" i="42"/>
  <c r="AA26" i="42"/>
  <c r="AB8" i="42" s="1"/>
  <c r="AC68" i="42"/>
  <c r="AB7" i="42"/>
  <c r="Y16" i="42"/>
  <c r="DL7" i="55" l="1"/>
  <c r="DO7" i="55" s="1"/>
  <c r="DK7" i="55"/>
  <c r="BU15" i="54" s="1" a="1"/>
  <c r="BU15" i="54" s="1"/>
  <c r="CY230" i="55"/>
  <c r="CZ229" i="55"/>
  <c r="GR215" i="55"/>
  <c r="GX215" i="55" s="1"/>
  <c r="FE8" i="55"/>
  <c r="FI8" i="55" s="1"/>
  <c r="CY25" i="55"/>
  <c r="CZ25" i="55" s="1"/>
  <c r="DD25" i="55" s="1"/>
  <c r="CZ24" i="55"/>
  <c r="FG8" i="55"/>
  <c r="CZ108" i="55"/>
  <c r="CY109" i="55"/>
  <c r="GX55" i="55"/>
  <c r="GY55" i="55" s="1"/>
  <c r="FD8" i="55"/>
  <c r="EK9" i="55"/>
  <c r="FF9" i="55" s="1"/>
  <c r="DG8" i="55"/>
  <c r="DH8" i="55" s="1"/>
  <c r="DJ8" i="55" s="1" a="1"/>
  <c r="DJ8" i="55" s="1"/>
  <c r="DN8" i="55" s="1"/>
  <c r="CY59" i="55"/>
  <c r="CZ58" i="55"/>
  <c r="CZ288" i="55"/>
  <c r="CY289" i="55"/>
  <c r="CZ323" i="55"/>
  <c r="CY324" i="55"/>
  <c r="CZ324" i="55" s="1"/>
  <c r="GY211" i="55"/>
  <c r="DU20" i="55"/>
  <c r="CB20" i="55"/>
  <c r="CC20" i="55" s="1"/>
  <c r="DU19" i="55"/>
  <c r="CB19" i="55"/>
  <c r="CC19" i="55" s="1"/>
  <c r="DU18" i="55"/>
  <c r="CB18" i="55"/>
  <c r="CC18" i="55" s="1"/>
  <c r="DU16" i="55"/>
  <c r="CB16" i="55"/>
  <c r="CC16" i="55" s="1"/>
  <c r="GY277" i="55"/>
  <c r="CB5" i="55"/>
  <c r="CC5" i="55" s="1"/>
  <c r="DU17" i="55"/>
  <c r="CB17" i="55"/>
  <c r="CC17" i="55" s="1"/>
  <c r="H15" i="58"/>
  <c r="C15" i="58"/>
  <c r="G15" i="58"/>
  <c r="DU14" i="55"/>
  <c r="CB14" i="55"/>
  <c r="CC14" i="55" s="1"/>
  <c r="DU8" i="55"/>
  <c r="CB8" i="55"/>
  <c r="CC8" i="55" s="1"/>
  <c r="DU10" i="55"/>
  <c r="CB10" i="55"/>
  <c r="CC10" i="55" s="1"/>
  <c r="DS58" i="55"/>
  <c r="EX58" i="55"/>
  <c r="GR179" i="55"/>
  <c r="AD20" i="54"/>
  <c r="CM292" i="55"/>
  <c r="CM301" i="55"/>
  <c r="CM304" i="55"/>
  <c r="CM295" i="55"/>
  <c r="CM307" i="55"/>
  <c r="CM294" i="55"/>
  <c r="CM291" i="55"/>
  <c r="CM290" i="55"/>
  <c r="CM297" i="55"/>
  <c r="CM298" i="55"/>
  <c r="CM305" i="55"/>
  <c r="CM308" i="55"/>
  <c r="CM309" i="55"/>
  <c r="CM312" i="55"/>
  <c r="CM284" i="55"/>
  <c r="CM293" i="55"/>
  <c r="CM306" i="55"/>
  <c r="CM310" i="55"/>
  <c r="CM299" i="55"/>
  <c r="CM303" i="55"/>
  <c r="CM302" i="55"/>
  <c r="CM283" i="55"/>
  <c r="CM287" i="55"/>
  <c r="CM285" i="55"/>
  <c r="CM288" i="55"/>
  <c r="CM300" i="55"/>
  <c r="CM289" i="55"/>
  <c r="CM286" i="55"/>
  <c r="CM311" i="55"/>
  <c r="CM296" i="55"/>
  <c r="FA286" i="55"/>
  <c r="GB286" i="55" s="1"/>
  <c r="FC286" i="55"/>
  <c r="EW286" i="55"/>
  <c r="AD22" i="54"/>
  <c r="CM317" i="55"/>
  <c r="CM322" i="55"/>
  <c r="CM318" i="55"/>
  <c r="CM320" i="55"/>
  <c r="CM319" i="55"/>
  <c r="CM323" i="55"/>
  <c r="CM324" i="55"/>
  <c r="CM321" i="55"/>
  <c r="AD23" i="54"/>
  <c r="CM325" i="55"/>
  <c r="CM328" i="55"/>
  <c r="CM326" i="55"/>
  <c r="CM327" i="55"/>
  <c r="CM329" i="55"/>
  <c r="GR97" i="55"/>
  <c r="GR166" i="55"/>
  <c r="EX285" i="55"/>
  <c r="DS285" i="55"/>
  <c r="GR275" i="55"/>
  <c r="AC20" i="54"/>
  <c r="CK286" i="55"/>
  <c r="CL286" i="55" s="1"/>
  <c r="FH286" i="55" s="1"/>
  <c r="FJ286" i="55" s="1"/>
  <c r="CK301" i="55"/>
  <c r="CL301" i="55" s="1"/>
  <c r="FH301" i="55" s="1"/>
  <c r="FJ301" i="55" s="1"/>
  <c r="CK285" i="55"/>
  <c r="CL285" i="55" s="1"/>
  <c r="FH285" i="55" s="1"/>
  <c r="FJ285" i="55" s="1"/>
  <c r="CK307" i="55"/>
  <c r="CL307" i="55" s="1"/>
  <c r="FH307" i="55" s="1"/>
  <c r="FJ307" i="55" s="1"/>
  <c r="CK299" i="55"/>
  <c r="CL299" i="55" s="1"/>
  <c r="FH299" i="55" s="1"/>
  <c r="FJ299" i="55" s="1"/>
  <c r="CK293" i="55"/>
  <c r="CL293" i="55" s="1"/>
  <c r="FH293" i="55" s="1"/>
  <c r="FJ293" i="55" s="1"/>
  <c r="CK304" i="55"/>
  <c r="CL304" i="55" s="1"/>
  <c r="FH304" i="55" s="1"/>
  <c r="FJ304" i="55" s="1"/>
  <c r="CK284" i="55"/>
  <c r="CL284" i="55" s="1"/>
  <c r="FH284" i="55" s="1"/>
  <c r="FJ284" i="55" s="1"/>
  <c r="CK289" i="55"/>
  <c r="CL289" i="55" s="1"/>
  <c r="FH289" i="55" s="1"/>
  <c r="FJ289" i="55" s="1"/>
  <c r="CK292" i="55"/>
  <c r="CL292" i="55" s="1"/>
  <c r="FH292" i="55" s="1"/>
  <c r="FJ292" i="55" s="1"/>
  <c r="CK302" i="55"/>
  <c r="CL302" i="55" s="1"/>
  <c r="FH302" i="55" s="1"/>
  <c r="FJ302" i="55" s="1"/>
  <c r="CK298" i="55"/>
  <c r="CL298" i="55" s="1"/>
  <c r="FH298" i="55" s="1"/>
  <c r="FJ298" i="55" s="1"/>
  <c r="CK312" i="55"/>
  <c r="CL312" i="55" s="1"/>
  <c r="FH312" i="55" s="1"/>
  <c r="FJ312" i="55" s="1"/>
  <c r="CK311" i="55"/>
  <c r="CL311" i="55" s="1"/>
  <c r="FH311" i="55" s="1"/>
  <c r="FJ311" i="55" s="1"/>
  <c r="CK305" i="55"/>
  <c r="CL305" i="55" s="1"/>
  <c r="FH305" i="55" s="1"/>
  <c r="FJ305" i="55" s="1"/>
  <c r="CK291" i="55"/>
  <c r="CL291" i="55" s="1"/>
  <c r="FH291" i="55" s="1"/>
  <c r="FJ291" i="55" s="1"/>
  <c r="CK308" i="55"/>
  <c r="CL308" i="55" s="1"/>
  <c r="FH308" i="55" s="1"/>
  <c r="FJ308" i="55" s="1"/>
  <c r="CK309" i="55"/>
  <c r="CL309" i="55" s="1"/>
  <c r="FH309" i="55" s="1"/>
  <c r="FJ309" i="55" s="1"/>
  <c r="CK306" i="55"/>
  <c r="CL306" i="55" s="1"/>
  <c r="FH306" i="55" s="1"/>
  <c r="FJ306" i="55" s="1"/>
  <c r="CK310" i="55"/>
  <c r="CL310" i="55" s="1"/>
  <c r="FH310" i="55" s="1"/>
  <c r="FJ310" i="55" s="1"/>
  <c r="CK294" i="55"/>
  <c r="CL294" i="55" s="1"/>
  <c r="FH294" i="55" s="1"/>
  <c r="FJ294" i="55" s="1"/>
  <c r="CK300" i="55"/>
  <c r="CL300" i="55" s="1"/>
  <c r="FH300" i="55" s="1"/>
  <c r="FJ300" i="55" s="1"/>
  <c r="CK297" i="55"/>
  <c r="CL297" i="55" s="1"/>
  <c r="FH297" i="55" s="1"/>
  <c r="FJ297" i="55" s="1"/>
  <c r="CK295" i="55"/>
  <c r="CL295" i="55" s="1"/>
  <c r="FH295" i="55" s="1"/>
  <c r="FJ295" i="55" s="1"/>
  <c r="CK303" i="55"/>
  <c r="CL303" i="55" s="1"/>
  <c r="FH303" i="55" s="1"/>
  <c r="FJ303" i="55" s="1"/>
  <c r="CK287" i="55"/>
  <c r="CL287" i="55" s="1"/>
  <c r="FH287" i="55" s="1"/>
  <c r="FJ287" i="55" s="1"/>
  <c r="CK296" i="55"/>
  <c r="CL296" i="55" s="1"/>
  <c r="FH296" i="55" s="1"/>
  <c r="FJ296" i="55" s="1"/>
  <c r="CK288" i="55"/>
  <c r="CL288" i="55" s="1"/>
  <c r="FH288" i="55" s="1"/>
  <c r="FJ288" i="55" s="1"/>
  <c r="CK290" i="55"/>
  <c r="CL290" i="55" s="1"/>
  <c r="FH290" i="55" s="1"/>
  <c r="FJ290" i="55" s="1"/>
  <c r="GR336" i="55"/>
  <c r="EY336" i="55"/>
  <c r="EZ336" i="55"/>
  <c r="EX185" i="55"/>
  <c r="EY188" i="55" s="1"/>
  <c r="DS185" i="55"/>
  <c r="GR350" i="55"/>
  <c r="GX350" i="55" s="1"/>
  <c r="GY350" i="55" s="1"/>
  <c r="GR86" i="55"/>
  <c r="GX86" i="55" s="1"/>
  <c r="EV334" i="55"/>
  <c r="EU334" i="55"/>
  <c r="GU334" i="55" s="1"/>
  <c r="FX335" i="55" a="1"/>
  <c r="FX335" i="55" s="1"/>
  <c r="FY335" i="55" s="1"/>
  <c r="FZ335" i="55" a="1"/>
  <c r="FZ335" i="55" s="1"/>
  <c r="GA335" i="55" s="1"/>
  <c r="FT335" i="55" a="1"/>
  <c r="FT335" i="55" s="1"/>
  <c r="FU335" i="55" s="1"/>
  <c r="FR335" i="55" a="1"/>
  <c r="FR335" i="55" s="1"/>
  <c r="FS335" i="55" s="1"/>
  <c r="FP335" i="55" a="1"/>
  <c r="FP335" i="55" s="1"/>
  <c r="FQ335" i="55" s="1"/>
  <c r="FV335" i="55" a="1"/>
  <c r="FV335" i="55" s="1"/>
  <c r="FW335" i="55" s="1"/>
  <c r="AC11" i="54"/>
  <c r="CK26" i="55"/>
  <c r="CL26" i="55" s="1"/>
  <c r="FH26" i="55" s="1"/>
  <c r="FJ26" i="55" s="1"/>
  <c r="CK29" i="55"/>
  <c r="CL29" i="55" s="1"/>
  <c r="FH29" i="55" s="1"/>
  <c r="FJ29" i="55" s="1"/>
  <c r="CK30" i="55"/>
  <c r="CL30" i="55" s="1"/>
  <c r="FH30" i="55" s="1"/>
  <c r="FJ30" i="55" s="1"/>
  <c r="GR189" i="55"/>
  <c r="EY189" i="55"/>
  <c r="GR290" i="55"/>
  <c r="AD10" i="54"/>
  <c r="C26" i="60" s="1"/>
  <c r="CM13" i="55"/>
  <c r="CM19" i="55"/>
  <c r="CM16" i="55"/>
  <c r="CM9" i="55"/>
  <c r="CM6" i="55"/>
  <c r="CM17" i="55"/>
  <c r="CM23" i="55"/>
  <c r="CM7" i="55"/>
  <c r="CM22" i="55"/>
  <c r="CM14" i="55"/>
  <c r="CM10" i="55"/>
  <c r="CM20" i="55"/>
  <c r="CM24" i="55"/>
  <c r="CM18" i="55"/>
  <c r="CM15" i="55"/>
  <c r="CM8" i="55"/>
  <c r="CM21" i="55"/>
  <c r="CM5" i="55"/>
  <c r="CM12" i="55"/>
  <c r="CM3" i="55"/>
  <c r="CM11" i="55"/>
  <c r="GR338" i="55"/>
  <c r="EY338" i="55"/>
  <c r="GX192" i="55"/>
  <c r="GY192" i="55" s="1"/>
  <c r="EX121" i="55"/>
  <c r="DS121" i="55"/>
  <c r="GR264" i="55"/>
  <c r="GX264" i="55" s="1"/>
  <c r="GY264" i="55" s="1"/>
  <c r="EX220" i="55"/>
  <c r="DS220" i="55"/>
  <c r="AD25" i="54"/>
  <c r="CM336" i="55"/>
  <c r="CM335" i="55"/>
  <c r="CM339" i="55"/>
  <c r="CM338" i="55"/>
  <c r="CM337" i="55"/>
  <c r="CM340" i="55"/>
  <c r="GR177" i="55"/>
  <c r="GX177" i="55" s="1"/>
  <c r="EX164" i="55"/>
  <c r="DS164" i="55"/>
  <c r="EX148" i="55"/>
  <c r="DS148" i="55"/>
  <c r="AC25" i="54"/>
  <c r="CK336" i="55"/>
  <c r="CL336" i="55" s="1"/>
  <c r="FH336" i="55" s="1"/>
  <c r="FJ336" i="55" s="1"/>
  <c r="CK339" i="55"/>
  <c r="CL339" i="55" s="1"/>
  <c r="FH339" i="55" s="1"/>
  <c r="FJ339" i="55" s="1"/>
  <c r="CK335" i="55"/>
  <c r="CL335" i="55" s="1"/>
  <c r="FH335" i="55" s="1"/>
  <c r="FJ335" i="55" s="1"/>
  <c r="CK337" i="55"/>
  <c r="CL337" i="55" s="1"/>
  <c r="FH337" i="55" s="1"/>
  <c r="FJ337" i="55" s="1"/>
  <c r="CK338" i="55"/>
  <c r="CL338" i="55" s="1"/>
  <c r="FH338" i="55" s="1"/>
  <c r="FJ338" i="55" s="1"/>
  <c r="CK340" i="55"/>
  <c r="CL340" i="55" s="1"/>
  <c r="FH340" i="55" s="1"/>
  <c r="FJ340" i="55" s="1"/>
  <c r="GR110" i="55"/>
  <c r="GR66" i="55"/>
  <c r="GX66" i="55" s="1"/>
  <c r="AC10" i="54"/>
  <c r="CK24" i="55"/>
  <c r="CL24" i="55" s="1"/>
  <c r="FH24" i="55" s="1"/>
  <c r="FJ24" i="55" s="1"/>
  <c r="CK13" i="55"/>
  <c r="CL13" i="55" s="1"/>
  <c r="FH13" i="55" s="1"/>
  <c r="FJ13" i="55" s="1"/>
  <c r="CK23" i="55"/>
  <c r="CL23" i="55" s="1"/>
  <c r="FH23" i="55" s="1"/>
  <c r="FJ23" i="55" s="1"/>
  <c r="CK22" i="55"/>
  <c r="CL22" i="55" s="1"/>
  <c r="FH22" i="55" s="1"/>
  <c r="FJ22" i="55" s="1"/>
  <c r="CK18" i="55"/>
  <c r="CL18" i="55" s="1"/>
  <c r="FH18" i="55" s="1"/>
  <c r="FJ18" i="55" s="1"/>
  <c r="CK21" i="55"/>
  <c r="CL21" i="55" s="1"/>
  <c r="FH21" i="55" s="1"/>
  <c r="FJ21" i="55" s="1"/>
  <c r="CK14" i="55"/>
  <c r="CL14" i="55" s="1"/>
  <c r="FH14" i="55" s="1"/>
  <c r="FJ14" i="55" s="1"/>
  <c r="CK15" i="55"/>
  <c r="CL15" i="55" s="1"/>
  <c r="FH15" i="55" s="1"/>
  <c r="FJ15" i="55" s="1"/>
  <c r="CK6" i="55"/>
  <c r="CL6" i="55" s="1"/>
  <c r="FH6" i="55" s="1"/>
  <c r="FJ6" i="55" s="1"/>
  <c r="CK5" i="55"/>
  <c r="CL5" i="55" s="1"/>
  <c r="FH5" i="55" s="1"/>
  <c r="FJ5" i="55" s="1"/>
  <c r="CK8" i="55"/>
  <c r="CL8" i="55" s="1"/>
  <c r="FH8" i="55" s="1"/>
  <c r="FJ8" i="55" s="1"/>
  <c r="CK7" i="55"/>
  <c r="CL7" i="55" s="1"/>
  <c r="FH7" i="55" s="1"/>
  <c r="FJ7" i="55" s="1"/>
  <c r="CK9" i="55"/>
  <c r="CL9" i="55" s="1"/>
  <c r="FH9" i="55" s="1"/>
  <c r="FJ9" i="55" s="1"/>
  <c r="CK12" i="55"/>
  <c r="CL12" i="55" s="1"/>
  <c r="FH12" i="55" s="1"/>
  <c r="FJ12" i="55" s="1"/>
  <c r="CK16" i="55"/>
  <c r="CL16" i="55" s="1"/>
  <c r="FH16" i="55" s="1"/>
  <c r="FJ16" i="55" s="1"/>
  <c r="CK17" i="55"/>
  <c r="CL17" i="55" s="1"/>
  <c r="FH17" i="55" s="1"/>
  <c r="FJ17" i="55" s="1"/>
  <c r="CK19" i="55"/>
  <c r="CL19" i="55" s="1"/>
  <c r="FH19" i="55" s="1"/>
  <c r="FJ19" i="55" s="1"/>
  <c r="CK10" i="55"/>
  <c r="CL10" i="55" s="1"/>
  <c r="FH10" i="55" s="1"/>
  <c r="FJ10" i="55" s="1"/>
  <c r="CK20" i="55"/>
  <c r="CL20" i="55" s="1"/>
  <c r="FH20" i="55" s="1"/>
  <c r="FJ20" i="55" s="1"/>
  <c r="CK11" i="55"/>
  <c r="CL11" i="55" s="1"/>
  <c r="FH11" i="55" s="1"/>
  <c r="FJ11" i="55" s="1"/>
  <c r="GR160" i="55"/>
  <c r="AC23" i="54"/>
  <c r="CK327" i="55"/>
  <c r="CL327" i="55" s="1"/>
  <c r="FH327" i="55" s="1"/>
  <c r="FJ327" i="55" s="1"/>
  <c r="CK329" i="55"/>
  <c r="CL329" i="55" s="1"/>
  <c r="FH329" i="55" s="1"/>
  <c r="FJ329" i="55" s="1"/>
  <c r="CK328" i="55"/>
  <c r="CL328" i="55" s="1"/>
  <c r="FH328" i="55" s="1"/>
  <c r="FJ328" i="55" s="1"/>
  <c r="CK326" i="55"/>
  <c r="CL326" i="55" s="1"/>
  <c r="FH326" i="55" s="1"/>
  <c r="FJ326" i="55" s="1"/>
  <c r="CK325" i="55"/>
  <c r="CL325" i="55" s="1"/>
  <c r="FH325" i="55" s="1"/>
  <c r="FJ325" i="55" s="1"/>
  <c r="EW333" i="55"/>
  <c r="FA333" i="55"/>
  <c r="GB333" i="55" s="1"/>
  <c r="FC333" i="55"/>
  <c r="GR161" i="55"/>
  <c r="GX161" i="55" s="1"/>
  <c r="GR23" i="55"/>
  <c r="GX23" i="55" s="1"/>
  <c r="GY139" i="55"/>
  <c r="EX305" i="55"/>
  <c r="DS305" i="55"/>
  <c r="GR116" i="55"/>
  <c r="GX116" i="55" s="1"/>
  <c r="GY116" i="55" s="1"/>
  <c r="GR75" i="55"/>
  <c r="GX351" i="55"/>
  <c r="GY351" i="55" s="1"/>
  <c r="GR129" i="55"/>
  <c r="GX165" i="55"/>
  <c r="GY165" i="55" s="1"/>
  <c r="EX279" i="55"/>
  <c r="DS279" i="55"/>
  <c r="GR174" i="55"/>
  <c r="GR187" i="55"/>
  <c r="EY187" i="55"/>
  <c r="FC230" i="55"/>
  <c r="FA230" i="55"/>
  <c r="GB230" i="55" s="1"/>
  <c r="EW230" i="55"/>
  <c r="EX258" i="55"/>
  <c r="DS258" i="55"/>
  <c r="GR276" i="55"/>
  <c r="GR40" i="55"/>
  <c r="C77" i="57" a="1"/>
  <c r="C77" i="57" s="1"/>
  <c r="C79" i="57"/>
  <c r="C75" i="57" a="1"/>
  <c r="C75" i="57" s="1"/>
  <c r="C78" i="57" a="1"/>
  <c r="C78" i="57" s="1"/>
  <c r="C76" i="57" a="1"/>
  <c r="C76" i="57" s="1"/>
  <c r="GR267" i="55"/>
  <c r="GR105" i="55"/>
  <c r="EY105" i="55"/>
  <c r="EX71" i="55"/>
  <c r="DS71" i="55"/>
  <c r="AC19" i="54"/>
  <c r="CK246" i="55"/>
  <c r="CL246" i="55" s="1"/>
  <c r="FH246" i="55" s="1"/>
  <c r="FJ246" i="55" s="1"/>
  <c r="CK245" i="55"/>
  <c r="CL245" i="55" s="1"/>
  <c r="FH245" i="55" s="1"/>
  <c r="FJ245" i="55" s="1"/>
  <c r="CK251" i="55"/>
  <c r="CL251" i="55" s="1"/>
  <c r="FH251" i="55" s="1"/>
  <c r="FJ251" i="55" s="1"/>
  <c r="CK262" i="55"/>
  <c r="CL262" i="55" s="1"/>
  <c r="FH262" i="55" s="1"/>
  <c r="FJ262" i="55" s="1"/>
  <c r="CK238" i="55"/>
  <c r="CL238" i="55" s="1"/>
  <c r="FH238" i="55" s="1"/>
  <c r="FJ238" i="55" s="1"/>
  <c r="CK267" i="55"/>
  <c r="CL267" i="55" s="1"/>
  <c r="FH267" i="55" s="1"/>
  <c r="FJ267" i="55" s="1"/>
  <c r="CK235" i="55"/>
  <c r="CL235" i="55" s="1"/>
  <c r="FH235" i="55" s="1"/>
  <c r="FJ235" i="55" s="1"/>
  <c r="CK274" i="55"/>
  <c r="CL274" i="55" s="1"/>
  <c r="FH274" i="55" s="1"/>
  <c r="FJ274" i="55" s="1"/>
  <c r="CK266" i="55"/>
  <c r="CL266" i="55" s="1"/>
  <c r="FH266" i="55" s="1"/>
  <c r="FJ266" i="55" s="1"/>
  <c r="CK228" i="55"/>
  <c r="CL228" i="55" s="1"/>
  <c r="FH228" i="55" s="1"/>
  <c r="FJ228" i="55" s="1"/>
  <c r="CK269" i="55"/>
  <c r="CL269" i="55" s="1"/>
  <c r="FH269" i="55" s="1"/>
  <c r="FJ269" i="55" s="1"/>
  <c r="CK273" i="55"/>
  <c r="CL273" i="55" s="1"/>
  <c r="FH273" i="55" s="1"/>
  <c r="FJ273" i="55" s="1"/>
  <c r="CK282" i="55"/>
  <c r="CL282" i="55" s="1"/>
  <c r="FH282" i="55" s="1"/>
  <c r="FJ282" i="55" s="1"/>
  <c r="CK279" i="55"/>
  <c r="CL279" i="55" s="1"/>
  <c r="FH279" i="55" s="1"/>
  <c r="FJ279" i="55" s="1"/>
  <c r="CK259" i="55"/>
  <c r="CL259" i="55" s="1"/>
  <c r="FH259" i="55" s="1"/>
  <c r="FJ259" i="55" s="1"/>
  <c r="CK225" i="55"/>
  <c r="CL225" i="55" s="1"/>
  <c r="FH225" i="55" s="1"/>
  <c r="FJ225" i="55" s="1"/>
  <c r="CK257" i="55"/>
  <c r="CL257" i="55" s="1"/>
  <c r="FH257" i="55" s="1"/>
  <c r="FJ257" i="55" s="1"/>
  <c r="CK252" i="55"/>
  <c r="CL252" i="55" s="1"/>
  <c r="FH252" i="55" s="1"/>
  <c r="FJ252" i="55" s="1"/>
  <c r="CK281" i="55"/>
  <c r="CL281" i="55" s="1"/>
  <c r="FH281" i="55" s="1"/>
  <c r="FJ281" i="55" s="1"/>
  <c r="CK278" i="55"/>
  <c r="CL278" i="55" s="1"/>
  <c r="FH278" i="55" s="1"/>
  <c r="FJ278" i="55" s="1"/>
  <c r="CK265" i="55"/>
  <c r="CL265" i="55" s="1"/>
  <c r="FH265" i="55" s="1"/>
  <c r="FJ265" i="55" s="1"/>
  <c r="CK263" i="55"/>
  <c r="CL263" i="55" s="1"/>
  <c r="FH263" i="55" s="1"/>
  <c r="FJ263" i="55" s="1"/>
  <c r="CK260" i="55"/>
  <c r="CL260" i="55" s="1"/>
  <c r="FH260" i="55" s="1"/>
  <c r="FJ260" i="55" s="1"/>
  <c r="CK244" i="55"/>
  <c r="CL244" i="55" s="1"/>
  <c r="FH244" i="55" s="1"/>
  <c r="FJ244" i="55" s="1"/>
  <c r="CK241" i="55"/>
  <c r="CL241" i="55" s="1"/>
  <c r="FH241" i="55" s="1"/>
  <c r="FJ241" i="55" s="1"/>
  <c r="CK272" i="55"/>
  <c r="CL272" i="55" s="1"/>
  <c r="FH272" i="55" s="1"/>
  <c r="FJ272" i="55" s="1"/>
  <c r="CK233" i="55"/>
  <c r="CL233" i="55" s="1"/>
  <c r="FH233" i="55" s="1"/>
  <c r="FJ233" i="55" s="1"/>
  <c r="CK227" i="55"/>
  <c r="CL227" i="55" s="1"/>
  <c r="FH227" i="55" s="1"/>
  <c r="FJ227" i="55" s="1"/>
  <c r="CK230" i="55"/>
  <c r="CL230" i="55" s="1"/>
  <c r="FH230" i="55" s="1"/>
  <c r="FJ230" i="55" s="1"/>
  <c r="CK240" i="55"/>
  <c r="CL240" i="55" s="1"/>
  <c r="FH240" i="55" s="1"/>
  <c r="FJ240" i="55" s="1"/>
  <c r="CK226" i="55"/>
  <c r="CL226" i="55" s="1"/>
  <c r="FH226" i="55" s="1"/>
  <c r="FJ226" i="55" s="1"/>
  <c r="CK255" i="55"/>
  <c r="CL255" i="55" s="1"/>
  <c r="FH255" i="55" s="1"/>
  <c r="FJ255" i="55" s="1"/>
  <c r="CK249" i="55"/>
  <c r="CL249" i="55" s="1"/>
  <c r="FH249" i="55" s="1"/>
  <c r="FJ249" i="55" s="1"/>
  <c r="CK256" i="55"/>
  <c r="CL256" i="55" s="1"/>
  <c r="FH256" i="55" s="1"/>
  <c r="FJ256" i="55" s="1"/>
  <c r="CK275" i="55"/>
  <c r="CL275" i="55" s="1"/>
  <c r="FH275" i="55" s="1"/>
  <c r="FJ275" i="55" s="1"/>
  <c r="CK234" i="55"/>
  <c r="CL234" i="55" s="1"/>
  <c r="FH234" i="55" s="1"/>
  <c r="FJ234" i="55" s="1"/>
  <c r="CK248" i="55"/>
  <c r="CL248" i="55" s="1"/>
  <c r="FH248" i="55" s="1"/>
  <c r="FJ248" i="55" s="1"/>
  <c r="CK277" i="55"/>
  <c r="CL277" i="55" s="1"/>
  <c r="FH277" i="55" s="1"/>
  <c r="FJ277" i="55" s="1"/>
  <c r="CK237" i="55"/>
  <c r="CL237" i="55" s="1"/>
  <c r="FH237" i="55" s="1"/>
  <c r="FJ237" i="55" s="1"/>
  <c r="CK232" i="55"/>
  <c r="CL232" i="55" s="1"/>
  <c r="FH232" i="55" s="1"/>
  <c r="FJ232" i="55" s="1"/>
  <c r="CK261" i="55"/>
  <c r="CL261" i="55" s="1"/>
  <c r="FH261" i="55" s="1"/>
  <c r="FJ261" i="55" s="1"/>
  <c r="CK264" i="55"/>
  <c r="CL264" i="55" s="1"/>
  <c r="FH264" i="55" s="1"/>
  <c r="FJ264" i="55" s="1"/>
  <c r="CK276" i="55"/>
  <c r="CL276" i="55" s="1"/>
  <c r="FH276" i="55" s="1"/>
  <c r="FJ276" i="55" s="1"/>
  <c r="CK270" i="55"/>
  <c r="CL270" i="55" s="1"/>
  <c r="FH270" i="55" s="1"/>
  <c r="FJ270" i="55" s="1"/>
  <c r="CK239" i="55"/>
  <c r="CL239" i="55" s="1"/>
  <c r="FH239" i="55" s="1"/>
  <c r="FJ239" i="55" s="1"/>
  <c r="CK280" i="55"/>
  <c r="CL280" i="55" s="1"/>
  <c r="FH280" i="55" s="1"/>
  <c r="FJ280" i="55" s="1"/>
  <c r="CK242" i="55"/>
  <c r="CL242" i="55" s="1"/>
  <c r="FH242" i="55" s="1"/>
  <c r="FJ242" i="55" s="1"/>
  <c r="CK258" i="55"/>
  <c r="CL258" i="55" s="1"/>
  <c r="FH258" i="55" s="1"/>
  <c r="FJ258" i="55" s="1"/>
  <c r="CK229" i="55"/>
  <c r="CL229" i="55" s="1"/>
  <c r="FH229" i="55" s="1"/>
  <c r="FJ229" i="55" s="1"/>
  <c r="CK231" i="55"/>
  <c r="CL231" i="55" s="1"/>
  <c r="FH231" i="55" s="1"/>
  <c r="FJ231" i="55" s="1"/>
  <c r="CK271" i="55"/>
  <c r="CL271" i="55" s="1"/>
  <c r="FH271" i="55" s="1"/>
  <c r="FJ271" i="55" s="1"/>
  <c r="CK254" i="55"/>
  <c r="CL254" i="55" s="1"/>
  <c r="FH254" i="55" s="1"/>
  <c r="FJ254" i="55" s="1"/>
  <c r="CK253" i="55"/>
  <c r="CL253" i="55" s="1"/>
  <c r="FH253" i="55" s="1"/>
  <c r="FJ253" i="55" s="1"/>
  <c r="CK250" i="55"/>
  <c r="CL250" i="55" s="1"/>
  <c r="FH250" i="55" s="1"/>
  <c r="FJ250" i="55" s="1"/>
  <c r="CK236" i="55"/>
  <c r="CL236" i="55" s="1"/>
  <c r="FH236" i="55" s="1"/>
  <c r="FJ236" i="55" s="1"/>
  <c r="CK243" i="55"/>
  <c r="CL243" i="55" s="1"/>
  <c r="FH243" i="55" s="1"/>
  <c r="FJ243" i="55" s="1"/>
  <c r="CK247" i="55"/>
  <c r="CL247" i="55" s="1"/>
  <c r="FH247" i="55" s="1"/>
  <c r="FJ247" i="55" s="1"/>
  <c r="CK268" i="55"/>
  <c r="CL268" i="55" s="1"/>
  <c r="FH268" i="55" s="1"/>
  <c r="FJ268" i="55" s="1"/>
  <c r="AC24" i="54"/>
  <c r="CK331" i="55"/>
  <c r="CL331" i="55" s="1"/>
  <c r="FH331" i="55" s="1"/>
  <c r="FJ331" i="55" s="1"/>
  <c r="CK330" i="55"/>
  <c r="CL330" i="55" s="1"/>
  <c r="FH330" i="55" s="1"/>
  <c r="FJ330" i="55" s="1"/>
  <c r="CK334" i="55"/>
  <c r="CL334" i="55" s="1"/>
  <c r="FH334" i="55" s="1"/>
  <c r="FJ334" i="55" s="1"/>
  <c r="CK333" i="55"/>
  <c r="CL333" i="55" s="1"/>
  <c r="FH333" i="55" s="1"/>
  <c r="FJ333" i="55" s="1"/>
  <c r="CK332" i="55"/>
  <c r="CL332" i="55" s="1"/>
  <c r="FH332" i="55" s="1"/>
  <c r="FJ332" i="55" s="1"/>
  <c r="GX274" i="55"/>
  <c r="GY274" i="55" s="1"/>
  <c r="GR247" i="55"/>
  <c r="AD19" i="54"/>
  <c r="CM269" i="55"/>
  <c r="CM234" i="55"/>
  <c r="CM242" i="55"/>
  <c r="CM247" i="55"/>
  <c r="CM244" i="55"/>
  <c r="CM264" i="55"/>
  <c r="CM275" i="55"/>
  <c r="CM243" i="55"/>
  <c r="CM276" i="55"/>
  <c r="CM229" i="55"/>
  <c r="CM236" i="55"/>
  <c r="CM259" i="55"/>
  <c r="CM277" i="55"/>
  <c r="CM261" i="55"/>
  <c r="CM278" i="55"/>
  <c r="CM245" i="55"/>
  <c r="CM270" i="55"/>
  <c r="CM263" i="55"/>
  <c r="CM227" i="55"/>
  <c r="CM248" i="55"/>
  <c r="CM238" i="55"/>
  <c r="CM225" i="55"/>
  <c r="CM232" i="55"/>
  <c r="CM268" i="55"/>
  <c r="CM230" i="55"/>
  <c r="CM256" i="55"/>
  <c r="CM239" i="55"/>
  <c r="CM252" i="55"/>
  <c r="CM240" i="55"/>
  <c r="CM254" i="55"/>
  <c r="CM251" i="55"/>
  <c r="CM265" i="55"/>
  <c r="CM250" i="55"/>
  <c r="CM271" i="55"/>
  <c r="CM267" i="55"/>
  <c r="CM272" i="55"/>
  <c r="CM228" i="55"/>
  <c r="CM273" i="55"/>
  <c r="CM280" i="55"/>
  <c r="CM258" i="55"/>
  <c r="CM255" i="55"/>
  <c r="CM279" i="55"/>
  <c r="CM235" i="55"/>
  <c r="CM231" i="55"/>
  <c r="CM282" i="55"/>
  <c r="CM262" i="55"/>
  <c r="CM257" i="55"/>
  <c r="CM246" i="55"/>
  <c r="CM226" i="55"/>
  <c r="CM224" i="55"/>
  <c r="CM233" i="55"/>
  <c r="CM241" i="55"/>
  <c r="CM249" i="55"/>
  <c r="CM281" i="55"/>
  <c r="CM266" i="55"/>
  <c r="CM253" i="55"/>
  <c r="CM237" i="55"/>
  <c r="CM274" i="55"/>
  <c r="CM260" i="55"/>
  <c r="GR111" i="55"/>
  <c r="GX237" i="55"/>
  <c r="GY237" i="55" s="1"/>
  <c r="GB5" i="55"/>
  <c r="EX260" i="55"/>
  <c r="DS260" i="55"/>
  <c r="GR188" i="55"/>
  <c r="GR250" i="55"/>
  <c r="CB15" i="55"/>
  <c r="CC15" i="55" s="1"/>
  <c r="GX119" i="55"/>
  <c r="GR291" i="55"/>
  <c r="AD26" i="54"/>
  <c r="CM343" i="55"/>
  <c r="CM350" i="55"/>
  <c r="CM344" i="55"/>
  <c r="CM345" i="55"/>
  <c r="CM341" i="55"/>
  <c r="CM348" i="55"/>
  <c r="CM346" i="55"/>
  <c r="CM352" i="55"/>
  <c r="CM347" i="55"/>
  <c r="CM351" i="55"/>
  <c r="CM349" i="55"/>
  <c r="CM342" i="55"/>
  <c r="GR172" i="55"/>
  <c r="EX134" i="55"/>
  <c r="DS134" i="55"/>
  <c r="C7" i="60"/>
  <c r="CO11" i="55"/>
  <c r="GR244" i="55"/>
  <c r="G12" i="58"/>
  <c r="G8" i="58"/>
  <c r="C16" i="58"/>
  <c r="G7" i="58" s="1"/>
  <c r="G9" i="58"/>
  <c r="FZ7" i="55" a="1"/>
  <c r="FZ7" i="55" s="1"/>
  <c r="GA7" i="55" s="1"/>
  <c r="FT7" i="55" a="1"/>
  <c r="FT7" i="55" s="1"/>
  <c r="FU7" i="55" s="1"/>
  <c r="FV7" i="55" a="1"/>
  <c r="FV7" i="55" s="1"/>
  <c r="FW7" i="55" s="1"/>
  <c r="FR7" i="55" a="1"/>
  <c r="FR7" i="55" s="1"/>
  <c r="FS7" i="55" s="1"/>
  <c r="FP7" i="55" a="1"/>
  <c r="FP7" i="55" s="1"/>
  <c r="FQ7" i="55" s="1"/>
  <c r="FX7" i="55" a="1"/>
  <c r="FX7" i="55" s="1"/>
  <c r="FY7" i="55" s="1"/>
  <c r="GR344" i="55"/>
  <c r="GR190" i="55"/>
  <c r="GX190" i="55" s="1"/>
  <c r="GR231" i="55"/>
  <c r="GR238" i="55"/>
  <c r="GX238" i="55" s="1"/>
  <c r="EX321" i="55"/>
  <c r="EY323" i="55" s="1"/>
  <c r="DS321" i="55"/>
  <c r="GR65" i="55"/>
  <c r="EX98" i="55"/>
  <c r="DS98" i="55"/>
  <c r="BW25" i="54"/>
  <c r="EX136" i="55"/>
  <c r="DS136" i="55"/>
  <c r="EX292" i="55"/>
  <c r="DS292" i="55"/>
  <c r="GR308" i="55"/>
  <c r="GR168" i="55"/>
  <c r="GX168" i="55" s="1"/>
  <c r="GR21" i="55"/>
  <c r="FT3" i="55" a="1"/>
  <c r="FT3" i="55" s="1"/>
  <c r="FU3" i="55" s="1"/>
  <c r="FX3" i="55" a="1"/>
  <c r="FX3" i="55" s="1"/>
  <c r="FY3" i="55" s="1"/>
  <c r="FV3" i="55" a="1"/>
  <c r="FV3" i="55" s="1"/>
  <c r="FW3" i="55" s="1"/>
  <c r="FR3" i="55" a="1"/>
  <c r="FR3" i="55" s="1"/>
  <c r="FS3" i="55" s="1"/>
  <c r="FZ3" i="55" a="1"/>
  <c r="FZ3" i="55" s="1"/>
  <c r="GA3" i="55" s="1"/>
  <c r="FP3" i="55" a="1"/>
  <c r="FP3" i="55" s="1"/>
  <c r="AD24" i="54"/>
  <c r="CM333" i="55"/>
  <c r="CM330" i="55"/>
  <c r="CM331" i="55"/>
  <c r="CM332" i="55"/>
  <c r="CM334" i="55"/>
  <c r="GR103" i="55"/>
  <c r="GX103" i="55" s="1"/>
  <c r="EY103" i="55"/>
  <c r="EY108" i="55"/>
  <c r="GR328" i="55"/>
  <c r="GR281" i="55"/>
  <c r="GX281" i="55"/>
  <c r="GR339" i="55"/>
  <c r="GX339" i="55" s="1"/>
  <c r="EY339" i="55"/>
  <c r="GX59" i="55"/>
  <c r="GY59" i="55" s="1"/>
  <c r="GR107" i="55"/>
  <c r="GR72" i="55"/>
  <c r="DT29" i="55"/>
  <c r="BD11" i="54"/>
  <c r="BC11" i="54"/>
  <c r="BB11" i="54"/>
  <c r="CM4" i="55"/>
  <c r="GX178" i="55"/>
  <c r="GY178" i="55" s="1"/>
  <c r="EU321" i="55"/>
  <c r="GU321" i="55" s="1"/>
  <c r="EV321" i="55"/>
  <c r="ET322" i="55"/>
  <c r="EV134" i="55"/>
  <c r="EU134" i="55"/>
  <c r="GU134" i="55" s="1"/>
  <c r="ET135" i="55"/>
  <c r="GX241" i="55"/>
  <c r="GY241" i="55" s="1"/>
  <c r="GR318" i="55"/>
  <c r="EY318" i="55"/>
  <c r="GX219" i="55"/>
  <c r="GY219" i="55" s="1"/>
  <c r="FA320" i="55"/>
  <c r="GB320" i="55" s="1"/>
  <c r="FC320" i="55"/>
  <c r="EW320" i="55"/>
  <c r="GX203" i="55"/>
  <c r="GY203" i="55" s="1"/>
  <c r="FA133" i="55"/>
  <c r="GB133" i="55" s="1"/>
  <c r="EW133" i="55"/>
  <c r="FC133" i="55"/>
  <c r="GX288" i="55"/>
  <c r="GY288" i="55" s="1"/>
  <c r="AC26" i="54"/>
  <c r="CK347" i="55"/>
  <c r="CL347" i="55" s="1"/>
  <c r="FH347" i="55" s="1"/>
  <c r="FJ347" i="55" s="1"/>
  <c r="CK341" i="55"/>
  <c r="CL341" i="55" s="1"/>
  <c r="FH341" i="55" s="1"/>
  <c r="FJ341" i="55" s="1"/>
  <c r="CK350" i="55"/>
  <c r="CL350" i="55" s="1"/>
  <c r="FH350" i="55" s="1"/>
  <c r="FJ350" i="55" s="1"/>
  <c r="CK346" i="55"/>
  <c r="CL346" i="55" s="1"/>
  <c r="FH346" i="55" s="1"/>
  <c r="FJ346" i="55" s="1"/>
  <c r="CK351" i="55"/>
  <c r="CL351" i="55" s="1"/>
  <c r="FH351" i="55" s="1"/>
  <c r="FJ351" i="55" s="1"/>
  <c r="CK344" i="55"/>
  <c r="CL344" i="55" s="1"/>
  <c r="FH344" i="55" s="1"/>
  <c r="FJ344" i="55" s="1"/>
  <c r="CK343" i="55"/>
  <c r="CL343" i="55" s="1"/>
  <c r="FH343" i="55" s="1"/>
  <c r="FJ343" i="55" s="1"/>
  <c r="CK342" i="55"/>
  <c r="CL342" i="55" s="1"/>
  <c r="FH342" i="55" s="1"/>
  <c r="FJ342" i="55" s="1"/>
  <c r="CK352" i="55"/>
  <c r="CL352" i="55" s="1"/>
  <c r="FH352" i="55" s="1"/>
  <c r="FJ352" i="55" s="1"/>
  <c r="CK345" i="55"/>
  <c r="CL345" i="55" s="1"/>
  <c r="FH345" i="55" s="1"/>
  <c r="FJ345" i="55" s="1"/>
  <c r="CK348" i="55"/>
  <c r="CL348" i="55" s="1"/>
  <c r="FH348" i="55" s="1"/>
  <c r="FJ348" i="55" s="1"/>
  <c r="CK349" i="55"/>
  <c r="CL349" i="55" s="1"/>
  <c r="FH349" i="55" s="1"/>
  <c r="FJ349" i="55" s="1"/>
  <c r="EX268" i="55"/>
  <c r="DS268" i="55"/>
  <c r="CB4" i="55"/>
  <c r="CC4" i="55" s="1"/>
  <c r="CD4" i="55" s="1"/>
  <c r="GR226" i="55"/>
  <c r="EY226" i="55"/>
  <c r="GR95" i="55"/>
  <c r="GX314" i="55"/>
  <c r="GY314" i="55" s="1"/>
  <c r="EV158" i="55"/>
  <c r="EU158" i="55"/>
  <c r="GU158" i="55" s="1"/>
  <c r="ET159" i="55"/>
  <c r="GY81" i="55"/>
  <c r="FN53" i="55"/>
  <c r="FO53" i="55" s="1"/>
  <c r="GC53" i="55"/>
  <c r="GY87" i="55"/>
  <c r="GR182" i="55"/>
  <c r="GX182" i="55" s="1"/>
  <c r="AC16" i="54"/>
  <c r="CK152" i="55"/>
  <c r="CL152" i="55" s="1"/>
  <c r="FH152" i="55" s="1"/>
  <c r="FJ152" i="55" s="1"/>
  <c r="CK139" i="55"/>
  <c r="CL139" i="55" s="1"/>
  <c r="FH139" i="55" s="1"/>
  <c r="FJ139" i="55" s="1"/>
  <c r="CK145" i="55"/>
  <c r="CL145" i="55" s="1"/>
  <c r="FH145" i="55" s="1"/>
  <c r="FJ145" i="55" s="1"/>
  <c r="CK151" i="55"/>
  <c r="CL151" i="55" s="1"/>
  <c r="FH151" i="55" s="1"/>
  <c r="FJ151" i="55" s="1"/>
  <c r="CK143" i="55"/>
  <c r="CL143" i="55" s="1"/>
  <c r="FH143" i="55" s="1"/>
  <c r="FJ143" i="55" s="1"/>
  <c r="CK141" i="55"/>
  <c r="CL141" i="55" s="1"/>
  <c r="FH141" i="55" s="1"/>
  <c r="FJ141" i="55" s="1"/>
  <c r="CK148" i="55"/>
  <c r="CL148" i="55" s="1"/>
  <c r="FH148" i="55" s="1"/>
  <c r="FJ148" i="55" s="1"/>
  <c r="CK146" i="55"/>
  <c r="CL146" i="55" s="1"/>
  <c r="FH146" i="55" s="1"/>
  <c r="FJ146" i="55" s="1"/>
  <c r="CK150" i="55"/>
  <c r="CL150" i="55" s="1"/>
  <c r="FH150" i="55" s="1"/>
  <c r="FJ150" i="55" s="1"/>
  <c r="CK153" i="55"/>
  <c r="CL153" i="55" s="1"/>
  <c r="FH153" i="55" s="1"/>
  <c r="FJ153" i="55" s="1"/>
  <c r="CK140" i="55"/>
  <c r="CL140" i="55" s="1"/>
  <c r="FH140" i="55" s="1"/>
  <c r="FJ140" i="55" s="1"/>
  <c r="CK133" i="55"/>
  <c r="CL133" i="55" s="1"/>
  <c r="FH133" i="55" s="1"/>
  <c r="FJ133" i="55" s="1"/>
  <c r="CK135" i="55"/>
  <c r="CL135" i="55" s="1"/>
  <c r="FH135" i="55" s="1"/>
  <c r="FJ135" i="55" s="1"/>
  <c r="CK144" i="55"/>
  <c r="CL144" i="55" s="1"/>
  <c r="FH144" i="55" s="1"/>
  <c r="FJ144" i="55" s="1"/>
  <c r="CK138" i="55"/>
  <c r="CL138" i="55" s="1"/>
  <c r="FH138" i="55" s="1"/>
  <c r="FJ138" i="55" s="1"/>
  <c r="CK147" i="55"/>
  <c r="CL147" i="55" s="1"/>
  <c r="FH147" i="55" s="1"/>
  <c r="FJ147" i="55" s="1"/>
  <c r="CK131" i="55"/>
  <c r="CL131" i="55" s="1"/>
  <c r="FH131" i="55" s="1"/>
  <c r="FJ131" i="55" s="1"/>
  <c r="CK134" i="55"/>
  <c r="CL134" i="55" s="1"/>
  <c r="FH134" i="55" s="1"/>
  <c r="FJ134" i="55" s="1"/>
  <c r="CK149" i="55"/>
  <c r="CL149" i="55" s="1"/>
  <c r="FH149" i="55" s="1"/>
  <c r="FJ149" i="55" s="1"/>
  <c r="CK130" i="55"/>
  <c r="CL130" i="55" s="1"/>
  <c r="FH130" i="55" s="1"/>
  <c r="FJ130" i="55" s="1"/>
  <c r="CK137" i="55"/>
  <c r="CL137" i="55" s="1"/>
  <c r="FH137" i="55" s="1"/>
  <c r="FJ137" i="55" s="1"/>
  <c r="CK136" i="55"/>
  <c r="CL136" i="55" s="1"/>
  <c r="FH136" i="55" s="1"/>
  <c r="FJ136" i="55" s="1"/>
  <c r="CK142" i="55"/>
  <c r="CL142" i="55" s="1"/>
  <c r="FH142" i="55" s="1"/>
  <c r="FJ142" i="55" s="1"/>
  <c r="CK132" i="55"/>
  <c r="CL132" i="55" s="1"/>
  <c r="FH132" i="55" s="1"/>
  <c r="FJ132" i="55" s="1"/>
  <c r="GR236" i="55"/>
  <c r="EX39" i="55"/>
  <c r="DS39" i="55"/>
  <c r="EX343" i="55"/>
  <c r="DS343" i="55"/>
  <c r="EV231" i="55"/>
  <c r="EU231" i="55"/>
  <c r="GU231" i="55" s="1"/>
  <c r="ET232" i="55"/>
  <c r="GR329" i="55"/>
  <c r="AD11" i="54"/>
  <c r="CM30" i="55"/>
  <c r="CM26" i="55"/>
  <c r="CM29" i="55"/>
  <c r="CM27" i="55"/>
  <c r="GR88" i="55"/>
  <c r="EY88" i="55"/>
  <c r="EZ88" i="55"/>
  <c r="GR252" i="55"/>
  <c r="GX252" i="55" s="1"/>
  <c r="GX171" i="55"/>
  <c r="GY171" i="55" s="1"/>
  <c r="DS234" i="55"/>
  <c r="EX234" i="55"/>
  <c r="GR346" i="55"/>
  <c r="GX77" i="55"/>
  <c r="GY77" i="55" s="1"/>
  <c r="GY68" i="55"/>
  <c r="AD15" i="54"/>
  <c r="CM125" i="55"/>
  <c r="CM109" i="55"/>
  <c r="CM110" i="55"/>
  <c r="CM123" i="55"/>
  <c r="CM102" i="55"/>
  <c r="CM115" i="55"/>
  <c r="CM104" i="55"/>
  <c r="CM117" i="55"/>
  <c r="CM119" i="55"/>
  <c r="CM114" i="55"/>
  <c r="CM113" i="55"/>
  <c r="CM128" i="55"/>
  <c r="CM103" i="55"/>
  <c r="CM112" i="55"/>
  <c r="CM118" i="55"/>
  <c r="CM105" i="55"/>
  <c r="CM111" i="55"/>
  <c r="CM106" i="55"/>
  <c r="CM127" i="55"/>
  <c r="CM120" i="55"/>
  <c r="CM107" i="55"/>
  <c r="CM126" i="55"/>
  <c r="CM122" i="55"/>
  <c r="CM129" i="55"/>
  <c r="CM108" i="55"/>
  <c r="CM116" i="55"/>
  <c r="CM121" i="55"/>
  <c r="CM124" i="55"/>
  <c r="AD3" i="57" a="1"/>
  <c r="AD3" i="57" s="1"/>
  <c r="GR302" i="55"/>
  <c r="FT102" i="55" a="1"/>
  <c r="FT102" i="55" s="1"/>
  <c r="FU102" i="55" s="1"/>
  <c r="FX102" i="55" a="1"/>
  <c r="FX102" i="55" s="1"/>
  <c r="FY102" i="55" s="1"/>
  <c r="FZ102" i="55" a="1"/>
  <c r="FZ102" i="55" s="1"/>
  <c r="GA102" i="55" s="1"/>
  <c r="FV102" i="55" a="1"/>
  <c r="FV102" i="55" s="1"/>
  <c r="FW102" i="55" s="1"/>
  <c r="FP102" i="55" a="1"/>
  <c r="FP102" i="55" s="1"/>
  <c r="FQ102" i="55" s="1"/>
  <c r="FR102" i="55" a="1"/>
  <c r="FR102" i="55" s="1"/>
  <c r="FS102" i="55" s="1"/>
  <c r="EX340" i="55"/>
  <c r="DS340" i="55"/>
  <c r="EX310" i="55"/>
  <c r="DS310" i="55"/>
  <c r="GX223" i="55"/>
  <c r="GY223" i="55" s="1"/>
  <c r="EX326" i="55"/>
  <c r="DS326" i="55"/>
  <c r="EX296" i="55"/>
  <c r="DS296" i="55"/>
  <c r="GR259" i="55"/>
  <c r="GX259" i="55" s="1"/>
  <c r="GR144" i="55"/>
  <c r="GX144" i="55" s="1"/>
  <c r="GY144" i="55" s="1"/>
  <c r="GR240" i="55"/>
  <c r="GR249" i="55"/>
  <c r="GX249" i="55" s="1"/>
  <c r="GY249" i="55" s="1"/>
  <c r="GR24" i="55"/>
  <c r="GX24" i="55" s="1"/>
  <c r="GR100" i="55"/>
  <c r="GX100" i="55" s="1"/>
  <c r="CO165" i="55"/>
  <c r="CO160" i="55"/>
  <c r="CO159" i="55"/>
  <c r="CO164" i="55"/>
  <c r="CO162" i="55"/>
  <c r="CO175" i="55"/>
  <c r="CO178" i="55"/>
  <c r="CO176" i="55"/>
  <c r="CO168" i="55"/>
  <c r="CO172" i="55"/>
  <c r="CO161" i="55"/>
  <c r="CO173" i="55"/>
  <c r="CO174" i="55"/>
  <c r="CO177" i="55"/>
  <c r="CO166" i="55"/>
  <c r="CO156" i="55"/>
  <c r="CO171" i="55"/>
  <c r="CO155" i="55"/>
  <c r="CO167" i="55"/>
  <c r="CO170" i="55"/>
  <c r="CO163" i="55"/>
  <c r="CO157" i="55"/>
  <c r="CO158" i="55"/>
  <c r="CO169" i="55"/>
  <c r="GR153" i="55"/>
  <c r="GR265" i="55"/>
  <c r="GX265" i="55" s="1"/>
  <c r="GY265" i="55" s="1"/>
  <c r="C16" i="60"/>
  <c r="C17" i="60"/>
  <c r="EX158" i="55"/>
  <c r="DS158" i="55"/>
  <c r="GR352" i="55"/>
  <c r="GX352" i="55" s="1"/>
  <c r="GX147" i="55"/>
  <c r="GY147" i="55" s="1"/>
  <c r="GX324" i="55"/>
  <c r="GY324" i="55" s="1"/>
  <c r="GY106" i="55"/>
  <c r="EX299" i="55"/>
  <c r="DS299" i="55"/>
  <c r="AD14" i="54"/>
  <c r="CM93" i="55"/>
  <c r="CM94" i="55"/>
  <c r="CM99" i="55"/>
  <c r="CM91" i="55"/>
  <c r="CM95" i="55"/>
  <c r="CM96" i="55"/>
  <c r="CM90" i="55"/>
  <c r="CM88" i="55"/>
  <c r="CM98" i="55"/>
  <c r="CM97" i="55"/>
  <c r="CM89" i="55"/>
  <c r="CM101" i="55"/>
  <c r="CM92" i="55"/>
  <c r="CM100" i="55"/>
  <c r="GR145" i="55"/>
  <c r="GX94" i="55"/>
  <c r="GY94" i="55" s="1"/>
  <c r="EU188" i="55"/>
  <c r="GU188" i="55" s="1"/>
  <c r="EV188" i="55"/>
  <c r="ET189" i="55"/>
  <c r="AC21" i="54"/>
  <c r="CK316" i="55"/>
  <c r="CL316" i="55" s="1"/>
  <c r="FH316" i="55" s="1"/>
  <c r="FJ316" i="55" s="1"/>
  <c r="CK313" i="55"/>
  <c r="CL313" i="55" s="1"/>
  <c r="FH313" i="55" s="1"/>
  <c r="FJ313" i="55" s="1"/>
  <c r="CK315" i="55"/>
  <c r="CL315" i="55" s="1"/>
  <c r="FH315" i="55" s="1"/>
  <c r="FJ315" i="55" s="1"/>
  <c r="CK314" i="55"/>
  <c r="CL314" i="55" s="1"/>
  <c r="FH314" i="55" s="1"/>
  <c r="FJ314" i="55" s="1"/>
  <c r="AD13" i="54"/>
  <c r="CM77" i="55"/>
  <c r="CM55" i="55"/>
  <c r="CM82" i="55"/>
  <c r="CM69" i="55"/>
  <c r="CM54" i="55"/>
  <c r="CM83" i="55"/>
  <c r="CM78" i="55"/>
  <c r="CM81" i="55"/>
  <c r="CM53" i="55"/>
  <c r="CM70" i="55"/>
  <c r="CM85" i="55"/>
  <c r="CM74" i="55"/>
  <c r="CM73" i="55"/>
  <c r="CM65" i="55"/>
  <c r="CM62" i="55"/>
  <c r="CM59" i="55"/>
  <c r="CM58" i="55"/>
  <c r="CM75" i="55"/>
  <c r="CM56" i="55"/>
  <c r="CM72" i="55"/>
  <c r="CM67" i="55"/>
  <c r="CM80" i="55"/>
  <c r="CM66" i="55"/>
  <c r="CM86" i="55"/>
  <c r="CM64" i="55"/>
  <c r="CM84" i="55"/>
  <c r="CM63" i="55"/>
  <c r="CM79" i="55"/>
  <c r="CM87" i="55"/>
  <c r="CM68" i="55"/>
  <c r="CM61" i="55"/>
  <c r="CM76" i="55"/>
  <c r="CM60" i="55"/>
  <c r="CM57" i="55"/>
  <c r="CM71" i="55"/>
  <c r="EU35" i="55"/>
  <c r="GU35" i="55" s="1"/>
  <c r="EV35" i="55"/>
  <c r="ET36" i="55"/>
  <c r="GR266" i="55"/>
  <c r="GR61" i="55"/>
  <c r="GR156" i="55"/>
  <c r="GX156" i="55"/>
  <c r="EY156" i="55"/>
  <c r="GR298" i="55"/>
  <c r="GR204" i="55"/>
  <c r="EX54" i="55"/>
  <c r="EY82" i="55" s="1"/>
  <c r="DS54" i="55"/>
  <c r="GX120" i="55"/>
  <c r="GR167" i="55"/>
  <c r="GR217" i="55"/>
  <c r="GX217" i="55" s="1"/>
  <c r="GY217" i="55" s="1"/>
  <c r="FN4" i="55"/>
  <c r="FO4" i="55" s="1"/>
  <c r="GC4" i="55"/>
  <c r="GX282" i="55"/>
  <c r="GY282" i="55" s="1"/>
  <c r="GR131" i="55"/>
  <c r="EY131" i="55"/>
  <c r="FA91" i="55"/>
  <c r="GB91" i="55" s="1"/>
  <c r="FC91" i="55"/>
  <c r="EW91" i="55"/>
  <c r="FC187" i="55"/>
  <c r="FA187" i="55"/>
  <c r="GB187" i="55" s="1"/>
  <c r="EW187" i="55"/>
  <c r="EZ34" i="55"/>
  <c r="FA34" i="55"/>
  <c r="GB34" i="55" s="1"/>
  <c r="FC34" i="55"/>
  <c r="EW34" i="55"/>
  <c r="AD17" i="54"/>
  <c r="CM157" i="55"/>
  <c r="CM181" i="55"/>
  <c r="CM162" i="55"/>
  <c r="CM165" i="55"/>
  <c r="CM160" i="55"/>
  <c r="CM170" i="55"/>
  <c r="CM158" i="55"/>
  <c r="CM179" i="55"/>
  <c r="CM154" i="55"/>
  <c r="CM177" i="55"/>
  <c r="CM176" i="55"/>
  <c r="CM161" i="55"/>
  <c r="CM155" i="55"/>
  <c r="CM163" i="55"/>
  <c r="CM183" i="55"/>
  <c r="CM171" i="55"/>
  <c r="CM173" i="55"/>
  <c r="CM180" i="55"/>
  <c r="CM182" i="55"/>
  <c r="CM174" i="55"/>
  <c r="CM159" i="55"/>
  <c r="CM166" i="55"/>
  <c r="CM167" i="55"/>
  <c r="CM175" i="55"/>
  <c r="CM168" i="55"/>
  <c r="CM178" i="55"/>
  <c r="CM172" i="55"/>
  <c r="CM156" i="55"/>
  <c r="CM169" i="55"/>
  <c r="CM164" i="55"/>
  <c r="DZ13" i="55"/>
  <c r="DY14" i="55" s="1"/>
  <c r="GR44" i="55"/>
  <c r="CO192" i="55"/>
  <c r="CO191" i="55"/>
  <c r="CO194" i="55"/>
  <c r="CO198" i="55"/>
  <c r="CO204" i="55"/>
  <c r="CO215" i="55"/>
  <c r="CO207" i="55"/>
  <c r="CO201" i="55"/>
  <c r="CO210" i="55"/>
  <c r="CO214" i="55"/>
  <c r="CO213" i="55"/>
  <c r="CO185" i="55"/>
  <c r="CO208" i="55"/>
  <c r="CO189" i="55"/>
  <c r="CO203" i="55"/>
  <c r="CO202" i="55"/>
  <c r="CO195" i="55"/>
  <c r="CO217" i="55"/>
  <c r="CO212" i="55"/>
  <c r="CO199" i="55"/>
  <c r="CO206" i="55"/>
  <c r="CO190" i="55"/>
  <c r="CO187" i="55"/>
  <c r="CO216" i="55"/>
  <c r="CO193" i="55"/>
  <c r="CO211" i="55"/>
  <c r="CO218" i="55"/>
  <c r="CO197" i="55"/>
  <c r="CO188" i="55"/>
  <c r="CO219" i="55"/>
  <c r="CO209" i="55"/>
  <c r="CO186" i="55"/>
  <c r="CO205" i="55"/>
  <c r="CO196" i="55"/>
  <c r="CO200" i="55"/>
  <c r="EX295" i="55"/>
  <c r="DS295" i="55"/>
  <c r="EV106" i="55"/>
  <c r="EU106" i="55"/>
  <c r="GU106" i="55" s="1"/>
  <c r="ET107" i="55"/>
  <c r="EX52" i="55"/>
  <c r="DS52" i="55"/>
  <c r="GY85" i="55"/>
  <c r="GR101" i="55"/>
  <c r="EU7" i="55"/>
  <c r="EV7" i="55"/>
  <c r="ET8" i="55"/>
  <c r="GY270" i="55"/>
  <c r="GR78" i="55"/>
  <c r="GR38" i="55"/>
  <c r="GX38" i="55" s="1"/>
  <c r="EY38" i="55"/>
  <c r="FN38" i="55" s="1"/>
  <c r="FO38" i="55" s="1"/>
  <c r="GR337" i="55"/>
  <c r="EY337" i="55"/>
  <c r="GX186" i="55"/>
  <c r="GY186" i="55" s="1"/>
  <c r="EX162" i="55"/>
  <c r="DS162" i="55"/>
  <c r="GX277" i="55"/>
  <c r="GR157" i="55"/>
  <c r="GX157" i="55" s="1"/>
  <c r="EY157" i="55"/>
  <c r="GR36" i="55"/>
  <c r="EY36" i="55"/>
  <c r="FN36" i="55" s="1"/>
  <c r="FO36" i="55" s="1"/>
  <c r="GR30" i="55"/>
  <c r="GX30" i="55" s="1"/>
  <c r="Y18" i="54"/>
  <c r="BA18" i="54" s="1"/>
  <c r="Z18" i="54" s="1"/>
  <c r="BN13" i="55" s="1" a="1"/>
  <c r="BN13" i="55" s="1"/>
  <c r="GR297" i="55"/>
  <c r="DK34" i="55"/>
  <c r="DN34" i="55"/>
  <c r="EX230" i="55"/>
  <c r="DS230" i="55"/>
  <c r="GR141" i="55"/>
  <c r="GY163" i="55"/>
  <c r="EU59" i="55"/>
  <c r="GU59" i="55" s="1"/>
  <c r="EV59" i="55"/>
  <c r="ET60" i="55"/>
  <c r="FC345" i="55"/>
  <c r="FA345" i="55"/>
  <c r="GB345" i="55" s="1"/>
  <c r="EW345" i="55"/>
  <c r="GX173" i="55"/>
  <c r="GY173" i="55" s="1"/>
  <c r="AD18" i="54"/>
  <c r="CM208" i="55"/>
  <c r="CM217" i="55"/>
  <c r="CM187" i="55"/>
  <c r="CM200" i="55"/>
  <c r="CM190" i="55"/>
  <c r="CM219" i="55"/>
  <c r="CM186" i="55"/>
  <c r="CM199" i="55"/>
  <c r="CM197" i="55"/>
  <c r="CM211" i="55"/>
  <c r="CM222" i="55"/>
  <c r="CM209" i="55"/>
  <c r="CM212" i="55"/>
  <c r="CM198" i="55"/>
  <c r="CM194" i="55"/>
  <c r="CM210" i="55"/>
  <c r="CM184" i="55"/>
  <c r="CM191" i="55"/>
  <c r="CM213" i="55"/>
  <c r="CM216" i="55"/>
  <c r="CM206" i="55"/>
  <c r="CM204" i="55"/>
  <c r="CM201" i="55"/>
  <c r="CM193" i="55"/>
  <c r="CM202" i="55"/>
  <c r="CM215" i="55"/>
  <c r="CM214" i="55"/>
  <c r="CM223" i="55"/>
  <c r="CM203" i="55"/>
  <c r="CM192" i="55"/>
  <c r="CM218" i="55"/>
  <c r="CM195" i="55"/>
  <c r="CM207" i="55"/>
  <c r="CM196" i="55"/>
  <c r="CM185" i="55"/>
  <c r="CM220" i="55"/>
  <c r="CM221" i="55"/>
  <c r="CM188" i="55"/>
  <c r="CM205" i="55"/>
  <c r="CM189" i="55"/>
  <c r="BA10" i="54"/>
  <c r="GY92" i="55"/>
  <c r="GR91" i="55"/>
  <c r="EX152" i="55"/>
  <c r="DS152" i="55"/>
  <c r="GR132" i="55"/>
  <c r="GX132" i="55" s="1"/>
  <c r="EY132" i="55"/>
  <c r="EX222" i="55"/>
  <c r="DS222" i="55"/>
  <c r="EX246" i="55"/>
  <c r="DS246" i="55"/>
  <c r="DL121" i="55"/>
  <c r="DO121" i="55" s="1"/>
  <c r="DL109" i="55"/>
  <c r="DO109" i="55" s="1"/>
  <c r="DL117" i="55"/>
  <c r="DO117" i="55" s="1"/>
  <c r="DL124" i="55"/>
  <c r="DO124" i="55" s="1"/>
  <c r="DL125" i="55"/>
  <c r="DO125" i="55" s="1"/>
  <c r="DL116" i="55"/>
  <c r="DO116" i="55" s="1"/>
  <c r="DL113" i="55"/>
  <c r="DO113" i="55" s="1"/>
  <c r="DL122" i="55"/>
  <c r="DO122" i="55" s="1"/>
  <c r="DL107" i="55"/>
  <c r="DO107" i="55" s="1"/>
  <c r="DL114" i="55"/>
  <c r="DO114" i="55" s="1"/>
  <c r="DL127" i="55"/>
  <c r="DO127" i="55" s="1"/>
  <c r="DL119" i="55"/>
  <c r="DO119" i="55" s="1"/>
  <c r="DL120" i="55"/>
  <c r="DO120" i="55" s="1"/>
  <c r="DL106" i="55"/>
  <c r="DO106" i="55" s="1"/>
  <c r="DL112" i="55"/>
  <c r="DO112" i="55" s="1"/>
  <c r="DL105" i="55"/>
  <c r="DO105" i="55" s="1"/>
  <c r="DL115" i="55"/>
  <c r="DO115" i="55" s="1"/>
  <c r="DL111" i="55"/>
  <c r="DO111" i="55" s="1"/>
  <c r="DL128" i="55"/>
  <c r="DO128" i="55" s="1"/>
  <c r="DL110" i="55"/>
  <c r="DO110" i="55" s="1"/>
  <c r="DL118" i="55"/>
  <c r="DO118" i="55" s="1"/>
  <c r="DL123" i="55"/>
  <c r="DO123" i="55" s="1"/>
  <c r="DL126" i="55"/>
  <c r="DO126" i="55" s="1"/>
  <c r="DL103" i="55"/>
  <c r="DO103" i="55" s="1"/>
  <c r="DL108" i="55"/>
  <c r="DO108" i="55" s="1"/>
  <c r="DL104" i="55"/>
  <c r="DO104" i="55" s="1"/>
  <c r="DL102" i="55"/>
  <c r="DO102" i="55" s="1"/>
  <c r="GX128" i="55"/>
  <c r="GY128" i="55" s="1"/>
  <c r="EX84" i="55"/>
  <c r="DS84" i="55"/>
  <c r="GR202" i="55"/>
  <c r="EX293" i="55"/>
  <c r="DS293" i="55"/>
  <c r="GR117" i="55"/>
  <c r="GX117" i="55" s="1"/>
  <c r="GR193" i="55"/>
  <c r="GX193" i="55" s="1"/>
  <c r="GR183" i="55"/>
  <c r="GX183" i="55" s="1"/>
  <c r="GR243" i="55"/>
  <c r="GR76" i="55"/>
  <c r="GX76" i="55"/>
  <c r="AC15" i="54"/>
  <c r="CK114" i="55"/>
  <c r="CL114" i="55" s="1"/>
  <c r="FH114" i="55" s="1"/>
  <c r="FJ114" i="55" s="1"/>
  <c r="CK112" i="55"/>
  <c r="CL112" i="55" s="1"/>
  <c r="FH112" i="55" s="1"/>
  <c r="FJ112" i="55" s="1"/>
  <c r="CK115" i="55"/>
  <c r="CL115" i="55" s="1"/>
  <c r="FH115" i="55" s="1"/>
  <c r="FJ115" i="55" s="1"/>
  <c r="CK118" i="55"/>
  <c r="CL118" i="55" s="1"/>
  <c r="FH118" i="55" s="1"/>
  <c r="FJ118" i="55" s="1"/>
  <c r="CK129" i="55"/>
  <c r="CL129" i="55" s="1"/>
  <c r="FH129" i="55" s="1"/>
  <c r="FJ129" i="55" s="1"/>
  <c r="CK107" i="55"/>
  <c r="CL107" i="55" s="1"/>
  <c r="FH107" i="55" s="1"/>
  <c r="FJ107" i="55" s="1"/>
  <c r="CK121" i="55"/>
  <c r="CL121" i="55" s="1"/>
  <c r="FH121" i="55" s="1"/>
  <c r="FJ121" i="55" s="1"/>
  <c r="CK110" i="55"/>
  <c r="CL110" i="55" s="1"/>
  <c r="FH110" i="55" s="1"/>
  <c r="FJ110" i="55" s="1"/>
  <c r="CK104" i="55"/>
  <c r="CL104" i="55" s="1"/>
  <c r="FH104" i="55" s="1"/>
  <c r="FJ104" i="55" s="1"/>
  <c r="CK108" i="55"/>
  <c r="CL108" i="55" s="1"/>
  <c r="FH108" i="55" s="1"/>
  <c r="FJ108" i="55" s="1"/>
  <c r="CK116" i="55"/>
  <c r="CL116" i="55" s="1"/>
  <c r="FH116" i="55" s="1"/>
  <c r="FJ116" i="55" s="1"/>
  <c r="CK124" i="55"/>
  <c r="CL124" i="55" s="1"/>
  <c r="FH124" i="55" s="1"/>
  <c r="FJ124" i="55" s="1"/>
  <c r="CK106" i="55"/>
  <c r="CL106" i="55" s="1"/>
  <c r="FH106" i="55" s="1"/>
  <c r="FJ106" i="55" s="1"/>
  <c r="CK127" i="55"/>
  <c r="CL127" i="55" s="1"/>
  <c r="FH127" i="55" s="1"/>
  <c r="FJ127" i="55" s="1"/>
  <c r="CK113" i="55"/>
  <c r="CL113" i="55" s="1"/>
  <c r="FH113" i="55" s="1"/>
  <c r="FJ113" i="55" s="1"/>
  <c r="CK117" i="55"/>
  <c r="CL117" i="55" s="1"/>
  <c r="FH117" i="55" s="1"/>
  <c r="FJ117" i="55" s="1"/>
  <c r="CK126" i="55"/>
  <c r="CL126" i="55" s="1"/>
  <c r="FH126" i="55" s="1"/>
  <c r="FJ126" i="55" s="1"/>
  <c r="CK109" i="55"/>
  <c r="CL109" i="55" s="1"/>
  <c r="FH109" i="55" s="1"/>
  <c r="FJ109" i="55" s="1"/>
  <c r="CK103" i="55"/>
  <c r="CL103" i="55" s="1"/>
  <c r="FH103" i="55" s="1"/>
  <c r="FJ103" i="55" s="1"/>
  <c r="CK122" i="55"/>
  <c r="CL122" i="55" s="1"/>
  <c r="FH122" i="55" s="1"/>
  <c r="FJ122" i="55" s="1"/>
  <c r="CK123" i="55"/>
  <c r="CL123" i="55" s="1"/>
  <c r="FH123" i="55" s="1"/>
  <c r="FJ123" i="55" s="1"/>
  <c r="CK125" i="55"/>
  <c r="CL125" i="55" s="1"/>
  <c r="FH125" i="55" s="1"/>
  <c r="FJ125" i="55" s="1"/>
  <c r="CK111" i="55"/>
  <c r="CL111" i="55" s="1"/>
  <c r="FH111" i="55" s="1"/>
  <c r="FJ111" i="55" s="1"/>
  <c r="CK105" i="55"/>
  <c r="CL105" i="55" s="1"/>
  <c r="FH105" i="55" s="1"/>
  <c r="FJ105" i="55" s="1"/>
  <c r="CK128" i="55"/>
  <c r="CL128" i="55" s="1"/>
  <c r="FH128" i="55" s="1"/>
  <c r="FJ128" i="55" s="1"/>
  <c r="CK120" i="55"/>
  <c r="CL120" i="55" s="1"/>
  <c r="FH120" i="55" s="1"/>
  <c r="FJ120" i="55" s="1"/>
  <c r="CK102" i="55"/>
  <c r="CL102" i="55" s="1"/>
  <c r="FH102" i="55" s="1"/>
  <c r="FJ102" i="55" s="1"/>
  <c r="CK119" i="55"/>
  <c r="CL119" i="55" s="1"/>
  <c r="FH119" i="55" s="1"/>
  <c r="FJ119" i="55" s="1"/>
  <c r="GX332" i="55"/>
  <c r="GY332" i="55" s="1"/>
  <c r="GR48" i="55"/>
  <c r="GX48" i="55" s="1"/>
  <c r="EX273" i="55"/>
  <c r="DS273" i="55"/>
  <c r="GR70" i="55"/>
  <c r="GR115" i="55"/>
  <c r="GX115" i="55" s="1"/>
  <c r="GY115" i="55" s="1"/>
  <c r="FA30" i="55"/>
  <c r="GB30" i="55" s="1"/>
  <c r="FC30" i="55"/>
  <c r="EW30" i="55"/>
  <c r="GR323" i="55"/>
  <c r="EY106" i="55"/>
  <c r="GR90" i="55"/>
  <c r="EY90" i="55"/>
  <c r="GR142" i="55"/>
  <c r="GX142" i="55" s="1"/>
  <c r="GX319" i="55"/>
  <c r="GY319" i="55" s="1"/>
  <c r="GR125" i="55"/>
  <c r="GR140" i="55"/>
  <c r="GY119" i="55"/>
  <c r="GR6" i="55"/>
  <c r="GX6" i="55"/>
  <c r="GY6" i="55"/>
  <c r="X9" i="42"/>
  <c r="EX180" i="55"/>
  <c r="DS180" i="55"/>
  <c r="GX175" i="55"/>
  <c r="GY175" i="55" s="1"/>
  <c r="AD16" i="54"/>
  <c r="CM148" i="55"/>
  <c r="CM150" i="55"/>
  <c r="CM137" i="55"/>
  <c r="CM144" i="55"/>
  <c r="CM149" i="55"/>
  <c r="CM146" i="55"/>
  <c r="CM135" i="55"/>
  <c r="CM145" i="55"/>
  <c r="CM136" i="55"/>
  <c r="CM134" i="55"/>
  <c r="CM138" i="55"/>
  <c r="CM147" i="55"/>
  <c r="CM130" i="55"/>
  <c r="CM133" i="55"/>
  <c r="CM139" i="55"/>
  <c r="CM152" i="55"/>
  <c r="CM142" i="55"/>
  <c r="CM141" i="55"/>
  <c r="CM151" i="55"/>
  <c r="CM131" i="55"/>
  <c r="CM132" i="55"/>
  <c r="CM153" i="55"/>
  <c r="CM140" i="55"/>
  <c r="CM143" i="55"/>
  <c r="AC14" i="54"/>
  <c r="CK101" i="55"/>
  <c r="CL101" i="55" s="1"/>
  <c r="FH101" i="55" s="1"/>
  <c r="FJ101" i="55" s="1"/>
  <c r="CK88" i="55"/>
  <c r="CL88" i="55" s="1"/>
  <c r="FH88" i="55" s="1"/>
  <c r="FJ88" i="55" s="1"/>
  <c r="CK98" i="55"/>
  <c r="CL98" i="55" s="1"/>
  <c r="FH98" i="55" s="1"/>
  <c r="FJ98" i="55" s="1"/>
  <c r="CK89" i="55"/>
  <c r="CL89" i="55" s="1"/>
  <c r="FH89" i="55" s="1"/>
  <c r="FJ89" i="55" s="1"/>
  <c r="CK94" i="55"/>
  <c r="CL94" i="55" s="1"/>
  <c r="FH94" i="55" s="1"/>
  <c r="FJ94" i="55" s="1"/>
  <c r="CK100" i="55"/>
  <c r="CL100" i="55" s="1"/>
  <c r="FH100" i="55" s="1"/>
  <c r="FJ100" i="55" s="1"/>
  <c r="CK99" i="55"/>
  <c r="CL99" i="55" s="1"/>
  <c r="FH99" i="55" s="1"/>
  <c r="FJ99" i="55" s="1"/>
  <c r="CK93" i="55"/>
  <c r="CL93" i="55" s="1"/>
  <c r="FH93" i="55" s="1"/>
  <c r="FJ93" i="55" s="1"/>
  <c r="CK97" i="55"/>
  <c r="CL97" i="55" s="1"/>
  <c r="FH97" i="55" s="1"/>
  <c r="FJ97" i="55" s="1"/>
  <c r="CK95" i="55"/>
  <c r="CL95" i="55" s="1"/>
  <c r="FH95" i="55" s="1"/>
  <c r="FJ95" i="55" s="1"/>
  <c r="CK92" i="55"/>
  <c r="CL92" i="55" s="1"/>
  <c r="FH92" i="55" s="1"/>
  <c r="FJ92" i="55" s="1"/>
  <c r="CK90" i="55"/>
  <c r="CL90" i="55" s="1"/>
  <c r="FH90" i="55" s="1"/>
  <c r="FJ90" i="55" s="1"/>
  <c r="CK91" i="55"/>
  <c r="CL91" i="55" s="1"/>
  <c r="FH91" i="55" s="1"/>
  <c r="FJ91" i="55" s="1"/>
  <c r="CK96" i="55"/>
  <c r="CL96" i="55" s="1"/>
  <c r="FH96" i="55" s="1"/>
  <c r="FJ96" i="55" s="1"/>
  <c r="GR194" i="55"/>
  <c r="EY194" i="55"/>
  <c r="GR309" i="55"/>
  <c r="CY160" i="55"/>
  <c r="CZ159" i="55"/>
  <c r="GR35" i="55"/>
  <c r="EY35" i="55"/>
  <c r="FN35" i="55" s="1"/>
  <c r="FO35" i="55" s="1"/>
  <c r="EX209" i="55"/>
  <c r="DS209" i="55"/>
  <c r="EY229" i="55"/>
  <c r="GX251" i="55"/>
  <c r="GY251" i="55" s="1"/>
  <c r="GR170" i="55"/>
  <c r="GR43" i="55"/>
  <c r="GX43" i="55" s="1"/>
  <c r="GY43" i="55" s="1"/>
  <c r="EX114" i="55"/>
  <c r="DS114" i="55"/>
  <c r="CB12" i="55"/>
  <c r="CC12" i="55" s="1"/>
  <c r="GR49" i="55"/>
  <c r="GX49" i="55" s="1"/>
  <c r="GY49" i="55" s="1"/>
  <c r="GX149" i="55"/>
  <c r="GY149" i="55" s="1"/>
  <c r="FN32" i="55"/>
  <c r="FO32" i="55" s="1"/>
  <c r="GC32" i="55"/>
  <c r="EU92" i="55"/>
  <c r="GU92" i="55" s="1"/>
  <c r="EV92" i="55"/>
  <c r="ET93" i="55"/>
  <c r="GR284" i="55"/>
  <c r="EY284" i="55"/>
  <c r="AD21" i="54"/>
  <c r="CM314" i="55"/>
  <c r="CM315" i="55"/>
  <c r="CM316" i="55"/>
  <c r="CM313" i="55"/>
  <c r="GR300" i="55"/>
  <c r="AC13" i="54"/>
  <c r="CK69" i="55"/>
  <c r="CL69" i="55" s="1"/>
  <c r="FH69" i="55" s="1"/>
  <c r="FJ69" i="55" s="1"/>
  <c r="CK85" i="55"/>
  <c r="CL85" i="55" s="1"/>
  <c r="FH85" i="55" s="1"/>
  <c r="FJ85" i="55" s="1"/>
  <c r="CK59" i="55"/>
  <c r="CL59" i="55" s="1"/>
  <c r="FH59" i="55" s="1"/>
  <c r="FJ59" i="55" s="1"/>
  <c r="CK66" i="55"/>
  <c r="CL66" i="55" s="1"/>
  <c r="FH66" i="55" s="1"/>
  <c r="FJ66" i="55" s="1"/>
  <c r="CK75" i="55"/>
  <c r="CL75" i="55" s="1"/>
  <c r="FH75" i="55" s="1"/>
  <c r="FJ75" i="55" s="1"/>
  <c r="CK64" i="55"/>
  <c r="CL64" i="55" s="1"/>
  <c r="FH64" i="55" s="1"/>
  <c r="FJ64" i="55" s="1"/>
  <c r="CK86" i="55"/>
  <c r="CL86" i="55" s="1"/>
  <c r="FH86" i="55" s="1"/>
  <c r="FJ86" i="55" s="1"/>
  <c r="CK79" i="55"/>
  <c r="CL79" i="55" s="1"/>
  <c r="FH79" i="55" s="1"/>
  <c r="FJ79" i="55" s="1"/>
  <c r="CK84" i="55"/>
  <c r="CL84" i="55" s="1"/>
  <c r="FH84" i="55" s="1"/>
  <c r="FJ84" i="55" s="1"/>
  <c r="CK87" i="55"/>
  <c r="CL87" i="55" s="1"/>
  <c r="FH87" i="55" s="1"/>
  <c r="FJ87" i="55" s="1"/>
  <c r="CK63" i="55"/>
  <c r="CL63" i="55" s="1"/>
  <c r="FH63" i="55" s="1"/>
  <c r="FJ63" i="55" s="1"/>
  <c r="CK77" i="55"/>
  <c r="CL77" i="55" s="1"/>
  <c r="FH77" i="55" s="1"/>
  <c r="FJ77" i="55" s="1"/>
  <c r="CK65" i="55"/>
  <c r="CL65" i="55" s="1"/>
  <c r="FH65" i="55" s="1"/>
  <c r="FJ65" i="55" s="1"/>
  <c r="CK60" i="55"/>
  <c r="CL60" i="55" s="1"/>
  <c r="FH60" i="55" s="1"/>
  <c r="FJ60" i="55" s="1"/>
  <c r="CK68" i="55"/>
  <c r="CL68" i="55" s="1"/>
  <c r="FH68" i="55" s="1"/>
  <c r="FJ68" i="55" s="1"/>
  <c r="CK57" i="55"/>
  <c r="CL57" i="55" s="1"/>
  <c r="FH57" i="55" s="1"/>
  <c r="FJ57" i="55" s="1"/>
  <c r="CK71" i="55"/>
  <c r="CL71" i="55" s="1"/>
  <c r="FH71" i="55" s="1"/>
  <c r="FJ71" i="55" s="1"/>
  <c r="CK78" i="55"/>
  <c r="CL78" i="55" s="1"/>
  <c r="FH78" i="55" s="1"/>
  <c r="FJ78" i="55" s="1"/>
  <c r="CK83" i="55"/>
  <c r="CL83" i="55" s="1"/>
  <c r="FH83" i="55" s="1"/>
  <c r="FJ83" i="55" s="1"/>
  <c r="CK70" i="55"/>
  <c r="CL70" i="55" s="1"/>
  <c r="FH70" i="55" s="1"/>
  <c r="FJ70" i="55" s="1"/>
  <c r="CK55" i="55"/>
  <c r="CL55" i="55" s="1"/>
  <c r="FH55" i="55" s="1"/>
  <c r="FJ55" i="55" s="1"/>
  <c r="CK67" i="55"/>
  <c r="CL67" i="55" s="1"/>
  <c r="FH67" i="55" s="1"/>
  <c r="FJ67" i="55" s="1"/>
  <c r="CK61" i="55"/>
  <c r="CL61" i="55" s="1"/>
  <c r="FH61" i="55" s="1"/>
  <c r="FJ61" i="55" s="1"/>
  <c r="CK81" i="55"/>
  <c r="CL81" i="55" s="1"/>
  <c r="FH81" i="55" s="1"/>
  <c r="FJ81" i="55" s="1"/>
  <c r="CK54" i="55"/>
  <c r="CL54" i="55" s="1"/>
  <c r="FH54" i="55" s="1"/>
  <c r="FJ54" i="55" s="1"/>
  <c r="CK72" i="55"/>
  <c r="CL72" i="55" s="1"/>
  <c r="FH72" i="55" s="1"/>
  <c r="FJ72" i="55" s="1"/>
  <c r="CK58" i="55"/>
  <c r="CL58" i="55" s="1"/>
  <c r="FH58" i="55" s="1"/>
  <c r="FJ58" i="55" s="1"/>
  <c r="CK73" i="55"/>
  <c r="CL73" i="55" s="1"/>
  <c r="FH73" i="55" s="1"/>
  <c r="FJ73" i="55" s="1"/>
  <c r="CK80" i="55"/>
  <c r="CL80" i="55" s="1"/>
  <c r="FH80" i="55" s="1"/>
  <c r="FJ80" i="55" s="1"/>
  <c r="CK74" i="55"/>
  <c r="CL74" i="55" s="1"/>
  <c r="FH74" i="55" s="1"/>
  <c r="FJ74" i="55" s="1"/>
  <c r="CK62" i="55"/>
  <c r="CL62" i="55" s="1"/>
  <c r="FH62" i="55" s="1"/>
  <c r="FJ62" i="55" s="1"/>
  <c r="CK82" i="55"/>
  <c r="CL82" i="55" s="1"/>
  <c r="FH82" i="55" s="1"/>
  <c r="FJ82" i="55" s="1"/>
  <c r="CK53" i="55"/>
  <c r="CL53" i="55" s="1"/>
  <c r="FH53" i="55" s="1"/>
  <c r="FJ53" i="55" s="1"/>
  <c r="CK56" i="55"/>
  <c r="CL56" i="55" s="1"/>
  <c r="FH56" i="55" s="1"/>
  <c r="FJ56" i="55" s="1"/>
  <c r="CK76" i="55"/>
  <c r="CL76" i="55" s="1"/>
  <c r="FH76" i="55" s="1"/>
  <c r="FJ76" i="55" s="1"/>
  <c r="AC17" i="54"/>
  <c r="CK158" i="55"/>
  <c r="CL158" i="55" s="1"/>
  <c r="FH158" i="55" s="1"/>
  <c r="FJ158" i="55" s="1"/>
  <c r="CK160" i="55"/>
  <c r="CL160" i="55" s="1"/>
  <c r="FH160" i="55" s="1"/>
  <c r="FJ160" i="55" s="1"/>
  <c r="CK159" i="55"/>
  <c r="CL159" i="55" s="1"/>
  <c r="FH159" i="55" s="1"/>
  <c r="FJ159" i="55" s="1"/>
  <c r="CK156" i="55"/>
  <c r="CL156" i="55" s="1"/>
  <c r="FH156" i="55" s="1"/>
  <c r="FJ156" i="55" s="1"/>
  <c r="CK172" i="55"/>
  <c r="CL172" i="55" s="1"/>
  <c r="FH172" i="55" s="1"/>
  <c r="FJ172" i="55" s="1"/>
  <c r="CK161" i="55"/>
  <c r="CL161" i="55" s="1"/>
  <c r="FH161" i="55" s="1"/>
  <c r="FJ161" i="55" s="1"/>
  <c r="CK155" i="55"/>
  <c r="CL155" i="55" s="1"/>
  <c r="FH155" i="55" s="1"/>
  <c r="FJ155" i="55" s="1"/>
  <c r="CK170" i="55"/>
  <c r="CL170" i="55" s="1"/>
  <c r="FH170" i="55" s="1"/>
  <c r="FJ170" i="55" s="1"/>
  <c r="CK178" i="55"/>
  <c r="CL178" i="55" s="1"/>
  <c r="FH178" i="55" s="1"/>
  <c r="FJ178" i="55" s="1"/>
  <c r="CK163" i="55"/>
  <c r="CL163" i="55" s="1"/>
  <c r="FH163" i="55" s="1"/>
  <c r="FJ163" i="55" s="1"/>
  <c r="CK173" i="55"/>
  <c r="CL173" i="55" s="1"/>
  <c r="FH173" i="55" s="1"/>
  <c r="FJ173" i="55" s="1"/>
  <c r="CK179" i="55"/>
  <c r="CL179" i="55" s="1"/>
  <c r="FH179" i="55" s="1"/>
  <c r="FJ179" i="55" s="1"/>
  <c r="CK183" i="55"/>
  <c r="CL183" i="55" s="1"/>
  <c r="FH183" i="55" s="1"/>
  <c r="FJ183" i="55" s="1"/>
  <c r="CK157" i="55"/>
  <c r="CL157" i="55" s="1"/>
  <c r="FH157" i="55" s="1"/>
  <c r="FJ157" i="55" s="1"/>
  <c r="CK171" i="55"/>
  <c r="CL171" i="55" s="1"/>
  <c r="FH171" i="55" s="1"/>
  <c r="FJ171" i="55" s="1"/>
  <c r="CK165" i="55"/>
  <c r="CL165" i="55" s="1"/>
  <c r="FH165" i="55" s="1"/>
  <c r="FJ165" i="55" s="1"/>
  <c r="CK175" i="55"/>
  <c r="CL175" i="55" s="1"/>
  <c r="FH175" i="55" s="1"/>
  <c r="FJ175" i="55" s="1"/>
  <c r="CK168" i="55"/>
  <c r="CL168" i="55" s="1"/>
  <c r="FH168" i="55" s="1"/>
  <c r="FJ168" i="55" s="1"/>
  <c r="CK166" i="55"/>
  <c r="CL166" i="55" s="1"/>
  <c r="FH166" i="55" s="1"/>
  <c r="FJ166" i="55" s="1"/>
  <c r="CK162" i="55"/>
  <c r="CL162" i="55" s="1"/>
  <c r="FH162" i="55" s="1"/>
  <c r="FJ162" i="55" s="1"/>
  <c r="CK176" i="55"/>
  <c r="CL176" i="55" s="1"/>
  <c r="FH176" i="55" s="1"/>
  <c r="FJ176" i="55" s="1"/>
  <c r="CK182" i="55"/>
  <c r="CL182" i="55" s="1"/>
  <c r="FH182" i="55" s="1"/>
  <c r="FJ182" i="55" s="1"/>
  <c r="CK174" i="55"/>
  <c r="CL174" i="55" s="1"/>
  <c r="FH174" i="55" s="1"/>
  <c r="FJ174" i="55" s="1"/>
  <c r="CK181" i="55"/>
  <c r="CL181" i="55" s="1"/>
  <c r="FH181" i="55" s="1"/>
  <c r="FJ181" i="55" s="1"/>
  <c r="CK169" i="55"/>
  <c r="CL169" i="55" s="1"/>
  <c r="FH169" i="55" s="1"/>
  <c r="FJ169" i="55" s="1"/>
  <c r="CK177" i="55"/>
  <c r="CL177" i="55" s="1"/>
  <c r="FH177" i="55" s="1"/>
  <c r="FJ177" i="55" s="1"/>
  <c r="CK180" i="55"/>
  <c r="CL180" i="55" s="1"/>
  <c r="FH180" i="55" s="1"/>
  <c r="FJ180" i="55" s="1"/>
  <c r="CK167" i="55"/>
  <c r="CL167" i="55" s="1"/>
  <c r="FH167" i="55" s="1"/>
  <c r="FJ167" i="55" s="1"/>
  <c r="CK164" i="55"/>
  <c r="CL164" i="55" s="1"/>
  <c r="FH164" i="55" s="1"/>
  <c r="FJ164" i="55" s="1"/>
  <c r="GR272" i="55"/>
  <c r="GX272" i="55" s="1"/>
  <c r="GR254" i="55"/>
  <c r="GR306" i="55"/>
  <c r="GX306" i="55" s="1"/>
  <c r="GY306" i="55" s="1"/>
  <c r="GR216" i="55"/>
  <c r="GX216" i="55"/>
  <c r="GR151" i="55"/>
  <c r="GR41" i="55"/>
  <c r="GX69" i="55"/>
  <c r="GY69" i="55" s="1"/>
  <c r="DT7" i="55"/>
  <c r="T3" i="40" s="1" a="1"/>
  <c r="T3" i="40" s="1"/>
  <c r="BD10" i="54"/>
  <c r="BB10" i="54"/>
  <c r="BC10" i="54"/>
  <c r="GR327" i="55"/>
  <c r="FG35" i="55"/>
  <c r="FE35" i="55"/>
  <c r="FI35" i="55" s="1"/>
  <c r="FF35" i="55"/>
  <c r="FD35" i="55"/>
  <c r="EL35" i="55"/>
  <c r="EM35" i="55" s="1"/>
  <c r="DG35" i="55"/>
  <c r="DH35" i="55" s="1"/>
  <c r="DJ35" i="55" s="1" a="1"/>
  <c r="DJ35" i="55" s="1"/>
  <c r="EK36" i="55"/>
  <c r="DS218" i="55"/>
  <c r="EX218" i="55"/>
  <c r="GY304" i="55"/>
  <c r="GR212" i="55"/>
  <c r="EX126" i="55"/>
  <c r="DS126" i="55"/>
  <c r="FC6" i="55"/>
  <c r="EZ6" i="55"/>
  <c r="EW6" i="55"/>
  <c r="FA6" i="55"/>
  <c r="GB6" i="55" s="1"/>
  <c r="CY137" i="55"/>
  <c r="CZ136" i="55"/>
  <c r="GR248" i="55"/>
  <c r="GX248" i="55" s="1"/>
  <c r="GY248" i="55" s="1"/>
  <c r="CO38" i="55"/>
  <c r="CO50" i="55"/>
  <c r="CO36" i="55"/>
  <c r="CO52" i="55"/>
  <c r="CO32" i="55"/>
  <c r="CO51" i="55"/>
  <c r="CO47" i="55"/>
  <c r="CO49" i="55"/>
  <c r="CO33" i="55"/>
  <c r="CO34" i="55"/>
  <c r="CO35" i="55"/>
  <c r="CO40" i="55"/>
  <c r="CO44" i="55"/>
  <c r="CO41" i="55"/>
  <c r="CO37" i="55"/>
  <c r="CO43" i="55"/>
  <c r="CO45" i="55"/>
  <c r="CO48" i="55"/>
  <c r="CO46" i="55"/>
  <c r="CO39" i="55"/>
  <c r="CO42" i="55"/>
  <c r="GR33" i="55"/>
  <c r="EY33" i="55"/>
  <c r="GR133" i="55"/>
  <c r="EY133" i="55"/>
  <c r="GR137" i="55"/>
  <c r="CY191" i="55"/>
  <c r="CZ190" i="55"/>
  <c r="CB9" i="55"/>
  <c r="CC9" i="55" s="1"/>
  <c r="GX333" i="55"/>
  <c r="GY333" i="55" s="1"/>
  <c r="CA29" i="55"/>
  <c r="GX271" i="55"/>
  <c r="GY271" i="55" s="1"/>
  <c r="GX200" i="55"/>
  <c r="GY200" i="55" s="1"/>
  <c r="GX195" i="55"/>
  <c r="GY195" i="55" s="1"/>
  <c r="EX199" i="55"/>
  <c r="DS199" i="55"/>
  <c r="FC105" i="55"/>
  <c r="FA105" i="55"/>
  <c r="GB105" i="55" s="1"/>
  <c r="EW105" i="55"/>
  <c r="AD12" i="54"/>
  <c r="CM41" i="55"/>
  <c r="CM42" i="55"/>
  <c r="CM43" i="55"/>
  <c r="CM45" i="55"/>
  <c r="CM46" i="55"/>
  <c r="CM47" i="55"/>
  <c r="CM37" i="55"/>
  <c r="CM48" i="55"/>
  <c r="CM40" i="55"/>
  <c r="CM32" i="55"/>
  <c r="CM38" i="55"/>
  <c r="CM49" i="55"/>
  <c r="CM33" i="55"/>
  <c r="CM34" i="55"/>
  <c r="CM35" i="55"/>
  <c r="CM31" i="55"/>
  <c r="CM51" i="55"/>
  <c r="CM36" i="55"/>
  <c r="CM44" i="55"/>
  <c r="CM39" i="55"/>
  <c r="CM52" i="55"/>
  <c r="CM50" i="55"/>
  <c r="EX253" i="55"/>
  <c r="DS253" i="55"/>
  <c r="GR93" i="55"/>
  <c r="GX93" i="55" s="1"/>
  <c r="CZ36" i="55"/>
  <c r="DD36" i="55" s="1"/>
  <c r="CY37" i="55"/>
  <c r="GX56" i="55"/>
  <c r="GY56" i="55" s="1"/>
  <c r="EX294" i="55"/>
  <c r="DS294" i="55"/>
  <c r="C23" i="60"/>
  <c r="EV346" i="55"/>
  <c r="EU346" i="55"/>
  <c r="GU346" i="55" s="1"/>
  <c r="ET347" i="55"/>
  <c r="GR60" i="55"/>
  <c r="FZ325" i="55" a="1"/>
  <c r="FZ325" i="55" s="1"/>
  <c r="GA325" i="55" s="1"/>
  <c r="FX325" i="55" a="1"/>
  <c r="FX325" i="55" s="1"/>
  <c r="FY325" i="55" s="1"/>
  <c r="FT325" i="55" a="1"/>
  <c r="FT325" i="55" s="1"/>
  <c r="FU325" i="55" s="1"/>
  <c r="FV325" i="55" a="1"/>
  <c r="FV325" i="55" s="1"/>
  <c r="FW325" i="55" s="1"/>
  <c r="FR325" i="55" a="1"/>
  <c r="FR325" i="55" s="1"/>
  <c r="FS325" i="55" s="1"/>
  <c r="FP325" i="55" a="1"/>
  <c r="FP325" i="55" s="1"/>
  <c r="FQ325" i="55" s="1"/>
  <c r="GR67" i="55"/>
  <c r="GX155" i="55"/>
  <c r="GY155" i="55" s="1"/>
  <c r="GY57" i="55"/>
  <c r="AC18" i="54"/>
  <c r="CK222" i="55"/>
  <c r="CL222" i="55" s="1"/>
  <c r="FH222" i="55" s="1"/>
  <c r="FJ222" i="55" s="1"/>
  <c r="CK223" i="55"/>
  <c r="CL223" i="55" s="1"/>
  <c r="FH223" i="55" s="1"/>
  <c r="FJ223" i="55" s="1"/>
  <c r="CK216" i="55"/>
  <c r="CL216" i="55" s="1"/>
  <c r="FH216" i="55" s="1"/>
  <c r="FJ216" i="55" s="1"/>
  <c r="CK219" i="55"/>
  <c r="CL219" i="55" s="1"/>
  <c r="FH219" i="55" s="1"/>
  <c r="FJ219" i="55" s="1"/>
  <c r="CK211" i="55"/>
  <c r="CL211" i="55" s="1"/>
  <c r="FH211" i="55" s="1"/>
  <c r="FJ211" i="55" s="1"/>
  <c r="CK193" i="55"/>
  <c r="CL193" i="55" s="1"/>
  <c r="FH193" i="55" s="1"/>
  <c r="FJ193" i="55" s="1"/>
  <c r="CK209" i="55"/>
  <c r="CL209" i="55" s="1"/>
  <c r="FH209" i="55" s="1"/>
  <c r="FJ209" i="55" s="1"/>
  <c r="CK217" i="55"/>
  <c r="CL217" i="55" s="1"/>
  <c r="FH217" i="55" s="1"/>
  <c r="FJ217" i="55" s="1"/>
  <c r="CK191" i="55"/>
  <c r="CL191" i="55" s="1"/>
  <c r="FH191" i="55" s="1"/>
  <c r="FJ191" i="55" s="1"/>
  <c r="CK187" i="55"/>
  <c r="CL187" i="55" s="1"/>
  <c r="FH187" i="55" s="1"/>
  <c r="FJ187" i="55" s="1"/>
  <c r="CK210" i="55"/>
  <c r="CL210" i="55" s="1"/>
  <c r="FH210" i="55" s="1"/>
  <c r="FJ210" i="55" s="1"/>
  <c r="CK190" i="55"/>
  <c r="CL190" i="55" s="1"/>
  <c r="FH190" i="55" s="1"/>
  <c r="FJ190" i="55" s="1"/>
  <c r="CK215" i="55"/>
  <c r="CL215" i="55" s="1"/>
  <c r="FH215" i="55" s="1"/>
  <c r="FJ215" i="55" s="1"/>
  <c r="CK199" i="55"/>
  <c r="CL199" i="55" s="1"/>
  <c r="FH199" i="55" s="1"/>
  <c r="FJ199" i="55" s="1"/>
  <c r="CK203" i="55"/>
  <c r="CL203" i="55" s="1"/>
  <c r="FH203" i="55" s="1"/>
  <c r="FJ203" i="55" s="1"/>
  <c r="CK194" i="55"/>
  <c r="CL194" i="55" s="1"/>
  <c r="FH194" i="55" s="1"/>
  <c r="FJ194" i="55" s="1"/>
  <c r="CK213" i="55"/>
  <c r="CL213" i="55" s="1"/>
  <c r="FH213" i="55" s="1"/>
  <c r="FJ213" i="55" s="1"/>
  <c r="CK196" i="55"/>
  <c r="CL196" i="55" s="1"/>
  <c r="FH196" i="55" s="1"/>
  <c r="FJ196" i="55" s="1"/>
  <c r="CK185" i="55"/>
  <c r="CL185" i="55" s="1"/>
  <c r="FH185" i="55" s="1"/>
  <c r="FJ185" i="55" s="1"/>
  <c r="CK220" i="55"/>
  <c r="CL220" i="55" s="1"/>
  <c r="FH220" i="55" s="1"/>
  <c r="FJ220" i="55" s="1"/>
  <c r="CK214" i="55"/>
  <c r="CL214" i="55" s="1"/>
  <c r="FH214" i="55" s="1"/>
  <c r="FJ214" i="55" s="1"/>
  <c r="CK189" i="55"/>
  <c r="CL189" i="55" s="1"/>
  <c r="FH189" i="55" s="1"/>
  <c r="FJ189" i="55" s="1"/>
  <c r="CK221" i="55"/>
  <c r="CL221" i="55" s="1"/>
  <c r="FH221" i="55" s="1"/>
  <c r="FJ221" i="55" s="1"/>
  <c r="CK188" i="55"/>
  <c r="CL188" i="55" s="1"/>
  <c r="FH188" i="55" s="1"/>
  <c r="FJ188" i="55" s="1"/>
  <c r="CK205" i="55"/>
  <c r="CL205" i="55" s="1"/>
  <c r="FH205" i="55" s="1"/>
  <c r="FJ205" i="55" s="1"/>
  <c r="CK198" i="55"/>
  <c r="CL198" i="55" s="1"/>
  <c r="FH198" i="55" s="1"/>
  <c r="FJ198" i="55" s="1"/>
  <c r="CK201" i="55"/>
  <c r="CL201" i="55" s="1"/>
  <c r="FH201" i="55" s="1"/>
  <c r="FJ201" i="55" s="1"/>
  <c r="CK218" i="55"/>
  <c r="CL218" i="55" s="1"/>
  <c r="FH218" i="55" s="1"/>
  <c r="FJ218" i="55" s="1"/>
  <c r="CK204" i="55"/>
  <c r="CL204" i="55" s="1"/>
  <c r="FH204" i="55" s="1"/>
  <c r="FJ204" i="55" s="1"/>
  <c r="CK212" i="55"/>
  <c r="CL212" i="55" s="1"/>
  <c r="FH212" i="55" s="1"/>
  <c r="FJ212" i="55" s="1"/>
  <c r="CK207" i="55"/>
  <c r="CL207" i="55" s="1"/>
  <c r="FH207" i="55" s="1"/>
  <c r="FJ207" i="55" s="1"/>
  <c r="CK200" i="55"/>
  <c r="CL200" i="55" s="1"/>
  <c r="FH200" i="55" s="1"/>
  <c r="FJ200" i="55" s="1"/>
  <c r="CK197" i="55"/>
  <c r="CL197" i="55" s="1"/>
  <c r="FH197" i="55" s="1"/>
  <c r="FJ197" i="55" s="1"/>
  <c r="CK202" i="55"/>
  <c r="CL202" i="55" s="1"/>
  <c r="FH202" i="55" s="1"/>
  <c r="FJ202" i="55" s="1"/>
  <c r="CK195" i="55"/>
  <c r="CL195" i="55" s="1"/>
  <c r="FH195" i="55" s="1"/>
  <c r="FJ195" i="55" s="1"/>
  <c r="CK206" i="55"/>
  <c r="CL206" i="55" s="1"/>
  <c r="FH206" i="55" s="1"/>
  <c r="FJ206" i="55" s="1"/>
  <c r="CK208" i="55"/>
  <c r="CL208" i="55" s="1"/>
  <c r="FH208" i="55" s="1"/>
  <c r="FJ208" i="55" s="1"/>
  <c r="CK186" i="55"/>
  <c r="CL186" i="55" s="1"/>
  <c r="FH186" i="55" s="1"/>
  <c r="FJ186" i="55" s="1"/>
  <c r="CK192" i="55"/>
  <c r="CL192" i="55" s="1"/>
  <c r="FH192" i="55" s="1"/>
  <c r="FJ192" i="55" s="1"/>
  <c r="GR89" i="55"/>
  <c r="FZ130" i="55" a="1"/>
  <c r="FZ130" i="55" s="1"/>
  <c r="GA130" i="55" s="1"/>
  <c r="FX130" i="55" a="1"/>
  <c r="FX130" i="55" s="1"/>
  <c r="FY130" i="55" s="1"/>
  <c r="FT130" i="55" a="1"/>
  <c r="FT130" i="55" s="1"/>
  <c r="FU130" i="55" s="1"/>
  <c r="FV130" i="55" a="1"/>
  <c r="FV130" i="55" s="1"/>
  <c r="FW130" i="55" s="1"/>
  <c r="FR130" i="55" a="1"/>
  <c r="FR130" i="55" s="1"/>
  <c r="FS130" i="55" s="1"/>
  <c r="FP130" i="55" a="1"/>
  <c r="FP130" i="55" s="1"/>
  <c r="FQ130" i="55" s="1"/>
  <c r="GR289" i="55"/>
  <c r="GX289" i="55" s="1"/>
  <c r="GY289" i="55" s="1"/>
  <c r="EY232" i="55"/>
  <c r="GX96" i="55"/>
  <c r="GY96" i="55" s="1"/>
  <c r="GR104" i="55"/>
  <c r="GX104" i="55" s="1"/>
  <c r="EY104" i="55"/>
  <c r="GR322" i="55"/>
  <c r="GR34" i="55"/>
  <c r="EY34" i="55"/>
  <c r="FN34" i="55" s="1"/>
  <c r="FO34" i="55" s="1"/>
  <c r="EY320" i="55"/>
  <c r="EX257" i="55"/>
  <c r="DS257" i="55"/>
  <c r="EW58" i="55"/>
  <c r="FA58" i="55"/>
  <c r="GB58" i="55" s="1"/>
  <c r="FC58" i="55"/>
  <c r="GR262" i="55"/>
  <c r="GR208" i="55"/>
  <c r="CY99" i="55"/>
  <c r="CZ98" i="55"/>
  <c r="CO242" i="55"/>
  <c r="CO255" i="55"/>
  <c r="CO275" i="55"/>
  <c r="CO278" i="55"/>
  <c r="CO256" i="55"/>
  <c r="CO244" i="55"/>
  <c r="CO271" i="55"/>
  <c r="CO274" i="55"/>
  <c r="CO258" i="55"/>
  <c r="CO239" i="55"/>
  <c r="CO226" i="55"/>
  <c r="CO243" i="55"/>
  <c r="CO269" i="55"/>
  <c r="CO247" i="55"/>
  <c r="CO272" i="55"/>
  <c r="CO254" i="55"/>
  <c r="CO276" i="55"/>
  <c r="CO230" i="55"/>
  <c r="CO245" i="55"/>
  <c r="CO261" i="55"/>
  <c r="CO227" i="55"/>
  <c r="CO281" i="55"/>
  <c r="CO246" i="55"/>
  <c r="CO257" i="55"/>
  <c r="CO249" i="55"/>
  <c r="CO252" i="55"/>
  <c r="CO260" i="55"/>
  <c r="CO251" i="55"/>
  <c r="CO240" i="55"/>
  <c r="CO273" i="55"/>
  <c r="CO277" i="55"/>
  <c r="CO234" i="55"/>
  <c r="CO231" i="55"/>
  <c r="CO265" i="55"/>
  <c r="CO237" i="55"/>
  <c r="CO262" i="55"/>
  <c r="CO241" i="55"/>
  <c r="CO253" i="55"/>
  <c r="CO270" i="55"/>
  <c r="CO229" i="55"/>
  <c r="CO228" i="55"/>
  <c r="CO259" i="55"/>
  <c r="CO250" i="55"/>
  <c r="CO268" i="55"/>
  <c r="CO233" i="55"/>
  <c r="CO235" i="55"/>
  <c r="CO236" i="55"/>
  <c r="CO232" i="55"/>
  <c r="CO263" i="55"/>
  <c r="CO266" i="55"/>
  <c r="CO264" i="55"/>
  <c r="CO279" i="55"/>
  <c r="CO225" i="55"/>
  <c r="CO267" i="55"/>
  <c r="CO248" i="55"/>
  <c r="CO280" i="55"/>
  <c r="CO238" i="55"/>
  <c r="GR42" i="55"/>
  <c r="AC12" i="54"/>
  <c r="CK45" i="55"/>
  <c r="CL45" i="55" s="1"/>
  <c r="FH45" i="55" s="1"/>
  <c r="FJ45" i="55" s="1"/>
  <c r="CK48" i="55"/>
  <c r="CL48" i="55" s="1"/>
  <c r="FH48" i="55" s="1"/>
  <c r="FJ48" i="55" s="1"/>
  <c r="CK37" i="55"/>
  <c r="CL37" i="55" s="1"/>
  <c r="FH37" i="55" s="1"/>
  <c r="FJ37" i="55" s="1"/>
  <c r="CK51" i="55"/>
  <c r="CL51" i="55" s="1"/>
  <c r="FH51" i="55" s="1"/>
  <c r="FJ51" i="55" s="1"/>
  <c r="CK33" i="55"/>
  <c r="CL33" i="55" s="1"/>
  <c r="FH33" i="55" s="1"/>
  <c r="FJ33" i="55" s="1"/>
  <c r="CK36" i="55"/>
  <c r="CL36" i="55" s="1"/>
  <c r="FH36" i="55" s="1"/>
  <c r="FJ36" i="55" s="1"/>
  <c r="CK40" i="55"/>
  <c r="CL40" i="55" s="1"/>
  <c r="FH40" i="55" s="1"/>
  <c r="FJ40" i="55" s="1"/>
  <c r="CK52" i="55"/>
  <c r="CL52" i="55" s="1"/>
  <c r="FH52" i="55" s="1"/>
  <c r="FJ52" i="55" s="1"/>
  <c r="CK32" i="55"/>
  <c r="CL32" i="55" s="1"/>
  <c r="FH32" i="55" s="1"/>
  <c r="FJ32" i="55" s="1"/>
  <c r="CK41" i="55"/>
  <c r="CL41" i="55" s="1"/>
  <c r="FH41" i="55" s="1"/>
  <c r="FJ41" i="55" s="1"/>
  <c r="CK49" i="55"/>
  <c r="CL49" i="55" s="1"/>
  <c r="FH49" i="55" s="1"/>
  <c r="FJ49" i="55" s="1"/>
  <c r="CK38" i="55"/>
  <c r="CL38" i="55" s="1"/>
  <c r="FH38" i="55" s="1"/>
  <c r="FJ38" i="55" s="1"/>
  <c r="CK34" i="55"/>
  <c r="CL34" i="55" s="1"/>
  <c r="FH34" i="55" s="1"/>
  <c r="FJ34" i="55" s="1"/>
  <c r="CK44" i="55"/>
  <c r="CL44" i="55" s="1"/>
  <c r="FH44" i="55" s="1"/>
  <c r="FJ44" i="55" s="1"/>
  <c r="CK35" i="55"/>
  <c r="CL35" i="55" s="1"/>
  <c r="FH35" i="55" s="1"/>
  <c r="FJ35" i="55" s="1"/>
  <c r="CK43" i="55"/>
  <c r="CL43" i="55" s="1"/>
  <c r="FH43" i="55" s="1"/>
  <c r="FJ43" i="55" s="1"/>
  <c r="CK39" i="55"/>
  <c r="CL39" i="55" s="1"/>
  <c r="FH39" i="55" s="1"/>
  <c r="FJ39" i="55" s="1"/>
  <c r="CK46" i="55"/>
  <c r="CL46" i="55" s="1"/>
  <c r="FH46" i="55" s="1"/>
  <c r="FJ46" i="55" s="1"/>
  <c r="CK50" i="55"/>
  <c r="CL50" i="55" s="1"/>
  <c r="FH50" i="55" s="1"/>
  <c r="FJ50" i="55" s="1"/>
  <c r="CK47" i="55"/>
  <c r="CL47" i="55" s="1"/>
  <c r="FH47" i="55" s="1"/>
  <c r="FJ47" i="55" s="1"/>
  <c r="CK42" i="55"/>
  <c r="CL42" i="55" s="1"/>
  <c r="FH42" i="55" s="1"/>
  <c r="FJ42" i="55" s="1"/>
  <c r="EX205" i="55"/>
  <c r="DS205" i="55"/>
  <c r="EX122" i="55"/>
  <c r="DS122" i="55"/>
  <c r="EY37" i="55"/>
  <c r="FN37" i="55" s="1"/>
  <c r="FO37" i="55" s="1"/>
  <c r="EX176" i="55"/>
  <c r="DS176" i="55"/>
  <c r="DS138" i="55"/>
  <c r="EX138" i="55"/>
  <c r="FC157" i="55"/>
  <c r="FA157" i="55"/>
  <c r="GB157" i="55" s="1"/>
  <c r="EW157" i="55"/>
  <c r="GX53" i="55"/>
  <c r="GY53" i="55" s="1"/>
  <c r="W10" i="42"/>
  <c r="X10" i="42" s="1"/>
  <c r="GR64" i="55"/>
  <c r="GX64" i="55" s="1"/>
  <c r="EX312" i="55"/>
  <c r="DS312" i="55"/>
  <c r="GR269" i="55"/>
  <c r="GX269" i="55" s="1"/>
  <c r="GY120" i="55"/>
  <c r="GX229" i="55"/>
  <c r="GY229" i="55" s="1"/>
  <c r="GX45" i="55"/>
  <c r="GY45" i="55" s="1"/>
  <c r="GY51" i="55"/>
  <c r="GX32" i="55"/>
  <c r="GY32" i="55" s="1"/>
  <c r="GR213" i="55"/>
  <c r="GX213" i="55" s="1"/>
  <c r="GY213" i="55" s="1"/>
  <c r="GR280" i="55"/>
  <c r="GX280" i="55" s="1"/>
  <c r="GY280" i="55" s="1"/>
  <c r="GX46" i="55"/>
  <c r="GY46" i="55" s="1"/>
  <c r="GR46" i="55"/>
  <c r="GR82" i="55"/>
  <c r="GU6" i="55"/>
  <c r="CO287" i="55"/>
  <c r="CO307" i="55"/>
  <c r="CO304" i="55"/>
  <c r="CO290" i="55"/>
  <c r="CO309" i="55"/>
  <c r="CO308" i="55"/>
  <c r="CO306" i="55"/>
  <c r="CO288" i="55"/>
  <c r="CO291" i="55"/>
  <c r="CO303" i="55"/>
  <c r="CO300" i="55"/>
  <c r="CO301" i="55"/>
  <c r="CO299" i="55"/>
  <c r="CO296" i="55"/>
  <c r="CO284" i="55"/>
  <c r="CO292" i="55"/>
  <c r="CO305" i="55"/>
  <c r="CO294" i="55"/>
  <c r="CO297" i="55"/>
  <c r="CO293" i="55"/>
  <c r="CO302" i="55"/>
  <c r="CO289" i="55"/>
  <c r="CO286" i="55"/>
  <c r="CO298" i="55"/>
  <c r="CO295" i="55"/>
  <c r="CO285" i="55"/>
  <c r="EX124" i="55"/>
  <c r="DS124" i="55"/>
  <c r="GR228" i="55"/>
  <c r="EY228" i="55"/>
  <c r="GR99" i="55"/>
  <c r="GX99" i="55" s="1"/>
  <c r="GY99" i="55" s="1"/>
  <c r="GR311" i="55"/>
  <c r="GR74" i="55"/>
  <c r="GX74" i="55" s="1"/>
  <c r="GX206" i="55"/>
  <c r="GY206" i="55" s="1"/>
  <c r="GX62" i="55"/>
  <c r="GY62" i="55" s="1"/>
  <c r="GR146" i="55"/>
  <c r="GY214" i="55"/>
  <c r="CY348" i="55"/>
  <c r="CZ347" i="55"/>
  <c r="GY113" i="55"/>
  <c r="EU287" i="55"/>
  <c r="GU287" i="55" s="1"/>
  <c r="EV287" i="55"/>
  <c r="ET288" i="55"/>
  <c r="AC22" i="54"/>
  <c r="CK317" i="55"/>
  <c r="CL317" i="55" s="1"/>
  <c r="FH317" i="55" s="1"/>
  <c r="FJ317" i="55" s="1"/>
  <c r="CK320" i="55"/>
  <c r="CL320" i="55" s="1"/>
  <c r="FH320" i="55" s="1"/>
  <c r="FJ320" i="55" s="1"/>
  <c r="CK321" i="55"/>
  <c r="CL321" i="55" s="1"/>
  <c r="FH321" i="55" s="1"/>
  <c r="FJ321" i="55" s="1"/>
  <c r="CK324" i="55"/>
  <c r="CL324" i="55" s="1"/>
  <c r="FH324" i="55" s="1"/>
  <c r="FJ324" i="55" s="1"/>
  <c r="CK323" i="55"/>
  <c r="CL323" i="55" s="1"/>
  <c r="FH323" i="55" s="1"/>
  <c r="FJ323" i="55" s="1"/>
  <c r="CK318" i="55"/>
  <c r="CL318" i="55" s="1"/>
  <c r="FH318" i="55" s="1"/>
  <c r="FJ318" i="55" s="1"/>
  <c r="CK319" i="55"/>
  <c r="CL319" i="55" s="1"/>
  <c r="FH319" i="55" s="1"/>
  <c r="FJ319" i="55" s="1"/>
  <c r="CK322" i="55"/>
  <c r="CL322" i="55" s="1"/>
  <c r="FH322" i="55" s="1"/>
  <c r="FJ322" i="55" s="1"/>
  <c r="GR225" i="55"/>
  <c r="GX225" i="55" s="1"/>
  <c r="EY225" i="55"/>
  <c r="EY227" i="55"/>
  <c r="GR109" i="55"/>
  <c r="GR345" i="55"/>
  <c r="GX345" i="55" s="1"/>
  <c r="EY345" i="55"/>
  <c r="FC316" i="55"/>
  <c r="EW316" i="55"/>
  <c r="FA316" i="55"/>
  <c r="GB316" i="55" s="1"/>
  <c r="GY150" i="55"/>
  <c r="EX80" i="55"/>
  <c r="DS80" i="55"/>
  <c r="GR347" i="55"/>
  <c r="AC88" i="42"/>
  <c r="AA27" i="42"/>
  <c r="AB9" i="42" s="1"/>
  <c r="AD11" i="42"/>
  <c r="Y17" i="42"/>
  <c r="Y18" i="42" s="1"/>
  <c r="Z8" i="42"/>
  <c r="I15" i="58" l="1"/>
  <c r="J15" i="58" s="1"/>
  <c r="EY151" i="55"/>
  <c r="EY123" i="55"/>
  <c r="GY76" i="55"/>
  <c r="GY64" i="55"/>
  <c r="GY215" i="55"/>
  <c r="GY269" i="55"/>
  <c r="EY262" i="55"/>
  <c r="GY100" i="55"/>
  <c r="EY86" i="55"/>
  <c r="EK10" i="55"/>
  <c r="AE13" i="54" a="1"/>
  <c r="AE13" i="54" s="1"/>
  <c r="DL54" i="55" s="1"/>
  <c r="DO54" i="55" s="1"/>
  <c r="FG9" i="55"/>
  <c r="GY272" i="55"/>
  <c r="EL9" i="55"/>
  <c r="EM9" i="55" s="1"/>
  <c r="CZ59" i="55"/>
  <c r="CY60" i="55"/>
  <c r="DG9" i="55"/>
  <c r="DH9" i="55" s="1"/>
  <c r="DJ9" i="55" s="1" a="1"/>
  <c r="DJ9" i="55" s="1"/>
  <c r="AE14" i="54" s="1" a="1"/>
  <c r="AE14" i="54" s="1"/>
  <c r="CY110" i="55"/>
  <c r="CZ109" i="55"/>
  <c r="FE9" i="55"/>
  <c r="FI9" i="55" s="1"/>
  <c r="EY190" i="55"/>
  <c r="GY93" i="55"/>
  <c r="GX174" i="55"/>
  <c r="GY174" i="55" s="1"/>
  <c r="DK8" i="55"/>
  <c r="BU13" i="54" s="1" a="1"/>
  <c r="BU13" i="54" s="1"/>
  <c r="FD9" i="55"/>
  <c r="DL8" i="55"/>
  <c r="DO8" i="55" s="1"/>
  <c r="W11" i="42"/>
  <c r="X447" i="42" s="1"/>
  <c r="GY183" i="55"/>
  <c r="GY252" i="55"/>
  <c r="CZ289" i="55"/>
  <c r="CY290" i="55"/>
  <c r="X404" i="42"/>
  <c r="EY261" i="55"/>
  <c r="CY231" i="55"/>
  <c r="CZ230" i="55"/>
  <c r="CZ160" i="55"/>
  <c r="CY161" i="55"/>
  <c r="GX323" i="55"/>
  <c r="GY323" i="55" s="1"/>
  <c r="GX300" i="55"/>
  <c r="GY300" i="55" s="1"/>
  <c r="GX141" i="55"/>
  <c r="GY141" i="55"/>
  <c r="GX60" i="55"/>
  <c r="GY60" i="55" s="1"/>
  <c r="GR326" i="55"/>
  <c r="GX326" i="55" s="1"/>
  <c r="EY326" i="55"/>
  <c r="EY329" i="55"/>
  <c r="EY327" i="55"/>
  <c r="EY328" i="55"/>
  <c r="GX151" i="55"/>
  <c r="GY151" i="55" s="1"/>
  <c r="GU7" i="55"/>
  <c r="GX158" i="55"/>
  <c r="GR158" i="55"/>
  <c r="EY158" i="55"/>
  <c r="EY159" i="55"/>
  <c r="EY165" i="55"/>
  <c r="EY161" i="55"/>
  <c r="EY179" i="55"/>
  <c r="EY163" i="55"/>
  <c r="EY160" i="55"/>
  <c r="GX262" i="55"/>
  <c r="GY262" i="55"/>
  <c r="GR39" i="55"/>
  <c r="GX39" i="55" s="1"/>
  <c r="EY39" i="55"/>
  <c r="FN39" i="55" s="1"/>
  <c r="FO39" i="55" s="1"/>
  <c r="EY45" i="55"/>
  <c r="FN45" i="55" s="1"/>
  <c r="FO45" i="55" s="1"/>
  <c r="EY49" i="55"/>
  <c r="FN49" i="55" s="1"/>
  <c r="FO49" i="55" s="1"/>
  <c r="EY46" i="55"/>
  <c r="FN46" i="55" s="1"/>
  <c r="FO46" i="55" s="1"/>
  <c r="EY47" i="55"/>
  <c r="FN47" i="55" s="1"/>
  <c r="FO47" i="55" s="1"/>
  <c r="EY44" i="55"/>
  <c r="FN44" i="55" s="1"/>
  <c r="FO44" i="55" s="1"/>
  <c r="EY48" i="55"/>
  <c r="FN48" i="55" s="1"/>
  <c r="FO48" i="55" s="1"/>
  <c r="EY40" i="55"/>
  <c r="FN40" i="55" s="1"/>
  <c r="FO40" i="55" s="1"/>
  <c r="EY43" i="55"/>
  <c r="FN43" i="55" s="1"/>
  <c r="FO43" i="55" s="1"/>
  <c r="EY51" i="55"/>
  <c r="FN51" i="55" s="1"/>
  <c r="FO51" i="55" s="1"/>
  <c r="EY41" i="55"/>
  <c r="FN41" i="55" s="1"/>
  <c r="FO41" i="55" s="1"/>
  <c r="EY42" i="55"/>
  <c r="FN42" i="55" s="1"/>
  <c r="FO42" i="55" s="1"/>
  <c r="GX236" i="55"/>
  <c r="GY236" i="55" s="1"/>
  <c r="GX140" i="55"/>
  <c r="GY140" i="55" s="1"/>
  <c r="GR321" i="55"/>
  <c r="EY321" i="55"/>
  <c r="EY324" i="55"/>
  <c r="EY322" i="55"/>
  <c r="GR312" i="55"/>
  <c r="GX312" i="55" s="1"/>
  <c r="GR273" i="55"/>
  <c r="EY273" i="55"/>
  <c r="GX91" i="55"/>
  <c r="GY91" i="55" s="1"/>
  <c r="GR84" i="55"/>
  <c r="EY84" i="55"/>
  <c r="GX308" i="55"/>
  <c r="GY308" i="55" s="1"/>
  <c r="GR71" i="55"/>
  <c r="GX346" i="55"/>
  <c r="GY346" i="55" s="1"/>
  <c r="EV322" i="55"/>
  <c r="EU322" i="55"/>
  <c r="GU322" i="55" s="1"/>
  <c r="ET323" i="55"/>
  <c r="GR285" i="55"/>
  <c r="EY285" i="55"/>
  <c r="EY288" i="55"/>
  <c r="EY307" i="55"/>
  <c r="EY286" i="55"/>
  <c r="EY290" i="55"/>
  <c r="EY289" i="55"/>
  <c r="EY308" i="55"/>
  <c r="EY287" i="55"/>
  <c r="EY291" i="55"/>
  <c r="GR220" i="55"/>
  <c r="EY220" i="55"/>
  <c r="GX82" i="55"/>
  <c r="GY82" i="55" s="1"/>
  <c r="GX328" i="55"/>
  <c r="GY328" i="55" s="1"/>
  <c r="GR260" i="55"/>
  <c r="GX260" i="55" s="1"/>
  <c r="EY260" i="55"/>
  <c r="GX133" i="55"/>
  <c r="GY133" i="55" s="1"/>
  <c r="GR162" i="55"/>
  <c r="EY162" i="55"/>
  <c r="GR58" i="55"/>
  <c r="EY58" i="55"/>
  <c r="EY72" i="55"/>
  <c r="FT37" i="55" a="1"/>
  <c r="FT37" i="55" s="1"/>
  <c r="FU37" i="55" s="1"/>
  <c r="FZ37" i="55" a="1"/>
  <c r="FZ37" i="55" s="1"/>
  <c r="GA37" i="55" s="1"/>
  <c r="FV37" i="55" a="1"/>
  <c r="FV37" i="55" s="1"/>
  <c r="FW37" i="55" s="1"/>
  <c r="FX37" i="55" a="1"/>
  <c r="FX37" i="55" s="1"/>
  <c r="FY37" i="55" s="1"/>
  <c r="FP37" i="55" a="1"/>
  <c r="FP37" i="55" s="1"/>
  <c r="FQ37" i="55" s="1"/>
  <c r="FR37" i="55" a="1"/>
  <c r="FR37" i="55" s="1"/>
  <c r="FS37" i="55" s="1"/>
  <c r="GY156" i="55"/>
  <c r="GR126" i="55"/>
  <c r="GX126" i="55" s="1"/>
  <c r="GX297" i="55"/>
  <c r="GY297" i="55" s="1"/>
  <c r="GR257" i="55"/>
  <c r="EY264" i="55"/>
  <c r="EW92" i="55"/>
  <c r="FA92" i="55"/>
  <c r="GB92" i="55" s="1"/>
  <c r="FC92" i="55"/>
  <c r="GX145" i="55"/>
  <c r="GY145" i="55" s="1"/>
  <c r="GR218" i="55"/>
  <c r="GY38" i="55"/>
  <c r="GX107" i="55"/>
  <c r="GY107" i="55" s="1"/>
  <c r="GX101" i="55"/>
  <c r="GY101" i="55" s="1"/>
  <c r="GY86" i="55"/>
  <c r="GX347" i="55"/>
  <c r="GY347" i="55" s="1"/>
  <c r="GR134" i="55"/>
  <c r="EY134" i="55"/>
  <c r="EY150" i="55"/>
  <c r="GX129" i="55"/>
  <c r="GY129" i="55" s="1"/>
  <c r="FC321" i="55"/>
  <c r="FA321" i="55"/>
  <c r="GB321" i="55" s="1"/>
  <c r="EW321" i="55"/>
  <c r="FQ3" i="55"/>
  <c r="X303" i="42"/>
  <c r="X498" i="42"/>
  <c r="X432" i="42"/>
  <c r="X312" i="42"/>
  <c r="X412" i="42"/>
  <c r="X74" i="42"/>
  <c r="GR176" i="55"/>
  <c r="X277" i="42"/>
  <c r="H75" i="57" a="1"/>
  <c r="H75" i="57" s="1"/>
  <c r="D79" i="57" a="1"/>
  <c r="D79" i="57" s="1"/>
  <c r="H76" i="57" a="1"/>
  <c r="H76" i="57" s="1"/>
  <c r="H78" i="57" a="1"/>
  <c r="H78" i="57" s="1"/>
  <c r="D76" i="57" a="1"/>
  <c r="D76" i="57" s="1"/>
  <c r="H77" i="57" a="1"/>
  <c r="H77" i="57" s="1"/>
  <c r="D75" i="57" a="1"/>
  <c r="D75" i="57" s="1"/>
  <c r="H53" i="57" a="1"/>
  <c r="H53" i="57" s="1"/>
  <c r="D78" i="57" a="1"/>
  <c r="D78" i="57" s="1"/>
  <c r="H79" i="57" a="1"/>
  <c r="H79" i="57" s="1"/>
  <c r="D77" i="57" a="1"/>
  <c r="D77" i="57" s="1"/>
  <c r="G11" i="58"/>
  <c r="C25" i="60"/>
  <c r="GR148" i="55"/>
  <c r="FN33" i="55"/>
  <c r="FO33" i="55" s="1"/>
  <c r="GC33" i="55"/>
  <c r="FV32" i="55" a="1"/>
  <c r="FV32" i="55" s="1"/>
  <c r="FW32" i="55" s="1"/>
  <c r="FZ32" i="55" a="1"/>
  <c r="FZ32" i="55" s="1"/>
  <c r="GA32" i="55" s="1"/>
  <c r="FX32" i="55" a="1"/>
  <c r="FX32" i="55" s="1"/>
  <c r="FY32" i="55" s="1"/>
  <c r="FT32" i="55" a="1"/>
  <c r="FT32" i="55" s="1"/>
  <c r="FU32" i="55" s="1"/>
  <c r="FP32" i="55" a="1"/>
  <c r="FP32" i="55" s="1"/>
  <c r="FQ32" i="55" s="1"/>
  <c r="FR32" i="55" a="1"/>
  <c r="FR32" i="55" s="1"/>
  <c r="FS32" i="55" s="1"/>
  <c r="CY349" i="55"/>
  <c r="CZ348" i="55"/>
  <c r="GR122" i="55"/>
  <c r="EY122" i="55"/>
  <c r="GR205" i="55"/>
  <c r="GX205" i="55" s="1"/>
  <c r="GX309" i="55"/>
  <c r="GR52" i="55"/>
  <c r="EY52" i="55"/>
  <c r="FN52" i="55" s="1"/>
  <c r="FO52" i="55" s="1"/>
  <c r="GX131" i="55"/>
  <c r="GY131" i="55" s="1"/>
  <c r="FN88" i="55"/>
  <c r="FO88" i="55" s="1"/>
  <c r="GC88" i="55"/>
  <c r="EU347" i="55"/>
  <c r="GU347" i="55" s="1"/>
  <c r="EV347" i="55"/>
  <c r="ET348" i="55"/>
  <c r="GX240" i="55"/>
  <c r="GY240" i="55" s="1"/>
  <c r="GR234" i="55"/>
  <c r="GX234" i="55" s="1"/>
  <c r="GY234" i="55" s="1"/>
  <c r="EY234" i="55"/>
  <c r="EY282" i="55"/>
  <c r="GR295" i="55"/>
  <c r="GX295" i="55" s="1"/>
  <c r="FN336" i="55"/>
  <c r="FO336" i="55" s="1"/>
  <c r="GC336" i="55"/>
  <c r="CH14" i="55"/>
  <c r="BE19" i="54" a="1"/>
  <c r="BE19" i="54" s="1"/>
  <c r="GR293" i="55"/>
  <c r="EY293" i="55"/>
  <c r="GY30" i="55"/>
  <c r="GX204" i="55"/>
  <c r="GY204" i="55" s="1"/>
  <c r="GY153" i="55"/>
  <c r="FA231" i="55"/>
  <c r="GB231" i="55" s="1"/>
  <c r="FC231" i="55"/>
  <c r="EW231" i="55"/>
  <c r="EY267" i="55"/>
  <c r="GX228" i="55"/>
  <c r="GY228" i="55" s="1"/>
  <c r="EY208" i="55"/>
  <c r="GX212" i="55"/>
  <c r="GY212" i="55" s="1"/>
  <c r="CH12" i="55"/>
  <c r="BE17" i="54" a="1"/>
  <c r="BE17" i="54" s="1"/>
  <c r="EU189" i="55"/>
  <c r="GU189" i="55" s="1"/>
  <c r="EV189" i="55"/>
  <c r="ET190" i="55"/>
  <c r="GX153" i="55"/>
  <c r="EV135" i="55"/>
  <c r="EU135" i="55"/>
  <c r="GU135" i="55" s="1"/>
  <c r="ET136" i="55"/>
  <c r="GR98" i="55"/>
  <c r="GX98" i="55" s="1"/>
  <c r="GX336" i="55"/>
  <c r="GY336" i="55" s="1"/>
  <c r="GR310" i="55"/>
  <c r="GX310" i="55" s="1"/>
  <c r="GR292" i="55"/>
  <c r="GY238" i="55"/>
  <c r="EY281" i="55"/>
  <c r="GX250" i="55"/>
  <c r="GY250" i="55" s="1"/>
  <c r="GX276" i="55"/>
  <c r="GY276" i="55" s="1"/>
  <c r="GX311" i="55"/>
  <c r="GY311" i="55" s="1"/>
  <c r="GR209" i="55"/>
  <c r="EY209" i="55"/>
  <c r="GX243" i="55"/>
  <c r="GY243" i="55" s="1"/>
  <c r="GX34" i="55"/>
  <c r="GY34" i="55" s="1"/>
  <c r="CZ37" i="55"/>
  <c r="DD37" i="55" s="1"/>
  <c r="CY38" i="55"/>
  <c r="EU60" i="55"/>
  <c r="GU60" i="55" s="1"/>
  <c r="EV60" i="55"/>
  <c r="ET61" i="55"/>
  <c r="GX88" i="55"/>
  <c r="GY88" i="55" s="1"/>
  <c r="GY281" i="55"/>
  <c r="GY168" i="55"/>
  <c r="GY190" i="55"/>
  <c r="GX244" i="55"/>
  <c r="GY244" i="55" s="1"/>
  <c r="GX160" i="55"/>
  <c r="GY160" i="55" s="1"/>
  <c r="GR80" i="55"/>
  <c r="GX80" i="55" s="1"/>
  <c r="GY80" i="55" s="1"/>
  <c r="FZ34" i="55" a="1"/>
  <c r="FZ34" i="55" s="1"/>
  <c r="GA34" i="55" s="1"/>
  <c r="FX34" i="55" a="1"/>
  <c r="FX34" i="55" s="1"/>
  <c r="FY34" i="55" s="1"/>
  <c r="FT34" i="55" a="1"/>
  <c r="FT34" i="55" s="1"/>
  <c r="FU34" i="55" s="1"/>
  <c r="FV34" i="55" a="1"/>
  <c r="FV34" i="55" s="1"/>
  <c r="FW34" i="55" s="1"/>
  <c r="FP34" i="55" a="1"/>
  <c r="FP34" i="55" s="1"/>
  <c r="FQ34" i="55" s="1"/>
  <c r="FR34" i="55" a="1"/>
  <c r="FR34" i="55" s="1"/>
  <c r="FS34" i="55" s="1"/>
  <c r="GR199" i="55"/>
  <c r="CH9" i="55"/>
  <c r="BE14" i="54" a="1"/>
  <c r="BE14" i="54" s="1"/>
  <c r="GY132" i="55"/>
  <c r="GR230" i="55"/>
  <c r="GX230" i="55" s="1"/>
  <c r="EY230" i="55"/>
  <c r="EY274" i="55"/>
  <c r="FF10" i="55"/>
  <c r="FD10" i="55"/>
  <c r="FG10" i="55"/>
  <c r="FE10" i="55"/>
  <c r="FI10" i="55" s="1"/>
  <c r="DG10" i="55"/>
  <c r="DH10" i="55" s="1"/>
  <c r="DJ10" i="55" s="1" a="1"/>
  <c r="DJ10" i="55" s="1"/>
  <c r="EK11" i="55"/>
  <c r="EL10" i="55"/>
  <c r="GY345" i="55"/>
  <c r="EY269" i="55"/>
  <c r="GY216" i="55"/>
  <c r="FT35" i="55" a="1"/>
  <c r="FT35" i="55" s="1"/>
  <c r="FU35" i="55" s="1"/>
  <c r="FX35" i="55" a="1"/>
  <c r="FX35" i="55" s="1"/>
  <c r="FY35" i="55" s="1"/>
  <c r="FV35" i="55" a="1"/>
  <c r="FV35" i="55" s="1"/>
  <c r="FW35" i="55" s="1"/>
  <c r="FR35" i="55" a="1"/>
  <c r="FR35" i="55" s="1"/>
  <c r="FS35" i="55" s="1"/>
  <c r="FP35" i="55" a="1"/>
  <c r="FP35" i="55" s="1"/>
  <c r="FQ35" i="55" s="1"/>
  <c r="FZ35" i="55" a="1"/>
  <c r="FZ35" i="55" s="1"/>
  <c r="GA35" i="55" s="1"/>
  <c r="GX70" i="55"/>
  <c r="GX202" i="55"/>
  <c r="GY202" i="55" s="1"/>
  <c r="FZ36" i="55" a="1"/>
  <c r="FZ36" i="55" s="1"/>
  <c r="GA36" i="55" s="1"/>
  <c r="FX36" i="55" a="1"/>
  <c r="FX36" i="55" s="1"/>
  <c r="FY36" i="55" s="1"/>
  <c r="FR36" i="55" a="1"/>
  <c r="FR36" i="55" s="1"/>
  <c r="FS36" i="55" s="1"/>
  <c r="FT36" i="55" a="1"/>
  <c r="FT36" i="55" s="1"/>
  <c r="FU36" i="55" s="1"/>
  <c r="FP36" i="55" a="1"/>
  <c r="FP36" i="55" s="1"/>
  <c r="FQ36" i="55" s="1"/>
  <c r="FV36" i="55" a="1"/>
  <c r="FV36" i="55" s="1"/>
  <c r="FW36" i="55" s="1"/>
  <c r="GX337" i="55"/>
  <c r="GY337" i="55" s="1"/>
  <c r="EV36" i="55"/>
  <c r="EU36" i="55"/>
  <c r="GU36" i="55" s="1"/>
  <c r="ET37" i="55"/>
  <c r="FC188" i="55"/>
  <c r="FA188" i="55"/>
  <c r="GB188" i="55" s="1"/>
  <c r="EW188" i="55"/>
  <c r="GY24" i="55"/>
  <c r="GY259" i="55"/>
  <c r="GR279" i="55"/>
  <c r="GX279" i="55"/>
  <c r="EY279" i="55"/>
  <c r="GR305" i="55"/>
  <c r="GX189" i="55"/>
  <c r="GY189" i="55" s="1"/>
  <c r="EY275" i="55"/>
  <c r="EY280" i="55"/>
  <c r="GX208" i="55"/>
  <c r="GY208" i="55" s="1"/>
  <c r="GX137" i="55"/>
  <c r="GY137" i="55" s="1"/>
  <c r="GX90" i="55"/>
  <c r="GY90" i="55" s="1"/>
  <c r="GY70" i="55"/>
  <c r="GR246" i="55"/>
  <c r="GX246" i="55" s="1"/>
  <c r="EY249" i="55"/>
  <c r="GR343" i="55"/>
  <c r="GX343" i="55" s="1"/>
  <c r="EY343" i="55"/>
  <c r="FC134" i="55"/>
  <c r="FA134" i="55"/>
  <c r="GB134" i="55" s="1"/>
  <c r="EW134" i="55"/>
  <c r="GX65" i="55"/>
  <c r="GX267" i="55"/>
  <c r="GY267" i="55" s="1"/>
  <c r="GR258" i="55"/>
  <c r="EV288" i="55"/>
  <c r="EU288" i="55"/>
  <c r="GU288" i="55" s="1"/>
  <c r="ET289" i="55"/>
  <c r="GR138" i="55"/>
  <c r="GY104" i="55"/>
  <c r="EY271" i="55"/>
  <c r="GX284" i="55"/>
  <c r="GY284" i="55" s="1"/>
  <c r="GR114" i="55"/>
  <c r="EW59" i="55"/>
  <c r="FC59" i="55"/>
  <c r="FA59" i="55"/>
  <c r="GB59" i="55" s="1"/>
  <c r="EU8" i="55"/>
  <c r="GU8" i="55" s="1"/>
  <c r="EV8" i="55"/>
  <c r="ET9" i="55"/>
  <c r="GX298" i="55"/>
  <c r="GY298" i="55" s="1"/>
  <c r="GC35" i="55"/>
  <c r="FA35" i="55"/>
  <c r="GB35" i="55" s="1"/>
  <c r="FC35" i="55"/>
  <c r="EZ35" i="55"/>
  <c r="EW35" i="55"/>
  <c r="GX338" i="55"/>
  <c r="GY338" i="55" s="1"/>
  <c r="FA334" i="55"/>
  <c r="GB334" i="55" s="1"/>
  <c r="FC334" i="55"/>
  <c r="EW334" i="55"/>
  <c r="GY225" i="55"/>
  <c r="FA287" i="55"/>
  <c r="GB287" i="55" s="1"/>
  <c r="FC287" i="55"/>
  <c r="EW287" i="55"/>
  <c r="GR124" i="55"/>
  <c r="EY248" i="55"/>
  <c r="GX41" i="55"/>
  <c r="GY41" i="55" s="1"/>
  <c r="EU93" i="55"/>
  <c r="GU93" i="55" s="1"/>
  <c r="EV93" i="55"/>
  <c r="ET94" i="55"/>
  <c r="GX35" i="55"/>
  <c r="GY35" i="55" s="1"/>
  <c r="GR152" i="55"/>
  <c r="GX36" i="55"/>
  <c r="GY36" i="55" s="1"/>
  <c r="FX38" i="55" a="1"/>
  <c r="FX38" i="55" s="1"/>
  <c r="FY38" i="55" s="1"/>
  <c r="FZ38" i="55" a="1"/>
  <c r="FZ38" i="55" s="1"/>
  <c r="GA38" i="55" s="1"/>
  <c r="FV38" i="55" a="1"/>
  <c r="FV38" i="55" s="1"/>
  <c r="FW38" i="55" s="1"/>
  <c r="FT38" i="55" a="1"/>
  <c r="FT38" i="55" s="1"/>
  <c r="FU38" i="55" s="1"/>
  <c r="FR38" i="55" a="1"/>
  <c r="FR38" i="55" s="1"/>
  <c r="FS38" i="55" s="1"/>
  <c r="FP38" i="55" a="1"/>
  <c r="FP38" i="55" s="1"/>
  <c r="FQ38" i="55" s="1"/>
  <c r="GC7" i="55"/>
  <c r="EW7" i="55"/>
  <c r="FA7" i="55"/>
  <c r="FC7" i="55"/>
  <c r="FV4" i="55" a="1"/>
  <c r="FV4" i="55" s="1"/>
  <c r="FW4" i="55" s="1"/>
  <c r="FZ4" i="55" a="1"/>
  <c r="FZ4" i="55" s="1"/>
  <c r="GA4" i="55" s="1"/>
  <c r="FX4" i="55" a="1"/>
  <c r="FX4" i="55" s="1"/>
  <c r="FY4" i="55" s="1"/>
  <c r="FT4" i="55" a="1"/>
  <c r="FT4" i="55" s="1"/>
  <c r="FU4" i="55" s="1"/>
  <c r="FP4" i="55" a="1"/>
  <c r="FP4" i="55" s="1"/>
  <c r="FQ4" i="55" s="1"/>
  <c r="FR4" i="55" a="1"/>
  <c r="FR4" i="55" s="1"/>
  <c r="FS4" i="55" s="1"/>
  <c r="GY352" i="55"/>
  <c r="GR296" i="55"/>
  <c r="GX296" i="55" s="1"/>
  <c r="GX302" i="55"/>
  <c r="GY302" i="55" s="1"/>
  <c r="GY182" i="55"/>
  <c r="GX226" i="55"/>
  <c r="GY226" i="55" s="1"/>
  <c r="GX72" i="55"/>
  <c r="GY72" i="55" s="1"/>
  <c r="GY65" i="55"/>
  <c r="GX344" i="55"/>
  <c r="GY344" i="55" s="1"/>
  <c r="GX188" i="55"/>
  <c r="GY188" i="55" s="1"/>
  <c r="EY129" i="55"/>
  <c r="FN129" i="55" s="1"/>
  <c r="FO129" i="55" s="1"/>
  <c r="GX275" i="55"/>
  <c r="GY275" i="55" s="1"/>
  <c r="GX179" i="55"/>
  <c r="CH17" i="55"/>
  <c r="BE22" i="54" a="1"/>
  <c r="BE22" i="54" s="1"/>
  <c r="BE24" i="54" a="1"/>
  <c r="BE24" i="54" s="1"/>
  <c r="CH19" i="55"/>
  <c r="GY179" i="55"/>
  <c r="BE26" i="54" a="1"/>
  <c r="BE26" i="54" s="1"/>
  <c r="CH20" i="55"/>
  <c r="CH5" i="55"/>
  <c r="BE25" i="54" a="1"/>
  <c r="BE25" i="54" s="1"/>
  <c r="GY66" i="55"/>
  <c r="GX166" i="55"/>
  <c r="GY166" i="55" s="1"/>
  <c r="CH10" i="55"/>
  <c r="BE16" i="54" a="1"/>
  <c r="BE16" i="54" s="1"/>
  <c r="FZ53" i="55" a="1"/>
  <c r="FZ53" i="55" s="1"/>
  <c r="GA53" i="55" s="1"/>
  <c r="FV53" i="55" a="1"/>
  <c r="FV53" i="55" s="1"/>
  <c r="FW53" i="55" s="1"/>
  <c r="FT53" i="55" a="1"/>
  <c r="FT53" i="55" s="1"/>
  <c r="FU53" i="55" s="1"/>
  <c r="FX53" i="55" a="1"/>
  <c r="FX53" i="55" s="1"/>
  <c r="FY53" i="55" s="1"/>
  <c r="FR53" i="55" a="1"/>
  <c r="FR53" i="55" s="1"/>
  <c r="FS53" i="55" s="1"/>
  <c r="FP53" i="55" a="1"/>
  <c r="FP53" i="55" s="1"/>
  <c r="FQ53" i="55" s="1"/>
  <c r="GR268" i="55"/>
  <c r="EY268" i="55"/>
  <c r="GX67" i="55"/>
  <c r="GY67" i="55" s="1"/>
  <c r="GY309" i="55"/>
  <c r="GX125" i="55"/>
  <c r="GY125" i="55" s="1"/>
  <c r="GY193" i="55"/>
  <c r="DU13" i="55"/>
  <c r="CB13" i="55"/>
  <c r="CC13" i="55" s="1"/>
  <c r="GX78" i="55"/>
  <c r="EV107" i="55"/>
  <c r="EU107" i="55"/>
  <c r="GU107" i="55" s="1"/>
  <c r="ET108" i="55"/>
  <c r="DZ14" i="55"/>
  <c r="DY15" i="55" s="1"/>
  <c r="GX167" i="55"/>
  <c r="GY167" i="55" s="1"/>
  <c r="GX61" i="55"/>
  <c r="GY61" i="55" s="1"/>
  <c r="EV159" i="55"/>
  <c r="EU159" i="55"/>
  <c r="GU159" i="55" s="1"/>
  <c r="ET160" i="55"/>
  <c r="GX318" i="55"/>
  <c r="GY318" i="55" s="1"/>
  <c r="GX172" i="55"/>
  <c r="GY172" i="55" s="1"/>
  <c r="GR164" i="55"/>
  <c r="GX109" i="55"/>
  <c r="GY109" i="55" s="1"/>
  <c r="GX322" i="55"/>
  <c r="GY322" i="55" s="1"/>
  <c r="GX89" i="55"/>
  <c r="GY89" i="55" s="1"/>
  <c r="FC346" i="55"/>
  <c r="FA346" i="55"/>
  <c r="GB346" i="55" s="1"/>
  <c r="EW346" i="55"/>
  <c r="GX33" i="55"/>
  <c r="GY33" i="55" s="1"/>
  <c r="FD36" i="55"/>
  <c r="FG36" i="55"/>
  <c r="FE36" i="55"/>
  <c r="FI36" i="55" s="1"/>
  <c r="FF36" i="55"/>
  <c r="DG36" i="55"/>
  <c r="DH36" i="55" s="1"/>
  <c r="DJ36" i="55" s="1" a="1"/>
  <c r="DJ36" i="55" s="1"/>
  <c r="EK37" i="55"/>
  <c r="EL36" i="55"/>
  <c r="EM36" i="55" s="1"/>
  <c r="GX327" i="55"/>
  <c r="GY327" i="55" s="1"/>
  <c r="GX254" i="55"/>
  <c r="GY254" i="55" s="1"/>
  <c r="GX170" i="55"/>
  <c r="GY170" i="55" s="1"/>
  <c r="GR180" i="55"/>
  <c r="EY180" i="55"/>
  <c r="C14" i="60"/>
  <c r="C20" i="60" s="1"/>
  <c r="GY78" i="55"/>
  <c r="EY265" i="55"/>
  <c r="GR340" i="55"/>
  <c r="EY340" i="55"/>
  <c r="GR136" i="55"/>
  <c r="EY136" i="55"/>
  <c r="EY231" i="55"/>
  <c r="GX291" i="55"/>
  <c r="GY291" i="55" s="1"/>
  <c r="GX40" i="55"/>
  <c r="GY40" i="55" s="1"/>
  <c r="CH8" i="55"/>
  <c r="BE13" i="54" a="1"/>
  <c r="BE13" i="54" s="1"/>
  <c r="GY23" i="55"/>
  <c r="BE21" i="54" a="1"/>
  <c r="BE21" i="54" s="1"/>
  <c r="CH16" i="55"/>
  <c r="GX42" i="55"/>
  <c r="GY42" i="55" s="1"/>
  <c r="DK35" i="55"/>
  <c r="DN35" i="55"/>
  <c r="EY270" i="55"/>
  <c r="GY48" i="55"/>
  <c r="GY157" i="55"/>
  <c r="FC106" i="55"/>
  <c r="EW106" i="55"/>
  <c r="FA106" i="55"/>
  <c r="GB106" i="55" s="1"/>
  <c r="EY277" i="55"/>
  <c r="EY266" i="55"/>
  <c r="GX329" i="55"/>
  <c r="GY329" i="55" s="1"/>
  <c r="FA158" i="55"/>
  <c r="GB158" i="55" s="1"/>
  <c r="FC158" i="55"/>
  <c r="EW158" i="55"/>
  <c r="GX111" i="55"/>
  <c r="GY111" i="55" s="1"/>
  <c r="GX247" i="55"/>
  <c r="GY247" i="55" s="1"/>
  <c r="GX187" i="55"/>
  <c r="GY187" i="55" s="1"/>
  <c r="GX75" i="55"/>
  <c r="GY75" i="55" s="1"/>
  <c r="GY177" i="55"/>
  <c r="GX97" i="55"/>
  <c r="GY97" i="55" s="1"/>
  <c r="BE23" i="54" a="1"/>
  <c r="BE23" i="54" s="1"/>
  <c r="CH18" i="55"/>
  <c r="DL73" i="55"/>
  <c r="DO73" i="55" s="1"/>
  <c r="DL75" i="55"/>
  <c r="DO75" i="55" s="1"/>
  <c r="DL67" i="55"/>
  <c r="DO67" i="55" s="1"/>
  <c r="DL58" i="55"/>
  <c r="DO58" i="55" s="1"/>
  <c r="DL71" i="55"/>
  <c r="DO71" i="55" s="1"/>
  <c r="DL56" i="55"/>
  <c r="DO56" i="55" s="1"/>
  <c r="GY290" i="55"/>
  <c r="GR185" i="55"/>
  <c r="EY185" i="55"/>
  <c r="EY191" i="55"/>
  <c r="EY221" i="55"/>
  <c r="EY192" i="55"/>
  <c r="EY186" i="55"/>
  <c r="EY223" i="55"/>
  <c r="EY278" i="55"/>
  <c r="GR253" i="55"/>
  <c r="CY138" i="55"/>
  <c r="CZ137" i="55"/>
  <c r="C21" i="60"/>
  <c r="C19" i="60"/>
  <c r="Z10" i="54"/>
  <c r="C18" i="60" s="1"/>
  <c r="EY272" i="55"/>
  <c r="GR222" i="55"/>
  <c r="GX222" i="55" s="1"/>
  <c r="GY222" i="55" s="1"/>
  <c r="EY222" i="55"/>
  <c r="GR299" i="55"/>
  <c r="GX299" i="55" s="1"/>
  <c r="GY299" i="55" s="1"/>
  <c r="Z11" i="54"/>
  <c r="BN25" i="55" s="1" a="1"/>
  <c r="BN25" i="55" s="1"/>
  <c r="EY263" i="55"/>
  <c r="GX146" i="55"/>
  <c r="GY146" i="55" s="1"/>
  <c r="GY74" i="55"/>
  <c r="CY100" i="55"/>
  <c r="CZ99" i="55"/>
  <c r="GR294" i="55"/>
  <c r="GX294" i="55" s="1"/>
  <c r="CY192" i="55"/>
  <c r="CZ191" i="55"/>
  <c r="GX194" i="55"/>
  <c r="GY194" i="55" s="1"/>
  <c r="GY142" i="55"/>
  <c r="GY117" i="55"/>
  <c r="GX44" i="55"/>
  <c r="GY44" i="55" s="1"/>
  <c r="GC34" i="55"/>
  <c r="GR54" i="55"/>
  <c r="GX54" i="55" s="1"/>
  <c r="EY54" i="55"/>
  <c r="EY55" i="55"/>
  <c r="EY83" i="55"/>
  <c r="EY85" i="55"/>
  <c r="EY87" i="55"/>
  <c r="EY81" i="55"/>
  <c r="EY56" i="55"/>
  <c r="EY73" i="55"/>
  <c r="GX266" i="55"/>
  <c r="GY266" i="55" s="1"/>
  <c r="EU232" i="55"/>
  <c r="GU232" i="55" s="1"/>
  <c r="EV232" i="55"/>
  <c r="ET233" i="55"/>
  <c r="GX95" i="55"/>
  <c r="GY95" i="55" s="1"/>
  <c r="GY339" i="55"/>
  <c r="GY103" i="55"/>
  <c r="GX21" i="55"/>
  <c r="GY21" i="55" s="1"/>
  <c r="GX231" i="55"/>
  <c r="GY231" i="55" s="1"/>
  <c r="CH15" i="55"/>
  <c r="BE20" i="54" a="1"/>
  <c r="BE20" i="54" s="1"/>
  <c r="GX105" i="55"/>
  <c r="GY105" i="55" s="1"/>
  <c r="EY276" i="55"/>
  <c r="GY161" i="55"/>
  <c r="GX110" i="55"/>
  <c r="GY110" i="55" s="1"/>
  <c r="GR121" i="55"/>
  <c r="GX290" i="55"/>
  <c r="X224" i="42"/>
  <c r="X349" i="42"/>
  <c r="X380" i="42"/>
  <c r="X14" i="42"/>
  <c r="X351" i="42"/>
  <c r="X102" i="42"/>
  <c r="X262" i="42"/>
  <c r="X67" i="42"/>
  <c r="X255" i="42"/>
  <c r="X175" i="42"/>
  <c r="X456" i="42"/>
  <c r="X222" i="42"/>
  <c r="X94" i="42"/>
  <c r="X76" i="42"/>
  <c r="X416" i="42"/>
  <c r="X441" i="42"/>
  <c r="X134" i="42"/>
  <c r="X18" i="42"/>
  <c r="X413" i="42"/>
  <c r="X450" i="42"/>
  <c r="X285" i="42"/>
  <c r="X313" i="42"/>
  <c r="X478" i="42"/>
  <c r="X283" i="42"/>
  <c r="X197" i="42"/>
  <c r="X212" i="42"/>
  <c r="X342" i="42"/>
  <c r="X228" i="42"/>
  <c r="X278" i="42"/>
  <c r="X113" i="42"/>
  <c r="X139" i="42"/>
  <c r="X79" i="42"/>
  <c r="X284" i="42"/>
  <c r="X302" i="42"/>
  <c r="X292" i="42"/>
  <c r="X365" i="42"/>
  <c r="X257" i="42"/>
  <c r="AD373" i="42"/>
  <c r="AD298" i="42"/>
  <c r="AD481" i="42"/>
  <c r="AD463" i="42"/>
  <c r="X198" i="42"/>
  <c r="X232" i="42"/>
  <c r="X392" i="42"/>
  <c r="X474" i="42"/>
  <c r="X156" i="42"/>
  <c r="X254" i="42"/>
  <c r="X468" i="42"/>
  <c r="X119" i="42"/>
  <c r="X249" i="42"/>
  <c r="X244" i="42"/>
  <c r="X386" i="42"/>
  <c r="X209" i="42"/>
  <c r="X452" i="42"/>
  <c r="X81" i="42"/>
  <c r="X112" i="42"/>
  <c r="X387" i="42"/>
  <c r="X44" i="42"/>
  <c r="X83" i="42"/>
  <c r="X397" i="42"/>
  <c r="X485" i="42"/>
  <c r="X236" i="42"/>
  <c r="X193" i="42"/>
  <c r="X214" i="42"/>
  <c r="X314" i="42"/>
  <c r="X201" i="42"/>
  <c r="X350" i="42"/>
  <c r="X486" i="42"/>
  <c r="X420" i="42"/>
  <c r="X405" i="42"/>
  <c r="X217" i="42"/>
  <c r="X241" i="42"/>
  <c r="X40" i="42"/>
  <c r="X195" i="42"/>
  <c r="X120" i="42"/>
  <c r="X150" i="42"/>
  <c r="X220" i="42"/>
  <c r="X304" i="42"/>
  <c r="X109" i="42"/>
  <c r="X461" i="42"/>
  <c r="X457" i="42"/>
  <c r="X398" i="42"/>
  <c r="X163" i="42"/>
  <c r="X465" i="42"/>
  <c r="X308" i="42"/>
  <c r="X188" i="42"/>
  <c r="X73" i="42"/>
  <c r="X296" i="42"/>
  <c r="X318" i="42"/>
  <c r="X231" i="42"/>
  <c r="X309" i="42"/>
  <c r="X458" i="42"/>
  <c r="X170" i="42"/>
  <c r="X264" i="42"/>
  <c r="X57" i="42"/>
  <c r="X344" i="42"/>
  <c r="X362" i="42"/>
  <c r="X414" i="42"/>
  <c r="X15" i="42"/>
  <c r="X496" i="42"/>
  <c r="AD288" i="42"/>
  <c r="X377" i="42"/>
  <c r="X182" i="42"/>
  <c r="X335" i="42"/>
  <c r="X199" i="42"/>
  <c r="X454" i="42"/>
  <c r="X279" i="42"/>
  <c r="X482" i="42"/>
  <c r="X407" i="42"/>
  <c r="X144" i="42"/>
  <c r="X68" i="42"/>
  <c r="X215" i="42"/>
  <c r="X358" i="42"/>
  <c r="X157" i="42"/>
  <c r="X444" i="42"/>
  <c r="X88" i="42"/>
  <c r="X440" i="42"/>
  <c r="X190" i="42"/>
  <c r="X330" i="42"/>
  <c r="X384" i="42"/>
  <c r="X221" i="42"/>
  <c r="X343" i="42"/>
  <c r="X92" i="42"/>
  <c r="X323" i="42"/>
  <c r="X256" i="42"/>
  <c r="X393" i="42"/>
  <c r="X131" i="42"/>
  <c r="X480" i="42"/>
  <c r="X107" i="42"/>
  <c r="X46" i="42"/>
  <c r="X282" i="42"/>
  <c r="X423" i="42"/>
  <c r="X310" i="42"/>
  <c r="X96" i="42"/>
  <c r="X23" i="42"/>
  <c r="X29" i="42"/>
  <c r="X327" i="42"/>
  <c r="X259" i="42"/>
  <c r="X152" i="42"/>
  <c r="X208" i="42"/>
  <c r="X71" i="42"/>
  <c r="X375" i="42"/>
  <c r="X399" i="42"/>
  <c r="X181" i="42"/>
  <c r="X446" i="42"/>
  <c r="X227" i="42"/>
  <c r="X320" i="42"/>
  <c r="X110" i="42"/>
  <c r="X63" i="42"/>
  <c r="X234" i="42"/>
  <c r="X439" i="42"/>
  <c r="X128" i="42"/>
  <c r="X237" i="42"/>
  <c r="X353" i="42"/>
  <c r="X315" i="42"/>
  <c r="X53" i="42"/>
  <c r="X470" i="42"/>
  <c r="X369" i="42"/>
  <c r="X275" i="42"/>
  <c r="X64" i="42"/>
  <c r="X202" i="42"/>
  <c r="X238" i="42"/>
  <c r="X77" i="42"/>
  <c r="X65" i="42"/>
  <c r="X54" i="42"/>
  <c r="X47" i="42"/>
  <c r="X298" i="42"/>
  <c r="X159" i="42"/>
  <c r="X70" i="42"/>
  <c r="X332" i="42"/>
  <c r="X142" i="42"/>
  <c r="X151" i="42"/>
  <c r="X167" i="42"/>
  <c r="X183" i="42"/>
  <c r="X463" i="42"/>
  <c r="X180" i="42"/>
  <c r="X280" i="42"/>
  <c r="X488" i="42"/>
  <c r="X443" i="42"/>
  <c r="X117" i="42"/>
  <c r="X329" i="42"/>
  <c r="X481" i="42"/>
  <c r="X273" i="42"/>
  <c r="X328" i="42"/>
  <c r="X276" i="42"/>
  <c r="X251" i="42"/>
  <c r="X455" i="42"/>
  <c r="X100" i="42"/>
  <c r="X261" i="42"/>
  <c r="X213" i="42"/>
  <c r="X48" i="42"/>
  <c r="X385" i="42"/>
  <c r="X16" i="42"/>
  <c r="X326" i="42"/>
  <c r="X301" i="42"/>
  <c r="X247" i="42"/>
  <c r="X216" i="42"/>
  <c r="X466" i="42"/>
  <c r="X162" i="42"/>
  <c r="X319" i="42"/>
  <c r="X146" i="42"/>
  <c r="X374" i="42"/>
  <c r="X333" i="42"/>
  <c r="X122" i="42"/>
  <c r="X497" i="42"/>
  <c r="X268" i="42"/>
  <c r="X174" i="42"/>
  <c r="X372" i="42"/>
  <c r="X50" i="42"/>
  <c r="X210" i="42"/>
  <c r="X52" i="42"/>
  <c r="X250" i="42"/>
  <c r="X242" i="42"/>
  <c r="X225" i="42"/>
  <c r="X499" i="42"/>
  <c r="X28" i="42"/>
  <c r="X484" i="42"/>
  <c r="X294" i="42"/>
  <c r="X205" i="42"/>
  <c r="X430" i="42"/>
  <c r="X300" i="42"/>
  <c r="X368" i="42"/>
  <c r="X337" i="42"/>
  <c r="X449" i="42"/>
  <c r="X136" i="42"/>
  <c r="X274" i="42"/>
  <c r="X400" i="42"/>
  <c r="X360" i="42"/>
  <c r="X189" i="42"/>
  <c r="X495" i="42"/>
  <c r="X91" i="42"/>
  <c r="X56" i="42"/>
  <c r="X357" i="42"/>
  <c r="X36" i="42"/>
  <c r="X104" i="42"/>
  <c r="X395" i="42"/>
  <c r="X138" i="42"/>
  <c r="X233" i="42"/>
  <c r="X121" i="42"/>
  <c r="X172" i="42"/>
  <c r="X235" i="42"/>
  <c r="X25" i="42"/>
  <c r="X219" i="42"/>
  <c r="X433" i="42"/>
  <c r="X69" i="42"/>
  <c r="X78" i="42"/>
  <c r="X361" i="42"/>
  <c r="X419" i="42"/>
  <c r="X322" i="42"/>
  <c r="X500" i="42"/>
  <c r="X316" i="42"/>
  <c r="X367" i="42"/>
  <c r="X267" i="42"/>
  <c r="X287" i="42"/>
  <c r="X477" i="42"/>
  <c r="X127" i="42"/>
  <c r="X60" i="42"/>
  <c r="X347" i="42"/>
  <c r="X336" i="42"/>
  <c r="X22" i="42"/>
  <c r="X75" i="42"/>
  <c r="X171" i="42"/>
  <c r="X98" i="42"/>
  <c r="X37" i="42"/>
  <c r="X305" i="42"/>
  <c r="X148" i="42"/>
  <c r="X345" i="42"/>
  <c r="X379" i="42"/>
  <c r="X132" i="42"/>
  <c r="X406" i="42"/>
  <c r="X19" i="42"/>
  <c r="X334" i="42"/>
  <c r="X95" i="42"/>
  <c r="X12" i="42"/>
  <c r="X266" i="42"/>
  <c r="X448" i="42"/>
  <c r="X32" i="42"/>
  <c r="X435" i="42"/>
  <c r="X263" i="42"/>
  <c r="X371" i="42"/>
  <c r="X338" i="42"/>
  <c r="X286" i="42"/>
  <c r="X434" i="42"/>
  <c r="X271" i="42"/>
  <c r="X248" i="42"/>
  <c r="X494" i="42"/>
  <c r="X101" i="42"/>
  <c r="X317" i="42"/>
  <c r="X27" i="42"/>
  <c r="X194" i="42"/>
  <c r="X389" i="42"/>
  <c r="X459" i="42"/>
  <c r="X438" i="42"/>
  <c r="X492" i="42"/>
  <c r="X417" i="42"/>
  <c r="X13" i="42"/>
  <c r="X126" i="42"/>
  <c r="X388" i="42"/>
  <c r="X149" i="42"/>
  <c r="X364" i="42"/>
  <c r="X307" i="42"/>
  <c r="X90" i="42"/>
  <c r="X381" i="42"/>
  <c r="X475" i="42"/>
  <c r="X491" i="42"/>
  <c r="X469" i="42"/>
  <c r="X401" i="42"/>
  <c r="X187" i="42"/>
  <c r="X229" i="42"/>
  <c r="X460" i="42"/>
  <c r="X356" i="42"/>
  <c r="X26" i="42"/>
  <c r="X240" i="42"/>
  <c r="X331" i="42"/>
  <c r="X490" i="42"/>
  <c r="X265" i="42"/>
  <c r="X383" i="42"/>
  <c r="X192" i="42"/>
  <c r="AD15" i="42"/>
  <c r="X428" i="42"/>
  <c r="X246" i="42"/>
  <c r="X341" i="42"/>
  <c r="X164" i="42"/>
  <c r="X72" i="42"/>
  <c r="X31" i="42"/>
  <c r="X34" i="42"/>
  <c r="X293" i="42"/>
  <c r="AD206" i="42"/>
  <c r="X291" i="42"/>
  <c r="X437" i="42"/>
  <c r="X82" i="42"/>
  <c r="X410" i="42"/>
  <c r="AD143" i="42"/>
  <c r="AD278" i="42"/>
  <c r="AD51" i="42"/>
  <c r="AD345" i="42"/>
  <c r="AD398" i="42"/>
  <c r="AD241" i="42"/>
  <c r="AD40" i="42"/>
  <c r="AD118" i="42"/>
  <c r="AD313" i="42"/>
  <c r="AD246" i="42"/>
  <c r="AD435" i="42"/>
  <c r="AD25" i="42"/>
  <c r="AD139" i="42"/>
  <c r="AD325" i="42"/>
  <c r="AD333" i="42"/>
  <c r="AD299" i="42"/>
  <c r="AD55" i="42"/>
  <c r="AD329" i="42"/>
  <c r="AD149" i="42"/>
  <c r="AD467" i="42"/>
  <c r="AD267" i="42"/>
  <c r="AD426" i="42"/>
  <c r="AD486" i="42"/>
  <c r="AD244" i="42"/>
  <c r="AD477" i="42"/>
  <c r="AD331" i="42"/>
  <c r="AD119" i="42"/>
  <c r="AD147" i="42"/>
  <c r="AD423" i="42"/>
  <c r="AD184" i="42"/>
  <c r="AD357" i="42"/>
  <c r="AD381" i="42"/>
  <c r="AD495" i="42"/>
  <c r="AD483" i="42"/>
  <c r="AD494" i="42"/>
  <c r="AD412" i="42"/>
  <c r="AD245" i="42"/>
  <c r="AD16" i="42"/>
  <c r="AD12" i="42"/>
  <c r="AD399" i="42"/>
  <c r="AD106" i="42"/>
  <c r="AD402" i="42"/>
  <c r="AD458" i="42"/>
  <c r="AD437" i="42"/>
  <c r="AD372" i="42"/>
  <c r="AD306" i="42"/>
  <c r="AD242" i="42"/>
  <c r="AD274" i="42"/>
  <c r="AD19" i="42"/>
  <c r="AD350" i="42"/>
  <c r="AD382" i="42"/>
  <c r="AD287" i="42"/>
  <c r="AD113" i="42"/>
  <c r="AD450" i="42"/>
  <c r="AD234" i="42"/>
  <c r="AD167" i="42"/>
  <c r="AD49" i="42"/>
  <c r="AD195" i="42"/>
  <c r="AD279" i="42"/>
  <c r="AD226" i="42"/>
  <c r="AD305" i="42"/>
  <c r="AD307" i="42"/>
  <c r="AD73" i="42"/>
  <c r="AD150" i="42"/>
  <c r="AD424" i="42"/>
  <c r="AD472" i="42"/>
  <c r="AD344" i="42"/>
  <c r="AD459" i="42"/>
  <c r="AD148" i="42"/>
  <c r="AD181" i="42"/>
  <c r="AD174" i="42"/>
  <c r="AD436" i="42"/>
  <c r="AD59" i="42"/>
  <c r="AD445" i="42"/>
  <c r="AD247" i="42"/>
  <c r="AD24" i="42"/>
  <c r="AD384" i="42"/>
  <c r="AD88" i="42"/>
  <c r="AD487" i="42"/>
  <c r="AD470" i="42"/>
  <c r="AD386" i="42"/>
  <c r="AD262" i="42"/>
  <c r="AD335" i="42"/>
  <c r="AD395" i="42"/>
  <c r="AD275" i="42"/>
  <c r="AD122" i="42"/>
  <c r="AD193" i="42"/>
  <c r="AD91" i="42"/>
  <c r="AD111" i="42"/>
  <c r="AD225" i="42"/>
  <c r="AD340" i="42"/>
  <c r="AD61" i="42"/>
  <c r="AD185" i="42"/>
  <c r="AD26" i="42"/>
  <c r="AD489" i="42"/>
  <c r="AD465" i="42"/>
  <c r="AD374" i="42"/>
  <c r="AD308" i="42"/>
  <c r="AD285" i="42"/>
  <c r="AD197" i="42"/>
  <c r="AD254" i="42"/>
  <c r="AD92" i="42"/>
  <c r="AD255" i="42"/>
  <c r="AD256" i="42"/>
  <c r="AD239" i="42"/>
  <c r="AD68" i="42"/>
  <c r="AD431" i="42"/>
  <c r="AD14" i="42"/>
  <c r="AD97" i="42"/>
  <c r="AD117" i="42"/>
  <c r="AD169" i="42"/>
  <c r="AD74" i="42"/>
  <c r="AD30" i="42"/>
  <c r="AD34" i="42"/>
  <c r="AD151" i="42"/>
  <c r="AD231" i="42"/>
  <c r="AD348" i="42"/>
  <c r="AD263" i="42"/>
  <c r="AD408" i="42"/>
  <c r="AD105" i="42"/>
  <c r="AD37" i="42"/>
  <c r="AD317" i="42"/>
  <c r="AD440" i="42"/>
  <c r="AD351" i="42"/>
  <c r="AD64" i="42"/>
  <c r="AD120" i="42"/>
  <c r="AD303" i="42"/>
  <c r="AD203" i="42"/>
  <c r="AD176" i="42"/>
  <c r="AD336" i="42"/>
  <c r="AD198" i="42"/>
  <c r="AD114" i="42"/>
  <c r="AD442" i="42"/>
  <c r="AD66" i="42"/>
  <c r="AD132" i="42"/>
  <c r="AD391" i="42"/>
  <c r="AD438" i="42"/>
  <c r="AD476" i="42"/>
  <c r="AD448" i="42"/>
  <c r="AD488" i="42"/>
  <c r="AD53" i="42"/>
  <c r="AD490" i="42"/>
  <c r="AD449" i="42"/>
  <c r="AD332" i="42"/>
  <c r="AD338" i="42"/>
  <c r="AD219" i="42"/>
  <c r="AD211" i="42"/>
  <c r="AD415" i="42"/>
  <c r="AD166" i="42"/>
  <c r="AD378" i="42"/>
  <c r="AD107" i="42"/>
  <c r="AD388" i="42"/>
  <c r="AD89" i="42"/>
  <c r="AD464" i="42"/>
  <c r="AD419" i="42"/>
  <c r="AD214" i="42"/>
  <c r="AD272" i="42"/>
  <c r="AD316" i="42"/>
  <c r="AD404" i="42"/>
  <c r="AD284" i="42"/>
  <c r="AD27" i="42"/>
  <c r="AD282" i="42"/>
  <c r="AD422" i="42"/>
  <c r="AD491" i="42"/>
  <c r="AD390" i="42"/>
  <c r="AD71" i="42"/>
  <c r="AD406" i="42"/>
  <c r="AD50" i="42"/>
  <c r="AD451" i="42"/>
  <c r="AD229" i="42"/>
  <c r="AD249" i="42"/>
  <c r="AD98" i="42"/>
  <c r="AD77" i="42"/>
  <c r="AD277" i="42"/>
  <c r="AD36" i="42"/>
  <c r="AD385" i="42"/>
  <c r="AD96" i="42"/>
  <c r="AD253" i="42"/>
  <c r="AD85" i="42"/>
  <c r="AD154" i="42"/>
  <c r="AD121" i="42"/>
  <c r="AD276" i="42"/>
  <c r="AD112" i="42"/>
  <c r="AD192" i="42"/>
  <c r="AD43" i="42"/>
  <c r="AD309" i="42"/>
  <c r="AD228" i="42"/>
  <c r="AD362" i="42"/>
  <c r="AD212" i="42"/>
  <c r="AD155" i="42"/>
  <c r="AD420" i="42"/>
  <c r="AD235" i="42"/>
  <c r="AD482" i="42"/>
  <c r="AD205" i="42"/>
  <c r="AD410" i="42"/>
  <c r="AD327" i="42"/>
  <c r="AD140" i="42"/>
  <c r="AD44" i="42"/>
  <c r="AD209" i="42"/>
  <c r="AD460" i="42"/>
  <c r="AD434" i="42"/>
  <c r="AD304" i="42"/>
  <c r="AD145" i="42"/>
  <c r="AD296" i="42"/>
  <c r="AD301" i="42"/>
  <c r="AD337" i="42"/>
  <c r="AD191" i="42"/>
  <c r="AD207" i="42"/>
  <c r="AD258" i="42"/>
  <c r="AD310" i="42"/>
  <c r="AD38" i="42"/>
  <c r="AD210" i="42"/>
  <c r="AD173" i="42"/>
  <c r="AD233" i="42"/>
  <c r="AD312" i="42"/>
  <c r="AD342" i="42"/>
  <c r="AD444" i="42"/>
  <c r="AD369" i="42"/>
  <c r="AD443" i="42"/>
  <c r="AD218" i="42"/>
  <c r="AD164" i="42"/>
  <c r="AD455" i="42"/>
  <c r="AD251" i="42"/>
  <c r="AD141" i="42"/>
  <c r="AD70" i="42"/>
  <c r="AD289" i="42"/>
  <c r="AD315" i="42"/>
  <c r="AD290" i="42"/>
  <c r="AD76" i="42"/>
  <c r="AD497" i="42"/>
  <c r="AD131" i="42"/>
  <c r="AD379" i="42"/>
  <c r="AD86" i="42"/>
  <c r="AD260" i="42"/>
  <c r="AD180" i="42"/>
  <c r="AD405" i="42"/>
  <c r="AD183" i="42"/>
  <c r="AD421" i="42"/>
  <c r="AD170" i="42"/>
  <c r="AD500" i="42"/>
  <c r="AD138" i="42"/>
  <c r="AD334" i="42"/>
  <c r="AD158" i="42"/>
  <c r="AD496" i="42"/>
  <c r="AD21" i="42"/>
  <c r="AD355" i="42"/>
  <c r="AD46" i="42"/>
  <c r="AD94" i="42"/>
  <c r="AD108" i="42"/>
  <c r="AD81" i="42"/>
  <c r="AD318" i="42"/>
  <c r="AD146" i="42"/>
  <c r="AD380" i="42"/>
  <c r="AD432" i="42"/>
  <c r="AD110" i="42"/>
  <c r="AD480" i="42"/>
  <c r="AD171" i="42"/>
  <c r="AD265" i="42"/>
  <c r="AD353" i="42"/>
  <c r="AD179" i="42"/>
  <c r="AD462" i="42"/>
  <c r="AD60" i="42"/>
  <c r="Y19" i="42"/>
  <c r="Z11" i="42" s="1"/>
  <c r="AD144" i="42"/>
  <c r="AD479" i="42"/>
  <c r="AD321" i="42"/>
  <c r="AD161" i="42"/>
  <c r="AD102" i="42"/>
  <c r="AD273" i="42"/>
  <c r="AD324" i="42"/>
  <c r="AD302" i="42"/>
  <c r="AD160" i="42"/>
  <c r="AD42" i="42"/>
  <c r="AD295" i="42"/>
  <c r="AD136" i="42"/>
  <c r="AD281" i="42"/>
  <c r="AD58" i="42"/>
  <c r="AD29" i="42"/>
  <c r="AD383" i="42"/>
  <c r="AD471" i="42"/>
  <c r="AD261" i="42"/>
  <c r="AD257" i="42"/>
  <c r="AD376" i="42"/>
  <c r="AD69" i="42"/>
  <c r="AD264" i="42"/>
  <c r="AD54" i="42"/>
  <c r="AD223" i="42"/>
  <c r="AD130" i="42"/>
  <c r="AD407" i="42"/>
  <c r="AD47" i="42"/>
  <c r="AD17" i="42"/>
  <c r="AD126" i="42"/>
  <c r="AD230" i="42"/>
  <c r="AD427" i="42"/>
  <c r="AD162" i="42"/>
  <c r="AD22" i="42"/>
  <c r="AD454" i="42"/>
  <c r="AD125" i="42"/>
  <c r="AD418" i="42"/>
  <c r="AD363" i="42"/>
  <c r="AD447" i="42"/>
  <c r="AD377" i="42"/>
  <c r="AD292" i="42"/>
  <c r="AD87" i="42"/>
  <c r="AD243" i="42"/>
  <c r="AD13" i="42"/>
  <c r="AD396" i="42"/>
  <c r="AD433" i="42"/>
  <c r="AD165" i="42"/>
  <c r="AD95" i="42"/>
  <c r="AD341" i="42"/>
  <c r="AD354" i="42"/>
  <c r="AD291" i="42"/>
  <c r="AD411" i="42"/>
  <c r="AD439" i="42"/>
  <c r="AD83" i="42"/>
  <c r="AD484" i="42"/>
  <c r="AD57" i="42"/>
  <c r="AD322" i="42"/>
  <c r="AD204" i="42"/>
  <c r="AD39" i="42"/>
  <c r="AD248" i="42"/>
  <c r="AD269" i="42"/>
  <c r="AD232" i="42"/>
  <c r="AD201" i="42"/>
  <c r="AD67" i="42"/>
  <c r="AD79" i="42"/>
  <c r="AD469" i="42"/>
  <c r="AD75" i="42"/>
  <c r="AD266" i="42"/>
  <c r="AD123" i="42"/>
  <c r="AD178" i="42"/>
  <c r="AD220" i="42"/>
  <c r="AD485" i="42"/>
  <c r="AD387" i="42"/>
  <c r="AD240" i="42"/>
  <c r="AD80" i="42"/>
  <c r="AD93" i="42"/>
  <c r="AD417" i="42"/>
  <c r="AD177" i="42"/>
  <c r="AD365" i="42"/>
  <c r="AD414" i="42"/>
  <c r="AD457" i="42"/>
  <c r="AD224" i="42"/>
  <c r="AD453" i="42"/>
  <c r="AD156" i="42"/>
  <c r="AD236" i="42"/>
  <c r="AD360" i="42"/>
  <c r="AD200" i="42"/>
  <c r="AD401" i="42"/>
  <c r="AD293" i="42"/>
  <c r="AD252" i="42"/>
  <c r="AD473" i="42"/>
  <c r="AD283" i="42"/>
  <c r="AD297" i="42"/>
  <c r="AD18" i="42"/>
  <c r="AD84" i="42"/>
  <c r="AD238" i="42"/>
  <c r="AD280" i="42"/>
  <c r="AD389" i="42"/>
  <c r="AD100" i="42"/>
  <c r="AD364" i="42"/>
  <c r="AD72" i="42"/>
  <c r="AD217" i="42"/>
  <c r="AD45" i="42"/>
  <c r="AD237" i="42"/>
  <c r="AD20" i="42"/>
  <c r="AD101" i="42"/>
  <c r="AD413" i="42"/>
  <c r="AD90" i="42"/>
  <c r="AD52" i="42"/>
  <c r="AD56" i="42"/>
  <c r="AD492" i="42"/>
  <c r="AD286" i="42"/>
  <c r="AD319" i="42"/>
  <c r="AD268" i="42"/>
  <c r="AD397" i="42"/>
  <c r="AD135" i="42"/>
  <c r="AD392" i="42"/>
  <c r="AD32" i="42"/>
  <c r="AD361" i="42"/>
  <c r="AD28" i="42"/>
  <c r="AD216" i="42"/>
  <c r="AD428" i="42"/>
  <c r="AD356" i="42"/>
  <c r="AD134" i="42"/>
  <c r="AD159" i="42"/>
  <c r="AD330" i="42"/>
  <c r="AD270" i="42"/>
  <c r="AD446" i="42"/>
  <c r="AD409" i="42"/>
  <c r="AD31" i="42"/>
  <c r="AD137" i="42"/>
  <c r="AD163" i="42"/>
  <c r="AD456" i="42"/>
  <c r="AD157" i="42"/>
  <c r="AD359" i="42"/>
  <c r="AD196" i="42"/>
  <c r="AD259" i="42"/>
  <c r="AD371" i="42"/>
  <c r="AD227" i="42"/>
  <c r="AD441" i="42"/>
  <c r="AD475" i="42"/>
  <c r="AD416" i="42"/>
  <c r="AD109" i="42"/>
  <c r="AD103" i="42"/>
  <c r="AD78" i="42"/>
  <c r="AD115" i="42"/>
  <c r="AD188" i="42"/>
  <c r="AD202" i="42"/>
  <c r="AD370" i="42"/>
  <c r="AD368" i="42"/>
  <c r="AD425" i="42"/>
  <c r="AD99" i="42"/>
  <c r="AD393" i="42"/>
  <c r="AD271" i="42"/>
  <c r="AD314" i="42"/>
  <c r="AD129" i="42"/>
  <c r="AD358" i="42"/>
  <c r="AD400" i="42"/>
  <c r="AD128" i="42"/>
  <c r="AD468" i="42"/>
  <c r="AD429" i="42"/>
  <c r="AA28" i="42"/>
  <c r="AD300" i="42"/>
  <c r="AD189" i="42"/>
  <c r="AD347" i="42"/>
  <c r="AD175" i="42"/>
  <c r="AD394" i="42"/>
  <c r="AD142" i="42"/>
  <c r="AD116" i="42"/>
  <c r="AD311" i="42"/>
  <c r="AD168" i="42"/>
  <c r="AD215" i="42"/>
  <c r="AD194" i="42"/>
  <c r="AD23" i="42"/>
  <c r="AD352" i="42"/>
  <c r="AD498" i="42"/>
  <c r="AD182" i="42"/>
  <c r="AD366" i="42"/>
  <c r="AD250" i="42"/>
  <c r="AD323" i="42"/>
  <c r="AD127" i="42"/>
  <c r="AD320" i="42"/>
  <c r="AD172" i="42"/>
  <c r="AD339" i="42"/>
  <c r="AD65" i="42"/>
  <c r="AD375" i="42"/>
  <c r="AD133" i="42"/>
  <c r="AD343" i="42"/>
  <c r="AD41" i="42"/>
  <c r="AD62" i="42"/>
  <c r="AD186" i="42"/>
  <c r="AD452" i="42"/>
  <c r="AD48" i="42"/>
  <c r="AD190" i="42"/>
  <c r="AD35" i="42"/>
  <c r="AD187" i="42"/>
  <c r="AD466" i="42"/>
  <c r="AD33" i="42"/>
  <c r="AD199" i="42"/>
  <c r="AD349" i="42"/>
  <c r="Z9" i="42"/>
  <c r="AD294" i="42"/>
  <c r="AD63" i="42"/>
  <c r="AD213" i="42"/>
  <c r="AD461" i="42"/>
  <c r="AD222" i="42"/>
  <c r="AD403" i="42"/>
  <c r="AD478" i="42"/>
  <c r="AD152" i="42"/>
  <c r="AD367" i="42"/>
  <c r="AD346" i="42"/>
  <c r="AD104" i="42"/>
  <c r="AD124" i="42"/>
  <c r="AD499" i="42"/>
  <c r="AD153" i="42"/>
  <c r="AD82" i="42"/>
  <c r="AD430" i="42"/>
  <c r="AD326" i="42"/>
  <c r="AD328" i="42"/>
  <c r="AD208" i="42"/>
  <c r="AD221" i="42"/>
  <c r="AD493" i="42"/>
  <c r="AD474" i="42"/>
  <c r="DL65" i="55" l="1"/>
  <c r="DO65" i="55" s="1"/>
  <c r="DL84" i="55"/>
  <c r="DO84" i="55" s="1"/>
  <c r="DL62" i="55"/>
  <c r="DO62" i="55" s="1"/>
  <c r="DL68" i="55"/>
  <c r="DO68" i="55" s="1"/>
  <c r="DL79" i="55"/>
  <c r="DO79" i="55" s="1"/>
  <c r="DL69" i="55"/>
  <c r="DO69" i="55" s="1"/>
  <c r="DL59" i="55"/>
  <c r="DO59" i="55" s="1"/>
  <c r="DL70" i="55"/>
  <c r="DO70" i="55" s="1"/>
  <c r="DL85" i="55"/>
  <c r="DO85" i="55" s="1"/>
  <c r="DL78" i="55"/>
  <c r="DO78" i="55" s="1"/>
  <c r="DL66" i="55"/>
  <c r="DO66" i="55" s="1"/>
  <c r="DL61" i="55"/>
  <c r="DO61" i="55" s="1"/>
  <c r="DL74" i="55"/>
  <c r="DO74" i="55" s="1"/>
  <c r="DL53" i="55"/>
  <c r="DO53" i="55" s="1"/>
  <c r="DL83" i="55"/>
  <c r="DO83" i="55" s="1"/>
  <c r="DL82" i="55"/>
  <c r="DO82" i="55" s="1"/>
  <c r="DL80" i="55"/>
  <c r="DO80" i="55" s="1"/>
  <c r="DL55" i="55"/>
  <c r="DO55" i="55" s="1"/>
  <c r="DL64" i="55"/>
  <c r="DO64" i="55" s="1"/>
  <c r="DL81" i="55"/>
  <c r="DO81" i="55" s="1"/>
  <c r="DL60" i="55"/>
  <c r="DO60" i="55" s="1"/>
  <c r="FN9" i="55"/>
  <c r="FO9" i="55" s="1"/>
  <c r="CZ231" i="55"/>
  <c r="CY232" i="55"/>
  <c r="FK283" i="55"/>
  <c r="GV283" i="55" s="1"/>
  <c r="DK9" i="55"/>
  <c r="BU14" i="54" s="1" a="1"/>
  <c r="BU14" i="54" s="1"/>
  <c r="CY111" i="55"/>
  <c r="CZ110" i="55"/>
  <c r="DL9" i="55"/>
  <c r="DO9" i="55" s="1"/>
  <c r="DN9" i="55"/>
  <c r="FK31" i="55"/>
  <c r="GV31" i="55" s="1"/>
  <c r="CY291" i="55"/>
  <c r="CZ290" i="55"/>
  <c r="CZ60" i="55"/>
  <c r="CY61" i="55"/>
  <c r="X35" i="42"/>
  <c r="X245" i="42"/>
  <c r="X355" i="42"/>
  <c r="X281" i="42"/>
  <c r="X41" i="42"/>
  <c r="X200" i="42"/>
  <c r="X185" i="42"/>
  <c r="X476" i="42"/>
  <c r="X105" i="42"/>
  <c r="X272" i="42"/>
  <c r="X260" i="42"/>
  <c r="X348" i="42"/>
  <c r="X158" i="42"/>
  <c r="X370" i="42"/>
  <c r="X130" i="42"/>
  <c r="X133" i="42"/>
  <c r="X479" i="42"/>
  <c r="X426" i="42"/>
  <c r="X140" i="42"/>
  <c r="X154" i="42"/>
  <c r="X137" i="42"/>
  <c r="X145" i="42"/>
  <c r="X160" i="42"/>
  <c r="X408" i="42"/>
  <c r="X295" i="42"/>
  <c r="X422" i="42"/>
  <c r="X84" i="42"/>
  <c r="X436" i="42"/>
  <c r="X176" i="42"/>
  <c r="X89" i="42"/>
  <c r="X11" i="42"/>
  <c r="X411" i="42"/>
  <c r="X80" i="42"/>
  <c r="X184" i="42"/>
  <c r="X51" i="42"/>
  <c r="X493" i="42"/>
  <c r="X354" i="42"/>
  <c r="X66" i="42"/>
  <c r="X103" i="42"/>
  <c r="X168" i="42"/>
  <c r="X38" i="42"/>
  <c r="X62" i="42"/>
  <c r="X473" i="42"/>
  <c r="X427" i="42"/>
  <c r="DL86" i="55"/>
  <c r="DO86" i="55" s="1"/>
  <c r="DL76" i="55"/>
  <c r="DO76" i="55" s="1"/>
  <c r="X173" i="42"/>
  <c r="GX58" i="55"/>
  <c r="GY58" i="55" s="1"/>
  <c r="X425" i="42"/>
  <c r="X179" i="42"/>
  <c r="X147" i="42"/>
  <c r="X467" i="42"/>
  <c r="X453" i="42"/>
  <c r="X299" i="42"/>
  <c r="X483" i="42"/>
  <c r="X85" i="42"/>
  <c r="X203" i="42"/>
  <c r="X346" i="42"/>
  <c r="X21" i="42"/>
  <c r="X223" i="42"/>
  <c r="X207" i="42"/>
  <c r="X42" i="42"/>
  <c r="X382" i="42"/>
  <c r="X61" i="42"/>
  <c r="X196" i="42"/>
  <c r="X311" i="42"/>
  <c r="X45" i="42"/>
  <c r="X87" i="42"/>
  <c r="X297" i="42"/>
  <c r="X391" i="42"/>
  <c r="X230" i="42"/>
  <c r="X253" i="42"/>
  <c r="X49" i="42"/>
  <c r="X106" i="42"/>
  <c r="X339" i="42"/>
  <c r="X289" i="42"/>
  <c r="X17" i="42"/>
  <c r="X55" i="42"/>
  <c r="X352" i="42"/>
  <c r="X166" i="42"/>
  <c r="X258" i="42"/>
  <c r="X252" i="42"/>
  <c r="X396" i="42"/>
  <c r="X165" i="42"/>
  <c r="X169" i="42"/>
  <c r="X431" i="42"/>
  <c r="X178" i="42"/>
  <c r="X359" i="42"/>
  <c r="X487" i="42"/>
  <c r="X288" i="42"/>
  <c r="X270" i="42"/>
  <c r="X115" i="42"/>
  <c r="X442" i="42"/>
  <c r="DL57" i="55"/>
  <c r="DO57" i="55" s="1"/>
  <c r="DL72" i="55"/>
  <c r="DO72" i="55" s="1"/>
  <c r="X161" i="42"/>
  <c r="X409" i="42"/>
  <c r="X114" i="42"/>
  <c r="X118" i="42"/>
  <c r="X177" i="42"/>
  <c r="X111" i="42"/>
  <c r="X451" i="42"/>
  <c r="X97" i="42"/>
  <c r="X20" i="42"/>
  <c r="X226" i="42"/>
  <c r="X125" i="42"/>
  <c r="X86" i="42"/>
  <c r="X239" i="42"/>
  <c r="X153" i="42"/>
  <c r="X43" i="42"/>
  <c r="X290" i="42"/>
  <c r="X424" i="42"/>
  <c r="X93" i="42"/>
  <c r="X191" i="42"/>
  <c r="X306" i="42"/>
  <c r="X489" i="42"/>
  <c r="X124" i="42"/>
  <c r="X373" i="42"/>
  <c r="X186" i="42"/>
  <c r="X429" i="42"/>
  <c r="X471" i="42"/>
  <c r="X141" i="42"/>
  <c r="X394" i="42"/>
  <c r="X39" i="42"/>
  <c r="X324" i="42"/>
  <c r="X58" i="42"/>
  <c r="X129" i="42"/>
  <c r="X415" i="42"/>
  <c r="X211" i="42"/>
  <c r="X99" i="42"/>
  <c r="DL87" i="55"/>
  <c r="DO87" i="55" s="1"/>
  <c r="DL77" i="55"/>
  <c r="DO77" i="55" s="1"/>
  <c r="X472" i="42"/>
  <c r="GY126" i="55"/>
  <c r="X123" i="42"/>
  <c r="X155" i="42"/>
  <c r="X325" i="42"/>
  <c r="X402" i="42"/>
  <c r="X269" i="42"/>
  <c r="X108" i="42"/>
  <c r="X418" i="42"/>
  <c r="X204" i="42"/>
  <c r="X33" i="42"/>
  <c r="X366" i="42"/>
  <c r="X59" i="42"/>
  <c r="X390" i="42"/>
  <c r="X378" i="42"/>
  <c r="X135" i="42"/>
  <c r="X462" i="42"/>
  <c r="X24" i="42"/>
  <c r="X218" i="42"/>
  <c r="X445" i="42"/>
  <c r="X421" i="42"/>
  <c r="X206" i="42"/>
  <c r="X243" i="42"/>
  <c r="X340" i="42"/>
  <c r="X403" i="42"/>
  <c r="X143" i="42"/>
  <c r="X30" i="42"/>
  <c r="X464" i="42"/>
  <c r="X116" i="42"/>
  <c r="X363" i="42"/>
  <c r="X376" i="42"/>
  <c r="DL63" i="55"/>
  <c r="DO63" i="55" s="1"/>
  <c r="X321" i="42"/>
  <c r="EX20" i="55"/>
  <c r="DS20" i="55"/>
  <c r="GC36" i="55"/>
  <c r="EZ36" i="55"/>
  <c r="FA36" i="55"/>
  <c r="GB36" i="55" s="1"/>
  <c r="FC36" i="55"/>
  <c r="EW36" i="55"/>
  <c r="DS15" i="55"/>
  <c r="EX15" i="55"/>
  <c r="FC189" i="55"/>
  <c r="FA189" i="55"/>
  <c r="GB189" i="55" s="1"/>
  <c r="EW189" i="55"/>
  <c r="CZ38" i="55"/>
  <c r="DD38" i="55" s="1"/>
  <c r="CY39" i="55"/>
  <c r="FV336" i="55" a="1"/>
  <c r="FV336" i="55" s="1"/>
  <c r="FW336" i="55" s="1"/>
  <c r="FZ336" i="55" a="1"/>
  <c r="FZ336" i="55" s="1"/>
  <c r="GA336" i="55" s="1"/>
  <c r="FT336" i="55" a="1"/>
  <c r="FT336" i="55" s="1"/>
  <c r="FU336" i="55" s="1"/>
  <c r="FX336" i="55" a="1"/>
  <c r="FX336" i="55" s="1"/>
  <c r="FY336" i="55" s="1"/>
  <c r="FR336" i="55" a="1"/>
  <c r="FR336" i="55" s="1"/>
  <c r="FS336" i="55" s="1"/>
  <c r="FP336" i="55" a="1"/>
  <c r="FP336" i="55" s="1"/>
  <c r="FQ336" i="55" s="1"/>
  <c r="FK184" i="55"/>
  <c r="GV184" i="55" s="1"/>
  <c r="GX180" i="55"/>
  <c r="GY180" i="55" s="1"/>
  <c r="EX8" i="55"/>
  <c r="DS8" i="55"/>
  <c r="FT9" i="55" a="1"/>
  <c r="FT9" i="55" s="1"/>
  <c r="FU9" i="55" s="1"/>
  <c r="FV9" i="55" a="1"/>
  <c r="FV9" i="55" s="1"/>
  <c r="FW9" i="55" s="1"/>
  <c r="FZ9" i="55" a="1"/>
  <c r="FZ9" i="55" s="1"/>
  <c r="GA9" i="55" s="1"/>
  <c r="FR9" i="55" a="1"/>
  <c r="FR9" i="55" s="1"/>
  <c r="FS9" i="55" s="1"/>
  <c r="FX9" i="55" a="1"/>
  <c r="FX9" i="55" s="1"/>
  <c r="FY9" i="55" s="1"/>
  <c r="FP9" i="55" a="1"/>
  <c r="FP9" i="55" s="1"/>
  <c r="FQ9" i="55" s="1"/>
  <c r="DU25" i="55"/>
  <c r="BO25" i="55"/>
  <c r="BS25" i="55" s="1" a="1"/>
  <c r="BS25" i="55" s="1"/>
  <c r="EU160" i="55"/>
  <c r="GU160" i="55" s="1"/>
  <c r="EV160" i="55"/>
  <c r="ET161" i="55"/>
  <c r="GY279" i="55"/>
  <c r="GY39" i="55"/>
  <c r="GY230" i="55"/>
  <c r="EU348" i="55"/>
  <c r="GU348" i="55" s="1"/>
  <c r="EV348" i="55"/>
  <c r="ET349" i="55"/>
  <c r="EX19" i="55"/>
  <c r="DS19" i="55"/>
  <c r="FC347" i="55"/>
  <c r="FA347" i="55"/>
  <c r="GB347" i="55" s="1"/>
  <c r="EW347" i="55"/>
  <c r="GX134" i="55"/>
  <c r="GY134" i="55" s="1"/>
  <c r="GX285" i="55"/>
  <c r="GY285" i="55" s="1"/>
  <c r="GX273" i="55"/>
  <c r="GY273" i="55" s="1"/>
  <c r="FZ42" i="55" a="1"/>
  <c r="FZ42" i="55" s="1"/>
  <c r="GA42" i="55" s="1"/>
  <c r="FX42" i="55" a="1"/>
  <c r="FX42" i="55" s="1"/>
  <c r="FY42" i="55" s="1"/>
  <c r="FV42" i="55" a="1"/>
  <c r="FV42" i="55" s="1"/>
  <c r="FW42" i="55" s="1"/>
  <c r="FP42" i="55" a="1"/>
  <c r="FP42" i="55" s="1"/>
  <c r="FQ42" i="55" s="1"/>
  <c r="FR42" i="55" a="1"/>
  <c r="FR42" i="55" s="1"/>
  <c r="FS42" i="55" s="1"/>
  <c r="FT42" i="55" a="1"/>
  <c r="FT42" i="55" s="1"/>
  <c r="FU42" i="55" s="1"/>
  <c r="GX124" i="55"/>
  <c r="GY124" i="55" s="1"/>
  <c r="GX114" i="55"/>
  <c r="GY114" i="55" s="1"/>
  <c r="CY139" i="55"/>
  <c r="CZ138" i="55"/>
  <c r="GX185" i="55"/>
  <c r="GY185" i="55" s="1"/>
  <c r="FA159" i="55"/>
  <c r="GB159" i="55" s="1"/>
  <c r="FC159" i="55"/>
  <c r="EW159" i="55"/>
  <c r="EV9" i="55"/>
  <c r="EU9" i="55"/>
  <c r="GU9" i="55" s="1"/>
  <c r="ET10" i="55"/>
  <c r="GY343" i="55"/>
  <c r="GX292" i="55"/>
  <c r="GY292" i="55" s="1"/>
  <c r="EX12" i="55"/>
  <c r="DS12" i="55"/>
  <c r="GY205" i="55"/>
  <c r="GX162" i="55"/>
  <c r="GY162" i="55" s="1"/>
  <c r="GX220" i="55"/>
  <c r="GY220" i="55" s="1"/>
  <c r="FV41" i="55" a="1"/>
  <c r="FV41" i="55" s="1"/>
  <c r="FW41" i="55" s="1"/>
  <c r="FZ41" i="55" a="1"/>
  <c r="FZ41" i="55" s="1"/>
  <c r="GA41" i="55" s="1"/>
  <c r="FR41" i="55" a="1"/>
  <c r="FR41" i="55" s="1"/>
  <c r="FS41" i="55" s="1"/>
  <c r="FX41" i="55" a="1"/>
  <c r="FX41" i="55" s="1"/>
  <c r="FY41" i="55" s="1"/>
  <c r="FT41" i="55" a="1"/>
  <c r="FT41" i="55" s="1"/>
  <c r="FU41" i="55" s="1"/>
  <c r="FP41" i="55" a="1"/>
  <c r="FP41" i="55" s="1"/>
  <c r="FQ41" i="55" s="1"/>
  <c r="CY101" i="55"/>
  <c r="CZ101" i="55" s="1"/>
  <c r="CZ100" i="55"/>
  <c r="GX253" i="55"/>
  <c r="GY253" i="55" s="1"/>
  <c r="DZ15" i="55"/>
  <c r="DY16" i="55" s="1"/>
  <c r="DS10" i="55"/>
  <c r="EX10" i="55"/>
  <c r="EW8" i="55"/>
  <c r="FA8" i="55"/>
  <c r="GB8" i="55" s="1"/>
  <c r="FC8" i="55"/>
  <c r="FK224" i="55"/>
  <c r="GV224" i="55" s="1"/>
  <c r="EV323" i="55"/>
  <c r="EU323" i="55"/>
  <c r="GU323" i="55" s="1"/>
  <c r="ET324" i="55"/>
  <c r="FT51" i="55" a="1"/>
  <c r="FT51" i="55" s="1"/>
  <c r="FU51" i="55" s="1"/>
  <c r="FX51" i="55" a="1"/>
  <c r="FX51" i="55" s="1"/>
  <c r="FY51" i="55" s="1"/>
  <c r="FV51" i="55" a="1"/>
  <c r="FV51" i="55" s="1"/>
  <c r="FW51" i="55" s="1"/>
  <c r="FR51" i="55" a="1"/>
  <c r="FR51" i="55" s="1"/>
  <c r="FS51" i="55" s="1"/>
  <c r="FZ51" i="55" a="1"/>
  <c r="FZ51" i="55" s="1"/>
  <c r="GA51" i="55" s="1"/>
  <c r="FP51" i="55" a="1"/>
  <c r="FP51" i="55" s="1"/>
  <c r="FQ51" i="55" s="1"/>
  <c r="GX258" i="55"/>
  <c r="GY258" i="55" s="1"/>
  <c r="GX121" i="55"/>
  <c r="GY121" i="55" s="1"/>
  <c r="EU233" i="55"/>
  <c r="GU233" i="55" s="1"/>
  <c r="EV233" i="55"/>
  <c r="ET234" i="55"/>
  <c r="GY54" i="55"/>
  <c r="CZ192" i="55"/>
  <c r="CY193" i="55"/>
  <c r="EU108" i="55"/>
  <c r="GU108" i="55" s="1"/>
  <c r="EV108" i="55"/>
  <c r="ET109" i="55"/>
  <c r="GY296" i="55"/>
  <c r="GX152" i="55"/>
  <c r="GY152" i="55" s="1"/>
  <c r="FT43" i="55" a="1"/>
  <c r="FT43" i="55" s="1"/>
  <c r="FU43" i="55" s="1"/>
  <c r="FZ43" i="55" a="1"/>
  <c r="FZ43" i="55" s="1"/>
  <c r="GA43" i="55" s="1"/>
  <c r="FV43" i="55" a="1"/>
  <c r="FV43" i="55" s="1"/>
  <c r="FW43" i="55" s="1"/>
  <c r="FR43" i="55" a="1"/>
  <c r="FR43" i="55" s="1"/>
  <c r="FS43" i="55" s="1"/>
  <c r="FX43" i="55" a="1"/>
  <c r="FX43" i="55" s="1"/>
  <c r="FY43" i="55" s="1"/>
  <c r="FP43" i="55" a="1"/>
  <c r="FP43" i="55" s="1"/>
  <c r="FQ43" i="55" s="1"/>
  <c r="GY312" i="55"/>
  <c r="EW232" i="55"/>
  <c r="FC232" i="55"/>
  <c r="FA232" i="55"/>
  <c r="GB232" i="55" s="1"/>
  <c r="EX16" i="55"/>
  <c r="DS16" i="55"/>
  <c r="EX17" i="55"/>
  <c r="DS17" i="55"/>
  <c r="EM10" i="55"/>
  <c r="FN10" i="55"/>
  <c r="FO10" i="55" s="1"/>
  <c r="GY176" i="55"/>
  <c r="FA322" i="55"/>
  <c r="GB322" i="55" s="1"/>
  <c r="FC322" i="55"/>
  <c r="EW322" i="55"/>
  <c r="FV40" i="55" a="1"/>
  <c r="FV40" i="55" s="1"/>
  <c r="FW40" i="55" s="1"/>
  <c r="FZ40" i="55" a="1"/>
  <c r="FZ40" i="55" s="1"/>
  <c r="GA40" i="55" s="1"/>
  <c r="FX40" i="55" a="1"/>
  <c r="FX40" i="55" s="1"/>
  <c r="FY40" i="55" s="1"/>
  <c r="FT40" i="55" a="1"/>
  <c r="FT40" i="55" s="1"/>
  <c r="FU40" i="55" s="1"/>
  <c r="FR40" i="55" a="1"/>
  <c r="FR40" i="55" s="1"/>
  <c r="FS40" i="55" s="1"/>
  <c r="FP40" i="55" a="1"/>
  <c r="FP40" i="55" s="1"/>
  <c r="FQ40" i="55" s="1"/>
  <c r="GY98" i="55"/>
  <c r="GY295" i="55"/>
  <c r="FF37" i="55"/>
  <c r="FD37" i="55"/>
  <c r="FG37" i="55"/>
  <c r="FE37" i="55"/>
  <c r="FI37" i="55" s="1"/>
  <c r="DG37" i="55"/>
  <c r="DH37" i="55" s="1"/>
  <c r="DJ37" i="55" s="1" a="1"/>
  <c r="DJ37" i="55" s="1"/>
  <c r="EL37" i="55"/>
  <c r="EM37" i="55" s="1"/>
  <c r="EK38" i="55"/>
  <c r="FC107" i="55"/>
  <c r="EW107" i="55"/>
  <c r="FA107" i="55"/>
  <c r="GB107" i="55" s="1"/>
  <c r="DL96" i="55"/>
  <c r="DO96" i="55" s="1"/>
  <c r="DL92" i="55"/>
  <c r="DO92" i="55" s="1"/>
  <c r="DL90" i="55"/>
  <c r="DO90" i="55" s="1"/>
  <c r="DL95" i="55"/>
  <c r="DO95" i="55" s="1"/>
  <c r="DL97" i="55"/>
  <c r="DO97" i="55" s="1"/>
  <c r="DL100" i="55"/>
  <c r="DO100" i="55" s="1"/>
  <c r="DL89" i="55"/>
  <c r="DO89" i="55" s="1"/>
  <c r="DL93" i="55"/>
  <c r="DO93" i="55" s="1"/>
  <c r="DL101" i="55"/>
  <c r="DO101" i="55" s="1"/>
  <c r="DL99" i="55"/>
  <c r="DO99" i="55" s="1"/>
  <c r="DL94" i="55"/>
  <c r="DO94" i="55" s="1"/>
  <c r="DL91" i="55"/>
  <c r="DO91" i="55" s="1"/>
  <c r="DL98" i="55"/>
  <c r="DO98" i="55" s="1"/>
  <c r="DL88" i="55"/>
  <c r="DO88" i="55" s="1"/>
  <c r="FG11" i="55"/>
  <c r="FE11" i="55"/>
  <c r="FI11" i="55" s="1"/>
  <c r="FD11" i="55"/>
  <c r="FF11" i="55"/>
  <c r="EL11" i="55"/>
  <c r="DG11" i="55"/>
  <c r="DH11" i="55" s="1"/>
  <c r="DJ11" i="55" s="1" a="1"/>
  <c r="DJ11" i="55" s="1"/>
  <c r="EK12" i="55"/>
  <c r="GY310" i="55"/>
  <c r="GX293" i="55"/>
  <c r="GY293" i="55" s="1"/>
  <c r="GX176" i="55"/>
  <c r="GX84" i="55"/>
  <c r="GY84" i="55" s="1"/>
  <c r="FV48" i="55" a="1"/>
  <c r="FV48" i="55" s="1"/>
  <c r="FW48" i="55" s="1"/>
  <c r="FX48" i="55" a="1"/>
  <c r="FX48" i="55" s="1"/>
  <c r="FY48" i="55" s="1"/>
  <c r="FZ48" i="55" a="1"/>
  <c r="FZ48" i="55" s="1"/>
  <c r="GA48" i="55" s="1"/>
  <c r="FR48" i="55" a="1"/>
  <c r="FR48" i="55" s="1"/>
  <c r="FS48" i="55" s="1"/>
  <c r="FT48" i="55" a="1"/>
  <c r="FT48" i="55" s="1"/>
  <c r="FU48" i="55" s="1"/>
  <c r="FP48" i="55" a="1"/>
  <c r="FP48" i="55" s="1"/>
  <c r="FQ48" i="55" s="1"/>
  <c r="CZ161" i="55"/>
  <c r="CY162" i="55"/>
  <c r="GX340" i="55"/>
  <c r="GY340" i="55" s="1"/>
  <c r="DN36" i="55"/>
  <c r="DK36" i="55"/>
  <c r="GY138" i="55"/>
  <c r="DK10" i="55"/>
  <c r="BU16" i="54" s="1" a="1"/>
  <c r="BU16" i="54" s="1"/>
  <c r="DN10" i="55"/>
  <c r="DL10" i="55"/>
  <c r="DO10" i="55" s="1"/>
  <c r="AE16" i="54" a="1"/>
  <c r="AE16" i="54" s="1"/>
  <c r="EV136" i="55"/>
  <c r="EU136" i="55"/>
  <c r="GU136" i="55" s="1"/>
  <c r="ET137" i="55"/>
  <c r="FX33" i="55" a="1"/>
  <c r="FX33" i="55" s="1"/>
  <c r="FY33" i="55" s="1"/>
  <c r="FZ33" i="55" a="1"/>
  <c r="FZ33" i="55" s="1"/>
  <c r="GA33" i="55" s="1"/>
  <c r="FV33" i="55" a="1"/>
  <c r="FV33" i="55" s="1"/>
  <c r="FW33" i="55" s="1"/>
  <c r="FT33" i="55" a="1"/>
  <c r="FT33" i="55" s="1"/>
  <c r="FU33" i="55" s="1"/>
  <c r="FR33" i="55" a="1"/>
  <c r="FR33" i="55" s="1"/>
  <c r="FS33" i="55" s="1"/>
  <c r="FP33" i="55" a="1"/>
  <c r="FP33" i="55" s="1"/>
  <c r="FQ33" i="55" s="1"/>
  <c r="GY260" i="55"/>
  <c r="FZ44" i="55" a="1"/>
  <c r="FZ44" i="55" s="1"/>
  <c r="GA44" i="55" s="1"/>
  <c r="FX44" i="55" a="1"/>
  <c r="FX44" i="55" s="1"/>
  <c r="FY44" i="55" s="1"/>
  <c r="FV44" i="55" a="1"/>
  <c r="FV44" i="55" s="1"/>
  <c r="FW44" i="55" s="1"/>
  <c r="FT44" i="55" a="1"/>
  <c r="FT44" i="55" s="1"/>
  <c r="FU44" i="55" s="1"/>
  <c r="FR44" i="55" a="1"/>
  <c r="FR44" i="55" s="1"/>
  <c r="FS44" i="55" s="1"/>
  <c r="FP44" i="55" a="1"/>
  <c r="FP44" i="55" s="1"/>
  <c r="FQ44" i="55" s="1"/>
  <c r="GB7" i="55"/>
  <c r="GX138" i="55"/>
  <c r="DS9" i="55"/>
  <c r="EX9" i="55"/>
  <c r="FV88" i="55" a="1"/>
  <c r="FV88" i="55" s="1"/>
  <c r="FW88" i="55" s="1"/>
  <c r="FT88" i="55" a="1"/>
  <c r="FT88" i="55" s="1"/>
  <c r="FU88" i="55" s="1"/>
  <c r="FZ88" i="55" a="1"/>
  <c r="FZ88" i="55" s="1"/>
  <c r="GA88" i="55" s="1"/>
  <c r="FX88" i="55" a="1"/>
  <c r="FX88" i="55" s="1"/>
  <c r="FY88" i="55" s="1"/>
  <c r="FR88" i="55" a="1"/>
  <c r="FR88" i="55" s="1"/>
  <c r="FS88" i="55" s="1"/>
  <c r="FP88" i="55" a="1"/>
  <c r="FP88" i="55" s="1"/>
  <c r="FQ88" i="55" s="1"/>
  <c r="FZ47" i="55" a="1"/>
  <c r="FZ47" i="55" s="1"/>
  <c r="GA47" i="55" s="1"/>
  <c r="FV47" i="55" a="1"/>
  <c r="FV47" i="55" s="1"/>
  <c r="FW47" i="55" s="1"/>
  <c r="FT47" i="55" a="1"/>
  <c r="FT47" i="55" s="1"/>
  <c r="FU47" i="55" s="1"/>
  <c r="FR47" i="55" a="1"/>
  <c r="FR47" i="55" s="1"/>
  <c r="FS47" i="55" s="1"/>
  <c r="FP47" i="55" a="1"/>
  <c r="FP47" i="55" s="1"/>
  <c r="FQ47" i="55" s="1"/>
  <c r="FX47" i="55" a="1"/>
  <c r="FX47" i="55" s="1"/>
  <c r="FY47" i="55" s="1"/>
  <c r="GX164" i="55"/>
  <c r="GY164" i="55" s="1"/>
  <c r="CH13" i="55"/>
  <c r="BE18" i="54" a="1"/>
  <c r="BE18" i="54" s="1"/>
  <c r="EV289" i="55"/>
  <c r="EU289" i="55"/>
  <c r="GU289" i="55" s="1"/>
  <c r="ET290" i="55"/>
  <c r="FC135" i="55"/>
  <c r="FA135" i="55"/>
  <c r="GB135" i="55" s="1"/>
  <c r="EW135" i="55"/>
  <c r="GX122" i="55"/>
  <c r="GY122" i="55" s="1"/>
  <c r="GX257" i="55"/>
  <c r="GY257" i="55" s="1"/>
  <c r="FK154" i="55"/>
  <c r="GV154" i="55" s="1"/>
  <c r="GX321" i="55"/>
  <c r="GY321" i="55" s="1"/>
  <c r="FT46" i="55" a="1"/>
  <c r="FT46" i="55" s="1"/>
  <c r="FU46" i="55" s="1"/>
  <c r="FZ46" i="55" a="1"/>
  <c r="FZ46" i="55" s="1"/>
  <c r="GA46" i="55" s="1"/>
  <c r="FX46" i="55" a="1"/>
  <c r="FX46" i="55" s="1"/>
  <c r="FY46" i="55" s="1"/>
  <c r="FR46" i="55" a="1"/>
  <c r="FR46" i="55" s="1"/>
  <c r="FS46" i="55" s="1"/>
  <c r="FP46" i="55" a="1"/>
  <c r="FP46" i="55" s="1"/>
  <c r="FQ46" i="55" s="1"/>
  <c r="FV46" i="55" a="1"/>
  <c r="FV46" i="55" s="1"/>
  <c r="FW46" i="55" s="1"/>
  <c r="GY294" i="55"/>
  <c r="GX268" i="55"/>
  <c r="GY268" i="55" s="1"/>
  <c r="FZ129" i="55" a="1"/>
  <c r="FZ129" i="55" s="1"/>
  <c r="GA129" i="55" s="1"/>
  <c r="FT129" i="55" a="1"/>
  <c r="FT129" i="55" s="1"/>
  <c r="FU129" i="55" s="1"/>
  <c r="FR129" i="55" a="1"/>
  <c r="FR129" i="55" s="1"/>
  <c r="FS129" i="55" s="1"/>
  <c r="FX129" i="55" a="1"/>
  <c r="FX129" i="55" s="1"/>
  <c r="FY129" i="55" s="1"/>
  <c r="FP129" i="55" a="1"/>
  <c r="FP129" i="55" s="1"/>
  <c r="FQ129" i="55" s="1"/>
  <c r="FV129" i="55" a="1"/>
  <c r="FV129" i="55" s="1"/>
  <c r="FW129" i="55" s="1"/>
  <c r="EU61" i="55"/>
  <c r="GU61" i="55" s="1"/>
  <c r="EV61" i="55"/>
  <c r="ET62" i="55"/>
  <c r="EX14" i="55"/>
  <c r="DS14" i="55"/>
  <c r="FX52" i="55" a="1"/>
  <c r="FX52" i="55" s="1"/>
  <c r="FY52" i="55" s="1"/>
  <c r="FZ52" i="55" a="1"/>
  <c r="FZ52" i="55" s="1"/>
  <c r="GA52" i="55" s="1"/>
  <c r="FV52" i="55" a="1"/>
  <c r="FV52" i="55" s="1"/>
  <c r="FW52" i="55" s="1"/>
  <c r="FR52" i="55" a="1"/>
  <c r="FR52" i="55" s="1"/>
  <c r="FS52" i="55" s="1"/>
  <c r="FT52" i="55" a="1"/>
  <c r="FT52" i="55" s="1"/>
  <c r="FU52" i="55" s="1"/>
  <c r="FP52" i="55" a="1"/>
  <c r="FP52" i="55" s="1"/>
  <c r="FQ52" i="55" s="1"/>
  <c r="GX148" i="55"/>
  <c r="GY148" i="55" s="1"/>
  <c r="GX218" i="55"/>
  <c r="GY218" i="55" s="1"/>
  <c r="FZ49" i="55" a="1"/>
  <c r="FZ49" i="55" s="1"/>
  <c r="GA49" i="55" s="1"/>
  <c r="FX49" i="55" a="1"/>
  <c r="FX49" i="55" s="1"/>
  <c r="FY49" i="55" s="1"/>
  <c r="FT49" i="55" a="1"/>
  <c r="FT49" i="55" s="1"/>
  <c r="FU49" i="55" s="1"/>
  <c r="FR49" i="55" a="1"/>
  <c r="FR49" i="55" s="1"/>
  <c r="FS49" i="55" s="1"/>
  <c r="FV49" i="55" a="1"/>
  <c r="FV49" i="55" s="1"/>
  <c r="FW49" i="55" s="1"/>
  <c r="FP49" i="55" a="1"/>
  <c r="FP49" i="55" s="1"/>
  <c r="FQ49" i="55" s="1"/>
  <c r="GX136" i="55"/>
  <c r="GY136" i="55" s="1"/>
  <c r="EX5" i="55"/>
  <c r="DS5" i="55"/>
  <c r="EU94" i="55"/>
  <c r="GU94" i="55" s="1"/>
  <c r="EV94" i="55"/>
  <c r="ET95" i="55"/>
  <c r="FA288" i="55"/>
  <c r="GB288" i="55" s="1"/>
  <c r="FC288" i="55"/>
  <c r="EW288" i="55"/>
  <c r="GY246" i="55"/>
  <c r="GX305" i="55"/>
  <c r="GY305" i="55" s="1"/>
  <c r="EV37" i="55"/>
  <c r="EU37" i="55"/>
  <c r="GU37" i="55" s="1"/>
  <c r="ET38" i="55"/>
  <c r="GY199" i="55"/>
  <c r="EW60" i="55"/>
  <c r="FA60" i="55"/>
  <c r="GB60" i="55" s="1"/>
  <c r="FC60" i="55"/>
  <c r="GX209" i="55"/>
  <c r="CY350" i="55"/>
  <c r="CZ349" i="55"/>
  <c r="GX71" i="55"/>
  <c r="FZ45" i="55" a="1"/>
  <c r="FZ45" i="55" s="1"/>
  <c r="GA45" i="55" s="1"/>
  <c r="FT45" i="55" a="1"/>
  <c r="FT45" i="55" s="1"/>
  <c r="FU45" i="55" s="1"/>
  <c r="FV45" i="55" a="1"/>
  <c r="FV45" i="55" s="1"/>
  <c r="FW45" i="55" s="1"/>
  <c r="FX45" i="55" a="1"/>
  <c r="FX45" i="55" s="1"/>
  <c r="FY45" i="55" s="1"/>
  <c r="FR45" i="55" a="1"/>
  <c r="FR45" i="55" s="1"/>
  <c r="FS45" i="55" s="1"/>
  <c r="FP45" i="55" a="1"/>
  <c r="FP45" i="55" s="1"/>
  <c r="FQ45" i="55" s="1"/>
  <c r="GY326" i="55"/>
  <c r="EX18" i="55"/>
  <c r="DS18" i="55"/>
  <c r="EW93" i="55"/>
  <c r="FA93" i="55"/>
  <c r="GB93" i="55" s="1"/>
  <c r="FC93" i="55"/>
  <c r="GX199" i="55"/>
  <c r="GY209" i="55"/>
  <c r="EV190" i="55"/>
  <c r="EU190" i="55"/>
  <c r="GU190" i="55" s="1"/>
  <c r="ET191" i="55"/>
  <c r="GX52" i="55"/>
  <c r="GY52" i="55" s="1"/>
  <c r="GY71" i="55"/>
  <c r="FX39" i="55" a="1"/>
  <c r="FX39" i="55" s="1"/>
  <c r="FY39" i="55" s="1"/>
  <c r="FV39" i="55" a="1"/>
  <c r="FV39" i="55" s="1"/>
  <c r="FW39" i="55" s="1"/>
  <c r="FZ39" i="55" a="1"/>
  <c r="FZ39" i="55" s="1"/>
  <c r="GA39" i="55" s="1"/>
  <c r="FT39" i="55" a="1"/>
  <c r="FT39" i="55" s="1"/>
  <c r="FU39" i="55" s="1"/>
  <c r="FP39" i="55" a="1"/>
  <c r="FP39" i="55" s="1"/>
  <c r="FQ39" i="55" s="1"/>
  <c r="FR39" i="55" a="1"/>
  <c r="FR39" i="55" s="1"/>
  <c r="FS39" i="55" s="1"/>
  <c r="GY158" i="55"/>
  <c r="Y20" i="42"/>
  <c r="AA29" i="42"/>
  <c r="BW13" i="54" l="1"/>
  <c r="CZ232" i="55"/>
  <c r="CY233" i="55"/>
  <c r="CY62" i="55"/>
  <c r="CZ61" i="55"/>
  <c r="CY292" i="55"/>
  <c r="CZ291" i="55"/>
  <c r="CY112" i="55"/>
  <c r="CZ111" i="55"/>
  <c r="GR8" i="55"/>
  <c r="GR5" i="55"/>
  <c r="GX5" i="55" s="1"/>
  <c r="EY5" i="55"/>
  <c r="EZ5" i="55"/>
  <c r="EY6" i="55"/>
  <c r="EM11" i="55"/>
  <c r="GR14" i="55"/>
  <c r="GR19" i="55"/>
  <c r="DL151" i="55"/>
  <c r="DO151" i="55" s="1"/>
  <c r="DL148" i="55"/>
  <c r="DO148" i="55" s="1"/>
  <c r="DL143" i="55"/>
  <c r="DO143" i="55" s="1"/>
  <c r="DL141" i="55"/>
  <c r="DO141" i="55" s="1"/>
  <c r="DL139" i="55"/>
  <c r="DO139" i="55" s="1"/>
  <c r="DL142" i="55"/>
  <c r="DO142" i="55" s="1"/>
  <c r="DL150" i="55"/>
  <c r="DO150" i="55" s="1"/>
  <c r="DL137" i="55"/>
  <c r="DO137" i="55" s="1"/>
  <c r="DL133" i="55"/>
  <c r="DO133" i="55" s="1"/>
  <c r="DL138" i="55"/>
  <c r="DO138" i="55" s="1"/>
  <c r="DL147" i="55"/>
  <c r="DO147" i="55" s="1"/>
  <c r="DL144" i="55"/>
  <c r="DO144" i="55" s="1"/>
  <c r="DL140" i="55"/>
  <c r="DO140" i="55" s="1"/>
  <c r="DL135" i="55"/>
  <c r="DO135" i="55" s="1"/>
  <c r="DL134" i="55"/>
  <c r="DO134" i="55" s="1"/>
  <c r="DL149" i="55"/>
  <c r="DO149" i="55" s="1"/>
  <c r="DL132" i="55"/>
  <c r="DO132" i="55" s="1"/>
  <c r="DL131" i="55"/>
  <c r="DO131" i="55" s="1"/>
  <c r="DL153" i="55"/>
  <c r="DO153" i="55" s="1"/>
  <c r="DL145" i="55"/>
  <c r="DO145" i="55" s="1"/>
  <c r="DL152" i="55"/>
  <c r="DO152" i="55" s="1"/>
  <c r="DL136" i="55"/>
  <c r="DO136" i="55" s="1"/>
  <c r="DL146" i="55"/>
  <c r="DO146" i="55" s="1"/>
  <c r="DL130" i="55"/>
  <c r="DO130" i="55" s="1"/>
  <c r="EZ8" i="55"/>
  <c r="DK37" i="55"/>
  <c r="DN37" i="55"/>
  <c r="EV234" i="55"/>
  <c r="EU234" i="55"/>
  <c r="GU234" i="55" s="1"/>
  <c r="ET235" i="55"/>
  <c r="GX12" i="55"/>
  <c r="GR12" i="55"/>
  <c r="CZ139" i="55"/>
  <c r="CY140" i="55"/>
  <c r="FC233" i="55"/>
  <c r="FA233" i="55"/>
  <c r="GB233" i="55" s="1"/>
  <c r="EW233" i="55"/>
  <c r="CZ350" i="55"/>
  <c r="CY351" i="55"/>
  <c r="GR20" i="55"/>
  <c r="GX20" i="55" s="1"/>
  <c r="EW136" i="55"/>
  <c r="FC136" i="55"/>
  <c r="FA136" i="55"/>
  <c r="GB136" i="55" s="1"/>
  <c r="CJ25" i="55"/>
  <c r="BO11" i="54" s="1" a="1"/>
  <c r="BO11" i="54" s="1"/>
  <c r="CM25" i="55"/>
  <c r="BU25" i="55"/>
  <c r="CK25" i="55"/>
  <c r="CL25" i="55" s="1"/>
  <c r="FH25" i="55" s="1"/>
  <c r="FJ25" i="55" s="1"/>
  <c r="BT25" i="55"/>
  <c r="CI25" i="55"/>
  <c r="BK11" i="54" s="1" a="1"/>
  <c r="BK11" i="54" s="1"/>
  <c r="EB25" i="55"/>
  <c r="GC37" i="55"/>
  <c r="EZ37" i="55"/>
  <c r="FA37" i="55"/>
  <c r="GB37" i="55" s="1"/>
  <c r="EW37" i="55"/>
  <c r="FC37" i="55"/>
  <c r="EV290" i="55"/>
  <c r="EU290" i="55"/>
  <c r="GU290" i="55" s="1"/>
  <c r="ET291" i="55"/>
  <c r="BW14" i="54"/>
  <c r="FZ10" i="55" a="1"/>
  <c r="FZ10" i="55" s="1"/>
  <c r="GA10" i="55" s="1"/>
  <c r="FV10" i="55" a="1"/>
  <c r="FV10" i="55" s="1"/>
  <c r="FW10" i="55" s="1"/>
  <c r="FX10" i="55" a="1"/>
  <c r="FX10" i="55" s="1"/>
  <c r="FY10" i="55" s="1"/>
  <c r="FR10" i="55" a="1"/>
  <c r="FR10" i="55" s="1"/>
  <c r="FS10" i="55" s="1"/>
  <c r="FP10" i="55" a="1"/>
  <c r="FP10" i="55" s="1"/>
  <c r="FQ10" i="55" s="1"/>
  <c r="FT10" i="55" a="1"/>
  <c r="FT10" i="55" s="1"/>
  <c r="FU10" i="55" s="1"/>
  <c r="GR18" i="55"/>
  <c r="GX18" i="55" s="1"/>
  <c r="GY18" i="55" s="1"/>
  <c r="EV38" i="55"/>
  <c r="EU38" i="55"/>
  <c r="GU38" i="55" s="1"/>
  <c r="ET39" i="55"/>
  <c r="EU62" i="55"/>
  <c r="GU62" i="55" s="1"/>
  <c r="EV62" i="55"/>
  <c r="ET63" i="55"/>
  <c r="FC108" i="55"/>
  <c r="EW108" i="55"/>
  <c r="FA108" i="55"/>
  <c r="GB108" i="55" s="1"/>
  <c r="GR16" i="55"/>
  <c r="GX16" i="55" s="1"/>
  <c r="EU109" i="55"/>
  <c r="GU109" i="55" s="1"/>
  <c r="EV109" i="55"/>
  <c r="ET110" i="55"/>
  <c r="CZ193" i="55"/>
  <c r="CY194" i="55"/>
  <c r="FF38" i="55"/>
  <c r="FD38" i="55"/>
  <c r="FG38" i="55"/>
  <c r="FE38" i="55"/>
  <c r="FI38" i="55" s="1"/>
  <c r="DG38" i="55"/>
  <c r="DH38" i="55" s="1"/>
  <c r="DJ38" i="55" s="1" a="1"/>
  <c r="DJ38" i="55" s="1"/>
  <c r="EL38" i="55"/>
  <c r="EM38" i="55" s="1"/>
  <c r="EK39" i="55"/>
  <c r="FA61" i="55"/>
  <c r="GB61" i="55" s="1"/>
  <c r="FC61" i="55"/>
  <c r="EW61" i="55"/>
  <c r="FC289" i="55"/>
  <c r="FA289" i="55"/>
  <c r="GB289" i="55" s="1"/>
  <c r="EW289" i="55"/>
  <c r="GR9" i="55"/>
  <c r="GX9" i="55" s="1"/>
  <c r="GY9" i="55" s="1"/>
  <c r="GR10" i="55"/>
  <c r="GX10" i="55" s="1"/>
  <c r="EU161" i="55"/>
  <c r="GU161" i="55" s="1"/>
  <c r="EV161" i="55"/>
  <c r="ET162" i="55"/>
  <c r="EX13" i="55"/>
  <c r="DS13" i="55"/>
  <c r="CY163" i="55"/>
  <c r="CZ162" i="55"/>
  <c r="EU349" i="55"/>
  <c r="GU349" i="55" s="1"/>
  <c r="EV349" i="55"/>
  <c r="ET350" i="55"/>
  <c r="EV10" i="55"/>
  <c r="EU10" i="55"/>
  <c r="GU10" i="55" s="1"/>
  <c r="ET11" i="55"/>
  <c r="FN11" i="55" s="1"/>
  <c r="FO11" i="55" s="1"/>
  <c r="FC348" i="55"/>
  <c r="EW348" i="55"/>
  <c r="FA348" i="55"/>
  <c r="GB348" i="55" s="1"/>
  <c r="GR17" i="55"/>
  <c r="FA323" i="55"/>
  <c r="GB323" i="55" s="1"/>
  <c r="FC323" i="55"/>
  <c r="EW323" i="55"/>
  <c r="CZ39" i="55"/>
  <c r="DD39" i="55" s="1"/>
  <c r="CY40" i="55"/>
  <c r="FA160" i="55"/>
  <c r="GB160" i="55" s="1"/>
  <c r="EW160" i="55"/>
  <c r="FC160" i="55"/>
  <c r="GR15" i="55"/>
  <c r="EV191" i="55"/>
  <c r="EU191" i="55"/>
  <c r="GU191" i="55" s="1"/>
  <c r="ET192" i="55"/>
  <c r="EV95" i="55"/>
  <c r="EU95" i="55"/>
  <c r="GU95" i="55" s="1"/>
  <c r="ET96" i="55"/>
  <c r="FA94" i="55"/>
  <c r="GB94" i="55" s="1"/>
  <c r="EW94" i="55"/>
  <c r="FC94" i="55"/>
  <c r="FG12" i="55"/>
  <c r="FE12" i="55"/>
  <c r="FI12" i="55" s="1"/>
  <c r="FF12" i="55"/>
  <c r="FD12" i="55"/>
  <c r="DG12" i="55"/>
  <c r="DH12" i="55" s="1"/>
  <c r="DJ12" i="55" s="1" a="1"/>
  <c r="DJ12" i="55" s="1"/>
  <c r="EL12" i="55"/>
  <c r="EK13" i="55"/>
  <c r="DZ16" i="55"/>
  <c r="DY17" i="55" s="1"/>
  <c r="GC9" i="55"/>
  <c r="EW9" i="55"/>
  <c r="FA9" i="55"/>
  <c r="GB9" i="55" s="1"/>
  <c r="EZ9" i="55"/>
  <c r="FC9" i="55"/>
  <c r="EV324" i="55"/>
  <c r="EU324" i="55"/>
  <c r="GU324" i="55" s="1"/>
  <c r="FA190" i="55"/>
  <c r="GB190" i="55" s="1"/>
  <c r="FC190" i="55"/>
  <c r="EW190" i="55"/>
  <c r="EU137" i="55"/>
  <c r="GU137" i="55" s="1"/>
  <c r="EV137" i="55"/>
  <c r="ET138" i="55"/>
  <c r="DL11" i="55"/>
  <c r="DO11" i="55" s="1"/>
  <c r="DK11" i="55"/>
  <c r="DN11" i="55"/>
  <c r="AA30" i="42"/>
  <c r="AA31" i="42" s="1"/>
  <c r="AA32" i="42" s="1"/>
  <c r="AB128" i="42"/>
  <c r="Y21" i="42"/>
  <c r="Z105" i="42" s="1"/>
  <c r="CB25" i="55" l="1"/>
  <c r="CC25" i="55" s="1"/>
  <c r="GY10" i="55"/>
  <c r="CY113" i="55"/>
  <c r="CZ112" i="55"/>
  <c r="CY293" i="55"/>
  <c r="CZ292" i="55"/>
  <c r="CY63" i="55"/>
  <c r="CZ62" i="55"/>
  <c r="GY12" i="55"/>
  <c r="CY234" i="55"/>
  <c r="CZ233" i="55"/>
  <c r="GY16" i="55"/>
  <c r="FT11" i="55" a="1"/>
  <c r="FT11" i="55" s="1"/>
  <c r="FU11" i="55" s="1"/>
  <c r="FZ11" i="55" a="1"/>
  <c r="FZ11" i="55" s="1"/>
  <c r="GA11" i="55" s="1"/>
  <c r="FV11" i="55" a="1"/>
  <c r="FV11" i="55" s="1"/>
  <c r="FW11" i="55" s="1"/>
  <c r="FR11" i="55" a="1"/>
  <c r="FR11" i="55" s="1"/>
  <c r="FS11" i="55" s="1"/>
  <c r="FX11" i="55" a="1"/>
  <c r="FX11" i="55" s="1"/>
  <c r="FY11" i="55" s="1"/>
  <c r="FP11" i="55" a="1"/>
  <c r="FP11" i="55" s="1"/>
  <c r="FQ11" i="55" s="1"/>
  <c r="EU96" i="55"/>
  <c r="GU96" i="55" s="1"/>
  <c r="EV96" i="55"/>
  <c r="ET97" i="55"/>
  <c r="FF39" i="55"/>
  <c r="FD39" i="55"/>
  <c r="FG39" i="55"/>
  <c r="FE39" i="55"/>
  <c r="FI39" i="55" s="1"/>
  <c r="EL39" i="55"/>
  <c r="EM39" i="55" s="1"/>
  <c r="DG39" i="55"/>
  <c r="DH39" i="55" s="1"/>
  <c r="DJ39" i="55" s="1" a="1"/>
  <c r="DJ39" i="55" s="1"/>
  <c r="EK40" i="55"/>
  <c r="FN5" i="55"/>
  <c r="FO5" i="55" s="1"/>
  <c r="GC5" i="55"/>
  <c r="EV192" i="55"/>
  <c r="EU192" i="55"/>
  <c r="GU192" i="55" s="1"/>
  <c r="ET193" i="55"/>
  <c r="FA109" i="55"/>
  <c r="GB109" i="55" s="1"/>
  <c r="EW109" i="55"/>
  <c r="FC109" i="55"/>
  <c r="EU162" i="55"/>
  <c r="GU162" i="55" s="1"/>
  <c r="EV162" i="55"/>
  <c r="ET163" i="55"/>
  <c r="EV39" i="55"/>
  <c r="EU39" i="55"/>
  <c r="GU39" i="55" s="1"/>
  <c r="ET40" i="55"/>
  <c r="EU291" i="55"/>
  <c r="GU291" i="55" s="1"/>
  <c r="EV291" i="55"/>
  <c r="ET292" i="55"/>
  <c r="CY141" i="55"/>
  <c r="CZ140" i="55"/>
  <c r="EU235" i="55"/>
  <c r="GU235" i="55" s="1"/>
  <c r="EV235" i="55"/>
  <c r="ET236" i="55"/>
  <c r="FA95" i="55"/>
  <c r="GB95" i="55" s="1"/>
  <c r="FC95" i="55"/>
  <c r="EW95" i="55"/>
  <c r="GC10" i="55"/>
  <c r="FA10" i="55"/>
  <c r="GB10" i="55" s="1"/>
  <c r="EW10" i="55"/>
  <c r="EZ10" i="55"/>
  <c r="FC10" i="55"/>
  <c r="DK38" i="55"/>
  <c r="DN38" i="55"/>
  <c r="GY5" i="55"/>
  <c r="GX17" i="55"/>
  <c r="GY17" i="55" s="1"/>
  <c r="EU63" i="55"/>
  <c r="GU63" i="55" s="1"/>
  <c r="EV63" i="55"/>
  <c r="ET64" i="55"/>
  <c r="GR13" i="55"/>
  <c r="EW161" i="55"/>
  <c r="FA161" i="55"/>
  <c r="GB161" i="55" s="1"/>
  <c r="FC161" i="55"/>
  <c r="FN6" i="55"/>
  <c r="FO6" i="55" s="1"/>
  <c r="GC6" i="55"/>
  <c r="GS5" i="55"/>
  <c r="GS6" i="55"/>
  <c r="DZ17" i="55"/>
  <c r="DY18" i="55" s="1"/>
  <c r="DZ18" i="55" s="1"/>
  <c r="DY19" i="55" s="1"/>
  <c r="DZ19" i="55" s="1"/>
  <c r="DY20" i="55" s="1"/>
  <c r="DZ20" i="55" s="1"/>
  <c r="DY21" i="55" s="1"/>
  <c r="DZ21" i="55" s="1"/>
  <c r="DY22" i="55" s="1"/>
  <c r="DZ22" i="55" s="1"/>
  <c r="DY23" i="55" s="1"/>
  <c r="DZ23" i="55" s="1"/>
  <c r="DY24" i="55" s="1"/>
  <c r="EF344" i="55" s="1"/>
  <c r="EG328" i="55"/>
  <c r="EC292" i="55"/>
  <c r="ED292" i="55" s="1"/>
  <c r="EE292" i="55" s="1"/>
  <c r="EH295" i="55"/>
  <c r="EF171" i="55"/>
  <c r="EC300" i="55"/>
  <c r="ED300" i="55" s="1"/>
  <c r="EE300" i="55" s="1"/>
  <c r="EC123" i="55"/>
  <c r="ED123" i="55" s="1"/>
  <c r="EE123" i="55" s="1"/>
  <c r="EH71" i="55"/>
  <c r="EG108" i="55"/>
  <c r="EC161" i="55"/>
  <c r="ED161" i="55" s="1"/>
  <c r="EE161" i="55" s="1"/>
  <c r="EG278" i="55"/>
  <c r="EF231" i="55"/>
  <c r="EG338" i="55"/>
  <c r="EH136" i="55"/>
  <c r="EH141" i="55"/>
  <c r="EF181" i="55"/>
  <c r="EC192" i="55"/>
  <c r="ED192" i="55" s="1"/>
  <c r="EE192" i="55" s="1"/>
  <c r="EC264" i="55"/>
  <c r="ED264" i="55" s="1"/>
  <c r="EE264" i="55" s="1"/>
  <c r="EG68" i="55"/>
  <c r="GX19" i="55"/>
  <c r="GY19" i="55" s="1"/>
  <c r="EV138" i="55"/>
  <c r="EU138" i="55"/>
  <c r="GU138" i="55" s="1"/>
  <c r="ET139" i="55"/>
  <c r="FG13" i="55"/>
  <c r="FE13" i="55"/>
  <c r="FI13" i="55" s="1"/>
  <c r="FF13" i="55"/>
  <c r="FD13" i="55"/>
  <c r="DG13" i="55"/>
  <c r="DH13" i="55" s="1"/>
  <c r="DJ13" i="55" s="1" a="1"/>
  <c r="DJ13" i="55" s="1"/>
  <c r="EK14" i="55"/>
  <c r="EL13" i="55"/>
  <c r="EU350" i="55"/>
  <c r="GU350" i="55" s="1"/>
  <c r="EV350" i="55"/>
  <c r="ET351" i="55"/>
  <c r="FC137" i="55"/>
  <c r="EW137" i="55"/>
  <c r="FA137" i="55"/>
  <c r="GB137" i="55" s="1"/>
  <c r="EM12" i="55"/>
  <c r="EW349" i="55"/>
  <c r="FC349" i="55"/>
  <c r="FA349" i="55"/>
  <c r="GB349" i="55" s="1"/>
  <c r="DL12" i="55"/>
  <c r="DO12" i="55" s="1"/>
  <c r="DK12" i="55"/>
  <c r="BU17" i="54" s="1" a="1"/>
  <c r="BU17" i="54" s="1"/>
  <c r="DN12" i="55"/>
  <c r="AE17" i="54" a="1"/>
  <c r="AE17" i="54" s="1"/>
  <c r="GX14" i="55"/>
  <c r="GY14" i="55" s="1"/>
  <c r="GX15" i="55"/>
  <c r="GY15" i="55" s="1"/>
  <c r="CY195" i="55"/>
  <c r="CZ194" i="55"/>
  <c r="GC38" i="55"/>
  <c r="FC38" i="55"/>
  <c r="EZ38" i="55"/>
  <c r="FA38" i="55"/>
  <c r="GB38" i="55" s="1"/>
  <c r="EW38" i="55"/>
  <c r="FA290" i="55"/>
  <c r="GB290" i="55" s="1"/>
  <c r="FC290" i="55"/>
  <c r="EW290" i="55"/>
  <c r="EU11" i="55"/>
  <c r="GU11" i="55" s="1"/>
  <c r="EV11" i="55"/>
  <c r="ET12" i="55"/>
  <c r="FN12" i="55" s="1"/>
  <c r="FO12" i="55" s="1"/>
  <c r="FC234" i="55"/>
  <c r="FA234" i="55"/>
  <c r="GB234" i="55" s="1"/>
  <c r="EW234" i="55"/>
  <c r="GY20" i="55"/>
  <c r="CY352" i="55"/>
  <c r="CZ352" i="55" s="1"/>
  <c r="CZ351" i="55"/>
  <c r="FA191" i="55"/>
  <c r="GB191" i="55" s="1"/>
  <c r="FC191" i="55"/>
  <c r="EW191" i="55"/>
  <c r="CD25" i="55"/>
  <c r="BE11" i="54" a="1"/>
  <c r="BE11" i="54" s="1"/>
  <c r="GX8" i="55"/>
  <c r="GY8" i="55" s="1"/>
  <c r="CY164" i="55"/>
  <c r="CZ163" i="55"/>
  <c r="FC62" i="55"/>
  <c r="FA62" i="55"/>
  <c r="GB62" i="55" s="1"/>
  <c r="EW62" i="55"/>
  <c r="EU110" i="55"/>
  <c r="GU110" i="55" s="1"/>
  <c r="EV110" i="55"/>
  <c r="ET111" i="55"/>
  <c r="BW16" i="54"/>
  <c r="FA324" i="55"/>
  <c r="GB324" i="55" s="1"/>
  <c r="FC324" i="55"/>
  <c r="EW324" i="55"/>
  <c r="CY41" i="55"/>
  <c r="CZ40" i="55"/>
  <c r="DD40" i="55" s="1"/>
  <c r="Z35" i="42"/>
  <c r="Z27" i="42"/>
  <c r="Z87" i="42"/>
  <c r="Z130" i="42"/>
  <c r="Z496" i="42"/>
  <c r="Z96" i="42"/>
  <c r="Z286" i="42"/>
  <c r="Z436" i="42"/>
  <c r="Z250" i="42"/>
  <c r="AB226" i="42"/>
  <c r="AB446" i="42"/>
  <c r="AB26" i="42"/>
  <c r="AB296" i="42"/>
  <c r="AB202" i="42"/>
  <c r="AB176" i="42"/>
  <c r="AB88" i="42"/>
  <c r="AB354" i="42"/>
  <c r="AB23" i="42"/>
  <c r="AB70" i="42"/>
  <c r="AB225" i="42"/>
  <c r="AB494" i="42"/>
  <c r="AB280" i="42"/>
  <c r="AB196" i="42"/>
  <c r="AB183" i="42"/>
  <c r="AB93" i="42"/>
  <c r="AB241" i="42"/>
  <c r="AB382" i="42"/>
  <c r="AB20" i="42"/>
  <c r="AB257" i="42"/>
  <c r="AB52" i="42"/>
  <c r="AB395" i="42"/>
  <c r="AB420" i="42"/>
  <c r="AB227" i="42"/>
  <c r="AB165" i="42"/>
  <c r="AB499" i="42"/>
  <c r="AB447" i="42"/>
  <c r="AB398" i="42"/>
  <c r="AB358" i="42"/>
  <c r="AB46" i="42"/>
  <c r="AB348" i="42"/>
  <c r="AB189" i="42"/>
  <c r="AB393" i="42"/>
  <c r="AB61" i="42"/>
  <c r="AB243" i="42"/>
  <c r="AB448" i="42"/>
  <c r="AB324" i="42"/>
  <c r="AB229" i="42"/>
  <c r="AB80" i="42"/>
  <c r="AB40" i="42"/>
  <c r="AB450" i="42"/>
  <c r="AB188" i="42"/>
  <c r="AB94" i="42"/>
  <c r="AB491" i="42"/>
  <c r="AB271" i="42"/>
  <c r="AB78" i="42"/>
  <c r="AB92" i="42"/>
  <c r="AB115" i="42"/>
  <c r="AB41" i="42"/>
  <c r="AB360" i="42"/>
  <c r="AB486" i="42"/>
  <c r="AB98" i="42"/>
  <c r="AB154" i="42"/>
  <c r="AB99" i="42"/>
  <c r="AB325" i="42"/>
  <c r="AB414" i="42"/>
  <c r="AB105" i="42"/>
  <c r="AB467" i="42"/>
  <c r="AB349" i="42"/>
  <c r="AB25" i="42"/>
  <c r="AB336" i="42"/>
  <c r="AB240" i="42"/>
  <c r="AB37" i="42"/>
  <c r="AB180" i="42"/>
  <c r="AB55" i="42"/>
  <c r="AB428" i="42"/>
  <c r="AB102" i="42"/>
  <c r="AB399" i="42"/>
  <c r="AB164" i="42"/>
  <c r="AB435" i="42"/>
  <c r="AB42" i="42"/>
  <c r="AB253" i="42"/>
  <c r="AB27" i="42"/>
  <c r="AB134" i="42"/>
  <c r="AB495" i="42"/>
  <c r="AB456" i="42"/>
  <c r="AB100" i="42"/>
  <c r="AB367" i="42"/>
  <c r="AB252" i="42"/>
  <c r="AB282" i="42"/>
  <c r="AB276" i="42"/>
  <c r="AB274" i="42"/>
  <c r="AB161" i="42"/>
  <c r="AB378" i="42"/>
  <c r="AB480" i="42"/>
  <c r="AB142" i="42"/>
  <c r="AB347" i="42"/>
  <c r="AB242" i="42"/>
  <c r="AB412" i="42"/>
  <c r="AB361" i="42"/>
  <c r="AB249" i="42"/>
  <c r="AB140" i="42"/>
  <c r="AB13" i="42"/>
  <c r="AB133" i="42"/>
  <c r="AB82" i="42"/>
  <c r="AB265" i="42"/>
  <c r="AB455" i="42"/>
  <c r="AB357" i="42"/>
  <c r="AB11" i="42"/>
  <c r="AB417" i="42"/>
  <c r="AB344" i="42"/>
  <c r="AB286" i="42"/>
  <c r="AB247" i="42"/>
  <c r="AB170" i="42"/>
  <c r="AB205" i="42"/>
  <c r="AB77" i="42"/>
  <c r="AB86" i="42"/>
  <c r="AB419" i="42"/>
  <c r="AB238" i="42"/>
  <c r="AB492" i="42"/>
  <c r="AB440" i="42"/>
  <c r="AB470" i="42"/>
  <c r="AB69" i="42"/>
  <c r="AB380" i="42"/>
  <c r="AB130" i="42"/>
  <c r="AB220" i="42"/>
  <c r="AB136" i="42"/>
  <c r="AB231" i="42"/>
  <c r="AB234" i="42"/>
  <c r="AB408" i="42"/>
  <c r="AB89" i="42"/>
  <c r="AB343" i="42"/>
  <c r="AB36" i="42"/>
  <c r="AB191" i="42"/>
  <c r="AB281" i="42"/>
  <c r="AB433" i="42"/>
  <c r="AB63" i="42"/>
  <c r="AB106" i="42"/>
  <c r="AB68" i="42"/>
  <c r="AB476" i="42"/>
  <c r="AB251" i="42"/>
  <c r="AB318" i="42"/>
  <c r="AB129" i="42"/>
  <c r="AB434" i="42"/>
  <c r="AB248" i="42"/>
  <c r="AB194" i="42"/>
  <c r="AB497" i="42"/>
  <c r="AB407" i="42"/>
  <c r="AB350" i="42"/>
  <c r="AB166" i="42"/>
  <c r="AB118" i="42"/>
  <c r="AB123" i="42"/>
  <c r="AB35" i="42"/>
  <c r="AB210" i="42"/>
  <c r="AB409" i="42"/>
  <c r="AB149" i="42"/>
  <c r="AB338" i="42"/>
  <c r="AB424" i="42"/>
  <c r="AB132" i="42"/>
  <c r="AB473" i="42"/>
  <c r="AB469" i="42"/>
  <c r="AB192" i="42"/>
  <c r="AB415" i="42"/>
  <c r="AB216" i="42"/>
  <c r="AB359" i="42"/>
  <c r="AB397" i="42"/>
  <c r="AB173" i="42"/>
  <c r="AB51" i="42"/>
  <c r="AB445" i="42"/>
  <c r="AB293" i="42"/>
  <c r="AB16" i="42"/>
  <c r="AB64" i="42"/>
  <c r="AB65" i="42"/>
  <c r="AB116" i="42"/>
  <c r="AB125" i="42"/>
  <c r="AB425" i="42"/>
  <c r="AB256" i="42"/>
  <c r="AB264" i="42"/>
  <c r="AB219" i="42"/>
  <c r="AB337" i="42"/>
  <c r="AB146" i="42"/>
  <c r="AB416" i="42"/>
  <c r="AB228" i="42"/>
  <c r="AB95" i="42"/>
  <c r="AB410" i="42"/>
  <c r="AB308" i="42"/>
  <c r="AB213" i="42"/>
  <c r="AB195" i="42"/>
  <c r="AB319" i="42"/>
  <c r="AB356" i="42"/>
  <c r="AB458" i="42"/>
  <c r="AB206" i="42"/>
  <c r="AB331" i="42"/>
  <c r="AB426" i="42"/>
  <c r="AB268" i="42"/>
  <c r="AB365" i="42"/>
  <c r="AB53" i="42"/>
  <c r="AB263" i="42"/>
  <c r="AB71" i="42"/>
  <c r="AB79" i="42"/>
  <c r="AB366" i="42"/>
  <c r="AB235" i="42"/>
  <c r="AB392" i="42"/>
  <c r="AB459" i="42"/>
  <c r="AB301" i="42"/>
  <c r="AB156" i="42"/>
  <c r="AB21" i="42"/>
  <c r="AB246" i="42"/>
  <c r="AB487" i="42"/>
  <c r="AB479" i="42"/>
  <c r="AB44" i="42"/>
  <c r="AB292" i="42"/>
  <c r="AB493" i="42"/>
  <c r="AB81" i="42"/>
  <c r="AB443" i="42"/>
  <c r="AB362" i="42"/>
  <c r="AB126" i="42"/>
  <c r="AB91" i="42"/>
  <c r="AB84" i="42"/>
  <c r="AB168" i="42"/>
  <c r="AB141" i="42"/>
  <c r="AB352" i="42"/>
  <c r="AB314" i="42"/>
  <c r="AB302" i="42"/>
  <c r="AB178" i="42"/>
  <c r="AB239" i="42"/>
  <c r="AB48" i="42"/>
  <c r="AB87" i="42"/>
  <c r="AB39" i="42"/>
  <c r="AB117" i="42"/>
  <c r="AB372" i="42"/>
  <c r="AB474" i="42"/>
  <c r="AB418" i="42"/>
  <c r="AB135" i="42"/>
  <c r="AB422" i="42"/>
  <c r="AB411" i="42"/>
  <c r="AB484" i="42"/>
  <c r="AB396" i="42"/>
  <c r="AB404" i="42"/>
  <c r="AB402" i="42"/>
  <c r="AB90" i="42"/>
  <c r="AB300" i="42"/>
  <c r="AB175" i="42"/>
  <c r="AB472" i="42"/>
  <c r="AB155" i="42"/>
  <c r="AB464" i="42"/>
  <c r="AB230" i="42"/>
  <c r="AB437" i="42"/>
  <c r="AB76" i="42"/>
  <c r="AB482" i="42"/>
  <c r="AB151" i="42"/>
  <c r="AB304" i="42"/>
  <c r="AB58" i="42"/>
  <c r="AB485" i="42"/>
  <c r="AB483" i="42"/>
  <c r="AB471" i="42"/>
  <c r="AB18" i="42"/>
  <c r="AB436" i="42"/>
  <c r="AB317" i="42"/>
  <c r="AB224" i="42"/>
  <c r="AB30" i="42"/>
  <c r="AB181" i="42"/>
  <c r="AB14" i="42"/>
  <c r="AB150" i="42"/>
  <c r="AB172" i="42"/>
  <c r="AB460" i="42"/>
  <c r="AB321" i="42"/>
  <c r="AB386" i="42"/>
  <c r="AB279" i="42"/>
  <c r="AB255" i="42"/>
  <c r="AB144" i="42"/>
  <c r="AB137" i="42"/>
  <c r="AB67" i="42"/>
  <c r="AB403" i="42"/>
  <c r="AB283" i="42"/>
  <c r="AB452" i="42"/>
  <c r="AB275" i="42"/>
  <c r="AB489" i="42"/>
  <c r="AB186" i="42"/>
  <c r="AB185" i="42"/>
  <c r="AB400" i="42"/>
  <c r="AB451" i="42"/>
  <c r="AB285" i="42"/>
  <c r="AB147" i="42"/>
  <c r="AB273" i="42"/>
  <c r="AB56" i="42"/>
  <c r="AB342" i="42"/>
  <c r="AB461" i="42"/>
  <c r="AB96" i="42"/>
  <c r="AB290" i="42"/>
  <c r="AB259" i="42"/>
  <c r="AB43" i="42"/>
  <c r="AB311" i="42"/>
  <c r="AB261" i="42"/>
  <c r="AB167" i="42"/>
  <c r="AB177" i="42"/>
  <c r="AB299" i="42"/>
  <c r="AB159" i="42"/>
  <c r="AB218" i="42"/>
  <c r="AB335" i="42"/>
  <c r="AB289" i="42"/>
  <c r="AB169" i="42"/>
  <c r="AB316" i="42"/>
  <c r="AB143" i="42"/>
  <c r="AB120" i="42"/>
  <c r="AB121" i="42"/>
  <c r="AB272" i="42"/>
  <c r="AB439" i="42"/>
  <c r="AB449" i="42"/>
  <c r="AB233" i="42"/>
  <c r="AB326" i="42"/>
  <c r="AB327" i="42"/>
  <c r="AB377" i="42"/>
  <c r="AB384" i="42"/>
  <c r="AB307" i="42"/>
  <c r="AB306" i="42"/>
  <c r="AB500" i="42"/>
  <c r="AB49" i="42"/>
  <c r="AB187" i="42"/>
  <c r="AB108" i="42"/>
  <c r="AB401" i="42"/>
  <c r="AB163" i="42"/>
  <c r="AB430" i="42"/>
  <c r="AB237" i="42"/>
  <c r="AB162" i="42"/>
  <c r="AB429" i="42"/>
  <c r="AB122" i="42"/>
  <c r="AB244" i="42"/>
  <c r="AB203" i="42"/>
  <c r="AB373" i="42"/>
  <c r="AB34" i="42"/>
  <c r="AB297" i="42"/>
  <c r="AB332" i="42"/>
  <c r="AB29" i="42"/>
  <c r="AB131" i="42"/>
  <c r="AB364" i="42"/>
  <c r="AB215" i="42"/>
  <c r="AB104" i="42"/>
  <c r="AB32" i="42"/>
  <c r="AB124" i="42"/>
  <c r="AB258" i="42"/>
  <c r="AB127" i="42"/>
  <c r="AB355" i="42"/>
  <c r="AB277" i="42"/>
  <c r="AB199" i="42"/>
  <c r="AB370" i="42"/>
  <c r="AB10" i="42"/>
  <c r="AB174" i="42"/>
  <c r="AB287" i="42"/>
  <c r="AB391" i="42"/>
  <c r="AB498" i="42"/>
  <c r="AB345" i="42"/>
  <c r="AB208" i="42"/>
  <c r="AB309" i="42"/>
  <c r="AB465" i="42"/>
  <c r="AB260" i="42"/>
  <c r="AB267" i="42"/>
  <c r="AB158" i="42"/>
  <c r="AB232" i="42"/>
  <c r="AB114" i="42"/>
  <c r="AB363" i="42"/>
  <c r="AB24" i="42"/>
  <c r="AB245" i="42"/>
  <c r="AB12" i="42"/>
  <c r="AB320" i="42"/>
  <c r="AB47" i="42"/>
  <c r="AB394" i="42"/>
  <c r="AB390" i="42"/>
  <c r="AB119" i="42"/>
  <c r="AB368" i="42"/>
  <c r="AB374" i="42"/>
  <c r="AB310" i="42"/>
  <c r="AB112" i="42"/>
  <c r="AB103" i="42"/>
  <c r="AB160" i="42"/>
  <c r="AB250" i="42"/>
  <c r="AB266" i="42"/>
  <c r="AB454" i="42"/>
  <c r="AB75" i="42"/>
  <c r="AB478" i="42"/>
  <c r="AB466" i="42"/>
  <c r="AB72" i="42"/>
  <c r="AB204" i="42"/>
  <c r="AB298" i="42"/>
  <c r="AB211" i="42"/>
  <c r="AB214" i="42"/>
  <c r="AB488" i="42"/>
  <c r="AB207" i="42"/>
  <c r="AB457" i="42"/>
  <c r="AB45" i="42"/>
  <c r="AB381" i="42"/>
  <c r="AB351" i="42"/>
  <c r="AB294" i="42"/>
  <c r="AB198" i="42"/>
  <c r="AB17" i="42"/>
  <c r="AB340" i="42"/>
  <c r="AB28" i="42"/>
  <c r="AB328" i="42"/>
  <c r="AB413" i="42"/>
  <c r="AB138" i="42"/>
  <c r="AB22" i="42"/>
  <c r="AB463" i="42"/>
  <c r="AB97" i="42"/>
  <c r="AB375" i="42"/>
  <c r="AB284" i="42"/>
  <c r="AB74" i="42"/>
  <c r="AB193" i="42"/>
  <c r="AB423" i="42"/>
  <c r="AB222" i="42"/>
  <c r="AB405" i="42"/>
  <c r="AB369" i="42"/>
  <c r="AB432" i="42"/>
  <c r="AB262" i="42"/>
  <c r="AB221" i="42"/>
  <c r="AB54" i="42"/>
  <c r="AB148" i="42"/>
  <c r="AB19" i="42"/>
  <c r="AB209" i="42"/>
  <c r="AB83" i="42"/>
  <c r="AB50" i="42"/>
  <c r="AB66" i="42"/>
  <c r="AB197" i="42"/>
  <c r="AB107" i="42"/>
  <c r="AB223" i="42"/>
  <c r="AB346" i="42"/>
  <c r="AB379" i="42"/>
  <c r="AB496" i="42"/>
  <c r="AB171" i="42"/>
  <c r="AB462" i="42"/>
  <c r="AB421" i="42"/>
  <c r="AB254" i="42"/>
  <c r="AB444" i="42"/>
  <c r="AB73" i="42"/>
  <c r="AB383" i="42"/>
  <c r="AB438" i="42"/>
  <c r="AB236" i="42"/>
  <c r="AB57" i="42"/>
  <c r="AB376" i="42"/>
  <c r="AB406" i="42"/>
  <c r="AB212" i="42"/>
  <c r="AB322" i="42"/>
  <c r="AB38" i="42"/>
  <c r="AB113" i="42"/>
  <c r="AB269" i="42"/>
  <c r="AB153" i="42"/>
  <c r="AB341" i="42"/>
  <c r="AB101" i="42"/>
  <c r="AB291" i="42"/>
  <c r="AB295" i="42"/>
  <c r="AB303" i="42"/>
  <c r="AB388" i="42"/>
  <c r="AB33" i="42"/>
  <c r="AB333" i="42"/>
  <c r="AB330" i="42"/>
  <c r="AB152" i="42"/>
  <c r="AB62" i="42"/>
  <c r="AB145" i="42"/>
  <c r="AB441" i="42"/>
  <c r="AB201" i="42"/>
  <c r="AB385" i="42"/>
  <c r="AB278" i="42"/>
  <c r="AB217" i="42"/>
  <c r="AB490" i="42"/>
  <c r="AB179" i="42"/>
  <c r="AB468" i="42"/>
  <c r="AB157" i="42"/>
  <c r="AB15" i="42"/>
  <c r="AB109" i="42"/>
  <c r="AB371" i="42"/>
  <c r="AB387" i="42"/>
  <c r="AB85" i="42"/>
  <c r="AB323" i="42"/>
  <c r="AB442" i="42"/>
  <c r="AB389" i="42"/>
  <c r="AB110" i="42"/>
  <c r="AB59" i="42"/>
  <c r="AB305" i="42"/>
  <c r="AB139" i="42"/>
  <c r="AB427" i="42"/>
  <c r="AB270" i="42"/>
  <c r="AB60" i="42"/>
  <c r="AB353" i="42"/>
  <c r="AB339" i="42"/>
  <c r="AB190" i="42"/>
  <c r="AB477" i="42"/>
  <c r="AB481" i="42"/>
  <c r="AB182" i="42"/>
  <c r="AB453" i="42"/>
  <c r="AB475" i="42"/>
  <c r="AB184" i="42"/>
  <c r="AB431" i="42"/>
  <c r="AB111" i="42"/>
  <c r="AB31" i="42"/>
  <c r="AB334" i="42"/>
  <c r="AB313" i="42"/>
  <c r="AB288" i="42"/>
  <c r="AB200" i="42"/>
  <c r="AB329" i="42"/>
  <c r="AB315" i="42"/>
  <c r="AB312" i="42"/>
  <c r="Z268" i="42"/>
  <c r="Z132" i="42"/>
  <c r="Z305" i="42"/>
  <c r="Z111" i="42"/>
  <c r="Z36" i="42"/>
  <c r="Z196" i="42"/>
  <c r="Z424" i="42"/>
  <c r="Z81" i="42"/>
  <c r="Z340" i="42"/>
  <c r="Z331" i="42"/>
  <c r="Z281" i="42"/>
  <c r="Z262" i="42"/>
  <c r="Z266" i="42"/>
  <c r="Z176" i="42"/>
  <c r="Z303" i="42"/>
  <c r="Z294" i="42"/>
  <c r="Z455" i="42"/>
  <c r="Z314" i="42"/>
  <c r="Z461" i="42"/>
  <c r="Z298" i="42"/>
  <c r="Z371" i="42"/>
  <c r="Z463" i="42"/>
  <c r="Z308" i="42"/>
  <c r="Z408" i="42"/>
  <c r="Z162" i="42"/>
  <c r="Z229" i="42"/>
  <c r="Z356" i="42"/>
  <c r="Z347" i="42"/>
  <c r="Z133" i="42"/>
  <c r="Z25" i="42"/>
  <c r="Z216" i="42"/>
  <c r="Z339" i="42"/>
  <c r="Z258" i="42"/>
  <c r="Z425" i="42"/>
  <c r="Z192" i="42"/>
  <c r="Z34" i="42"/>
  <c r="Z248" i="42"/>
  <c r="Z202" i="42"/>
  <c r="Z135" i="42"/>
  <c r="Z74" i="42"/>
  <c r="Z169" i="42"/>
  <c r="Z267" i="42"/>
  <c r="Z136" i="42"/>
  <c r="Z102" i="42"/>
  <c r="Z18" i="42"/>
  <c r="Z73" i="42"/>
  <c r="Z37" i="42"/>
  <c r="Z381" i="42"/>
  <c r="Z279" i="42"/>
  <c r="Z40" i="42"/>
  <c r="Z153" i="42"/>
  <c r="Z80" i="42"/>
  <c r="Z494" i="42"/>
  <c r="Z234" i="42"/>
  <c r="Z313" i="42"/>
  <c r="Z101" i="42"/>
  <c r="Z209" i="42"/>
  <c r="Z145" i="42"/>
  <c r="Z370" i="42"/>
  <c r="Z22" i="42"/>
  <c r="Z97" i="42"/>
  <c r="Z413" i="42"/>
  <c r="Z211" i="42"/>
  <c r="Z360" i="42"/>
  <c r="Z168" i="42"/>
  <c r="Z300" i="42"/>
  <c r="Z348" i="42"/>
  <c r="Z411" i="42"/>
  <c r="Z470" i="42"/>
  <c r="Z151" i="42"/>
  <c r="Z388" i="42"/>
  <c r="Z321" i="42"/>
  <c r="Z206" i="42"/>
  <c r="Z194" i="42"/>
  <c r="Z325" i="42"/>
  <c r="Z148" i="42"/>
  <c r="Z16" i="42"/>
  <c r="Z226" i="42"/>
  <c r="Z415" i="42"/>
  <c r="Z351" i="42"/>
  <c r="Z198" i="42"/>
  <c r="Z429" i="42"/>
  <c r="Z75" i="42"/>
  <c r="Z379" i="42"/>
  <c r="Z78" i="42"/>
  <c r="Z179" i="42"/>
  <c r="Z290" i="42"/>
  <c r="Z345" i="42"/>
  <c r="Z350" i="42"/>
  <c r="Z277" i="42"/>
  <c r="Z123" i="42"/>
  <c r="Z435" i="42"/>
  <c r="Z51" i="42"/>
  <c r="Z94" i="42"/>
  <c r="Z456" i="42"/>
  <c r="Z116" i="42"/>
  <c r="Z95" i="42"/>
  <c r="Z218" i="42"/>
  <c r="Z334" i="42"/>
  <c r="Z10" i="42"/>
  <c r="Z128" i="42"/>
  <c r="Z421" i="42"/>
  <c r="Z444" i="42"/>
  <c r="Z126" i="42"/>
  <c r="Z237" i="42"/>
  <c r="Z187" i="42"/>
  <c r="Z182" i="42"/>
  <c r="Z329" i="42"/>
  <c r="Z44" i="42"/>
  <c r="Z190" i="42"/>
  <c r="Z409" i="42"/>
  <c r="Z79" i="42"/>
  <c r="Z254" i="42"/>
  <c r="Z312" i="42"/>
  <c r="Z231" i="42"/>
  <c r="Z469" i="42"/>
  <c r="Z85" i="42"/>
  <c r="Z120" i="42"/>
  <c r="Z205" i="42"/>
  <c r="Z454" i="42"/>
  <c r="Z472" i="42"/>
  <c r="Z484" i="42"/>
  <c r="Z17" i="42"/>
  <c r="Z493" i="42"/>
  <c r="Z366" i="42"/>
  <c r="Z445" i="42"/>
  <c r="Z201" i="42"/>
  <c r="Z483" i="42"/>
  <c r="Z480" i="42"/>
  <c r="Z12" i="42"/>
  <c r="Z324" i="42"/>
  <c r="Z89" i="42"/>
  <c r="Z232" i="42"/>
  <c r="Z336" i="42"/>
  <c r="Z447" i="42"/>
  <c r="Z282" i="42"/>
  <c r="Z495" i="42"/>
  <c r="Z309" i="42"/>
  <c r="Z197" i="42"/>
  <c r="Z207" i="42"/>
  <c r="Z221" i="42"/>
  <c r="Z306" i="42"/>
  <c r="Z362" i="42"/>
  <c r="Z183" i="42"/>
  <c r="Z56" i="42"/>
  <c r="Z465" i="42"/>
  <c r="Z459" i="42"/>
  <c r="Z39" i="42"/>
  <c r="Z328" i="42"/>
  <c r="Z316" i="42"/>
  <c r="Z188" i="42"/>
  <c r="Z287" i="42"/>
  <c r="Z396" i="42"/>
  <c r="Z295" i="42"/>
  <c r="Z332" i="42"/>
  <c r="Z144" i="42"/>
  <c r="Z451" i="42"/>
  <c r="Z263" i="42"/>
  <c r="Z212" i="42"/>
  <c r="Z53" i="42"/>
  <c r="Z492" i="42"/>
  <c r="Z134" i="42"/>
  <c r="Z114" i="42"/>
  <c r="Z150" i="42"/>
  <c r="Z236" i="42"/>
  <c r="Z310" i="42"/>
  <c r="Z215" i="42"/>
  <c r="Z164" i="42"/>
  <c r="Z342" i="42"/>
  <c r="Z322" i="42"/>
  <c r="Z307" i="42"/>
  <c r="Z222" i="42"/>
  <c r="Z91" i="42"/>
  <c r="Z220" i="42"/>
  <c r="Z66" i="42"/>
  <c r="Z438" i="42"/>
  <c r="Z283" i="42"/>
  <c r="Z68" i="42"/>
  <c r="Z368" i="42"/>
  <c r="Z143" i="42"/>
  <c r="Z422" i="42"/>
  <c r="Z317" i="42"/>
  <c r="Z482" i="42"/>
  <c r="Z233" i="42"/>
  <c r="Z468" i="42"/>
  <c r="Z374" i="42"/>
  <c r="Z457" i="42"/>
  <c r="Z291" i="42"/>
  <c r="Z275" i="42"/>
  <c r="Z181" i="42"/>
  <c r="Z77" i="42"/>
  <c r="Z191" i="42"/>
  <c r="Z124" i="42"/>
  <c r="Z467" i="42"/>
  <c r="Z65" i="42"/>
  <c r="Z335" i="42"/>
  <c r="Z217" i="42"/>
  <c r="Z54" i="42"/>
  <c r="Z208" i="42"/>
  <c r="Z71" i="42"/>
  <c r="Z354" i="42"/>
  <c r="Z452" i="42"/>
  <c r="Z172" i="42"/>
  <c r="Z323" i="42"/>
  <c r="Z296" i="42"/>
  <c r="Z59" i="42"/>
  <c r="Z82" i="42"/>
  <c r="Z103" i="42"/>
  <c r="Z26" i="42"/>
  <c r="Z419" i="42"/>
  <c r="Z108" i="42"/>
  <c r="Z186" i="42"/>
  <c r="Z200" i="42"/>
  <c r="Z403" i="42"/>
  <c r="Z460" i="42"/>
  <c r="Z165" i="42"/>
  <c r="Z293" i="42"/>
  <c r="Z28" i="42"/>
  <c r="Z225" i="42"/>
  <c r="Z184" i="42"/>
  <c r="Z404" i="42"/>
  <c r="Z131" i="42"/>
  <c r="Z357" i="42"/>
  <c r="Z383" i="42"/>
  <c r="Z173" i="42"/>
  <c r="Z378" i="42"/>
  <c r="Z203" i="42"/>
  <c r="Z269" i="42"/>
  <c r="Z327" i="42"/>
  <c r="Z365" i="42"/>
  <c r="Z450" i="42"/>
  <c r="Z433" i="42"/>
  <c r="Z49" i="42"/>
  <c r="Z276" i="42"/>
  <c r="Z487" i="42"/>
  <c r="Z121" i="42"/>
  <c r="Z272" i="42"/>
  <c r="Z48" i="42"/>
  <c r="Z477" i="42"/>
  <c r="Z259" i="42"/>
  <c r="Z349" i="42"/>
  <c r="Z180" i="42"/>
  <c r="Z500" i="42"/>
  <c r="Z230" i="42"/>
  <c r="Z62" i="42"/>
  <c r="Z141" i="42"/>
  <c r="Z178" i="42"/>
  <c r="Z193" i="42"/>
  <c r="Z29" i="42"/>
  <c r="Z60" i="42"/>
  <c r="Z405" i="42"/>
  <c r="Z359" i="42"/>
  <c r="Z481" i="42"/>
  <c r="Z70" i="42"/>
  <c r="Z72" i="42"/>
  <c r="Z38" i="42"/>
  <c r="Z333" i="42"/>
  <c r="Z497" i="42"/>
  <c r="Z247" i="42"/>
  <c r="Z119" i="42"/>
  <c r="Z127" i="42"/>
  <c r="Z358" i="42"/>
  <c r="Z390" i="42"/>
  <c r="Z318" i="42"/>
  <c r="Z167" i="42"/>
  <c r="Z24" i="42"/>
  <c r="Z149" i="42"/>
  <c r="Z241" i="42"/>
  <c r="Z284" i="42"/>
  <c r="Z498" i="42"/>
  <c r="Z376" i="42"/>
  <c r="Z46" i="42"/>
  <c r="Z400" i="42"/>
  <c r="Z278" i="42"/>
  <c r="Z448" i="42"/>
  <c r="Z13" i="42"/>
  <c r="Z274" i="42"/>
  <c r="Z280" i="42"/>
  <c r="Z107" i="42"/>
  <c r="Z257" i="42"/>
  <c r="Z245" i="42"/>
  <c r="Z137" i="42"/>
  <c r="Z363" i="42"/>
  <c r="Z161" i="42"/>
  <c r="Z393" i="42"/>
  <c r="Z170" i="42"/>
  <c r="Z156" i="42"/>
  <c r="Z486" i="42"/>
  <c r="Z224" i="42"/>
  <c r="Z154" i="42"/>
  <c r="Z31" i="42"/>
  <c r="Z464" i="42"/>
  <c r="Z271" i="42"/>
  <c r="Z118" i="42"/>
  <c r="Z14" i="42"/>
  <c r="Z491" i="42"/>
  <c r="Z442" i="42"/>
  <c r="Z412" i="42"/>
  <c r="Z69" i="42"/>
  <c r="Z449" i="42"/>
  <c r="Z344" i="42"/>
  <c r="Z246" i="42"/>
  <c r="Z489" i="42"/>
  <c r="Z213" i="42"/>
  <c r="Z92" i="42"/>
  <c r="Z64" i="42"/>
  <c r="Z242" i="42"/>
  <c r="Z441" i="42"/>
  <c r="Z353" i="42"/>
  <c r="Z319" i="42"/>
  <c r="Z474" i="42"/>
  <c r="Z106" i="42"/>
  <c r="Z385" i="42"/>
  <c r="Z352" i="42"/>
  <c r="Z41" i="42"/>
  <c r="Z210" i="42"/>
  <c r="Z84" i="42"/>
  <c r="Z289" i="42"/>
  <c r="Z177" i="42"/>
  <c r="Z99" i="42"/>
  <c r="Z243" i="42"/>
  <c r="Z361" i="42"/>
  <c r="Z163" i="42"/>
  <c r="Z420" i="42"/>
  <c r="Z83" i="42"/>
  <c r="Z235" i="42"/>
  <c r="Z155" i="42"/>
  <c r="Z440" i="42"/>
  <c r="Z240" i="42"/>
  <c r="Z239" i="42"/>
  <c r="Z302" i="42"/>
  <c r="Z343" i="42"/>
  <c r="Z372" i="42"/>
  <c r="Z426" i="42"/>
  <c r="Z285" i="42"/>
  <c r="Z110" i="42"/>
  <c r="Z431" i="42"/>
  <c r="Z204" i="42"/>
  <c r="Z265" i="42"/>
  <c r="Z147" i="42"/>
  <c r="Z301" i="42"/>
  <c r="Z427" i="42"/>
  <c r="Z171" i="42"/>
  <c r="Z292" i="42"/>
  <c r="Z488" i="42"/>
  <c r="Z479" i="42"/>
  <c r="Z227" i="42"/>
  <c r="Z490" i="42"/>
  <c r="Z86" i="42"/>
  <c r="Z439" i="42"/>
  <c r="Z367" i="42"/>
  <c r="Z189" i="42"/>
  <c r="Z57" i="42"/>
  <c r="Z395" i="42"/>
  <c r="Z458" i="42"/>
  <c r="Z219" i="42"/>
  <c r="Z146" i="42"/>
  <c r="Z394" i="42"/>
  <c r="Z104" i="42"/>
  <c r="Z338" i="42"/>
  <c r="Z166" i="42"/>
  <c r="Z380" i="42"/>
  <c r="Z255" i="42"/>
  <c r="Z125" i="42"/>
  <c r="Z320" i="42"/>
  <c r="Z159" i="42"/>
  <c r="Z384" i="42"/>
  <c r="Z406" i="42"/>
  <c r="Z437" i="42"/>
  <c r="Z185" i="42"/>
  <c r="Z109" i="42"/>
  <c r="Z256" i="42"/>
  <c r="Z228" i="42"/>
  <c r="Z297" i="42"/>
  <c r="Z214" i="42"/>
  <c r="Z129" i="42"/>
  <c r="Z223" i="42"/>
  <c r="Z288" i="42"/>
  <c r="Z417" i="42"/>
  <c r="Z251" i="42"/>
  <c r="Z434" i="42"/>
  <c r="Z261" i="42"/>
  <c r="Z113" i="42"/>
  <c r="Z93" i="42"/>
  <c r="Z462" i="42"/>
  <c r="Z157" i="42"/>
  <c r="Z304" i="42"/>
  <c r="Z397" i="42"/>
  <c r="Z418" i="42"/>
  <c r="Z100" i="42"/>
  <c r="Z20" i="42"/>
  <c r="Z160" i="42"/>
  <c r="Z175" i="42"/>
  <c r="Z423" i="42"/>
  <c r="Z382" i="42"/>
  <c r="Z264" i="42"/>
  <c r="Z152" i="42"/>
  <c r="Z410" i="42"/>
  <c r="Z61" i="42"/>
  <c r="Z414" i="42"/>
  <c r="Z341" i="42"/>
  <c r="Z299" i="42"/>
  <c r="Z98" i="42"/>
  <c r="Z158" i="42"/>
  <c r="Z375" i="42"/>
  <c r="Z88" i="42"/>
  <c r="Z42" i="42"/>
  <c r="Z117" i="42"/>
  <c r="Z112" i="42"/>
  <c r="Z19" i="42"/>
  <c r="Z499" i="42"/>
  <c r="Z174" i="42"/>
  <c r="Z446" i="42"/>
  <c r="Z402" i="42"/>
  <c r="Z364" i="42"/>
  <c r="Z115" i="42"/>
  <c r="Z401" i="42"/>
  <c r="Z315" i="42"/>
  <c r="Z478" i="42"/>
  <c r="Z392" i="42"/>
  <c r="Z50" i="42"/>
  <c r="Z311" i="42"/>
  <c r="Z244" i="42"/>
  <c r="Z398" i="42"/>
  <c r="Z195" i="42"/>
  <c r="Z76" i="42"/>
  <c r="Z387" i="42"/>
  <c r="Z253" i="42"/>
  <c r="Z138" i="42"/>
  <c r="Z428" i="42"/>
  <c r="Z273" i="42"/>
  <c r="Z43" i="42"/>
  <c r="Z47" i="42"/>
  <c r="Z21" i="42"/>
  <c r="Z140" i="42"/>
  <c r="Z55" i="42"/>
  <c r="Z142" i="42"/>
  <c r="Z252" i="42"/>
  <c r="Z475" i="42"/>
  <c r="Z90" i="42"/>
  <c r="Z471" i="42"/>
  <c r="Z326" i="42"/>
  <c r="Z373" i="42"/>
  <c r="Z369" i="42"/>
  <c r="Z63" i="42"/>
  <c r="Z430" i="42"/>
  <c r="Z386" i="42"/>
  <c r="Z260" i="42"/>
  <c r="Z15" i="42"/>
  <c r="Z23" i="42"/>
  <c r="Z30" i="42"/>
  <c r="Z407" i="42"/>
  <c r="Z139" i="42"/>
  <c r="Z355" i="42"/>
  <c r="Z58" i="42"/>
  <c r="Z45" i="42"/>
  <c r="Z33" i="42"/>
  <c r="Z416" i="42"/>
  <c r="Z453" i="42"/>
  <c r="Z67" i="42"/>
  <c r="Z476" i="42"/>
  <c r="Z346" i="42"/>
  <c r="Z32" i="42"/>
  <c r="Z122" i="42"/>
  <c r="Z443" i="42"/>
  <c r="Z377" i="42"/>
  <c r="Z389" i="42"/>
  <c r="Z473" i="42"/>
  <c r="Z466" i="42"/>
  <c r="Z337" i="42"/>
  <c r="Z485" i="42"/>
  <c r="Z249" i="42"/>
  <c r="Z238" i="42"/>
  <c r="Z199" i="42"/>
  <c r="Z399" i="42"/>
  <c r="Z330" i="42"/>
  <c r="Z52" i="42"/>
  <c r="Z270" i="42"/>
  <c r="Z432" i="42"/>
  <c r="Z391" i="42"/>
  <c r="EH229" i="55" l="1"/>
  <c r="EG295" i="55"/>
  <c r="EH209" i="55"/>
  <c r="EH134" i="55"/>
  <c r="EH169" i="55"/>
  <c r="EF205" i="55"/>
  <c r="EH304" i="55"/>
  <c r="EG332" i="55"/>
  <c r="EH126" i="55"/>
  <c r="EG173" i="55"/>
  <c r="EC333" i="55"/>
  <c r="ED333" i="55" s="1"/>
  <c r="EE333" i="55" s="1"/>
  <c r="EH163" i="55"/>
  <c r="FG163" i="55" s="1"/>
  <c r="EF310" i="55"/>
  <c r="EH59" i="55"/>
  <c r="EI59" i="55" s="1"/>
  <c r="EC304" i="55"/>
  <c r="ED304" i="55" s="1"/>
  <c r="EE304" i="55" s="1"/>
  <c r="EG98" i="55"/>
  <c r="EF352" i="55"/>
  <c r="EC136" i="55"/>
  <c r="ED136" i="55" s="1"/>
  <c r="EE136" i="55" s="1"/>
  <c r="EC314" i="55"/>
  <c r="ED314" i="55" s="1"/>
  <c r="EE314" i="55" s="1"/>
  <c r="EG199" i="55"/>
  <c r="EH207" i="55"/>
  <c r="EG280" i="55"/>
  <c r="EG201" i="55"/>
  <c r="CY235" i="55"/>
  <c r="CZ234" i="55"/>
  <c r="EC203" i="55"/>
  <c r="ED203" i="55" s="1"/>
  <c r="EE203" i="55" s="1"/>
  <c r="CZ293" i="55"/>
  <c r="CY294" i="55"/>
  <c r="CY64" i="55"/>
  <c r="CZ63" i="55"/>
  <c r="CZ113" i="55"/>
  <c r="CY114" i="55"/>
  <c r="FX12" i="55" a="1"/>
  <c r="FX12" i="55" s="1"/>
  <c r="FY12" i="55" s="1"/>
  <c r="FZ12" i="55" a="1"/>
  <c r="FZ12" i="55" s="1"/>
  <c r="GA12" i="55" s="1"/>
  <c r="FT12" i="55" a="1"/>
  <c r="FT12" i="55" s="1"/>
  <c r="FU12" i="55" s="1"/>
  <c r="FV12" i="55" a="1"/>
  <c r="FV12" i="55" s="1"/>
  <c r="FW12" i="55" s="1"/>
  <c r="FP12" i="55" a="1"/>
  <c r="FP12" i="55" s="1"/>
  <c r="FQ12" i="55" s="1"/>
  <c r="FR12" i="55" a="1"/>
  <c r="FR12" i="55" s="1"/>
  <c r="FS12" i="55" s="1"/>
  <c r="FZ6" i="55" a="1"/>
  <c r="FZ6" i="55" s="1"/>
  <c r="GA6" i="55" s="1"/>
  <c r="FX6" i="55" a="1"/>
  <c r="FX6" i="55" s="1"/>
  <c r="FY6" i="55" s="1"/>
  <c r="FV6" i="55" a="1"/>
  <c r="FV6" i="55" s="1"/>
  <c r="FW6" i="55" s="1"/>
  <c r="FR6" i="55" a="1"/>
  <c r="FR6" i="55" s="1"/>
  <c r="FS6" i="55" s="1"/>
  <c r="FT6" i="55" a="1"/>
  <c r="FT6" i="55" s="1"/>
  <c r="FU6" i="55" s="1"/>
  <c r="FP6" i="55" a="1"/>
  <c r="FP6" i="55" s="1"/>
  <c r="FQ6" i="55" s="1"/>
  <c r="DL175" i="55"/>
  <c r="DO175" i="55" s="1"/>
  <c r="DL155" i="55"/>
  <c r="DO155" i="55" s="1"/>
  <c r="DL156" i="55"/>
  <c r="DO156" i="55" s="1"/>
  <c r="DL180" i="55"/>
  <c r="DO180" i="55" s="1"/>
  <c r="DL173" i="55"/>
  <c r="DO173" i="55" s="1"/>
  <c r="DL159" i="55"/>
  <c r="DO159" i="55" s="1"/>
  <c r="DL158" i="55"/>
  <c r="DO158" i="55" s="1"/>
  <c r="DL161" i="55"/>
  <c r="DO161" i="55" s="1"/>
  <c r="DL169" i="55"/>
  <c r="DO169" i="55" s="1"/>
  <c r="DL165" i="55"/>
  <c r="DO165" i="55" s="1"/>
  <c r="DL170" i="55"/>
  <c r="DO170" i="55" s="1"/>
  <c r="DL171" i="55"/>
  <c r="DO171" i="55" s="1"/>
  <c r="DL181" i="55"/>
  <c r="DO181" i="55" s="1"/>
  <c r="DL172" i="55"/>
  <c r="DO172" i="55" s="1"/>
  <c r="DL168" i="55"/>
  <c r="DO168" i="55" s="1"/>
  <c r="DL174" i="55"/>
  <c r="DO174" i="55" s="1"/>
  <c r="DL167" i="55"/>
  <c r="DO167" i="55" s="1"/>
  <c r="DL160" i="55"/>
  <c r="DO160" i="55" s="1"/>
  <c r="DL179" i="55"/>
  <c r="DO179" i="55" s="1"/>
  <c r="DL157" i="55"/>
  <c r="DO157" i="55" s="1"/>
  <c r="DL182" i="55"/>
  <c r="DO182" i="55" s="1"/>
  <c r="DL163" i="55"/>
  <c r="DO163" i="55" s="1"/>
  <c r="DL164" i="55"/>
  <c r="DO164" i="55" s="1"/>
  <c r="DL176" i="55"/>
  <c r="DO176" i="55" s="1"/>
  <c r="DL183" i="55"/>
  <c r="DO183" i="55" s="1"/>
  <c r="DL166" i="55"/>
  <c r="DO166" i="55" s="1"/>
  <c r="DL162" i="55"/>
  <c r="DO162" i="55" s="1"/>
  <c r="DL177" i="55"/>
  <c r="DO177" i="55" s="1"/>
  <c r="DL178" i="55"/>
  <c r="DO178" i="55" s="1"/>
  <c r="DL154" i="55"/>
  <c r="DO154" i="55" s="1"/>
  <c r="EU64" i="55"/>
  <c r="GU64" i="55" s="1"/>
  <c r="EV64" i="55"/>
  <c r="ET65" i="55"/>
  <c r="FC63" i="55"/>
  <c r="FA63" i="55"/>
  <c r="GB63" i="55" s="1"/>
  <c r="EW63" i="55"/>
  <c r="EU351" i="55"/>
  <c r="GU351" i="55" s="1"/>
  <c r="EV351" i="55"/>
  <c r="ET352" i="55"/>
  <c r="FG71" i="55"/>
  <c r="EI71" i="55"/>
  <c r="FG207" i="55"/>
  <c r="EI207" i="55"/>
  <c r="FA291" i="55"/>
  <c r="GB291" i="55" s="1"/>
  <c r="FC291" i="55"/>
  <c r="EW291" i="55"/>
  <c r="FG126" i="55"/>
  <c r="EI126" i="55"/>
  <c r="FA192" i="55"/>
  <c r="GB192" i="55" s="1"/>
  <c r="FC192" i="55"/>
  <c r="EW192" i="55"/>
  <c r="EU40" i="55"/>
  <c r="GU40" i="55" s="1"/>
  <c r="EV40" i="55"/>
  <c r="ET41" i="55"/>
  <c r="GC11" i="55"/>
  <c r="FC11" i="55"/>
  <c r="EW11" i="55"/>
  <c r="FA11" i="55"/>
  <c r="GB11" i="55" s="1"/>
  <c r="EZ11" i="55"/>
  <c r="EG327" i="55"/>
  <c r="FA162" i="55"/>
  <c r="GB162" i="55" s="1"/>
  <c r="EW162" i="55"/>
  <c r="FC162" i="55"/>
  <c r="EG251" i="55"/>
  <c r="GX13" i="55"/>
  <c r="GY13" i="55" s="1"/>
  <c r="EU236" i="55"/>
  <c r="GU236" i="55" s="1"/>
  <c r="EV236" i="55"/>
  <c r="ET237" i="55"/>
  <c r="EF274" i="55"/>
  <c r="EH352" i="55"/>
  <c r="FC235" i="55"/>
  <c r="FA235" i="55"/>
  <c r="GB235" i="55" s="1"/>
  <c r="EW235" i="55"/>
  <c r="FX5" i="55" a="1"/>
  <c r="FX5" i="55" s="1"/>
  <c r="FY5" i="55" s="1"/>
  <c r="FZ5" i="55" a="1"/>
  <c r="FZ5" i="55" s="1"/>
  <c r="GA5" i="55" s="1"/>
  <c r="FV5" i="55" a="1"/>
  <c r="FV5" i="55" s="1"/>
  <c r="FW5" i="55" s="1"/>
  <c r="FT5" i="55" a="1"/>
  <c r="FT5" i="55" s="1"/>
  <c r="FU5" i="55" s="1"/>
  <c r="FR5" i="55" a="1"/>
  <c r="FR5" i="55" s="1"/>
  <c r="FS5" i="55" s="1"/>
  <c r="FP5" i="55" a="1"/>
  <c r="FP5" i="55" s="1"/>
  <c r="EI163" i="55"/>
  <c r="FG229" i="55"/>
  <c r="EI229" i="55"/>
  <c r="FG134" i="55"/>
  <c r="EI134" i="55"/>
  <c r="FG295" i="55"/>
  <c r="EI295" i="55"/>
  <c r="DN13" i="55"/>
  <c r="DL13" i="55"/>
  <c r="DO13" i="55" s="1"/>
  <c r="DK13" i="55"/>
  <c r="BU18" i="54" s="1" a="1"/>
  <c r="BU18" i="54" s="1"/>
  <c r="AE18" i="54" a="1"/>
  <c r="AE18" i="54" s="1"/>
  <c r="EV163" i="55"/>
  <c r="EU163" i="55"/>
  <c r="GU163" i="55" s="1"/>
  <c r="ET164" i="55"/>
  <c r="FG136" i="55"/>
  <c r="EI136" i="55"/>
  <c r="DZ24" i="55"/>
  <c r="DZ25" i="55" s="1"/>
  <c r="EF233" i="55"/>
  <c r="EC105" i="55"/>
  <c r="ED105" i="55" s="1"/>
  <c r="EE105" i="55" s="1"/>
  <c r="EC128" i="55"/>
  <c r="ED128" i="55" s="1"/>
  <c r="EE128" i="55" s="1"/>
  <c r="EF61" i="55"/>
  <c r="EF267" i="55"/>
  <c r="EH175" i="55"/>
  <c r="EC345" i="55"/>
  <c r="ED345" i="55" s="1"/>
  <c r="EE345" i="55" s="1"/>
  <c r="EH235" i="55"/>
  <c r="EG233" i="55"/>
  <c r="EC233" i="55"/>
  <c r="ED233" i="55" s="1"/>
  <c r="EE233" i="55" s="1"/>
  <c r="EH103" i="55"/>
  <c r="EG93" i="55"/>
  <c r="EH323" i="55"/>
  <c r="EC328" i="55"/>
  <c r="ED328" i="55" s="1"/>
  <c r="EE328" i="55" s="1"/>
  <c r="EH78" i="55"/>
  <c r="EC249" i="55"/>
  <c r="ED249" i="55" s="1"/>
  <c r="EE249" i="55" s="1"/>
  <c r="AF3" i="40" a="1"/>
  <c r="AF3" i="40" s="1"/>
  <c r="EC69" i="55"/>
  <c r="ED69" i="55" s="1"/>
  <c r="EE69" i="55" s="1"/>
  <c r="EH79" i="55"/>
  <c r="EC265" i="55"/>
  <c r="ED265" i="55" s="1"/>
  <c r="EE265" i="55" s="1"/>
  <c r="EF226" i="55"/>
  <c r="EF202" i="55"/>
  <c r="EF321" i="55"/>
  <c r="EC258" i="55"/>
  <c r="ED258" i="55" s="1"/>
  <c r="EE258" i="55" s="1"/>
  <c r="EH340" i="55"/>
  <c r="EC216" i="55"/>
  <c r="ED216" i="55" s="1"/>
  <c r="EE216" i="55" s="1"/>
  <c r="EF271" i="55"/>
  <c r="EF143" i="55"/>
  <c r="EG210" i="55"/>
  <c r="EG351" i="55"/>
  <c r="EF351" i="55"/>
  <c r="EF162" i="55"/>
  <c r="EH101" i="55"/>
  <c r="EC272" i="55"/>
  <c r="ED272" i="55" s="1"/>
  <c r="EE272" i="55" s="1"/>
  <c r="EG252" i="55"/>
  <c r="EC268" i="55"/>
  <c r="ED268" i="55" s="1"/>
  <c r="EE268" i="55" s="1"/>
  <c r="EG172" i="55"/>
  <c r="EG115" i="55"/>
  <c r="EH189" i="55"/>
  <c r="EH194" i="55"/>
  <c r="EC86" i="55"/>
  <c r="ED86" i="55" s="1"/>
  <c r="EE86" i="55" s="1"/>
  <c r="EH193" i="55"/>
  <c r="EH76" i="55"/>
  <c r="EG266" i="55"/>
  <c r="EF287" i="55"/>
  <c r="EH87" i="55"/>
  <c r="EG27" i="55"/>
  <c r="EG301" i="55"/>
  <c r="EC222" i="55"/>
  <c r="ED222" i="55" s="1"/>
  <c r="EE222" i="55" s="1"/>
  <c r="EH167" i="55"/>
  <c r="EH156" i="55"/>
  <c r="EF345" i="55"/>
  <c r="EG194" i="55"/>
  <c r="EF158" i="55"/>
  <c r="EC67" i="55"/>
  <c r="ED67" i="55" s="1"/>
  <c r="EE67" i="55" s="1"/>
  <c r="EC267" i="55"/>
  <c r="ED267" i="55" s="1"/>
  <c r="EE267" i="55" s="1"/>
  <c r="EH272" i="55"/>
  <c r="EF62" i="55"/>
  <c r="EC61" i="55"/>
  <c r="ED61" i="55" s="1"/>
  <c r="EE61" i="55" s="1"/>
  <c r="EH214" i="55"/>
  <c r="EH261" i="55"/>
  <c r="EG223" i="55"/>
  <c r="EH233" i="55"/>
  <c r="EF315" i="55"/>
  <c r="EH240" i="55"/>
  <c r="EC194" i="55"/>
  <c r="ED194" i="55" s="1"/>
  <c r="EE194" i="55" s="1"/>
  <c r="EG219" i="55"/>
  <c r="EF191" i="55"/>
  <c r="EH150" i="55"/>
  <c r="EH61" i="55"/>
  <c r="EH221" i="55"/>
  <c r="EC74" i="55"/>
  <c r="ED74" i="55" s="1"/>
  <c r="EE74" i="55" s="1"/>
  <c r="EH268" i="55"/>
  <c r="EH56" i="55"/>
  <c r="EG216" i="55"/>
  <c r="EH125" i="55"/>
  <c r="EG144" i="55"/>
  <c r="EG342" i="55"/>
  <c r="EF195" i="55"/>
  <c r="EC252" i="55"/>
  <c r="ED252" i="55" s="1"/>
  <c r="EE252" i="55" s="1"/>
  <c r="EH256" i="55"/>
  <c r="EH309" i="55"/>
  <c r="EH273" i="55"/>
  <c r="EF187" i="55"/>
  <c r="EC121" i="55"/>
  <c r="ED121" i="55" s="1"/>
  <c r="EE121" i="55" s="1"/>
  <c r="EF76" i="55"/>
  <c r="EF346" i="55"/>
  <c r="EC344" i="55"/>
  <c r="ED344" i="55" s="1"/>
  <c r="EE344" i="55" s="1"/>
  <c r="EH305" i="55"/>
  <c r="EF186" i="55"/>
  <c r="EC178" i="55"/>
  <c r="ED178" i="55" s="1"/>
  <c r="EE178" i="55" s="1"/>
  <c r="EG54" i="55"/>
  <c r="EG128" i="55"/>
  <c r="EC132" i="55"/>
  <c r="ED132" i="55" s="1"/>
  <c r="EE132" i="55" s="1"/>
  <c r="EC244" i="55"/>
  <c r="ED244" i="55" s="1"/>
  <c r="EE244" i="55" s="1"/>
  <c r="EH226" i="55"/>
  <c r="EH113" i="55"/>
  <c r="EC100" i="55"/>
  <c r="ED100" i="55" s="1"/>
  <c r="EE100" i="55" s="1"/>
  <c r="EH197" i="55"/>
  <c r="EC127" i="55"/>
  <c r="ED127" i="55" s="1"/>
  <c r="EE127" i="55" s="1"/>
  <c r="EC256" i="55"/>
  <c r="ED256" i="55" s="1"/>
  <c r="EE256" i="55" s="1"/>
  <c r="EF105" i="55"/>
  <c r="EF69" i="55"/>
  <c r="EF213" i="55"/>
  <c r="EC91" i="55"/>
  <c r="ED91" i="55" s="1"/>
  <c r="EE91" i="55" s="1"/>
  <c r="EG91" i="55"/>
  <c r="EG267" i="55"/>
  <c r="EH345" i="55"/>
  <c r="EF189" i="55"/>
  <c r="EH267" i="55"/>
  <c r="EC98" i="55"/>
  <c r="ED98" i="55" s="1"/>
  <c r="EE98" i="55" s="1"/>
  <c r="EG176" i="55"/>
  <c r="EF103" i="55"/>
  <c r="EH109" i="55"/>
  <c r="EF279" i="55"/>
  <c r="EG262" i="55"/>
  <c r="EG169" i="55"/>
  <c r="EC228" i="55"/>
  <c r="ED228" i="55" s="1"/>
  <c r="EE228" i="55" s="1"/>
  <c r="EF251" i="55"/>
  <c r="EC141" i="55"/>
  <c r="ED141" i="55" s="1"/>
  <c r="EE141" i="55" s="1"/>
  <c r="EG261" i="55"/>
  <c r="EH215" i="55"/>
  <c r="EH27" i="55"/>
  <c r="EG288" i="55"/>
  <c r="EF109" i="55"/>
  <c r="EH115" i="55"/>
  <c r="EH106" i="55"/>
  <c r="EH74" i="55"/>
  <c r="EF92" i="55"/>
  <c r="EG175" i="55"/>
  <c r="EH149" i="55"/>
  <c r="EC151" i="55"/>
  <c r="ED151" i="55" s="1"/>
  <c r="EE151" i="55" s="1"/>
  <c r="EF240" i="55"/>
  <c r="EC349" i="55"/>
  <c r="ED349" i="55" s="1"/>
  <c r="EE349" i="55" s="1"/>
  <c r="EF340" i="55"/>
  <c r="EF164" i="55"/>
  <c r="EG211" i="55"/>
  <c r="EC120" i="55"/>
  <c r="ED120" i="55" s="1"/>
  <c r="EE120" i="55" s="1"/>
  <c r="EG244" i="55"/>
  <c r="EG106" i="55"/>
  <c r="EF228" i="55"/>
  <c r="EH97" i="55"/>
  <c r="EH198" i="55"/>
  <c r="EG287" i="55"/>
  <c r="EH228" i="55"/>
  <c r="EF288" i="55"/>
  <c r="EH170" i="55"/>
  <c r="EF237" i="55"/>
  <c r="EF243" i="55"/>
  <c r="EG165" i="55"/>
  <c r="EC197" i="55"/>
  <c r="ED197" i="55" s="1"/>
  <c r="EE197" i="55" s="1"/>
  <c r="EC92" i="55"/>
  <c r="ED92" i="55" s="1"/>
  <c r="EE92" i="55" s="1"/>
  <c r="EF132" i="55"/>
  <c r="EG109" i="55"/>
  <c r="EC302" i="55"/>
  <c r="ED302" i="55" s="1"/>
  <c r="EE302" i="55" s="1"/>
  <c r="EH219" i="55"/>
  <c r="EC266" i="55"/>
  <c r="ED266" i="55" s="1"/>
  <c r="EE266" i="55" s="1"/>
  <c r="EH77" i="55"/>
  <c r="EH308" i="55"/>
  <c r="EG143" i="55"/>
  <c r="EG246" i="55"/>
  <c r="EH298" i="55"/>
  <c r="EH142" i="55"/>
  <c r="EC198" i="55"/>
  <c r="ED198" i="55" s="1"/>
  <c r="EE198" i="55" s="1"/>
  <c r="EC183" i="55"/>
  <c r="ED183" i="55" s="1"/>
  <c r="EE183" i="55" s="1"/>
  <c r="EF64" i="55"/>
  <c r="EF128" i="55"/>
  <c r="EH157" i="55"/>
  <c r="EC248" i="55"/>
  <c r="ED248" i="55" s="1"/>
  <c r="EE248" i="55" s="1"/>
  <c r="EH347" i="55"/>
  <c r="EH127" i="55"/>
  <c r="EG340" i="55"/>
  <c r="EH89" i="55"/>
  <c r="EC179" i="55"/>
  <c r="ED179" i="55" s="1"/>
  <c r="EE179" i="55" s="1"/>
  <c r="EG310" i="55"/>
  <c r="EC221" i="55"/>
  <c r="ED221" i="55" s="1"/>
  <c r="EE221" i="55" s="1"/>
  <c r="EG299" i="55"/>
  <c r="EH253" i="55"/>
  <c r="EC175" i="55"/>
  <c r="ED175" i="55" s="1"/>
  <c r="EE175" i="55" s="1"/>
  <c r="EC246" i="55"/>
  <c r="ED246" i="55" s="1"/>
  <c r="EE246" i="55" s="1"/>
  <c r="EH107" i="55"/>
  <c r="EC285" i="55"/>
  <c r="ED285" i="55" s="1"/>
  <c r="EE285" i="55" s="1"/>
  <c r="EG275" i="55"/>
  <c r="EH117" i="55"/>
  <c r="EF107" i="55"/>
  <c r="EG82" i="55"/>
  <c r="EH116" i="55"/>
  <c r="EF188" i="55"/>
  <c r="EC291" i="55"/>
  <c r="ED291" i="55" s="1"/>
  <c r="EE291" i="55" s="1"/>
  <c r="EC263" i="55"/>
  <c r="ED263" i="55" s="1"/>
  <c r="EE263" i="55" s="1"/>
  <c r="EH203" i="55"/>
  <c r="EH239" i="55"/>
  <c r="EC241" i="55"/>
  <c r="ED241" i="55" s="1"/>
  <c r="EE241" i="55" s="1"/>
  <c r="EC57" i="55"/>
  <c r="ED57" i="55" s="1"/>
  <c r="EE57" i="55" s="1"/>
  <c r="EF220" i="55"/>
  <c r="EG170" i="55"/>
  <c r="EF241" i="55"/>
  <c r="EC189" i="55"/>
  <c r="ED189" i="55" s="1"/>
  <c r="EE189" i="55" s="1"/>
  <c r="EH172" i="55"/>
  <c r="EG158" i="55"/>
  <c r="EC299" i="55"/>
  <c r="ED299" i="55" s="1"/>
  <c r="EE299" i="55" s="1"/>
  <c r="EC138" i="55"/>
  <c r="ED138" i="55" s="1"/>
  <c r="EE138" i="55" s="1"/>
  <c r="EH105" i="55"/>
  <c r="EG285" i="55"/>
  <c r="EH285" i="55"/>
  <c r="EC250" i="55"/>
  <c r="ED250" i="55" s="1"/>
  <c r="EE250" i="55" s="1"/>
  <c r="EG337" i="55"/>
  <c r="EH259" i="55"/>
  <c r="EH187" i="55"/>
  <c r="EG249" i="55"/>
  <c r="EG99" i="55"/>
  <c r="EH128" i="55"/>
  <c r="EF91" i="55"/>
  <c r="EC124" i="55"/>
  <c r="ED124" i="55" s="1"/>
  <c r="EE124" i="55" s="1"/>
  <c r="EG238" i="55"/>
  <c r="EC334" i="55"/>
  <c r="ED334" i="55" s="1"/>
  <c r="EE334" i="55" s="1"/>
  <c r="EC174" i="55"/>
  <c r="ED174" i="55" s="1"/>
  <c r="EE174" i="55" s="1"/>
  <c r="EC223" i="55"/>
  <c r="ED223" i="55" s="1"/>
  <c r="EE223" i="55" s="1"/>
  <c r="EG162" i="55"/>
  <c r="EF206" i="55"/>
  <c r="EC76" i="55"/>
  <c r="ED76" i="55" s="1"/>
  <c r="EE76" i="55" s="1"/>
  <c r="EC162" i="55"/>
  <c r="ED162" i="55" s="1"/>
  <c r="EE162" i="55" s="1"/>
  <c r="EH258" i="55"/>
  <c r="EC107" i="55"/>
  <c r="ED107" i="55" s="1"/>
  <c r="EE107" i="55" s="1"/>
  <c r="EC319" i="55"/>
  <c r="ED319" i="55" s="1"/>
  <c r="EE319" i="55" s="1"/>
  <c r="EH110" i="55"/>
  <c r="EF172" i="55"/>
  <c r="EH279" i="55"/>
  <c r="EC94" i="55"/>
  <c r="ED94" i="55" s="1"/>
  <c r="EE94" i="55" s="1"/>
  <c r="EC185" i="55"/>
  <c r="ED185" i="55" s="1"/>
  <c r="EE185" i="55" s="1"/>
  <c r="EC284" i="55"/>
  <c r="ED284" i="55" s="1"/>
  <c r="EE284" i="55" s="1"/>
  <c r="EC112" i="55"/>
  <c r="ED112" i="55" s="1"/>
  <c r="EE112" i="55" s="1"/>
  <c r="EC193" i="55"/>
  <c r="ED193" i="55" s="1"/>
  <c r="EE193" i="55" s="1"/>
  <c r="EF79" i="55"/>
  <c r="EH263" i="55"/>
  <c r="EC322" i="55"/>
  <c r="ED322" i="55" s="1"/>
  <c r="EE322" i="55" s="1"/>
  <c r="EC150" i="55"/>
  <c r="ED150" i="55" s="1"/>
  <c r="EE150" i="55" s="1"/>
  <c r="EG321" i="55"/>
  <c r="EC158" i="55"/>
  <c r="ED158" i="55" s="1"/>
  <c r="EE158" i="55" s="1"/>
  <c r="EG105" i="55"/>
  <c r="EF329" i="55"/>
  <c r="EG212" i="55"/>
  <c r="EF250" i="55"/>
  <c r="EH188" i="55"/>
  <c r="EG227" i="55"/>
  <c r="EH231" i="55"/>
  <c r="EC204" i="55"/>
  <c r="ED204" i="55" s="1"/>
  <c r="EE204" i="55" s="1"/>
  <c r="EG149" i="55"/>
  <c r="EG303" i="55"/>
  <c r="EG183" i="55"/>
  <c r="EF216" i="55"/>
  <c r="EH138" i="55"/>
  <c r="EG242" i="55"/>
  <c r="EH296" i="55"/>
  <c r="EG100" i="55"/>
  <c r="EG228" i="55"/>
  <c r="EG290" i="55"/>
  <c r="EG137" i="55"/>
  <c r="EC152" i="55"/>
  <c r="ED152" i="55" s="1"/>
  <c r="EE152" i="55" s="1"/>
  <c r="EC168" i="55"/>
  <c r="ED168" i="55" s="1"/>
  <c r="EE168" i="55" s="1"/>
  <c r="EF252" i="55"/>
  <c r="EC298" i="55"/>
  <c r="ED298" i="55" s="1"/>
  <c r="EE298" i="55" s="1"/>
  <c r="EF214" i="55"/>
  <c r="EG119" i="55"/>
  <c r="EG107" i="55"/>
  <c r="EG268" i="55"/>
  <c r="EG345" i="55"/>
  <c r="EF63" i="55"/>
  <c r="EC187" i="55"/>
  <c r="ED187" i="55" s="1"/>
  <c r="EE187" i="55" s="1"/>
  <c r="EG180" i="55"/>
  <c r="EH96" i="55"/>
  <c r="EH90" i="55"/>
  <c r="EF99" i="55"/>
  <c r="EC329" i="55"/>
  <c r="ED329" i="55" s="1"/>
  <c r="EE329" i="55" s="1"/>
  <c r="EG112" i="55"/>
  <c r="EG302" i="55"/>
  <c r="EG61" i="55"/>
  <c r="EF292" i="55"/>
  <c r="EH319" i="55"/>
  <c r="EH211" i="55"/>
  <c r="EF298" i="55"/>
  <c r="EG293" i="55"/>
  <c r="EH75" i="55"/>
  <c r="EC155" i="55"/>
  <c r="ED155" i="55" s="1"/>
  <c r="EE155" i="55" s="1"/>
  <c r="EH318" i="55"/>
  <c r="EG316" i="55"/>
  <c r="EG78" i="55"/>
  <c r="EG352" i="55"/>
  <c r="EC167" i="55"/>
  <c r="ED167" i="55" s="1"/>
  <c r="EE167" i="55" s="1"/>
  <c r="EG87" i="55"/>
  <c r="EF210" i="55"/>
  <c r="EG62" i="55"/>
  <c r="EH192" i="55"/>
  <c r="EF200" i="55"/>
  <c r="EH28" i="55"/>
  <c r="EC163" i="55"/>
  <c r="ED163" i="55" s="1"/>
  <c r="EE163" i="55" s="1"/>
  <c r="EC77" i="55"/>
  <c r="ED77" i="55" s="1"/>
  <c r="EE77" i="55" s="1"/>
  <c r="EH238" i="55"/>
  <c r="EH191" i="55"/>
  <c r="EF197" i="55"/>
  <c r="EH69" i="55"/>
  <c r="EG30" i="55"/>
  <c r="EC116" i="55"/>
  <c r="ED116" i="55" s="1"/>
  <c r="EE116" i="55" s="1"/>
  <c r="EC60" i="55"/>
  <c r="ED60" i="55" s="1"/>
  <c r="EE60" i="55" s="1"/>
  <c r="EG260" i="55"/>
  <c r="EH84" i="55"/>
  <c r="EG110" i="55"/>
  <c r="EH236" i="55"/>
  <c r="EC85" i="55"/>
  <c r="ED85" i="55" s="1"/>
  <c r="EE85" i="55" s="1"/>
  <c r="EF209" i="55"/>
  <c r="EC289" i="55"/>
  <c r="ED289" i="55" s="1"/>
  <c r="EE289" i="55" s="1"/>
  <c r="EG187" i="55"/>
  <c r="EC104" i="55"/>
  <c r="ED104" i="55" s="1"/>
  <c r="EE104" i="55" s="1"/>
  <c r="EH178" i="55"/>
  <c r="EG250" i="55"/>
  <c r="EC114" i="55"/>
  <c r="ED114" i="55" s="1"/>
  <c r="EE114" i="55" s="1"/>
  <c r="EC242" i="55"/>
  <c r="ED242" i="55" s="1"/>
  <c r="EE242" i="55" s="1"/>
  <c r="EH220" i="55"/>
  <c r="EC303" i="55"/>
  <c r="ED303" i="55" s="1"/>
  <c r="EE303" i="55" s="1"/>
  <c r="EG263" i="55"/>
  <c r="EF160" i="55"/>
  <c r="EF77" i="55"/>
  <c r="EF331" i="55"/>
  <c r="EF227" i="55"/>
  <c r="EH100" i="55"/>
  <c r="EH266" i="55"/>
  <c r="EG256" i="55"/>
  <c r="EF152" i="55"/>
  <c r="EG329" i="55"/>
  <c r="EC75" i="55"/>
  <c r="ED75" i="55" s="1"/>
  <c r="EE75" i="55" s="1"/>
  <c r="EH62" i="55"/>
  <c r="EG113" i="55"/>
  <c r="EH282" i="55"/>
  <c r="EH237" i="55"/>
  <c r="EF173" i="55"/>
  <c r="EH287" i="55"/>
  <c r="EF196" i="55"/>
  <c r="EH349" i="55"/>
  <c r="EH67" i="55"/>
  <c r="EC147" i="55"/>
  <c r="ED147" i="55" s="1"/>
  <c r="EE147" i="55" s="1"/>
  <c r="EH213" i="55"/>
  <c r="EH288" i="55"/>
  <c r="EF319" i="55"/>
  <c r="EH205" i="55"/>
  <c r="EG65" i="55"/>
  <c r="EG197" i="55"/>
  <c r="EG190" i="55"/>
  <c r="EG64" i="55"/>
  <c r="EH331" i="55"/>
  <c r="EC340" i="55"/>
  <c r="ED340" i="55" s="1"/>
  <c r="EE340" i="55" s="1"/>
  <c r="EF296" i="55"/>
  <c r="EF238" i="55"/>
  <c r="EH72" i="55"/>
  <c r="EH311" i="55"/>
  <c r="EF285" i="55"/>
  <c r="EH81" i="55"/>
  <c r="EC89" i="55"/>
  <c r="ED89" i="55" s="1"/>
  <c r="EE89" i="55" s="1"/>
  <c r="EC80" i="55"/>
  <c r="ED80" i="55" s="1"/>
  <c r="EE80" i="55" s="1"/>
  <c r="EG195" i="55"/>
  <c r="EG253" i="55"/>
  <c r="EC139" i="55"/>
  <c r="ED139" i="55" s="1"/>
  <c r="EE139" i="55" s="1"/>
  <c r="EG191" i="55"/>
  <c r="EC72" i="55"/>
  <c r="ED72" i="55" s="1"/>
  <c r="EE72" i="55" s="1"/>
  <c r="EF144" i="55"/>
  <c r="EC62" i="55"/>
  <c r="ED62" i="55" s="1"/>
  <c r="EE62" i="55" s="1"/>
  <c r="EF175" i="55"/>
  <c r="EH135" i="55"/>
  <c r="EH121" i="55"/>
  <c r="EF140" i="55"/>
  <c r="EH342" i="55"/>
  <c r="EG207" i="55"/>
  <c r="EC261" i="55"/>
  <c r="ED261" i="55" s="1"/>
  <c r="EE261" i="55" s="1"/>
  <c r="EC310" i="55"/>
  <c r="ED310" i="55" s="1"/>
  <c r="EE310" i="55" s="1"/>
  <c r="EC160" i="55"/>
  <c r="ED160" i="55" s="1"/>
  <c r="EE160" i="55" s="1"/>
  <c r="EC239" i="55"/>
  <c r="ED239" i="55" s="1"/>
  <c r="EE239" i="55" s="1"/>
  <c r="EC212" i="55"/>
  <c r="ED212" i="55" s="1"/>
  <c r="EE212" i="55" s="1"/>
  <c r="EF149" i="55"/>
  <c r="EC208" i="55"/>
  <c r="ED208" i="55" s="1"/>
  <c r="EE208" i="55" s="1"/>
  <c r="EC218" i="55"/>
  <c r="ED218" i="55" s="1"/>
  <c r="EE218" i="55" s="1"/>
  <c r="EG350" i="55"/>
  <c r="EC140" i="55"/>
  <c r="ED140" i="55" s="1"/>
  <c r="EE140" i="55" s="1"/>
  <c r="EH232" i="55"/>
  <c r="EH249" i="55"/>
  <c r="EG258" i="55"/>
  <c r="EF326" i="55"/>
  <c r="EG127" i="55"/>
  <c r="EG114" i="55"/>
  <c r="EF112" i="55"/>
  <c r="EC309" i="55"/>
  <c r="ED309" i="55" s="1"/>
  <c r="EE309" i="55" s="1"/>
  <c r="EC247" i="55"/>
  <c r="ED247" i="55" s="1"/>
  <c r="EE247" i="55" s="1"/>
  <c r="EC111" i="55"/>
  <c r="ED111" i="55" s="1"/>
  <c r="EE111" i="55" s="1"/>
  <c r="EC226" i="55"/>
  <c r="ED226" i="55" s="1"/>
  <c r="EE226" i="55" s="1"/>
  <c r="EH146" i="55"/>
  <c r="EH223" i="55"/>
  <c r="EC165" i="55"/>
  <c r="ED165" i="55" s="1"/>
  <c r="EE165" i="55" s="1"/>
  <c r="EG58" i="55"/>
  <c r="EG331" i="55"/>
  <c r="EF258" i="55"/>
  <c r="EH314" i="55"/>
  <c r="EC281" i="55"/>
  <c r="ED281" i="55" s="1"/>
  <c r="EE281" i="55" s="1"/>
  <c r="EG248" i="55"/>
  <c r="EG192" i="55"/>
  <c r="EH173" i="55"/>
  <c r="EF126" i="55"/>
  <c r="EF139" i="55"/>
  <c r="EF347" i="55"/>
  <c r="EH234" i="55"/>
  <c r="EG181" i="55"/>
  <c r="EG286" i="55"/>
  <c r="EC113" i="55"/>
  <c r="ED113" i="55" s="1"/>
  <c r="EE113" i="55" s="1"/>
  <c r="EF121" i="55"/>
  <c r="EF269" i="55"/>
  <c r="EC207" i="55"/>
  <c r="ED207" i="55" s="1"/>
  <c r="EE207" i="55" s="1"/>
  <c r="EG221" i="55"/>
  <c r="EC318" i="55"/>
  <c r="ED318" i="55" s="1"/>
  <c r="EE318" i="55" s="1"/>
  <c r="EF193" i="55"/>
  <c r="EH206" i="55"/>
  <c r="EC108" i="55"/>
  <c r="ED108" i="55" s="1"/>
  <c r="EE108" i="55" s="1"/>
  <c r="EF295" i="55"/>
  <c r="EF29" i="55"/>
  <c r="EC66" i="55"/>
  <c r="ED66" i="55" s="1"/>
  <c r="EE66" i="55" s="1"/>
  <c r="EF268" i="55"/>
  <c r="EC196" i="55"/>
  <c r="ED196" i="55" s="1"/>
  <c r="EE196" i="55" s="1"/>
  <c r="EF262" i="55"/>
  <c r="EG116" i="55"/>
  <c r="EH307" i="55"/>
  <c r="EF86" i="55"/>
  <c r="EC294" i="55"/>
  <c r="ED294" i="55" s="1"/>
  <c r="EE294" i="55" s="1"/>
  <c r="EF73" i="55"/>
  <c r="EH83" i="55"/>
  <c r="EG296" i="55"/>
  <c r="EH204" i="55"/>
  <c r="EC65" i="55"/>
  <c r="ED65" i="55" s="1"/>
  <c r="EE65" i="55" s="1"/>
  <c r="EH95" i="55"/>
  <c r="EC236" i="55"/>
  <c r="ED236" i="55" s="1"/>
  <c r="EE236" i="55" s="1"/>
  <c r="EC235" i="55"/>
  <c r="ED235" i="55" s="1"/>
  <c r="EE235" i="55" s="1"/>
  <c r="EG319" i="55"/>
  <c r="EH104" i="55"/>
  <c r="EG276" i="55"/>
  <c r="EF302" i="55"/>
  <c r="EF118" i="55"/>
  <c r="EG189" i="55"/>
  <c r="EF244" i="55"/>
  <c r="EG291" i="55"/>
  <c r="EG265" i="55"/>
  <c r="EG117" i="55"/>
  <c r="EG196" i="55"/>
  <c r="EH190" i="55"/>
  <c r="EF101" i="55"/>
  <c r="EF182" i="55"/>
  <c r="EC210" i="55"/>
  <c r="ED210" i="55" s="1"/>
  <c r="EE210" i="55" s="1"/>
  <c r="EG203" i="55"/>
  <c r="EC306" i="55"/>
  <c r="ED306" i="55" s="1"/>
  <c r="EE306" i="55" s="1"/>
  <c r="EF223" i="55"/>
  <c r="EH303" i="55"/>
  <c r="EH286" i="55"/>
  <c r="EC126" i="55"/>
  <c r="ED126" i="55" s="1"/>
  <c r="EE126" i="55" s="1"/>
  <c r="EH161" i="55"/>
  <c r="EH162" i="55"/>
  <c r="EG103" i="55"/>
  <c r="EH68" i="55"/>
  <c r="EF314" i="55"/>
  <c r="EG152" i="55"/>
  <c r="EG171" i="55"/>
  <c r="EF235" i="55"/>
  <c r="EF155" i="55"/>
  <c r="EG133" i="55"/>
  <c r="EF65" i="55"/>
  <c r="EG346" i="55"/>
  <c r="EH166" i="55"/>
  <c r="EH350" i="55"/>
  <c r="EC234" i="55"/>
  <c r="ED234" i="55" s="1"/>
  <c r="EE234" i="55" s="1"/>
  <c r="EC144" i="55"/>
  <c r="ED144" i="55" s="1"/>
  <c r="EE144" i="55" s="1"/>
  <c r="EH57" i="55"/>
  <c r="EH98" i="55"/>
  <c r="EH247" i="55"/>
  <c r="EC332" i="55"/>
  <c r="ED332" i="55" s="1"/>
  <c r="EE332" i="55" s="1"/>
  <c r="EF59" i="55"/>
  <c r="EF316" i="55"/>
  <c r="EH246" i="55"/>
  <c r="EF137" i="55"/>
  <c r="EF334" i="55"/>
  <c r="EG86" i="55"/>
  <c r="EH158" i="55"/>
  <c r="EG347" i="55"/>
  <c r="EH245" i="55"/>
  <c r="EG160" i="55"/>
  <c r="EG307" i="55"/>
  <c r="EH111" i="55"/>
  <c r="EH310" i="55"/>
  <c r="EC342" i="55"/>
  <c r="ED342" i="55" s="1"/>
  <c r="EE342" i="55" s="1"/>
  <c r="EG140" i="55"/>
  <c r="EG124" i="55"/>
  <c r="EF270" i="55"/>
  <c r="EC157" i="55"/>
  <c r="ED157" i="55" s="1"/>
  <c r="EE157" i="55" s="1"/>
  <c r="EG334" i="55"/>
  <c r="EF138" i="55"/>
  <c r="EH179" i="55"/>
  <c r="EC133" i="55"/>
  <c r="ED133" i="55" s="1"/>
  <c r="EE133" i="55" s="1"/>
  <c r="EF178" i="55"/>
  <c r="EH324" i="55"/>
  <c r="EH119" i="55"/>
  <c r="EG320" i="55"/>
  <c r="EH123" i="55"/>
  <c r="EC324" i="55"/>
  <c r="ED324" i="55" s="1"/>
  <c r="EE324" i="55" s="1"/>
  <c r="EG63" i="55"/>
  <c r="EF343" i="55"/>
  <c r="EC323" i="55"/>
  <c r="ED323" i="55" s="1"/>
  <c r="EE323" i="55" s="1"/>
  <c r="EG138" i="55"/>
  <c r="EH351" i="55"/>
  <c r="EF145" i="55"/>
  <c r="EC190" i="55"/>
  <c r="ED190" i="55" s="1"/>
  <c r="EE190" i="55" s="1"/>
  <c r="EC217" i="55"/>
  <c r="ED217" i="55" s="1"/>
  <c r="EE217" i="55" s="1"/>
  <c r="EG229" i="55"/>
  <c r="EG75" i="55"/>
  <c r="EC70" i="55"/>
  <c r="ED70" i="55" s="1"/>
  <c r="EE70" i="55" s="1"/>
  <c r="EH131" i="55"/>
  <c r="EF203" i="55"/>
  <c r="EH112" i="55"/>
  <c r="EH199" i="55"/>
  <c r="EC166" i="55"/>
  <c r="ED166" i="55" s="1"/>
  <c r="EE166" i="55" s="1"/>
  <c r="EH29" i="55"/>
  <c r="EH243" i="55"/>
  <c r="EC59" i="55"/>
  <c r="ED59" i="55" s="1"/>
  <c r="EE59" i="55" s="1"/>
  <c r="EH257" i="55"/>
  <c r="EF116" i="55"/>
  <c r="EF80" i="55"/>
  <c r="EC135" i="55"/>
  <c r="ED135" i="55" s="1"/>
  <c r="EE135" i="55" s="1"/>
  <c r="EF27" i="55"/>
  <c r="EF74" i="55"/>
  <c r="EC237" i="55"/>
  <c r="ED237" i="55" s="1"/>
  <c r="EE237" i="55" s="1"/>
  <c r="EF55" i="55"/>
  <c r="EC295" i="55"/>
  <c r="ED295" i="55" s="1"/>
  <c r="EE295" i="55" s="1"/>
  <c r="EC269" i="55"/>
  <c r="ED269" i="55" s="1"/>
  <c r="EE269" i="55" s="1"/>
  <c r="EH70" i="55"/>
  <c r="EC177" i="55"/>
  <c r="ED177" i="55" s="1"/>
  <c r="EE177" i="55" s="1"/>
  <c r="EG168" i="55"/>
  <c r="EG247" i="55"/>
  <c r="EG167" i="55"/>
  <c r="EG74" i="55"/>
  <c r="EF67" i="55"/>
  <c r="EC297" i="55"/>
  <c r="ED297" i="55" s="1"/>
  <c r="EE297" i="55" s="1"/>
  <c r="EC63" i="55"/>
  <c r="ED63" i="55" s="1"/>
  <c r="EE63" i="55" s="1"/>
  <c r="EG134" i="55"/>
  <c r="EH225" i="55"/>
  <c r="EG126" i="55"/>
  <c r="EO126" i="55" s="1"/>
  <c r="EG132" i="55"/>
  <c r="EH99" i="55"/>
  <c r="EF339" i="55"/>
  <c r="EF70" i="55"/>
  <c r="EF170" i="55"/>
  <c r="EC229" i="55"/>
  <c r="ED229" i="55" s="1"/>
  <c r="EE229" i="55" s="1"/>
  <c r="EH91" i="55"/>
  <c r="EF290" i="55"/>
  <c r="EH248" i="55"/>
  <c r="EH281" i="55"/>
  <c r="EC315" i="55"/>
  <c r="ED315" i="55" s="1"/>
  <c r="EE315" i="55" s="1"/>
  <c r="EG122" i="55"/>
  <c r="EF194" i="55"/>
  <c r="EH85" i="55"/>
  <c r="EF307" i="55"/>
  <c r="EF255" i="55"/>
  <c r="EH182" i="55"/>
  <c r="EG186" i="55"/>
  <c r="EF85" i="55"/>
  <c r="EF350" i="55"/>
  <c r="EG136" i="55"/>
  <c r="EH251" i="55"/>
  <c r="EC293" i="55"/>
  <c r="ED293" i="55" s="1"/>
  <c r="EE293" i="55" s="1"/>
  <c r="EC27" i="55"/>
  <c r="EC79" i="55"/>
  <c r="ED79" i="55" s="1"/>
  <c r="EE79" i="55" s="1"/>
  <c r="EH322" i="55"/>
  <c r="EF280" i="55"/>
  <c r="EF320" i="55"/>
  <c r="EH334" i="55"/>
  <c r="EH301" i="55"/>
  <c r="EH277" i="55"/>
  <c r="EC182" i="55"/>
  <c r="ED182" i="55" s="1"/>
  <c r="EE182" i="55" s="1"/>
  <c r="EH200" i="55"/>
  <c r="EC145" i="55"/>
  <c r="ED145" i="55" s="1"/>
  <c r="EE145" i="55" s="1"/>
  <c r="EC255" i="55"/>
  <c r="ED255" i="55" s="1"/>
  <c r="EE255" i="55" s="1"/>
  <c r="EG70" i="55"/>
  <c r="EC240" i="55"/>
  <c r="ED240" i="55" s="1"/>
  <c r="EE240" i="55" s="1"/>
  <c r="EF75" i="55"/>
  <c r="EH230" i="55"/>
  <c r="EF264" i="55"/>
  <c r="EG308" i="55"/>
  <c r="EF327" i="55"/>
  <c r="EH176" i="55"/>
  <c r="EF273" i="55"/>
  <c r="EF309" i="55"/>
  <c r="EG56" i="55"/>
  <c r="EC101" i="55"/>
  <c r="ED101" i="55" s="1"/>
  <c r="EE101" i="55" s="1"/>
  <c r="EF141" i="55"/>
  <c r="EC209" i="55"/>
  <c r="ED209" i="55" s="1"/>
  <c r="EE209" i="55" s="1"/>
  <c r="EF159" i="55"/>
  <c r="EF293" i="55"/>
  <c r="EH271" i="55"/>
  <c r="EG159" i="55"/>
  <c r="EF168" i="55"/>
  <c r="EF332" i="55"/>
  <c r="EH132" i="55"/>
  <c r="EH275" i="55"/>
  <c r="EG166" i="55"/>
  <c r="EF306" i="55"/>
  <c r="EF153" i="55"/>
  <c r="EH222" i="55"/>
  <c r="EH293" i="55"/>
  <c r="EC352" i="55"/>
  <c r="ED352" i="55" s="1"/>
  <c r="EE352" i="55" s="1"/>
  <c r="EC149" i="55"/>
  <c r="ED149" i="55" s="1"/>
  <c r="EE149" i="55" s="1"/>
  <c r="EC131" i="55"/>
  <c r="ED131" i="55" s="1"/>
  <c r="EE131" i="55" s="1"/>
  <c r="EH297" i="55"/>
  <c r="EC171" i="55"/>
  <c r="ED171" i="55" s="1"/>
  <c r="EE171" i="55" s="1"/>
  <c r="EH212" i="55"/>
  <c r="EC205" i="55"/>
  <c r="ED205" i="55" s="1"/>
  <c r="EE205" i="55" s="1"/>
  <c r="EC181" i="55"/>
  <c r="ED181" i="55" s="1"/>
  <c r="EE181" i="55" s="1"/>
  <c r="EC200" i="55"/>
  <c r="ED200" i="55" s="1"/>
  <c r="EE200" i="55" s="1"/>
  <c r="EF277" i="55"/>
  <c r="EH274" i="55"/>
  <c r="EG222" i="55"/>
  <c r="EC312" i="55"/>
  <c r="ED312" i="55" s="1"/>
  <c r="EE312" i="55" s="1"/>
  <c r="EG125" i="55"/>
  <c r="EH160" i="55"/>
  <c r="EH54" i="55"/>
  <c r="EG348" i="55"/>
  <c r="EC64" i="55"/>
  <c r="ED64" i="55" s="1"/>
  <c r="EE64" i="55" s="1"/>
  <c r="EC56" i="55"/>
  <c r="ED56" i="55" s="1"/>
  <c r="EE56" i="55" s="1"/>
  <c r="EF342" i="55"/>
  <c r="EF349" i="55"/>
  <c r="EC273" i="55"/>
  <c r="ED273" i="55" s="1"/>
  <c r="EE273" i="55" s="1"/>
  <c r="EH346" i="55"/>
  <c r="EF198" i="55"/>
  <c r="EF234" i="55"/>
  <c r="EC30" i="55"/>
  <c r="ED30" i="55" s="1"/>
  <c r="EE30" i="55" s="1"/>
  <c r="EH92" i="55"/>
  <c r="EG272" i="55"/>
  <c r="EF174" i="55"/>
  <c r="EC327" i="55"/>
  <c r="ED327" i="55" s="1"/>
  <c r="EE327" i="55" s="1"/>
  <c r="EH328" i="55"/>
  <c r="EF253" i="55"/>
  <c r="EC253" i="55"/>
  <c r="ED253" i="55" s="1"/>
  <c r="EE253" i="55" s="1"/>
  <c r="EH164" i="55"/>
  <c r="EF114" i="55"/>
  <c r="EG239" i="55"/>
  <c r="EH186" i="55"/>
  <c r="EF219" i="55"/>
  <c r="EF95" i="55"/>
  <c r="EG243" i="55"/>
  <c r="EH168" i="55"/>
  <c r="EC276" i="55"/>
  <c r="ED276" i="55" s="1"/>
  <c r="EE276" i="55" s="1"/>
  <c r="EF94" i="55"/>
  <c r="EF304" i="55"/>
  <c r="EH93" i="55"/>
  <c r="EH300" i="55"/>
  <c r="EG120" i="55"/>
  <c r="EC58" i="55"/>
  <c r="ED58" i="55" s="1"/>
  <c r="EE58" i="55" s="1"/>
  <c r="EC118" i="55"/>
  <c r="ED118" i="55" s="1"/>
  <c r="EE118" i="55" s="1"/>
  <c r="EG259" i="55"/>
  <c r="EC343" i="55"/>
  <c r="ED343" i="55" s="1"/>
  <c r="EE343" i="55" s="1"/>
  <c r="EC311" i="55"/>
  <c r="ED311" i="55" s="1"/>
  <c r="EE311" i="55" s="1"/>
  <c r="EH269" i="55"/>
  <c r="EC153" i="55"/>
  <c r="ED153" i="55" s="1"/>
  <c r="EE153" i="55" s="1"/>
  <c r="EF106" i="55"/>
  <c r="EC238" i="55"/>
  <c r="ED238" i="55" s="1"/>
  <c r="EE238" i="55" s="1"/>
  <c r="EH292" i="55"/>
  <c r="EF291" i="55"/>
  <c r="EG28" i="55"/>
  <c r="EC68" i="55"/>
  <c r="ED68" i="55" s="1"/>
  <c r="EE68" i="55" s="1"/>
  <c r="EH201" i="55"/>
  <c r="EF299" i="55"/>
  <c r="EH210" i="55"/>
  <c r="EF301" i="55"/>
  <c r="EF286" i="55"/>
  <c r="EF212" i="55"/>
  <c r="EH227" i="55"/>
  <c r="EH254" i="55"/>
  <c r="EH140" i="55"/>
  <c r="EG206" i="55"/>
  <c r="EF236" i="55"/>
  <c r="EF249" i="55"/>
  <c r="EH30" i="55"/>
  <c r="EG237" i="55"/>
  <c r="EG84" i="55"/>
  <c r="EC115" i="55"/>
  <c r="ED115" i="55" s="1"/>
  <c r="EE115" i="55" s="1"/>
  <c r="EH265" i="55"/>
  <c r="EG208" i="55"/>
  <c r="EG200" i="55"/>
  <c r="EC142" i="55"/>
  <c r="ED142" i="55" s="1"/>
  <c r="EE142" i="55" s="1"/>
  <c r="EG80" i="55"/>
  <c r="EF83" i="55"/>
  <c r="EC191" i="55"/>
  <c r="ED191" i="55" s="1"/>
  <c r="EE191" i="55" s="1"/>
  <c r="EF232" i="55"/>
  <c r="EG257" i="55"/>
  <c r="EF265" i="55"/>
  <c r="EC186" i="55"/>
  <c r="ED186" i="55" s="1"/>
  <c r="EE186" i="55" s="1"/>
  <c r="EG230" i="55"/>
  <c r="EG177" i="55"/>
  <c r="EG148" i="55"/>
  <c r="EH294" i="55"/>
  <c r="EG59" i="55"/>
  <c r="EF211" i="55"/>
  <c r="EH144" i="55"/>
  <c r="EH152" i="55"/>
  <c r="EG179" i="55"/>
  <c r="EH321" i="55"/>
  <c r="EH326" i="55"/>
  <c r="EC137" i="55"/>
  <c r="ED137" i="55" s="1"/>
  <c r="EE137" i="55" s="1"/>
  <c r="EG269" i="55"/>
  <c r="EF81" i="55"/>
  <c r="EG155" i="55"/>
  <c r="EC211" i="55"/>
  <c r="ED211" i="55" s="1"/>
  <c r="EE211" i="55" s="1"/>
  <c r="EG241" i="55"/>
  <c r="EG315" i="55"/>
  <c r="EC338" i="55"/>
  <c r="ED338" i="55" s="1"/>
  <c r="EE338" i="55" s="1"/>
  <c r="EG60" i="55"/>
  <c r="EH290" i="55"/>
  <c r="EF131" i="55"/>
  <c r="EF333" i="55"/>
  <c r="EG139" i="55"/>
  <c r="EC81" i="55"/>
  <c r="ED81" i="55" s="1"/>
  <c r="EE81" i="55" s="1"/>
  <c r="EF71" i="55"/>
  <c r="EH208" i="55"/>
  <c r="EC159" i="55"/>
  <c r="ED159" i="55" s="1"/>
  <c r="EE159" i="55" s="1"/>
  <c r="EG322" i="55"/>
  <c r="EH195" i="55"/>
  <c r="EG85" i="55"/>
  <c r="EC280" i="55"/>
  <c r="ED280" i="55" s="1"/>
  <c r="EE280" i="55" s="1"/>
  <c r="EH180" i="55"/>
  <c r="EF100" i="55"/>
  <c r="EC262" i="55"/>
  <c r="ED262" i="55" s="1"/>
  <c r="EE262" i="55" s="1"/>
  <c r="EC296" i="55"/>
  <c r="ED296" i="55" s="1"/>
  <c r="EE296" i="55" s="1"/>
  <c r="EH118" i="55"/>
  <c r="EH255" i="55"/>
  <c r="EH60" i="55"/>
  <c r="EH63" i="55"/>
  <c r="EF72" i="55"/>
  <c r="EC260" i="55"/>
  <c r="ED260" i="55" s="1"/>
  <c r="EE260" i="55" s="1"/>
  <c r="EG240" i="55"/>
  <c r="EF120" i="55"/>
  <c r="EC320" i="55"/>
  <c r="ED320" i="55" s="1"/>
  <c r="EE320" i="55" s="1"/>
  <c r="EG163" i="55"/>
  <c r="EC347" i="55"/>
  <c r="ED347" i="55" s="1"/>
  <c r="EE347" i="55" s="1"/>
  <c r="EC195" i="55"/>
  <c r="ED195" i="55" s="1"/>
  <c r="EE195" i="55" s="1"/>
  <c r="EH64" i="55"/>
  <c r="EC173" i="55"/>
  <c r="ED173" i="55" s="1"/>
  <c r="EE173" i="55" s="1"/>
  <c r="EG92" i="55"/>
  <c r="EF259" i="55"/>
  <c r="EG178" i="55"/>
  <c r="EC172" i="55"/>
  <c r="ED172" i="55" s="1"/>
  <c r="EE172" i="55" s="1"/>
  <c r="EF201" i="55"/>
  <c r="EC84" i="55"/>
  <c r="ED84" i="55" s="1"/>
  <c r="EE84" i="55" s="1"/>
  <c r="EH327" i="55"/>
  <c r="EG66" i="55"/>
  <c r="EH145" i="55"/>
  <c r="EG274" i="55"/>
  <c r="EF66" i="55"/>
  <c r="EG218" i="55"/>
  <c r="EC199" i="55"/>
  <c r="ED199" i="55" s="1"/>
  <c r="EE199" i="55" s="1"/>
  <c r="EG314" i="55"/>
  <c r="EH278" i="55"/>
  <c r="EF98" i="55"/>
  <c r="EH114" i="55"/>
  <c r="EC337" i="55"/>
  <c r="ED337" i="55" s="1"/>
  <c r="EE337" i="55" s="1"/>
  <c r="EF163" i="55"/>
  <c r="EF58" i="55"/>
  <c r="EC164" i="55"/>
  <c r="ED164" i="55" s="1"/>
  <c r="EE164" i="55" s="1"/>
  <c r="EH155" i="55"/>
  <c r="EG282" i="55"/>
  <c r="EG300" i="55"/>
  <c r="EG298" i="55"/>
  <c r="EF239" i="55"/>
  <c r="EG147" i="55"/>
  <c r="EC201" i="55"/>
  <c r="ED201" i="55" s="1"/>
  <c r="EE201" i="55" s="1"/>
  <c r="EH316" i="55"/>
  <c r="EH86" i="55"/>
  <c r="EG225" i="55"/>
  <c r="EG67" i="55"/>
  <c r="EG270" i="55"/>
  <c r="EF207" i="55"/>
  <c r="EC290" i="55"/>
  <c r="ED290" i="55" s="1"/>
  <c r="EE290" i="55" s="1"/>
  <c r="EF323" i="55"/>
  <c r="EH147" i="55"/>
  <c r="EG311" i="55"/>
  <c r="EC170" i="55"/>
  <c r="ED170" i="55" s="1"/>
  <c r="EE170" i="55" s="1"/>
  <c r="EF261" i="55"/>
  <c r="EC93" i="55"/>
  <c r="ED93" i="55" s="1"/>
  <c r="EE93" i="55" s="1"/>
  <c r="EG245" i="55"/>
  <c r="EC54" i="55"/>
  <c r="ED54" i="55" s="1"/>
  <c r="EE54" i="55" s="1"/>
  <c r="EF124" i="55"/>
  <c r="EC176" i="55"/>
  <c r="ED176" i="55" s="1"/>
  <c r="EE176" i="55" s="1"/>
  <c r="EG72" i="55"/>
  <c r="EG94" i="55"/>
  <c r="EH218" i="55"/>
  <c r="EG198" i="55"/>
  <c r="EC350" i="55"/>
  <c r="ED350" i="55" s="1"/>
  <c r="EE350" i="55" s="1"/>
  <c r="EH244" i="55"/>
  <c r="EF135" i="55"/>
  <c r="EF169" i="55"/>
  <c r="EF272" i="55"/>
  <c r="EF199" i="55"/>
  <c r="EG215" i="55"/>
  <c r="EC103" i="55"/>
  <c r="ED103" i="55" s="1"/>
  <c r="EE103" i="55" s="1"/>
  <c r="EG205" i="55"/>
  <c r="EH260" i="55"/>
  <c r="EF246" i="55"/>
  <c r="EC275" i="55"/>
  <c r="ED275" i="55" s="1"/>
  <c r="EE275" i="55" s="1"/>
  <c r="EG297" i="55"/>
  <c r="EG164" i="55"/>
  <c r="EG309" i="55"/>
  <c r="EH58" i="55"/>
  <c r="EG193" i="55"/>
  <c r="EC83" i="55"/>
  <c r="ED83" i="55" s="1"/>
  <c r="EE83" i="55" s="1"/>
  <c r="EG323" i="55"/>
  <c r="EG324" i="55"/>
  <c r="EG271" i="55"/>
  <c r="EC339" i="55"/>
  <c r="ED339" i="55" s="1"/>
  <c r="EE339" i="55" s="1"/>
  <c r="EC227" i="55"/>
  <c r="ED227" i="55" s="1"/>
  <c r="EE227" i="55" s="1"/>
  <c r="EG292" i="55"/>
  <c r="EF111" i="55"/>
  <c r="EF93" i="55"/>
  <c r="EG131" i="55"/>
  <c r="EF179" i="55"/>
  <c r="EC180" i="55"/>
  <c r="ED180" i="55" s="1"/>
  <c r="EE180" i="55" s="1"/>
  <c r="EH133" i="55"/>
  <c r="EF127" i="55"/>
  <c r="EH122" i="55"/>
  <c r="EF57" i="55"/>
  <c r="EF108" i="55"/>
  <c r="EH174" i="55"/>
  <c r="EF84" i="55"/>
  <c r="EC73" i="55"/>
  <c r="ED73" i="55" s="1"/>
  <c r="EE73" i="55" s="1"/>
  <c r="EG161" i="55"/>
  <c r="EF142" i="55"/>
  <c r="EC87" i="55"/>
  <c r="ED87" i="55" s="1"/>
  <c r="EE87" i="55" s="1"/>
  <c r="EF96" i="55"/>
  <c r="EC230" i="55"/>
  <c r="ED230" i="55" s="1"/>
  <c r="EE230" i="55" s="1"/>
  <c r="EG89" i="55"/>
  <c r="EH320" i="55"/>
  <c r="EF190" i="55"/>
  <c r="EG305" i="55"/>
  <c r="EG104" i="55"/>
  <c r="EG111" i="55"/>
  <c r="EC202" i="55"/>
  <c r="ED202" i="55" s="1"/>
  <c r="EE202" i="55" s="1"/>
  <c r="EH124" i="55"/>
  <c r="EH284" i="55"/>
  <c r="EG217" i="55"/>
  <c r="EH181" i="55"/>
  <c r="EC146" i="55"/>
  <c r="ED146" i="55" s="1"/>
  <c r="EE146" i="55" s="1"/>
  <c r="EF275" i="55"/>
  <c r="EC96" i="55"/>
  <c r="ED96" i="55" s="1"/>
  <c r="EE96" i="55" s="1"/>
  <c r="EC231" i="55"/>
  <c r="ED231" i="55" s="1"/>
  <c r="EE231" i="55" s="1"/>
  <c r="EG277" i="55"/>
  <c r="EC188" i="55"/>
  <c r="ED188" i="55" s="1"/>
  <c r="EE188" i="55" s="1"/>
  <c r="EH143" i="55"/>
  <c r="EH339" i="55"/>
  <c r="EH120" i="55"/>
  <c r="EF322" i="55"/>
  <c r="EF90" i="55"/>
  <c r="EC279" i="55"/>
  <c r="ED279" i="55" s="1"/>
  <c r="EE279" i="55" s="1"/>
  <c r="EH148" i="55"/>
  <c r="EG157" i="55"/>
  <c r="EH94" i="55"/>
  <c r="EF176" i="55"/>
  <c r="EH280" i="55"/>
  <c r="EG289" i="55"/>
  <c r="EH333" i="55"/>
  <c r="EF282" i="55"/>
  <c r="EF117" i="55"/>
  <c r="EG145" i="55"/>
  <c r="EF166" i="55"/>
  <c r="EC316" i="55"/>
  <c r="ED316" i="55" s="1"/>
  <c r="EE316" i="55" s="1"/>
  <c r="EH196" i="55"/>
  <c r="EG273" i="55"/>
  <c r="EC331" i="55"/>
  <c r="ED331" i="55" s="1"/>
  <c r="EE331" i="55" s="1"/>
  <c r="EG264" i="55"/>
  <c r="EF97" i="55"/>
  <c r="EH264" i="55"/>
  <c r="EF284" i="55"/>
  <c r="EC206" i="55"/>
  <c r="ED206" i="55" s="1"/>
  <c r="EE206" i="55" s="1"/>
  <c r="EG135" i="55"/>
  <c r="EH73" i="55"/>
  <c r="EF136" i="55"/>
  <c r="EG349" i="55"/>
  <c r="EH55" i="55"/>
  <c r="EC109" i="55"/>
  <c r="ED109" i="55" s="1"/>
  <c r="EE109" i="55" s="1"/>
  <c r="EF28" i="55"/>
  <c r="EG182" i="55"/>
  <c r="EG326" i="55"/>
  <c r="EF204" i="55"/>
  <c r="EC259" i="55"/>
  <c r="ED259" i="55" s="1"/>
  <c r="EE259" i="55" s="1"/>
  <c r="EH343" i="55"/>
  <c r="EF247" i="55"/>
  <c r="EF146" i="55"/>
  <c r="EF123" i="55"/>
  <c r="EF180" i="55"/>
  <c r="EG141" i="55"/>
  <c r="EF221" i="55"/>
  <c r="EG101" i="55"/>
  <c r="EG96" i="55"/>
  <c r="EH177" i="55"/>
  <c r="EH80" i="55"/>
  <c r="EC282" i="55"/>
  <c r="ED282" i="55" s="1"/>
  <c r="EE282" i="55" s="1"/>
  <c r="EF82" i="55"/>
  <c r="EC326" i="55"/>
  <c r="ED326" i="55" s="1"/>
  <c r="EE326" i="55" s="1"/>
  <c r="EF78" i="55"/>
  <c r="EG95" i="55"/>
  <c r="EC308" i="55"/>
  <c r="ED308" i="55" s="1"/>
  <c r="EE308" i="55" s="1"/>
  <c r="EF245" i="55"/>
  <c r="EG69" i="55"/>
  <c r="EF30" i="55"/>
  <c r="EG150" i="55"/>
  <c r="EF266" i="55"/>
  <c r="EF133" i="55"/>
  <c r="EC220" i="55"/>
  <c r="ED220" i="55" s="1"/>
  <c r="EE220" i="55" s="1"/>
  <c r="EC278" i="55"/>
  <c r="ED278" i="55" s="1"/>
  <c r="EE278" i="55" s="1"/>
  <c r="EG343" i="55"/>
  <c r="EC134" i="55"/>
  <c r="ED134" i="55" s="1"/>
  <c r="EE134" i="55" s="1"/>
  <c r="EH299" i="55"/>
  <c r="EC97" i="55"/>
  <c r="ED97" i="55" s="1"/>
  <c r="EE97" i="55" s="1"/>
  <c r="EF248" i="55"/>
  <c r="EG236" i="55"/>
  <c r="EH153" i="55"/>
  <c r="EG226" i="55"/>
  <c r="EF150" i="55"/>
  <c r="EH137" i="55"/>
  <c r="EG312" i="55"/>
  <c r="EF297" i="55"/>
  <c r="EC90" i="55"/>
  <c r="ED90" i="55" s="1"/>
  <c r="EE90" i="55" s="1"/>
  <c r="EF183" i="55"/>
  <c r="EF222" i="55"/>
  <c r="EG344" i="55"/>
  <c r="EG220" i="55"/>
  <c r="EC78" i="55"/>
  <c r="ED78" i="55" s="1"/>
  <c r="EE78" i="55" s="1"/>
  <c r="EC169" i="55"/>
  <c r="ED169" i="55" s="1"/>
  <c r="EE169" i="55" s="1"/>
  <c r="EG254" i="55"/>
  <c r="EF324" i="55"/>
  <c r="EC301" i="55"/>
  <c r="ED301" i="55" s="1"/>
  <c r="EE301" i="55" s="1"/>
  <c r="EG188" i="55"/>
  <c r="EG281" i="55"/>
  <c r="EF148" i="55"/>
  <c r="EH312" i="55"/>
  <c r="EG306" i="55"/>
  <c r="EG73" i="55"/>
  <c r="EH216" i="55"/>
  <c r="EH270" i="55"/>
  <c r="EF303" i="55"/>
  <c r="EC286" i="55"/>
  <c r="ED286" i="55" s="1"/>
  <c r="EE286" i="55" s="1"/>
  <c r="EF289" i="55"/>
  <c r="EG71" i="55"/>
  <c r="EO71" i="55" s="1"/>
  <c r="EF256" i="55"/>
  <c r="EH332" i="55"/>
  <c r="EH82" i="55"/>
  <c r="EH262" i="55"/>
  <c r="EF113" i="55"/>
  <c r="EF60" i="55"/>
  <c r="EH306" i="55"/>
  <c r="EF311" i="55"/>
  <c r="EG90" i="55"/>
  <c r="EC125" i="55"/>
  <c r="ED125" i="55" s="1"/>
  <c r="EE125" i="55" s="1"/>
  <c r="EG79" i="55"/>
  <c r="EG151" i="55"/>
  <c r="EC254" i="55"/>
  <c r="ED254" i="55" s="1"/>
  <c r="EE254" i="55" s="1"/>
  <c r="EF56" i="55"/>
  <c r="EF122" i="55"/>
  <c r="EC307" i="55"/>
  <c r="ED307" i="55" s="1"/>
  <c r="EE307" i="55" s="1"/>
  <c r="EC99" i="55"/>
  <c r="ED99" i="55" s="1"/>
  <c r="EE99" i="55" s="1"/>
  <c r="EG174" i="55"/>
  <c r="EF68" i="55"/>
  <c r="EG213" i="55"/>
  <c r="EF115" i="55"/>
  <c r="EG81" i="55"/>
  <c r="EG202" i="55"/>
  <c r="EF165" i="55"/>
  <c r="EF185" i="55"/>
  <c r="EF318" i="55"/>
  <c r="EC348" i="55"/>
  <c r="ED348" i="55" s="1"/>
  <c r="EE348" i="55" s="1"/>
  <c r="EG235" i="55"/>
  <c r="EF300" i="55"/>
  <c r="EH302" i="55"/>
  <c r="EG77" i="55"/>
  <c r="EC117" i="55"/>
  <c r="ED117" i="55" s="1"/>
  <c r="EE117" i="55" s="1"/>
  <c r="EF218" i="55"/>
  <c r="EH250" i="55"/>
  <c r="EH252" i="55"/>
  <c r="EF276" i="55"/>
  <c r="EC245" i="55"/>
  <c r="ED245" i="55" s="1"/>
  <c r="EE245" i="55" s="1"/>
  <c r="EF208" i="55"/>
  <c r="EG153" i="55"/>
  <c r="EG204" i="55"/>
  <c r="EH159" i="55"/>
  <c r="EF278" i="55"/>
  <c r="EG339" i="55"/>
  <c r="EF119" i="55"/>
  <c r="EC232" i="55"/>
  <c r="ED232" i="55" s="1"/>
  <c r="EE232" i="55" s="1"/>
  <c r="EG284" i="55"/>
  <c r="EG234" i="55"/>
  <c r="EG123" i="55"/>
  <c r="EH108" i="55"/>
  <c r="EC287" i="55"/>
  <c r="ED287" i="55" s="1"/>
  <c r="EE287" i="55" s="1"/>
  <c r="EH242" i="55"/>
  <c r="EF167" i="55"/>
  <c r="EH337" i="55"/>
  <c r="EF305" i="55"/>
  <c r="EF177" i="55"/>
  <c r="EH65" i="55"/>
  <c r="EF281" i="55"/>
  <c r="EH185" i="55"/>
  <c r="EH344" i="55"/>
  <c r="EC274" i="55"/>
  <c r="ED274" i="55" s="1"/>
  <c r="EE274" i="55" s="1"/>
  <c r="EH171" i="55"/>
  <c r="EC156" i="55"/>
  <c r="ED156" i="55" s="1"/>
  <c r="EE156" i="55" s="1"/>
  <c r="EF54" i="55"/>
  <c r="EC277" i="55"/>
  <c r="ED277" i="55" s="1"/>
  <c r="EE277" i="55" s="1"/>
  <c r="EG304" i="55"/>
  <c r="EH329" i="55"/>
  <c r="EC271" i="55"/>
  <c r="ED271" i="55" s="1"/>
  <c r="EE271" i="55" s="1"/>
  <c r="EG156" i="55"/>
  <c r="EF312" i="55"/>
  <c r="EC346" i="55"/>
  <c r="ED346" i="55" s="1"/>
  <c r="EE346" i="55" s="1"/>
  <c r="EC82" i="55"/>
  <c r="ED82" i="55" s="1"/>
  <c r="EE82" i="55" s="1"/>
  <c r="EH315" i="55"/>
  <c r="EC95" i="55"/>
  <c r="ED95" i="55" s="1"/>
  <c r="EE95" i="55" s="1"/>
  <c r="EF348" i="55"/>
  <c r="EG209" i="55"/>
  <c r="EH139" i="55"/>
  <c r="EC148" i="55"/>
  <c r="ED148" i="55" s="1"/>
  <c r="EE148" i="55" s="1"/>
  <c r="EF156" i="55"/>
  <c r="EC257" i="55"/>
  <c r="ED257" i="55" s="1"/>
  <c r="EE257" i="55" s="1"/>
  <c r="EF260" i="55"/>
  <c r="EF242" i="55"/>
  <c r="EC122" i="55"/>
  <c r="ED122" i="55" s="1"/>
  <c r="EE122" i="55" s="1"/>
  <c r="EC351" i="55"/>
  <c r="ED351" i="55" s="1"/>
  <c r="EE351" i="55" s="1"/>
  <c r="EF229" i="55"/>
  <c r="EG142" i="55"/>
  <c r="EH66" i="55"/>
  <c r="EH338" i="55"/>
  <c r="EG279" i="55"/>
  <c r="EC305" i="55"/>
  <c r="ED305" i="55" s="1"/>
  <c r="EE305" i="55" s="1"/>
  <c r="EC288" i="55"/>
  <c r="ED288" i="55" s="1"/>
  <c r="EE288" i="55" s="1"/>
  <c r="EG294" i="55"/>
  <c r="EG333" i="55"/>
  <c r="EG121" i="55"/>
  <c r="EF308" i="55"/>
  <c r="EG55" i="55"/>
  <c r="EG318" i="55"/>
  <c r="EC143" i="55"/>
  <c r="ED143" i="55" s="1"/>
  <c r="EE143" i="55" s="1"/>
  <c r="EF110" i="55"/>
  <c r="EC215" i="55"/>
  <c r="ED215" i="55" s="1"/>
  <c r="EE215" i="55" s="1"/>
  <c r="EH276" i="55"/>
  <c r="EC251" i="55"/>
  <c r="ED251" i="55" s="1"/>
  <c r="EE251" i="55" s="1"/>
  <c r="EG97" i="55"/>
  <c r="EG214" i="55"/>
  <c r="EH348" i="55"/>
  <c r="EH202" i="55"/>
  <c r="EF87" i="55"/>
  <c r="EG185" i="55"/>
  <c r="EH151" i="55"/>
  <c r="EF134" i="55"/>
  <c r="EC28" i="55"/>
  <c r="ED28" i="55" s="1"/>
  <c r="EE28" i="55" s="1"/>
  <c r="EF125" i="55"/>
  <c r="EF337" i="55"/>
  <c r="EC110" i="55"/>
  <c r="ED110" i="55" s="1"/>
  <c r="EE110" i="55" s="1"/>
  <c r="EC213" i="55"/>
  <c r="ED213" i="55" s="1"/>
  <c r="EE213" i="55" s="1"/>
  <c r="EC243" i="55"/>
  <c r="ED243" i="55" s="1"/>
  <c r="EE243" i="55" s="1"/>
  <c r="EH165" i="55"/>
  <c r="EC225" i="55"/>
  <c r="ED225" i="55" s="1"/>
  <c r="EE225" i="55" s="1"/>
  <c r="EG29" i="55"/>
  <c r="EG57" i="55"/>
  <c r="EG83" i="55"/>
  <c r="EG231" i="55"/>
  <c r="EH183" i="55"/>
  <c r="EH241" i="55"/>
  <c r="EF217" i="55"/>
  <c r="EF225" i="55"/>
  <c r="EF328" i="55"/>
  <c r="EH291" i="55"/>
  <c r="EG76" i="55"/>
  <c r="EC219" i="55"/>
  <c r="ED219" i="55" s="1"/>
  <c r="EE219" i="55" s="1"/>
  <c r="EF157" i="55"/>
  <c r="EF192" i="55"/>
  <c r="EF215" i="55"/>
  <c r="EF257" i="55"/>
  <c r="EF338" i="55"/>
  <c r="EF161" i="55"/>
  <c r="EF294" i="55"/>
  <c r="EC106" i="55"/>
  <c r="ED106" i="55" s="1"/>
  <c r="EE106" i="55" s="1"/>
  <c r="EF254" i="55"/>
  <c r="EF147" i="55"/>
  <c r="EC321" i="55"/>
  <c r="ED321" i="55" s="1"/>
  <c r="EE321" i="55" s="1"/>
  <c r="EC55" i="55"/>
  <c r="ED55" i="55" s="1"/>
  <c r="EE55" i="55" s="1"/>
  <c r="EC119" i="55"/>
  <c r="ED119" i="55" s="1"/>
  <c r="EE119" i="55" s="1"/>
  <c r="EH289" i="55"/>
  <c r="EF104" i="55"/>
  <c r="EF89" i="55"/>
  <c r="EH217" i="55"/>
  <c r="EC270" i="55"/>
  <c r="ED270" i="55" s="1"/>
  <c r="EE270" i="55" s="1"/>
  <c r="EG118" i="55"/>
  <c r="CY42" i="55"/>
  <c r="CZ41" i="55"/>
  <c r="DD41" i="55" s="1"/>
  <c r="EV139" i="55"/>
  <c r="EU139" i="55"/>
  <c r="GU139" i="55" s="1"/>
  <c r="ET140" i="55"/>
  <c r="EF263" i="55"/>
  <c r="EG255" i="55"/>
  <c r="EC214" i="55"/>
  <c r="ED214" i="55" s="1"/>
  <c r="EE214" i="55" s="1"/>
  <c r="FF40" i="55"/>
  <c r="FD40" i="55"/>
  <c r="FG40" i="55"/>
  <c r="FE40" i="55"/>
  <c r="FI40" i="55" s="1"/>
  <c r="EL40" i="55"/>
  <c r="EM40" i="55" s="1"/>
  <c r="DG40" i="55"/>
  <c r="DH40" i="55" s="1"/>
  <c r="DJ40" i="55" s="1" a="1"/>
  <c r="DJ40" i="55" s="1"/>
  <c r="EK41" i="55"/>
  <c r="FG304" i="55"/>
  <c r="EI304" i="55"/>
  <c r="CY142" i="55"/>
  <c r="CZ141" i="55"/>
  <c r="EV292" i="55"/>
  <c r="EU292" i="55"/>
  <c r="GU292" i="55" s="1"/>
  <c r="ET293" i="55"/>
  <c r="FG14" i="55"/>
  <c r="FF14" i="55"/>
  <c r="FD14" i="55"/>
  <c r="FE14" i="55"/>
  <c r="FI14" i="55" s="1"/>
  <c r="DG14" i="55"/>
  <c r="DH14" i="55" s="1"/>
  <c r="DJ14" i="55" s="1" a="1"/>
  <c r="DJ14" i="55" s="1"/>
  <c r="EK15" i="55"/>
  <c r="EL14" i="55"/>
  <c r="EO295" i="55"/>
  <c r="EU12" i="55"/>
  <c r="GU12" i="55" s="1"/>
  <c r="EV12" i="55"/>
  <c r="ET13" i="55"/>
  <c r="GC39" i="55"/>
  <c r="EZ39" i="55"/>
  <c r="FA39" i="55"/>
  <c r="GB39" i="55" s="1"/>
  <c r="FC39" i="55"/>
  <c r="EW39" i="55"/>
  <c r="FG141" i="55"/>
  <c r="EI141" i="55"/>
  <c r="EC71" i="55"/>
  <c r="ED71" i="55" s="1"/>
  <c r="EE71" i="55" s="1"/>
  <c r="EF230" i="55"/>
  <c r="CY196" i="55"/>
  <c r="CZ195" i="55"/>
  <c r="EG146" i="55"/>
  <c r="EG232" i="55"/>
  <c r="EF151" i="55"/>
  <c r="DN39" i="55"/>
  <c r="DK39" i="55"/>
  <c r="EV193" i="55"/>
  <c r="EU193" i="55"/>
  <c r="GU193" i="55" s="1"/>
  <c r="ET194" i="55"/>
  <c r="FA350" i="55"/>
  <c r="GB350" i="55" s="1"/>
  <c r="FC350" i="55"/>
  <c r="EW350" i="55"/>
  <c r="EU97" i="55"/>
  <c r="GU97" i="55" s="1"/>
  <c r="EV97" i="55"/>
  <c r="ET98" i="55"/>
  <c r="EU111" i="55"/>
  <c r="GU111" i="55" s="1"/>
  <c r="EV111" i="55"/>
  <c r="ET112" i="55"/>
  <c r="FG169" i="55"/>
  <c r="EI169" i="55"/>
  <c r="FC96" i="55"/>
  <c r="FA96" i="55"/>
  <c r="GB96" i="55" s="1"/>
  <c r="EW96" i="55"/>
  <c r="FA110" i="55"/>
  <c r="GB110" i="55" s="1"/>
  <c r="EW110" i="55"/>
  <c r="FC110" i="55"/>
  <c r="EM13" i="55"/>
  <c r="FN13" i="55"/>
  <c r="FO13" i="55" s="1"/>
  <c r="CY165" i="55"/>
  <c r="CZ164" i="55"/>
  <c r="FC138" i="55"/>
  <c r="FA138" i="55"/>
  <c r="GB138" i="55" s="1"/>
  <c r="EW138" i="55"/>
  <c r="FG209" i="55"/>
  <c r="EI209" i="55"/>
  <c r="FG59" i="55" l="1"/>
  <c r="EO136" i="55"/>
  <c r="EO304" i="55"/>
  <c r="CZ114" i="55"/>
  <c r="CY115" i="55"/>
  <c r="CZ64" i="55"/>
  <c r="CY65" i="55"/>
  <c r="CY295" i="55"/>
  <c r="CZ294" i="55"/>
  <c r="EO59" i="55"/>
  <c r="CZ235" i="55"/>
  <c r="CY236" i="55"/>
  <c r="EI66" i="55"/>
  <c r="EO66" i="55" s="1"/>
  <c r="FG66" i="55"/>
  <c r="FG148" i="55"/>
  <c r="EI148" i="55"/>
  <c r="EO148" i="55" s="1"/>
  <c r="FG124" i="55"/>
  <c r="EI124" i="55"/>
  <c r="EO124" i="55" s="1"/>
  <c r="EI244" i="55"/>
  <c r="EO244" i="55" s="1"/>
  <c r="FG244" i="55"/>
  <c r="FG118" i="55"/>
  <c r="EI118" i="55"/>
  <c r="FG290" i="55"/>
  <c r="EI290" i="55"/>
  <c r="FG322" i="55"/>
  <c r="EI322" i="55"/>
  <c r="EI281" i="55"/>
  <c r="FG281" i="55"/>
  <c r="EO74" i="55"/>
  <c r="FG247" i="55"/>
  <c r="EI247" i="55"/>
  <c r="EO247" i="55" s="1"/>
  <c r="FG138" i="55"/>
  <c r="EI138" i="55"/>
  <c r="FG219" i="55"/>
  <c r="EI219" i="55"/>
  <c r="EI345" i="55"/>
  <c r="FG345" i="55"/>
  <c r="EO54" i="55"/>
  <c r="EI125" i="55"/>
  <c r="FG125" i="55"/>
  <c r="FG214" i="55"/>
  <c r="EI214" i="55"/>
  <c r="EO214" i="55" s="1"/>
  <c r="FF229" i="55"/>
  <c r="EJ229" i="55"/>
  <c r="FG337" i="55"/>
  <c r="EI337" i="55"/>
  <c r="FG153" i="55"/>
  <c r="EI153" i="55"/>
  <c r="FG343" i="55"/>
  <c r="EI343" i="55"/>
  <c r="FG294" i="55"/>
  <c r="EI294" i="55"/>
  <c r="EO294" i="55" s="1"/>
  <c r="FG92" i="55"/>
  <c r="EI92" i="55"/>
  <c r="EO92" i="55" s="1"/>
  <c r="FG274" i="55"/>
  <c r="EI274" i="55"/>
  <c r="EO274" i="55" s="1"/>
  <c r="FG275" i="55"/>
  <c r="EI275" i="55"/>
  <c r="EO308" i="55"/>
  <c r="EI248" i="55"/>
  <c r="EO248" i="55" s="1"/>
  <c r="FG248" i="55"/>
  <c r="FG243" i="55"/>
  <c r="EI243" i="55"/>
  <c r="FG98" i="55"/>
  <c r="EI98" i="55"/>
  <c r="EI162" i="55"/>
  <c r="FG162" i="55"/>
  <c r="FG62" i="55"/>
  <c r="EI62" i="55"/>
  <c r="FG191" i="55"/>
  <c r="EI191" i="55"/>
  <c r="FG75" i="55"/>
  <c r="EI75" i="55"/>
  <c r="EO75" i="55" s="1"/>
  <c r="EO345" i="55"/>
  <c r="FG263" i="55"/>
  <c r="EI263" i="55"/>
  <c r="EO263" i="55" s="1"/>
  <c r="FG105" i="55"/>
  <c r="EI105" i="55"/>
  <c r="EO105" i="55" s="1"/>
  <c r="FG116" i="55"/>
  <c r="EI116" i="55"/>
  <c r="FG127" i="55"/>
  <c r="EI127" i="55"/>
  <c r="EO127" i="55" s="1"/>
  <c r="FG27" i="55"/>
  <c r="EI27" i="55"/>
  <c r="EO27" i="55" s="1"/>
  <c r="EO267" i="55"/>
  <c r="FG76" i="55"/>
  <c r="EI76" i="55"/>
  <c r="EO76" i="55" s="1"/>
  <c r="FG103" i="55"/>
  <c r="EI103" i="55"/>
  <c r="EO103" i="55" s="1"/>
  <c r="FA163" i="55"/>
  <c r="GB163" i="55" s="1"/>
  <c r="FC163" i="55"/>
  <c r="EW163" i="55"/>
  <c r="EV237" i="55"/>
  <c r="EU237" i="55"/>
  <c r="GU237" i="55" s="1"/>
  <c r="ET238" i="55"/>
  <c r="EU65" i="55"/>
  <c r="GU65" i="55" s="1"/>
  <c r="EV65" i="55"/>
  <c r="ET66" i="55"/>
  <c r="FG262" i="55"/>
  <c r="EI262" i="55"/>
  <c r="EO262" i="55" s="1"/>
  <c r="EO95" i="55"/>
  <c r="FG122" i="55"/>
  <c r="EI122" i="55"/>
  <c r="EO122" i="55" s="1"/>
  <c r="FG58" i="55"/>
  <c r="EI58" i="55"/>
  <c r="EO58" i="55" s="1"/>
  <c r="FG114" i="55"/>
  <c r="EI114" i="55"/>
  <c r="EO114" i="55" s="1"/>
  <c r="EO237" i="55"/>
  <c r="FG132" i="55"/>
  <c r="EI132" i="55"/>
  <c r="EO132" i="55" s="1"/>
  <c r="ED27" i="55"/>
  <c r="FG29" i="55"/>
  <c r="EI29" i="55"/>
  <c r="EO29" i="55" s="1"/>
  <c r="FG310" i="55"/>
  <c r="EI310" i="55"/>
  <c r="FG57" i="55"/>
  <c r="EI57" i="55"/>
  <c r="EO57" i="55" s="1"/>
  <c r="FG161" i="55"/>
  <c r="EI161" i="55"/>
  <c r="EO161" i="55" s="1"/>
  <c r="FG307" i="55"/>
  <c r="EI307" i="55"/>
  <c r="EO307" i="55" s="1"/>
  <c r="FG223" i="55"/>
  <c r="EI223" i="55"/>
  <c r="EO223" i="55" s="1"/>
  <c r="FG178" i="55"/>
  <c r="EI178" i="55"/>
  <c r="EO178" i="55" s="1"/>
  <c r="FG238" i="55"/>
  <c r="EI238" i="55"/>
  <c r="EO238" i="55" s="1"/>
  <c r="FG347" i="55"/>
  <c r="EI347" i="55"/>
  <c r="EO347" i="55" s="1"/>
  <c r="FG215" i="55"/>
  <c r="EI215" i="55"/>
  <c r="EI56" i="55"/>
  <c r="EO56" i="55" s="1"/>
  <c r="FG56" i="55"/>
  <c r="FG193" i="55"/>
  <c r="EI193" i="55"/>
  <c r="FC236" i="55"/>
  <c r="FA236" i="55"/>
  <c r="GB236" i="55" s="1"/>
  <c r="EW236" i="55"/>
  <c r="FC64" i="55"/>
  <c r="FA64" i="55"/>
  <c r="GB64" i="55" s="1"/>
  <c r="EW64" i="55"/>
  <c r="FG218" i="55"/>
  <c r="EI218" i="55"/>
  <c r="EO218" i="55" s="1"/>
  <c r="FG30" i="55"/>
  <c r="EI30" i="55"/>
  <c r="EO30" i="55" s="1"/>
  <c r="EI292" i="55"/>
  <c r="FG292" i="55"/>
  <c r="EI168" i="55"/>
  <c r="FG168" i="55"/>
  <c r="FG230" i="55"/>
  <c r="EI230" i="55"/>
  <c r="EO230" i="55" s="1"/>
  <c r="FG91" i="55"/>
  <c r="EI91" i="55"/>
  <c r="FG111" i="55"/>
  <c r="EI111" i="55"/>
  <c r="EO116" i="55"/>
  <c r="EO286" i="55"/>
  <c r="FG146" i="55"/>
  <c r="EI146" i="55"/>
  <c r="EO146" i="55" s="1"/>
  <c r="FG305" i="55"/>
  <c r="EI305" i="55"/>
  <c r="FG268" i="55"/>
  <c r="EI268" i="55"/>
  <c r="EO268" i="55" s="1"/>
  <c r="FG272" i="55"/>
  <c r="EI272" i="55"/>
  <c r="EO272" i="55" s="1"/>
  <c r="EI340" i="55"/>
  <c r="EO340" i="55" s="1"/>
  <c r="FG340" i="55"/>
  <c r="DL214" i="55"/>
  <c r="DO214" i="55" s="1"/>
  <c r="DL198" i="55"/>
  <c r="DO198" i="55" s="1"/>
  <c r="DL212" i="55"/>
  <c r="DO212" i="55" s="1"/>
  <c r="DL206" i="55"/>
  <c r="DO206" i="55" s="1"/>
  <c r="DL222" i="55"/>
  <c r="DO222" i="55" s="1"/>
  <c r="DL197" i="55"/>
  <c r="DO197" i="55" s="1"/>
  <c r="DL186" i="55"/>
  <c r="DO186" i="55" s="1"/>
  <c r="DL195" i="55"/>
  <c r="DO195" i="55" s="1"/>
  <c r="DL193" i="55"/>
  <c r="DO193" i="55" s="1"/>
  <c r="DL190" i="55"/>
  <c r="DO190" i="55" s="1"/>
  <c r="DL192" i="55"/>
  <c r="DO192" i="55" s="1"/>
  <c r="DL221" i="55"/>
  <c r="DO221" i="55" s="1"/>
  <c r="DL205" i="55"/>
  <c r="DO205" i="55" s="1"/>
  <c r="DL188" i="55"/>
  <c r="DO188" i="55" s="1"/>
  <c r="DL217" i="55"/>
  <c r="DO217" i="55" s="1"/>
  <c r="DL213" i="55"/>
  <c r="DO213" i="55" s="1"/>
  <c r="DL196" i="55"/>
  <c r="DO196" i="55" s="1"/>
  <c r="DL191" i="55"/>
  <c r="DO191" i="55" s="1"/>
  <c r="DL204" i="55"/>
  <c r="DO204" i="55" s="1"/>
  <c r="DL218" i="55"/>
  <c r="DO218" i="55" s="1"/>
  <c r="DL220" i="55"/>
  <c r="DO220" i="55" s="1"/>
  <c r="DL202" i="55"/>
  <c r="DO202" i="55" s="1"/>
  <c r="DL185" i="55"/>
  <c r="DO185" i="55" s="1"/>
  <c r="DL208" i="55"/>
  <c r="DO208" i="55" s="1"/>
  <c r="DL189" i="55"/>
  <c r="DO189" i="55" s="1"/>
  <c r="DL187" i="55"/>
  <c r="DO187" i="55" s="1"/>
  <c r="DL223" i="55"/>
  <c r="DO223" i="55" s="1"/>
  <c r="DL211" i="55"/>
  <c r="DO211" i="55" s="1"/>
  <c r="DL215" i="55"/>
  <c r="DO215" i="55" s="1"/>
  <c r="DL219" i="55"/>
  <c r="DO219" i="55" s="1"/>
  <c r="DL203" i="55"/>
  <c r="DO203" i="55" s="1"/>
  <c r="DL207" i="55"/>
  <c r="DO207" i="55" s="1"/>
  <c r="DL199" i="55"/>
  <c r="DO199" i="55" s="1"/>
  <c r="DL200" i="55"/>
  <c r="DO200" i="55" s="1"/>
  <c r="DL210" i="55"/>
  <c r="DO210" i="55" s="1"/>
  <c r="DL209" i="55"/>
  <c r="DO209" i="55" s="1"/>
  <c r="DL194" i="55"/>
  <c r="DO194" i="55" s="1"/>
  <c r="DL201" i="55"/>
  <c r="DO201" i="55" s="1"/>
  <c r="DL216" i="55"/>
  <c r="DO216" i="55" s="1"/>
  <c r="DL184" i="55"/>
  <c r="DO184" i="55" s="1"/>
  <c r="FF163" i="55"/>
  <c r="EJ163" i="55"/>
  <c r="FF207" i="55"/>
  <c r="EJ207" i="55"/>
  <c r="EI196" i="55"/>
  <c r="FG196" i="55"/>
  <c r="FG120" i="55"/>
  <c r="EI120" i="55"/>
  <c r="EO305" i="55"/>
  <c r="FG133" i="55"/>
  <c r="EI133" i="55"/>
  <c r="EO133" i="55" s="1"/>
  <c r="FG278" i="55"/>
  <c r="EI278" i="55"/>
  <c r="FG64" i="55"/>
  <c r="EI64" i="55"/>
  <c r="EO64" i="55" s="1"/>
  <c r="EI180" i="55"/>
  <c r="EO180" i="55" s="1"/>
  <c r="FG180" i="55"/>
  <c r="EO243" i="55"/>
  <c r="FG251" i="55"/>
  <c r="EI251" i="55"/>
  <c r="FG199" i="55"/>
  <c r="EI199" i="55"/>
  <c r="FG123" i="55"/>
  <c r="EI123" i="55"/>
  <c r="EO123" i="55" s="1"/>
  <c r="FG286" i="55"/>
  <c r="EI286" i="55"/>
  <c r="FG205" i="55"/>
  <c r="EI205" i="55"/>
  <c r="FG211" i="55"/>
  <c r="EI211" i="55"/>
  <c r="EO211" i="55" s="1"/>
  <c r="FG117" i="55"/>
  <c r="EI117" i="55"/>
  <c r="FG157" i="55"/>
  <c r="EI157" i="55"/>
  <c r="EO157" i="55" s="1"/>
  <c r="FG194" i="55"/>
  <c r="EI194" i="55"/>
  <c r="EO194" i="55" s="1"/>
  <c r="FG235" i="55"/>
  <c r="EI235" i="55"/>
  <c r="EO235" i="55" s="1"/>
  <c r="FQ5" i="55"/>
  <c r="EU41" i="55"/>
  <c r="GU41" i="55" s="1"/>
  <c r="EV41" i="55"/>
  <c r="ET42" i="55"/>
  <c r="FG299" i="55"/>
  <c r="EI299" i="55"/>
  <c r="EO299" i="55" s="1"/>
  <c r="FG339" i="55"/>
  <c r="EI339" i="55"/>
  <c r="EO339" i="55" s="1"/>
  <c r="FG86" i="55"/>
  <c r="EI86" i="55"/>
  <c r="EI346" i="55"/>
  <c r="EO346" i="55" s="1"/>
  <c r="FG346" i="55"/>
  <c r="EO159" i="55"/>
  <c r="FG70" i="55"/>
  <c r="EI70" i="55"/>
  <c r="FG112" i="55"/>
  <c r="EI112" i="55"/>
  <c r="FG350" i="55"/>
  <c r="EI350" i="55"/>
  <c r="FG303" i="55"/>
  <c r="EI303" i="55"/>
  <c r="EO303" i="55" s="1"/>
  <c r="FG234" i="55"/>
  <c r="EI234" i="55"/>
  <c r="EO234" i="55" s="1"/>
  <c r="FG28" i="55"/>
  <c r="EI28" i="55"/>
  <c r="EO28" i="55" s="1"/>
  <c r="FG319" i="55"/>
  <c r="EI319" i="55"/>
  <c r="EO319" i="55" s="1"/>
  <c r="FG172" i="55"/>
  <c r="EI172" i="55"/>
  <c r="FG221" i="55"/>
  <c r="EI221" i="55"/>
  <c r="FG189" i="55"/>
  <c r="EI189" i="55"/>
  <c r="EO189" i="55" s="1"/>
  <c r="GC40" i="55"/>
  <c r="EW40" i="55"/>
  <c r="FA40" i="55"/>
  <c r="GB40" i="55" s="1"/>
  <c r="FC40" i="55"/>
  <c r="EZ40" i="55"/>
  <c r="FF71" i="55"/>
  <c r="EJ71" i="55"/>
  <c r="BW17" i="54"/>
  <c r="AR154" i="55"/>
  <c r="FG143" i="55"/>
  <c r="EI143" i="55"/>
  <c r="FG320" i="55"/>
  <c r="EI320" i="55"/>
  <c r="EO320" i="55" s="1"/>
  <c r="FG316" i="55"/>
  <c r="EI316" i="55"/>
  <c r="EO316" i="55" s="1"/>
  <c r="EI212" i="55"/>
  <c r="EO212" i="55" s="1"/>
  <c r="FG212" i="55"/>
  <c r="FG271" i="55"/>
  <c r="EI271" i="55"/>
  <c r="FG119" i="55"/>
  <c r="EI119" i="55"/>
  <c r="EO119" i="55" s="1"/>
  <c r="FG245" i="55"/>
  <c r="EI245" i="55"/>
  <c r="EO245" i="55" s="1"/>
  <c r="FG166" i="55"/>
  <c r="EI166" i="55"/>
  <c r="EO166" i="55" s="1"/>
  <c r="FG104" i="55"/>
  <c r="EI104" i="55"/>
  <c r="FG288" i="55"/>
  <c r="EI288" i="55"/>
  <c r="FG266" i="55"/>
  <c r="EI266" i="55"/>
  <c r="FG231" i="55"/>
  <c r="EI231" i="55"/>
  <c r="EO231" i="55" s="1"/>
  <c r="EI61" i="55"/>
  <c r="EO61" i="55" s="1"/>
  <c r="FG61" i="55"/>
  <c r="FG175" i="55"/>
  <c r="EI175" i="55"/>
  <c r="EO175" i="55" s="1"/>
  <c r="FG80" i="55"/>
  <c r="EI80" i="55"/>
  <c r="EO80" i="55" s="1"/>
  <c r="EO131" i="55"/>
  <c r="EO163" i="55"/>
  <c r="FG195" i="55"/>
  <c r="EI195" i="55"/>
  <c r="EO195" i="55" s="1"/>
  <c r="FG140" i="55"/>
  <c r="EI140" i="55"/>
  <c r="EO140" i="55" s="1"/>
  <c r="FG269" i="55"/>
  <c r="EI269" i="55"/>
  <c r="FG186" i="55"/>
  <c r="EI186" i="55"/>
  <c r="FG131" i="55"/>
  <c r="EI131" i="55"/>
  <c r="EI324" i="55"/>
  <c r="EO324" i="55" s="1"/>
  <c r="FG324" i="55"/>
  <c r="FG213" i="55"/>
  <c r="EI213" i="55"/>
  <c r="EO213" i="55" s="1"/>
  <c r="EI100" i="55"/>
  <c r="EO100" i="55" s="1"/>
  <c r="FG100" i="55"/>
  <c r="FG192" i="55"/>
  <c r="EI192" i="55"/>
  <c r="FG107" i="55"/>
  <c r="EI107" i="55"/>
  <c r="EO107" i="55" s="1"/>
  <c r="EO169" i="55"/>
  <c r="FG150" i="55"/>
  <c r="EI150" i="55"/>
  <c r="FF295" i="55"/>
  <c r="EJ295" i="55"/>
  <c r="EU352" i="55"/>
  <c r="EV352" i="55"/>
  <c r="FG302" i="55"/>
  <c r="EI302" i="55"/>
  <c r="EO302" i="55" s="1"/>
  <c r="EI177" i="55"/>
  <c r="FG177" i="55"/>
  <c r="FG55" i="55"/>
  <c r="EI55" i="55"/>
  <c r="EO55" i="55" s="1"/>
  <c r="EI260" i="55"/>
  <c r="FG260" i="55"/>
  <c r="FG254" i="55"/>
  <c r="EI254" i="55"/>
  <c r="FG297" i="55"/>
  <c r="EI297" i="55"/>
  <c r="EO186" i="55"/>
  <c r="FG99" i="55"/>
  <c r="EI99" i="55"/>
  <c r="EO99" i="55" s="1"/>
  <c r="FG158" i="55"/>
  <c r="EI158" i="55"/>
  <c r="EO158" i="55" s="1"/>
  <c r="FG81" i="55"/>
  <c r="EI81" i="55"/>
  <c r="EO81" i="55" s="1"/>
  <c r="EI236" i="55"/>
  <c r="EO236" i="55" s="1"/>
  <c r="FG236" i="55"/>
  <c r="FG188" i="55"/>
  <c r="EI188" i="55"/>
  <c r="EO188" i="55" s="1"/>
  <c r="EI279" i="55"/>
  <c r="FG279" i="55"/>
  <c r="EI128" i="55"/>
  <c r="FG128" i="55"/>
  <c r="FA351" i="55"/>
  <c r="GB351" i="55" s="1"/>
  <c r="FC351" i="55"/>
  <c r="EW351" i="55"/>
  <c r="FG227" i="55"/>
  <c r="EI227" i="55"/>
  <c r="FG200" i="55"/>
  <c r="EI200" i="55"/>
  <c r="FG182" i="55"/>
  <c r="EI182" i="55"/>
  <c r="EO182" i="55" s="1"/>
  <c r="FG173" i="55"/>
  <c r="EI173" i="55"/>
  <c r="EO207" i="55"/>
  <c r="FG67" i="55"/>
  <c r="EI67" i="55"/>
  <c r="FG142" i="55"/>
  <c r="EI142" i="55"/>
  <c r="EO142" i="55" s="1"/>
  <c r="FG170" i="55"/>
  <c r="EI170" i="55"/>
  <c r="FG149" i="55"/>
  <c r="EI149" i="55"/>
  <c r="EO149" i="55" s="1"/>
  <c r="FG197" i="55"/>
  <c r="EI197" i="55"/>
  <c r="EO197" i="55" s="1"/>
  <c r="FG273" i="55"/>
  <c r="EI273" i="55"/>
  <c r="EO273" i="55" s="1"/>
  <c r="FG156" i="55"/>
  <c r="EI156" i="55"/>
  <c r="FG79" i="55"/>
  <c r="EI79" i="55"/>
  <c r="EO79" i="55" s="1"/>
  <c r="FG333" i="55"/>
  <c r="EI333" i="55"/>
  <c r="FG145" i="55"/>
  <c r="EI145" i="55"/>
  <c r="EO145" i="55" s="1"/>
  <c r="FG208" i="55"/>
  <c r="EI208" i="55"/>
  <c r="EO208" i="55" s="1"/>
  <c r="FG326" i="55"/>
  <c r="EI326" i="55"/>
  <c r="EO326" i="55" s="1"/>
  <c r="EI164" i="55"/>
  <c r="EO164" i="55" s="1"/>
  <c r="FG164" i="55"/>
  <c r="EO229" i="55"/>
  <c r="FG179" i="55"/>
  <c r="EI179" i="55"/>
  <c r="EO179" i="55" s="1"/>
  <c r="FG95" i="55"/>
  <c r="EI95" i="55"/>
  <c r="FG342" i="55"/>
  <c r="EI342" i="55"/>
  <c r="EO342" i="55" s="1"/>
  <c r="FG311" i="55"/>
  <c r="EI311" i="55"/>
  <c r="EO311" i="55" s="1"/>
  <c r="EI349" i="55"/>
  <c r="EO349" i="55" s="1"/>
  <c r="FG349" i="55"/>
  <c r="EI84" i="55"/>
  <c r="FG84" i="55"/>
  <c r="FG110" i="55"/>
  <c r="EI110" i="55"/>
  <c r="EO110" i="55" s="1"/>
  <c r="FG253" i="55"/>
  <c r="EI253" i="55"/>
  <c r="EO253" i="55" s="1"/>
  <c r="FG298" i="55"/>
  <c r="EI298" i="55"/>
  <c r="FG109" i="55"/>
  <c r="EI109" i="55"/>
  <c r="EO109" i="55" s="1"/>
  <c r="FG309" i="55"/>
  <c r="EI309" i="55"/>
  <c r="EO309" i="55" s="1"/>
  <c r="FG167" i="55"/>
  <c r="EI167" i="55"/>
  <c r="EO167" i="55" s="1"/>
  <c r="FF134" i="55"/>
  <c r="EJ134" i="55"/>
  <c r="FG216" i="55"/>
  <c r="EI216" i="55"/>
  <c r="EO216" i="55" s="1"/>
  <c r="FG73" i="55"/>
  <c r="EI73" i="55"/>
  <c r="EO215" i="55"/>
  <c r="FG321" i="55"/>
  <c r="EI321" i="55"/>
  <c r="EO321" i="55" s="1"/>
  <c r="FG277" i="55"/>
  <c r="EI277" i="55"/>
  <c r="EO277" i="55" s="1"/>
  <c r="FG225" i="55"/>
  <c r="EI225" i="55"/>
  <c r="EO225" i="55" s="1"/>
  <c r="AP3" i="40" a="1"/>
  <c r="AP3" i="40" s="1"/>
  <c r="FG206" i="55"/>
  <c r="EI206" i="55"/>
  <c r="EO206" i="55" s="1"/>
  <c r="FG72" i="55"/>
  <c r="EI72" i="55"/>
  <c r="EO290" i="55"/>
  <c r="FG187" i="55"/>
  <c r="EI187" i="55"/>
  <c r="EO187" i="55" s="1"/>
  <c r="EI228" i="55"/>
  <c r="FG228" i="55"/>
  <c r="FG113" i="55"/>
  <c r="EI113" i="55"/>
  <c r="EO113" i="55" s="1"/>
  <c r="FG256" i="55"/>
  <c r="EI256" i="55"/>
  <c r="EO256" i="55" s="1"/>
  <c r="FG240" i="55"/>
  <c r="EI240" i="55"/>
  <c r="FG101" i="55"/>
  <c r="EI101" i="55"/>
  <c r="EO101" i="55" s="1"/>
  <c r="FF169" i="55"/>
  <c r="EJ169" i="55"/>
  <c r="EU112" i="55"/>
  <c r="GU112" i="55" s="1"/>
  <c r="EV112" i="55"/>
  <c r="ET113" i="55"/>
  <c r="EI276" i="55"/>
  <c r="EO276" i="55" s="1"/>
  <c r="FG276" i="55"/>
  <c r="FG151" i="55"/>
  <c r="EI151" i="55"/>
  <c r="FG241" i="55"/>
  <c r="EI241" i="55"/>
  <c r="EO241" i="55" s="1"/>
  <c r="EO209" i="55"/>
  <c r="EM14" i="55"/>
  <c r="FG183" i="55"/>
  <c r="EI183" i="55"/>
  <c r="EO183" i="55" s="1"/>
  <c r="EI185" i="55"/>
  <c r="EO185" i="55" s="1"/>
  <c r="FG185" i="55"/>
  <c r="EO73" i="55"/>
  <c r="EO141" i="55"/>
  <c r="EI280" i="55"/>
  <c r="FG280" i="55"/>
  <c r="FG327" i="55"/>
  <c r="EI327" i="55"/>
  <c r="FG54" i="55"/>
  <c r="EI54" i="55"/>
  <c r="EI293" i="55"/>
  <c r="EO293" i="55" s="1"/>
  <c r="FG293" i="55"/>
  <c r="FG301" i="55"/>
  <c r="EI301" i="55"/>
  <c r="EO301" i="55" s="1"/>
  <c r="FG85" i="55"/>
  <c r="EI85" i="55"/>
  <c r="EO85" i="55" s="1"/>
  <c r="EO134" i="55"/>
  <c r="EO334" i="55"/>
  <c r="FG246" i="55"/>
  <c r="EI246" i="55"/>
  <c r="FG190" i="55"/>
  <c r="EI190" i="55"/>
  <c r="EO190" i="55" s="1"/>
  <c r="FG204" i="55"/>
  <c r="EI204" i="55"/>
  <c r="FG121" i="55"/>
  <c r="EI121" i="55"/>
  <c r="EO121" i="55" s="1"/>
  <c r="FG287" i="55"/>
  <c r="EI287" i="55"/>
  <c r="FG90" i="55"/>
  <c r="EI90" i="55"/>
  <c r="FG259" i="55"/>
  <c r="EI259" i="55"/>
  <c r="FG239" i="55"/>
  <c r="EI239" i="55"/>
  <c r="EO239" i="55" s="1"/>
  <c r="EI74" i="55"/>
  <c r="FG74" i="55"/>
  <c r="FG226" i="55"/>
  <c r="EI226" i="55"/>
  <c r="FF126" i="55"/>
  <c r="EJ126" i="55"/>
  <c r="EO156" i="55"/>
  <c r="CZ165" i="55"/>
  <c r="CY166" i="55"/>
  <c r="FA111" i="55"/>
  <c r="GB111" i="55" s="1"/>
  <c r="EW111" i="55"/>
  <c r="FC111" i="55"/>
  <c r="FG242" i="55"/>
  <c r="EI242" i="55"/>
  <c r="EU98" i="55"/>
  <c r="GU98" i="55" s="1"/>
  <c r="EV98" i="55"/>
  <c r="ET99" i="55"/>
  <c r="FC97" i="55"/>
  <c r="EW97" i="55"/>
  <c r="FA97" i="55"/>
  <c r="GB97" i="55" s="1"/>
  <c r="FG289" i="55"/>
  <c r="EI289" i="55"/>
  <c r="EO289" i="55" s="1"/>
  <c r="EU13" i="55"/>
  <c r="GU13" i="55" s="1"/>
  <c r="EV13" i="55"/>
  <c r="ET14" i="55"/>
  <c r="CZ142" i="55"/>
  <c r="CY143" i="55"/>
  <c r="CZ196" i="55"/>
  <c r="CY197" i="55"/>
  <c r="EI344" i="55"/>
  <c r="EO344" i="55" s="1"/>
  <c r="FG344" i="55"/>
  <c r="FE15" i="55"/>
  <c r="FI15" i="55" s="1"/>
  <c r="FF15" i="55"/>
  <c r="FD15" i="55"/>
  <c r="FG15" i="55"/>
  <c r="DG15" i="55"/>
  <c r="DH15" i="55" s="1"/>
  <c r="DJ15" i="55" s="1" a="1"/>
  <c r="DJ15" i="55" s="1"/>
  <c r="EK16" i="55"/>
  <c r="EL15" i="55"/>
  <c r="FF41" i="55"/>
  <c r="FD41" i="55"/>
  <c r="FG41" i="55"/>
  <c r="FE41" i="55"/>
  <c r="FI41" i="55" s="1"/>
  <c r="EL41" i="55"/>
  <c r="EM41" i="55" s="1"/>
  <c r="DG41" i="55"/>
  <c r="DH41" i="55" s="1"/>
  <c r="DJ41" i="55" s="1" a="1"/>
  <c r="DJ41" i="55" s="1"/>
  <c r="EK42" i="55"/>
  <c r="FC139" i="55"/>
  <c r="FA139" i="55"/>
  <c r="GB139" i="55" s="1"/>
  <c r="EW139" i="55"/>
  <c r="FG202" i="55"/>
  <c r="EI202" i="55"/>
  <c r="EI159" i="55"/>
  <c r="FG159" i="55"/>
  <c r="EO312" i="55"/>
  <c r="EO150" i="55"/>
  <c r="FG181" i="55"/>
  <c r="EI181" i="55"/>
  <c r="FG155" i="55"/>
  <c r="EI155" i="55"/>
  <c r="EO155" i="55" s="1"/>
  <c r="FG63" i="55"/>
  <c r="EI63" i="55"/>
  <c r="EO63" i="55" s="1"/>
  <c r="FG152" i="55"/>
  <c r="EI152" i="55"/>
  <c r="FG210" i="55"/>
  <c r="EI210" i="55"/>
  <c r="FG328" i="55"/>
  <c r="EI328" i="55"/>
  <c r="FG160" i="55"/>
  <c r="EI160" i="55"/>
  <c r="EO160" i="55" s="1"/>
  <c r="FG222" i="55"/>
  <c r="EI222" i="55"/>
  <c r="EO222" i="55" s="1"/>
  <c r="FG334" i="55"/>
  <c r="EI334" i="55"/>
  <c r="EI314" i="55"/>
  <c r="FG314" i="55"/>
  <c r="FG249" i="55"/>
  <c r="EI249" i="55"/>
  <c r="FG135" i="55"/>
  <c r="EI135" i="55"/>
  <c r="FG96" i="55"/>
  <c r="EI96" i="55"/>
  <c r="EO96" i="55" s="1"/>
  <c r="FG258" i="55"/>
  <c r="EI258" i="55"/>
  <c r="EO258" i="55" s="1"/>
  <c r="FG203" i="55"/>
  <c r="EI203" i="55"/>
  <c r="EO203" i="55" s="1"/>
  <c r="EI308" i="55"/>
  <c r="FG308" i="55"/>
  <c r="FG198" i="55"/>
  <c r="EI198" i="55"/>
  <c r="FG106" i="55"/>
  <c r="EI106" i="55"/>
  <c r="FG233" i="55"/>
  <c r="EI233" i="55"/>
  <c r="AR3" i="40" a="1"/>
  <c r="AR3" i="40" s="1"/>
  <c r="FG78" i="55"/>
  <c r="EI78" i="55"/>
  <c r="EO78" i="55" s="1"/>
  <c r="FF136" i="55"/>
  <c r="EJ136" i="55"/>
  <c r="FF59" i="55"/>
  <c r="EJ59" i="55"/>
  <c r="FG82" i="55"/>
  <c r="EI82" i="55"/>
  <c r="EO82" i="55" s="1"/>
  <c r="FG217" i="55"/>
  <c r="EI217" i="55"/>
  <c r="EO217" i="55" s="1"/>
  <c r="FG250" i="55"/>
  <c r="EI250" i="55"/>
  <c r="EO250" i="55" s="1"/>
  <c r="FG332" i="55"/>
  <c r="EI332" i="55"/>
  <c r="FG108" i="55"/>
  <c r="EI108" i="55"/>
  <c r="FG291" i="55"/>
  <c r="EI291" i="55"/>
  <c r="EO291" i="55" s="1"/>
  <c r="GC12" i="55"/>
  <c r="FC12" i="55"/>
  <c r="EW12" i="55"/>
  <c r="FA12" i="55"/>
  <c r="GB12" i="55" s="1"/>
  <c r="EZ12" i="55"/>
  <c r="FF304" i="55"/>
  <c r="EJ304" i="55"/>
  <c r="FG270" i="55"/>
  <c r="EI270" i="55"/>
  <c r="EO270" i="55" s="1"/>
  <c r="FF209" i="55"/>
  <c r="EJ209" i="55"/>
  <c r="DL14" i="55"/>
  <c r="DO14" i="55" s="1"/>
  <c r="DK14" i="55"/>
  <c r="DN14" i="55"/>
  <c r="AE19" i="54" a="1"/>
  <c r="AE19" i="54" s="1"/>
  <c r="DK40" i="55"/>
  <c r="DN40" i="55"/>
  <c r="FG348" i="55"/>
  <c r="EI348" i="55"/>
  <c r="EO348" i="55" s="1"/>
  <c r="FG315" i="55"/>
  <c r="EI315" i="55"/>
  <c r="EO315" i="55" s="1"/>
  <c r="FG65" i="55"/>
  <c r="EI65" i="55"/>
  <c r="EO65" i="55" s="1"/>
  <c r="EO204" i="55"/>
  <c r="FG312" i="55"/>
  <c r="EI312" i="55"/>
  <c r="FG137" i="55"/>
  <c r="EI137" i="55"/>
  <c r="EO137" i="55" s="1"/>
  <c r="FG94" i="55"/>
  <c r="EI94" i="55"/>
  <c r="FG147" i="55"/>
  <c r="EI147" i="55"/>
  <c r="FG60" i="55"/>
  <c r="EI60" i="55"/>
  <c r="FG144" i="55"/>
  <c r="EI144" i="55"/>
  <c r="EO144" i="55" s="1"/>
  <c r="FG300" i="55"/>
  <c r="EI300" i="55"/>
  <c r="FG351" i="55"/>
  <c r="EI351" i="55"/>
  <c r="EO351" i="55" s="1"/>
  <c r="FG83" i="55"/>
  <c r="EI83" i="55"/>
  <c r="FG232" i="55"/>
  <c r="EI232" i="55"/>
  <c r="EO232" i="55" s="1"/>
  <c r="FG237" i="55"/>
  <c r="EI237" i="55"/>
  <c r="FG220" i="55"/>
  <c r="EI220" i="55"/>
  <c r="EO220" i="55" s="1"/>
  <c r="FG296" i="55"/>
  <c r="EI296" i="55"/>
  <c r="FG77" i="55"/>
  <c r="EI77" i="55"/>
  <c r="EO77" i="55" s="1"/>
  <c r="FG97" i="55"/>
  <c r="EI97" i="55"/>
  <c r="FG115" i="55"/>
  <c r="EI115" i="55"/>
  <c r="EO115" i="55" s="1"/>
  <c r="FG267" i="55"/>
  <c r="EI267" i="55"/>
  <c r="FG87" i="55"/>
  <c r="EI87" i="55"/>
  <c r="EO87" i="55" s="1"/>
  <c r="FA193" i="55"/>
  <c r="GB193" i="55" s="1"/>
  <c r="EW193" i="55"/>
  <c r="FC193" i="55"/>
  <c r="FF141" i="55"/>
  <c r="EJ141" i="55"/>
  <c r="FG165" i="55"/>
  <c r="EI165" i="55"/>
  <c r="EO165" i="55" s="1"/>
  <c r="FG252" i="55"/>
  <c r="EI252" i="55"/>
  <c r="EO252" i="55" s="1"/>
  <c r="FX13" i="55" a="1"/>
  <c r="FX13" i="55" s="1"/>
  <c r="FY13" i="55" s="1"/>
  <c r="FV13" i="55" a="1"/>
  <c r="FV13" i="55" s="1"/>
  <c r="FW13" i="55" s="1"/>
  <c r="FT13" i="55" a="1"/>
  <c r="FT13" i="55" s="1"/>
  <c r="FU13" i="55" s="1"/>
  <c r="FZ13" i="55" a="1"/>
  <c r="FZ13" i="55" s="1"/>
  <c r="GA13" i="55" s="1"/>
  <c r="FP13" i="55" a="1"/>
  <c r="FP13" i="55" s="1"/>
  <c r="FQ13" i="55" s="1"/>
  <c r="FR13" i="55" a="1"/>
  <c r="FR13" i="55" s="1"/>
  <c r="FS13" i="55" s="1"/>
  <c r="EV293" i="55"/>
  <c r="EU293" i="55"/>
  <c r="GU293" i="55" s="1"/>
  <c r="ET294" i="55"/>
  <c r="EI329" i="55"/>
  <c r="EO329" i="55" s="1"/>
  <c r="FG329" i="55"/>
  <c r="FA292" i="55"/>
  <c r="GB292" i="55" s="1"/>
  <c r="EW292" i="55"/>
  <c r="FC292" i="55"/>
  <c r="FG171" i="55"/>
  <c r="EI171" i="55"/>
  <c r="EO171" i="55" s="1"/>
  <c r="EI139" i="55"/>
  <c r="EO139" i="55" s="1"/>
  <c r="FG139" i="55"/>
  <c r="EU140" i="55"/>
  <c r="GU140" i="55" s="1"/>
  <c r="EV140" i="55"/>
  <c r="ET141" i="55"/>
  <c r="EU194" i="55"/>
  <c r="GU194" i="55" s="1"/>
  <c r="EV194" i="55"/>
  <c r="ET195" i="55"/>
  <c r="CY43" i="55"/>
  <c r="CZ42" i="55"/>
  <c r="DD42" i="55" s="1"/>
  <c r="FG338" i="55"/>
  <c r="EI338" i="55"/>
  <c r="FG306" i="55"/>
  <c r="EI306" i="55"/>
  <c r="EO306" i="55" s="1"/>
  <c r="FG264" i="55"/>
  <c r="EI264" i="55"/>
  <c r="EO264" i="55" s="1"/>
  <c r="FG284" i="55"/>
  <c r="EI284" i="55"/>
  <c r="EO284" i="55" s="1"/>
  <c r="FG174" i="55"/>
  <c r="EI174" i="55"/>
  <c r="EO174" i="55" s="1"/>
  <c r="FG255" i="55"/>
  <c r="EI255" i="55"/>
  <c r="FG265" i="55"/>
  <c r="EI265" i="55"/>
  <c r="EO265" i="55" s="1"/>
  <c r="FG201" i="55"/>
  <c r="EI201" i="55"/>
  <c r="FG93" i="55"/>
  <c r="EI93" i="55"/>
  <c r="EO93" i="55" s="1"/>
  <c r="FG176" i="55"/>
  <c r="EI176" i="55"/>
  <c r="FG257" i="55"/>
  <c r="EI257" i="55"/>
  <c r="EO138" i="55"/>
  <c r="EI68" i="55"/>
  <c r="FG68" i="55"/>
  <c r="FG331" i="55"/>
  <c r="EI331" i="55"/>
  <c r="EO331" i="55" s="1"/>
  <c r="EI282" i="55"/>
  <c r="EO282" i="55" s="1"/>
  <c r="FG282" i="55"/>
  <c r="FG69" i="55"/>
  <c r="EI69" i="55"/>
  <c r="FG318" i="55"/>
  <c r="EI318" i="55"/>
  <c r="EO242" i="55"/>
  <c r="FG285" i="55"/>
  <c r="EI285" i="55"/>
  <c r="EO285" i="55" s="1"/>
  <c r="FG89" i="55"/>
  <c r="EI89" i="55"/>
  <c r="EO128" i="55"/>
  <c r="FG261" i="55"/>
  <c r="EI261" i="55"/>
  <c r="FG323" i="55"/>
  <c r="EI323" i="55"/>
  <c r="EO323" i="55" s="1"/>
  <c r="EU164" i="55"/>
  <c r="GU164" i="55" s="1"/>
  <c r="EV164" i="55"/>
  <c r="ET165" i="55"/>
  <c r="FG352" i="55"/>
  <c r="EI352" i="55"/>
  <c r="EO352" i="55" s="1"/>
  <c r="CZ295" i="55" l="1"/>
  <c r="CY296" i="55"/>
  <c r="CY66" i="55"/>
  <c r="CZ65" i="55"/>
  <c r="CZ236" i="55"/>
  <c r="CY237" i="55"/>
  <c r="CZ115" i="55"/>
  <c r="CY116" i="55"/>
  <c r="FF172" i="55"/>
  <c r="EJ172" i="55"/>
  <c r="FF117" i="55"/>
  <c r="EJ117" i="55"/>
  <c r="FF259" i="55"/>
  <c r="EJ259" i="55"/>
  <c r="FF327" i="55"/>
  <c r="EJ327" i="55"/>
  <c r="FF170" i="55"/>
  <c r="EJ170" i="55"/>
  <c r="FF260" i="55"/>
  <c r="EJ260" i="55"/>
  <c r="GF71" i="55"/>
  <c r="EL71" i="55"/>
  <c r="EK71" i="55"/>
  <c r="FF168" i="55"/>
  <c r="EJ168" i="55"/>
  <c r="FF76" i="55"/>
  <c r="EJ76" i="55"/>
  <c r="FF125" i="55"/>
  <c r="EJ125" i="55"/>
  <c r="EO117" i="55"/>
  <c r="FF94" i="55"/>
  <c r="EJ94" i="55"/>
  <c r="FF181" i="55"/>
  <c r="EJ181" i="55"/>
  <c r="FF228" i="55"/>
  <c r="EJ228" i="55"/>
  <c r="FF182" i="55"/>
  <c r="EJ182" i="55"/>
  <c r="FF112" i="55"/>
  <c r="EJ112" i="55"/>
  <c r="DK41" i="55"/>
  <c r="DN41" i="55"/>
  <c r="FF246" i="55"/>
  <c r="EJ246" i="55"/>
  <c r="EO246" i="55"/>
  <c r="FF266" i="55"/>
  <c r="EJ266" i="55"/>
  <c r="FF296" i="55"/>
  <c r="EJ296" i="55"/>
  <c r="FF137" i="55"/>
  <c r="EJ137" i="55"/>
  <c r="FF135" i="55"/>
  <c r="EJ135" i="55"/>
  <c r="EO228" i="55"/>
  <c r="GF169" i="55"/>
  <c r="EK169" i="55"/>
  <c r="EL169" i="55"/>
  <c r="FF200" i="55"/>
  <c r="EJ200" i="55"/>
  <c r="FF321" i="55"/>
  <c r="EJ321" i="55"/>
  <c r="FF84" i="55"/>
  <c r="EJ84" i="55"/>
  <c r="FF164" i="55"/>
  <c r="EJ164" i="55"/>
  <c r="FF99" i="55"/>
  <c r="EJ99" i="55"/>
  <c r="EV42" i="55"/>
  <c r="EU42" i="55"/>
  <c r="GU42" i="55" s="1"/>
  <c r="ET43" i="55"/>
  <c r="FF211" i="55"/>
  <c r="EJ211" i="55"/>
  <c r="FA194" i="55"/>
  <c r="GB194" i="55" s="1"/>
  <c r="EW194" i="55"/>
  <c r="FC194" i="55"/>
  <c r="FF312" i="55"/>
  <c r="EJ312" i="55"/>
  <c r="FF198" i="55"/>
  <c r="EJ198" i="55"/>
  <c r="FF210" i="55"/>
  <c r="EJ210" i="55"/>
  <c r="EU99" i="55"/>
  <c r="GU99" i="55" s="1"/>
  <c r="EV99" i="55"/>
  <c r="ET100" i="55"/>
  <c r="FF280" i="55"/>
  <c r="EJ280" i="55"/>
  <c r="EO280" i="55"/>
  <c r="EO259" i="55"/>
  <c r="EO112" i="55"/>
  <c r="FF227" i="55"/>
  <c r="EJ227" i="55"/>
  <c r="FF177" i="55"/>
  <c r="EJ177" i="55"/>
  <c r="FF131" i="55"/>
  <c r="EJ131" i="55"/>
  <c r="FF80" i="55"/>
  <c r="EJ80" i="55"/>
  <c r="GC41" i="55"/>
  <c r="EW41" i="55"/>
  <c r="FC41" i="55"/>
  <c r="FA41" i="55"/>
  <c r="GB41" i="55" s="1"/>
  <c r="EZ41" i="55"/>
  <c r="FF337" i="55"/>
  <c r="EJ337" i="55"/>
  <c r="FF124" i="55"/>
  <c r="EJ124" i="55"/>
  <c r="CZ143" i="55"/>
  <c r="CY144" i="55"/>
  <c r="FF107" i="55"/>
  <c r="EJ107" i="55"/>
  <c r="FF104" i="55"/>
  <c r="EJ104" i="55"/>
  <c r="FF196" i="55"/>
  <c r="EJ196" i="55"/>
  <c r="FF310" i="55"/>
  <c r="EJ310" i="55"/>
  <c r="FF62" i="55"/>
  <c r="EJ62" i="55"/>
  <c r="FF318" i="55"/>
  <c r="EJ318" i="55"/>
  <c r="FF176" i="55"/>
  <c r="EJ176" i="55"/>
  <c r="FF264" i="55"/>
  <c r="EJ264" i="55"/>
  <c r="EJ252" i="55"/>
  <c r="FF252" i="55"/>
  <c r="EJ291" i="55"/>
  <c r="FF291" i="55"/>
  <c r="EO200" i="55"/>
  <c r="FF226" i="55"/>
  <c r="EJ226" i="55"/>
  <c r="EO327" i="55"/>
  <c r="FF311" i="55"/>
  <c r="EJ311" i="55"/>
  <c r="FF67" i="55"/>
  <c r="EJ67" i="55"/>
  <c r="FF297" i="55"/>
  <c r="EJ297" i="55"/>
  <c r="FF58" i="55"/>
  <c r="EJ58" i="55"/>
  <c r="FF281" i="55"/>
  <c r="EJ281" i="55"/>
  <c r="EU165" i="55"/>
  <c r="GU165" i="55" s="1"/>
  <c r="EV165" i="55"/>
  <c r="ET166" i="55"/>
  <c r="FC140" i="55"/>
  <c r="FA140" i="55"/>
  <c r="GB140" i="55" s="1"/>
  <c r="EW140" i="55"/>
  <c r="EJ220" i="55"/>
  <c r="FF220" i="55"/>
  <c r="FF65" i="55"/>
  <c r="EJ65" i="55"/>
  <c r="FF308" i="55"/>
  <c r="EJ308" i="55"/>
  <c r="EJ152" i="55"/>
  <c r="FF152" i="55"/>
  <c r="EM15" i="55"/>
  <c r="FF287" i="55"/>
  <c r="EJ287" i="55"/>
  <c r="EJ301" i="55"/>
  <c r="FF301" i="55"/>
  <c r="FF208" i="55"/>
  <c r="EJ208" i="55"/>
  <c r="FF111" i="55"/>
  <c r="EJ111" i="55"/>
  <c r="FC237" i="55"/>
  <c r="FA237" i="55"/>
  <c r="GB237" i="55" s="1"/>
  <c r="EW237" i="55"/>
  <c r="EO296" i="55"/>
  <c r="GC13" i="55"/>
  <c r="FC13" i="55"/>
  <c r="EW13" i="55"/>
  <c r="FA13" i="55"/>
  <c r="GB13" i="55" s="1"/>
  <c r="EZ13" i="55"/>
  <c r="FF193" i="55"/>
  <c r="EJ193" i="55"/>
  <c r="EJ29" i="55"/>
  <c r="FF29" i="55"/>
  <c r="FF122" i="55"/>
  <c r="EJ122" i="55"/>
  <c r="EJ116" i="55"/>
  <c r="FF116" i="55"/>
  <c r="EO226" i="55"/>
  <c r="FF267" i="55"/>
  <c r="EJ267" i="55"/>
  <c r="FF203" i="55"/>
  <c r="EJ203" i="55"/>
  <c r="EO196" i="55"/>
  <c r="FF254" i="55"/>
  <c r="EJ254" i="55"/>
  <c r="FF192" i="55"/>
  <c r="EJ192" i="55"/>
  <c r="FF245" i="55"/>
  <c r="EJ245" i="55"/>
  <c r="FF143" i="55"/>
  <c r="EJ143" i="55"/>
  <c r="EJ86" i="55"/>
  <c r="FF86" i="55"/>
  <c r="EJ268" i="55"/>
  <c r="FF268" i="55"/>
  <c r="EO168" i="55"/>
  <c r="EJ162" i="55"/>
  <c r="FF162" i="55"/>
  <c r="EO84" i="55"/>
  <c r="EJ138" i="55"/>
  <c r="FF138" i="55"/>
  <c r="EO281" i="55"/>
  <c r="EJ323" i="55"/>
  <c r="FF323" i="55"/>
  <c r="EJ201" i="55"/>
  <c r="FF201" i="55"/>
  <c r="EO201" i="55"/>
  <c r="GF141" i="55"/>
  <c r="EL141" i="55"/>
  <c r="EK141" i="55"/>
  <c r="FF60" i="55"/>
  <c r="EJ60" i="55"/>
  <c r="EJ108" i="55"/>
  <c r="FF108" i="55"/>
  <c r="EO108" i="55"/>
  <c r="GF136" i="55"/>
  <c r="EL136" i="55"/>
  <c r="EK136" i="55"/>
  <c r="EO152" i="55"/>
  <c r="FF63" i="55"/>
  <c r="EJ63" i="55"/>
  <c r="FF74" i="55"/>
  <c r="EJ74" i="55"/>
  <c r="FF183" i="55"/>
  <c r="EJ183" i="55"/>
  <c r="FF206" i="55"/>
  <c r="EJ206" i="55"/>
  <c r="FF253" i="55"/>
  <c r="EJ253" i="55"/>
  <c r="FF145" i="55"/>
  <c r="EJ145" i="55"/>
  <c r="FF173" i="55"/>
  <c r="EJ173" i="55"/>
  <c r="EO173" i="55"/>
  <c r="FF140" i="55"/>
  <c r="EJ140" i="55"/>
  <c r="FF303" i="55"/>
  <c r="EJ303" i="55"/>
  <c r="EJ194" i="55"/>
  <c r="FF194" i="55"/>
  <c r="FF286" i="55"/>
  <c r="EJ286" i="55"/>
  <c r="FF278" i="55"/>
  <c r="EJ278" i="55"/>
  <c r="EO278" i="55"/>
  <c r="GF163" i="55"/>
  <c r="EL163" i="55"/>
  <c r="EK163" i="55"/>
  <c r="EJ91" i="55"/>
  <c r="FF91" i="55"/>
  <c r="EO104" i="55"/>
  <c r="EO111" i="55"/>
  <c r="FF105" i="55"/>
  <c r="EJ105" i="55"/>
  <c r="EJ98" i="55"/>
  <c r="FF98" i="55"/>
  <c r="EO98" i="55"/>
  <c r="FF294" i="55"/>
  <c r="EJ294" i="55"/>
  <c r="FF83" i="55"/>
  <c r="EJ83" i="55"/>
  <c r="EO83" i="55"/>
  <c r="GF295" i="55"/>
  <c r="EK295" i="55"/>
  <c r="EL295" i="55"/>
  <c r="EJ271" i="55"/>
  <c r="FF271" i="55"/>
  <c r="FF96" i="55"/>
  <c r="EJ96" i="55"/>
  <c r="FF277" i="55"/>
  <c r="EJ277" i="55"/>
  <c r="FF343" i="55"/>
  <c r="EJ343" i="55"/>
  <c r="FF251" i="55"/>
  <c r="EJ251" i="55"/>
  <c r="FF153" i="55"/>
  <c r="EJ153" i="55"/>
  <c r="FF247" i="55"/>
  <c r="EJ247" i="55"/>
  <c r="EV66" i="55"/>
  <c r="EU66" i="55"/>
  <c r="GU66" i="55" s="1"/>
  <c r="ET67" i="55"/>
  <c r="FF191" i="55"/>
  <c r="EJ191" i="55"/>
  <c r="FF275" i="55"/>
  <c r="EJ275" i="55"/>
  <c r="FF284" i="55"/>
  <c r="EJ284" i="55"/>
  <c r="GF126" i="55"/>
  <c r="EL126" i="55"/>
  <c r="EK126" i="55"/>
  <c r="EJ309" i="55"/>
  <c r="FF309" i="55"/>
  <c r="FA65" i="55"/>
  <c r="GB65" i="55" s="1"/>
  <c r="EW65" i="55"/>
  <c r="FC65" i="55"/>
  <c r="FF244" i="55"/>
  <c r="EJ244" i="55"/>
  <c r="FF257" i="55"/>
  <c r="EJ257" i="55"/>
  <c r="EO260" i="55"/>
  <c r="EO251" i="55"/>
  <c r="FF205" i="55"/>
  <c r="EJ205" i="55"/>
  <c r="FF314" i="55"/>
  <c r="EJ314" i="55"/>
  <c r="FF159" i="55"/>
  <c r="EJ159" i="55"/>
  <c r="FF242" i="55"/>
  <c r="EJ242" i="55"/>
  <c r="FF101" i="55"/>
  <c r="EJ101" i="55"/>
  <c r="FF72" i="55"/>
  <c r="EJ72" i="55"/>
  <c r="FF279" i="55"/>
  <c r="EJ279" i="55"/>
  <c r="EJ302" i="55"/>
  <c r="FF302" i="55"/>
  <c r="FF166" i="55"/>
  <c r="EJ166" i="55"/>
  <c r="FF320" i="55"/>
  <c r="EJ320" i="55"/>
  <c r="FF93" i="55"/>
  <c r="EJ93" i="55"/>
  <c r="FF144" i="55"/>
  <c r="EJ144" i="55"/>
  <c r="GF59" i="55"/>
  <c r="EL59" i="55"/>
  <c r="EK59" i="55"/>
  <c r="FF202" i="55"/>
  <c r="EJ202" i="55"/>
  <c r="FF298" i="55"/>
  <c r="EJ298" i="55"/>
  <c r="EO205" i="55"/>
  <c r="EO314" i="55"/>
  <c r="FF235" i="55"/>
  <c r="EJ235" i="55"/>
  <c r="GF229" i="55"/>
  <c r="EL229" i="55"/>
  <c r="EK229" i="55"/>
  <c r="DK15" i="55"/>
  <c r="BU20" i="54" s="1" a="1"/>
  <c r="BU20" i="54" s="1"/>
  <c r="DL15" i="55"/>
  <c r="DO15" i="55" s="1"/>
  <c r="DN15" i="55"/>
  <c r="AE20" i="54" a="1"/>
  <c r="AE20" i="54" s="1"/>
  <c r="FF121" i="55"/>
  <c r="EJ121" i="55"/>
  <c r="FF185" i="55"/>
  <c r="EJ185" i="55"/>
  <c r="FF189" i="55"/>
  <c r="EJ189" i="55"/>
  <c r="FF282" i="55"/>
  <c r="EJ282" i="55"/>
  <c r="FF334" i="55"/>
  <c r="EJ334" i="55"/>
  <c r="FF119" i="55"/>
  <c r="EJ119" i="55"/>
  <c r="FF221" i="55"/>
  <c r="EJ221" i="55"/>
  <c r="EO72" i="55"/>
  <c r="FF305" i="55"/>
  <c r="EJ305" i="55"/>
  <c r="FF56" i="55"/>
  <c r="EJ56" i="55"/>
  <c r="EO191" i="55"/>
  <c r="EO266" i="55"/>
  <c r="FA293" i="55"/>
  <c r="GB293" i="55" s="1"/>
  <c r="FC293" i="55"/>
  <c r="EW293" i="55"/>
  <c r="FF160" i="55"/>
  <c r="EJ160" i="55"/>
  <c r="FF344" i="55"/>
  <c r="EJ344" i="55"/>
  <c r="GF134" i="55"/>
  <c r="EL134" i="55"/>
  <c r="EK134" i="55"/>
  <c r="FF231" i="55"/>
  <c r="EJ231" i="55"/>
  <c r="FF42" i="55"/>
  <c r="FD42" i="55"/>
  <c r="FG42" i="55"/>
  <c r="EL42" i="55"/>
  <c r="EM42" i="55" s="1"/>
  <c r="DG42" i="55"/>
  <c r="DH42" i="55" s="1"/>
  <c r="DJ42" i="55" s="1" a="1"/>
  <c r="DJ42" i="55" s="1"/>
  <c r="FE42" i="55"/>
  <c r="FI42" i="55" s="1"/>
  <c r="EK43" i="55"/>
  <c r="EO172" i="55"/>
  <c r="FF299" i="55"/>
  <c r="EJ299" i="55"/>
  <c r="FF347" i="55"/>
  <c r="EJ347" i="55"/>
  <c r="FF89" i="55"/>
  <c r="EJ89" i="55"/>
  <c r="FF68" i="55"/>
  <c r="EJ68" i="55"/>
  <c r="EO68" i="55"/>
  <c r="FF174" i="55"/>
  <c r="EJ174" i="55"/>
  <c r="FF351" i="55"/>
  <c r="EJ351" i="55"/>
  <c r="DL262" i="55"/>
  <c r="DO262" i="55" s="1"/>
  <c r="DL278" i="55"/>
  <c r="DO278" i="55" s="1"/>
  <c r="DL250" i="55"/>
  <c r="DO250" i="55" s="1"/>
  <c r="DL246" i="55"/>
  <c r="DO246" i="55" s="1"/>
  <c r="DL252" i="55"/>
  <c r="DO252" i="55" s="1"/>
  <c r="DL225" i="55"/>
  <c r="DO225" i="55" s="1"/>
  <c r="DL269" i="55"/>
  <c r="DO269" i="55" s="1"/>
  <c r="DL241" i="55"/>
  <c r="DO241" i="55" s="1"/>
  <c r="DL248" i="55"/>
  <c r="DO248" i="55" s="1"/>
  <c r="DL260" i="55"/>
  <c r="DO260" i="55" s="1"/>
  <c r="DL258" i="55"/>
  <c r="DO258" i="55" s="1"/>
  <c r="DL233" i="55"/>
  <c r="DO233" i="55" s="1"/>
  <c r="DL253" i="55"/>
  <c r="DO253" i="55" s="1"/>
  <c r="DL271" i="55"/>
  <c r="DO271" i="55" s="1"/>
  <c r="DL254" i="55"/>
  <c r="DO254" i="55" s="1"/>
  <c r="DL238" i="55"/>
  <c r="DO238" i="55" s="1"/>
  <c r="DL236" i="55"/>
  <c r="DO236" i="55" s="1"/>
  <c r="DL272" i="55"/>
  <c r="DO272" i="55" s="1"/>
  <c r="DL232" i="55"/>
  <c r="DO232" i="55" s="1"/>
  <c r="DL251" i="55"/>
  <c r="DO251" i="55" s="1"/>
  <c r="DL279" i="55"/>
  <c r="DO279" i="55" s="1"/>
  <c r="DL256" i="55"/>
  <c r="DO256" i="55" s="1"/>
  <c r="DL270" i="55"/>
  <c r="DO270" i="55" s="1"/>
  <c r="DL235" i="55"/>
  <c r="DO235" i="55" s="1"/>
  <c r="DL282" i="55"/>
  <c r="DO282" i="55" s="1"/>
  <c r="DL240" i="55"/>
  <c r="DO240" i="55" s="1"/>
  <c r="DL239" i="55"/>
  <c r="DO239" i="55" s="1"/>
  <c r="DL259" i="55"/>
  <c r="DO259" i="55" s="1"/>
  <c r="DL245" i="55"/>
  <c r="DO245" i="55" s="1"/>
  <c r="DL231" i="55"/>
  <c r="DO231" i="55" s="1"/>
  <c r="DL274" i="55"/>
  <c r="DO274" i="55" s="1"/>
  <c r="DL276" i="55"/>
  <c r="DO276" i="55" s="1"/>
  <c r="DL247" i="55"/>
  <c r="DO247" i="55" s="1"/>
  <c r="DL266" i="55"/>
  <c r="DO266" i="55" s="1"/>
  <c r="DL275" i="55"/>
  <c r="DO275" i="55" s="1"/>
  <c r="DL277" i="55"/>
  <c r="DO277" i="55" s="1"/>
  <c r="DL268" i="55"/>
  <c r="DO268" i="55" s="1"/>
  <c r="DL261" i="55"/>
  <c r="DO261" i="55" s="1"/>
  <c r="DL234" i="55"/>
  <c r="DO234" i="55" s="1"/>
  <c r="DL267" i="55"/>
  <c r="DO267" i="55" s="1"/>
  <c r="DL227" i="55"/>
  <c r="DO227" i="55" s="1"/>
  <c r="DL228" i="55"/>
  <c r="DO228" i="55" s="1"/>
  <c r="DL237" i="55"/>
  <c r="DO237" i="55" s="1"/>
  <c r="DL243" i="55"/>
  <c r="DO243" i="55" s="1"/>
  <c r="DL244" i="55"/>
  <c r="DO244" i="55" s="1"/>
  <c r="DL229" i="55"/>
  <c r="DO229" i="55" s="1"/>
  <c r="DL263" i="55"/>
  <c r="DO263" i="55" s="1"/>
  <c r="DL255" i="55"/>
  <c r="DO255" i="55" s="1"/>
  <c r="DL230" i="55"/>
  <c r="DO230" i="55" s="1"/>
  <c r="DL242" i="55"/>
  <c r="DO242" i="55" s="1"/>
  <c r="DL257" i="55"/>
  <c r="DO257" i="55" s="1"/>
  <c r="DL281" i="55"/>
  <c r="DO281" i="55" s="1"/>
  <c r="DL226" i="55"/>
  <c r="DO226" i="55" s="1"/>
  <c r="DL264" i="55"/>
  <c r="DO264" i="55" s="1"/>
  <c r="DL249" i="55"/>
  <c r="DO249" i="55" s="1"/>
  <c r="DL265" i="55"/>
  <c r="DO265" i="55" s="1"/>
  <c r="DL280" i="55"/>
  <c r="DO280" i="55" s="1"/>
  <c r="DL273" i="55"/>
  <c r="DO273" i="55" s="1"/>
  <c r="DL224" i="55"/>
  <c r="DO224" i="55" s="1"/>
  <c r="FF106" i="55"/>
  <c r="EJ106" i="55"/>
  <c r="EJ150" i="55"/>
  <c r="FF150" i="55"/>
  <c r="EO89" i="55"/>
  <c r="FF70" i="55"/>
  <c r="EJ70" i="55"/>
  <c r="EJ120" i="55"/>
  <c r="FF120" i="55"/>
  <c r="EJ30" i="55"/>
  <c r="FF30" i="55"/>
  <c r="EU195" i="55"/>
  <c r="GU195" i="55" s="1"/>
  <c r="EV195" i="55"/>
  <c r="ET196" i="55"/>
  <c r="EJ82" i="55"/>
  <c r="FF82" i="55"/>
  <c r="FF90" i="55"/>
  <c r="EJ90" i="55"/>
  <c r="FF187" i="55"/>
  <c r="EJ187" i="55"/>
  <c r="FF79" i="55"/>
  <c r="EJ79" i="55"/>
  <c r="EO125" i="55"/>
  <c r="FF249" i="55"/>
  <c r="EJ249" i="55"/>
  <c r="EJ87" i="55"/>
  <c r="FF87" i="55"/>
  <c r="FF300" i="55"/>
  <c r="EJ300" i="55"/>
  <c r="EO90" i="55"/>
  <c r="FF85" i="55"/>
  <c r="EJ85" i="55"/>
  <c r="FF151" i="55"/>
  <c r="EJ151" i="55"/>
  <c r="FF109" i="55"/>
  <c r="EJ109" i="55"/>
  <c r="FF128" i="55"/>
  <c r="EJ128" i="55"/>
  <c r="EO343" i="55"/>
  <c r="FF316" i="55"/>
  <c r="EJ316" i="55"/>
  <c r="EO198" i="55"/>
  <c r="FF219" i="55"/>
  <c r="EJ219" i="55"/>
  <c r="EO300" i="55"/>
  <c r="FF238" i="55"/>
  <c r="EJ238" i="55"/>
  <c r="FF234" i="55"/>
  <c r="EJ234" i="55"/>
  <c r="FF346" i="55"/>
  <c r="EJ346" i="55"/>
  <c r="FF180" i="55"/>
  <c r="EJ180" i="55"/>
  <c r="EJ322" i="55"/>
  <c r="FF322" i="55"/>
  <c r="FC164" i="55"/>
  <c r="FA164" i="55"/>
  <c r="GB164" i="55" s="1"/>
  <c r="EW164" i="55"/>
  <c r="FF69" i="55"/>
  <c r="EJ69" i="55"/>
  <c r="EO69" i="55"/>
  <c r="FF165" i="55"/>
  <c r="EJ165" i="55"/>
  <c r="FF16" i="55"/>
  <c r="FG16" i="55"/>
  <c r="FE16" i="55"/>
  <c r="FI16" i="55" s="1"/>
  <c r="FD16" i="55"/>
  <c r="DG16" i="55"/>
  <c r="DH16" i="55" s="1"/>
  <c r="DJ16" i="55" s="1" a="1"/>
  <c r="DJ16" i="55" s="1"/>
  <c r="EK17" i="55"/>
  <c r="EL16" i="55"/>
  <c r="EO176" i="55"/>
  <c r="FF342" i="55"/>
  <c r="EJ342" i="55"/>
  <c r="EJ188" i="55"/>
  <c r="FF188" i="55"/>
  <c r="EJ178" i="55"/>
  <c r="FF178" i="55"/>
  <c r="EO249" i="55"/>
  <c r="FF95" i="55"/>
  <c r="EJ95" i="55"/>
  <c r="EO298" i="55"/>
  <c r="EO322" i="55"/>
  <c r="FA352" i="55"/>
  <c r="FC352" i="55"/>
  <c r="EW352" i="55"/>
  <c r="EJ100" i="55"/>
  <c r="FF100" i="55"/>
  <c r="EO257" i="55"/>
  <c r="FF350" i="55"/>
  <c r="EJ350" i="55"/>
  <c r="EO297" i="55"/>
  <c r="FF157" i="55"/>
  <c r="EJ157" i="55"/>
  <c r="BW18" i="54"/>
  <c r="AR184" i="55"/>
  <c r="FF230" i="55"/>
  <c r="EJ230" i="55"/>
  <c r="EO91" i="55"/>
  <c r="FF223" i="55"/>
  <c r="EJ223" i="55"/>
  <c r="EE27" i="55"/>
  <c r="EO162" i="55"/>
  <c r="FF243" i="55"/>
  <c r="EJ243" i="55"/>
  <c r="EO60" i="55"/>
  <c r="FF214" i="55"/>
  <c r="EJ214" i="55"/>
  <c r="EJ66" i="55"/>
  <c r="FF66" i="55"/>
  <c r="FF255" i="55"/>
  <c r="EJ255" i="55"/>
  <c r="CY167" i="55"/>
  <c r="CZ166" i="55"/>
  <c r="FF190" i="55"/>
  <c r="EJ190" i="55"/>
  <c r="FA112" i="55"/>
  <c r="GB112" i="55" s="1"/>
  <c r="FC112" i="55"/>
  <c r="EW112" i="55"/>
  <c r="FF179" i="55"/>
  <c r="EJ179" i="55"/>
  <c r="FF333" i="55"/>
  <c r="EJ333" i="55"/>
  <c r="FF81" i="55"/>
  <c r="EJ81" i="55"/>
  <c r="FF307" i="55"/>
  <c r="EJ307" i="55"/>
  <c r="FF77" i="55"/>
  <c r="EJ77" i="55"/>
  <c r="FF250" i="55"/>
  <c r="EJ250" i="55"/>
  <c r="EO271" i="55"/>
  <c r="FF199" i="55"/>
  <c r="EJ199" i="55"/>
  <c r="EO199" i="55"/>
  <c r="FF133" i="55"/>
  <c r="EJ133" i="55"/>
  <c r="FF118" i="55"/>
  <c r="EJ118" i="55"/>
  <c r="FF233" i="55"/>
  <c r="EJ233" i="55"/>
  <c r="FF75" i="55"/>
  <c r="EJ75" i="55"/>
  <c r="FF248" i="55"/>
  <c r="EJ248" i="55"/>
  <c r="FF217" i="55"/>
  <c r="EJ217" i="55"/>
  <c r="FF328" i="55"/>
  <c r="EJ328" i="55"/>
  <c r="EO328" i="55"/>
  <c r="EO333" i="55"/>
  <c r="EO118" i="55"/>
  <c r="FF167" i="55"/>
  <c r="EJ167" i="55"/>
  <c r="FF142" i="55"/>
  <c r="EJ142" i="55"/>
  <c r="FF158" i="55"/>
  <c r="EJ158" i="55"/>
  <c r="FF55" i="55"/>
  <c r="EJ55" i="55"/>
  <c r="FF212" i="55"/>
  <c r="EJ212" i="55"/>
  <c r="FF319" i="55"/>
  <c r="EJ319" i="55"/>
  <c r="FF292" i="55"/>
  <c r="EJ292" i="55"/>
  <c r="FF161" i="55"/>
  <c r="EJ161" i="55"/>
  <c r="CY44" i="55"/>
  <c r="CZ43" i="55"/>
  <c r="DD43" i="55" s="1"/>
  <c r="CY198" i="55"/>
  <c r="CZ197" i="55"/>
  <c r="FF241" i="55"/>
  <c r="EJ241" i="55"/>
  <c r="EJ114" i="55"/>
  <c r="FF114" i="55"/>
  <c r="FF345" i="55"/>
  <c r="EJ345" i="55"/>
  <c r="FF285" i="55"/>
  <c r="EJ285" i="55"/>
  <c r="EO120" i="55"/>
  <c r="EO170" i="55"/>
  <c r="FF324" i="55"/>
  <c r="EJ324" i="55"/>
  <c r="FF288" i="55"/>
  <c r="EJ288" i="55"/>
  <c r="EJ28" i="55"/>
  <c r="FF28" i="55"/>
  <c r="EJ146" i="55"/>
  <c r="FF146" i="55"/>
  <c r="EJ57" i="55"/>
  <c r="FF57" i="55"/>
  <c r="FF27" i="55"/>
  <c r="EJ27" i="55"/>
  <c r="AS3" i="40" a="1"/>
  <c r="AS3" i="40" s="1"/>
  <c r="EO288" i="55"/>
  <c r="BU19" i="54" a="1"/>
  <c r="BU19" i="54" s="1"/>
  <c r="EO255" i="55"/>
  <c r="EO233" i="55"/>
  <c r="EO177" i="55"/>
  <c r="EJ274" i="55"/>
  <c r="FF274" i="55"/>
  <c r="EO106" i="55"/>
  <c r="FF352" i="55"/>
  <c r="EJ352" i="55"/>
  <c r="FC98" i="55"/>
  <c r="FA98" i="55"/>
  <c r="GB98" i="55" s="1"/>
  <c r="EW98" i="55"/>
  <c r="EO135" i="55"/>
  <c r="FF349" i="55"/>
  <c r="EJ349" i="55"/>
  <c r="FF326" i="55"/>
  <c r="EJ326" i="55"/>
  <c r="EV238" i="55"/>
  <c r="EU238" i="55"/>
  <c r="GU238" i="55" s="1"/>
  <c r="ET239" i="55"/>
  <c r="EV141" i="55"/>
  <c r="EU141" i="55"/>
  <c r="GU141" i="55" s="1"/>
  <c r="ET142" i="55"/>
  <c r="FF156" i="55"/>
  <c r="EJ156" i="55"/>
  <c r="FF186" i="55"/>
  <c r="EJ186" i="55"/>
  <c r="FF340" i="55"/>
  <c r="EJ340" i="55"/>
  <c r="EO67" i="55"/>
  <c r="FF127" i="55"/>
  <c r="EJ127" i="55"/>
  <c r="FF92" i="55"/>
  <c r="EJ92" i="55"/>
  <c r="FF148" i="55"/>
  <c r="EJ148" i="55"/>
  <c r="EU14" i="55"/>
  <c r="GU14" i="55" s="1"/>
  <c r="EV14" i="55"/>
  <c r="ET15" i="55"/>
  <c r="FN15" i="55" s="1"/>
  <c r="FO15" i="55" s="1"/>
  <c r="EO227" i="55"/>
  <c r="FF272" i="55"/>
  <c r="EJ272" i="55"/>
  <c r="FF218" i="55"/>
  <c r="EJ218" i="55"/>
  <c r="EO310" i="55"/>
  <c r="EO219" i="55"/>
  <c r="FF269" i="55"/>
  <c r="EJ269" i="55"/>
  <c r="FF64" i="55"/>
  <c r="EJ64" i="55"/>
  <c r="GF207" i="55"/>
  <c r="EL207" i="55"/>
  <c r="EK207" i="55"/>
  <c r="EJ306" i="55"/>
  <c r="FF306" i="55"/>
  <c r="EO151" i="55"/>
  <c r="FF237" i="55"/>
  <c r="EJ237" i="55"/>
  <c r="FF315" i="55"/>
  <c r="EJ315" i="55"/>
  <c r="GF209" i="55"/>
  <c r="EK209" i="55"/>
  <c r="EL209" i="55"/>
  <c r="FF240" i="55"/>
  <c r="EJ240" i="55"/>
  <c r="FF73" i="55"/>
  <c r="EJ73" i="55"/>
  <c r="EO240" i="55"/>
  <c r="FF273" i="55"/>
  <c r="EJ273" i="55"/>
  <c r="FF175" i="55"/>
  <c r="EJ175" i="55"/>
  <c r="EO181" i="55"/>
  <c r="EO202" i="55"/>
  <c r="FF139" i="55"/>
  <c r="EJ139" i="55"/>
  <c r="FF115" i="55"/>
  <c r="EJ115" i="55"/>
  <c r="FF232" i="55"/>
  <c r="EJ232" i="55"/>
  <c r="EO279" i="55"/>
  <c r="FF270" i="55"/>
  <c r="EJ270" i="55"/>
  <c r="EO337" i="55"/>
  <c r="FF289" i="55"/>
  <c r="EJ289" i="55"/>
  <c r="EO287" i="55"/>
  <c r="FF293" i="55"/>
  <c r="EJ293" i="55"/>
  <c r="FF256" i="55"/>
  <c r="EJ256" i="55"/>
  <c r="FF216" i="55"/>
  <c r="EJ216" i="55"/>
  <c r="EO192" i="55"/>
  <c r="FF197" i="55"/>
  <c r="EJ197" i="55"/>
  <c r="EO62" i="55"/>
  <c r="EO269" i="55"/>
  <c r="EO210" i="55"/>
  <c r="FF331" i="55"/>
  <c r="EJ331" i="55"/>
  <c r="FF265" i="55"/>
  <c r="EJ265" i="55"/>
  <c r="EO153" i="55"/>
  <c r="FF171" i="55"/>
  <c r="EJ171" i="55"/>
  <c r="FF329" i="55"/>
  <c r="EJ329" i="55"/>
  <c r="FF147" i="55"/>
  <c r="EJ147" i="55"/>
  <c r="FF348" i="55"/>
  <c r="EJ348" i="55"/>
  <c r="EO254" i="55"/>
  <c r="FF78" i="55"/>
  <c r="EJ78" i="55"/>
  <c r="EJ258" i="55"/>
  <c r="FF258" i="55"/>
  <c r="FF155" i="55"/>
  <c r="EJ155" i="55"/>
  <c r="EO143" i="55"/>
  <c r="FF204" i="55"/>
  <c r="EJ204" i="55"/>
  <c r="FF54" i="55"/>
  <c r="EJ54" i="55"/>
  <c r="FN14" i="55"/>
  <c r="FO14" i="55" s="1"/>
  <c r="FF276" i="55"/>
  <c r="EJ276" i="55"/>
  <c r="FF261" i="55"/>
  <c r="EJ261" i="55"/>
  <c r="EJ338" i="55"/>
  <c r="FF338" i="55"/>
  <c r="EO338" i="55"/>
  <c r="EV294" i="55"/>
  <c r="EU294" i="55"/>
  <c r="GU294" i="55" s="1"/>
  <c r="ET295" i="55"/>
  <c r="FF97" i="55"/>
  <c r="EJ97" i="55"/>
  <c r="EO221" i="55"/>
  <c r="GF304" i="55"/>
  <c r="EK304" i="55"/>
  <c r="EL304" i="55"/>
  <c r="FF332" i="55"/>
  <c r="EJ332" i="55"/>
  <c r="EO332" i="55"/>
  <c r="FF222" i="55"/>
  <c r="EJ222" i="55"/>
  <c r="EO318" i="55"/>
  <c r="FF239" i="55"/>
  <c r="EJ239" i="55"/>
  <c r="EU113" i="55"/>
  <c r="GU113" i="55" s="1"/>
  <c r="EV113" i="55"/>
  <c r="ET114" i="55"/>
  <c r="FF113" i="55"/>
  <c r="EJ113" i="55"/>
  <c r="FF225" i="55"/>
  <c r="EJ225" i="55"/>
  <c r="FF110" i="55"/>
  <c r="EJ110" i="55"/>
  <c r="EO292" i="55"/>
  <c r="FF149" i="55"/>
  <c r="EJ149" i="55"/>
  <c r="EO86" i="55"/>
  <c r="FF236" i="55"/>
  <c r="EJ236" i="55"/>
  <c r="EO147" i="55"/>
  <c r="GU352" i="55"/>
  <c r="FF213" i="55"/>
  <c r="EJ213" i="55"/>
  <c r="FF195" i="55"/>
  <c r="EJ195" i="55"/>
  <c r="FF61" i="55"/>
  <c r="EJ61" i="55"/>
  <c r="EO70" i="55"/>
  <c r="EO275" i="55"/>
  <c r="FF339" i="55"/>
  <c r="EJ339" i="55"/>
  <c r="FF123" i="55"/>
  <c r="EJ123" i="55"/>
  <c r="EO94" i="55"/>
  <c r="EO261" i="55"/>
  <c r="FF215" i="55"/>
  <c r="EJ215" i="55"/>
  <c r="FF132" i="55"/>
  <c r="EJ132" i="55"/>
  <c r="FF262" i="55"/>
  <c r="EJ262" i="55"/>
  <c r="FF103" i="55"/>
  <c r="EJ103" i="55"/>
  <c r="FF263" i="55"/>
  <c r="EJ263" i="55"/>
  <c r="EO193" i="55"/>
  <c r="EO350" i="55"/>
  <c r="EJ290" i="55"/>
  <c r="FF290" i="55"/>
  <c r="EO97" i="55"/>
  <c r="BF16" i="10"/>
  <c r="CZ237" i="55" l="1"/>
  <c r="CY238" i="55"/>
  <c r="AT3" i="40" a="1"/>
  <c r="AT3" i="40" s="1"/>
  <c r="CZ66" i="55"/>
  <c r="CY67" i="55"/>
  <c r="CZ116" i="55"/>
  <c r="CY117" i="55"/>
  <c r="CZ296" i="55"/>
  <c r="CY297" i="55"/>
  <c r="FZ15" i="55" a="1"/>
  <c r="FZ15" i="55" s="1"/>
  <c r="GA15" i="55" s="1"/>
  <c r="FX15" i="55" a="1"/>
  <c r="FX15" i="55" s="1"/>
  <c r="FY15" i="55" s="1"/>
  <c r="FT15" i="55" a="1"/>
  <c r="FT15" i="55" s="1"/>
  <c r="FU15" i="55" s="1"/>
  <c r="FV15" i="55" a="1"/>
  <c r="FV15" i="55" s="1"/>
  <c r="FW15" i="55" s="1"/>
  <c r="FP15" i="55" a="1"/>
  <c r="FP15" i="55" s="1"/>
  <c r="FQ15" i="55" s="1"/>
  <c r="FR15" i="55" a="1"/>
  <c r="FR15" i="55" s="1"/>
  <c r="FS15" i="55" s="1"/>
  <c r="GF197" i="55"/>
  <c r="EK197" i="55"/>
  <c r="EL197" i="55"/>
  <c r="GF193" i="55"/>
  <c r="EL193" i="55"/>
  <c r="EK193" i="55"/>
  <c r="CZ198" i="55"/>
  <c r="CY199" i="55"/>
  <c r="GF217" i="55"/>
  <c r="EL217" i="55"/>
  <c r="EK217" i="55"/>
  <c r="GF179" i="55"/>
  <c r="EL179" i="55"/>
  <c r="EK179" i="55"/>
  <c r="DK16" i="55"/>
  <c r="BU21" i="54" s="1" a="1"/>
  <c r="BU21" i="54" s="1"/>
  <c r="DL16" i="55"/>
  <c r="DO16" i="55" s="1"/>
  <c r="DN16" i="55"/>
  <c r="AE21" i="54" a="1"/>
  <c r="AE21" i="54" s="1"/>
  <c r="GF322" i="55"/>
  <c r="EL322" i="55"/>
  <c r="EK322" i="55"/>
  <c r="GF316" i="55"/>
  <c r="EK316" i="55"/>
  <c r="EL316" i="55"/>
  <c r="GF187" i="55"/>
  <c r="EK187" i="55"/>
  <c r="EL187" i="55"/>
  <c r="GF121" i="55"/>
  <c r="EL121" i="55"/>
  <c r="EK121" i="55"/>
  <c r="GF309" i="55"/>
  <c r="EL309" i="55"/>
  <c r="EK309" i="55"/>
  <c r="GF277" i="55"/>
  <c r="EK277" i="55"/>
  <c r="EL277" i="55"/>
  <c r="GF83" i="55"/>
  <c r="EL83" i="55"/>
  <c r="EK83" i="55"/>
  <c r="GC163" i="55"/>
  <c r="EZ163" i="55"/>
  <c r="GF138" i="55"/>
  <c r="EK138" i="55"/>
  <c r="EL138" i="55"/>
  <c r="GF192" i="55"/>
  <c r="EK192" i="55"/>
  <c r="EL192" i="55"/>
  <c r="GF116" i="55"/>
  <c r="EK116" i="55"/>
  <c r="EL116" i="55"/>
  <c r="GF196" i="55"/>
  <c r="EL196" i="55"/>
  <c r="EK196" i="55"/>
  <c r="GF137" i="55"/>
  <c r="EL137" i="55"/>
  <c r="EK137" i="55"/>
  <c r="GF181" i="55"/>
  <c r="EL181" i="55"/>
  <c r="EK181" i="55"/>
  <c r="EM71" i="55"/>
  <c r="EN71" i="55" s="1"/>
  <c r="EP71" i="55" s="1"/>
  <c r="GF149" i="55"/>
  <c r="EL149" i="55"/>
  <c r="EK149" i="55"/>
  <c r="GF27" i="55"/>
  <c r="EL27" i="55"/>
  <c r="EK27" i="55"/>
  <c r="AJ3" i="40" a="1"/>
  <c r="AJ3" i="40" s="1"/>
  <c r="BF9" i="10" s="1"/>
  <c r="GF348" i="55"/>
  <c r="EK348" i="55"/>
  <c r="EL348" i="55"/>
  <c r="GF167" i="55"/>
  <c r="EK167" i="55"/>
  <c r="EL167" i="55"/>
  <c r="GF234" i="55"/>
  <c r="EL234" i="55"/>
  <c r="EK234" i="55"/>
  <c r="GF284" i="55"/>
  <c r="EL284" i="55"/>
  <c r="EK284" i="55"/>
  <c r="GF276" i="55"/>
  <c r="EK276" i="55"/>
  <c r="EL276" i="55"/>
  <c r="GF232" i="55"/>
  <c r="EL232" i="55"/>
  <c r="EK232" i="55"/>
  <c r="GF109" i="55"/>
  <c r="EL109" i="55"/>
  <c r="EK109" i="55"/>
  <c r="EZ229" i="55"/>
  <c r="GC229" i="55"/>
  <c r="GF244" i="55"/>
  <c r="EK244" i="55"/>
  <c r="EL244" i="55"/>
  <c r="GF286" i="55"/>
  <c r="EL286" i="55"/>
  <c r="EK286" i="55"/>
  <c r="GF176" i="55"/>
  <c r="EK176" i="55"/>
  <c r="EL176" i="55"/>
  <c r="GF326" i="55"/>
  <c r="EL326" i="55"/>
  <c r="EK326" i="55"/>
  <c r="GF57" i="55"/>
  <c r="EL57" i="55"/>
  <c r="EK57" i="55"/>
  <c r="EU196" i="55"/>
  <c r="GU196" i="55" s="1"/>
  <c r="EV196" i="55"/>
  <c r="ET197" i="55"/>
  <c r="GF174" i="55"/>
  <c r="EL174" i="55"/>
  <c r="EK174" i="55"/>
  <c r="EM229" i="55"/>
  <c r="EN229" i="55" s="1"/>
  <c r="EP229" i="55" s="1"/>
  <c r="FN229" i="55"/>
  <c r="FO229" i="55" s="1"/>
  <c r="GF242" i="55"/>
  <c r="EK242" i="55"/>
  <c r="EL242" i="55"/>
  <c r="GF98" i="55"/>
  <c r="EL98" i="55"/>
  <c r="EK98" i="55"/>
  <c r="GF183" i="55"/>
  <c r="EL183" i="55"/>
  <c r="EK183" i="55"/>
  <c r="GF203" i="55"/>
  <c r="EL203" i="55"/>
  <c r="EK203" i="55"/>
  <c r="GF208" i="55"/>
  <c r="EK208" i="55"/>
  <c r="EL208" i="55"/>
  <c r="GF112" i="55"/>
  <c r="EK112" i="55"/>
  <c r="EL112" i="55"/>
  <c r="GF61" i="55"/>
  <c r="EL61" i="55"/>
  <c r="EK61" i="55"/>
  <c r="EM304" i="55"/>
  <c r="EN304" i="55" s="1"/>
  <c r="EP304" i="55" s="1"/>
  <c r="GF115" i="55"/>
  <c r="EL115" i="55"/>
  <c r="EK115" i="55"/>
  <c r="GF235" i="55"/>
  <c r="EL235" i="55"/>
  <c r="EK235" i="55"/>
  <c r="GF159" i="55"/>
  <c r="EK159" i="55"/>
  <c r="EL159" i="55"/>
  <c r="GF191" i="55"/>
  <c r="EK191" i="55"/>
  <c r="EL191" i="55"/>
  <c r="EM295" i="55"/>
  <c r="EN295" i="55" s="1"/>
  <c r="EP295" i="55" s="1"/>
  <c r="FN295" i="55"/>
  <c r="FO295" i="55" s="1"/>
  <c r="GF194" i="55"/>
  <c r="EL194" i="55"/>
  <c r="EK194" i="55"/>
  <c r="GF74" i="55"/>
  <c r="EL74" i="55"/>
  <c r="EK74" i="55"/>
  <c r="GF80" i="55"/>
  <c r="EK80" i="55"/>
  <c r="EL80" i="55"/>
  <c r="GF259" i="55"/>
  <c r="EK259" i="55"/>
  <c r="EL259" i="55"/>
  <c r="GF256" i="55"/>
  <c r="EK256" i="55"/>
  <c r="EL256" i="55"/>
  <c r="CY168" i="55"/>
  <c r="CZ167" i="55"/>
  <c r="GF100" i="55"/>
  <c r="EL100" i="55"/>
  <c r="EK100" i="55"/>
  <c r="FF43" i="55"/>
  <c r="FD43" i="55"/>
  <c r="FG43" i="55"/>
  <c r="FE43" i="55"/>
  <c r="FI43" i="55" s="1"/>
  <c r="DG43" i="55"/>
  <c r="DH43" i="55" s="1"/>
  <c r="DJ43" i="55" s="1" a="1"/>
  <c r="DJ43" i="55" s="1"/>
  <c r="EK44" i="55"/>
  <c r="EL43" i="55"/>
  <c r="EM43" i="55" s="1"/>
  <c r="GF344" i="55"/>
  <c r="EL344" i="55"/>
  <c r="EK344" i="55"/>
  <c r="GF282" i="55"/>
  <c r="EL282" i="55"/>
  <c r="EK282" i="55"/>
  <c r="GF86" i="55"/>
  <c r="EL86" i="55"/>
  <c r="EK86" i="55"/>
  <c r="GF311" i="55"/>
  <c r="EK311" i="55"/>
  <c r="EL311" i="55"/>
  <c r="GF62" i="55"/>
  <c r="EL62" i="55"/>
  <c r="EK62" i="55"/>
  <c r="EV43" i="55"/>
  <c r="EU43" i="55"/>
  <c r="GU43" i="55" s="1"/>
  <c r="ET44" i="55"/>
  <c r="GF171" i="55"/>
  <c r="EL171" i="55"/>
  <c r="EK171" i="55"/>
  <c r="GF156" i="55"/>
  <c r="EL156" i="55"/>
  <c r="EK156" i="55"/>
  <c r="EV67" i="55"/>
  <c r="EU67" i="55"/>
  <c r="GU67" i="55" s="1"/>
  <c r="ET68" i="55"/>
  <c r="GF343" i="55"/>
  <c r="EL343" i="55"/>
  <c r="EK343" i="55"/>
  <c r="GF63" i="55"/>
  <c r="EL63" i="55"/>
  <c r="EK63" i="55"/>
  <c r="CZ144" i="55"/>
  <c r="CY145" i="55"/>
  <c r="GF131" i="55"/>
  <c r="EL131" i="55"/>
  <c r="EK131" i="55"/>
  <c r="GF198" i="55"/>
  <c r="EL198" i="55"/>
  <c r="EK198" i="55"/>
  <c r="GF213" i="55"/>
  <c r="EL213" i="55"/>
  <c r="EK213" i="55"/>
  <c r="GF293" i="55"/>
  <c r="EL293" i="55"/>
  <c r="EK293" i="55"/>
  <c r="GF315" i="55"/>
  <c r="EK315" i="55"/>
  <c r="EL315" i="55"/>
  <c r="GF212" i="55"/>
  <c r="EK212" i="55"/>
  <c r="EL212" i="55"/>
  <c r="GF81" i="55"/>
  <c r="EL81" i="55"/>
  <c r="EK81" i="55"/>
  <c r="GF89" i="55"/>
  <c r="EK89" i="55"/>
  <c r="EL89" i="55"/>
  <c r="GF140" i="55"/>
  <c r="EK140" i="55"/>
  <c r="EL140" i="55"/>
  <c r="GF143" i="55"/>
  <c r="EK143" i="55"/>
  <c r="EL143" i="55"/>
  <c r="GF287" i="55"/>
  <c r="EL287" i="55"/>
  <c r="EK287" i="55"/>
  <c r="GF265" i="55"/>
  <c r="EL265" i="55"/>
  <c r="EK265" i="55"/>
  <c r="GF302" i="55"/>
  <c r="EL302" i="55"/>
  <c r="EK302" i="55"/>
  <c r="EZ136" i="55"/>
  <c r="GC136" i="55"/>
  <c r="GF245" i="55"/>
  <c r="EL245" i="55"/>
  <c r="EK245" i="55"/>
  <c r="GF135" i="55"/>
  <c r="EK135" i="55"/>
  <c r="EL135" i="55"/>
  <c r="GF148" i="55"/>
  <c r="EL148" i="55"/>
  <c r="EK148" i="55"/>
  <c r="FG17" i="55"/>
  <c r="FE17" i="55"/>
  <c r="FI17" i="55" s="1"/>
  <c r="FF17" i="55"/>
  <c r="FD17" i="55"/>
  <c r="DG17" i="55"/>
  <c r="DH17" i="55" s="1"/>
  <c r="DJ17" i="55" s="1" a="1"/>
  <c r="DJ17" i="55" s="1"/>
  <c r="EK18" i="55"/>
  <c r="EL17" i="55"/>
  <c r="GF120" i="55"/>
  <c r="EL120" i="55"/>
  <c r="EK120" i="55"/>
  <c r="GF347" i="55"/>
  <c r="EK347" i="55"/>
  <c r="EL347" i="55"/>
  <c r="GF305" i="55"/>
  <c r="EL305" i="55"/>
  <c r="EK305" i="55"/>
  <c r="GF279" i="55"/>
  <c r="EK279" i="55"/>
  <c r="EL279" i="55"/>
  <c r="GF173" i="55"/>
  <c r="EL173" i="55"/>
  <c r="EK173" i="55"/>
  <c r="EM136" i="55"/>
  <c r="EN136" i="55" s="1"/>
  <c r="EP136" i="55" s="1"/>
  <c r="FN136" i="55"/>
  <c r="FO136" i="55" s="1"/>
  <c r="FC165" i="55"/>
  <c r="FA165" i="55"/>
  <c r="GB165" i="55" s="1"/>
  <c r="EW165" i="55"/>
  <c r="GF124" i="55"/>
  <c r="EL124" i="55"/>
  <c r="EK124" i="55"/>
  <c r="GF227" i="55"/>
  <c r="EK227" i="55"/>
  <c r="EL227" i="55"/>
  <c r="GF164" i="55"/>
  <c r="EL164" i="55"/>
  <c r="EK164" i="55"/>
  <c r="GF246" i="55"/>
  <c r="EL246" i="55"/>
  <c r="EK246" i="55"/>
  <c r="GF172" i="55"/>
  <c r="EL172" i="55"/>
  <c r="EK172" i="55"/>
  <c r="GF290" i="55"/>
  <c r="EK290" i="55"/>
  <c r="EL290" i="55"/>
  <c r="GF239" i="55"/>
  <c r="EK239" i="55"/>
  <c r="EL239" i="55"/>
  <c r="FC294" i="55"/>
  <c r="FA294" i="55"/>
  <c r="GB294" i="55" s="1"/>
  <c r="EW294" i="55"/>
  <c r="GF331" i="55"/>
  <c r="EL331" i="55"/>
  <c r="EK331" i="55"/>
  <c r="GF289" i="55"/>
  <c r="EL289" i="55"/>
  <c r="EK289" i="55"/>
  <c r="GF273" i="55"/>
  <c r="EK273" i="55"/>
  <c r="EL273" i="55"/>
  <c r="GF236" i="55"/>
  <c r="EL236" i="55"/>
  <c r="EK236" i="55"/>
  <c r="GF258" i="55"/>
  <c r="EL258" i="55"/>
  <c r="EK258" i="55"/>
  <c r="GF92" i="55"/>
  <c r="EL92" i="55"/>
  <c r="EK92" i="55"/>
  <c r="GC141" i="55"/>
  <c r="FC141" i="55"/>
  <c r="FA141" i="55"/>
  <c r="GB141" i="55" s="1"/>
  <c r="EZ141" i="55"/>
  <c r="EW141" i="55"/>
  <c r="GF158" i="55"/>
  <c r="EL158" i="55"/>
  <c r="EK158" i="55"/>
  <c r="GF250" i="55"/>
  <c r="EL250" i="55"/>
  <c r="EK250" i="55"/>
  <c r="GF66" i="55"/>
  <c r="EK66" i="55"/>
  <c r="EZ66" i="55" s="1"/>
  <c r="EL66" i="55"/>
  <c r="GF180" i="55"/>
  <c r="EK180" i="55"/>
  <c r="EL180" i="55"/>
  <c r="GF87" i="55"/>
  <c r="EL87" i="55"/>
  <c r="EK87" i="55"/>
  <c r="GF70" i="55"/>
  <c r="EK70" i="55"/>
  <c r="EL70" i="55"/>
  <c r="GC59" i="55"/>
  <c r="EZ59" i="55"/>
  <c r="EM163" i="55"/>
  <c r="EN163" i="55" s="1"/>
  <c r="EP163" i="55" s="1"/>
  <c r="FN163" i="55"/>
  <c r="FO163" i="55" s="1"/>
  <c r="GF145" i="55"/>
  <c r="EL145" i="55"/>
  <c r="EK145" i="55"/>
  <c r="GF122" i="55"/>
  <c r="EL122" i="55"/>
  <c r="EK122" i="55"/>
  <c r="GF152" i="55"/>
  <c r="EL152" i="55"/>
  <c r="EK152" i="55"/>
  <c r="GF281" i="55"/>
  <c r="EK281" i="55"/>
  <c r="EL281" i="55"/>
  <c r="GF291" i="55"/>
  <c r="EL291" i="55"/>
  <c r="EK291" i="55"/>
  <c r="GF337" i="55"/>
  <c r="EL337" i="55"/>
  <c r="EK337" i="55"/>
  <c r="GF84" i="55"/>
  <c r="EL84" i="55"/>
  <c r="EK84" i="55"/>
  <c r="GF261" i="55"/>
  <c r="EK261" i="55"/>
  <c r="EL261" i="55"/>
  <c r="EM207" i="55"/>
  <c r="EN207" i="55" s="1"/>
  <c r="EP207" i="55" s="1"/>
  <c r="GF144" i="55"/>
  <c r="EK144" i="55"/>
  <c r="EL144" i="55"/>
  <c r="GF257" i="55"/>
  <c r="EL257" i="55"/>
  <c r="EK257" i="55"/>
  <c r="GF153" i="55"/>
  <c r="EL153" i="55"/>
  <c r="EK153" i="55"/>
  <c r="GF278" i="55"/>
  <c r="EL278" i="55"/>
  <c r="EK278" i="55"/>
  <c r="GF60" i="55"/>
  <c r="EK60" i="55"/>
  <c r="EL60" i="55"/>
  <c r="GF111" i="55"/>
  <c r="EL111" i="55"/>
  <c r="EK111" i="55"/>
  <c r="GF170" i="55"/>
  <c r="EL170" i="55"/>
  <c r="EK170" i="55"/>
  <c r="GF240" i="55"/>
  <c r="EK240" i="55"/>
  <c r="EL240" i="55"/>
  <c r="GF75" i="55"/>
  <c r="EL75" i="55"/>
  <c r="EK75" i="55"/>
  <c r="GF243" i="55"/>
  <c r="EK243" i="55"/>
  <c r="EL243" i="55"/>
  <c r="GF165" i="55"/>
  <c r="EL165" i="55"/>
  <c r="EK165" i="55"/>
  <c r="EZ165" i="55" s="1"/>
  <c r="GF82" i="55"/>
  <c r="EL82" i="55"/>
  <c r="EK82" i="55"/>
  <c r="GF231" i="55"/>
  <c r="EK231" i="55"/>
  <c r="EL231" i="55"/>
  <c r="GF206" i="55"/>
  <c r="EL206" i="55"/>
  <c r="EK206" i="55"/>
  <c r="GF332" i="55"/>
  <c r="EK332" i="55"/>
  <c r="EL332" i="55"/>
  <c r="GF340" i="55"/>
  <c r="EL340" i="55"/>
  <c r="EK340" i="55"/>
  <c r="GF292" i="55"/>
  <c r="EL292" i="55"/>
  <c r="EK292" i="55"/>
  <c r="GF350" i="55"/>
  <c r="EL350" i="55"/>
  <c r="EK350" i="55"/>
  <c r="GF93" i="55"/>
  <c r="EL93" i="55"/>
  <c r="EK93" i="55"/>
  <c r="EV100" i="55"/>
  <c r="EU100" i="55"/>
  <c r="GU100" i="55" s="1"/>
  <c r="ET101" i="55"/>
  <c r="GF262" i="55"/>
  <c r="EK262" i="55"/>
  <c r="EL262" i="55"/>
  <c r="GF147" i="55"/>
  <c r="EK147" i="55"/>
  <c r="EL147" i="55"/>
  <c r="GF274" i="55"/>
  <c r="EK274" i="55"/>
  <c r="EL274" i="55"/>
  <c r="GF133" i="55"/>
  <c r="EK133" i="55"/>
  <c r="EL133" i="55"/>
  <c r="GF307" i="55"/>
  <c r="EL307" i="55"/>
  <c r="EK307" i="55"/>
  <c r="GF178" i="55"/>
  <c r="EL178" i="55"/>
  <c r="EK178" i="55"/>
  <c r="EZ134" i="55"/>
  <c r="GC134" i="55"/>
  <c r="GF125" i="55"/>
  <c r="EL125" i="55"/>
  <c r="EK125" i="55"/>
  <c r="GF151" i="55"/>
  <c r="EK151" i="55"/>
  <c r="EL151" i="55"/>
  <c r="FA195" i="55"/>
  <c r="GB195" i="55" s="1"/>
  <c r="FC195" i="55"/>
  <c r="EW195" i="55"/>
  <c r="GF251" i="55"/>
  <c r="EL251" i="55"/>
  <c r="EK251" i="55"/>
  <c r="GF105" i="55"/>
  <c r="EL105" i="55"/>
  <c r="EK105" i="55"/>
  <c r="GF220" i="55"/>
  <c r="EK220" i="55"/>
  <c r="EL220" i="55"/>
  <c r="GF211" i="55"/>
  <c r="EL211" i="55"/>
  <c r="EK211" i="55"/>
  <c r="GF132" i="55"/>
  <c r="EL132" i="55"/>
  <c r="EK132" i="55"/>
  <c r="GF329" i="55"/>
  <c r="EL329" i="55"/>
  <c r="EK329" i="55"/>
  <c r="GF114" i="55"/>
  <c r="EL114" i="55"/>
  <c r="EK114" i="55"/>
  <c r="BW19" i="54"/>
  <c r="AR224" i="55"/>
  <c r="GF320" i="55"/>
  <c r="EK320" i="55"/>
  <c r="EL320" i="55"/>
  <c r="GF210" i="55"/>
  <c r="EL210" i="55"/>
  <c r="EK210" i="55"/>
  <c r="GF266" i="55"/>
  <c r="EL266" i="55"/>
  <c r="EK266" i="55"/>
  <c r="GF76" i="55"/>
  <c r="EL76" i="55"/>
  <c r="EK76" i="55"/>
  <c r="GF195" i="55"/>
  <c r="EL195" i="55"/>
  <c r="EK195" i="55"/>
  <c r="EZ195" i="55" s="1"/>
  <c r="GF139" i="55"/>
  <c r="EK139" i="55"/>
  <c r="EL139" i="55"/>
  <c r="EV15" i="55"/>
  <c r="EU15" i="55"/>
  <c r="GU15" i="55" s="1"/>
  <c r="ET16" i="55"/>
  <c r="GF319" i="55"/>
  <c r="EL319" i="55"/>
  <c r="EK319" i="55"/>
  <c r="GF199" i="55"/>
  <c r="EL199" i="55"/>
  <c r="EK199" i="55"/>
  <c r="GF223" i="55"/>
  <c r="EK223" i="55"/>
  <c r="EL223" i="55"/>
  <c r="GF188" i="55"/>
  <c r="EL188" i="55"/>
  <c r="EK188" i="55"/>
  <c r="GF85" i="55"/>
  <c r="EK85" i="55"/>
  <c r="EL85" i="55"/>
  <c r="GF68" i="55"/>
  <c r="EL68" i="55"/>
  <c r="EK68" i="55"/>
  <c r="GF182" i="55"/>
  <c r="EL182" i="55"/>
  <c r="EK182" i="55"/>
  <c r="GF342" i="55"/>
  <c r="EK342" i="55"/>
  <c r="EL342" i="55"/>
  <c r="GF166" i="55"/>
  <c r="EL166" i="55"/>
  <c r="EK166" i="55"/>
  <c r="GF314" i="55"/>
  <c r="EL314" i="55"/>
  <c r="EK314" i="55"/>
  <c r="GF30" i="55"/>
  <c r="EL30" i="55"/>
  <c r="EM30" i="55" s="1"/>
  <c r="EN30" i="55" s="1"/>
  <c r="EP30" i="55" s="1"/>
  <c r="EK30" i="55"/>
  <c r="EZ30" i="55" s="1"/>
  <c r="DK42" i="55"/>
  <c r="DN42" i="55"/>
  <c r="GF160" i="55"/>
  <c r="EK160" i="55"/>
  <c r="EL160" i="55"/>
  <c r="GF189" i="55"/>
  <c r="EL189" i="55"/>
  <c r="EK189" i="55"/>
  <c r="GC42" i="55"/>
  <c r="EW42" i="55"/>
  <c r="FC42" i="55"/>
  <c r="EZ42" i="55"/>
  <c r="FA42" i="55"/>
  <c r="GB42" i="55" s="1"/>
  <c r="GF168" i="55"/>
  <c r="EL168" i="55"/>
  <c r="EK168" i="55"/>
  <c r="GF288" i="55"/>
  <c r="EK288" i="55"/>
  <c r="EL288" i="55"/>
  <c r="GF230" i="55"/>
  <c r="EL230" i="55"/>
  <c r="EK230" i="55"/>
  <c r="GF205" i="55"/>
  <c r="EK205" i="55"/>
  <c r="EL205" i="55"/>
  <c r="GF91" i="55"/>
  <c r="EL91" i="55"/>
  <c r="EK91" i="55"/>
  <c r="GF323" i="55"/>
  <c r="EK323" i="55"/>
  <c r="EL323" i="55"/>
  <c r="GF177" i="55"/>
  <c r="EL177" i="55"/>
  <c r="EK177" i="55"/>
  <c r="GF99" i="55"/>
  <c r="EK99" i="55"/>
  <c r="EZ99" i="55" s="1"/>
  <c r="EL99" i="55"/>
  <c r="GF117" i="55"/>
  <c r="EL117" i="55"/>
  <c r="EK117" i="55"/>
  <c r="FC113" i="55"/>
  <c r="FA113" i="55"/>
  <c r="GB113" i="55" s="1"/>
  <c r="EW113" i="55"/>
  <c r="GF155" i="55"/>
  <c r="EL155" i="55"/>
  <c r="EK155" i="55"/>
  <c r="GF175" i="55"/>
  <c r="EK175" i="55"/>
  <c r="EL175" i="55"/>
  <c r="GB352" i="55"/>
  <c r="EM16" i="55"/>
  <c r="FN16" i="55"/>
  <c r="FO16" i="55" s="1"/>
  <c r="GF300" i="55"/>
  <c r="EL300" i="55"/>
  <c r="EK300" i="55"/>
  <c r="GF79" i="55"/>
  <c r="EK79" i="55"/>
  <c r="EL79" i="55"/>
  <c r="GF185" i="55"/>
  <c r="EL185" i="55"/>
  <c r="EK185" i="55"/>
  <c r="EU166" i="55"/>
  <c r="GU166" i="55" s="1"/>
  <c r="EV166" i="55"/>
  <c r="ET167" i="55"/>
  <c r="GF90" i="55"/>
  <c r="EL90" i="55"/>
  <c r="EK90" i="55"/>
  <c r="DL308" i="55"/>
  <c r="DO308" i="55" s="1"/>
  <c r="DL287" i="55"/>
  <c r="DO287" i="55" s="1"/>
  <c r="DL298" i="55"/>
  <c r="DO298" i="55" s="1"/>
  <c r="DL305" i="55"/>
  <c r="DO305" i="55" s="1"/>
  <c r="DL285" i="55"/>
  <c r="DO285" i="55" s="1"/>
  <c r="DL284" i="55"/>
  <c r="DO284" i="55" s="1"/>
  <c r="DL286" i="55"/>
  <c r="DO286" i="55" s="1"/>
  <c r="DL288" i="55"/>
  <c r="DO288" i="55" s="1"/>
  <c r="DL304" i="55"/>
  <c r="DO304" i="55" s="1"/>
  <c r="DL301" i="55"/>
  <c r="DO301" i="55" s="1"/>
  <c r="DL299" i="55"/>
  <c r="DO299" i="55" s="1"/>
  <c r="DL302" i="55"/>
  <c r="DO302" i="55" s="1"/>
  <c r="DL306" i="55"/>
  <c r="DO306" i="55" s="1"/>
  <c r="DL297" i="55"/>
  <c r="DO297" i="55" s="1"/>
  <c r="DL295" i="55"/>
  <c r="DO295" i="55" s="1"/>
  <c r="DL309" i="55"/>
  <c r="DO309" i="55" s="1"/>
  <c r="DL310" i="55"/>
  <c r="DO310" i="55" s="1"/>
  <c r="DL291" i="55"/>
  <c r="DO291" i="55" s="1"/>
  <c r="DL300" i="55"/>
  <c r="DO300" i="55" s="1"/>
  <c r="DL293" i="55"/>
  <c r="DO293" i="55" s="1"/>
  <c r="DL294" i="55"/>
  <c r="DO294" i="55" s="1"/>
  <c r="DL311" i="55"/>
  <c r="DO311" i="55" s="1"/>
  <c r="DL307" i="55"/>
  <c r="DO307" i="55" s="1"/>
  <c r="DL303" i="55"/>
  <c r="DO303" i="55" s="1"/>
  <c r="DL292" i="55"/>
  <c r="DO292" i="55" s="1"/>
  <c r="DL312" i="55"/>
  <c r="DO312" i="55" s="1"/>
  <c r="DL296" i="55"/>
  <c r="DO296" i="55" s="1"/>
  <c r="DL289" i="55"/>
  <c r="DO289" i="55" s="1"/>
  <c r="DL290" i="55"/>
  <c r="DO290" i="55" s="1"/>
  <c r="DL283" i="55"/>
  <c r="DO283" i="55" s="1"/>
  <c r="EM59" i="55"/>
  <c r="EN59" i="55" s="1"/>
  <c r="EP59" i="55" s="1"/>
  <c r="FN59" i="55"/>
  <c r="FO59" i="55" s="1"/>
  <c r="GF72" i="55"/>
  <c r="EK72" i="55"/>
  <c r="EL72" i="55"/>
  <c r="EM126" i="55"/>
  <c r="EN126" i="55" s="1"/>
  <c r="EP126" i="55" s="1"/>
  <c r="GF247" i="55"/>
  <c r="EL247" i="55"/>
  <c r="EK247" i="55"/>
  <c r="GF96" i="55"/>
  <c r="EK96" i="55"/>
  <c r="EL96" i="55"/>
  <c r="GF254" i="55"/>
  <c r="EL254" i="55"/>
  <c r="EK254" i="55"/>
  <c r="GF308" i="55"/>
  <c r="EL308" i="55"/>
  <c r="EK308" i="55"/>
  <c r="GF296" i="55"/>
  <c r="EL296" i="55"/>
  <c r="EK296" i="55"/>
  <c r="GF94" i="55"/>
  <c r="EL94" i="55"/>
  <c r="EK94" i="55"/>
  <c r="GF260" i="55"/>
  <c r="EK260" i="55"/>
  <c r="EL260" i="55"/>
  <c r="GF339" i="55"/>
  <c r="EL339" i="55"/>
  <c r="EK339" i="55"/>
  <c r="GF272" i="55"/>
  <c r="EK272" i="55"/>
  <c r="EL272" i="55"/>
  <c r="FA238" i="55"/>
  <c r="GB238" i="55" s="1"/>
  <c r="FC238" i="55"/>
  <c r="EW238" i="55"/>
  <c r="GF285" i="55"/>
  <c r="EL285" i="55"/>
  <c r="EK285" i="55"/>
  <c r="GF161" i="55"/>
  <c r="EL161" i="55"/>
  <c r="EK161" i="55"/>
  <c r="GF351" i="55"/>
  <c r="EK351" i="55"/>
  <c r="EL351" i="55"/>
  <c r="GF221" i="55"/>
  <c r="EL221" i="55"/>
  <c r="EK221" i="55"/>
  <c r="GF101" i="55"/>
  <c r="EL101" i="55"/>
  <c r="EK101" i="55"/>
  <c r="GF29" i="55"/>
  <c r="EL29" i="55"/>
  <c r="EM29" i="55" s="1"/>
  <c r="EK29" i="55"/>
  <c r="GF65" i="55"/>
  <c r="EL65" i="55"/>
  <c r="EK65" i="55"/>
  <c r="GF264" i="55"/>
  <c r="EL264" i="55"/>
  <c r="EK264" i="55"/>
  <c r="GF104" i="55"/>
  <c r="EK104" i="55"/>
  <c r="EL104" i="55"/>
  <c r="GF280" i="55"/>
  <c r="EK280" i="55"/>
  <c r="EL280" i="55"/>
  <c r="GF103" i="55"/>
  <c r="EK103" i="55"/>
  <c r="EL103" i="55"/>
  <c r="GF150" i="55"/>
  <c r="EL150" i="55"/>
  <c r="EK150" i="55"/>
  <c r="GF64" i="55"/>
  <c r="EK64" i="55"/>
  <c r="EL64" i="55"/>
  <c r="GF345" i="55"/>
  <c r="EK345" i="55"/>
  <c r="EL345" i="55"/>
  <c r="GF119" i="55"/>
  <c r="EL119" i="55"/>
  <c r="EK119" i="55"/>
  <c r="GF268" i="55"/>
  <c r="EL268" i="55"/>
  <c r="EK268" i="55"/>
  <c r="GF297" i="55"/>
  <c r="EK297" i="55"/>
  <c r="EL297" i="55"/>
  <c r="GF107" i="55"/>
  <c r="EL107" i="55"/>
  <c r="EK107" i="55"/>
  <c r="GF110" i="55"/>
  <c r="EL110" i="55"/>
  <c r="EK110" i="55"/>
  <c r="GF190" i="55"/>
  <c r="EL190" i="55"/>
  <c r="EK190" i="55"/>
  <c r="GF238" i="55"/>
  <c r="EL238" i="55"/>
  <c r="EK238" i="55"/>
  <c r="EZ238" i="55" s="1"/>
  <c r="GF106" i="55"/>
  <c r="EK106" i="55"/>
  <c r="EL106" i="55"/>
  <c r="GF275" i="55"/>
  <c r="EK275" i="55"/>
  <c r="EL275" i="55"/>
  <c r="EM141" i="55"/>
  <c r="EN141" i="55" s="1"/>
  <c r="EP141" i="55" s="1"/>
  <c r="FN141" i="55"/>
  <c r="FO141" i="55" s="1"/>
  <c r="FA99" i="55"/>
  <c r="GB99" i="55" s="1"/>
  <c r="EW99" i="55"/>
  <c r="FC99" i="55"/>
  <c r="GF327" i="55"/>
  <c r="EL327" i="55"/>
  <c r="EK327" i="55"/>
  <c r="FX14" i="55" a="1"/>
  <c r="FX14" i="55" s="1"/>
  <c r="FY14" i="55" s="1"/>
  <c r="FZ14" i="55" a="1"/>
  <c r="FZ14" i="55" s="1"/>
  <c r="GA14" i="55" s="1"/>
  <c r="FR14" i="55" a="1"/>
  <c r="FR14" i="55" s="1"/>
  <c r="FS14" i="55" s="1"/>
  <c r="FP14" i="55" a="1"/>
  <c r="FP14" i="55" s="1"/>
  <c r="FQ14" i="55" s="1"/>
  <c r="FV14" i="55" a="1"/>
  <c r="FV14" i="55" s="1"/>
  <c r="FW14" i="55" s="1"/>
  <c r="FT14" i="55" a="1"/>
  <c r="FT14" i="55" s="1"/>
  <c r="FU14" i="55" s="1"/>
  <c r="GF216" i="55"/>
  <c r="EK216" i="55"/>
  <c r="EL216" i="55"/>
  <c r="GF69" i="55"/>
  <c r="EL69" i="55"/>
  <c r="EK69" i="55"/>
  <c r="GF249" i="55"/>
  <c r="EL249" i="55"/>
  <c r="EK249" i="55"/>
  <c r="EM134" i="55"/>
  <c r="EN134" i="55" s="1"/>
  <c r="EP134" i="55" s="1"/>
  <c r="FN134" i="55"/>
  <c r="FO134" i="55" s="1"/>
  <c r="GF334" i="55"/>
  <c r="EL334" i="55"/>
  <c r="EK334" i="55"/>
  <c r="GF271" i="55"/>
  <c r="EL271" i="55"/>
  <c r="EK271" i="55"/>
  <c r="GF67" i="55"/>
  <c r="EL67" i="55"/>
  <c r="EK67" i="55"/>
  <c r="GF318" i="55"/>
  <c r="EL318" i="55"/>
  <c r="EK318" i="55"/>
  <c r="GF200" i="55"/>
  <c r="EL200" i="55"/>
  <c r="EK200" i="55"/>
  <c r="GF225" i="55"/>
  <c r="EL225" i="55"/>
  <c r="EK225" i="55"/>
  <c r="GF54" i="55"/>
  <c r="EL54" i="55"/>
  <c r="EK54" i="55"/>
  <c r="EM209" i="55"/>
  <c r="EN209" i="55" s="1"/>
  <c r="EP209" i="55" s="1"/>
  <c r="GF269" i="55"/>
  <c r="EL269" i="55"/>
  <c r="EK269" i="55"/>
  <c r="GF186" i="55"/>
  <c r="EK186" i="55"/>
  <c r="EL186" i="55"/>
  <c r="GF349" i="55"/>
  <c r="EL349" i="55"/>
  <c r="EK349" i="55"/>
  <c r="GF146" i="55"/>
  <c r="EL146" i="55"/>
  <c r="EK146" i="55"/>
  <c r="GF303" i="55"/>
  <c r="EL303" i="55"/>
  <c r="EK303" i="55"/>
  <c r="GF267" i="55"/>
  <c r="EL267" i="55"/>
  <c r="EK267" i="55"/>
  <c r="EM169" i="55"/>
  <c r="EN169" i="55" s="1"/>
  <c r="EP169" i="55" s="1"/>
  <c r="GF215" i="55"/>
  <c r="EL215" i="55"/>
  <c r="EK215" i="55"/>
  <c r="GF113" i="55"/>
  <c r="EL113" i="55"/>
  <c r="EK113" i="55"/>
  <c r="EZ113" i="55" s="1"/>
  <c r="GF204" i="55"/>
  <c r="EL204" i="55"/>
  <c r="EK204" i="55"/>
  <c r="GC14" i="55"/>
  <c r="FA14" i="55"/>
  <c r="GB14" i="55" s="1"/>
  <c r="FC14" i="55"/>
  <c r="EW14" i="55"/>
  <c r="EZ14" i="55"/>
  <c r="GF201" i="55"/>
  <c r="EK201" i="55"/>
  <c r="EL201" i="55"/>
  <c r="GF301" i="55"/>
  <c r="EL301" i="55"/>
  <c r="EK301" i="55"/>
  <c r="GF97" i="55"/>
  <c r="EK97" i="55"/>
  <c r="EL97" i="55"/>
  <c r="GF28" i="55"/>
  <c r="EL28" i="55"/>
  <c r="EK28" i="55"/>
  <c r="GF219" i="55"/>
  <c r="EL219" i="55"/>
  <c r="EK219" i="55"/>
  <c r="GF310" i="55"/>
  <c r="EK310" i="55"/>
  <c r="EL310" i="55"/>
  <c r="EU114" i="55"/>
  <c r="GU114" i="55" s="1"/>
  <c r="EV114" i="55"/>
  <c r="ET115" i="55"/>
  <c r="GF241" i="55"/>
  <c r="EL241" i="55"/>
  <c r="EK241" i="55"/>
  <c r="GF328" i="55"/>
  <c r="EK328" i="55"/>
  <c r="EL328" i="55"/>
  <c r="GF255" i="55"/>
  <c r="EL255" i="55"/>
  <c r="EK255" i="55"/>
  <c r="GF56" i="55"/>
  <c r="EL56" i="55"/>
  <c r="EK56" i="55"/>
  <c r="GF298" i="55"/>
  <c r="EL298" i="55"/>
  <c r="EK298" i="55"/>
  <c r="FC66" i="55"/>
  <c r="FA66" i="55"/>
  <c r="GB66" i="55" s="1"/>
  <c r="EW66" i="55"/>
  <c r="GF226" i="55"/>
  <c r="EK226" i="55"/>
  <c r="EL226" i="55"/>
  <c r="GF312" i="55"/>
  <c r="EK312" i="55"/>
  <c r="EL312" i="55"/>
  <c r="GF228" i="55"/>
  <c r="EL228" i="55"/>
  <c r="EK228" i="55"/>
  <c r="EV295" i="55"/>
  <c r="EU295" i="55"/>
  <c r="GU295" i="55" s="1"/>
  <c r="ET296" i="55"/>
  <c r="GF237" i="55"/>
  <c r="EK237" i="55"/>
  <c r="EL237" i="55"/>
  <c r="GF333" i="55"/>
  <c r="EK333" i="55"/>
  <c r="EL333" i="55"/>
  <c r="EV142" i="55"/>
  <c r="EU142" i="55"/>
  <c r="GU142" i="55" s="1"/>
  <c r="ET143" i="55"/>
  <c r="GF324" i="55"/>
  <c r="EL324" i="55"/>
  <c r="EK324" i="55"/>
  <c r="GF55" i="55"/>
  <c r="EK55" i="55"/>
  <c r="EL55" i="55"/>
  <c r="GF233" i="55"/>
  <c r="EK233" i="55"/>
  <c r="EL233" i="55"/>
  <c r="GF202" i="55"/>
  <c r="EL202" i="55"/>
  <c r="EK202" i="55"/>
  <c r="GF123" i="55"/>
  <c r="EK123" i="55"/>
  <c r="EL123" i="55"/>
  <c r="GF78" i="55"/>
  <c r="EL78" i="55"/>
  <c r="EK78" i="55"/>
  <c r="GF306" i="55"/>
  <c r="EL306" i="55"/>
  <c r="EK306" i="55"/>
  <c r="GF218" i="55"/>
  <c r="EL218" i="55"/>
  <c r="EK218" i="55"/>
  <c r="EV239" i="55"/>
  <c r="EU239" i="55"/>
  <c r="GU239" i="55" s="1"/>
  <c r="ET240" i="55"/>
  <c r="CY45" i="55"/>
  <c r="CZ44" i="55"/>
  <c r="DD44" i="55" s="1"/>
  <c r="GF214" i="55"/>
  <c r="EL214" i="55"/>
  <c r="EK214" i="55"/>
  <c r="GF263" i="55"/>
  <c r="EK263" i="55"/>
  <c r="EL263" i="55"/>
  <c r="GF222" i="55"/>
  <c r="EL222" i="55"/>
  <c r="EK222" i="55"/>
  <c r="GF338" i="55"/>
  <c r="EL338" i="55"/>
  <c r="EK338" i="55"/>
  <c r="GF270" i="55"/>
  <c r="EL270" i="55"/>
  <c r="EK270" i="55"/>
  <c r="GF73" i="55"/>
  <c r="EL73" i="55"/>
  <c r="EK73" i="55"/>
  <c r="GF127" i="55"/>
  <c r="EL127" i="55"/>
  <c r="EK127" i="55"/>
  <c r="GF352" i="55"/>
  <c r="EK352" i="55"/>
  <c r="EL352" i="55"/>
  <c r="GF142" i="55"/>
  <c r="EL142" i="55"/>
  <c r="EK142" i="55"/>
  <c r="GF248" i="55"/>
  <c r="EL248" i="55"/>
  <c r="EK248" i="55"/>
  <c r="GF118" i="55"/>
  <c r="EL118" i="55"/>
  <c r="EK118" i="55"/>
  <c r="GF77" i="55"/>
  <c r="EL77" i="55"/>
  <c r="EK77" i="55"/>
  <c r="GF157" i="55"/>
  <c r="EK157" i="55"/>
  <c r="EL157" i="55"/>
  <c r="GF95" i="55"/>
  <c r="EK95" i="55"/>
  <c r="EL95" i="55"/>
  <c r="GF346" i="55"/>
  <c r="EL346" i="55"/>
  <c r="EK346" i="55"/>
  <c r="GF128" i="55"/>
  <c r="EK128" i="55"/>
  <c r="EK129" i="55" s="1"/>
  <c r="EL128" i="55"/>
  <c r="GF299" i="55"/>
  <c r="EK299" i="55"/>
  <c r="EL299" i="55"/>
  <c r="GF294" i="55"/>
  <c r="EK294" i="55"/>
  <c r="EL294" i="55"/>
  <c r="GF253" i="55"/>
  <c r="EK253" i="55"/>
  <c r="EL253" i="55"/>
  <c r="GF108" i="55"/>
  <c r="EL108" i="55"/>
  <c r="EK108" i="55"/>
  <c r="GF162" i="55"/>
  <c r="EL162" i="55"/>
  <c r="EK162" i="55"/>
  <c r="GF58" i="55"/>
  <c r="EL58" i="55"/>
  <c r="EK58" i="55"/>
  <c r="GF252" i="55"/>
  <c r="EL252" i="55"/>
  <c r="EK252" i="55"/>
  <c r="GF321" i="55"/>
  <c r="EL321" i="55"/>
  <c r="EK321" i="55"/>
  <c r="GC165" i="55" l="1"/>
  <c r="GC238" i="55"/>
  <c r="CY298" i="55"/>
  <c r="CZ297" i="55"/>
  <c r="GC294" i="55"/>
  <c r="CZ117" i="55"/>
  <c r="CY118" i="55"/>
  <c r="CZ67" i="55"/>
  <c r="CY68" i="55"/>
  <c r="CZ238" i="55"/>
  <c r="CY239" i="55"/>
  <c r="EM294" i="55"/>
  <c r="EN294" i="55" s="1"/>
  <c r="EP294" i="55" s="1"/>
  <c r="FN294" i="55"/>
  <c r="FO294" i="55" s="1"/>
  <c r="EM146" i="55"/>
  <c r="EN146" i="55" s="1"/>
  <c r="EP146" i="55" s="1"/>
  <c r="EZ225" i="55"/>
  <c r="GC225" i="55"/>
  <c r="EM275" i="55"/>
  <c r="EN275" i="55" s="1"/>
  <c r="EP275" i="55" s="1"/>
  <c r="EM342" i="55"/>
  <c r="EN342" i="55" s="1"/>
  <c r="EP342" i="55" s="1"/>
  <c r="FN342" i="55"/>
  <c r="FO342" i="55" s="1"/>
  <c r="DL315" i="55"/>
  <c r="DO315" i="55" s="1"/>
  <c r="DL316" i="55"/>
  <c r="DO316" i="55" s="1"/>
  <c r="DL314" i="55"/>
  <c r="DO314" i="55" s="1"/>
  <c r="DL313" i="55"/>
  <c r="DO313" i="55" s="1"/>
  <c r="EM324" i="55"/>
  <c r="EN324" i="55" s="1"/>
  <c r="EP324" i="55" s="1"/>
  <c r="FN324" i="55"/>
  <c r="FO324" i="55" s="1"/>
  <c r="EM138" i="55"/>
  <c r="EN138" i="55" s="1"/>
  <c r="EP138" i="55" s="1"/>
  <c r="FN138" i="55"/>
  <c r="FO138" i="55" s="1"/>
  <c r="EM107" i="55"/>
  <c r="EN107" i="55" s="1"/>
  <c r="EP107" i="55" s="1"/>
  <c r="FN107" i="55"/>
  <c r="FO107" i="55" s="1"/>
  <c r="EM151" i="55"/>
  <c r="EN151" i="55" s="1"/>
  <c r="EP151" i="55" s="1"/>
  <c r="EM172" i="55"/>
  <c r="EN172" i="55" s="1"/>
  <c r="EP172" i="55" s="1"/>
  <c r="EM299" i="55"/>
  <c r="EN299" i="55" s="1"/>
  <c r="EP299" i="55" s="1"/>
  <c r="GC66" i="55"/>
  <c r="EM215" i="55"/>
  <c r="EN215" i="55" s="1"/>
  <c r="EP215" i="55" s="1"/>
  <c r="EM272" i="55"/>
  <c r="EN272" i="55" s="1"/>
  <c r="EP272" i="55" s="1"/>
  <c r="EM274" i="55"/>
  <c r="EN274" i="55" s="1"/>
  <c r="EP274" i="55" s="1"/>
  <c r="EM240" i="55"/>
  <c r="EN240" i="55" s="1"/>
  <c r="EP240" i="55" s="1"/>
  <c r="FN240" i="55"/>
  <c r="FO240" i="55" s="1"/>
  <c r="EV68" i="55"/>
  <c r="EU68" i="55"/>
  <c r="GU68" i="55" s="1"/>
  <c r="ET69" i="55"/>
  <c r="EM115" i="55"/>
  <c r="EN115" i="55" s="1"/>
  <c r="EP115" i="55" s="1"/>
  <c r="FN115" i="55"/>
  <c r="FO115" i="55" s="1"/>
  <c r="EM286" i="55"/>
  <c r="EN286" i="55" s="1"/>
  <c r="EP286" i="55" s="1"/>
  <c r="FN286" i="55"/>
  <c r="FO286" i="55" s="1"/>
  <c r="EM348" i="55"/>
  <c r="EN348" i="55" s="1"/>
  <c r="EP348" i="55" s="1"/>
  <c r="FN348" i="55"/>
  <c r="FO348" i="55" s="1"/>
  <c r="EM197" i="55"/>
  <c r="EN197" i="55" s="1"/>
  <c r="EP197" i="55" s="1"/>
  <c r="FN197" i="55"/>
  <c r="FO197" i="55" s="1"/>
  <c r="GC162" i="55"/>
  <c r="EZ162" i="55"/>
  <c r="EZ352" i="55"/>
  <c r="GC352" i="55"/>
  <c r="GC142" i="55"/>
  <c r="FA142" i="55"/>
  <c r="GB142" i="55" s="1"/>
  <c r="EZ142" i="55"/>
  <c r="FC142" i="55"/>
  <c r="EW142" i="55"/>
  <c r="EZ186" i="55"/>
  <c r="GC186" i="55"/>
  <c r="GC62" i="55"/>
  <c r="EZ62" i="55"/>
  <c r="EM256" i="55"/>
  <c r="EN256" i="55" s="1"/>
  <c r="EP256" i="55" s="1"/>
  <c r="EM183" i="55"/>
  <c r="EN183" i="55" s="1"/>
  <c r="EP183" i="55" s="1"/>
  <c r="EZ137" i="55"/>
  <c r="GC137" i="55"/>
  <c r="EM202" i="55"/>
  <c r="EN202" i="55" s="1"/>
  <c r="EP202" i="55" s="1"/>
  <c r="EZ187" i="55"/>
  <c r="GC187" i="55"/>
  <c r="EM155" i="55"/>
  <c r="EN155" i="55" s="1"/>
  <c r="EP155" i="55" s="1"/>
  <c r="FN155" i="55"/>
  <c r="FO155" i="55" s="1"/>
  <c r="EM177" i="55"/>
  <c r="EN177" i="55" s="1"/>
  <c r="EP177" i="55" s="1"/>
  <c r="EM230" i="55"/>
  <c r="EN230" i="55" s="1"/>
  <c r="EP230" i="55" s="1"/>
  <c r="FN230" i="55"/>
  <c r="FO230" i="55" s="1"/>
  <c r="EM314" i="55"/>
  <c r="EN314" i="55" s="1"/>
  <c r="EP314" i="55" s="1"/>
  <c r="FN314" i="55"/>
  <c r="FO314" i="55" s="1"/>
  <c r="EM319" i="55"/>
  <c r="EN319" i="55" s="1"/>
  <c r="EP319" i="55" s="1"/>
  <c r="FN319" i="55"/>
  <c r="FO319" i="55" s="1"/>
  <c r="EM82" i="55"/>
  <c r="EN82" i="55" s="1"/>
  <c r="EP82" i="55" s="1"/>
  <c r="EM173" i="55"/>
  <c r="EN173" i="55" s="1"/>
  <c r="EP173" i="55" s="1"/>
  <c r="EZ27" i="55"/>
  <c r="GC27" i="55"/>
  <c r="EM277" i="55"/>
  <c r="EN277" i="55" s="1"/>
  <c r="EP277" i="55" s="1"/>
  <c r="EM233" i="55"/>
  <c r="EN233" i="55" s="1"/>
  <c r="EP233" i="55" s="1"/>
  <c r="FN233" i="55"/>
  <c r="FO233" i="55" s="1"/>
  <c r="EM333" i="55"/>
  <c r="EN333" i="55" s="1"/>
  <c r="EP333" i="55" s="1"/>
  <c r="FN333" i="55"/>
  <c r="FO333" i="55" s="1"/>
  <c r="GC190" i="55"/>
  <c r="EZ190" i="55"/>
  <c r="EM103" i="55"/>
  <c r="EN103" i="55" s="1"/>
  <c r="EP103" i="55" s="1"/>
  <c r="FN103" i="55"/>
  <c r="FO103" i="55" s="1"/>
  <c r="EM260" i="55"/>
  <c r="EN260" i="55" s="1"/>
  <c r="EP260" i="55" s="1"/>
  <c r="EM96" i="55"/>
  <c r="EN96" i="55" s="1"/>
  <c r="EP96" i="55" s="1"/>
  <c r="FN96" i="55"/>
  <c r="FO96" i="55" s="1"/>
  <c r="EZ90" i="55"/>
  <c r="GC90" i="55"/>
  <c r="EM79" i="55"/>
  <c r="EN79" i="55" s="1"/>
  <c r="EP79" i="55" s="1"/>
  <c r="GC189" i="55"/>
  <c r="EZ189" i="55"/>
  <c r="EZ329" i="55"/>
  <c r="GC329" i="55"/>
  <c r="EM251" i="55"/>
  <c r="EN251" i="55" s="1"/>
  <c r="EP251" i="55" s="1"/>
  <c r="EM262" i="55"/>
  <c r="EN262" i="55" s="1"/>
  <c r="EP262" i="55" s="1"/>
  <c r="EZ340" i="55"/>
  <c r="GC340" i="55"/>
  <c r="EM144" i="55"/>
  <c r="EN144" i="55" s="1"/>
  <c r="EP144" i="55" s="1"/>
  <c r="EM145" i="55"/>
  <c r="EN145" i="55" s="1"/>
  <c r="EP145" i="55" s="1"/>
  <c r="EM180" i="55"/>
  <c r="EN180" i="55" s="1"/>
  <c r="EP180" i="55" s="1"/>
  <c r="EM239" i="55"/>
  <c r="EN239" i="55" s="1"/>
  <c r="EP239" i="55" s="1"/>
  <c r="FN239" i="55"/>
  <c r="FO239" i="55" s="1"/>
  <c r="EM227" i="55"/>
  <c r="EN227" i="55" s="1"/>
  <c r="EP227" i="55" s="1"/>
  <c r="FN227" i="55"/>
  <c r="FO227" i="55" s="1"/>
  <c r="EM17" i="55"/>
  <c r="EM245" i="55"/>
  <c r="EN245" i="55" s="1"/>
  <c r="EP245" i="55" s="1"/>
  <c r="EM212" i="55"/>
  <c r="EN212" i="55" s="1"/>
  <c r="EP212" i="55" s="1"/>
  <c r="EM131" i="55"/>
  <c r="EN131" i="55" s="1"/>
  <c r="EP131" i="55" s="1"/>
  <c r="FN131" i="55"/>
  <c r="FO131" i="55" s="1"/>
  <c r="EM159" i="55"/>
  <c r="EN159" i="55" s="1"/>
  <c r="EP159" i="55" s="1"/>
  <c r="FN159" i="55"/>
  <c r="FO159" i="55" s="1"/>
  <c r="EM242" i="55"/>
  <c r="EN242" i="55" s="1"/>
  <c r="EP242" i="55" s="1"/>
  <c r="EZ326" i="55"/>
  <c r="GC326" i="55"/>
  <c r="EM27" i="55"/>
  <c r="EN27" i="55" s="1"/>
  <c r="FN27" i="55"/>
  <c r="FO27" i="55" s="1"/>
  <c r="EZ321" i="55"/>
  <c r="GC321" i="55"/>
  <c r="EM128" i="55"/>
  <c r="EN128" i="55" s="1"/>
  <c r="EP128" i="55" s="1"/>
  <c r="EM73" i="55"/>
  <c r="EN73" i="55" s="1"/>
  <c r="EP73" i="55" s="1"/>
  <c r="GC333" i="55"/>
  <c r="EZ333" i="55"/>
  <c r="EM310" i="55"/>
  <c r="EN310" i="55" s="1"/>
  <c r="EP310" i="55" s="1"/>
  <c r="EM303" i="55"/>
  <c r="EN303" i="55" s="1"/>
  <c r="EP303" i="55" s="1"/>
  <c r="EM119" i="55"/>
  <c r="EN119" i="55" s="1"/>
  <c r="EP119" i="55" s="1"/>
  <c r="EZ103" i="55"/>
  <c r="GC103" i="55"/>
  <c r="EZ285" i="55"/>
  <c r="GC285" i="55"/>
  <c r="GC96" i="55"/>
  <c r="EZ96" i="55"/>
  <c r="EM90" i="55"/>
  <c r="EN90" i="55" s="1"/>
  <c r="EP90" i="55" s="1"/>
  <c r="FN90" i="55"/>
  <c r="FO90" i="55" s="1"/>
  <c r="EM323" i="55"/>
  <c r="EN323" i="55" s="1"/>
  <c r="EP323" i="55" s="1"/>
  <c r="FN323" i="55"/>
  <c r="FO323" i="55" s="1"/>
  <c r="EM288" i="55"/>
  <c r="EN288" i="55" s="1"/>
  <c r="EP288" i="55" s="1"/>
  <c r="FN288" i="55"/>
  <c r="FO288" i="55" s="1"/>
  <c r="EM189" i="55"/>
  <c r="EN189" i="55" s="1"/>
  <c r="EP189" i="55" s="1"/>
  <c r="FN189" i="55"/>
  <c r="FO189" i="55" s="1"/>
  <c r="EM85" i="55"/>
  <c r="EN85" i="55" s="1"/>
  <c r="EP85" i="55" s="1"/>
  <c r="EV16" i="55"/>
  <c r="EU16" i="55"/>
  <c r="ET17" i="55"/>
  <c r="EM210" i="55"/>
  <c r="EN210" i="55" s="1"/>
  <c r="EP210" i="55" s="1"/>
  <c r="EM329" i="55"/>
  <c r="EN329" i="55" s="1"/>
  <c r="EP329" i="55" s="1"/>
  <c r="FN329" i="55"/>
  <c r="FO329" i="55" s="1"/>
  <c r="EM340" i="55"/>
  <c r="EN340" i="55" s="1"/>
  <c r="EP340" i="55" s="1"/>
  <c r="FN340" i="55"/>
  <c r="FO340" i="55" s="1"/>
  <c r="GC111" i="55"/>
  <c r="EZ111" i="55"/>
  <c r="EZ291" i="55"/>
  <c r="GC291" i="55"/>
  <c r="EZ227" i="55"/>
  <c r="GC227" i="55"/>
  <c r="FE18" i="55"/>
  <c r="FI18" i="55" s="1"/>
  <c r="FG18" i="55"/>
  <c r="FF18" i="55"/>
  <c r="FD18" i="55"/>
  <c r="EL18" i="55"/>
  <c r="DG18" i="55"/>
  <c r="DH18" i="55" s="1"/>
  <c r="DJ18" i="55" s="1" a="1"/>
  <c r="DJ18" i="55" s="1"/>
  <c r="EK19" i="55"/>
  <c r="EM143" i="55"/>
  <c r="EN143" i="55" s="1"/>
  <c r="EP143" i="55" s="1"/>
  <c r="FN143" i="55"/>
  <c r="FO143" i="55" s="1"/>
  <c r="EZ156" i="55"/>
  <c r="GC156" i="55"/>
  <c r="EM80" i="55"/>
  <c r="EN80" i="55" s="1"/>
  <c r="EP80" i="55" s="1"/>
  <c r="EZ159" i="55"/>
  <c r="GC159" i="55"/>
  <c r="EM112" i="55"/>
  <c r="EN112" i="55" s="1"/>
  <c r="EP112" i="55" s="1"/>
  <c r="FN112" i="55"/>
  <c r="FO112" i="55" s="1"/>
  <c r="EM326" i="55"/>
  <c r="EN326" i="55" s="1"/>
  <c r="EP326" i="55" s="1"/>
  <c r="FN326" i="55"/>
  <c r="FO326" i="55" s="1"/>
  <c r="BF3" i="40" a="1"/>
  <c r="BF3" i="40" s="1"/>
  <c r="EM116" i="55"/>
  <c r="EN116" i="55" s="1"/>
  <c r="EP116" i="55" s="1"/>
  <c r="GC316" i="55"/>
  <c r="EZ316" i="55"/>
  <c r="CY200" i="55"/>
  <c r="CZ199" i="55"/>
  <c r="GC113" i="55"/>
  <c r="GC188" i="55"/>
  <c r="EZ188" i="55"/>
  <c r="EM307" i="55"/>
  <c r="EN307" i="55" s="1"/>
  <c r="EP307" i="55" s="1"/>
  <c r="EZ60" i="55"/>
  <c r="GC60" i="55"/>
  <c r="GC92" i="55"/>
  <c r="EZ92" i="55"/>
  <c r="GC290" i="55"/>
  <c r="EZ290" i="55"/>
  <c r="EZ140" i="55"/>
  <c r="GC140" i="55"/>
  <c r="EM171" i="55"/>
  <c r="EN171" i="55" s="1"/>
  <c r="EP171" i="55" s="1"/>
  <c r="EM252" i="55"/>
  <c r="EN252" i="55" s="1"/>
  <c r="EP252" i="55" s="1"/>
  <c r="GC324" i="55"/>
  <c r="EZ324" i="55"/>
  <c r="EM328" i="55"/>
  <c r="EN328" i="55" s="1"/>
  <c r="EP328" i="55" s="1"/>
  <c r="FN328" i="55"/>
  <c r="FO328" i="55" s="1"/>
  <c r="EM225" i="55"/>
  <c r="EN225" i="55" s="1"/>
  <c r="EP225" i="55" s="1"/>
  <c r="FN225" i="55"/>
  <c r="FO225" i="55" s="1"/>
  <c r="EM188" i="55"/>
  <c r="EN188" i="55" s="1"/>
  <c r="EP188" i="55" s="1"/>
  <c r="FN188" i="55"/>
  <c r="FO188" i="55" s="1"/>
  <c r="EM289" i="55"/>
  <c r="EN289" i="55" s="1"/>
  <c r="EP289" i="55" s="1"/>
  <c r="FN289" i="55"/>
  <c r="FO289" i="55" s="1"/>
  <c r="EM305" i="55"/>
  <c r="EN305" i="55" s="1"/>
  <c r="EP305" i="55" s="1"/>
  <c r="EZ293" i="55"/>
  <c r="GC293" i="55"/>
  <c r="EM282" i="55"/>
  <c r="EN282" i="55" s="1"/>
  <c r="EP282" i="55" s="1"/>
  <c r="EM74" i="55"/>
  <c r="EN74" i="55" s="1"/>
  <c r="EP74" i="55" s="1"/>
  <c r="EV240" i="55"/>
  <c r="EU240" i="55"/>
  <c r="GU240" i="55" s="1"/>
  <c r="ET241" i="55"/>
  <c r="EM123" i="55"/>
  <c r="EN123" i="55" s="1"/>
  <c r="EP123" i="55" s="1"/>
  <c r="EZ328" i="55"/>
  <c r="GC328" i="55"/>
  <c r="EZ349" i="55"/>
  <c r="GC349" i="55"/>
  <c r="EM221" i="55"/>
  <c r="EN221" i="55" s="1"/>
  <c r="EP221" i="55" s="1"/>
  <c r="EM296" i="55"/>
  <c r="EN296" i="55" s="1"/>
  <c r="EP296" i="55" s="1"/>
  <c r="FN296" i="55"/>
  <c r="FO296" i="55" s="1"/>
  <c r="EQ126" i="55"/>
  <c r="FL126" i="55"/>
  <c r="FM126" i="55" s="1"/>
  <c r="FE126" i="55"/>
  <c r="FI126" i="55" s="1"/>
  <c r="FV16" i="55" a="1"/>
  <c r="FV16" i="55" s="1"/>
  <c r="FW16" i="55" s="1"/>
  <c r="FZ16" i="55" a="1"/>
  <c r="FZ16" i="55" s="1"/>
  <c r="GA16" i="55" s="1"/>
  <c r="FX16" i="55" a="1"/>
  <c r="FX16" i="55" s="1"/>
  <c r="FY16" i="55" s="1"/>
  <c r="FT16" i="55" a="1"/>
  <c r="FT16" i="55" s="1"/>
  <c r="FU16" i="55" s="1"/>
  <c r="FR16" i="55" a="1"/>
  <c r="FR16" i="55" s="1"/>
  <c r="FS16" i="55" s="1"/>
  <c r="FP16" i="55" a="1"/>
  <c r="FP16" i="55" s="1"/>
  <c r="FQ16" i="55" s="1"/>
  <c r="EM133" i="55"/>
  <c r="EN133" i="55" s="1"/>
  <c r="EP133" i="55" s="1"/>
  <c r="FN133" i="55"/>
  <c r="FO133" i="55" s="1"/>
  <c r="EM338" i="55"/>
  <c r="EN338" i="55" s="1"/>
  <c r="EP338" i="55" s="1"/>
  <c r="FN338" i="55"/>
  <c r="FO338" i="55" s="1"/>
  <c r="GC347" i="55"/>
  <c r="EZ347" i="55"/>
  <c r="EM265" i="55"/>
  <c r="EN265" i="55" s="1"/>
  <c r="EP265" i="55" s="1"/>
  <c r="EM344" i="55"/>
  <c r="EN344" i="55" s="1"/>
  <c r="EP344" i="55" s="1"/>
  <c r="FN344" i="55"/>
  <c r="FO344" i="55" s="1"/>
  <c r="EM194" i="55"/>
  <c r="EN194" i="55" s="1"/>
  <c r="EP194" i="55" s="1"/>
  <c r="FN194" i="55"/>
  <c r="FO194" i="55" s="1"/>
  <c r="EU197" i="55"/>
  <c r="GU197" i="55" s="1"/>
  <c r="EV197" i="55"/>
  <c r="ET198" i="55"/>
  <c r="FN198" i="55" s="1"/>
  <c r="FO198" i="55" s="1"/>
  <c r="EZ286" i="55"/>
  <c r="GC286" i="55"/>
  <c r="EM181" i="55"/>
  <c r="EN181" i="55" s="1"/>
  <c r="EP181" i="55" s="1"/>
  <c r="EM157" i="55"/>
  <c r="EN157" i="55" s="1"/>
  <c r="EP157" i="55" s="1"/>
  <c r="FN157" i="55"/>
  <c r="FO157" i="55" s="1"/>
  <c r="EZ228" i="55"/>
  <c r="GC228" i="55"/>
  <c r="EM241" i="55"/>
  <c r="EN241" i="55" s="1"/>
  <c r="EP241" i="55" s="1"/>
  <c r="EM297" i="55"/>
  <c r="EN297" i="55" s="1"/>
  <c r="EP297" i="55" s="1"/>
  <c r="EM264" i="55"/>
  <c r="EN264" i="55" s="1"/>
  <c r="EP264" i="55" s="1"/>
  <c r="EZ351" i="55"/>
  <c r="GC351" i="55"/>
  <c r="FL30" i="55"/>
  <c r="FM30" i="55" s="1"/>
  <c r="FE30" i="55"/>
  <c r="FI30" i="55" s="1"/>
  <c r="EQ30" i="55"/>
  <c r="GC350" i="55"/>
  <c r="EZ350" i="55"/>
  <c r="EM231" i="55"/>
  <c r="EN231" i="55" s="1"/>
  <c r="EP231" i="55" s="1"/>
  <c r="FN231" i="55"/>
  <c r="FO231" i="55" s="1"/>
  <c r="EM70" i="55"/>
  <c r="EN70" i="55" s="1"/>
  <c r="EP70" i="55" s="1"/>
  <c r="EM213" i="55"/>
  <c r="EN213" i="55" s="1"/>
  <c r="EP213" i="55" s="1"/>
  <c r="GC43" i="55"/>
  <c r="FC43" i="55"/>
  <c r="EW43" i="55"/>
  <c r="FA43" i="55"/>
  <c r="GB43" i="55" s="1"/>
  <c r="EZ43" i="55"/>
  <c r="GC196" i="55"/>
  <c r="EZ196" i="55"/>
  <c r="FA196" i="55"/>
  <c r="GB196" i="55" s="1"/>
  <c r="FC196" i="55"/>
  <c r="EW196" i="55"/>
  <c r="GC157" i="55"/>
  <c r="EZ157" i="55"/>
  <c r="EM222" i="55"/>
  <c r="EN222" i="55" s="1"/>
  <c r="EP222" i="55" s="1"/>
  <c r="EM228" i="55"/>
  <c r="EN228" i="55" s="1"/>
  <c r="EP228" i="55" s="1"/>
  <c r="FN228" i="55"/>
  <c r="FO228" i="55" s="1"/>
  <c r="EM249" i="55"/>
  <c r="EN249" i="55" s="1"/>
  <c r="EP249" i="55" s="1"/>
  <c r="EM308" i="55"/>
  <c r="EN308" i="55" s="1"/>
  <c r="EP308" i="55" s="1"/>
  <c r="EZ185" i="55"/>
  <c r="GC185" i="55"/>
  <c r="EM99" i="55"/>
  <c r="EN99" i="55" s="1"/>
  <c r="EP99" i="55" s="1"/>
  <c r="FN99" i="55"/>
  <c r="FO99" i="55" s="1"/>
  <c r="EM76" i="55"/>
  <c r="EN76" i="55" s="1"/>
  <c r="EP76" i="55" s="1"/>
  <c r="EM350" i="55"/>
  <c r="EN350" i="55" s="1"/>
  <c r="EP350" i="55" s="1"/>
  <c r="FN350" i="55"/>
  <c r="FO350" i="55" s="1"/>
  <c r="EM153" i="55"/>
  <c r="EN153" i="55" s="1"/>
  <c r="EP153" i="55" s="1"/>
  <c r="EM122" i="55"/>
  <c r="EN122" i="55" s="1"/>
  <c r="EP122" i="55" s="1"/>
  <c r="EM135" i="55"/>
  <c r="EN135" i="55" s="1"/>
  <c r="EP135" i="55" s="1"/>
  <c r="FN135" i="55"/>
  <c r="FO135" i="55" s="1"/>
  <c r="FL169" i="55"/>
  <c r="FM169" i="55" s="1"/>
  <c r="FE169" i="55"/>
  <c r="FI169" i="55" s="1"/>
  <c r="EQ169" i="55"/>
  <c r="EM327" i="55"/>
  <c r="EN327" i="55" s="1"/>
  <c r="EP327" i="55" s="1"/>
  <c r="FN327" i="55"/>
  <c r="FO327" i="55" s="1"/>
  <c r="FT59" i="55" a="1"/>
  <c r="FT59" i="55" s="1"/>
  <c r="FU59" i="55" s="1"/>
  <c r="FV59" i="55" a="1"/>
  <c r="FV59" i="55" s="1"/>
  <c r="FW59" i="55" s="1"/>
  <c r="FZ59" i="55" a="1"/>
  <c r="FZ59" i="55" s="1"/>
  <c r="GA59" i="55" s="1"/>
  <c r="FR59" i="55" a="1"/>
  <c r="FR59" i="55" s="1"/>
  <c r="FS59" i="55" s="1"/>
  <c r="FX59" i="55" a="1"/>
  <c r="FX59" i="55" s="1"/>
  <c r="FY59" i="55" s="1"/>
  <c r="FP59" i="55" a="1"/>
  <c r="FP59" i="55" s="1"/>
  <c r="FQ59" i="55" s="1"/>
  <c r="EM185" i="55"/>
  <c r="EN185" i="55" s="1"/>
  <c r="EP185" i="55" s="1"/>
  <c r="FN185" i="55"/>
  <c r="FO185" i="55" s="1"/>
  <c r="EM199" i="55"/>
  <c r="EN199" i="55" s="1"/>
  <c r="EP199" i="55" s="1"/>
  <c r="EM125" i="55"/>
  <c r="EN125" i="55" s="1"/>
  <c r="EP125" i="55" s="1"/>
  <c r="FZ136" i="55" a="1"/>
  <c r="FZ136" i="55" s="1"/>
  <c r="GA136" i="55" s="1"/>
  <c r="FV136" i="55" a="1"/>
  <c r="FV136" i="55" s="1"/>
  <c r="FW136" i="55" s="1"/>
  <c r="FX136" i="55" a="1"/>
  <c r="FX136" i="55" s="1"/>
  <c r="FY136" i="55" s="1"/>
  <c r="FT136" i="55" a="1"/>
  <c r="FT136" i="55" s="1"/>
  <c r="FU136" i="55" s="1"/>
  <c r="FR136" i="55" a="1"/>
  <c r="FR136" i="55" s="1"/>
  <c r="FS136" i="55" s="1"/>
  <c r="FP136" i="55" a="1"/>
  <c r="FP136" i="55" s="1"/>
  <c r="FQ136" i="55" s="1"/>
  <c r="GC135" i="55"/>
  <c r="EZ135" i="55"/>
  <c r="EM62" i="55"/>
  <c r="EN62" i="55" s="1"/>
  <c r="EP62" i="55" s="1"/>
  <c r="FN62" i="55"/>
  <c r="FO62" i="55" s="1"/>
  <c r="FF44" i="55"/>
  <c r="FD44" i="55"/>
  <c r="FE44" i="55"/>
  <c r="FI44" i="55" s="1"/>
  <c r="FG44" i="55"/>
  <c r="EL44" i="55"/>
  <c r="EM44" i="55" s="1"/>
  <c r="DG44" i="55"/>
  <c r="DH44" i="55" s="1"/>
  <c r="DJ44" i="55" s="1" a="1"/>
  <c r="DJ44" i="55" s="1"/>
  <c r="EK45" i="55"/>
  <c r="EM244" i="55"/>
  <c r="EN244" i="55" s="1"/>
  <c r="EP244" i="55" s="1"/>
  <c r="EM137" i="55"/>
  <c r="EN137" i="55" s="1"/>
  <c r="EP137" i="55" s="1"/>
  <c r="FN137" i="55"/>
  <c r="FO137" i="55" s="1"/>
  <c r="EM147" i="55"/>
  <c r="EN147" i="55" s="1"/>
  <c r="EP147" i="55" s="1"/>
  <c r="EM198" i="55"/>
  <c r="EN198" i="55" s="1"/>
  <c r="EP198" i="55" s="1"/>
  <c r="EM191" i="55"/>
  <c r="EN191" i="55" s="1"/>
  <c r="EP191" i="55" s="1"/>
  <c r="FN191" i="55"/>
  <c r="FO191" i="55" s="1"/>
  <c r="EM127" i="55"/>
  <c r="EN127" i="55" s="1"/>
  <c r="EP127" i="55" s="1"/>
  <c r="EM306" i="55"/>
  <c r="EN306" i="55" s="1"/>
  <c r="EP306" i="55" s="1"/>
  <c r="EU115" i="55"/>
  <c r="GU115" i="55" s="1"/>
  <c r="EV115" i="55"/>
  <c r="ET116" i="55"/>
  <c r="EM267" i="55"/>
  <c r="EN267" i="55" s="1"/>
  <c r="EP267" i="55" s="1"/>
  <c r="EM69" i="55"/>
  <c r="EN69" i="55" s="1"/>
  <c r="EP69" i="55" s="1"/>
  <c r="FN69" i="55"/>
  <c r="FO69" i="55" s="1"/>
  <c r="EM268" i="55"/>
  <c r="EN268" i="55" s="1"/>
  <c r="EP268" i="55" s="1"/>
  <c r="EZ161" i="55"/>
  <c r="GC161" i="55"/>
  <c r="EM339" i="55"/>
  <c r="EN339" i="55" s="1"/>
  <c r="EP339" i="55" s="1"/>
  <c r="FN339" i="55"/>
  <c r="FO339" i="55" s="1"/>
  <c r="EM254" i="55"/>
  <c r="EN254" i="55" s="1"/>
  <c r="EP254" i="55" s="1"/>
  <c r="EZ155" i="55"/>
  <c r="GC155" i="55"/>
  <c r="EZ230" i="55"/>
  <c r="GC230" i="55"/>
  <c r="EZ314" i="55"/>
  <c r="GC314" i="55"/>
  <c r="EZ319" i="55"/>
  <c r="GC319" i="55"/>
  <c r="EM266" i="55"/>
  <c r="EN266" i="55" s="1"/>
  <c r="EP266" i="55" s="1"/>
  <c r="EM292" i="55"/>
  <c r="EN292" i="55" s="1"/>
  <c r="EP292" i="55" s="1"/>
  <c r="FN292" i="55"/>
  <c r="FO292" i="55" s="1"/>
  <c r="EM257" i="55"/>
  <c r="EN257" i="55" s="1"/>
  <c r="EP257" i="55" s="1"/>
  <c r="EZ337" i="55"/>
  <c r="GC337" i="55"/>
  <c r="EM87" i="55"/>
  <c r="EN87" i="55" s="1"/>
  <c r="EP87" i="55" s="1"/>
  <c r="EZ294" i="55"/>
  <c r="EM164" i="55"/>
  <c r="EN164" i="55" s="1"/>
  <c r="EP164" i="55" s="1"/>
  <c r="FN164" i="55"/>
  <c r="FO164" i="55" s="1"/>
  <c r="EM120" i="55"/>
  <c r="EN120" i="55" s="1"/>
  <c r="EP120" i="55" s="1"/>
  <c r="GC287" i="55"/>
  <c r="EZ287" i="55"/>
  <c r="EM81" i="55"/>
  <c r="EN81" i="55" s="1"/>
  <c r="EP81" i="55" s="1"/>
  <c r="EM311" i="55"/>
  <c r="EN311" i="55" s="1"/>
  <c r="EP311" i="55" s="1"/>
  <c r="EM259" i="55"/>
  <c r="EN259" i="55" s="1"/>
  <c r="EP259" i="55" s="1"/>
  <c r="GC191" i="55"/>
  <c r="EZ191" i="55"/>
  <c r="EZ61" i="55"/>
  <c r="GC61" i="55"/>
  <c r="EM98" i="55"/>
  <c r="EN98" i="55" s="1"/>
  <c r="EP98" i="55" s="1"/>
  <c r="FN98" i="55"/>
  <c r="FO98" i="55" s="1"/>
  <c r="EM57" i="55"/>
  <c r="EN57" i="55" s="1"/>
  <c r="EP57" i="55" s="1"/>
  <c r="FN57" i="55"/>
  <c r="FO57" i="55" s="1"/>
  <c r="EZ284" i="55"/>
  <c r="GC284" i="55"/>
  <c r="EM170" i="55"/>
  <c r="EN170" i="55" s="1"/>
  <c r="EP170" i="55" s="1"/>
  <c r="EM337" i="55"/>
  <c r="EN337" i="55" s="1"/>
  <c r="EP337" i="55" s="1"/>
  <c r="FN337" i="55"/>
  <c r="FO337" i="55" s="1"/>
  <c r="EM287" i="55"/>
  <c r="EN287" i="55" s="1"/>
  <c r="EP287" i="55" s="1"/>
  <c r="FN287" i="55"/>
  <c r="FO287" i="55" s="1"/>
  <c r="EZ131" i="55"/>
  <c r="GC131" i="55"/>
  <c r="EM61" i="55"/>
  <c r="EN61" i="55" s="1"/>
  <c r="EP61" i="55" s="1"/>
  <c r="FN61" i="55"/>
  <c r="FO61" i="55" s="1"/>
  <c r="EM284" i="55"/>
  <c r="EN284" i="55" s="1"/>
  <c r="EP284" i="55" s="1"/>
  <c r="FN284" i="55"/>
  <c r="FO284" i="55" s="1"/>
  <c r="EM196" i="55"/>
  <c r="EN196" i="55" s="1"/>
  <c r="EP196" i="55" s="1"/>
  <c r="FN196" i="55"/>
  <c r="FO196" i="55" s="1"/>
  <c r="EM217" i="55"/>
  <c r="EN217" i="55" s="1"/>
  <c r="EP217" i="55" s="1"/>
  <c r="EM316" i="55"/>
  <c r="EN316" i="55" s="1"/>
  <c r="EP316" i="55" s="1"/>
  <c r="FN316" i="55"/>
  <c r="FO316" i="55" s="1"/>
  <c r="EM253" i="55"/>
  <c r="EN253" i="55" s="1"/>
  <c r="EP253" i="55" s="1"/>
  <c r="EM118" i="55"/>
  <c r="EN118" i="55" s="1"/>
  <c r="EP118" i="55" s="1"/>
  <c r="EZ233" i="55"/>
  <c r="GC233" i="55"/>
  <c r="EM226" i="55"/>
  <c r="EN226" i="55" s="1"/>
  <c r="EP226" i="55" s="1"/>
  <c r="FN226" i="55"/>
  <c r="FO226" i="55" s="1"/>
  <c r="FL209" i="55"/>
  <c r="FM209" i="55" s="1"/>
  <c r="EQ209" i="55"/>
  <c r="FE209" i="55"/>
  <c r="FI209" i="55" s="1"/>
  <c r="EM190" i="55"/>
  <c r="EN190" i="55" s="1"/>
  <c r="EP190" i="55" s="1"/>
  <c r="FN190" i="55"/>
  <c r="FO190" i="55" s="1"/>
  <c r="EM321" i="55"/>
  <c r="EN321" i="55" s="1"/>
  <c r="EP321" i="55" s="1"/>
  <c r="FN321" i="55"/>
  <c r="FO321" i="55" s="1"/>
  <c r="FF129" i="55"/>
  <c r="FG129" i="55"/>
  <c r="DG129" i="55"/>
  <c r="DH129" i="55" s="1"/>
  <c r="DJ129" i="55" s="1" a="1"/>
  <c r="DJ129" i="55" s="1"/>
  <c r="EL129" i="55"/>
  <c r="EM129" i="55" s="1"/>
  <c r="EM214" i="55"/>
  <c r="EN214" i="55" s="1"/>
  <c r="EP214" i="55" s="1"/>
  <c r="EZ226" i="55"/>
  <c r="GC226" i="55"/>
  <c r="EZ54" i="55"/>
  <c r="GC54" i="55"/>
  <c r="EM271" i="55"/>
  <c r="EN271" i="55" s="1"/>
  <c r="EP271" i="55" s="1"/>
  <c r="EM216" i="55"/>
  <c r="EN216" i="55" s="1"/>
  <c r="EP216" i="55" s="1"/>
  <c r="GC99" i="55"/>
  <c r="EM285" i="55"/>
  <c r="EN285" i="55" s="1"/>
  <c r="EP285" i="55" s="1"/>
  <c r="FN285" i="55"/>
  <c r="FO285" i="55" s="1"/>
  <c r="GC323" i="55"/>
  <c r="EZ323" i="55"/>
  <c r="EZ288" i="55"/>
  <c r="GC288" i="55"/>
  <c r="EM166" i="55"/>
  <c r="EN166" i="55" s="1"/>
  <c r="EP166" i="55" s="1"/>
  <c r="FN166" i="55"/>
  <c r="FO166" i="55" s="1"/>
  <c r="EM178" i="55"/>
  <c r="EN178" i="55" s="1"/>
  <c r="EP178" i="55" s="1"/>
  <c r="EM165" i="55"/>
  <c r="EN165" i="55" s="1"/>
  <c r="EP165" i="55" s="1"/>
  <c r="FN165" i="55"/>
  <c r="FO165" i="55" s="1"/>
  <c r="EM111" i="55"/>
  <c r="EN111" i="55" s="1"/>
  <c r="EP111" i="55" s="1"/>
  <c r="FN111" i="55"/>
  <c r="FO111" i="55" s="1"/>
  <c r="EM291" i="55"/>
  <c r="EN291" i="55" s="1"/>
  <c r="EP291" i="55" s="1"/>
  <c r="FN291" i="55"/>
  <c r="FO291" i="55" s="1"/>
  <c r="FZ163" i="55" a="1"/>
  <c r="FZ163" i="55" s="1"/>
  <c r="GA163" i="55" s="1"/>
  <c r="FX163" i="55" a="1"/>
  <c r="FX163" i="55" s="1"/>
  <c r="FY163" i="55" s="1"/>
  <c r="FV163" i="55" a="1"/>
  <c r="FV163" i="55" s="1"/>
  <c r="FW163" i="55" s="1"/>
  <c r="FR163" i="55" a="1"/>
  <c r="FR163" i="55" s="1"/>
  <c r="FS163" i="55" s="1"/>
  <c r="FT163" i="55" a="1"/>
  <c r="FT163" i="55" s="1"/>
  <c r="FU163" i="55" s="1"/>
  <c r="FP163" i="55" a="1"/>
  <c r="FP163" i="55" s="1"/>
  <c r="FQ163" i="55" s="1"/>
  <c r="EM273" i="55"/>
  <c r="EN273" i="55" s="1"/>
  <c r="EP273" i="55" s="1"/>
  <c r="EM279" i="55"/>
  <c r="EN279" i="55" s="1"/>
  <c r="EP279" i="55" s="1"/>
  <c r="DK17" i="55"/>
  <c r="BU22" i="54" s="1" a="1"/>
  <c r="BU22" i="54" s="1"/>
  <c r="DL17" i="55"/>
  <c r="DO17" i="55" s="1"/>
  <c r="DN17" i="55"/>
  <c r="AE22" i="54" a="1"/>
  <c r="AE22" i="54" s="1"/>
  <c r="CZ145" i="55"/>
  <c r="CY146" i="55"/>
  <c r="EM156" i="55"/>
  <c r="EN156" i="55" s="1"/>
  <c r="EP156" i="55" s="1"/>
  <c r="FN156" i="55"/>
  <c r="FO156" i="55" s="1"/>
  <c r="EM86" i="55"/>
  <c r="EN86" i="55" s="1"/>
  <c r="EP86" i="55" s="1"/>
  <c r="GC112" i="55"/>
  <c r="EZ112" i="55"/>
  <c r="GC109" i="55"/>
  <c r="EZ109" i="55"/>
  <c r="EZ234" i="55"/>
  <c r="GC234" i="55"/>
  <c r="EM346" i="55"/>
  <c r="EN346" i="55" s="1"/>
  <c r="EP346" i="55" s="1"/>
  <c r="FN346" i="55"/>
  <c r="FO346" i="55" s="1"/>
  <c r="GC237" i="55"/>
  <c r="EZ237" i="55"/>
  <c r="EM345" i="55"/>
  <c r="EN345" i="55" s="1"/>
  <c r="EP345" i="55" s="1"/>
  <c r="FN345" i="55"/>
  <c r="FO345" i="55" s="1"/>
  <c r="EZ320" i="55"/>
  <c r="GC320" i="55"/>
  <c r="EM176" i="55"/>
  <c r="EN176" i="55" s="1"/>
  <c r="EP176" i="55" s="1"/>
  <c r="EM193" i="55"/>
  <c r="EN193" i="55" s="1"/>
  <c r="EP193" i="55" s="1"/>
  <c r="FN193" i="55"/>
  <c r="FO193" i="55" s="1"/>
  <c r="FL207" i="55"/>
  <c r="FM207" i="55" s="1"/>
  <c r="EQ207" i="55"/>
  <c r="FE207" i="55"/>
  <c r="FI207" i="55" s="1"/>
  <c r="EM302" i="55"/>
  <c r="EN302" i="55" s="1"/>
  <c r="EP302" i="55" s="1"/>
  <c r="EM100" i="55"/>
  <c r="EN100" i="55" s="1"/>
  <c r="EP100" i="55" s="1"/>
  <c r="FN100" i="55"/>
  <c r="FO100" i="55" s="1"/>
  <c r="EM174" i="55"/>
  <c r="EN174" i="55" s="1"/>
  <c r="EP174" i="55" s="1"/>
  <c r="EM232" i="55"/>
  <c r="EN232" i="55" s="1"/>
  <c r="EP232" i="55" s="1"/>
  <c r="FN232" i="55"/>
  <c r="FO232" i="55" s="1"/>
  <c r="EM167" i="55"/>
  <c r="EN167" i="55" s="1"/>
  <c r="EP167" i="55" s="1"/>
  <c r="FN167" i="55"/>
  <c r="FO167" i="55" s="1"/>
  <c r="EM142" i="55"/>
  <c r="EN142" i="55" s="1"/>
  <c r="EP142" i="55" s="1"/>
  <c r="FN142" i="55"/>
  <c r="FO142" i="55" s="1"/>
  <c r="FZ134" i="55" a="1"/>
  <c r="FZ134" i="55" s="1"/>
  <c r="GA134" i="55" s="1"/>
  <c r="FV134" i="55" a="1"/>
  <c r="FV134" i="55" s="1"/>
  <c r="FW134" i="55" s="1"/>
  <c r="FT134" i="55" a="1"/>
  <c r="FT134" i="55" s="1"/>
  <c r="FU134" i="55" s="1"/>
  <c r="FX134" i="55" a="1"/>
  <c r="FX134" i="55" s="1"/>
  <c r="FY134" i="55" s="1"/>
  <c r="FP134" i="55" a="1"/>
  <c r="FP134" i="55" s="1"/>
  <c r="FQ134" i="55" s="1"/>
  <c r="FR134" i="55" a="1"/>
  <c r="FR134" i="55" s="1"/>
  <c r="FS134" i="55" s="1"/>
  <c r="GC195" i="55"/>
  <c r="EM206" i="55"/>
  <c r="EN206" i="55" s="1"/>
  <c r="EP206" i="55" s="1"/>
  <c r="EZ343" i="55"/>
  <c r="GC343" i="55"/>
  <c r="EM121" i="55"/>
  <c r="EN121" i="55" s="1"/>
  <c r="EP121" i="55" s="1"/>
  <c r="FL134" i="55"/>
  <c r="FM134" i="55" s="1"/>
  <c r="FE134" i="55"/>
  <c r="FI134" i="55" s="1"/>
  <c r="EQ134" i="55"/>
  <c r="EM195" i="55"/>
  <c r="EN195" i="55" s="1"/>
  <c r="EP195" i="55" s="1"/>
  <c r="FN195" i="55"/>
  <c r="FO195" i="55" s="1"/>
  <c r="EZ133" i="55"/>
  <c r="GC133" i="55"/>
  <c r="EM75" i="55"/>
  <c r="EN75" i="55" s="1"/>
  <c r="EP75" i="55" s="1"/>
  <c r="EM152" i="55"/>
  <c r="EN152" i="55" s="1"/>
  <c r="EP152" i="55" s="1"/>
  <c r="EM250" i="55"/>
  <c r="EN250" i="55" s="1"/>
  <c r="EP250" i="55" s="1"/>
  <c r="GC331" i="55"/>
  <c r="EZ331" i="55"/>
  <c r="EM347" i="55"/>
  <c r="EN347" i="55" s="1"/>
  <c r="EP347" i="55" s="1"/>
  <c r="FN347" i="55"/>
  <c r="FO347" i="55" s="1"/>
  <c r="EM343" i="55"/>
  <c r="EN343" i="55" s="1"/>
  <c r="EP343" i="55" s="1"/>
  <c r="FN343" i="55"/>
  <c r="FO343" i="55" s="1"/>
  <c r="GC239" i="55"/>
  <c r="FA239" i="55"/>
  <c r="GB239" i="55" s="1"/>
  <c r="FC239" i="55"/>
  <c r="EW239" i="55"/>
  <c r="EZ239" i="55"/>
  <c r="EM331" i="55"/>
  <c r="EN331" i="55" s="1"/>
  <c r="EP331" i="55" s="1"/>
  <c r="FN331" i="55"/>
  <c r="FO331" i="55" s="1"/>
  <c r="EM352" i="55"/>
  <c r="FN352" i="55"/>
  <c r="FO352" i="55" s="1"/>
  <c r="EM219" i="55"/>
  <c r="EN219" i="55" s="1"/>
  <c r="EP219" i="55" s="1"/>
  <c r="EM186" i="55"/>
  <c r="EN186" i="55" s="1"/>
  <c r="EP186" i="55" s="1"/>
  <c r="FN186" i="55"/>
  <c r="FO186" i="55" s="1"/>
  <c r="GC106" i="55"/>
  <c r="EZ106" i="55"/>
  <c r="EM246" i="55"/>
  <c r="EN246" i="55" s="1"/>
  <c r="EP246" i="55" s="1"/>
  <c r="EM179" i="55"/>
  <c r="EN179" i="55" s="1"/>
  <c r="EP179" i="55" s="1"/>
  <c r="CY46" i="55"/>
  <c r="CZ45" i="55"/>
  <c r="DD45" i="55" s="1"/>
  <c r="EM334" i="55"/>
  <c r="EN334" i="55" s="1"/>
  <c r="EP334" i="55" s="1"/>
  <c r="FN334" i="55"/>
  <c r="FO334" i="55" s="1"/>
  <c r="EM110" i="55"/>
  <c r="EN110" i="55" s="1"/>
  <c r="EP110" i="55" s="1"/>
  <c r="FN110" i="55"/>
  <c r="FO110" i="55" s="1"/>
  <c r="EM91" i="55"/>
  <c r="EN91" i="55" s="1"/>
  <c r="EP91" i="55" s="1"/>
  <c r="FN91" i="55"/>
  <c r="FO91" i="55" s="1"/>
  <c r="EZ139" i="55"/>
  <c r="GC139" i="55"/>
  <c r="GC100" i="55"/>
  <c r="FC100" i="55"/>
  <c r="EZ100" i="55"/>
  <c r="FA100" i="55"/>
  <c r="GB100" i="55" s="1"/>
  <c r="EW100" i="55"/>
  <c r="EZ289" i="55"/>
  <c r="GC289" i="55"/>
  <c r="EM63" i="55"/>
  <c r="EN63" i="55" s="1"/>
  <c r="EP63" i="55" s="1"/>
  <c r="FN63" i="55"/>
  <c r="FO63" i="55" s="1"/>
  <c r="EZ232" i="55"/>
  <c r="GC232" i="55"/>
  <c r="GC192" i="55"/>
  <c r="EZ192" i="55"/>
  <c r="EM113" i="55"/>
  <c r="EN113" i="55" s="1"/>
  <c r="EP113" i="55" s="1"/>
  <c r="FN113" i="55"/>
  <c r="FO113" i="55" s="1"/>
  <c r="EZ345" i="55"/>
  <c r="GC345" i="55"/>
  <c r="EM104" i="55"/>
  <c r="EN104" i="55" s="1"/>
  <c r="EP104" i="55" s="1"/>
  <c r="FN104" i="55"/>
  <c r="FO104" i="55" s="1"/>
  <c r="EU167" i="55"/>
  <c r="GU167" i="55" s="1"/>
  <c r="EV167" i="55"/>
  <c r="ET168" i="55"/>
  <c r="FN168" i="55" s="1"/>
  <c r="FO168" i="55" s="1"/>
  <c r="EZ342" i="55"/>
  <c r="GC342" i="55"/>
  <c r="EZ93" i="55"/>
  <c r="GC93" i="55"/>
  <c r="EM92" i="55"/>
  <c r="EN92" i="55" s="1"/>
  <c r="EP92" i="55" s="1"/>
  <c r="FN92" i="55"/>
  <c r="FO92" i="55" s="1"/>
  <c r="EM95" i="55"/>
  <c r="EN95" i="55" s="1"/>
  <c r="EP95" i="55" s="1"/>
  <c r="FN95" i="55"/>
  <c r="FO95" i="55" s="1"/>
  <c r="EZ338" i="55"/>
  <c r="GC338" i="55"/>
  <c r="EU296" i="55"/>
  <c r="GU296" i="55" s="1"/>
  <c r="EV296" i="55"/>
  <c r="ET297" i="55"/>
  <c r="FN297" i="55" s="1"/>
  <c r="FO297" i="55" s="1"/>
  <c r="EM301" i="55"/>
  <c r="EN301" i="55" s="1"/>
  <c r="EP301" i="55" s="1"/>
  <c r="GC107" i="55"/>
  <c r="EZ107" i="55"/>
  <c r="EZ104" i="55"/>
  <c r="GC104" i="55"/>
  <c r="GC166" i="55"/>
  <c r="FC166" i="55"/>
  <c r="EZ166" i="55"/>
  <c r="EW166" i="55"/>
  <c r="FA166" i="55"/>
  <c r="GB166" i="55" s="1"/>
  <c r="EM211" i="55"/>
  <c r="EN211" i="55" s="1"/>
  <c r="EP211" i="55" s="1"/>
  <c r="EM93" i="55"/>
  <c r="EN93" i="55" s="1"/>
  <c r="EP93" i="55" s="1"/>
  <c r="FN93" i="55"/>
  <c r="FO93" i="55" s="1"/>
  <c r="EM261" i="55"/>
  <c r="EN261" i="55" s="1"/>
  <c r="EP261" i="55" s="1"/>
  <c r="EM293" i="55"/>
  <c r="EN293" i="55" s="1"/>
  <c r="EP293" i="55" s="1"/>
  <c r="FN293" i="55"/>
  <c r="FO293" i="55" s="1"/>
  <c r="FL71" i="55"/>
  <c r="FM71" i="55" s="1"/>
  <c r="EQ71" i="55"/>
  <c r="FE71" i="55"/>
  <c r="FI71" i="55" s="1"/>
  <c r="EZ58" i="55"/>
  <c r="GC58" i="55"/>
  <c r="GC95" i="55"/>
  <c r="EZ95" i="55"/>
  <c r="EM349" i="55"/>
  <c r="EN349" i="55" s="1"/>
  <c r="EP349" i="55" s="1"/>
  <c r="FN349" i="55"/>
  <c r="FO349" i="55" s="1"/>
  <c r="EM64" i="55"/>
  <c r="EN64" i="55" s="1"/>
  <c r="EP64" i="55" s="1"/>
  <c r="FN64" i="55"/>
  <c r="FO64" i="55" s="1"/>
  <c r="EM117" i="55"/>
  <c r="EN117" i="55" s="1"/>
  <c r="EP117" i="55" s="1"/>
  <c r="EM168" i="55"/>
  <c r="EN168" i="55" s="1"/>
  <c r="EP168" i="55" s="1"/>
  <c r="EM223" i="55"/>
  <c r="EN223" i="55" s="1"/>
  <c r="EP223" i="55" s="1"/>
  <c r="EM278" i="55"/>
  <c r="EN278" i="55" s="1"/>
  <c r="EP278" i="55" s="1"/>
  <c r="EM148" i="55"/>
  <c r="EN148" i="55" s="1"/>
  <c r="EP148" i="55" s="1"/>
  <c r="EM89" i="55"/>
  <c r="EN89" i="55" s="1"/>
  <c r="EP89" i="55" s="1"/>
  <c r="FN89" i="55"/>
  <c r="FO89" i="55" s="1"/>
  <c r="EU44" i="55"/>
  <c r="GU44" i="55" s="1"/>
  <c r="EV44" i="55"/>
  <c r="ET45" i="55"/>
  <c r="GC344" i="55"/>
  <c r="EZ344" i="55"/>
  <c r="EZ194" i="55"/>
  <c r="GC194" i="55"/>
  <c r="EM203" i="55"/>
  <c r="EN203" i="55" s="1"/>
  <c r="EP203" i="55" s="1"/>
  <c r="EM276" i="55"/>
  <c r="EN276" i="55" s="1"/>
  <c r="EP276" i="55" s="1"/>
  <c r="EZ138" i="55"/>
  <c r="GC138" i="55"/>
  <c r="EM58" i="55"/>
  <c r="EN58" i="55" s="1"/>
  <c r="EP58" i="55" s="1"/>
  <c r="FN58" i="55"/>
  <c r="FO58" i="55" s="1"/>
  <c r="EU143" i="55"/>
  <c r="GU143" i="55" s="1"/>
  <c r="EV143" i="55"/>
  <c r="ET144" i="55"/>
  <c r="GC295" i="55"/>
  <c r="EZ295" i="55"/>
  <c r="FC295" i="55"/>
  <c r="FA295" i="55"/>
  <c r="GB295" i="55" s="1"/>
  <c r="EW295" i="55"/>
  <c r="EM201" i="55"/>
  <c r="EN201" i="55" s="1"/>
  <c r="EP201" i="55" s="1"/>
  <c r="EM200" i="55"/>
  <c r="EN200" i="55" s="1"/>
  <c r="EP200" i="55" s="1"/>
  <c r="EM106" i="55"/>
  <c r="EN106" i="55" s="1"/>
  <c r="EP106" i="55" s="1"/>
  <c r="FN106" i="55"/>
  <c r="FO106" i="55" s="1"/>
  <c r="EZ64" i="55"/>
  <c r="GC64" i="55"/>
  <c r="EM351" i="55"/>
  <c r="EN351" i="55" s="1"/>
  <c r="EP351" i="55" s="1"/>
  <c r="FN351" i="55"/>
  <c r="FO351" i="55" s="1"/>
  <c r="EM72" i="55"/>
  <c r="EN72" i="55" s="1"/>
  <c r="EP72" i="55" s="1"/>
  <c r="EM205" i="55"/>
  <c r="EN205" i="55" s="1"/>
  <c r="EP205" i="55" s="1"/>
  <c r="EM182" i="55"/>
  <c r="EN182" i="55" s="1"/>
  <c r="EP182" i="55" s="1"/>
  <c r="EM220" i="55"/>
  <c r="EN220" i="55" s="1"/>
  <c r="EP220" i="55" s="1"/>
  <c r="EM258" i="55"/>
  <c r="EN258" i="55" s="1"/>
  <c r="EP258" i="55" s="1"/>
  <c r="GC89" i="55"/>
  <c r="EZ89" i="55"/>
  <c r="CY169" i="55"/>
  <c r="CZ168" i="55"/>
  <c r="EM218" i="55"/>
  <c r="EN218" i="55" s="1"/>
  <c r="EP218" i="55" s="1"/>
  <c r="EM298" i="55"/>
  <c r="EN298" i="55" s="1"/>
  <c r="EP298" i="55" s="1"/>
  <c r="EZ318" i="55"/>
  <c r="GC318" i="55"/>
  <c r="EZ327" i="55"/>
  <c r="GC327" i="55"/>
  <c r="EM175" i="55"/>
  <c r="EN175" i="55" s="1"/>
  <c r="EP175" i="55" s="1"/>
  <c r="EZ231" i="55"/>
  <c r="GC231" i="55"/>
  <c r="EM84" i="55"/>
  <c r="EN84" i="55" s="1"/>
  <c r="EP84" i="55" s="1"/>
  <c r="FX295" i="55" a="1"/>
  <c r="FX295" i="55" s="1"/>
  <c r="FY295" i="55" s="1"/>
  <c r="FT295" i="55" a="1"/>
  <c r="FT295" i="55" s="1"/>
  <c r="FU295" i="55" s="1"/>
  <c r="FV295" i="55" a="1"/>
  <c r="FV295" i="55" s="1"/>
  <c r="FW295" i="55" s="1"/>
  <c r="FP295" i="55" a="1"/>
  <c r="FP295" i="55" s="1"/>
  <c r="FQ295" i="55" s="1"/>
  <c r="FZ295" i="55" a="1"/>
  <c r="FZ295" i="55" s="1"/>
  <c r="GA295" i="55" s="1"/>
  <c r="FR295" i="55" a="1"/>
  <c r="FR295" i="55" s="1"/>
  <c r="FS295" i="55" s="1"/>
  <c r="GC348" i="55"/>
  <c r="EZ348" i="55"/>
  <c r="EM162" i="55"/>
  <c r="EN162" i="55" s="1"/>
  <c r="EP162" i="55" s="1"/>
  <c r="FN162" i="55"/>
  <c r="FO162" i="55" s="1"/>
  <c r="EM318" i="55"/>
  <c r="EN318" i="55" s="1"/>
  <c r="EP318" i="55" s="1"/>
  <c r="FN318" i="55"/>
  <c r="FO318" i="55" s="1"/>
  <c r="GC65" i="55"/>
  <c r="EZ65" i="55"/>
  <c r="GC105" i="55"/>
  <c r="EZ105" i="55"/>
  <c r="EZ158" i="55"/>
  <c r="GC158" i="55"/>
  <c r="GC236" i="55"/>
  <c r="EZ236" i="55"/>
  <c r="GC67" i="55"/>
  <c r="FC67" i="55"/>
  <c r="FA67" i="55"/>
  <c r="GB67" i="55" s="1"/>
  <c r="EZ67" i="55"/>
  <c r="EW67" i="55"/>
  <c r="FL295" i="55"/>
  <c r="FM295" i="55" s="1"/>
  <c r="FE295" i="55"/>
  <c r="FI295" i="55" s="1"/>
  <c r="EQ295" i="55"/>
  <c r="EZ56" i="55"/>
  <c r="GC56" i="55"/>
  <c r="EM238" i="55"/>
  <c r="EN238" i="55" s="1"/>
  <c r="EP238" i="55" s="1"/>
  <c r="FN238" i="55"/>
  <c r="FO238" i="55" s="1"/>
  <c r="EM150" i="55"/>
  <c r="EN150" i="55" s="1"/>
  <c r="EP150" i="55" s="1"/>
  <c r="EM65" i="55"/>
  <c r="EN65" i="55" s="1"/>
  <c r="EP65" i="55" s="1"/>
  <c r="FN65" i="55"/>
  <c r="FO65" i="55" s="1"/>
  <c r="EZ339" i="55"/>
  <c r="GC339" i="55"/>
  <c r="FL59" i="55"/>
  <c r="FM59" i="55" s="1"/>
  <c r="FE59" i="55"/>
  <c r="FI59" i="55" s="1"/>
  <c r="EQ59" i="55"/>
  <c r="EM68" i="55"/>
  <c r="EN68" i="55" s="1"/>
  <c r="EP68" i="55" s="1"/>
  <c r="FN68" i="55"/>
  <c r="FO68" i="55" s="1"/>
  <c r="EM114" i="55"/>
  <c r="EN114" i="55" s="1"/>
  <c r="EP114" i="55" s="1"/>
  <c r="FN114" i="55"/>
  <c r="FO114" i="55" s="1"/>
  <c r="EM105" i="55"/>
  <c r="EN105" i="55" s="1"/>
  <c r="EP105" i="55" s="1"/>
  <c r="FN105" i="55"/>
  <c r="FO105" i="55" s="1"/>
  <c r="EZ292" i="55"/>
  <c r="GC292" i="55"/>
  <c r="EM158" i="55"/>
  <c r="EN158" i="55" s="1"/>
  <c r="EP158" i="55" s="1"/>
  <c r="FN158" i="55"/>
  <c r="FO158" i="55" s="1"/>
  <c r="EM236" i="55"/>
  <c r="EN236" i="55" s="1"/>
  <c r="EP236" i="55" s="1"/>
  <c r="FN236" i="55"/>
  <c r="FO236" i="55" s="1"/>
  <c r="GC164" i="55"/>
  <c r="EZ164" i="55"/>
  <c r="FL136" i="55"/>
  <c r="FM136" i="55" s="1"/>
  <c r="FE136" i="55"/>
  <c r="FI136" i="55" s="1"/>
  <c r="EQ136" i="55"/>
  <c r="DN43" i="55"/>
  <c r="DK43" i="55"/>
  <c r="FL304" i="55"/>
  <c r="FM304" i="55" s="1"/>
  <c r="FE304" i="55"/>
  <c r="FI304" i="55" s="1"/>
  <c r="EQ304" i="55"/>
  <c r="GC98" i="55"/>
  <c r="EZ98" i="55"/>
  <c r="EZ57" i="55"/>
  <c r="GC57" i="55"/>
  <c r="EM83" i="55"/>
  <c r="EN83" i="55" s="1"/>
  <c r="EP83" i="55" s="1"/>
  <c r="EM187" i="55"/>
  <c r="EN187" i="55" s="1"/>
  <c r="EP187" i="55" s="1"/>
  <c r="FN187" i="55"/>
  <c r="FO187" i="55" s="1"/>
  <c r="GC108" i="55"/>
  <c r="EZ108" i="55"/>
  <c r="EM77" i="55"/>
  <c r="EN77" i="55" s="1"/>
  <c r="EP77" i="55" s="1"/>
  <c r="EM263" i="55"/>
  <c r="EN263" i="55" s="1"/>
  <c r="EP263" i="55" s="1"/>
  <c r="EM312" i="55"/>
  <c r="EN312" i="55" s="1"/>
  <c r="EP312" i="55" s="1"/>
  <c r="EM56" i="55"/>
  <c r="EN56" i="55" s="1"/>
  <c r="EP56" i="55" s="1"/>
  <c r="FN56" i="55"/>
  <c r="FO56" i="55" s="1"/>
  <c r="GC28" i="55"/>
  <c r="EZ28" i="55"/>
  <c r="EM269" i="55"/>
  <c r="EN269" i="55" s="1"/>
  <c r="EP269" i="55" s="1"/>
  <c r="BW20" i="54"/>
  <c r="AR283" i="55"/>
  <c r="EM108" i="55"/>
  <c r="EN108" i="55" s="1"/>
  <c r="EP108" i="55" s="1"/>
  <c r="FN108" i="55"/>
  <c r="FO108" i="55" s="1"/>
  <c r="GC114" i="55"/>
  <c r="FC114" i="55"/>
  <c r="EZ114" i="55"/>
  <c r="FA114" i="55"/>
  <c r="GB114" i="55" s="1"/>
  <c r="EW114" i="55"/>
  <c r="EM28" i="55"/>
  <c r="EN28" i="55" s="1"/>
  <c r="EP28" i="55" s="1"/>
  <c r="FN28" i="55"/>
  <c r="FO28" i="55" s="1"/>
  <c r="EM67" i="55"/>
  <c r="EN67" i="55" s="1"/>
  <c r="EP67" i="55" s="1"/>
  <c r="FN67" i="55"/>
  <c r="FO67" i="55" s="1"/>
  <c r="EM161" i="55"/>
  <c r="EN161" i="55" s="1"/>
  <c r="EP161" i="55" s="1"/>
  <c r="FN161" i="55"/>
  <c r="FO161" i="55" s="1"/>
  <c r="EM55" i="55"/>
  <c r="EN55" i="55" s="1"/>
  <c r="EP55" i="55" s="1"/>
  <c r="FN55" i="55"/>
  <c r="FO55" i="55" s="1"/>
  <c r="EM97" i="55"/>
  <c r="EN97" i="55" s="1"/>
  <c r="EP97" i="55" s="1"/>
  <c r="FN97" i="55"/>
  <c r="FO97" i="55" s="1"/>
  <c r="EM204" i="55"/>
  <c r="EN204" i="55" s="1"/>
  <c r="EP204" i="55" s="1"/>
  <c r="EM54" i="55"/>
  <c r="EN54" i="55" s="1"/>
  <c r="EP54" i="55" s="1"/>
  <c r="FN54" i="55"/>
  <c r="FO54" i="55" s="1"/>
  <c r="FX141" i="55" a="1"/>
  <c r="FX141" i="55" s="1"/>
  <c r="FY141" i="55" s="1"/>
  <c r="FV141" i="55" a="1"/>
  <c r="FV141" i="55" s="1"/>
  <c r="FW141" i="55" s="1"/>
  <c r="FT141" i="55" a="1"/>
  <c r="FT141" i="55" s="1"/>
  <c r="FU141" i="55" s="1"/>
  <c r="FZ141" i="55" a="1"/>
  <c r="FZ141" i="55" s="1"/>
  <c r="GA141" i="55" s="1"/>
  <c r="FR141" i="55" a="1"/>
  <c r="FR141" i="55" s="1"/>
  <c r="FS141" i="55" s="1"/>
  <c r="FP141" i="55" a="1"/>
  <c r="FP141" i="55" s="1"/>
  <c r="FQ141" i="55" s="1"/>
  <c r="EM280" i="55"/>
  <c r="EN280" i="55" s="1"/>
  <c r="EP280" i="55" s="1"/>
  <c r="GC94" i="55"/>
  <c r="EZ94" i="55"/>
  <c r="EM160" i="55"/>
  <c r="EN160" i="55" s="1"/>
  <c r="EP160" i="55" s="1"/>
  <c r="FN160" i="55"/>
  <c r="FO160" i="55" s="1"/>
  <c r="GC15" i="55"/>
  <c r="FA15" i="55"/>
  <c r="FC15" i="55"/>
  <c r="EZ15" i="55"/>
  <c r="EW15" i="55"/>
  <c r="EZ132" i="55"/>
  <c r="GC132" i="55"/>
  <c r="EV101" i="55"/>
  <c r="EU101" i="55"/>
  <c r="GU101" i="55" s="1"/>
  <c r="EM332" i="55"/>
  <c r="EN332" i="55" s="1"/>
  <c r="EP332" i="55" s="1"/>
  <c r="FN332" i="55"/>
  <c r="FO332" i="55" s="1"/>
  <c r="FL163" i="55"/>
  <c r="FM163" i="55" s="1"/>
  <c r="EQ163" i="55"/>
  <c r="FE163" i="55"/>
  <c r="FI163" i="55" s="1"/>
  <c r="EM315" i="55"/>
  <c r="EN315" i="55" s="1"/>
  <c r="EP315" i="55" s="1"/>
  <c r="FN315" i="55"/>
  <c r="FO315" i="55" s="1"/>
  <c r="GC235" i="55"/>
  <c r="EZ235" i="55"/>
  <c r="FT229" i="55" a="1"/>
  <c r="FT229" i="55" s="1"/>
  <c r="FU229" i="55" s="1"/>
  <c r="FZ229" i="55" a="1"/>
  <c r="FZ229" i="55" s="1"/>
  <c r="GA229" i="55" s="1"/>
  <c r="FX229" i="55" a="1"/>
  <c r="FX229" i="55" s="1"/>
  <c r="FY229" i="55" s="1"/>
  <c r="FV229" i="55" a="1"/>
  <c r="FV229" i="55" s="1"/>
  <c r="FW229" i="55" s="1"/>
  <c r="FP229" i="55" a="1"/>
  <c r="FP229" i="55" s="1"/>
  <c r="FQ229" i="55" s="1"/>
  <c r="FR229" i="55" a="1"/>
  <c r="FR229" i="55" s="1"/>
  <c r="FS229" i="55" s="1"/>
  <c r="EM109" i="55"/>
  <c r="EN109" i="55" s="1"/>
  <c r="EP109" i="55" s="1"/>
  <c r="FN109" i="55"/>
  <c r="FO109" i="55" s="1"/>
  <c r="EM234" i="55"/>
  <c r="EN234" i="55" s="1"/>
  <c r="EP234" i="55" s="1"/>
  <c r="FN234" i="55"/>
  <c r="FO234" i="55" s="1"/>
  <c r="EM309" i="55"/>
  <c r="EN309" i="55" s="1"/>
  <c r="EP309" i="55" s="1"/>
  <c r="GC322" i="55"/>
  <c r="EZ322" i="55"/>
  <c r="GC346" i="55"/>
  <c r="EZ346" i="55"/>
  <c r="EM248" i="55"/>
  <c r="EN248" i="55" s="1"/>
  <c r="EP248" i="55" s="1"/>
  <c r="EM270" i="55"/>
  <c r="EN270" i="55" s="1"/>
  <c r="EP270" i="55" s="1"/>
  <c r="EM78" i="55"/>
  <c r="EN78" i="55" s="1"/>
  <c r="EP78" i="55" s="1"/>
  <c r="EZ55" i="55"/>
  <c r="GC55" i="55"/>
  <c r="EM237" i="55"/>
  <c r="EN237" i="55" s="1"/>
  <c r="EP237" i="55" s="1"/>
  <c r="FN237" i="55"/>
  <c r="FO237" i="55" s="1"/>
  <c r="EM255" i="55"/>
  <c r="EN255" i="55" s="1"/>
  <c r="EP255" i="55" s="1"/>
  <c r="GC97" i="55"/>
  <c r="EZ97" i="55"/>
  <c r="GC334" i="55"/>
  <c r="EZ334" i="55"/>
  <c r="FL141" i="55"/>
  <c r="FM141" i="55" s="1"/>
  <c r="FE141" i="55"/>
  <c r="FI141" i="55" s="1"/>
  <c r="EQ141" i="55"/>
  <c r="EZ110" i="55"/>
  <c r="GC110" i="55"/>
  <c r="EM101" i="55"/>
  <c r="EN101" i="55" s="1"/>
  <c r="EP101" i="55" s="1"/>
  <c r="FN101" i="55"/>
  <c r="FO101" i="55" s="1"/>
  <c r="EM94" i="55"/>
  <c r="EN94" i="55" s="1"/>
  <c r="EP94" i="55" s="1"/>
  <c r="FN94" i="55"/>
  <c r="FO94" i="55" s="1"/>
  <c r="EM247" i="55"/>
  <c r="EN247" i="55" s="1"/>
  <c r="EP247" i="55" s="1"/>
  <c r="EM300" i="55"/>
  <c r="EN300" i="55" s="1"/>
  <c r="EP300" i="55" s="1"/>
  <c r="GC91" i="55"/>
  <c r="EZ91" i="55"/>
  <c r="GC160" i="55"/>
  <c r="EZ160" i="55"/>
  <c r="EM139" i="55"/>
  <c r="EN139" i="55" s="1"/>
  <c r="EP139" i="55" s="1"/>
  <c r="FN139" i="55"/>
  <c r="FO139" i="55" s="1"/>
  <c r="EM320" i="55"/>
  <c r="EN320" i="55" s="1"/>
  <c r="EP320" i="55" s="1"/>
  <c r="FN320" i="55"/>
  <c r="FO320" i="55" s="1"/>
  <c r="EM132" i="55"/>
  <c r="EN132" i="55" s="1"/>
  <c r="EP132" i="55" s="1"/>
  <c r="FN132" i="55"/>
  <c r="FO132" i="55" s="1"/>
  <c r="EZ332" i="55"/>
  <c r="GC332" i="55"/>
  <c r="EM243" i="55"/>
  <c r="EN243" i="55" s="1"/>
  <c r="EP243" i="55" s="1"/>
  <c r="EM60" i="55"/>
  <c r="EN60" i="55" s="1"/>
  <c r="EP60" i="55" s="1"/>
  <c r="FN60" i="55"/>
  <c r="FO60" i="55" s="1"/>
  <c r="EM281" i="55"/>
  <c r="EN281" i="55" s="1"/>
  <c r="EP281" i="55" s="1"/>
  <c r="EM66" i="55"/>
  <c r="EN66" i="55" s="1"/>
  <c r="EP66" i="55" s="1"/>
  <c r="FN66" i="55"/>
  <c r="FO66" i="55" s="1"/>
  <c r="EM290" i="55"/>
  <c r="EN290" i="55" s="1"/>
  <c r="EP290" i="55" s="1"/>
  <c r="FN290" i="55"/>
  <c r="FO290" i="55" s="1"/>
  <c r="EM124" i="55"/>
  <c r="EN124" i="55" s="1"/>
  <c r="EP124" i="55" s="1"/>
  <c r="EM140" i="55"/>
  <c r="EN140" i="55" s="1"/>
  <c r="EP140" i="55" s="1"/>
  <c r="FN140" i="55"/>
  <c r="FO140" i="55" s="1"/>
  <c r="EZ315" i="55"/>
  <c r="GC315" i="55"/>
  <c r="GC63" i="55"/>
  <c r="EZ63" i="55"/>
  <c r="EM235" i="55"/>
  <c r="EN235" i="55" s="1"/>
  <c r="EP235" i="55" s="1"/>
  <c r="FN235" i="55"/>
  <c r="FO235" i="55" s="1"/>
  <c r="EM208" i="55"/>
  <c r="EN208" i="55" s="1"/>
  <c r="EP208" i="55" s="1"/>
  <c r="FE229" i="55"/>
  <c r="FI229" i="55" s="1"/>
  <c r="EQ229" i="55"/>
  <c r="FL229" i="55"/>
  <c r="FM229" i="55" s="1"/>
  <c r="EM149" i="55"/>
  <c r="EN149" i="55" s="1"/>
  <c r="EP149" i="55" s="1"/>
  <c r="EM192" i="55"/>
  <c r="EN192" i="55" s="1"/>
  <c r="EP192" i="55" s="1"/>
  <c r="FN192" i="55"/>
  <c r="FO192" i="55" s="1"/>
  <c r="EM322" i="55"/>
  <c r="EN322" i="55" s="1"/>
  <c r="EP322" i="55" s="1"/>
  <c r="FN322" i="55"/>
  <c r="FO322" i="55" s="1"/>
  <c r="EZ193" i="55"/>
  <c r="GC193" i="55"/>
  <c r="CZ68" i="55" l="1"/>
  <c r="CY69" i="55"/>
  <c r="CY240" i="55"/>
  <c r="CZ239" i="55"/>
  <c r="CZ118" i="55"/>
  <c r="CY119" i="55"/>
  <c r="CY299" i="55"/>
  <c r="CZ298" i="55"/>
  <c r="FX56" i="55" a="1"/>
  <c r="FX56" i="55" s="1"/>
  <c r="FY56" i="55" s="1"/>
  <c r="FV56" i="55" a="1"/>
  <c r="FV56" i="55" s="1"/>
  <c r="FW56" i="55" s="1"/>
  <c r="FZ56" i="55" a="1"/>
  <c r="FZ56" i="55" s="1"/>
  <c r="GA56" i="55" s="1"/>
  <c r="FT56" i="55" a="1"/>
  <c r="FT56" i="55" s="1"/>
  <c r="FU56" i="55" s="1"/>
  <c r="FP56" i="55" a="1"/>
  <c r="FP56" i="55" s="1"/>
  <c r="FQ56" i="55" s="1"/>
  <c r="FR56" i="55" a="1"/>
  <c r="FR56" i="55" s="1"/>
  <c r="FS56" i="55" s="1"/>
  <c r="FL203" i="55"/>
  <c r="FM203" i="55" s="1"/>
  <c r="FE203" i="55"/>
  <c r="FI203" i="55" s="1"/>
  <c r="EQ203" i="55"/>
  <c r="FV168" i="55" a="1"/>
  <c r="FV168" i="55" s="1"/>
  <c r="FW168" i="55" s="1"/>
  <c r="FX168" i="55" a="1"/>
  <c r="FX168" i="55" s="1"/>
  <c r="FY168" i="55" s="1"/>
  <c r="FZ168" i="55" a="1"/>
  <c r="FZ168" i="55" s="1"/>
  <c r="GA168" i="55" s="1"/>
  <c r="FT168" i="55" a="1"/>
  <c r="FT168" i="55" s="1"/>
  <c r="FU168" i="55" s="1"/>
  <c r="FR168" i="55" a="1"/>
  <c r="FR168" i="55" s="1"/>
  <c r="FS168" i="55" s="1"/>
  <c r="FP168" i="55" a="1"/>
  <c r="FP168" i="55" s="1"/>
  <c r="FQ168" i="55" s="1"/>
  <c r="FL67" i="55"/>
  <c r="FM67" i="55" s="1"/>
  <c r="FE67" i="55"/>
  <c r="FI67" i="55" s="1"/>
  <c r="EQ67" i="55"/>
  <c r="FE63" i="55"/>
  <c r="FI63" i="55" s="1"/>
  <c r="FL63" i="55"/>
  <c r="FM63" i="55" s="1"/>
  <c r="EQ63" i="55"/>
  <c r="FL219" i="55"/>
  <c r="FM219" i="55" s="1"/>
  <c r="EQ219" i="55"/>
  <c r="FE219" i="55"/>
  <c r="FI219" i="55" s="1"/>
  <c r="FX142" i="55" a="1"/>
  <c r="FX142" i="55" s="1"/>
  <c r="FY142" i="55" s="1"/>
  <c r="FV142" i="55" a="1"/>
  <c r="FV142" i="55" s="1"/>
  <c r="FW142" i="55" s="1"/>
  <c r="FZ142" i="55" a="1"/>
  <c r="FZ142" i="55" s="1"/>
  <c r="GA142" i="55" s="1"/>
  <c r="FR142" i="55" a="1"/>
  <c r="FR142" i="55" s="1"/>
  <c r="FS142" i="55" s="1"/>
  <c r="FP142" i="55" a="1"/>
  <c r="FP142" i="55" s="1"/>
  <c r="FQ142" i="55" s="1"/>
  <c r="FT142" i="55" a="1"/>
  <c r="FT142" i="55" s="1"/>
  <c r="FU142" i="55" s="1"/>
  <c r="FL201" i="55"/>
  <c r="FM201" i="55" s="1"/>
  <c r="FE201" i="55"/>
  <c r="FI201" i="55" s="1"/>
  <c r="EQ201" i="55"/>
  <c r="FX62" i="55" a="1"/>
  <c r="FX62" i="55" s="1"/>
  <c r="FY62" i="55" s="1"/>
  <c r="FZ62" i="55" a="1"/>
  <c r="FZ62" i="55" s="1"/>
  <c r="GA62" i="55" s="1"/>
  <c r="FT62" i="55" a="1"/>
  <c r="FT62" i="55" s="1"/>
  <c r="FU62" i="55" s="1"/>
  <c r="FP62" i="55" a="1"/>
  <c r="FP62" i="55" s="1"/>
  <c r="FQ62" i="55" s="1"/>
  <c r="FV62" i="55" a="1"/>
  <c r="FV62" i="55" s="1"/>
  <c r="FW62" i="55" s="1"/>
  <c r="FR62" i="55" a="1"/>
  <c r="FR62" i="55" s="1"/>
  <c r="FS62" i="55" s="1"/>
  <c r="FL208" i="55"/>
  <c r="FM208" i="55" s="1"/>
  <c r="FE208" i="55"/>
  <c r="FI208" i="55" s="1"/>
  <c r="EQ208" i="55"/>
  <c r="FZ166" i="55" a="1"/>
  <c r="FZ166" i="55" s="1"/>
  <c r="GA166" i="55" s="1"/>
  <c r="FT166" i="55" a="1"/>
  <c r="FT166" i="55" s="1"/>
  <c r="FU166" i="55" s="1"/>
  <c r="FX166" i="55" a="1"/>
  <c r="FX166" i="55" s="1"/>
  <c r="FY166" i="55" s="1"/>
  <c r="FR166" i="55" a="1"/>
  <c r="FR166" i="55" s="1"/>
  <c r="FS166" i="55" s="1"/>
  <c r="FV166" i="55" a="1"/>
  <c r="FV166" i="55" s="1"/>
  <c r="FW166" i="55" s="1"/>
  <c r="FP166" i="55" a="1"/>
  <c r="FP166" i="55" s="1"/>
  <c r="FQ166" i="55" s="1"/>
  <c r="FL266" i="55"/>
  <c r="FM266" i="55" s="1"/>
  <c r="FE266" i="55"/>
  <c r="FI266" i="55" s="1"/>
  <c r="EQ266" i="55"/>
  <c r="FL122" i="55"/>
  <c r="FM122" i="55" s="1"/>
  <c r="EQ122" i="55"/>
  <c r="FE122" i="55"/>
  <c r="FI122" i="55" s="1"/>
  <c r="FE217" i="55"/>
  <c r="FI217" i="55" s="1"/>
  <c r="FL217" i="55"/>
  <c r="FM217" i="55" s="1"/>
  <c r="EQ217" i="55"/>
  <c r="FL198" i="55"/>
  <c r="FM198" i="55" s="1"/>
  <c r="FE198" i="55"/>
  <c r="FI198" i="55" s="1"/>
  <c r="EQ198" i="55"/>
  <c r="FX228" i="55" a="1"/>
  <c r="FX228" i="55" s="1"/>
  <c r="FY228" i="55" s="1"/>
  <c r="FZ228" i="55" a="1"/>
  <c r="FZ228" i="55" s="1"/>
  <c r="GA228" i="55" s="1"/>
  <c r="FP228" i="55" a="1"/>
  <c r="FP228" i="55" s="1"/>
  <c r="FQ228" i="55" s="1"/>
  <c r="FV228" i="55" a="1"/>
  <c r="FV228" i="55" s="1"/>
  <c r="FW228" i="55" s="1"/>
  <c r="FT228" i="55" a="1"/>
  <c r="FT228" i="55" s="1"/>
  <c r="FU228" i="55" s="1"/>
  <c r="FR228" i="55" a="1"/>
  <c r="FR228" i="55" s="1"/>
  <c r="FS228" i="55" s="1"/>
  <c r="FL188" i="55"/>
  <c r="FM188" i="55" s="1"/>
  <c r="FE188" i="55"/>
  <c r="FI188" i="55" s="1"/>
  <c r="EQ188" i="55"/>
  <c r="FL173" i="55"/>
  <c r="FM173" i="55" s="1"/>
  <c r="FE173" i="55"/>
  <c r="FI173" i="55" s="1"/>
  <c r="EQ173" i="55"/>
  <c r="FL342" i="55"/>
  <c r="FM342" i="55" s="1"/>
  <c r="FE342" i="55"/>
  <c r="FI342" i="55" s="1"/>
  <c r="EQ342" i="55"/>
  <c r="FL281" i="55"/>
  <c r="FM281" i="55" s="1"/>
  <c r="EQ281" i="55"/>
  <c r="FE281" i="55"/>
  <c r="FI281" i="55" s="1"/>
  <c r="FL248" i="55"/>
  <c r="FM248" i="55" s="1"/>
  <c r="EQ248" i="55"/>
  <c r="FE248" i="55"/>
  <c r="FI248" i="55" s="1"/>
  <c r="FL142" i="55"/>
  <c r="FM142" i="55" s="1"/>
  <c r="FE142" i="55"/>
  <c r="FI142" i="55" s="1"/>
  <c r="EQ142" i="55"/>
  <c r="FL166" i="55"/>
  <c r="FM166" i="55" s="1"/>
  <c r="FE166" i="55"/>
  <c r="FI166" i="55" s="1"/>
  <c r="EQ166" i="55"/>
  <c r="FD209" i="55"/>
  <c r="FB209" i="55"/>
  <c r="FL268" i="55"/>
  <c r="FM268" i="55" s="1"/>
  <c r="FE268" i="55"/>
  <c r="FI268" i="55" s="1"/>
  <c r="EQ268" i="55"/>
  <c r="FE62" i="55"/>
  <c r="FI62" i="55" s="1"/>
  <c r="FL62" i="55"/>
  <c r="FM62" i="55" s="1"/>
  <c r="EQ62" i="55"/>
  <c r="FL228" i="55"/>
  <c r="FM228" i="55" s="1"/>
  <c r="EQ228" i="55"/>
  <c r="FE228" i="55"/>
  <c r="FI228" i="55" s="1"/>
  <c r="FT194" i="55" a="1"/>
  <c r="FT194" i="55" s="1"/>
  <c r="FU194" i="55" s="1"/>
  <c r="FZ194" i="55" a="1"/>
  <c r="FZ194" i="55" s="1"/>
  <c r="GA194" i="55" s="1"/>
  <c r="FV194" i="55" a="1"/>
  <c r="FV194" i="55" s="1"/>
  <c r="FW194" i="55" s="1"/>
  <c r="FX194" i="55" a="1"/>
  <c r="FX194" i="55" s="1"/>
  <c r="FY194" i="55" s="1"/>
  <c r="FR194" i="55" a="1"/>
  <c r="FR194" i="55" s="1"/>
  <c r="FS194" i="55" s="1"/>
  <c r="FP194" i="55" a="1"/>
  <c r="FP194" i="55" s="1"/>
  <c r="FQ194" i="55" s="1"/>
  <c r="FL123" i="55"/>
  <c r="FM123" i="55" s="1"/>
  <c r="FE123" i="55"/>
  <c r="FI123" i="55" s="1"/>
  <c r="EQ123" i="55"/>
  <c r="FV326" i="55" a="1"/>
  <c r="FV326" i="55" s="1"/>
  <c r="FW326" i="55" s="1"/>
  <c r="FX326" i="55" a="1"/>
  <c r="FX326" i="55" s="1"/>
  <c r="FY326" i="55" s="1"/>
  <c r="FT326" i="55" a="1"/>
  <c r="FT326" i="55" s="1"/>
  <c r="FU326" i="55" s="1"/>
  <c r="FR326" i="55" a="1"/>
  <c r="FR326" i="55" s="1"/>
  <c r="FS326" i="55" s="1"/>
  <c r="FP326" i="55" a="1"/>
  <c r="FP326" i="55" s="1"/>
  <c r="FQ326" i="55" s="1"/>
  <c r="FZ326" i="55" a="1"/>
  <c r="FZ326" i="55" s="1"/>
  <c r="GA326" i="55" s="1"/>
  <c r="FL245" i="55"/>
  <c r="FM245" i="55" s="1"/>
  <c r="EQ245" i="55"/>
  <c r="FE245" i="55"/>
  <c r="FI245" i="55" s="1"/>
  <c r="FL260" i="55"/>
  <c r="FM260" i="55" s="1"/>
  <c r="EQ260" i="55"/>
  <c r="FE260" i="55"/>
  <c r="FI260" i="55" s="1"/>
  <c r="GC68" i="55"/>
  <c r="EZ68" i="55"/>
  <c r="FC68" i="55"/>
  <c r="FA68" i="55"/>
  <c r="GB68" i="55" s="1"/>
  <c r="EW68" i="55"/>
  <c r="FL235" i="55"/>
  <c r="FM235" i="55" s="1"/>
  <c r="FE235" i="55"/>
  <c r="FI235" i="55" s="1"/>
  <c r="EQ235" i="55"/>
  <c r="FX60" i="55" a="1"/>
  <c r="FX60" i="55" s="1"/>
  <c r="FY60" i="55" s="1"/>
  <c r="FR60" i="55" a="1"/>
  <c r="FR60" i="55" s="1"/>
  <c r="FS60" i="55" s="1"/>
  <c r="FV60" i="55" a="1"/>
  <c r="FV60" i="55" s="1"/>
  <c r="FW60" i="55" s="1"/>
  <c r="FT60" i="55" a="1"/>
  <c r="FT60" i="55" s="1"/>
  <c r="FU60" i="55" s="1"/>
  <c r="FZ60" i="55" a="1"/>
  <c r="FZ60" i="55" s="1"/>
  <c r="GA60" i="55" s="1"/>
  <c r="FP60" i="55" a="1"/>
  <c r="FP60" i="55" s="1"/>
  <c r="FQ60" i="55" s="1"/>
  <c r="GN28" i="55"/>
  <c r="FL28" i="55"/>
  <c r="FM28" i="55" s="1"/>
  <c r="FE28" i="55"/>
  <c r="FI28" i="55" s="1"/>
  <c r="EQ28" i="55"/>
  <c r="FL196" i="55"/>
  <c r="FM196" i="55" s="1"/>
  <c r="EQ196" i="55"/>
  <c r="FE196" i="55"/>
  <c r="FI196" i="55" s="1"/>
  <c r="FX57" i="55" a="1"/>
  <c r="FX57" i="55" s="1"/>
  <c r="FY57" i="55" s="1"/>
  <c r="FT57" i="55" a="1"/>
  <c r="FT57" i="55" s="1"/>
  <c r="FU57" i="55" s="1"/>
  <c r="FR57" i="55" a="1"/>
  <c r="FR57" i="55" s="1"/>
  <c r="FS57" i="55" s="1"/>
  <c r="FZ57" i="55" a="1"/>
  <c r="FZ57" i="55" s="1"/>
  <c r="GA57" i="55" s="1"/>
  <c r="FV57" i="55" a="1"/>
  <c r="FV57" i="55" s="1"/>
  <c r="FW57" i="55" s="1"/>
  <c r="FP57" i="55" a="1"/>
  <c r="FP57" i="55" s="1"/>
  <c r="FQ57" i="55" s="1"/>
  <c r="FV69" i="55" a="1"/>
  <c r="FV69" i="55" s="1"/>
  <c r="FW69" i="55" s="1"/>
  <c r="FT69" i="55" a="1"/>
  <c r="FT69" i="55" s="1"/>
  <c r="FU69" i="55" s="1"/>
  <c r="FZ69" i="55" a="1"/>
  <c r="FZ69" i="55" s="1"/>
  <c r="GA69" i="55" s="1"/>
  <c r="FX69" i="55" a="1"/>
  <c r="FX69" i="55" s="1"/>
  <c r="FY69" i="55" s="1"/>
  <c r="FR69" i="55" a="1"/>
  <c r="FR69" i="55" s="1"/>
  <c r="FS69" i="55" s="1"/>
  <c r="FP69" i="55" a="1"/>
  <c r="FP69" i="55" s="1"/>
  <c r="FQ69" i="55" s="1"/>
  <c r="FV297" i="55" a="1"/>
  <c r="FV297" i="55" s="1"/>
  <c r="FW297" i="55" s="1"/>
  <c r="FZ297" i="55" a="1"/>
  <c r="FZ297" i="55" s="1"/>
  <c r="GA297" i="55" s="1"/>
  <c r="FR297" i="55" a="1"/>
  <c r="FR297" i="55" s="1"/>
  <c r="FS297" i="55" s="1"/>
  <c r="FT297" i="55" a="1"/>
  <c r="FT297" i="55" s="1"/>
  <c r="FU297" i="55" s="1"/>
  <c r="FX297" i="55" a="1"/>
  <c r="FX297" i="55" s="1"/>
  <c r="FY297" i="55" s="1"/>
  <c r="FP297" i="55" a="1"/>
  <c r="FP297" i="55" s="1"/>
  <c r="FQ297" i="55" s="1"/>
  <c r="EV241" i="55"/>
  <c r="EU241" i="55"/>
  <c r="GU241" i="55" s="1"/>
  <c r="ET242" i="55"/>
  <c r="EV17" i="55"/>
  <c r="EU17" i="55"/>
  <c r="GU17" i="55" s="1"/>
  <c r="ET18" i="55"/>
  <c r="FL202" i="55"/>
  <c r="FM202" i="55" s="1"/>
  <c r="FE202" i="55"/>
  <c r="FI202" i="55" s="1"/>
  <c r="EQ202" i="55"/>
  <c r="FL172" i="55"/>
  <c r="FM172" i="55" s="1"/>
  <c r="FE172" i="55"/>
  <c r="FI172" i="55" s="1"/>
  <c r="EQ172" i="55"/>
  <c r="FL300" i="55"/>
  <c r="FM300" i="55" s="1"/>
  <c r="FE300" i="55"/>
  <c r="FI300" i="55" s="1"/>
  <c r="EQ300" i="55"/>
  <c r="FB304" i="55"/>
  <c r="FD304" i="55"/>
  <c r="FZ226" i="55" a="1"/>
  <c r="FZ226" i="55" s="1"/>
  <c r="GA226" i="55" s="1"/>
  <c r="FX226" i="55" a="1"/>
  <c r="FX226" i="55" s="1"/>
  <c r="FY226" i="55" s="1"/>
  <c r="FV226" i="55" a="1"/>
  <c r="FV226" i="55" s="1"/>
  <c r="FW226" i="55" s="1"/>
  <c r="FR226" i="55" a="1"/>
  <c r="FR226" i="55" s="1"/>
  <c r="FS226" i="55" s="1"/>
  <c r="FP226" i="55" a="1"/>
  <c r="FP226" i="55" s="1"/>
  <c r="FQ226" i="55" s="1"/>
  <c r="FT226" i="55" a="1"/>
  <c r="FT226" i="55" s="1"/>
  <c r="FU226" i="55" s="1"/>
  <c r="FL284" i="55"/>
  <c r="FM284" i="55" s="1"/>
  <c r="FE284" i="55"/>
  <c r="FI284" i="55" s="1"/>
  <c r="EQ284" i="55"/>
  <c r="FX164" i="55" a="1"/>
  <c r="FX164" i="55" s="1"/>
  <c r="FY164" i="55" s="1"/>
  <c r="FZ164" i="55" a="1"/>
  <c r="FZ164" i="55" s="1"/>
  <c r="GA164" i="55" s="1"/>
  <c r="FT164" i="55" a="1"/>
  <c r="FT164" i="55" s="1"/>
  <c r="FU164" i="55" s="1"/>
  <c r="FV164" i="55" a="1"/>
  <c r="FV164" i="55" s="1"/>
  <c r="FW164" i="55" s="1"/>
  <c r="FR164" i="55" a="1"/>
  <c r="FR164" i="55" s="1"/>
  <c r="FS164" i="55" s="1"/>
  <c r="FP164" i="55" a="1"/>
  <c r="FP164" i="55" s="1"/>
  <c r="FQ164" i="55" s="1"/>
  <c r="FV328" i="55" a="1"/>
  <c r="FV328" i="55" s="1"/>
  <c r="FW328" i="55" s="1"/>
  <c r="FX328" i="55" a="1"/>
  <c r="FX328" i="55" s="1"/>
  <c r="FY328" i="55" s="1"/>
  <c r="FZ328" i="55" a="1"/>
  <c r="FZ328" i="55" s="1"/>
  <c r="GA328" i="55" s="1"/>
  <c r="FT328" i="55" a="1"/>
  <c r="FT328" i="55" s="1"/>
  <c r="FU328" i="55" s="1"/>
  <c r="FP328" i="55" a="1"/>
  <c r="FP328" i="55" s="1"/>
  <c r="FQ328" i="55" s="1"/>
  <c r="FR328" i="55" a="1"/>
  <c r="FR328" i="55" s="1"/>
  <c r="FS328" i="55" s="1"/>
  <c r="EU45" i="55"/>
  <c r="GU45" i="55" s="1"/>
  <c r="EV45" i="55"/>
  <c r="ET46" i="55"/>
  <c r="FV64" i="55" a="1"/>
  <c r="FV64" i="55" s="1"/>
  <c r="FW64" i="55" s="1"/>
  <c r="FZ64" i="55" a="1"/>
  <c r="FZ64" i="55" s="1"/>
  <c r="GA64" i="55" s="1"/>
  <c r="FT64" i="55" a="1"/>
  <c r="FT64" i="55" s="1"/>
  <c r="FU64" i="55" s="1"/>
  <c r="FX64" i="55" a="1"/>
  <c r="FX64" i="55" s="1"/>
  <c r="FY64" i="55" s="1"/>
  <c r="FR64" i="55" a="1"/>
  <c r="FR64" i="55" s="1"/>
  <c r="FS64" i="55" s="1"/>
  <c r="FP64" i="55" a="1"/>
  <c r="FP64" i="55" s="1"/>
  <c r="FQ64" i="55" s="1"/>
  <c r="FV104" i="55" a="1"/>
  <c r="FV104" i="55" s="1"/>
  <c r="FW104" i="55" s="1"/>
  <c r="FZ104" i="55" a="1"/>
  <c r="FZ104" i="55" s="1"/>
  <c r="GA104" i="55" s="1"/>
  <c r="FX104" i="55" a="1"/>
  <c r="FX104" i="55" s="1"/>
  <c r="FY104" i="55" s="1"/>
  <c r="FR104" i="55" a="1"/>
  <c r="FR104" i="55" s="1"/>
  <c r="FS104" i="55" s="1"/>
  <c r="FT104" i="55" a="1"/>
  <c r="FT104" i="55" s="1"/>
  <c r="FU104" i="55" s="1"/>
  <c r="FP104" i="55" a="1"/>
  <c r="FP104" i="55" s="1"/>
  <c r="FQ104" i="55" s="1"/>
  <c r="FL206" i="55"/>
  <c r="FM206" i="55" s="1"/>
  <c r="FE206" i="55"/>
  <c r="FI206" i="55" s="1"/>
  <c r="EQ206" i="55"/>
  <c r="FL226" i="55"/>
  <c r="FM226" i="55" s="1"/>
  <c r="FE226" i="55"/>
  <c r="FI226" i="55" s="1"/>
  <c r="EQ226" i="55"/>
  <c r="FE98" i="55"/>
  <c r="FI98" i="55" s="1"/>
  <c r="FL98" i="55"/>
  <c r="FM98" i="55" s="1"/>
  <c r="EQ98" i="55"/>
  <c r="FZ137" i="55" a="1"/>
  <c r="FZ137" i="55" s="1"/>
  <c r="GA137" i="55" s="1"/>
  <c r="FV137" i="55" a="1"/>
  <c r="FV137" i="55" s="1"/>
  <c r="FW137" i="55" s="1"/>
  <c r="FX137" i="55" a="1"/>
  <c r="FX137" i="55" s="1"/>
  <c r="FY137" i="55" s="1"/>
  <c r="FR137" i="55" a="1"/>
  <c r="FR137" i="55" s="1"/>
  <c r="FS137" i="55" s="1"/>
  <c r="FT137" i="55" a="1"/>
  <c r="FT137" i="55" s="1"/>
  <c r="FU137" i="55" s="1"/>
  <c r="FP137" i="55" a="1"/>
  <c r="FP137" i="55" s="1"/>
  <c r="FQ137" i="55" s="1"/>
  <c r="FL231" i="55"/>
  <c r="FM231" i="55" s="1"/>
  <c r="FE231" i="55"/>
  <c r="FI231" i="55" s="1"/>
  <c r="EQ231" i="55"/>
  <c r="EQ241" i="55"/>
  <c r="FE241" i="55"/>
  <c r="FI241" i="55" s="1"/>
  <c r="FL241" i="55"/>
  <c r="FM241" i="55" s="1"/>
  <c r="FL328" i="55"/>
  <c r="FM328" i="55" s="1"/>
  <c r="EQ328" i="55"/>
  <c r="FE328" i="55"/>
  <c r="FI328" i="55" s="1"/>
  <c r="FV314" i="55" a="1"/>
  <c r="FV314" i="55" s="1"/>
  <c r="FW314" i="55" s="1"/>
  <c r="FX314" i="55" a="1"/>
  <c r="FX314" i="55" s="1"/>
  <c r="FY314" i="55" s="1"/>
  <c r="FT314" i="55" a="1"/>
  <c r="FT314" i="55" s="1"/>
  <c r="FU314" i="55" s="1"/>
  <c r="FZ314" i="55" a="1"/>
  <c r="FZ314" i="55" s="1"/>
  <c r="GA314" i="55" s="1"/>
  <c r="FP314" i="55" a="1"/>
  <c r="FP314" i="55" s="1"/>
  <c r="FQ314" i="55" s="1"/>
  <c r="FR314" i="55" a="1"/>
  <c r="FR314" i="55" s="1"/>
  <c r="FS314" i="55" s="1"/>
  <c r="DL129" i="55"/>
  <c r="DO129" i="55" s="1"/>
  <c r="DN129" i="55"/>
  <c r="DK129" i="55"/>
  <c r="FL61" i="55"/>
  <c r="FM61" i="55" s="1"/>
  <c r="EQ61" i="55"/>
  <c r="FE61" i="55"/>
  <c r="FI61" i="55" s="1"/>
  <c r="FL314" i="55"/>
  <c r="FM314" i="55" s="1"/>
  <c r="EQ314" i="55"/>
  <c r="FE314" i="55"/>
  <c r="FI314" i="55" s="1"/>
  <c r="FE183" i="55"/>
  <c r="FI183" i="55" s="1"/>
  <c r="FL183" i="55"/>
  <c r="FM183" i="55" s="1"/>
  <c r="EQ183" i="55"/>
  <c r="FL107" i="55"/>
  <c r="FM107" i="55" s="1"/>
  <c r="EQ107" i="55"/>
  <c r="FE107" i="55"/>
  <c r="FI107" i="55" s="1"/>
  <c r="GC143" i="55"/>
  <c r="FA143" i="55"/>
  <c r="GB143" i="55" s="1"/>
  <c r="EW143" i="55"/>
  <c r="FC143" i="55"/>
  <c r="EZ143" i="55"/>
  <c r="FB126" i="55"/>
  <c r="FD126" i="55"/>
  <c r="FZ189" i="55" a="1"/>
  <c r="FZ189" i="55" s="1"/>
  <c r="GA189" i="55" s="1"/>
  <c r="FT189" i="55" a="1"/>
  <c r="FT189" i="55" s="1"/>
  <c r="FU189" i="55" s="1"/>
  <c r="FV189" i="55" a="1"/>
  <c r="FV189" i="55" s="1"/>
  <c r="FW189" i="55" s="1"/>
  <c r="FX189" i="55" a="1"/>
  <c r="FX189" i="55" s="1"/>
  <c r="FY189" i="55" s="1"/>
  <c r="FP189" i="55" a="1"/>
  <c r="FP189" i="55" s="1"/>
  <c r="FQ189" i="55" s="1"/>
  <c r="FR189" i="55" a="1"/>
  <c r="FR189" i="55" s="1"/>
  <c r="FS189" i="55" s="1"/>
  <c r="FL119" i="55"/>
  <c r="FM119" i="55" s="1"/>
  <c r="FE119" i="55"/>
  <c r="FI119" i="55" s="1"/>
  <c r="EQ119" i="55"/>
  <c r="FE239" i="55"/>
  <c r="FI239" i="55" s="1"/>
  <c r="FL239" i="55"/>
  <c r="FM239" i="55" s="1"/>
  <c r="EQ239" i="55"/>
  <c r="FV333" i="55" a="1"/>
  <c r="FV333" i="55" s="1"/>
  <c r="FW333" i="55" s="1"/>
  <c r="FZ333" i="55" a="1"/>
  <c r="FZ333" i="55" s="1"/>
  <c r="GA333" i="55" s="1"/>
  <c r="FT333" i="55" a="1"/>
  <c r="FT333" i="55" s="1"/>
  <c r="FU333" i="55" s="1"/>
  <c r="FX333" i="55" a="1"/>
  <c r="FX333" i="55" s="1"/>
  <c r="FY333" i="55" s="1"/>
  <c r="FP333" i="55" a="1"/>
  <c r="FP333" i="55" s="1"/>
  <c r="FQ333" i="55" s="1"/>
  <c r="FR333" i="55" a="1"/>
  <c r="FR333" i="55" s="1"/>
  <c r="FS333" i="55" s="1"/>
  <c r="FZ197" i="55" a="1"/>
  <c r="FZ197" i="55" s="1"/>
  <c r="GA197" i="55" s="1"/>
  <c r="FT197" i="55" a="1"/>
  <c r="FT197" i="55" s="1"/>
  <c r="FU197" i="55" s="1"/>
  <c r="FX197" i="55" a="1"/>
  <c r="FX197" i="55" s="1"/>
  <c r="FY197" i="55" s="1"/>
  <c r="FV197" i="55" a="1"/>
  <c r="FV197" i="55" s="1"/>
  <c r="FW197" i="55" s="1"/>
  <c r="FP197" i="55" a="1"/>
  <c r="FP197" i="55" s="1"/>
  <c r="FQ197" i="55" s="1"/>
  <c r="FR197" i="55" a="1"/>
  <c r="FR197" i="55" s="1"/>
  <c r="FS197" i="55" s="1"/>
  <c r="FZ138" i="55" a="1"/>
  <c r="FZ138" i="55" s="1"/>
  <c r="GA138" i="55" s="1"/>
  <c r="FX138" i="55" a="1"/>
  <c r="FX138" i="55" s="1"/>
  <c r="FY138" i="55" s="1"/>
  <c r="FV138" i="55" a="1"/>
  <c r="FV138" i="55" s="1"/>
  <c r="FW138" i="55" s="1"/>
  <c r="FR138" i="55" a="1"/>
  <c r="FR138" i="55" s="1"/>
  <c r="FS138" i="55" s="1"/>
  <c r="FP138" i="55" a="1"/>
  <c r="FP138" i="55" s="1"/>
  <c r="FQ138" i="55" s="1"/>
  <c r="FT138" i="55" a="1"/>
  <c r="FT138" i="55" s="1"/>
  <c r="FU138" i="55" s="1"/>
  <c r="EQ192" i="55"/>
  <c r="FL192" i="55"/>
  <c r="FM192" i="55" s="1"/>
  <c r="FE192" i="55"/>
  <c r="FI192" i="55" s="1"/>
  <c r="FV132" i="55" a="1"/>
  <c r="FV132" i="55" s="1"/>
  <c r="FW132" i="55" s="1"/>
  <c r="FX132" i="55" a="1"/>
  <c r="FX132" i="55" s="1"/>
  <c r="FY132" i="55" s="1"/>
  <c r="FZ132" i="55" a="1"/>
  <c r="FZ132" i="55" s="1"/>
  <c r="GA132" i="55" s="1"/>
  <c r="FT132" i="55" a="1"/>
  <c r="FT132" i="55" s="1"/>
  <c r="FU132" i="55" s="1"/>
  <c r="FR132" i="55" a="1"/>
  <c r="FR132" i="55" s="1"/>
  <c r="FS132" i="55" s="1"/>
  <c r="FP132" i="55" a="1"/>
  <c r="FP132" i="55" s="1"/>
  <c r="FQ132" i="55" s="1"/>
  <c r="FX234" i="55" a="1"/>
  <c r="FX234" i="55" s="1"/>
  <c r="FY234" i="55" s="1"/>
  <c r="FT234" i="55" a="1"/>
  <c r="FT234" i="55" s="1"/>
  <c r="FU234" i="55" s="1"/>
  <c r="FZ234" i="55" a="1"/>
  <c r="FZ234" i="55" s="1"/>
  <c r="GA234" i="55" s="1"/>
  <c r="FP234" i="55" a="1"/>
  <c r="FP234" i="55" s="1"/>
  <c r="FQ234" i="55" s="1"/>
  <c r="FV234" i="55" a="1"/>
  <c r="FV234" i="55" s="1"/>
  <c r="FW234" i="55" s="1"/>
  <c r="FR234" i="55" a="1"/>
  <c r="FR234" i="55" s="1"/>
  <c r="FS234" i="55" s="1"/>
  <c r="FL204" i="55"/>
  <c r="FM204" i="55" s="1"/>
  <c r="FE204" i="55"/>
  <c r="FI204" i="55" s="1"/>
  <c r="EQ204" i="55"/>
  <c r="FX89" i="55" a="1"/>
  <c r="FX89" i="55" s="1"/>
  <c r="FY89" i="55" s="1"/>
  <c r="FT89" i="55" a="1"/>
  <c r="FT89" i="55" s="1"/>
  <c r="FU89" i="55" s="1"/>
  <c r="FV89" i="55" a="1"/>
  <c r="FV89" i="55" s="1"/>
  <c r="FW89" i="55" s="1"/>
  <c r="FR89" i="55" a="1"/>
  <c r="FR89" i="55" s="1"/>
  <c r="FS89" i="55" s="1"/>
  <c r="FZ89" i="55" a="1"/>
  <c r="FZ89" i="55" s="1"/>
  <c r="GA89" i="55" s="1"/>
  <c r="FP89" i="55" a="1"/>
  <c r="FP89" i="55" s="1"/>
  <c r="FQ89" i="55" s="1"/>
  <c r="FE210" i="55"/>
  <c r="FI210" i="55" s="1"/>
  <c r="FL210" i="55"/>
  <c r="FM210" i="55" s="1"/>
  <c r="EQ210" i="55"/>
  <c r="CY47" i="55"/>
  <c r="CZ46" i="55"/>
  <c r="DD46" i="55" s="1"/>
  <c r="FE121" i="55"/>
  <c r="FI121" i="55" s="1"/>
  <c r="FL121" i="55"/>
  <c r="FM121" i="55" s="1"/>
  <c r="EQ121" i="55"/>
  <c r="FX193" i="55" a="1"/>
  <c r="FX193" i="55" s="1"/>
  <c r="FY193" i="55" s="1"/>
  <c r="FZ193" i="55" a="1"/>
  <c r="FZ193" i="55" s="1"/>
  <c r="GA193" i="55" s="1"/>
  <c r="FV193" i="55" a="1"/>
  <c r="FV193" i="55" s="1"/>
  <c r="FW193" i="55" s="1"/>
  <c r="FR193" i="55" a="1"/>
  <c r="FR193" i="55" s="1"/>
  <c r="FS193" i="55" s="1"/>
  <c r="FT193" i="55" a="1"/>
  <c r="FT193" i="55" s="1"/>
  <c r="FU193" i="55" s="1"/>
  <c r="FP193" i="55" a="1"/>
  <c r="FP193" i="55" s="1"/>
  <c r="FQ193" i="55" s="1"/>
  <c r="FL273" i="55"/>
  <c r="FM273" i="55" s="1"/>
  <c r="FE273" i="55"/>
  <c r="FI273" i="55" s="1"/>
  <c r="EQ273" i="55"/>
  <c r="FZ196" i="55" a="1"/>
  <c r="FZ196" i="55" s="1"/>
  <c r="GA196" i="55" s="1"/>
  <c r="FV196" i="55" a="1"/>
  <c r="FV196" i="55" s="1"/>
  <c r="FW196" i="55" s="1"/>
  <c r="FX196" i="55" a="1"/>
  <c r="FX196" i="55" s="1"/>
  <c r="FY196" i="55" s="1"/>
  <c r="FR196" i="55" a="1"/>
  <c r="FR196" i="55" s="1"/>
  <c r="FS196" i="55" s="1"/>
  <c r="FP196" i="55" a="1"/>
  <c r="FP196" i="55" s="1"/>
  <c r="FQ196" i="55" s="1"/>
  <c r="FT196" i="55" a="1"/>
  <c r="FT196" i="55" s="1"/>
  <c r="FU196" i="55" s="1"/>
  <c r="FL128" i="55"/>
  <c r="FM128" i="55" s="1"/>
  <c r="EQ128" i="55"/>
  <c r="FE128" i="55"/>
  <c r="FE262" i="55"/>
  <c r="FI262" i="55" s="1"/>
  <c r="FL262" i="55"/>
  <c r="FM262" i="55" s="1"/>
  <c r="EQ262" i="55"/>
  <c r="FV352" i="55" a="1"/>
  <c r="FV352" i="55" s="1"/>
  <c r="FW352" i="55" s="1"/>
  <c r="FX352" i="55" a="1"/>
  <c r="FX352" i="55" s="1"/>
  <c r="FY352" i="55" s="1"/>
  <c r="FZ352" i="55" a="1"/>
  <c r="FZ352" i="55" s="1"/>
  <c r="GA352" i="55" s="1"/>
  <c r="FT352" i="55" a="1"/>
  <c r="FT352" i="55" s="1"/>
  <c r="FU352" i="55" s="1"/>
  <c r="FR352" i="55" a="1"/>
  <c r="FR352" i="55" s="1"/>
  <c r="FS352" i="55" s="1"/>
  <c r="FP352" i="55" a="1"/>
  <c r="FP352" i="55" s="1"/>
  <c r="FQ352" i="55" s="1"/>
  <c r="FX167" i="55" a="1"/>
  <c r="FX167" i="55" s="1"/>
  <c r="FY167" i="55" s="1"/>
  <c r="FZ167" i="55" a="1"/>
  <c r="FZ167" i="55" s="1"/>
  <c r="GA167" i="55" s="1"/>
  <c r="FV167" i="55" a="1"/>
  <c r="FV167" i="55" s="1"/>
  <c r="FW167" i="55" s="1"/>
  <c r="FT167" i="55" a="1"/>
  <c r="FT167" i="55" s="1"/>
  <c r="FU167" i="55" s="1"/>
  <c r="FP167" i="55" a="1"/>
  <c r="FP167" i="55" s="1"/>
  <c r="FQ167" i="55" s="1"/>
  <c r="FR167" i="55" a="1"/>
  <c r="FR167" i="55" s="1"/>
  <c r="FS167" i="55" s="1"/>
  <c r="FE147" i="55"/>
  <c r="FI147" i="55" s="1"/>
  <c r="FL147" i="55"/>
  <c r="FM147" i="55" s="1"/>
  <c r="EQ147" i="55"/>
  <c r="FL57" i="55"/>
  <c r="FM57" i="55" s="1"/>
  <c r="FE57" i="55"/>
  <c r="FI57" i="55" s="1"/>
  <c r="EQ57" i="55"/>
  <c r="FZ350" i="55" a="1"/>
  <c r="FZ350" i="55" s="1"/>
  <c r="GA350" i="55" s="1"/>
  <c r="FX350" i="55" a="1"/>
  <c r="FX350" i="55" s="1"/>
  <c r="FY350" i="55" s="1"/>
  <c r="FT350" i="55" a="1"/>
  <c r="FT350" i="55" s="1"/>
  <c r="FU350" i="55" s="1"/>
  <c r="FV350" i="55" a="1"/>
  <c r="FV350" i="55" s="1"/>
  <c r="FW350" i="55" s="1"/>
  <c r="FR350" i="55" a="1"/>
  <c r="FR350" i="55" s="1"/>
  <c r="FS350" i="55" s="1"/>
  <c r="FP350" i="55" a="1"/>
  <c r="FP350" i="55" s="1"/>
  <c r="FQ350" i="55" s="1"/>
  <c r="FL70" i="55"/>
  <c r="FM70" i="55" s="1"/>
  <c r="FE70" i="55"/>
  <c r="FI70" i="55" s="1"/>
  <c r="EQ70" i="55"/>
  <c r="FL297" i="55"/>
  <c r="FM297" i="55" s="1"/>
  <c r="FE297" i="55"/>
  <c r="FI297" i="55" s="1"/>
  <c r="EQ297" i="55"/>
  <c r="FV344" i="55" a="1"/>
  <c r="FV344" i="55" s="1"/>
  <c r="FW344" i="55" s="1"/>
  <c r="FX344" i="55" a="1"/>
  <c r="FX344" i="55" s="1"/>
  <c r="FY344" i="55" s="1"/>
  <c r="FZ344" i="55" a="1"/>
  <c r="FZ344" i="55" s="1"/>
  <c r="GA344" i="55" s="1"/>
  <c r="FT344" i="55" a="1"/>
  <c r="FT344" i="55" s="1"/>
  <c r="FU344" i="55" s="1"/>
  <c r="FR344" i="55" a="1"/>
  <c r="FR344" i="55" s="1"/>
  <c r="FS344" i="55" s="1"/>
  <c r="FP344" i="55" a="1"/>
  <c r="FP344" i="55" s="1"/>
  <c r="FQ344" i="55" s="1"/>
  <c r="FL225" i="55"/>
  <c r="FM225" i="55" s="1"/>
  <c r="EQ225" i="55"/>
  <c r="FE225" i="55"/>
  <c r="FI225" i="55" s="1"/>
  <c r="FE240" i="55"/>
  <c r="FI240" i="55" s="1"/>
  <c r="FL240" i="55"/>
  <c r="FM240" i="55" s="1"/>
  <c r="EQ240" i="55"/>
  <c r="FL275" i="55"/>
  <c r="FM275" i="55" s="1"/>
  <c r="FE275" i="55"/>
  <c r="FI275" i="55" s="1"/>
  <c r="EQ275" i="55"/>
  <c r="FL298" i="55"/>
  <c r="FM298" i="55" s="1"/>
  <c r="FE298" i="55"/>
  <c r="FI298" i="55" s="1"/>
  <c r="EQ298" i="55"/>
  <c r="FL112" i="55"/>
  <c r="FM112" i="55" s="1"/>
  <c r="FE112" i="55"/>
  <c r="FI112" i="55" s="1"/>
  <c r="EQ112" i="55"/>
  <c r="GC16" i="55"/>
  <c r="EZ16" i="55"/>
  <c r="FA16" i="55"/>
  <c r="GB16" i="55" s="1"/>
  <c r="FC16" i="55"/>
  <c r="EW16" i="55"/>
  <c r="FX227" i="55" a="1"/>
  <c r="FX227" i="55" s="1"/>
  <c r="FY227" i="55" s="1"/>
  <c r="FT227" i="55" a="1"/>
  <c r="FT227" i="55" s="1"/>
  <c r="FU227" i="55" s="1"/>
  <c r="FZ227" i="55" a="1"/>
  <c r="FZ227" i="55" s="1"/>
  <c r="GA227" i="55" s="1"/>
  <c r="FV227" i="55" a="1"/>
  <c r="FV227" i="55" s="1"/>
  <c r="FW227" i="55" s="1"/>
  <c r="FR227" i="55" a="1"/>
  <c r="FR227" i="55" s="1"/>
  <c r="FS227" i="55" s="1"/>
  <c r="FP227" i="55" a="1"/>
  <c r="FP227" i="55" s="1"/>
  <c r="FQ227" i="55" s="1"/>
  <c r="FL319" i="55"/>
  <c r="FM319" i="55" s="1"/>
  <c r="FE319" i="55"/>
  <c r="FI319" i="55" s="1"/>
  <c r="EQ319" i="55"/>
  <c r="FE151" i="55"/>
  <c r="FI151" i="55" s="1"/>
  <c r="EQ151" i="55"/>
  <c r="FL151" i="55"/>
  <c r="FM151" i="55" s="1"/>
  <c r="FX322" i="55" a="1"/>
  <c r="FX322" i="55" s="1"/>
  <c r="FY322" i="55" s="1"/>
  <c r="FZ322" i="55" a="1"/>
  <c r="FZ322" i="55" s="1"/>
  <c r="GA322" i="55" s="1"/>
  <c r="FV322" i="55" a="1"/>
  <c r="FV322" i="55" s="1"/>
  <c r="FW322" i="55" s="1"/>
  <c r="FP322" i="55" a="1"/>
  <c r="FP322" i="55" s="1"/>
  <c r="FQ322" i="55" s="1"/>
  <c r="FR322" i="55" a="1"/>
  <c r="FR322" i="55" s="1"/>
  <c r="FS322" i="55" s="1"/>
  <c r="FT322" i="55" a="1"/>
  <c r="FT322" i="55" s="1"/>
  <c r="FU322" i="55" s="1"/>
  <c r="FL315" i="55"/>
  <c r="FM315" i="55" s="1"/>
  <c r="EQ315" i="55"/>
  <c r="FE315" i="55"/>
  <c r="FI315" i="55" s="1"/>
  <c r="FZ54" i="55" a="1"/>
  <c r="FZ54" i="55" s="1"/>
  <c r="GA54" i="55" s="1"/>
  <c r="FV54" i="55" a="1"/>
  <c r="FV54" i="55" s="1"/>
  <c r="FW54" i="55" s="1"/>
  <c r="FX54" i="55" a="1"/>
  <c r="FX54" i="55" s="1"/>
  <c r="FY54" i="55" s="1"/>
  <c r="FT54" i="55" a="1"/>
  <c r="FT54" i="55" s="1"/>
  <c r="FU54" i="55" s="1"/>
  <c r="FR54" i="55" a="1"/>
  <c r="FR54" i="55" s="1"/>
  <c r="FS54" i="55" s="1"/>
  <c r="FP54" i="55" a="1"/>
  <c r="FP54" i="55" s="1"/>
  <c r="FQ54" i="55" s="1"/>
  <c r="FE263" i="55"/>
  <c r="FI263" i="55" s="1"/>
  <c r="FL263" i="55"/>
  <c r="FM263" i="55" s="1"/>
  <c r="EQ263" i="55"/>
  <c r="FZ93" i="55" a="1"/>
  <c r="FZ93" i="55" s="1"/>
  <c r="GA93" i="55" s="1"/>
  <c r="FT93" i="55" a="1"/>
  <c r="FT93" i="55" s="1"/>
  <c r="FU93" i="55" s="1"/>
  <c r="FX93" i="55" a="1"/>
  <c r="FX93" i="55" s="1"/>
  <c r="FY93" i="55" s="1"/>
  <c r="FV93" i="55" a="1"/>
  <c r="FV93" i="55" s="1"/>
  <c r="FW93" i="55" s="1"/>
  <c r="FR93" i="55" a="1"/>
  <c r="FR93" i="55" s="1"/>
  <c r="FS93" i="55" s="1"/>
  <c r="FP93" i="55" a="1"/>
  <c r="FP93" i="55" s="1"/>
  <c r="FQ93" i="55" s="1"/>
  <c r="EU297" i="55"/>
  <c r="GU297" i="55" s="1"/>
  <c r="EV297" i="55"/>
  <c r="ET298" i="55"/>
  <c r="FL232" i="55"/>
  <c r="FM232" i="55" s="1"/>
  <c r="FE232" i="55"/>
  <c r="FI232" i="55" s="1"/>
  <c r="EQ232" i="55"/>
  <c r="EP27" i="55"/>
  <c r="FL227" i="55"/>
  <c r="FM227" i="55" s="1"/>
  <c r="EQ227" i="55"/>
  <c r="FE227" i="55"/>
  <c r="FI227" i="55" s="1"/>
  <c r="FE322" i="55"/>
  <c r="FI322" i="55" s="1"/>
  <c r="FL322" i="55"/>
  <c r="FM322" i="55" s="1"/>
  <c r="EQ322" i="55"/>
  <c r="FL75" i="55"/>
  <c r="FM75" i="55" s="1"/>
  <c r="EQ75" i="55"/>
  <c r="FE75" i="55"/>
  <c r="FI75" i="55" s="1"/>
  <c r="FV156" i="55" a="1"/>
  <c r="FV156" i="55" s="1"/>
  <c r="FW156" i="55" s="1"/>
  <c r="FX156" i="55" a="1"/>
  <c r="FX156" i="55" s="1"/>
  <c r="FY156" i="55" s="1"/>
  <c r="FZ156" i="55" a="1"/>
  <c r="FZ156" i="55" s="1"/>
  <c r="GA156" i="55" s="1"/>
  <c r="FT156" i="55" a="1"/>
  <c r="FT156" i="55" s="1"/>
  <c r="FU156" i="55" s="1"/>
  <c r="FR156" i="55" a="1"/>
  <c r="FR156" i="55" s="1"/>
  <c r="FS156" i="55" s="1"/>
  <c r="FP156" i="55" a="1"/>
  <c r="FP156" i="55" s="1"/>
  <c r="FQ156" i="55" s="1"/>
  <c r="FE265" i="55"/>
  <c r="FI265" i="55" s="1"/>
  <c r="FL265" i="55"/>
  <c r="FM265" i="55" s="1"/>
  <c r="EQ265" i="55"/>
  <c r="FL74" i="55"/>
  <c r="FM74" i="55" s="1"/>
  <c r="EQ74" i="55"/>
  <c r="FE74" i="55"/>
  <c r="FI74" i="55" s="1"/>
  <c r="FV192" i="55" a="1"/>
  <c r="FV192" i="55" s="1"/>
  <c r="FW192" i="55" s="1"/>
  <c r="FZ192" i="55" a="1"/>
  <c r="FZ192" i="55" s="1"/>
  <c r="GA192" i="55" s="1"/>
  <c r="FX192" i="55" a="1"/>
  <c r="FX192" i="55" s="1"/>
  <c r="FY192" i="55" s="1"/>
  <c r="FT192" i="55" a="1"/>
  <c r="FT192" i="55" s="1"/>
  <c r="FU192" i="55" s="1"/>
  <c r="FR192" i="55" a="1"/>
  <c r="FR192" i="55" s="1"/>
  <c r="FS192" i="55" s="1"/>
  <c r="FP192" i="55" a="1"/>
  <c r="FP192" i="55" s="1"/>
  <c r="FQ192" i="55" s="1"/>
  <c r="FZ140" i="55" a="1"/>
  <c r="FZ140" i="55" s="1"/>
  <c r="GA140" i="55" s="1"/>
  <c r="FV140" i="55" a="1"/>
  <c r="FV140" i="55" s="1"/>
  <c r="FW140" i="55" s="1"/>
  <c r="FT140" i="55" a="1"/>
  <c r="FT140" i="55" s="1"/>
  <c r="FU140" i="55" s="1"/>
  <c r="FX140" i="55" a="1"/>
  <c r="FX140" i="55" s="1"/>
  <c r="FY140" i="55" s="1"/>
  <c r="FR140" i="55" a="1"/>
  <c r="FR140" i="55" s="1"/>
  <c r="FS140" i="55" s="1"/>
  <c r="FP140" i="55" a="1"/>
  <c r="FP140" i="55" s="1"/>
  <c r="FQ140" i="55" s="1"/>
  <c r="FL247" i="55"/>
  <c r="FM247" i="55" s="1"/>
  <c r="EQ247" i="55"/>
  <c r="FE247" i="55"/>
  <c r="FI247" i="55" s="1"/>
  <c r="FL309" i="55"/>
  <c r="FM309" i="55" s="1"/>
  <c r="FE309" i="55"/>
  <c r="FI309" i="55" s="1"/>
  <c r="EQ309" i="55"/>
  <c r="FV160" i="55" a="1"/>
  <c r="FV160" i="55" s="1"/>
  <c r="FW160" i="55" s="1"/>
  <c r="FX160" i="55" a="1"/>
  <c r="FX160" i="55" s="1"/>
  <c r="FY160" i="55" s="1"/>
  <c r="FT160" i="55" a="1"/>
  <c r="FT160" i="55" s="1"/>
  <c r="FU160" i="55" s="1"/>
  <c r="FZ160" i="55" a="1"/>
  <c r="FZ160" i="55" s="1"/>
  <c r="GA160" i="55" s="1"/>
  <c r="FR160" i="55" a="1"/>
  <c r="FR160" i="55" s="1"/>
  <c r="FS160" i="55" s="1"/>
  <c r="FP160" i="55" a="1"/>
  <c r="FP160" i="55" s="1"/>
  <c r="FQ160" i="55" s="1"/>
  <c r="FZ105" i="55" a="1"/>
  <c r="FZ105" i="55" s="1"/>
  <c r="GA105" i="55" s="1"/>
  <c r="FV105" i="55" a="1"/>
  <c r="FV105" i="55" s="1"/>
  <c r="FW105" i="55" s="1"/>
  <c r="FX105" i="55" a="1"/>
  <c r="FX105" i="55" s="1"/>
  <c r="FY105" i="55" s="1"/>
  <c r="FT105" i="55" a="1"/>
  <c r="FT105" i="55" s="1"/>
  <c r="FU105" i="55" s="1"/>
  <c r="FR105" i="55" a="1"/>
  <c r="FR105" i="55" s="1"/>
  <c r="FS105" i="55" s="1"/>
  <c r="FP105" i="55" a="1"/>
  <c r="FP105" i="55" s="1"/>
  <c r="FQ105" i="55" s="1"/>
  <c r="GC115" i="55"/>
  <c r="FC115" i="55"/>
  <c r="FA115" i="55"/>
  <c r="GB115" i="55" s="1"/>
  <c r="EW115" i="55"/>
  <c r="EZ115" i="55"/>
  <c r="FX327" i="55" a="1"/>
  <c r="FX327" i="55" s="1"/>
  <c r="FY327" i="55" s="1"/>
  <c r="FT327" i="55" a="1"/>
  <c r="FT327" i="55" s="1"/>
  <c r="FU327" i="55" s="1"/>
  <c r="FV327" i="55" a="1"/>
  <c r="FV327" i="55" s="1"/>
  <c r="FW327" i="55" s="1"/>
  <c r="FZ327" i="55" a="1"/>
  <c r="FZ327" i="55" s="1"/>
  <c r="GA327" i="55" s="1"/>
  <c r="FP327" i="55" a="1"/>
  <c r="FP327" i="55" s="1"/>
  <c r="FQ327" i="55" s="1"/>
  <c r="FR327" i="55" a="1"/>
  <c r="FR327" i="55" s="1"/>
  <c r="FS327" i="55" s="1"/>
  <c r="FX99" i="55" a="1"/>
  <c r="FX99" i="55" s="1"/>
  <c r="FY99" i="55" s="1"/>
  <c r="FT99" i="55" a="1"/>
  <c r="FT99" i="55" s="1"/>
  <c r="FU99" i="55" s="1"/>
  <c r="FZ99" i="55" a="1"/>
  <c r="FZ99" i="55" s="1"/>
  <c r="GA99" i="55" s="1"/>
  <c r="FR99" i="55" a="1"/>
  <c r="FR99" i="55" s="1"/>
  <c r="FS99" i="55" s="1"/>
  <c r="FV99" i="55" a="1"/>
  <c r="FV99" i="55" s="1"/>
  <c r="FW99" i="55" s="1"/>
  <c r="FP99" i="55" a="1"/>
  <c r="FP99" i="55" s="1"/>
  <c r="FQ99" i="55" s="1"/>
  <c r="FL105" i="55"/>
  <c r="FM105" i="55" s="1"/>
  <c r="EQ105" i="55"/>
  <c r="FE105" i="55"/>
  <c r="FI105" i="55" s="1"/>
  <c r="FL349" i="55"/>
  <c r="FM349" i="55" s="1"/>
  <c r="FE349" i="55"/>
  <c r="FI349" i="55" s="1"/>
  <c r="EQ349" i="55"/>
  <c r="FL250" i="55"/>
  <c r="FM250" i="55" s="1"/>
  <c r="FE250" i="55"/>
  <c r="FI250" i="55" s="1"/>
  <c r="EQ250" i="55"/>
  <c r="EQ193" i="55"/>
  <c r="FL193" i="55"/>
  <c r="FM193" i="55" s="1"/>
  <c r="FE193" i="55"/>
  <c r="FI193" i="55" s="1"/>
  <c r="FE153" i="55"/>
  <c r="FI153" i="55" s="1"/>
  <c r="FL153" i="55"/>
  <c r="FM153" i="55" s="1"/>
  <c r="EQ153" i="55"/>
  <c r="FE194" i="55"/>
  <c r="FI194" i="55" s="1"/>
  <c r="EQ194" i="55"/>
  <c r="FL194" i="55"/>
  <c r="FM194" i="55" s="1"/>
  <c r="FZ225" i="55" a="1"/>
  <c r="FZ225" i="55" s="1"/>
  <c r="GA225" i="55" s="1"/>
  <c r="FT225" i="55" a="1"/>
  <c r="FT225" i="55" s="1"/>
  <c r="FU225" i="55" s="1"/>
  <c r="FR225" i="55" a="1"/>
  <c r="FR225" i="55" s="1"/>
  <c r="FS225" i="55" s="1"/>
  <c r="FV225" i="55" a="1"/>
  <c r="FV225" i="55" s="1"/>
  <c r="FW225" i="55" s="1"/>
  <c r="FX225" i="55" a="1"/>
  <c r="FX225" i="55" s="1"/>
  <c r="FY225" i="55" s="1"/>
  <c r="FP225" i="55" a="1"/>
  <c r="FP225" i="55" s="1"/>
  <c r="FQ225" i="55" s="1"/>
  <c r="FL326" i="55"/>
  <c r="FM326" i="55" s="1"/>
  <c r="FE326" i="55"/>
  <c r="FI326" i="55" s="1"/>
  <c r="EQ326" i="55"/>
  <c r="FN17" i="55"/>
  <c r="FO17" i="55" s="1"/>
  <c r="FE82" i="55"/>
  <c r="FI82" i="55" s="1"/>
  <c r="EQ82" i="55"/>
  <c r="FL82" i="55"/>
  <c r="FM82" i="55" s="1"/>
  <c r="FV240" i="55" a="1"/>
  <c r="FV240" i="55" s="1"/>
  <c r="FW240" i="55" s="1"/>
  <c r="FZ240" i="55" a="1"/>
  <c r="FZ240" i="55" s="1"/>
  <c r="GA240" i="55" s="1"/>
  <c r="FT240" i="55" a="1"/>
  <c r="FT240" i="55" s="1"/>
  <c r="FU240" i="55" s="1"/>
  <c r="FX240" i="55" a="1"/>
  <c r="FX240" i="55" s="1"/>
  <c r="FY240" i="55" s="1"/>
  <c r="FR240" i="55" a="1"/>
  <c r="FR240" i="55" s="1"/>
  <c r="FS240" i="55" s="1"/>
  <c r="FP240" i="55" a="1"/>
  <c r="FP240" i="55" s="1"/>
  <c r="FQ240" i="55" s="1"/>
  <c r="FL117" i="55"/>
  <c r="FM117" i="55" s="1"/>
  <c r="FE117" i="55"/>
  <c r="FI117" i="55" s="1"/>
  <c r="EQ117" i="55"/>
  <c r="GC167" i="55"/>
  <c r="FC167" i="55"/>
  <c r="EZ167" i="55"/>
  <c r="EW167" i="55"/>
  <c r="FA167" i="55"/>
  <c r="GB167" i="55" s="1"/>
  <c r="EN352" i="55"/>
  <c r="EP352" i="55" s="1"/>
  <c r="FE167" i="55"/>
  <c r="FI167" i="55" s="1"/>
  <c r="FL167" i="55"/>
  <c r="FM167" i="55" s="1"/>
  <c r="EQ167" i="55"/>
  <c r="FZ284" i="55" a="1"/>
  <c r="FZ284" i="55" s="1"/>
  <c r="GA284" i="55" s="1"/>
  <c r="FX284" i="55" a="1"/>
  <c r="FX284" i="55" s="1"/>
  <c r="FY284" i="55" s="1"/>
  <c r="FT284" i="55" a="1"/>
  <c r="FT284" i="55" s="1"/>
  <c r="FU284" i="55" s="1"/>
  <c r="FV284" i="55" a="1"/>
  <c r="FV284" i="55" s="1"/>
  <c r="FW284" i="55" s="1"/>
  <c r="FR284" i="55" a="1"/>
  <c r="FR284" i="55" s="1"/>
  <c r="FS284" i="55" s="1"/>
  <c r="FP284" i="55" a="1"/>
  <c r="FP284" i="55" s="1"/>
  <c r="FQ284" i="55" s="1"/>
  <c r="FL120" i="55"/>
  <c r="FM120" i="55" s="1"/>
  <c r="FE120" i="55"/>
  <c r="FI120" i="55" s="1"/>
  <c r="EQ120" i="55"/>
  <c r="FE69" i="55"/>
  <c r="FI69" i="55" s="1"/>
  <c r="FL69" i="55"/>
  <c r="FM69" i="55" s="1"/>
  <c r="EQ69" i="55"/>
  <c r="FE222" i="55"/>
  <c r="FI222" i="55" s="1"/>
  <c r="FL222" i="55"/>
  <c r="FM222" i="55" s="1"/>
  <c r="EQ222" i="55"/>
  <c r="FL251" i="55"/>
  <c r="FM251" i="55" s="1"/>
  <c r="FE251" i="55"/>
  <c r="FI251" i="55" s="1"/>
  <c r="EQ251" i="55"/>
  <c r="FX103" i="55" a="1"/>
  <c r="FX103" i="55" s="1"/>
  <c r="FY103" i="55" s="1"/>
  <c r="FZ103" i="55" a="1"/>
  <c r="FZ103" i="55" s="1"/>
  <c r="GA103" i="55" s="1"/>
  <c r="FT103" i="55" a="1"/>
  <c r="FT103" i="55" s="1"/>
  <c r="FU103" i="55" s="1"/>
  <c r="FP103" i="55" a="1"/>
  <c r="FP103" i="55" s="1"/>
  <c r="FQ103" i="55" s="1"/>
  <c r="FR103" i="55" a="1"/>
  <c r="FR103" i="55" s="1"/>
  <c r="FS103" i="55" s="1"/>
  <c r="FV103" i="55" a="1"/>
  <c r="FV103" i="55" s="1"/>
  <c r="FW103" i="55" s="1"/>
  <c r="FZ319" i="55" a="1"/>
  <c r="FZ319" i="55" s="1"/>
  <c r="GA319" i="55" s="1"/>
  <c r="FV319" i="55" a="1"/>
  <c r="FV319" i="55" s="1"/>
  <c r="FW319" i="55" s="1"/>
  <c r="FT319" i="55" a="1"/>
  <c r="FT319" i="55" s="1"/>
  <c r="FU319" i="55" s="1"/>
  <c r="FP319" i="55" a="1"/>
  <c r="FP319" i="55" s="1"/>
  <c r="FQ319" i="55" s="1"/>
  <c r="FR319" i="55" a="1"/>
  <c r="FR319" i="55" s="1"/>
  <c r="FS319" i="55" s="1"/>
  <c r="FX319" i="55" a="1"/>
  <c r="FX319" i="55" s="1"/>
  <c r="FY319" i="55" s="1"/>
  <c r="FX315" i="55" a="1"/>
  <c r="FX315" i="55" s="1"/>
  <c r="FY315" i="55" s="1"/>
  <c r="FV315" i="55" a="1"/>
  <c r="FV315" i="55" s="1"/>
  <c r="FW315" i="55" s="1"/>
  <c r="FZ315" i="55" a="1"/>
  <c r="FZ315" i="55" s="1"/>
  <c r="GA315" i="55" s="1"/>
  <c r="FT315" i="55" a="1"/>
  <c r="FT315" i="55" s="1"/>
  <c r="FU315" i="55" s="1"/>
  <c r="FP315" i="55" a="1"/>
  <c r="FP315" i="55" s="1"/>
  <c r="FQ315" i="55" s="1"/>
  <c r="FR315" i="55" a="1"/>
  <c r="FR315" i="55" s="1"/>
  <c r="FS315" i="55" s="1"/>
  <c r="FL158" i="55"/>
  <c r="FM158" i="55" s="1"/>
  <c r="EQ158" i="55"/>
  <c r="FE158" i="55"/>
  <c r="FI158" i="55" s="1"/>
  <c r="FL65" i="55"/>
  <c r="FM65" i="55" s="1"/>
  <c r="FE65" i="55"/>
  <c r="FI65" i="55" s="1"/>
  <c r="EQ65" i="55"/>
  <c r="FL350" i="55"/>
  <c r="FM350" i="55" s="1"/>
  <c r="FE350" i="55"/>
  <c r="FI350" i="55" s="1"/>
  <c r="EQ350" i="55"/>
  <c r="FZ231" i="55" a="1"/>
  <c r="FZ231" i="55" s="1"/>
  <c r="GA231" i="55" s="1"/>
  <c r="FT231" i="55" a="1"/>
  <c r="FT231" i="55" s="1"/>
  <c r="FU231" i="55" s="1"/>
  <c r="FV231" i="55" a="1"/>
  <c r="FV231" i="55" s="1"/>
  <c r="FW231" i="55" s="1"/>
  <c r="FX231" i="55" a="1"/>
  <c r="FX231" i="55" s="1"/>
  <c r="FY231" i="55" s="1"/>
  <c r="FR231" i="55" a="1"/>
  <c r="FR231" i="55" s="1"/>
  <c r="FS231" i="55" s="1"/>
  <c r="FP231" i="55" a="1"/>
  <c r="FP231" i="55" s="1"/>
  <c r="FQ231" i="55" s="1"/>
  <c r="FN241" i="55"/>
  <c r="FO241" i="55" s="1"/>
  <c r="EQ344" i="55"/>
  <c r="FL344" i="55"/>
  <c r="FM344" i="55" s="1"/>
  <c r="FE344" i="55"/>
  <c r="FI344" i="55" s="1"/>
  <c r="GC240" i="55"/>
  <c r="EZ240" i="55"/>
  <c r="FA240" i="55"/>
  <c r="GB240" i="55" s="1"/>
  <c r="FC240" i="55"/>
  <c r="EW240" i="55"/>
  <c r="FZ27" i="55" a="1"/>
  <c r="FZ27" i="55" s="1"/>
  <c r="GA27" i="55" s="1"/>
  <c r="FT27" i="55" a="1"/>
  <c r="FT27" i="55" s="1"/>
  <c r="FU27" i="55" s="1"/>
  <c r="FX27" i="55" a="1"/>
  <c r="FX27" i="55" s="1"/>
  <c r="FY27" i="55" s="1"/>
  <c r="FV27" i="55" a="1"/>
  <c r="FV27" i="55" s="1"/>
  <c r="FW27" i="55" s="1"/>
  <c r="FR27" i="55" a="1"/>
  <c r="FR27" i="55" s="1"/>
  <c r="FS27" i="55" s="1"/>
  <c r="FP27" i="55" a="1"/>
  <c r="FP27" i="55" s="1"/>
  <c r="FQ27" i="55" s="1"/>
  <c r="FE103" i="55"/>
  <c r="FI103" i="55" s="1"/>
  <c r="FL103" i="55"/>
  <c r="FM103" i="55" s="1"/>
  <c r="EQ103" i="55"/>
  <c r="FL331" i="55"/>
  <c r="FM331" i="55" s="1"/>
  <c r="FE331" i="55"/>
  <c r="FI331" i="55" s="1"/>
  <c r="EQ331" i="55"/>
  <c r="FL86" i="55"/>
  <c r="FM86" i="55" s="1"/>
  <c r="FE86" i="55"/>
  <c r="FI86" i="55" s="1"/>
  <c r="EQ86" i="55"/>
  <c r="FX61" i="55" a="1"/>
  <c r="FX61" i="55" s="1"/>
  <c r="FY61" i="55" s="1"/>
  <c r="FZ61" i="55" a="1"/>
  <c r="FZ61" i="55" s="1"/>
  <c r="GA61" i="55" s="1"/>
  <c r="FR61" i="55" a="1"/>
  <c r="FR61" i="55" s="1"/>
  <c r="FS61" i="55" s="1"/>
  <c r="FV61" i="55" a="1"/>
  <c r="FV61" i="55" s="1"/>
  <c r="FW61" i="55" s="1"/>
  <c r="FP61" i="55" a="1"/>
  <c r="FP61" i="55" s="1"/>
  <c r="FQ61" i="55" s="1"/>
  <c r="FT61" i="55" a="1"/>
  <c r="FT61" i="55" s="1"/>
  <c r="FU61" i="55" s="1"/>
  <c r="FL164" i="55"/>
  <c r="FM164" i="55" s="1"/>
  <c r="EQ164" i="55"/>
  <c r="FE164" i="55"/>
  <c r="FI164" i="55" s="1"/>
  <c r="FL267" i="55"/>
  <c r="FM267" i="55" s="1"/>
  <c r="FE267" i="55"/>
  <c r="FI267" i="55" s="1"/>
  <c r="EQ267" i="55"/>
  <c r="FE307" i="55"/>
  <c r="FI307" i="55" s="1"/>
  <c r="FL307" i="55"/>
  <c r="FM307" i="55" s="1"/>
  <c r="EQ307" i="55"/>
  <c r="FL54" i="55"/>
  <c r="FM54" i="55" s="1"/>
  <c r="FE54" i="55"/>
  <c r="FI54" i="55" s="1"/>
  <c r="EQ54" i="55"/>
  <c r="FL150" i="55"/>
  <c r="FM150" i="55" s="1"/>
  <c r="FE150" i="55"/>
  <c r="FI150" i="55" s="1"/>
  <c r="EQ150" i="55"/>
  <c r="FL218" i="55"/>
  <c r="FM218" i="55" s="1"/>
  <c r="FE218" i="55"/>
  <c r="FI218" i="55" s="1"/>
  <c r="EQ218" i="55"/>
  <c r="EU144" i="55"/>
  <c r="GU144" i="55" s="1"/>
  <c r="EV144" i="55"/>
  <c r="ET145" i="55"/>
  <c r="FE64" i="55"/>
  <c r="FI64" i="55" s="1"/>
  <c r="FL64" i="55"/>
  <c r="FM64" i="55" s="1"/>
  <c r="EQ64" i="55"/>
  <c r="EW296" i="55"/>
  <c r="FC296" i="55"/>
  <c r="FA296" i="55"/>
  <c r="GB296" i="55" s="1"/>
  <c r="GC296" i="55"/>
  <c r="EZ296" i="55"/>
  <c r="FL246" i="55"/>
  <c r="FM246" i="55" s="1"/>
  <c r="EQ246" i="55"/>
  <c r="FE246" i="55"/>
  <c r="FI246" i="55" s="1"/>
  <c r="EU116" i="55"/>
  <c r="GU116" i="55" s="1"/>
  <c r="EV116" i="55"/>
  <c r="ET117" i="55"/>
  <c r="FL255" i="55"/>
  <c r="FM255" i="55" s="1"/>
  <c r="FE255" i="55"/>
  <c r="FI255" i="55" s="1"/>
  <c r="EQ255" i="55"/>
  <c r="FL77" i="55"/>
  <c r="FM77" i="55" s="1"/>
  <c r="FE77" i="55"/>
  <c r="FI77" i="55" s="1"/>
  <c r="EQ77" i="55"/>
  <c r="FX238" i="55" a="1"/>
  <c r="FX238" i="55" s="1"/>
  <c r="FY238" i="55" s="1"/>
  <c r="FV238" i="55" a="1"/>
  <c r="FV238" i="55" s="1"/>
  <c r="FW238" i="55" s="1"/>
  <c r="FT238" i="55" a="1"/>
  <c r="FT238" i="55" s="1"/>
  <c r="FU238" i="55" s="1"/>
  <c r="FZ238" i="55" a="1"/>
  <c r="FZ238" i="55" s="1"/>
  <c r="GA238" i="55" s="1"/>
  <c r="FR238" i="55" a="1"/>
  <c r="FR238" i="55" s="1"/>
  <c r="FS238" i="55" s="1"/>
  <c r="FP238" i="55" a="1"/>
  <c r="FP238" i="55" s="1"/>
  <c r="FQ238" i="55" s="1"/>
  <c r="FV230" i="55" a="1"/>
  <c r="FV230" i="55" s="1"/>
  <c r="FW230" i="55" s="1"/>
  <c r="FZ230" i="55" a="1"/>
  <c r="FZ230" i="55" s="1"/>
  <c r="GA230" i="55" s="1"/>
  <c r="FX230" i="55" a="1"/>
  <c r="FX230" i="55" s="1"/>
  <c r="FY230" i="55" s="1"/>
  <c r="FT230" i="55" a="1"/>
  <c r="FT230" i="55" s="1"/>
  <c r="FU230" i="55" s="1"/>
  <c r="FP230" i="55" a="1"/>
  <c r="FP230" i="55" s="1"/>
  <c r="FQ230" i="55" s="1"/>
  <c r="FR230" i="55" a="1"/>
  <c r="FR230" i="55" s="1"/>
  <c r="FS230" i="55" s="1"/>
  <c r="FE146" i="55"/>
  <c r="FI146" i="55" s="1"/>
  <c r="FL146" i="55"/>
  <c r="FM146" i="55" s="1"/>
  <c r="EQ146" i="55"/>
  <c r="FL140" i="55"/>
  <c r="FM140" i="55" s="1"/>
  <c r="FE140" i="55"/>
  <c r="FI140" i="55" s="1"/>
  <c r="EQ140" i="55"/>
  <c r="FV94" i="55" a="1"/>
  <c r="FV94" i="55" s="1"/>
  <c r="FW94" i="55" s="1"/>
  <c r="FZ94" i="55" a="1"/>
  <c r="FZ94" i="55" s="1"/>
  <c r="GA94" i="55" s="1"/>
  <c r="FX94" i="55" a="1"/>
  <c r="FX94" i="55" s="1"/>
  <c r="FY94" i="55" s="1"/>
  <c r="FR94" i="55" a="1"/>
  <c r="FR94" i="55" s="1"/>
  <c r="FS94" i="55" s="1"/>
  <c r="FP94" i="55" a="1"/>
  <c r="FP94" i="55" s="1"/>
  <c r="FQ94" i="55" s="1"/>
  <c r="FT94" i="55" a="1"/>
  <c r="FT94" i="55" s="1"/>
  <c r="FU94" i="55" s="1"/>
  <c r="FX237" i="55" a="1"/>
  <c r="FX237" i="55" s="1"/>
  <c r="FY237" i="55" s="1"/>
  <c r="FT237" i="55" a="1"/>
  <c r="FT237" i="55" s="1"/>
  <c r="FU237" i="55" s="1"/>
  <c r="FV237" i="55" a="1"/>
  <c r="FV237" i="55" s="1"/>
  <c r="FW237" i="55" s="1"/>
  <c r="FZ237" i="55" a="1"/>
  <c r="FZ237" i="55" s="1"/>
  <c r="GA237" i="55" s="1"/>
  <c r="FR237" i="55" a="1"/>
  <c r="FR237" i="55" s="1"/>
  <c r="FS237" i="55" s="1"/>
  <c r="FP237" i="55" a="1"/>
  <c r="FP237" i="55" s="1"/>
  <c r="FQ237" i="55" s="1"/>
  <c r="FD163" i="55"/>
  <c r="FB163" i="55"/>
  <c r="FL160" i="55"/>
  <c r="FM160" i="55" s="1"/>
  <c r="EQ160" i="55"/>
  <c r="FE160" i="55"/>
  <c r="FI160" i="55" s="1"/>
  <c r="FT108" i="55" a="1"/>
  <c r="FT108" i="55" s="1"/>
  <c r="FU108" i="55" s="1"/>
  <c r="FZ108" i="55" a="1"/>
  <c r="FZ108" i="55" s="1"/>
  <c r="GA108" i="55" s="1"/>
  <c r="FX108" i="55" a="1"/>
  <c r="FX108" i="55" s="1"/>
  <c r="FY108" i="55" s="1"/>
  <c r="FV108" i="55" a="1"/>
  <c r="FV108" i="55" s="1"/>
  <c r="FW108" i="55" s="1"/>
  <c r="FR108" i="55" a="1"/>
  <c r="FR108" i="55" s="1"/>
  <c r="FS108" i="55" s="1"/>
  <c r="FP108" i="55" a="1"/>
  <c r="FP108" i="55" s="1"/>
  <c r="FQ108" i="55" s="1"/>
  <c r="FE238" i="55"/>
  <c r="FI238" i="55" s="1"/>
  <c r="FL238" i="55"/>
  <c r="FM238" i="55" s="1"/>
  <c r="EQ238" i="55"/>
  <c r="FL351" i="55"/>
  <c r="FM351" i="55" s="1"/>
  <c r="FE351" i="55"/>
  <c r="FI351" i="55" s="1"/>
  <c r="EQ351" i="55"/>
  <c r="FX345" i="55" a="1"/>
  <c r="FX345" i="55" s="1"/>
  <c r="FY345" i="55" s="1"/>
  <c r="FR345" i="55" a="1"/>
  <c r="FR345" i="55" s="1"/>
  <c r="FS345" i="55" s="1"/>
  <c r="FZ345" i="55" a="1"/>
  <c r="FZ345" i="55" s="1"/>
  <c r="GA345" i="55" s="1"/>
  <c r="FV345" i="55" a="1"/>
  <c r="FV345" i="55" s="1"/>
  <c r="FW345" i="55" s="1"/>
  <c r="FP345" i="55" a="1"/>
  <c r="FP345" i="55" s="1"/>
  <c r="FQ345" i="55" s="1"/>
  <c r="FT345" i="55" a="1"/>
  <c r="FT345" i="55" s="1"/>
  <c r="FU345" i="55" s="1"/>
  <c r="CY147" i="55"/>
  <c r="CZ146" i="55"/>
  <c r="FZ291" i="55" a="1"/>
  <c r="FZ291" i="55" s="1"/>
  <c r="GA291" i="55" s="1"/>
  <c r="FX291" i="55" a="1"/>
  <c r="FX291" i="55" s="1"/>
  <c r="FY291" i="55" s="1"/>
  <c r="FV291" i="55" a="1"/>
  <c r="FV291" i="55" s="1"/>
  <c r="FW291" i="55" s="1"/>
  <c r="FT291" i="55" a="1"/>
  <c r="FT291" i="55" s="1"/>
  <c r="FU291" i="55" s="1"/>
  <c r="FP291" i="55" a="1"/>
  <c r="FP291" i="55" s="1"/>
  <c r="FQ291" i="55" s="1"/>
  <c r="FR291" i="55" a="1"/>
  <c r="FR291" i="55" s="1"/>
  <c r="FS291" i="55" s="1"/>
  <c r="FX285" i="55" a="1"/>
  <c r="FX285" i="55" s="1"/>
  <c r="FY285" i="55" s="1"/>
  <c r="FZ285" i="55" a="1"/>
  <c r="FZ285" i="55" s="1"/>
  <c r="GA285" i="55" s="1"/>
  <c r="FT285" i="55" a="1"/>
  <c r="FT285" i="55" s="1"/>
  <c r="FU285" i="55" s="1"/>
  <c r="FR285" i="55" a="1"/>
  <c r="FR285" i="55" s="1"/>
  <c r="FS285" i="55" s="1"/>
  <c r="FV285" i="55" a="1"/>
  <c r="FV285" i="55" s="1"/>
  <c r="FW285" i="55" s="1"/>
  <c r="FP285" i="55" a="1"/>
  <c r="FP285" i="55" s="1"/>
  <c r="FQ285" i="55" s="1"/>
  <c r="FX235" i="55" a="1"/>
  <c r="FX235" i="55" s="1"/>
  <c r="FY235" i="55" s="1"/>
  <c r="FZ235" i="55" a="1"/>
  <c r="FZ235" i="55" s="1"/>
  <c r="GA235" i="55" s="1"/>
  <c r="FT235" i="55" a="1"/>
  <c r="FT235" i="55" s="1"/>
  <c r="FU235" i="55" s="1"/>
  <c r="FR235" i="55" a="1"/>
  <c r="FR235" i="55" s="1"/>
  <c r="FS235" i="55" s="1"/>
  <c r="FV235" i="55" a="1"/>
  <c r="FV235" i="55" s="1"/>
  <c r="FW235" i="55" s="1"/>
  <c r="FP235" i="55" a="1"/>
  <c r="FP235" i="55" s="1"/>
  <c r="FQ235" i="55" s="1"/>
  <c r="FT28" i="55" a="1"/>
  <c r="FT28" i="55" s="1"/>
  <c r="FU28" i="55" s="1"/>
  <c r="FZ28" i="55" a="1"/>
  <c r="FZ28" i="55" s="1"/>
  <c r="GA28" i="55" s="1"/>
  <c r="FX28" i="55" a="1"/>
  <c r="FX28" i="55" s="1"/>
  <c r="FY28" i="55" s="1"/>
  <c r="FR28" i="55" a="1"/>
  <c r="FR28" i="55" s="1"/>
  <c r="FS28" i="55" s="1"/>
  <c r="FV28" i="55" a="1"/>
  <c r="FV28" i="55" s="1"/>
  <c r="FW28" i="55" s="1"/>
  <c r="FP28" i="55" a="1"/>
  <c r="FP28" i="55" s="1"/>
  <c r="FQ28" i="55" s="1"/>
  <c r="FL56" i="55"/>
  <c r="FM56" i="55" s="1"/>
  <c r="FE56" i="55"/>
  <c r="FI56" i="55" s="1"/>
  <c r="EQ56" i="55"/>
  <c r="FZ236" i="55" a="1"/>
  <c r="FZ236" i="55" s="1"/>
  <c r="GA236" i="55" s="1"/>
  <c r="FV236" i="55" a="1"/>
  <c r="FV236" i="55" s="1"/>
  <c r="FW236" i="55" s="1"/>
  <c r="FT236" i="55" a="1"/>
  <c r="FT236" i="55" s="1"/>
  <c r="FU236" i="55" s="1"/>
  <c r="FX236" i="55" a="1"/>
  <c r="FX236" i="55" s="1"/>
  <c r="FY236" i="55" s="1"/>
  <c r="FR236" i="55" a="1"/>
  <c r="FR236" i="55" s="1"/>
  <c r="FS236" i="55" s="1"/>
  <c r="FP236" i="55" a="1"/>
  <c r="FP236" i="55" s="1"/>
  <c r="FQ236" i="55" s="1"/>
  <c r="FL182" i="55"/>
  <c r="FM182" i="55" s="1"/>
  <c r="FE182" i="55"/>
  <c r="FI182" i="55" s="1"/>
  <c r="EQ182" i="55"/>
  <c r="FL168" i="55"/>
  <c r="FM168" i="55" s="1"/>
  <c r="FE168" i="55"/>
  <c r="FI168" i="55" s="1"/>
  <c r="EQ168" i="55"/>
  <c r="FT293" i="55" a="1"/>
  <c r="FT293" i="55" s="1"/>
  <c r="FU293" i="55" s="1"/>
  <c r="FZ293" i="55" a="1"/>
  <c r="FZ293" i="55" s="1"/>
  <c r="GA293" i="55" s="1"/>
  <c r="FV293" i="55" a="1"/>
  <c r="FV293" i="55" s="1"/>
  <c r="FW293" i="55" s="1"/>
  <c r="FX293" i="55" a="1"/>
  <c r="FX293" i="55" s="1"/>
  <c r="FY293" i="55" s="1"/>
  <c r="FR293" i="55" a="1"/>
  <c r="FR293" i="55" s="1"/>
  <c r="FS293" i="55" s="1"/>
  <c r="FP293" i="55" a="1"/>
  <c r="FP293" i="55" s="1"/>
  <c r="FQ293" i="55" s="1"/>
  <c r="FL213" i="55"/>
  <c r="FM213" i="55" s="1"/>
  <c r="EQ213" i="55"/>
  <c r="FE213" i="55"/>
  <c r="FI213" i="55" s="1"/>
  <c r="FL264" i="55"/>
  <c r="FM264" i="55" s="1"/>
  <c r="EQ264" i="55"/>
  <c r="FE264" i="55"/>
  <c r="FI264" i="55" s="1"/>
  <c r="FL236" i="55"/>
  <c r="FM236" i="55" s="1"/>
  <c r="FE236" i="55"/>
  <c r="FI236" i="55" s="1"/>
  <c r="EQ236" i="55"/>
  <c r="FL293" i="55"/>
  <c r="FM293" i="55" s="1"/>
  <c r="FE293" i="55"/>
  <c r="FI293" i="55" s="1"/>
  <c r="EQ293" i="55"/>
  <c r="EV168" i="55"/>
  <c r="EU168" i="55"/>
  <c r="GU168" i="55" s="1"/>
  <c r="ET169" i="55"/>
  <c r="FL60" i="55"/>
  <c r="FM60" i="55" s="1"/>
  <c r="FE60" i="55"/>
  <c r="FI60" i="55" s="1"/>
  <c r="EQ60" i="55"/>
  <c r="EQ312" i="55"/>
  <c r="FL312" i="55"/>
  <c r="FM312" i="55" s="1"/>
  <c r="FE312" i="55"/>
  <c r="FI312" i="55" s="1"/>
  <c r="FZ158" i="55" a="1"/>
  <c r="FZ158" i="55" s="1"/>
  <c r="GA158" i="55" s="1"/>
  <c r="FT158" i="55" a="1"/>
  <c r="FT158" i="55" s="1"/>
  <c r="FU158" i="55" s="1"/>
  <c r="FX158" i="55" a="1"/>
  <c r="FX158" i="55" s="1"/>
  <c r="FY158" i="55" s="1"/>
  <c r="FV158" i="55" a="1"/>
  <c r="FV158" i="55" s="1"/>
  <c r="FW158" i="55" s="1"/>
  <c r="FR158" i="55" a="1"/>
  <c r="FR158" i="55" s="1"/>
  <c r="FS158" i="55" s="1"/>
  <c r="FP158" i="55" a="1"/>
  <c r="FP158" i="55" s="1"/>
  <c r="FQ158" i="55" s="1"/>
  <c r="FX65" i="55" a="1"/>
  <c r="FX65" i="55" s="1"/>
  <c r="FY65" i="55" s="1"/>
  <c r="FZ65" i="55" a="1"/>
  <c r="FZ65" i="55" s="1"/>
  <c r="GA65" i="55" s="1"/>
  <c r="FV65" i="55" a="1"/>
  <c r="FV65" i="55" s="1"/>
  <c r="FW65" i="55" s="1"/>
  <c r="FR65" i="55" a="1"/>
  <c r="FR65" i="55" s="1"/>
  <c r="FS65" i="55" s="1"/>
  <c r="FT65" i="55" a="1"/>
  <c r="FT65" i="55" s="1"/>
  <c r="FU65" i="55" s="1"/>
  <c r="FP65" i="55" a="1"/>
  <c r="FP65" i="55" s="1"/>
  <c r="FQ65" i="55" s="1"/>
  <c r="FL205" i="55"/>
  <c r="FM205" i="55" s="1"/>
  <c r="FE205" i="55"/>
  <c r="FI205" i="55" s="1"/>
  <c r="EQ205" i="55"/>
  <c r="FV112" i="55" a="1"/>
  <c r="FV112" i="55" s="1"/>
  <c r="FW112" i="55" s="1"/>
  <c r="FZ112" i="55" a="1"/>
  <c r="FZ112" i="55" s="1"/>
  <c r="GA112" i="55" s="1"/>
  <c r="FX112" i="55" a="1"/>
  <c r="FX112" i="55" s="1"/>
  <c r="FY112" i="55" s="1"/>
  <c r="FT112" i="55" a="1"/>
  <c r="FT112" i="55" s="1"/>
  <c r="FU112" i="55" s="1"/>
  <c r="FR112" i="55" a="1"/>
  <c r="FR112" i="55" s="1"/>
  <c r="FS112" i="55" s="1"/>
  <c r="FP112" i="55" a="1"/>
  <c r="FP112" i="55" s="1"/>
  <c r="FQ112" i="55" s="1"/>
  <c r="GU16" i="55"/>
  <c r="FL261" i="55"/>
  <c r="FM261" i="55" s="1"/>
  <c r="FE261" i="55"/>
  <c r="FI261" i="55" s="1"/>
  <c r="EQ261" i="55"/>
  <c r="FE301" i="55"/>
  <c r="FI301" i="55" s="1"/>
  <c r="FL301" i="55"/>
  <c r="FM301" i="55" s="1"/>
  <c r="EQ301" i="55"/>
  <c r="FL179" i="55"/>
  <c r="FM179" i="55" s="1"/>
  <c r="FE179" i="55"/>
  <c r="FI179" i="55" s="1"/>
  <c r="EQ179" i="55"/>
  <c r="FZ331" i="55" a="1"/>
  <c r="FZ331" i="55" s="1"/>
  <c r="GA331" i="55" s="1"/>
  <c r="FT331" i="55" a="1"/>
  <c r="FT331" i="55" s="1"/>
  <c r="FU331" i="55" s="1"/>
  <c r="FV331" i="55" a="1"/>
  <c r="FV331" i="55" s="1"/>
  <c r="FW331" i="55" s="1"/>
  <c r="FX331" i="55" a="1"/>
  <c r="FX331" i="55" s="1"/>
  <c r="FY331" i="55" s="1"/>
  <c r="FR331" i="55" a="1"/>
  <c r="FR331" i="55" s="1"/>
  <c r="FS331" i="55" s="1"/>
  <c r="FP331" i="55" a="1"/>
  <c r="FP331" i="55" s="1"/>
  <c r="FQ331" i="55" s="1"/>
  <c r="FE152" i="55"/>
  <c r="FI152" i="55" s="1"/>
  <c r="FL152" i="55"/>
  <c r="FM152" i="55" s="1"/>
  <c r="EQ152" i="55"/>
  <c r="FV232" i="55" a="1"/>
  <c r="FV232" i="55" s="1"/>
  <c r="FW232" i="55" s="1"/>
  <c r="FX232" i="55" a="1"/>
  <c r="FX232" i="55" s="1"/>
  <c r="FY232" i="55" s="1"/>
  <c r="FT232" i="55" a="1"/>
  <c r="FT232" i="55" s="1"/>
  <c r="FU232" i="55" s="1"/>
  <c r="FZ232" i="55" a="1"/>
  <c r="FZ232" i="55" s="1"/>
  <c r="GA232" i="55" s="1"/>
  <c r="FR232" i="55" a="1"/>
  <c r="FR232" i="55" s="1"/>
  <c r="FS232" i="55" s="1"/>
  <c r="FP232" i="55" a="1"/>
  <c r="FP232" i="55" s="1"/>
  <c r="FQ232" i="55" s="1"/>
  <c r="FL176" i="55"/>
  <c r="FM176" i="55" s="1"/>
  <c r="FE176" i="55"/>
  <c r="FI176" i="55" s="1"/>
  <c r="EQ176" i="55"/>
  <c r="FL214" i="55"/>
  <c r="FM214" i="55" s="1"/>
  <c r="FE214" i="55"/>
  <c r="FI214" i="55" s="1"/>
  <c r="EQ214" i="55"/>
  <c r="FZ98" i="55" a="1"/>
  <c r="FZ98" i="55" s="1"/>
  <c r="GA98" i="55" s="1"/>
  <c r="FT98" i="55" a="1"/>
  <c r="FT98" i="55" s="1"/>
  <c r="FU98" i="55" s="1"/>
  <c r="FV98" i="55" a="1"/>
  <c r="FV98" i="55" s="1"/>
  <c r="FW98" i="55" s="1"/>
  <c r="FR98" i="55" a="1"/>
  <c r="FR98" i="55" s="1"/>
  <c r="FS98" i="55" s="1"/>
  <c r="FX98" i="55" a="1"/>
  <c r="FX98" i="55" s="1"/>
  <c r="FY98" i="55" s="1"/>
  <c r="FP98" i="55" a="1"/>
  <c r="FP98" i="55" s="1"/>
  <c r="FQ98" i="55" s="1"/>
  <c r="FL243" i="55"/>
  <c r="FM243" i="55" s="1"/>
  <c r="EQ243" i="55"/>
  <c r="FE243" i="55"/>
  <c r="FI243" i="55" s="1"/>
  <c r="GB15" i="55"/>
  <c r="FE274" i="55"/>
  <c r="FI274" i="55" s="1"/>
  <c r="FL274" i="55"/>
  <c r="FM274" i="55" s="1"/>
  <c r="EQ274" i="55"/>
  <c r="FX107" i="55" a="1"/>
  <c r="FX107" i="55" s="1"/>
  <c r="FY107" i="55" s="1"/>
  <c r="FZ107" i="55" a="1"/>
  <c r="FZ107" i="55" s="1"/>
  <c r="GA107" i="55" s="1"/>
  <c r="FT107" i="55" a="1"/>
  <c r="FT107" i="55" s="1"/>
  <c r="FU107" i="55" s="1"/>
  <c r="FR107" i="55" a="1"/>
  <c r="FR107" i="55" s="1"/>
  <c r="FS107" i="55" s="1"/>
  <c r="FV107" i="55" a="1"/>
  <c r="FV107" i="55" s="1"/>
  <c r="FW107" i="55" s="1"/>
  <c r="FP107" i="55" a="1"/>
  <c r="FP107" i="55" s="1"/>
  <c r="FQ107" i="55" s="1"/>
  <c r="FL72" i="55"/>
  <c r="FM72" i="55" s="1"/>
  <c r="FE72" i="55"/>
  <c r="FI72" i="55" s="1"/>
  <c r="EQ72" i="55"/>
  <c r="GC44" i="55"/>
  <c r="FC44" i="55"/>
  <c r="FA44" i="55"/>
  <c r="GB44" i="55" s="1"/>
  <c r="EZ44" i="55"/>
  <c r="EW44" i="55"/>
  <c r="FL93" i="55"/>
  <c r="FM93" i="55" s="1"/>
  <c r="EQ93" i="55"/>
  <c r="FE93" i="55"/>
  <c r="FI93" i="55" s="1"/>
  <c r="FE104" i="55"/>
  <c r="FI104" i="55" s="1"/>
  <c r="FL104" i="55"/>
  <c r="FM104" i="55" s="1"/>
  <c r="EQ104" i="55"/>
  <c r="FL137" i="55"/>
  <c r="FM137" i="55" s="1"/>
  <c r="FE137" i="55"/>
  <c r="FI137" i="55" s="1"/>
  <c r="EQ137" i="55"/>
  <c r="FL76" i="55"/>
  <c r="FM76" i="55" s="1"/>
  <c r="FE76" i="55"/>
  <c r="FI76" i="55" s="1"/>
  <c r="EQ76" i="55"/>
  <c r="FL85" i="55"/>
  <c r="FM85" i="55" s="1"/>
  <c r="FE85" i="55"/>
  <c r="FI85" i="55" s="1"/>
  <c r="EQ85" i="55"/>
  <c r="FX239" i="55" a="1"/>
  <c r="FX239" i="55" s="1"/>
  <c r="FY239" i="55" s="1"/>
  <c r="FZ239" i="55" a="1"/>
  <c r="FZ239" i="55" s="1"/>
  <c r="GA239" i="55" s="1"/>
  <c r="FT239" i="55" a="1"/>
  <c r="FT239" i="55" s="1"/>
  <c r="FU239" i="55" s="1"/>
  <c r="FV239" i="55" a="1"/>
  <c r="FV239" i="55" s="1"/>
  <c r="FW239" i="55" s="1"/>
  <c r="FP239" i="55" a="1"/>
  <c r="FP239" i="55" s="1"/>
  <c r="FQ239" i="55" s="1"/>
  <c r="FR239" i="55" a="1"/>
  <c r="FR239" i="55" s="1"/>
  <c r="FS239" i="55" s="1"/>
  <c r="FZ351" i="55" a="1"/>
  <c r="FZ351" i="55" s="1"/>
  <c r="GA351" i="55" s="1"/>
  <c r="FV351" i="55" a="1"/>
  <c r="FV351" i="55" s="1"/>
  <c r="FW351" i="55" s="1"/>
  <c r="FT351" i="55" a="1"/>
  <c r="FT351" i="55" s="1"/>
  <c r="FU351" i="55" s="1"/>
  <c r="FX351" i="55" a="1"/>
  <c r="FX351" i="55" s="1"/>
  <c r="FY351" i="55" s="1"/>
  <c r="FP351" i="55" a="1"/>
  <c r="FP351" i="55" s="1"/>
  <c r="FQ351" i="55" s="1"/>
  <c r="FR351" i="55" a="1"/>
  <c r="FR351" i="55" s="1"/>
  <c r="FS351" i="55" s="1"/>
  <c r="FT349" i="55" a="1"/>
  <c r="FT349" i="55" s="1"/>
  <c r="FU349" i="55" s="1"/>
  <c r="FV349" i="55" a="1"/>
  <c r="FV349" i="55" s="1"/>
  <c r="FW349" i="55" s="1"/>
  <c r="FX349" i="55" a="1"/>
  <c r="FX349" i="55" s="1"/>
  <c r="FY349" i="55" s="1"/>
  <c r="FZ349" i="55" a="1"/>
  <c r="FZ349" i="55" s="1"/>
  <c r="GA349" i="55" s="1"/>
  <c r="FP349" i="55" a="1"/>
  <c r="FP349" i="55" s="1"/>
  <c r="FQ349" i="55" s="1"/>
  <c r="FR349" i="55" a="1"/>
  <c r="FR349" i="55" s="1"/>
  <c r="FS349" i="55" s="1"/>
  <c r="FL174" i="55"/>
  <c r="FM174" i="55" s="1"/>
  <c r="FE174" i="55"/>
  <c r="FI174" i="55" s="1"/>
  <c r="EQ174" i="55"/>
  <c r="FL156" i="55"/>
  <c r="FM156" i="55" s="1"/>
  <c r="EQ156" i="55"/>
  <c r="FE156" i="55"/>
  <c r="FI156" i="55" s="1"/>
  <c r="FL211" i="55"/>
  <c r="FM211" i="55" s="1"/>
  <c r="FE211" i="55"/>
  <c r="FI211" i="55" s="1"/>
  <c r="EQ211" i="55"/>
  <c r="FE242" i="55"/>
  <c r="FI242" i="55" s="1"/>
  <c r="FL242" i="55"/>
  <c r="FM242" i="55" s="1"/>
  <c r="EQ242" i="55"/>
  <c r="FE79" i="55"/>
  <c r="FI79" i="55" s="1"/>
  <c r="FL79" i="55"/>
  <c r="FM79" i="55" s="1"/>
  <c r="EQ79" i="55"/>
  <c r="FV324" i="55" a="1"/>
  <c r="FV324" i="55" s="1"/>
  <c r="FW324" i="55" s="1"/>
  <c r="FZ324" i="55" a="1"/>
  <c r="FZ324" i="55" s="1"/>
  <c r="GA324" i="55" s="1"/>
  <c r="FT324" i="55" a="1"/>
  <c r="FT324" i="55" s="1"/>
  <c r="FU324" i="55" s="1"/>
  <c r="FX324" i="55" a="1"/>
  <c r="FX324" i="55" s="1"/>
  <c r="FY324" i="55" s="1"/>
  <c r="FR324" i="55" a="1"/>
  <c r="FR324" i="55" s="1"/>
  <c r="FS324" i="55" s="1"/>
  <c r="FP324" i="55" a="1"/>
  <c r="FP324" i="55" s="1"/>
  <c r="FQ324" i="55" s="1"/>
  <c r="FE149" i="55"/>
  <c r="FI149" i="55" s="1"/>
  <c r="FL149" i="55"/>
  <c r="FM149" i="55" s="1"/>
  <c r="EQ149" i="55"/>
  <c r="FV320" i="55" a="1"/>
  <c r="FV320" i="55" s="1"/>
  <c r="FW320" i="55" s="1"/>
  <c r="FX320" i="55" a="1"/>
  <c r="FX320" i="55" s="1"/>
  <c r="FY320" i="55" s="1"/>
  <c r="FT320" i="55" a="1"/>
  <c r="FT320" i="55" s="1"/>
  <c r="FU320" i="55" s="1"/>
  <c r="FZ320" i="55" a="1"/>
  <c r="FZ320" i="55" s="1"/>
  <c r="GA320" i="55" s="1"/>
  <c r="FR320" i="55" a="1"/>
  <c r="FR320" i="55" s="1"/>
  <c r="FS320" i="55" s="1"/>
  <c r="FP320" i="55" a="1"/>
  <c r="FP320" i="55" s="1"/>
  <c r="FQ320" i="55" s="1"/>
  <c r="FZ109" i="55" a="1"/>
  <c r="FZ109" i="55" s="1"/>
  <c r="GA109" i="55" s="1"/>
  <c r="FX109" i="55" a="1"/>
  <c r="FX109" i="55" s="1"/>
  <c r="FY109" i="55" s="1"/>
  <c r="FV109" i="55" a="1"/>
  <c r="FV109" i="55" s="1"/>
  <c r="FW109" i="55" s="1"/>
  <c r="FR109" i="55" a="1"/>
  <c r="FR109" i="55" s="1"/>
  <c r="FS109" i="55" s="1"/>
  <c r="FP109" i="55" a="1"/>
  <c r="FP109" i="55" s="1"/>
  <c r="FQ109" i="55" s="1"/>
  <c r="FT109" i="55" a="1"/>
  <c r="FT109" i="55" s="1"/>
  <c r="FU109" i="55" s="1"/>
  <c r="FV187" i="55" a="1"/>
  <c r="FV187" i="55" s="1"/>
  <c r="FW187" i="55" s="1"/>
  <c r="FZ187" i="55" a="1"/>
  <c r="FZ187" i="55" s="1"/>
  <c r="GA187" i="55" s="1"/>
  <c r="FR187" i="55" a="1"/>
  <c r="FR187" i="55" s="1"/>
  <c r="FS187" i="55" s="1"/>
  <c r="FT187" i="55" a="1"/>
  <c r="FT187" i="55" s="1"/>
  <c r="FU187" i="55" s="1"/>
  <c r="FX187" i="55" a="1"/>
  <c r="FX187" i="55" s="1"/>
  <c r="FY187" i="55" s="1"/>
  <c r="FP187" i="55" a="1"/>
  <c r="FP187" i="55" s="1"/>
  <c r="FQ187" i="55" s="1"/>
  <c r="FL58" i="55"/>
  <c r="FM58" i="55" s="1"/>
  <c r="FE58" i="55"/>
  <c r="FI58" i="55" s="1"/>
  <c r="EQ58" i="55"/>
  <c r="FZ95" i="55" a="1"/>
  <c r="FZ95" i="55" s="1"/>
  <c r="GA95" i="55" s="1"/>
  <c r="FV95" i="55" a="1"/>
  <c r="FV95" i="55" s="1"/>
  <c r="FW95" i="55" s="1"/>
  <c r="FX95" i="55" a="1"/>
  <c r="FX95" i="55" s="1"/>
  <c r="FY95" i="55" s="1"/>
  <c r="FT95" i="55" a="1"/>
  <c r="FT95" i="55" s="1"/>
  <c r="FU95" i="55" s="1"/>
  <c r="FP95" i="55" a="1"/>
  <c r="FP95" i="55" s="1"/>
  <c r="FQ95" i="55" s="1"/>
  <c r="FR95" i="55" a="1"/>
  <c r="FR95" i="55" s="1"/>
  <c r="FS95" i="55" s="1"/>
  <c r="FL113" i="55"/>
  <c r="FM113" i="55" s="1"/>
  <c r="FE113" i="55"/>
  <c r="FI113" i="55" s="1"/>
  <c r="EQ113" i="55"/>
  <c r="FZ91" i="55" a="1"/>
  <c r="FZ91" i="55" s="1"/>
  <c r="GA91" i="55" s="1"/>
  <c r="FX91" i="55" a="1"/>
  <c r="FX91" i="55" s="1"/>
  <c r="FY91" i="55" s="1"/>
  <c r="FT91" i="55" a="1"/>
  <c r="FT91" i="55" s="1"/>
  <c r="FU91" i="55" s="1"/>
  <c r="FV91" i="55" a="1"/>
  <c r="FV91" i="55" s="1"/>
  <c r="FW91" i="55" s="1"/>
  <c r="FR91" i="55" a="1"/>
  <c r="FR91" i="55" s="1"/>
  <c r="FS91" i="55" s="1"/>
  <c r="FP91" i="55" a="1"/>
  <c r="FP91" i="55" s="1"/>
  <c r="FQ91" i="55" s="1"/>
  <c r="EQ195" i="55"/>
  <c r="FE195" i="55"/>
  <c r="FI195" i="55" s="1"/>
  <c r="FL195" i="55"/>
  <c r="FM195" i="55" s="1"/>
  <c r="FE109" i="55"/>
  <c r="FI109" i="55" s="1"/>
  <c r="FL109" i="55"/>
  <c r="FM109" i="55" s="1"/>
  <c r="EQ109" i="55"/>
  <c r="FX332" i="55" a="1"/>
  <c r="FX332" i="55" s="1"/>
  <c r="FY332" i="55" s="1"/>
  <c r="FZ332" i="55" a="1"/>
  <c r="FZ332" i="55" s="1"/>
  <c r="GA332" i="55" s="1"/>
  <c r="FT332" i="55" a="1"/>
  <c r="FT332" i="55" s="1"/>
  <c r="FU332" i="55" s="1"/>
  <c r="FV332" i="55" a="1"/>
  <c r="FV332" i="55" s="1"/>
  <c r="FW332" i="55" s="1"/>
  <c r="FP332" i="55" a="1"/>
  <c r="FP332" i="55" s="1"/>
  <c r="FQ332" i="55" s="1"/>
  <c r="FR332" i="55" a="1"/>
  <c r="FR332" i="55" s="1"/>
  <c r="FS332" i="55" s="1"/>
  <c r="FL148" i="55"/>
  <c r="FM148" i="55" s="1"/>
  <c r="FE148" i="55"/>
  <c r="FI148" i="55" s="1"/>
  <c r="EQ148" i="55"/>
  <c r="FZ343" i="55" a="1"/>
  <c r="FZ343" i="55" s="1"/>
  <c r="GA343" i="55" s="1"/>
  <c r="FX343" i="55" a="1"/>
  <c r="FX343" i="55" s="1"/>
  <c r="FY343" i="55" s="1"/>
  <c r="FT343" i="55" a="1"/>
  <c r="FT343" i="55" s="1"/>
  <c r="FU343" i="55" s="1"/>
  <c r="FV343" i="55" a="1"/>
  <c r="FV343" i="55" s="1"/>
  <c r="FW343" i="55" s="1"/>
  <c r="FP343" i="55" a="1"/>
  <c r="FP343" i="55" s="1"/>
  <c r="FQ343" i="55" s="1"/>
  <c r="FR343" i="55" a="1"/>
  <c r="FR343" i="55" s="1"/>
  <c r="FS343" i="55" s="1"/>
  <c r="FE302" i="55"/>
  <c r="FI302" i="55" s="1"/>
  <c r="EQ302" i="55"/>
  <c r="FL302" i="55"/>
  <c r="FM302" i="55" s="1"/>
  <c r="FX321" i="55" a="1"/>
  <c r="FX321" i="55" s="1"/>
  <c r="FY321" i="55" s="1"/>
  <c r="FZ321" i="55" a="1"/>
  <c r="FZ321" i="55" s="1"/>
  <c r="GA321" i="55" s="1"/>
  <c r="FT321" i="55" a="1"/>
  <c r="FT321" i="55" s="1"/>
  <c r="FU321" i="55" s="1"/>
  <c r="FR321" i="55" a="1"/>
  <c r="FR321" i="55" s="1"/>
  <c r="FS321" i="55" s="1"/>
  <c r="FV321" i="55" a="1"/>
  <c r="FV321" i="55" s="1"/>
  <c r="FW321" i="55" s="1"/>
  <c r="FP321" i="55" a="1"/>
  <c r="FP321" i="55" s="1"/>
  <c r="FQ321" i="55" s="1"/>
  <c r="FL259" i="55"/>
  <c r="FM259" i="55" s="1"/>
  <c r="FE259" i="55"/>
  <c r="FI259" i="55" s="1"/>
  <c r="EQ259" i="55"/>
  <c r="FX286" i="55" a="1"/>
  <c r="FX286" i="55" s="1"/>
  <c r="FY286" i="55" s="1"/>
  <c r="FT286" i="55" a="1"/>
  <c r="FT286" i="55" s="1"/>
  <c r="FU286" i="55" s="1"/>
  <c r="FZ286" i="55" a="1"/>
  <c r="FZ286" i="55" s="1"/>
  <c r="GA286" i="55" s="1"/>
  <c r="FV286" i="55" a="1"/>
  <c r="FV286" i="55" s="1"/>
  <c r="FW286" i="55" s="1"/>
  <c r="FP286" i="55" a="1"/>
  <c r="FP286" i="55" s="1"/>
  <c r="FQ286" i="55" s="1"/>
  <c r="FR286" i="55" a="1"/>
  <c r="FR286" i="55" s="1"/>
  <c r="FS286" i="55" s="1"/>
  <c r="FL294" i="55"/>
  <c r="FM294" i="55" s="1"/>
  <c r="FE294" i="55"/>
  <c r="FI294" i="55" s="1"/>
  <c r="EQ294" i="55"/>
  <c r="FL290" i="55"/>
  <c r="FM290" i="55" s="1"/>
  <c r="FE290" i="55"/>
  <c r="FI290" i="55" s="1"/>
  <c r="EQ290" i="55"/>
  <c r="FZ92" i="55" a="1"/>
  <c r="FZ92" i="55" s="1"/>
  <c r="GA92" i="55" s="1"/>
  <c r="FX92" i="55" a="1"/>
  <c r="FX92" i="55" s="1"/>
  <c r="FY92" i="55" s="1"/>
  <c r="FV92" i="55" a="1"/>
  <c r="FV92" i="55" s="1"/>
  <c r="FW92" i="55" s="1"/>
  <c r="FT92" i="55" a="1"/>
  <c r="FT92" i="55" s="1"/>
  <c r="FU92" i="55" s="1"/>
  <c r="FR92" i="55" a="1"/>
  <c r="FR92" i="55" s="1"/>
  <c r="FS92" i="55" s="1"/>
  <c r="FP92" i="55" a="1"/>
  <c r="FP92" i="55" s="1"/>
  <c r="FQ92" i="55" s="1"/>
  <c r="FV110" i="55" a="1"/>
  <c r="FV110" i="55" s="1"/>
  <c r="FW110" i="55" s="1"/>
  <c r="FT110" i="55" a="1"/>
  <c r="FT110" i="55" s="1"/>
  <c r="FU110" i="55" s="1"/>
  <c r="FX110" i="55" a="1"/>
  <c r="FX110" i="55" s="1"/>
  <c r="FY110" i="55" s="1"/>
  <c r="FR110" i="55" a="1"/>
  <c r="FR110" i="55" s="1"/>
  <c r="FS110" i="55" s="1"/>
  <c r="FZ110" i="55" a="1"/>
  <c r="FZ110" i="55" s="1"/>
  <c r="GA110" i="55" s="1"/>
  <c r="FP110" i="55" a="1"/>
  <c r="FP110" i="55" s="1"/>
  <c r="FQ110" i="55" s="1"/>
  <c r="FL343" i="55"/>
  <c r="FM343" i="55" s="1"/>
  <c r="FE343" i="55"/>
  <c r="FI343" i="55" s="1"/>
  <c r="EQ343" i="55"/>
  <c r="FB134" i="55"/>
  <c r="FD134" i="55"/>
  <c r="FX346" i="55" a="1"/>
  <c r="FX346" i="55" s="1"/>
  <c r="FY346" i="55" s="1"/>
  <c r="FZ346" i="55" a="1"/>
  <c r="FZ346" i="55" s="1"/>
  <c r="GA346" i="55" s="1"/>
  <c r="FV346" i="55" a="1"/>
  <c r="FV346" i="55" s="1"/>
  <c r="FW346" i="55" s="1"/>
  <c r="FT346" i="55" a="1"/>
  <c r="FT346" i="55" s="1"/>
  <c r="FU346" i="55" s="1"/>
  <c r="FP346" i="55" a="1"/>
  <c r="FP346" i="55" s="1"/>
  <c r="FQ346" i="55" s="1"/>
  <c r="FR346" i="55" a="1"/>
  <c r="FR346" i="55" s="1"/>
  <c r="FS346" i="55" s="1"/>
  <c r="FT165" i="55" a="1"/>
  <c r="FT165" i="55" s="1"/>
  <c r="FU165" i="55" s="1"/>
  <c r="FX165" i="55" a="1"/>
  <c r="FX165" i="55" s="1"/>
  <c r="FY165" i="55" s="1"/>
  <c r="FZ165" i="55" a="1"/>
  <c r="FZ165" i="55" s="1"/>
  <c r="GA165" i="55" s="1"/>
  <c r="FV165" i="55" a="1"/>
  <c r="FV165" i="55" s="1"/>
  <c r="FW165" i="55" s="1"/>
  <c r="FR165" i="55" a="1"/>
  <c r="FR165" i="55" s="1"/>
  <c r="FS165" i="55" s="1"/>
  <c r="FP165" i="55" a="1"/>
  <c r="FP165" i="55" s="1"/>
  <c r="FQ165" i="55" s="1"/>
  <c r="FE216" i="55"/>
  <c r="FI216" i="55" s="1"/>
  <c r="FL216" i="55"/>
  <c r="FM216" i="55" s="1"/>
  <c r="EQ216" i="55"/>
  <c r="FL321" i="55"/>
  <c r="FM321" i="55" s="1"/>
  <c r="FE321" i="55"/>
  <c r="FI321" i="55" s="1"/>
  <c r="EQ321" i="55"/>
  <c r="FZ316" i="55" a="1"/>
  <c r="FZ316" i="55" s="1"/>
  <c r="GA316" i="55" s="1"/>
  <c r="FX316" i="55" a="1"/>
  <c r="FX316" i="55" s="1"/>
  <c r="FY316" i="55" s="1"/>
  <c r="FT316" i="55" a="1"/>
  <c r="FT316" i="55" s="1"/>
  <c r="FU316" i="55" s="1"/>
  <c r="FV316" i="55" a="1"/>
  <c r="FV316" i="55" s="1"/>
  <c r="FW316" i="55" s="1"/>
  <c r="FP316" i="55" a="1"/>
  <c r="FP316" i="55" s="1"/>
  <c r="FQ316" i="55" s="1"/>
  <c r="FR316" i="55" a="1"/>
  <c r="FR316" i="55" s="1"/>
  <c r="FS316" i="55" s="1"/>
  <c r="FE337" i="55"/>
  <c r="FI337" i="55" s="1"/>
  <c r="FL337" i="55"/>
  <c r="FM337" i="55" s="1"/>
  <c r="EQ337" i="55"/>
  <c r="FL257" i="55"/>
  <c r="FM257" i="55" s="1"/>
  <c r="FE257" i="55"/>
  <c r="FI257" i="55" s="1"/>
  <c r="EQ257" i="55"/>
  <c r="FZ339" i="55" a="1"/>
  <c r="FZ339" i="55" s="1"/>
  <c r="GA339" i="55" s="1"/>
  <c r="FX339" i="55" a="1"/>
  <c r="FX339" i="55" s="1"/>
  <c r="FY339" i="55" s="1"/>
  <c r="FV339" i="55" a="1"/>
  <c r="FV339" i="55" s="1"/>
  <c r="FW339" i="55" s="1"/>
  <c r="FT339" i="55" a="1"/>
  <c r="FT339" i="55" s="1"/>
  <c r="FU339" i="55" s="1"/>
  <c r="FR339" i="55" a="1"/>
  <c r="FR339" i="55" s="1"/>
  <c r="FS339" i="55" s="1"/>
  <c r="FP339" i="55" a="1"/>
  <c r="FP339" i="55" s="1"/>
  <c r="FQ339" i="55" s="1"/>
  <c r="FL127" i="55"/>
  <c r="FM127" i="55" s="1"/>
  <c r="EQ127" i="55"/>
  <c r="FE127" i="55"/>
  <c r="FI127" i="55" s="1"/>
  <c r="FX133" i="55" a="1"/>
  <c r="FX133" i="55" s="1"/>
  <c r="FY133" i="55" s="1"/>
  <c r="FT133" i="55" a="1"/>
  <c r="FT133" i="55" s="1"/>
  <c r="FU133" i="55" s="1"/>
  <c r="FV133" i="55" a="1"/>
  <c r="FV133" i="55" s="1"/>
  <c r="FW133" i="55" s="1"/>
  <c r="FZ133" i="55" a="1"/>
  <c r="FZ133" i="55" s="1"/>
  <c r="GA133" i="55" s="1"/>
  <c r="FP133" i="55" a="1"/>
  <c r="FP133" i="55" s="1"/>
  <c r="FQ133" i="55" s="1"/>
  <c r="FR133" i="55" a="1"/>
  <c r="FR133" i="55" s="1"/>
  <c r="FS133" i="55" s="1"/>
  <c r="FE305" i="55"/>
  <c r="FI305" i="55" s="1"/>
  <c r="FL305" i="55"/>
  <c r="FM305" i="55" s="1"/>
  <c r="EQ305" i="55"/>
  <c r="FL143" i="55"/>
  <c r="FM143" i="55" s="1"/>
  <c r="EQ143" i="55"/>
  <c r="FE143" i="55"/>
  <c r="FI143" i="55" s="1"/>
  <c r="FL340" i="55"/>
  <c r="FM340" i="55" s="1"/>
  <c r="EQ340" i="55"/>
  <c r="FE340" i="55"/>
  <c r="FI340" i="55" s="1"/>
  <c r="FL323" i="55"/>
  <c r="FM323" i="55" s="1"/>
  <c r="FE323" i="55"/>
  <c r="FI323" i="55" s="1"/>
  <c r="EQ323" i="55"/>
  <c r="FZ131" i="55" a="1"/>
  <c r="FZ131" i="55" s="1"/>
  <c r="GA131" i="55" s="1"/>
  <c r="FV131" i="55" a="1"/>
  <c r="FV131" i="55" s="1"/>
  <c r="FW131" i="55" s="1"/>
  <c r="FT131" i="55" a="1"/>
  <c r="FT131" i="55" s="1"/>
  <c r="FU131" i="55" s="1"/>
  <c r="FR131" i="55" a="1"/>
  <c r="FR131" i="55" s="1"/>
  <c r="FS131" i="55" s="1"/>
  <c r="FX131" i="55" a="1"/>
  <c r="FX131" i="55" s="1"/>
  <c r="FY131" i="55" s="1"/>
  <c r="FP131" i="55" a="1"/>
  <c r="FP131" i="55" s="1"/>
  <c r="FQ131" i="55" s="1"/>
  <c r="FN144" i="55"/>
  <c r="FO144" i="55" s="1"/>
  <c r="FL277" i="55"/>
  <c r="FM277" i="55" s="1"/>
  <c r="FE277" i="55"/>
  <c r="FI277" i="55" s="1"/>
  <c r="EQ277" i="55"/>
  <c r="FL155" i="55"/>
  <c r="FM155" i="55" s="1"/>
  <c r="FE155" i="55"/>
  <c r="FI155" i="55" s="1"/>
  <c r="EQ155" i="55"/>
  <c r="FE286" i="55"/>
  <c r="FI286" i="55" s="1"/>
  <c r="FL286" i="55"/>
  <c r="FM286" i="55" s="1"/>
  <c r="EQ286" i="55"/>
  <c r="FE215" i="55"/>
  <c r="FI215" i="55" s="1"/>
  <c r="FL215" i="55"/>
  <c r="FM215" i="55" s="1"/>
  <c r="EQ215" i="55"/>
  <c r="FL244" i="55"/>
  <c r="FM244" i="55" s="1"/>
  <c r="EQ244" i="55"/>
  <c r="FE244" i="55"/>
  <c r="FI244" i="55" s="1"/>
  <c r="FL327" i="55"/>
  <c r="FM327" i="55" s="1"/>
  <c r="FE327" i="55"/>
  <c r="FI327" i="55" s="1"/>
  <c r="EQ327" i="55"/>
  <c r="FT157" i="55" a="1"/>
  <c r="FT157" i="55" s="1"/>
  <c r="FU157" i="55" s="1"/>
  <c r="FV157" i="55" a="1"/>
  <c r="FV157" i="55" s="1"/>
  <c r="FW157" i="55" s="1"/>
  <c r="FZ157" i="55" a="1"/>
  <c r="FZ157" i="55" s="1"/>
  <c r="GA157" i="55" s="1"/>
  <c r="FX157" i="55" a="1"/>
  <c r="FX157" i="55" s="1"/>
  <c r="FY157" i="55" s="1"/>
  <c r="FP157" i="55" a="1"/>
  <c r="FP157" i="55" s="1"/>
  <c r="FQ157" i="55" s="1"/>
  <c r="FR157" i="55" a="1"/>
  <c r="FR157" i="55" s="1"/>
  <c r="FS157" i="55" s="1"/>
  <c r="FV296" i="55" a="1"/>
  <c r="FV296" i="55" s="1"/>
  <c r="FW296" i="55" s="1"/>
  <c r="FX296" i="55" a="1"/>
  <c r="FX296" i="55" s="1"/>
  <c r="FY296" i="55" s="1"/>
  <c r="FZ296" i="55" a="1"/>
  <c r="FZ296" i="55" s="1"/>
  <c r="GA296" i="55" s="1"/>
  <c r="FT296" i="55" a="1"/>
  <c r="FT296" i="55" s="1"/>
  <c r="FU296" i="55" s="1"/>
  <c r="FP296" i="55" a="1"/>
  <c r="FP296" i="55" s="1"/>
  <c r="FQ296" i="55" s="1"/>
  <c r="FR296" i="55" a="1"/>
  <c r="FR296" i="55" s="1"/>
  <c r="FS296" i="55" s="1"/>
  <c r="FE80" i="55"/>
  <c r="FI80" i="55" s="1"/>
  <c r="EQ80" i="55"/>
  <c r="FL80" i="55"/>
  <c r="FM80" i="55" s="1"/>
  <c r="FL189" i="55"/>
  <c r="FM189" i="55" s="1"/>
  <c r="FE189" i="55"/>
  <c r="FI189" i="55" s="1"/>
  <c r="EQ189" i="55"/>
  <c r="FL333" i="55"/>
  <c r="FM333" i="55" s="1"/>
  <c r="EQ333" i="55"/>
  <c r="FE333" i="55"/>
  <c r="FI333" i="55" s="1"/>
  <c r="FL256" i="55"/>
  <c r="FM256" i="55" s="1"/>
  <c r="FE256" i="55"/>
  <c r="FI256" i="55" s="1"/>
  <c r="EQ256" i="55"/>
  <c r="FL138" i="55"/>
  <c r="FM138" i="55" s="1"/>
  <c r="FE138" i="55"/>
  <c r="FI138" i="55" s="1"/>
  <c r="EQ138" i="55"/>
  <c r="FL108" i="55"/>
  <c r="FM108" i="55" s="1"/>
  <c r="FE108" i="55"/>
  <c r="FI108" i="55" s="1"/>
  <c r="EQ108" i="55"/>
  <c r="FZ114" i="55" a="1"/>
  <c r="FZ114" i="55" s="1"/>
  <c r="GA114" i="55" s="1"/>
  <c r="FV114" i="55" a="1"/>
  <c r="FV114" i="55" s="1"/>
  <c r="FW114" i="55" s="1"/>
  <c r="FX114" i="55" a="1"/>
  <c r="FX114" i="55" s="1"/>
  <c r="FY114" i="55" s="1"/>
  <c r="FP114" i="55" a="1"/>
  <c r="FP114" i="55" s="1"/>
  <c r="FQ114" i="55" s="1"/>
  <c r="FT114" i="55" a="1"/>
  <c r="FT114" i="55" s="1"/>
  <c r="FU114" i="55" s="1"/>
  <c r="FR114" i="55" a="1"/>
  <c r="FR114" i="55" s="1"/>
  <c r="FS114" i="55" s="1"/>
  <c r="CZ169" i="55"/>
  <c r="CY170" i="55"/>
  <c r="FZ58" i="55" a="1"/>
  <c r="FZ58" i="55" s="1"/>
  <c r="GA58" i="55" s="1"/>
  <c r="FV58" i="55" a="1"/>
  <c r="FV58" i="55" s="1"/>
  <c r="FW58" i="55" s="1"/>
  <c r="FX58" i="55" a="1"/>
  <c r="FX58" i="55" s="1"/>
  <c r="FY58" i="55" s="1"/>
  <c r="FT58" i="55" a="1"/>
  <c r="FT58" i="55" s="1"/>
  <c r="FU58" i="55" s="1"/>
  <c r="FP58" i="55" a="1"/>
  <c r="FP58" i="55" s="1"/>
  <c r="FQ58" i="55" s="1"/>
  <c r="FR58" i="55" a="1"/>
  <c r="FR58" i="55" s="1"/>
  <c r="FS58" i="55" s="1"/>
  <c r="FL89" i="55"/>
  <c r="FM89" i="55" s="1"/>
  <c r="FE89" i="55"/>
  <c r="FI89" i="55" s="1"/>
  <c r="EQ89" i="55"/>
  <c r="FL100" i="55"/>
  <c r="FM100" i="55" s="1"/>
  <c r="EQ100" i="55"/>
  <c r="FE100" i="55"/>
  <c r="FI100" i="55" s="1"/>
  <c r="FL291" i="55"/>
  <c r="FM291" i="55" s="1"/>
  <c r="FE291" i="55"/>
  <c r="FI291" i="55" s="1"/>
  <c r="EQ291" i="55"/>
  <c r="FL118" i="55"/>
  <c r="FM118" i="55" s="1"/>
  <c r="FE118" i="55"/>
  <c r="FI118" i="55" s="1"/>
  <c r="EQ118" i="55"/>
  <c r="FV288" i="55" a="1"/>
  <c r="FV288" i="55" s="1"/>
  <c r="FW288" i="55" s="1"/>
  <c r="FX288" i="55" a="1"/>
  <c r="FX288" i="55" s="1"/>
  <c r="FY288" i="55" s="1"/>
  <c r="FZ288" i="55" a="1"/>
  <c r="FZ288" i="55" s="1"/>
  <c r="GA288" i="55" s="1"/>
  <c r="FR288" i="55" a="1"/>
  <c r="FR288" i="55" s="1"/>
  <c r="FS288" i="55" s="1"/>
  <c r="FP288" i="55" a="1"/>
  <c r="FP288" i="55" s="1"/>
  <c r="FQ288" i="55" s="1"/>
  <c r="FT288" i="55" a="1"/>
  <c r="FT288" i="55" s="1"/>
  <c r="FU288" i="55" s="1"/>
  <c r="FL180" i="55"/>
  <c r="FM180" i="55" s="1"/>
  <c r="EQ180" i="55"/>
  <c r="FE180" i="55"/>
  <c r="FI180" i="55" s="1"/>
  <c r="FZ348" i="55" a="1"/>
  <c r="FZ348" i="55" s="1"/>
  <c r="GA348" i="55" s="1"/>
  <c r="FT348" i="55" a="1"/>
  <c r="FT348" i="55" s="1"/>
  <c r="FU348" i="55" s="1"/>
  <c r="FV348" i="55" a="1"/>
  <c r="FV348" i="55" s="1"/>
  <c r="FW348" i="55" s="1"/>
  <c r="FX348" i="55" a="1"/>
  <c r="FX348" i="55" s="1"/>
  <c r="FY348" i="55" s="1"/>
  <c r="FR348" i="55" a="1"/>
  <c r="FR348" i="55" s="1"/>
  <c r="FS348" i="55" s="1"/>
  <c r="FP348" i="55" a="1"/>
  <c r="FP348" i="55" s="1"/>
  <c r="FQ348" i="55" s="1"/>
  <c r="FX111" i="55" a="1"/>
  <c r="FX111" i="55" s="1"/>
  <c r="FY111" i="55" s="1"/>
  <c r="FV111" i="55" a="1"/>
  <c r="FV111" i="55" s="1"/>
  <c r="FW111" i="55" s="1"/>
  <c r="FZ111" i="55" a="1"/>
  <c r="FZ111" i="55" s="1"/>
  <c r="GA111" i="55" s="1"/>
  <c r="FP111" i="55" a="1"/>
  <c r="FP111" i="55" s="1"/>
  <c r="FQ111" i="55" s="1"/>
  <c r="FT111" i="55" a="1"/>
  <c r="FT111" i="55" s="1"/>
  <c r="FU111" i="55" s="1"/>
  <c r="FR111" i="55" a="1"/>
  <c r="FR111" i="55" s="1"/>
  <c r="FS111" i="55" s="1"/>
  <c r="FE306" i="55"/>
  <c r="FI306" i="55" s="1"/>
  <c r="EQ306" i="55"/>
  <c r="FL306" i="55"/>
  <c r="FM306" i="55" s="1"/>
  <c r="FE272" i="55"/>
  <c r="FI272" i="55" s="1"/>
  <c r="FL272" i="55"/>
  <c r="FM272" i="55" s="1"/>
  <c r="EQ272" i="55"/>
  <c r="FE101" i="55"/>
  <c r="FI101" i="55" s="1"/>
  <c r="FL101" i="55"/>
  <c r="FM101" i="55" s="1"/>
  <c r="EQ101" i="55"/>
  <c r="FL187" i="55"/>
  <c r="FM187" i="55" s="1"/>
  <c r="FE187" i="55"/>
  <c r="FI187" i="55" s="1"/>
  <c r="EQ187" i="55"/>
  <c r="FV68" i="55" a="1"/>
  <c r="FV68" i="55" s="1"/>
  <c r="FW68" i="55" s="1"/>
  <c r="FZ68" i="55" a="1"/>
  <c r="FZ68" i="55" s="1"/>
  <c r="GA68" i="55" s="1"/>
  <c r="FX68" i="55" a="1"/>
  <c r="FX68" i="55" s="1"/>
  <c r="FY68" i="55" s="1"/>
  <c r="FT68" i="55" a="1"/>
  <c r="FT68" i="55" s="1"/>
  <c r="FU68" i="55" s="1"/>
  <c r="FR68" i="55" a="1"/>
  <c r="FR68" i="55" s="1"/>
  <c r="FS68" i="55" s="1"/>
  <c r="FP68" i="55" a="1"/>
  <c r="FP68" i="55" s="1"/>
  <c r="FQ68" i="55" s="1"/>
  <c r="FD295" i="55"/>
  <c r="FB295" i="55"/>
  <c r="FZ106" i="55" a="1"/>
  <c r="FZ106" i="55" s="1"/>
  <c r="GA106" i="55" s="1"/>
  <c r="FV106" i="55" a="1"/>
  <c r="FV106" i="55" s="1"/>
  <c r="FW106" i="55" s="1"/>
  <c r="FX106" i="55" a="1"/>
  <c r="FX106" i="55" s="1"/>
  <c r="FY106" i="55" s="1"/>
  <c r="FR106" i="55" a="1"/>
  <c r="FR106" i="55" s="1"/>
  <c r="FS106" i="55" s="1"/>
  <c r="FP106" i="55" a="1"/>
  <c r="FP106" i="55" s="1"/>
  <c r="FQ106" i="55" s="1"/>
  <c r="FT106" i="55" a="1"/>
  <c r="FT106" i="55" s="1"/>
  <c r="FU106" i="55" s="1"/>
  <c r="FL91" i="55"/>
  <c r="FM91" i="55" s="1"/>
  <c r="EQ91" i="55"/>
  <c r="FE91" i="55"/>
  <c r="FI91" i="55" s="1"/>
  <c r="FL111" i="55"/>
  <c r="FM111" i="55" s="1"/>
  <c r="EQ111" i="55"/>
  <c r="FE111" i="55"/>
  <c r="FI111" i="55" s="1"/>
  <c r="FL253" i="55"/>
  <c r="FM253" i="55" s="1"/>
  <c r="FE253" i="55"/>
  <c r="FI253" i="55" s="1"/>
  <c r="EQ253" i="55"/>
  <c r="FR337" i="55" a="1"/>
  <c r="FR337" i="55" s="1"/>
  <c r="FS337" i="55" s="1"/>
  <c r="FX337" i="55" a="1"/>
  <c r="FX337" i="55" s="1"/>
  <c r="FY337" i="55" s="1"/>
  <c r="FV337" i="55" a="1"/>
  <c r="FV337" i="55" s="1"/>
  <c r="FW337" i="55" s="1"/>
  <c r="FP337" i="55" a="1"/>
  <c r="FP337" i="55" s="1"/>
  <c r="FQ337" i="55" s="1"/>
  <c r="FT337" i="55" a="1"/>
  <c r="FT337" i="55" s="1"/>
  <c r="FU337" i="55" s="1"/>
  <c r="FZ337" i="55" a="1"/>
  <c r="FZ337" i="55" s="1"/>
  <c r="GA337" i="55" s="1"/>
  <c r="FL254" i="55"/>
  <c r="FM254" i="55" s="1"/>
  <c r="FE254" i="55"/>
  <c r="FI254" i="55" s="1"/>
  <c r="EQ254" i="55"/>
  <c r="EQ125" i="55"/>
  <c r="FL125" i="55"/>
  <c r="FM125" i="55" s="1"/>
  <c r="FE125" i="55"/>
  <c r="FI125" i="55" s="1"/>
  <c r="FL181" i="55"/>
  <c r="FM181" i="55" s="1"/>
  <c r="FE181" i="55"/>
  <c r="FI181" i="55" s="1"/>
  <c r="EQ181" i="55"/>
  <c r="FE338" i="55"/>
  <c r="FI338" i="55" s="1"/>
  <c r="FL338" i="55"/>
  <c r="FM338" i="55" s="1"/>
  <c r="EQ338" i="55"/>
  <c r="FE221" i="55"/>
  <c r="FI221" i="55" s="1"/>
  <c r="FL221" i="55"/>
  <c r="FM221" i="55" s="1"/>
  <c r="EQ221" i="55"/>
  <c r="CZ200" i="55"/>
  <c r="CY201" i="55"/>
  <c r="FZ143" i="55" a="1"/>
  <c r="FZ143" i="55" s="1"/>
  <c r="GA143" i="55" s="1"/>
  <c r="FX143" i="55" a="1"/>
  <c r="FX143" i="55" s="1"/>
  <c r="FY143" i="55" s="1"/>
  <c r="FT143" i="55" a="1"/>
  <c r="FT143" i="55" s="1"/>
  <c r="FU143" i="55" s="1"/>
  <c r="FV143" i="55" a="1"/>
  <c r="FV143" i="55" s="1"/>
  <c r="FW143" i="55" s="1"/>
  <c r="FP143" i="55" a="1"/>
  <c r="FP143" i="55" s="1"/>
  <c r="FQ143" i="55" s="1"/>
  <c r="FR143" i="55" a="1"/>
  <c r="FR143" i="55" s="1"/>
  <c r="FS143" i="55" s="1"/>
  <c r="FZ340" i="55" a="1"/>
  <c r="FZ340" i="55" s="1"/>
  <c r="GA340" i="55" s="1"/>
  <c r="FV340" i="55" a="1"/>
  <c r="FV340" i="55" s="1"/>
  <c r="FW340" i="55" s="1"/>
  <c r="FT340" i="55" a="1"/>
  <c r="FT340" i="55" s="1"/>
  <c r="FU340" i="55" s="1"/>
  <c r="FR340" i="55" a="1"/>
  <c r="FR340" i="55" s="1"/>
  <c r="FS340" i="55" s="1"/>
  <c r="FX340" i="55" a="1"/>
  <c r="FX340" i="55" s="1"/>
  <c r="FY340" i="55" s="1"/>
  <c r="FP340" i="55" a="1"/>
  <c r="FP340" i="55" s="1"/>
  <c r="FQ340" i="55" s="1"/>
  <c r="FZ323" i="55" a="1"/>
  <c r="FZ323" i="55" s="1"/>
  <c r="GA323" i="55" s="1"/>
  <c r="FT323" i="55" a="1"/>
  <c r="FT323" i="55" s="1"/>
  <c r="FU323" i="55" s="1"/>
  <c r="FX323" i="55" a="1"/>
  <c r="FX323" i="55" s="1"/>
  <c r="FY323" i="55" s="1"/>
  <c r="FV323" i="55" a="1"/>
  <c r="FV323" i="55" s="1"/>
  <c r="FW323" i="55" s="1"/>
  <c r="FP323" i="55" a="1"/>
  <c r="FP323" i="55" s="1"/>
  <c r="FQ323" i="55" s="1"/>
  <c r="FR323" i="55" a="1"/>
  <c r="FR323" i="55" s="1"/>
  <c r="FS323" i="55" s="1"/>
  <c r="FL310" i="55"/>
  <c r="FM310" i="55" s="1"/>
  <c r="EQ310" i="55"/>
  <c r="FE310" i="55"/>
  <c r="FI310" i="55" s="1"/>
  <c r="FL159" i="55"/>
  <c r="FM159" i="55" s="1"/>
  <c r="EQ159" i="55"/>
  <c r="FE159" i="55"/>
  <c r="FI159" i="55" s="1"/>
  <c r="FL145" i="55"/>
  <c r="FM145" i="55" s="1"/>
  <c r="FE145" i="55"/>
  <c r="FI145" i="55" s="1"/>
  <c r="EQ145" i="55"/>
  <c r="FZ155" i="55" a="1"/>
  <c r="FZ155" i="55" s="1"/>
  <c r="GA155" i="55" s="1"/>
  <c r="FX155" i="55" a="1"/>
  <c r="FX155" i="55" s="1"/>
  <c r="FY155" i="55" s="1"/>
  <c r="FV155" i="55" a="1"/>
  <c r="FV155" i="55" s="1"/>
  <c r="FW155" i="55" s="1"/>
  <c r="FR155" i="55" a="1"/>
  <c r="FR155" i="55" s="1"/>
  <c r="FS155" i="55" s="1"/>
  <c r="FP155" i="55" a="1"/>
  <c r="FP155" i="55" s="1"/>
  <c r="FQ155" i="55" s="1"/>
  <c r="FT155" i="55" a="1"/>
  <c r="FT155" i="55" s="1"/>
  <c r="FU155" i="55" s="1"/>
  <c r="BW21" i="54"/>
  <c r="FD229" i="55"/>
  <c r="FB229" i="55"/>
  <c r="FX139" i="55" a="1"/>
  <c r="FX139" i="55" s="1"/>
  <c r="FY139" i="55" s="1"/>
  <c r="FZ139" i="55" a="1"/>
  <c r="FZ139" i="55" s="1"/>
  <c r="GA139" i="55" s="1"/>
  <c r="FT139" i="55" a="1"/>
  <c r="FT139" i="55" s="1"/>
  <c r="FU139" i="55" s="1"/>
  <c r="FR139" i="55" a="1"/>
  <c r="FR139" i="55" s="1"/>
  <c r="FS139" i="55" s="1"/>
  <c r="FP139" i="55" a="1"/>
  <c r="FP139" i="55" s="1"/>
  <c r="FQ139" i="55" s="1"/>
  <c r="FV139" i="55" a="1"/>
  <c r="FV139" i="55" s="1"/>
  <c r="FW139" i="55" s="1"/>
  <c r="FE332" i="55"/>
  <c r="FI332" i="55" s="1"/>
  <c r="EQ332" i="55"/>
  <c r="FL332" i="55"/>
  <c r="FM332" i="55" s="1"/>
  <c r="FL55" i="55"/>
  <c r="FM55" i="55" s="1"/>
  <c r="FE55" i="55"/>
  <c r="FI55" i="55" s="1"/>
  <c r="EQ55" i="55"/>
  <c r="FL68" i="55"/>
  <c r="FM68" i="55" s="1"/>
  <c r="EQ68" i="55"/>
  <c r="FE68" i="55"/>
  <c r="FI68" i="55" s="1"/>
  <c r="FX318" i="55" a="1"/>
  <c r="FX318" i="55" s="1"/>
  <c r="FY318" i="55" s="1"/>
  <c r="FV318" i="55" a="1"/>
  <c r="FV318" i="55" s="1"/>
  <c r="FW318" i="55" s="1"/>
  <c r="FZ318" i="55" a="1"/>
  <c r="FZ318" i="55" s="1"/>
  <c r="GA318" i="55" s="1"/>
  <c r="FT318" i="55" a="1"/>
  <c r="FT318" i="55" s="1"/>
  <c r="FU318" i="55" s="1"/>
  <c r="FR318" i="55" a="1"/>
  <c r="FR318" i="55" s="1"/>
  <c r="FS318" i="55" s="1"/>
  <c r="FP318" i="55" a="1"/>
  <c r="FP318" i="55" s="1"/>
  <c r="FQ318" i="55" s="1"/>
  <c r="FL106" i="55"/>
  <c r="FM106" i="55" s="1"/>
  <c r="FE106" i="55"/>
  <c r="FI106" i="55" s="1"/>
  <c r="EQ106" i="55"/>
  <c r="FZ66" i="55" a="1"/>
  <c r="FZ66" i="55" s="1"/>
  <c r="GA66" i="55" s="1"/>
  <c r="FV66" i="55" a="1"/>
  <c r="FV66" i="55" s="1"/>
  <c r="FW66" i="55" s="1"/>
  <c r="FX66" i="55" a="1"/>
  <c r="FX66" i="55" s="1"/>
  <c r="FY66" i="55" s="1"/>
  <c r="FT66" i="55" a="1"/>
  <c r="FT66" i="55" s="1"/>
  <c r="FU66" i="55" s="1"/>
  <c r="FP66" i="55" a="1"/>
  <c r="FP66" i="55" s="1"/>
  <c r="FQ66" i="55" s="1"/>
  <c r="FR66" i="55" a="1"/>
  <c r="FR66" i="55" s="1"/>
  <c r="FS66" i="55" s="1"/>
  <c r="FL139" i="55"/>
  <c r="FM139" i="55" s="1"/>
  <c r="EQ139" i="55"/>
  <c r="FE139" i="55"/>
  <c r="FI139" i="55" s="1"/>
  <c r="FE78" i="55"/>
  <c r="FI78" i="55" s="1"/>
  <c r="FL78" i="55"/>
  <c r="FM78" i="55" s="1"/>
  <c r="EQ78" i="55"/>
  <c r="FV161" i="55" a="1"/>
  <c r="FV161" i="55" s="1"/>
  <c r="FW161" i="55" s="1"/>
  <c r="FX161" i="55" a="1"/>
  <c r="FX161" i="55" s="1"/>
  <c r="FY161" i="55" s="1"/>
  <c r="FR161" i="55" a="1"/>
  <c r="FR161" i="55" s="1"/>
  <c r="FS161" i="55" s="1"/>
  <c r="FZ161" i="55" a="1"/>
  <c r="FZ161" i="55" s="1"/>
  <c r="GA161" i="55" s="1"/>
  <c r="FT161" i="55" a="1"/>
  <c r="FT161" i="55" s="1"/>
  <c r="FU161" i="55" s="1"/>
  <c r="FP161" i="55" a="1"/>
  <c r="FP161" i="55" s="1"/>
  <c r="FQ161" i="55" s="1"/>
  <c r="FL269" i="55"/>
  <c r="FM269" i="55" s="1"/>
  <c r="FE269" i="55"/>
  <c r="FI269" i="55" s="1"/>
  <c r="EQ269" i="55"/>
  <c r="FE83" i="55"/>
  <c r="FI83" i="55" s="1"/>
  <c r="FL83" i="55"/>
  <c r="FM83" i="55" s="1"/>
  <c r="EQ83" i="55"/>
  <c r="FD59" i="55"/>
  <c r="FB59" i="55"/>
  <c r="FL318" i="55"/>
  <c r="FM318" i="55" s="1"/>
  <c r="FE318" i="55"/>
  <c r="FI318" i="55" s="1"/>
  <c r="EQ318" i="55"/>
  <c r="FL175" i="55"/>
  <c r="FM175" i="55" s="1"/>
  <c r="EQ175" i="55"/>
  <c r="FE175" i="55"/>
  <c r="FI175" i="55" s="1"/>
  <c r="FE258" i="55"/>
  <c r="FI258" i="55" s="1"/>
  <c r="FL258" i="55"/>
  <c r="FM258" i="55" s="1"/>
  <c r="EQ258" i="55"/>
  <c r="EQ278" i="55"/>
  <c r="FL278" i="55"/>
  <c r="FM278" i="55" s="1"/>
  <c r="FE278" i="55"/>
  <c r="FI278" i="55" s="1"/>
  <c r="FL92" i="55"/>
  <c r="FM92" i="55" s="1"/>
  <c r="EQ92" i="55"/>
  <c r="FE92" i="55"/>
  <c r="FI92" i="55" s="1"/>
  <c r="FE110" i="55"/>
  <c r="FI110" i="55" s="1"/>
  <c r="EQ110" i="55"/>
  <c r="FL110" i="55"/>
  <c r="FM110" i="55" s="1"/>
  <c r="FZ186" i="55" a="1"/>
  <c r="FZ186" i="55" s="1"/>
  <c r="GA186" i="55" s="1"/>
  <c r="FX186" i="55" a="1"/>
  <c r="FX186" i="55" s="1"/>
  <c r="FY186" i="55" s="1"/>
  <c r="FV186" i="55" a="1"/>
  <c r="FV186" i="55" s="1"/>
  <c r="FW186" i="55" s="1"/>
  <c r="FP186" i="55" a="1"/>
  <c r="FP186" i="55" s="1"/>
  <c r="FQ186" i="55" s="1"/>
  <c r="FR186" i="55" a="1"/>
  <c r="FR186" i="55" s="1"/>
  <c r="FS186" i="55" s="1"/>
  <c r="FT186" i="55" a="1"/>
  <c r="FT186" i="55" s="1"/>
  <c r="FU186" i="55" s="1"/>
  <c r="FX347" i="55" a="1"/>
  <c r="FX347" i="55" s="1"/>
  <c r="FY347" i="55" s="1"/>
  <c r="FV347" i="55" a="1"/>
  <c r="FV347" i="55" s="1"/>
  <c r="FW347" i="55" s="1"/>
  <c r="FZ347" i="55" a="1"/>
  <c r="FZ347" i="55" s="1"/>
  <c r="GA347" i="55" s="1"/>
  <c r="FT347" i="55" a="1"/>
  <c r="FT347" i="55" s="1"/>
  <c r="FU347" i="55" s="1"/>
  <c r="FR347" i="55" a="1"/>
  <c r="FR347" i="55" s="1"/>
  <c r="FS347" i="55" s="1"/>
  <c r="FP347" i="55" a="1"/>
  <c r="FP347" i="55" s="1"/>
  <c r="FQ347" i="55" s="1"/>
  <c r="FD207" i="55"/>
  <c r="FB207" i="55"/>
  <c r="FL346" i="55"/>
  <c r="FM346" i="55" s="1"/>
  <c r="EQ346" i="55"/>
  <c r="FE346" i="55"/>
  <c r="FI346" i="55" s="1"/>
  <c r="FL165" i="55"/>
  <c r="FM165" i="55" s="1"/>
  <c r="FE165" i="55"/>
  <c r="FI165" i="55" s="1"/>
  <c r="EQ165" i="55"/>
  <c r="FL316" i="55"/>
  <c r="FM316" i="55" s="1"/>
  <c r="FE316" i="55"/>
  <c r="FI316" i="55" s="1"/>
  <c r="EQ316" i="55"/>
  <c r="FL311" i="55"/>
  <c r="FM311" i="55" s="1"/>
  <c r="FE311" i="55"/>
  <c r="FI311" i="55" s="1"/>
  <c r="EQ311" i="55"/>
  <c r="FX292" i="55" a="1"/>
  <c r="FX292" i="55" s="1"/>
  <c r="FY292" i="55" s="1"/>
  <c r="FV292" i="55" a="1"/>
  <c r="FV292" i="55" s="1"/>
  <c r="FW292" i="55" s="1"/>
  <c r="FZ292" i="55" a="1"/>
  <c r="FZ292" i="55" s="1"/>
  <c r="GA292" i="55" s="1"/>
  <c r="FT292" i="55" a="1"/>
  <c r="FT292" i="55" s="1"/>
  <c r="FU292" i="55" s="1"/>
  <c r="FR292" i="55" a="1"/>
  <c r="FR292" i="55" s="1"/>
  <c r="FS292" i="55" s="1"/>
  <c r="FP292" i="55" a="1"/>
  <c r="FP292" i="55" s="1"/>
  <c r="FQ292" i="55" s="1"/>
  <c r="FL339" i="55"/>
  <c r="FM339" i="55" s="1"/>
  <c r="FE339" i="55"/>
  <c r="FI339" i="55" s="1"/>
  <c r="EQ339" i="55"/>
  <c r="FX191" i="55" a="1"/>
  <c r="FX191" i="55" s="1"/>
  <c r="FY191" i="55" s="1"/>
  <c r="FZ191" i="55" a="1"/>
  <c r="FZ191" i="55" s="1"/>
  <c r="GA191" i="55" s="1"/>
  <c r="FV191" i="55" a="1"/>
  <c r="FV191" i="55" s="1"/>
  <c r="FW191" i="55" s="1"/>
  <c r="FT191" i="55" a="1"/>
  <c r="FT191" i="55" s="1"/>
  <c r="FU191" i="55" s="1"/>
  <c r="FP191" i="55" a="1"/>
  <c r="FP191" i="55" s="1"/>
  <c r="FQ191" i="55" s="1"/>
  <c r="FR191" i="55" a="1"/>
  <c r="FR191" i="55" s="1"/>
  <c r="FS191" i="55" s="1"/>
  <c r="FE199" i="55"/>
  <c r="FI199" i="55" s="1"/>
  <c r="FL199" i="55"/>
  <c r="FM199" i="55" s="1"/>
  <c r="EQ199" i="55"/>
  <c r="FX135" i="55" a="1"/>
  <c r="FX135" i="55" s="1"/>
  <c r="FY135" i="55" s="1"/>
  <c r="FZ135" i="55" a="1"/>
  <c r="FZ135" i="55" s="1"/>
  <c r="GA135" i="55" s="1"/>
  <c r="FT135" i="55" a="1"/>
  <c r="FT135" i="55" s="1"/>
  <c r="FU135" i="55" s="1"/>
  <c r="FP135" i="55" a="1"/>
  <c r="FP135" i="55" s="1"/>
  <c r="FQ135" i="55" s="1"/>
  <c r="FR135" i="55" a="1"/>
  <c r="FR135" i="55" s="1"/>
  <c r="FS135" i="55" s="1"/>
  <c r="FV135" i="55" a="1"/>
  <c r="FV135" i="55" s="1"/>
  <c r="FW135" i="55" s="1"/>
  <c r="FL308" i="55"/>
  <c r="FM308" i="55" s="1"/>
  <c r="EQ308" i="55"/>
  <c r="FE308" i="55"/>
  <c r="FI308" i="55" s="1"/>
  <c r="FL133" i="55"/>
  <c r="FM133" i="55" s="1"/>
  <c r="FE133" i="55"/>
  <c r="FI133" i="55" s="1"/>
  <c r="EQ133" i="55"/>
  <c r="FV289" i="55" a="1"/>
  <c r="FV289" i="55" s="1"/>
  <c r="FW289" i="55" s="1"/>
  <c r="FR289" i="55" a="1"/>
  <c r="FR289" i="55" s="1"/>
  <c r="FS289" i="55" s="1"/>
  <c r="FX289" i="55" a="1"/>
  <c r="FX289" i="55" s="1"/>
  <c r="FY289" i="55" s="1"/>
  <c r="FT289" i="55" a="1"/>
  <c r="FT289" i="55" s="1"/>
  <c r="FU289" i="55" s="1"/>
  <c r="FZ289" i="55" a="1"/>
  <c r="FZ289" i="55" s="1"/>
  <c r="GA289" i="55" s="1"/>
  <c r="FP289" i="55" a="1"/>
  <c r="FP289" i="55" s="1"/>
  <c r="FQ289" i="55" s="1"/>
  <c r="FD19" i="55"/>
  <c r="FG19" i="55"/>
  <c r="FE19" i="55"/>
  <c r="FI19" i="55" s="1"/>
  <c r="FF19" i="55"/>
  <c r="DG19" i="55"/>
  <c r="DH19" i="55" s="1"/>
  <c r="DJ19" i="55" s="1" a="1"/>
  <c r="DJ19" i="55" s="1"/>
  <c r="EK20" i="55"/>
  <c r="EL19" i="55"/>
  <c r="FX329" i="55" a="1"/>
  <c r="FX329" i="55" s="1"/>
  <c r="FY329" i="55" s="1"/>
  <c r="FZ329" i="55" a="1"/>
  <c r="FZ329" i="55" s="1"/>
  <c r="GA329" i="55" s="1"/>
  <c r="FV329" i="55" a="1"/>
  <c r="FV329" i="55" s="1"/>
  <c r="FW329" i="55" s="1"/>
  <c r="FR329" i="55" a="1"/>
  <c r="FR329" i="55" s="1"/>
  <c r="FS329" i="55" s="1"/>
  <c r="FT329" i="55" a="1"/>
  <c r="FT329" i="55" s="1"/>
  <c r="FU329" i="55" s="1"/>
  <c r="FP329" i="55" a="1"/>
  <c r="FP329" i="55" s="1"/>
  <c r="FQ329" i="55" s="1"/>
  <c r="FZ90" i="55" a="1"/>
  <c r="FZ90" i="55" s="1"/>
  <c r="GA90" i="55" s="1"/>
  <c r="FX90" i="55" a="1"/>
  <c r="FX90" i="55" s="1"/>
  <c r="FY90" i="55" s="1"/>
  <c r="FV90" i="55" a="1"/>
  <c r="FV90" i="55" s="1"/>
  <c r="FW90" i="55" s="1"/>
  <c r="FT90" i="55" a="1"/>
  <c r="FT90" i="55" s="1"/>
  <c r="FU90" i="55" s="1"/>
  <c r="FP90" i="55" a="1"/>
  <c r="FP90" i="55" s="1"/>
  <c r="FQ90" i="55" s="1"/>
  <c r="FR90" i="55" a="1"/>
  <c r="FR90" i="55" s="1"/>
  <c r="FS90" i="55" s="1"/>
  <c r="FE131" i="55"/>
  <c r="FI131" i="55" s="1"/>
  <c r="FL131" i="55"/>
  <c r="FM131" i="55" s="1"/>
  <c r="EQ131" i="55"/>
  <c r="FL144" i="55"/>
  <c r="FM144" i="55" s="1"/>
  <c r="FE144" i="55"/>
  <c r="FI144" i="55" s="1"/>
  <c r="EQ144" i="55"/>
  <c r="FZ115" i="55" a="1"/>
  <c r="FZ115" i="55" s="1"/>
  <c r="GA115" i="55" s="1"/>
  <c r="FV115" i="55" a="1"/>
  <c r="FV115" i="55" s="1"/>
  <c r="FW115" i="55" s="1"/>
  <c r="FX115" i="55" a="1"/>
  <c r="FX115" i="55" s="1"/>
  <c r="FY115" i="55" s="1"/>
  <c r="FR115" i="55" a="1"/>
  <c r="FR115" i="55" s="1"/>
  <c r="FS115" i="55" s="1"/>
  <c r="FP115" i="55" a="1"/>
  <c r="FP115" i="55" s="1"/>
  <c r="FQ115" i="55" s="1"/>
  <c r="FT115" i="55" a="1"/>
  <c r="FT115" i="55" s="1"/>
  <c r="FU115" i="55" s="1"/>
  <c r="FZ100" i="55" a="1"/>
  <c r="FZ100" i="55" s="1"/>
  <c r="GA100" i="55" s="1"/>
  <c r="FT100" i="55" a="1"/>
  <c r="FT100" i="55" s="1"/>
  <c r="FU100" i="55" s="1"/>
  <c r="FV100" i="55" a="1"/>
  <c r="FV100" i="55" s="1"/>
  <c r="FW100" i="55" s="1"/>
  <c r="FX100" i="55" a="1"/>
  <c r="FX100" i="55" s="1"/>
  <c r="FY100" i="55" s="1"/>
  <c r="FR100" i="55" a="1"/>
  <c r="FR100" i="55" s="1"/>
  <c r="FS100" i="55" s="1"/>
  <c r="FP100" i="55" a="1"/>
  <c r="FP100" i="55" s="1"/>
  <c r="FQ100" i="55" s="1"/>
  <c r="FL87" i="55"/>
  <c r="FM87" i="55" s="1"/>
  <c r="FE87" i="55"/>
  <c r="FI87" i="55" s="1"/>
  <c r="EQ87" i="55"/>
  <c r="FE99" i="55"/>
  <c r="FI99" i="55" s="1"/>
  <c r="FL99" i="55"/>
  <c r="FM99" i="55" s="1"/>
  <c r="EQ99" i="55"/>
  <c r="FB30" i="55"/>
  <c r="FD30" i="55"/>
  <c r="FL282" i="55"/>
  <c r="FM282" i="55" s="1"/>
  <c r="FE282" i="55"/>
  <c r="FI282" i="55" s="1"/>
  <c r="EQ282" i="55"/>
  <c r="FZ113" i="55" a="1"/>
  <c r="FZ113" i="55" s="1"/>
  <c r="GA113" i="55" s="1"/>
  <c r="FR113" i="55" a="1"/>
  <c r="FR113" i="55" s="1"/>
  <c r="FS113" i="55" s="1"/>
  <c r="FX113" i="55" a="1"/>
  <c r="FX113" i="55" s="1"/>
  <c r="FY113" i="55" s="1"/>
  <c r="FV113" i="55" a="1"/>
  <c r="FV113" i="55" s="1"/>
  <c r="FW113" i="55" s="1"/>
  <c r="FT113" i="55" a="1"/>
  <c r="FT113" i="55" s="1"/>
  <c r="FU113" i="55" s="1"/>
  <c r="FP113" i="55" a="1"/>
  <c r="FP113" i="55" s="1"/>
  <c r="FQ113" i="55" s="1"/>
  <c r="FZ195" i="55" a="1"/>
  <c r="FZ195" i="55" s="1"/>
  <c r="GA195" i="55" s="1"/>
  <c r="FX195" i="55" a="1"/>
  <c r="FX195" i="55" s="1"/>
  <c r="FY195" i="55" s="1"/>
  <c r="FR195" i="55" a="1"/>
  <c r="FR195" i="55" s="1"/>
  <c r="FS195" i="55" s="1"/>
  <c r="FT195" i="55" a="1"/>
  <c r="FT195" i="55" s="1"/>
  <c r="FU195" i="55" s="1"/>
  <c r="FP195" i="55" a="1"/>
  <c r="FP195" i="55" s="1"/>
  <c r="FQ195" i="55" s="1"/>
  <c r="FV195" i="55" a="1"/>
  <c r="FV195" i="55" s="1"/>
  <c r="FW195" i="55" s="1"/>
  <c r="FE285" i="55"/>
  <c r="FI285" i="55" s="1"/>
  <c r="FL285" i="55"/>
  <c r="FM285" i="55" s="1"/>
  <c r="EQ285" i="55"/>
  <c r="FG45" i="55"/>
  <c r="FE45" i="55"/>
  <c r="FI45" i="55" s="1"/>
  <c r="FF45" i="55"/>
  <c r="FD45" i="55"/>
  <c r="DG45" i="55"/>
  <c r="DH45" i="55" s="1"/>
  <c r="DJ45" i="55" s="1" a="1"/>
  <c r="DJ45" i="55" s="1"/>
  <c r="EL45" i="55"/>
  <c r="EM45" i="55" s="1"/>
  <c r="EK46" i="55"/>
  <c r="FD169" i="55"/>
  <c r="FB169" i="55"/>
  <c r="FL157" i="55"/>
  <c r="FM157" i="55" s="1"/>
  <c r="FE157" i="55"/>
  <c r="FI157" i="55" s="1"/>
  <c r="EQ157" i="55"/>
  <c r="FL124" i="55"/>
  <c r="FM124" i="55" s="1"/>
  <c r="EQ124" i="55"/>
  <c r="FE124" i="55"/>
  <c r="FI124" i="55" s="1"/>
  <c r="FE114" i="55"/>
  <c r="FI114" i="55" s="1"/>
  <c r="FL114" i="55"/>
  <c r="FM114" i="55" s="1"/>
  <c r="EQ114" i="55"/>
  <c r="FX159" i="55" a="1"/>
  <c r="FX159" i="55" s="1"/>
  <c r="FY159" i="55" s="1"/>
  <c r="FV159" i="55" a="1"/>
  <c r="FV159" i="55" s="1"/>
  <c r="FW159" i="55" s="1"/>
  <c r="FZ159" i="55" a="1"/>
  <c r="FZ159" i="55" s="1"/>
  <c r="GA159" i="55" s="1"/>
  <c r="FT159" i="55" a="1"/>
  <c r="FT159" i="55" s="1"/>
  <c r="FU159" i="55" s="1"/>
  <c r="FP159" i="55" a="1"/>
  <c r="FP159" i="55" s="1"/>
  <c r="FQ159" i="55" s="1"/>
  <c r="FR159" i="55" a="1"/>
  <c r="FR159" i="55" s="1"/>
  <c r="FS159" i="55" s="1"/>
  <c r="FL233" i="55"/>
  <c r="FM233" i="55" s="1"/>
  <c r="FE233" i="55"/>
  <c r="FI233" i="55" s="1"/>
  <c r="EQ233" i="55"/>
  <c r="FL177" i="55"/>
  <c r="FM177" i="55" s="1"/>
  <c r="FE177" i="55"/>
  <c r="FI177" i="55" s="1"/>
  <c r="EQ177" i="55"/>
  <c r="FL348" i="55"/>
  <c r="FM348" i="55" s="1"/>
  <c r="EQ348" i="55"/>
  <c r="FE348" i="55"/>
  <c r="FI348" i="55" s="1"/>
  <c r="FL324" i="55"/>
  <c r="FM324" i="55" s="1"/>
  <c r="EQ324" i="55"/>
  <c r="FE324" i="55"/>
  <c r="FI324" i="55" s="1"/>
  <c r="FZ294" i="55" a="1"/>
  <c r="FZ294" i="55" s="1"/>
  <c r="GA294" i="55" s="1"/>
  <c r="FX294" i="55" a="1"/>
  <c r="FX294" i="55" s="1"/>
  <c r="FY294" i="55" s="1"/>
  <c r="FV294" i="55" a="1"/>
  <c r="FV294" i="55" s="1"/>
  <c r="FW294" i="55" s="1"/>
  <c r="FT294" i="55" a="1"/>
  <c r="FT294" i="55" s="1"/>
  <c r="FU294" i="55" s="1"/>
  <c r="FR294" i="55" a="1"/>
  <c r="FR294" i="55" s="1"/>
  <c r="FS294" i="55" s="1"/>
  <c r="FP294" i="55" a="1"/>
  <c r="FP294" i="55" s="1"/>
  <c r="FQ294" i="55" s="1"/>
  <c r="FZ290" i="55" a="1"/>
  <c r="FZ290" i="55" s="1"/>
  <c r="GA290" i="55" s="1"/>
  <c r="FT290" i="55" a="1"/>
  <c r="FT290" i="55" s="1"/>
  <c r="FU290" i="55" s="1"/>
  <c r="FR290" i="55" a="1"/>
  <c r="FR290" i="55" s="1"/>
  <c r="FS290" i="55" s="1"/>
  <c r="FP290" i="55" a="1"/>
  <c r="FP290" i="55" s="1"/>
  <c r="FQ290" i="55" s="1"/>
  <c r="FX290" i="55" a="1"/>
  <c r="FX290" i="55" s="1"/>
  <c r="FY290" i="55" s="1"/>
  <c r="FV290" i="55" a="1"/>
  <c r="FV290" i="55" s="1"/>
  <c r="FW290" i="55" s="1"/>
  <c r="FL320" i="55"/>
  <c r="FM320" i="55" s="1"/>
  <c r="FE320" i="55"/>
  <c r="FI320" i="55" s="1"/>
  <c r="EQ320" i="55"/>
  <c r="FT55" i="55" a="1"/>
  <c r="FT55" i="55" s="1"/>
  <c r="FU55" i="55" s="1"/>
  <c r="FZ55" i="55" a="1"/>
  <c r="FZ55" i="55" s="1"/>
  <c r="GA55" i="55" s="1"/>
  <c r="FX55" i="55" a="1"/>
  <c r="FX55" i="55" s="1"/>
  <c r="FY55" i="55" s="1"/>
  <c r="FV55" i="55" a="1"/>
  <c r="FV55" i="55" s="1"/>
  <c r="FW55" i="55" s="1"/>
  <c r="FP55" i="55" a="1"/>
  <c r="FP55" i="55" s="1"/>
  <c r="FQ55" i="55" s="1"/>
  <c r="FR55" i="55" a="1"/>
  <c r="FR55" i="55" s="1"/>
  <c r="FS55" i="55" s="1"/>
  <c r="FB136" i="55"/>
  <c r="FD136" i="55"/>
  <c r="FL95" i="55"/>
  <c r="FM95" i="55" s="1"/>
  <c r="FE95" i="55"/>
  <c r="FI95" i="55" s="1"/>
  <c r="EQ95" i="55"/>
  <c r="FL171" i="55"/>
  <c r="FM171" i="55" s="1"/>
  <c r="FE171" i="55"/>
  <c r="FI171" i="55" s="1"/>
  <c r="EQ171" i="55"/>
  <c r="FL66" i="55"/>
  <c r="FM66" i="55" s="1"/>
  <c r="FE66" i="55"/>
  <c r="FI66" i="55" s="1"/>
  <c r="EQ66" i="55"/>
  <c r="FB141" i="55"/>
  <c r="FD141" i="55"/>
  <c r="GC101" i="55"/>
  <c r="FC101" i="55"/>
  <c r="EZ101" i="55"/>
  <c r="FA101" i="55"/>
  <c r="GB101" i="55" s="1"/>
  <c r="EW101" i="55"/>
  <c r="EQ280" i="55"/>
  <c r="FE280" i="55"/>
  <c r="FI280" i="55" s="1"/>
  <c r="FL280" i="55"/>
  <c r="FM280" i="55" s="1"/>
  <c r="FL161" i="55"/>
  <c r="FM161" i="55" s="1"/>
  <c r="EQ161" i="55"/>
  <c r="FE161" i="55"/>
  <c r="FI161" i="55" s="1"/>
  <c r="FZ162" i="55" a="1"/>
  <c r="FZ162" i="55" s="1"/>
  <c r="GA162" i="55" s="1"/>
  <c r="FV162" i="55" a="1"/>
  <c r="FV162" i="55" s="1"/>
  <c r="FW162" i="55" s="1"/>
  <c r="FX162" i="55" a="1"/>
  <c r="FX162" i="55" s="1"/>
  <c r="FY162" i="55" s="1"/>
  <c r="FT162" i="55" a="1"/>
  <c r="FT162" i="55" s="1"/>
  <c r="FU162" i="55" s="1"/>
  <c r="FR162" i="55" a="1"/>
  <c r="FR162" i="55" s="1"/>
  <c r="FS162" i="55" s="1"/>
  <c r="FP162" i="55" a="1"/>
  <c r="FP162" i="55" s="1"/>
  <c r="FQ162" i="55" s="1"/>
  <c r="FL200" i="55"/>
  <c r="FM200" i="55" s="1"/>
  <c r="FE200" i="55"/>
  <c r="FI200" i="55" s="1"/>
  <c r="EQ200" i="55"/>
  <c r="FL276" i="55"/>
  <c r="FM276" i="55" s="1"/>
  <c r="EQ276" i="55"/>
  <c r="FE276" i="55"/>
  <c r="FI276" i="55" s="1"/>
  <c r="FD71" i="55"/>
  <c r="FB71" i="55"/>
  <c r="FZ334" i="55" a="1"/>
  <c r="FZ334" i="55" s="1"/>
  <c r="GA334" i="55" s="1"/>
  <c r="FX334" i="55" a="1"/>
  <c r="FX334" i="55" s="1"/>
  <c r="FY334" i="55" s="1"/>
  <c r="FT334" i="55" a="1"/>
  <c r="FT334" i="55" s="1"/>
  <c r="FU334" i="55" s="1"/>
  <c r="FV334" i="55" a="1"/>
  <c r="FV334" i="55" s="1"/>
  <c r="FW334" i="55" s="1"/>
  <c r="FR334" i="55" a="1"/>
  <c r="FR334" i="55" s="1"/>
  <c r="FS334" i="55" s="1"/>
  <c r="FP334" i="55" a="1"/>
  <c r="FP334" i="55" s="1"/>
  <c r="FQ334" i="55" s="1"/>
  <c r="FL186" i="55"/>
  <c r="FM186" i="55" s="1"/>
  <c r="FE186" i="55"/>
  <c r="FI186" i="55" s="1"/>
  <c r="EQ186" i="55"/>
  <c r="FL347" i="55"/>
  <c r="FM347" i="55" s="1"/>
  <c r="EQ347" i="55"/>
  <c r="FE347" i="55"/>
  <c r="FI347" i="55" s="1"/>
  <c r="FL271" i="55"/>
  <c r="FM271" i="55" s="1"/>
  <c r="FE271" i="55"/>
  <c r="FI271" i="55" s="1"/>
  <c r="EQ271" i="55"/>
  <c r="FX190" i="55" a="1"/>
  <c r="FX190" i="55" s="1"/>
  <c r="FY190" i="55" s="1"/>
  <c r="FZ190" i="55" a="1"/>
  <c r="FZ190" i="55" s="1"/>
  <c r="GA190" i="55" s="1"/>
  <c r="FV190" i="55" a="1"/>
  <c r="FV190" i="55" s="1"/>
  <c r="FW190" i="55" s="1"/>
  <c r="FR190" i="55" a="1"/>
  <c r="FR190" i="55" s="1"/>
  <c r="FS190" i="55" s="1"/>
  <c r="FT190" i="55" a="1"/>
  <c r="FT190" i="55" s="1"/>
  <c r="FU190" i="55" s="1"/>
  <c r="FP190" i="55" a="1"/>
  <c r="FP190" i="55" s="1"/>
  <c r="FQ190" i="55" s="1"/>
  <c r="FL170" i="55"/>
  <c r="FM170" i="55" s="1"/>
  <c r="FE170" i="55"/>
  <c r="FI170" i="55" s="1"/>
  <c r="EQ170" i="55"/>
  <c r="FL292" i="55"/>
  <c r="FM292" i="55" s="1"/>
  <c r="EQ292" i="55"/>
  <c r="FE292" i="55"/>
  <c r="FI292" i="55" s="1"/>
  <c r="FL191" i="55"/>
  <c r="FM191" i="55" s="1"/>
  <c r="FE191" i="55"/>
  <c r="FI191" i="55" s="1"/>
  <c r="EQ191" i="55"/>
  <c r="FT185" i="55" a="1"/>
  <c r="FT185" i="55" s="1"/>
  <c r="FU185" i="55" s="1"/>
  <c r="FR185" i="55" a="1"/>
  <c r="FR185" i="55" s="1"/>
  <c r="FS185" i="55" s="1"/>
  <c r="FZ185" i="55" a="1"/>
  <c r="FZ185" i="55" s="1"/>
  <c r="GA185" i="55" s="1"/>
  <c r="FX185" i="55" a="1"/>
  <c r="FX185" i="55" s="1"/>
  <c r="FY185" i="55" s="1"/>
  <c r="FV185" i="55" a="1"/>
  <c r="FV185" i="55" s="1"/>
  <c r="FW185" i="55" s="1"/>
  <c r="FP185" i="55" a="1"/>
  <c r="FP185" i="55" s="1"/>
  <c r="FQ185" i="55" s="1"/>
  <c r="FL135" i="55"/>
  <c r="FM135" i="55" s="1"/>
  <c r="FE135" i="55"/>
  <c r="FI135" i="55" s="1"/>
  <c r="EQ135" i="55"/>
  <c r="EU198" i="55"/>
  <c r="GU198" i="55" s="1"/>
  <c r="EV198" i="55"/>
  <c r="ET199" i="55"/>
  <c r="FL289" i="55"/>
  <c r="FM289" i="55" s="1"/>
  <c r="FE289" i="55"/>
  <c r="FI289" i="55" s="1"/>
  <c r="EQ289" i="55"/>
  <c r="FN116" i="55"/>
  <c r="FO116" i="55" s="1"/>
  <c r="DK18" i="55"/>
  <c r="DN18" i="55"/>
  <c r="DL18" i="55"/>
  <c r="DO18" i="55" s="1"/>
  <c r="AE23" i="54" a="1"/>
  <c r="AE23" i="54" s="1"/>
  <c r="FL329" i="55"/>
  <c r="FM329" i="55" s="1"/>
  <c r="FE329" i="55"/>
  <c r="FI329" i="55" s="1"/>
  <c r="EQ329" i="55"/>
  <c r="FL90" i="55"/>
  <c r="FM90" i="55" s="1"/>
  <c r="EQ90" i="55"/>
  <c r="FE90" i="55"/>
  <c r="FI90" i="55" s="1"/>
  <c r="FV96" i="55" a="1"/>
  <c r="FV96" i="55" s="1"/>
  <c r="FW96" i="55" s="1"/>
  <c r="FZ96" i="55" a="1"/>
  <c r="FZ96" i="55" s="1"/>
  <c r="GA96" i="55" s="1"/>
  <c r="FX96" i="55" a="1"/>
  <c r="FX96" i="55" s="1"/>
  <c r="FY96" i="55" s="1"/>
  <c r="FT96" i="55" a="1"/>
  <c r="FT96" i="55" s="1"/>
  <c r="FU96" i="55" s="1"/>
  <c r="FR96" i="55" a="1"/>
  <c r="FR96" i="55" s="1"/>
  <c r="FS96" i="55" s="1"/>
  <c r="FP96" i="55" a="1"/>
  <c r="FP96" i="55" s="1"/>
  <c r="FQ96" i="55" s="1"/>
  <c r="FL115" i="55"/>
  <c r="FM115" i="55" s="1"/>
  <c r="FE115" i="55"/>
  <c r="FI115" i="55" s="1"/>
  <c r="EQ115" i="55"/>
  <c r="FL230" i="55"/>
  <c r="FM230" i="55" s="1"/>
  <c r="FE230" i="55"/>
  <c r="FI230" i="55" s="1"/>
  <c r="EQ230" i="55"/>
  <c r="FE197" i="55"/>
  <c r="FI197" i="55" s="1"/>
  <c r="FL197" i="55"/>
  <c r="FM197" i="55" s="1"/>
  <c r="EQ197" i="55"/>
  <c r="FL132" i="55"/>
  <c r="FM132" i="55" s="1"/>
  <c r="FE132" i="55"/>
  <c r="FI132" i="55" s="1"/>
  <c r="EQ132" i="55"/>
  <c r="FL94" i="55"/>
  <c r="FM94" i="55" s="1"/>
  <c r="FE94" i="55"/>
  <c r="FI94" i="55" s="1"/>
  <c r="EQ94" i="55"/>
  <c r="FE237" i="55"/>
  <c r="FI237" i="55" s="1"/>
  <c r="FL237" i="55"/>
  <c r="FM237" i="55" s="1"/>
  <c r="EQ237" i="55"/>
  <c r="FL234" i="55"/>
  <c r="FM234" i="55" s="1"/>
  <c r="FE234" i="55"/>
  <c r="FI234" i="55" s="1"/>
  <c r="EQ234" i="55"/>
  <c r="FZ97" i="55" a="1"/>
  <c r="FZ97" i="55" s="1"/>
  <c r="GA97" i="55" s="1"/>
  <c r="FV97" i="55" a="1"/>
  <c r="FV97" i="55" s="1"/>
  <c r="FW97" i="55" s="1"/>
  <c r="FR97" i="55" a="1"/>
  <c r="FR97" i="55" s="1"/>
  <c r="FS97" i="55" s="1"/>
  <c r="FT97" i="55" a="1"/>
  <c r="FT97" i="55" s="1"/>
  <c r="FU97" i="55" s="1"/>
  <c r="FX97" i="55" a="1"/>
  <c r="FX97" i="55" s="1"/>
  <c r="FY97" i="55" s="1"/>
  <c r="FP97" i="55" a="1"/>
  <c r="FP97" i="55" s="1"/>
  <c r="FQ97" i="55" s="1"/>
  <c r="FL84" i="55"/>
  <c r="FM84" i="55" s="1"/>
  <c r="EQ84" i="55"/>
  <c r="FE84" i="55"/>
  <c r="FI84" i="55" s="1"/>
  <c r="FL345" i="55"/>
  <c r="FM345" i="55" s="1"/>
  <c r="EQ345" i="55"/>
  <c r="FE345" i="55"/>
  <c r="FI345" i="55" s="1"/>
  <c r="FX287" i="55" a="1"/>
  <c r="FX287" i="55" s="1"/>
  <c r="FY287" i="55" s="1"/>
  <c r="FV287" i="55" a="1"/>
  <c r="FV287" i="55" s="1"/>
  <c r="FW287" i="55" s="1"/>
  <c r="FZ287" i="55" a="1"/>
  <c r="FZ287" i="55" s="1"/>
  <c r="GA287" i="55" s="1"/>
  <c r="FT287" i="55" a="1"/>
  <c r="FT287" i="55" s="1"/>
  <c r="FU287" i="55" s="1"/>
  <c r="FP287" i="55" a="1"/>
  <c r="FP287" i="55" s="1"/>
  <c r="FQ287" i="55" s="1"/>
  <c r="FR287" i="55" a="1"/>
  <c r="FR287" i="55" s="1"/>
  <c r="FS287" i="55" s="1"/>
  <c r="FL296" i="55"/>
  <c r="FM296" i="55" s="1"/>
  <c r="EQ296" i="55"/>
  <c r="FE296" i="55"/>
  <c r="FI296" i="55" s="1"/>
  <c r="FL252" i="55"/>
  <c r="FM252" i="55" s="1"/>
  <c r="FE252" i="55"/>
  <c r="FI252" i="55" s="1"/>
  <c r="EQ252" i="55"/>
  <c r="FE303" i="55"/>
  <c r="FI303" i="55" s="1"/>
  <c r="FL303" i="55"/>
  <c r="FM303" i="55" s="1"/>
  <c r="EQ303" i="55"/>
  <c r="FV233" i="55" a="1"/>
  <c r="FV233" i="55" s="1"/>
  <c r="FW233" i="55" s="1"/>
  <c r="FX233" i="55" a="1"/>
  <c r="FX233" i="55" s="1"/>
  <c r="FY233" i="55" s="1"/>
  <c r="FZ233" i="55" a="1"/>
  <c r="FZ233" i="55" s="1"/>
  <c r="GA233" i="55" s="1"/>
  <c r="FR233" i="55" a="1"/>
  <c r="FR233" i="55" s="1"/>
  <c r="FS233" i="55" s="1"/>
  <c r="FT233" i="55" a="1"/>
  <c r="FT233" i="55" s="1"/>
  <c r="FU233" i="55" s="1"/>
  <c r="FP233" i="55" a="1"/>
  <c r="FP233" i="55" s="1"/>
  <c r="FQ233" i="55" s="1"/>
  <c r="FX101" i="55" a="1"/>
  <c r="FX101" i="55" s="1"/>
  <c r="FY101" i="55" s="1"/>
  <c r="FZ101" i="55" a="1"/>
  <c r="FZ101" i="55" s="1"/>
  <c r="GA101" i="55" s="1"/>
  <c r="FV101" i="55" a="1"/>
  <c r="FV101" i="55" s="1"/>
  <c r="FW101" i="55" s="1"/>
  <c r="FT101" i="55" a="1"/>
  <c r="FT101" i="55" s="1"/>
  <c r="FU101" i="55" s="1"/>
  <c r="FP101" i="55" a="1"/>
  <c r="FP101" i="55" s="1"/>
  <c r="FQ101" i="55" s="1"/>
  <c r="FR101" i="55" a="1"/>
  <c r="FR101" i="55" s="1"/>
  <c r="FS101" i="55" s="1"/>
  <c r="FL97" i="55"/>
  <c r="FM97" i="55" s="1"/>
  <c r="FE97" i="55"/>
  <c r="FI97" i="55" s="1"/>
  <c r="EQ97" i="55"/>
  <c r="DL324" i="55"/>
  <c r="DO324" i="55" s="1"/>
  <c r="DL318" i="55"/>
  <c r="DO318" i="55" s="1"/>
  <c r="DL319" i="55"/>
  <c r="DO319" i="55" s="1"/>
  <c r="DL322" i="55"/>
  <c r="DO322" i="55" s="1"/>
  <c r="DL320" i="55"/>
  <c r="DO320" i="55" s="1"/>
  <c r="DL323" i="55"/>
  <c r="DO323" i="55" s="1"/>
  <c r="DL321" i="55"/>
  <c r="DO321" i="55" s="1"/>
  <c r="DL317" i="55"/>
  <c r="DO317" i="55" s="1"/>
  <c r="FL287" i="55"/>
  <c r="FM287" i="55" s="1"/>
  <c r="FE287" i="55"/>
  <c r="FI287" i="55" s="1"/>
  <c r="EQ287" i="55"/>
  <c r="DN44" i="55"/>
  <c r="DK44" i="55"/>
  <c r="FX338" i="55" a="1"/>
  <c r="FX338" i="55" s="1"/>
  <c r="FY338" i="55" s="1"/>
  <c r="FV338" i="55" a="1"/>
  <c r="FV338" i="55" s="1"/>
  <c r="FW338" i="55" s="1"/>
  <c r="FZ338" i="55" a="1"/>
  <c r="FZ338" i="55" s="1"/>
  <c r="GA338" i="55" s="1"/>
  <c r="FP338" i="55" a="1"/>
  <c r="FP338" i="55" s="1"/>
  <c r="FQ338" i="55" s="1"/>
  <c r="FT338" i="55" a="1"/>
  <c r="FT338" i="55" s="1"/>
  <c r="FU338" i="55" s="1"/>
  <c r="FR338" i="55" a="1"/>
  <c r="FR338" i="55" s="1"/>
  <c r="FS338" i="55" s="1"/>
  <c r="FL288" i="55"/>
  <c r="FM288" i="55" s="1"/>
  <c r="FE288" i="55"/>
  <c r="FI288" i="55" s="1"/>
  <c r="EQ288" i="55"/>
  <c r="FL270" i="55"/>
  <c r="FM270" i="55" s="1"/>
  <c r="FE270" i="55"/>
  <c r="FI270" i="55" s="1"/>
  <c r="EQ270" i="55"/>
  <c r="FT67" i="55" a="1"/>
  <c r="FT67" i="55" s="1"/>
  <c r="FU67" i="55" s="1"/>
  <c r="FX67" i="55" a="1"/>
  <c r="FX67" i="55" s="1"/>
  <c r="FY67" i="55" s="1"/>
  <c r="FZ67" i="55" a="1"/>
  <c r="FZ67" i="55" s="1"/>
  <c r="GA67" i="55" s="1"/>
  <c r="FV67" i="55" a="1"/>
  <c r="FV67" i="55" s="1"/>
  <c r="FW67" i="55" s="1"/>
  <c r="FR67" i="55" a="1"/>
  <c r="FR67" i="55" s="1"/>
  <c r="FS67" i="55" s="1"/>
  <c r="FP67" i="55" a="1"/>
  <c r="FP67" i="55" s="1"/>
  <c r="FQ67" i="55" s="1"/>
  <c r="FE162" i="55"/>
  <c r="FI162" i="55" s="1"/>
  <c r="FL162" i="55"/>
  <c r="FM162" i="55" s="1"/>
  <c r="EQ162" i="55"/>
  <c r="FL220" i="55"/>
  <c r="FM220" i="55" s="1"/>
  <c r="FE220" i="55"/>
  <c r="FI220" i="55" s="1"/>
  <c r="EQ220" i="55"/>
  <c r="FE223" i="55"/>
  <c r="FI223" i="55" s="1"/>
  <c r="FL223" i="55"/>
  <c r="FM223" i="55" s="1"/>
  <c r="EQ223" i="55"/>
  <c r="FZ63" i="55" a="1"/>
  <c r="FZ63" i="55" s="1"/>
  <c r="GA63" i="55" s="1"/>
  <c r="FV63" i="55" a="1"/>
  <c r="FV63" i="55" s="1"/>
  <c r="FW63" i="55" s="1"/>
  <c r="FT63" i="55" a="1"/>
  <c r="FT63" i="55" s="1"/>
  <c r="FU63" i="55" s="1"/>
  <c r="FX63" i="55" a="1"/>
  <c r="FX63" i="55" s="1"/>
  <c r="FY63" i="55" s="1"/>
  <c r="FP63" i="55" a="1"/>
  <c r="FP63" i="55" s="1"/>
  <c r="FQ63" i="55" s="1"/>
  <c r="FR63" i="55" a="1"/>
  <c r="FR63" i="55" s="1"/>
  <c r="FS63" i="55" s="1"/>
  <c r="FL334" i="55"/>
  <c r="FM334" i="55" s="1"/>
  <c r="EQ334" i="55"/>
  <c r="FE334" i="55"/>
  <c r="FI334" i="55" s="1"/>
  <c r="EQ279" i="55"/>
  <c r="FE279" i="55"/>
  <c r="FI279" i="55" s="1"/>
  <c r="FL279" i="55"/>
  <c r="FM279" i="55" s="1"/>
  <c r="FL178" i="55"/>
  <c r="FM178" i="55" s="1"/>
  <c r="FE178" i="55"/>
  <c r="FI178" i="55" s="1"/>
  <c r="EQ178" i="55"/>
  <c r="FL190" i="55"/>
  <c r="FM190" i="55" s="1"/>
  <c r="EQ190" i="55"/>
  <c r="FE190" i="55"/>
  <c r="FI190" i="55" s="1"/>
  <c r="FE81" i="55"/>
  <c r="FI81" i="55" s="1"/>
  <c r="EQ81" i="55"/>
  <c r="FL81" i="55"/>
  <c r="FM81" i="55" s="1"/>
  <c r="FX198" i="55" a="1"/>
  <c r="FX198" i="55" s="1"/>
  <c r="FY198" i="55" s="1"/>
  <c r="FZ198" i="55" a="1"/>
  <c r="FZ198" i="55" s="1"/>
  <c r="GA198" i="55" s="1"/>
  <c r="FT198" i="55" a="1"/>
  <c r="FT198" i="55" s="1"/>
  <c r="FU198" i="55" s="1"/>
  <c r="FV198" i="55" a="1"/>
  <c r="FV198" i="55" s="1"/>
  <c r="FW198" i="55" s="1"/>
  <c r="FP198" i="55" a="1"/>
  <c r="FP198" i="55" s="1"/>
  <c r="FQ198" i="55" s="1"/>
  <c r="FR198" i="55" a="1"/>
  <c r="FR198" i="55" s="1"/>
  <c r="FS198" i="55" s="1"/>
  <c r="FL185" i="55"/>
  <c r="FM185" i="55" s="1"/>
  <c r="EQ185" i="55"/>
  <c r="FE185" i="55"/>
  <c r="FI185" i="55" s="1"/>
  <c r="FL249" i="55"/>
  <c r="FM249" i="55" s="1"/>
  <c r="FE249" i="55"/>
  <c r="FI249" i="55" s="1"/>
  <c r="EQ249" i="55"/>
  <c r="GC197" i="55"/>
  <c r="EZ197" i="55"/>
  <c r="FA197" i="55"/>
  <c r="GB197" i="55" s="1"/>
  <c r="FC197" i="55"/>
  <c r="EW197" i="55"/>
  <c r="FX188" i="55" a="1"/>
  <c r="FX188" i="55" s="1"/>
  <c r="FY188" i="55" s="1"/>
  <c r="FZ188" i="55" a="1"/>
  <c r="FZ188" i="55" s="1"/>
  <c r="GA188" i="55" s="1"/>
  <c r="FT188" i="55" a="1"/>
  <c r="FT188" i="55" s="1"/>
  <c r="FU188" i="55" s="1"/>
  <c r="FV188" i="55" a="1"/>
  <c r="FV188" i="55" s="1"/>
  <c r="FW188" i="55" s="1"/>
  <c r="FR188" i="55" a="1"/>
  <c r="FR188" i="55" s="1"/>
  <c r="FS188" i="55" s="1"/>
  <c r="FP188" i="55" a="1"/>
  <c r="FP188" i="55" s="1"/>
  <c r="FQ188" i="55" s="1"/>
  <c r="FL116" i="55"/>
  <c r="FM116" i="55" s="1"/>
  <c r="FE116" i="55"/>
  <c r="FI116" i="55" s="1"/>
  <c r="EQ116" i="55"/>
  <c r="EM18" i="55"/>
  <c r="FL73" i="55"/>
  <c r="FM73" i="55" s="1"/>
  <c r="EQ73" i="55"/>
  <c r="FE73" i="55"/>
  <c r="FI73" i="55" s="1"/>
  <c r="FL212" i="55"/>
  <c r="FM212" i="55" s="1"/>
  <c r="EQ212" i="55"/>
  <c r="FE212" i="55"/>
  <c r="FI212" i="55" s="1"/>
  <c r="FL96" i="55"/>
  <c r="FM96" i="55" s="1"/>
  <c r="FE96" i="55"/>
  <c r="FI96" i="55" s="1"/>
  <c r="EQ96" i="55"/>
  <c r="EV69" i="55"/>
  <c r="EU69" i="55"/>
  <c r="GU69" i="55" s="1"/>
  <c r="ET70" i="55"/>
  <c r="FL299" i="55"/>
  <c r="FM299" i="55" s="1"/>
  <c r="FE299" i="55"/>
  <c r="FI299" i="55" s="1"/>
  <c r="EQ299" i="55"/>
  <c r="FZ342" i="55" a="1"/>
  <c r="FZ342" i="55" s="1"/>
  <c r="GA342" i="55" s="1"/>
  <c r="FV342" i="55" a="1"/>
  <c r="FV342" i="55" s="1"/>
  <c r="FW342" i="55" s="1"/>
  <c r="FT342" i="55" a="1"/>
  <c r="FT342" i="55" s="1"/>
  <c r="FU342" i="55" s="1"/>
  <c r="FX342" i="55" a="1"/>
  <c r="FX342" i="55" s="1"/>
  <c r="FY342" i="55" s="1"/>
  <c r="FP342" i="55" a="1"/>
  <c r="FP342" i="55" s="1"/>
  <c r="FQ342" i="55" s="1"/>
  <c r="FR342" i="55" a="1"/>
  <c r="FR342" i="55" s="1"/>
  <c r="FS342" i="55" s="1"/>
  <c r="CY241" i="55" l="1"/>
  <c r="CZ240" i="55"/>
  <c r="CZ299" i="55"/>
  <c r="CY300" i="55"/>
  <c r="CY70" i="55"/>
  <c r="CZ69" i="55"/>
  <c r="CZ119" i="55"/>
  <c r="CY120" i="55"/>
  <c r="FD162" i="55"/>
  <c r="FB162" i="55"/>
  <c r="FB237" i="55"/>
  <c r="FD237" i="55"/>
  <c r="FD191" i="55"/>
  <c r="FB191" i="55"/>
  <c r="FD90" i="55"/>
  <c r="FB90" i="55"/>
  <c r="FD215" i="55"/>
  <c r="FB215" i="55"/>
  <c r="FD259" i="55"/>
  <c r="FB259" i="55"/>
  <c r="FB109" i="55"/>
  <c r="FD109" i="55"/>
  <c r="FB113" i="55"/>
  <c r="FD113" i="55"/>
  <c r="FD174" i="55"/>
  <c r="FB174" i="55"/>
  <c r="FB205" i="55"/>
  <c r="FD205" i="55"/>
  <c r="GC116" i="55"/>
  <c r="EZ116" i="55"/>
  <c r="FA116" i="55"/>
  <c r="GB116" i="55" s="1"/>
  <c r="FC116" i="55"/>
  <c r="EW116" i="55"/>
  <c r="EU145" i="55"/>
  <c r="GU145" i="55" s="1"/>
  <c r="EV145" i="55"/>
  <c r="ET146" i="55"/>
  <c r="FN145" i="55"/>
  <c r="FO145" i="55" s="1"/>
  <c r="FB307" i="55"/>
  <c r="FD307" i="55"/>
  <c r="FB204" i="55"/>
  <c r="FD204" i="55"/>
  <c r="FB183" i="55"/>
  <c r="FD183" i="55"/>
  <c r="BW15" i="54"/>
  <c r="FD241" i="55"/>
  <c r="FB241" i="55"/>
  <c r="FD226" i="55"/>
  <c r="FB226" i="55"/>
  <c r="FB28" i="55"/>
  <c r="FD28" i="55"/>
  <c r="FD173" i="55"/>
  <c r="FB173" i="55"/>
  <c r="FB219" i="55"/>
  <c r="FD219" i="55"/>
  <c r="FB125" i="55"/>
  <c r="FD125" i="55"/>
  <c r="FD84" i="55"/>
  <c r="FB84" i="55"/>
  <c r="EU199" i="55"/>
  <c r="GU199" i="55" s="1"/>
  <c r="EV199" i="55"/>
  <c r="ET200" i="55"/>
  <c r="FN199" i="55"/>
  <c r="FO199" i="55" s="1"/>
  <c r="FD199" i="55"/>
  <c r="FB199" i="55"/>
  <c r="FB145" i="55"/>
  <c r="FD145" i="55"/>
  <c r="FB221" i="55"/>
  <c r="FD221" i="55"/>
  <c r="FD111" i="55"/>
  <c r="FB111" i="55"/>
  <c r="FV144" i="55" a="1"/>
  <c r="FV144" i="55" s="1"/>
  <c r="FW144" i="55" s="1"/>
  <c r="FZ144" i="55" a="1"/>
  <c r="FZ144" i="55" s="1"/>
  <c r="GA144" i="55" s="1"/>
  <c r="FX144" i="55" a="1"/>
  <c r="FX144" i="55" s="1"/>
  <c r="FY144" i="55" s="1"/>
  <c r="FT144" i="55" a="1"/>
  <c r="FT144" i="55" s="1"/>
  <c r="FU144" i="55" s="1"/>
  <c r="FR144" i="55" a="1"/>
  <c r="FR144" i="55" s="1"/>
  <c r="FS144" i="55" s="1"/>
  <c r="FP144" i="55" a="1"/>
  <c r="FP144" i="55" s="1"/>
  <c r="FQ144" i="55" s="1"/>
  <c r="FD127" i="55"/>
  <c r="FB127" i="55"/>
  <c r="FB290" i="55"/>
  <c r="FD290" i="55"/>
  <c r="FB149" i="55"/>
  <c r="FD149" i="55"/>
  <c r="FB137" i="55"/>
  <c r="FD137" i="55"/>
  <c r="GC144" i="55"/>
  <c r="EZ144" i="55"/>
  <c r="FA144" i="55"/>
  <c r="GB144" i="55" s="1"/>
  <c r="EW144" i="55"/>
  <c r="FC144" i="55"/>
  <c r="FL352" i="55"/>
  <c r="FM352" i="55" s="1"/>
  <c r="FE352" i="55"/>
  <c r="FI352" i="55" s="1"/>
  <c r="EQ352" i="55"/>
  <c r="FD265" i="55"/>
  <c r="FB265" i="55"/>
  <c r="FB322" i="55"/>
  <c r="FD322" i="55"/>
  <c r="EV298" i="55"/>
  <c r="EU298" i="55"/>
  <c r="GU298" i="55" s="1"/>
  <c r="ET299" i="55"/>
  <c r="FN298" i="55"/>
  <c r="FO298" i="55" s="1"/>
  <c r="FB112" i="55"/>
  <c r="FD112" i="55"/>
  <c r="EU18" i="55"/>
  <c r="GU18" i="55" s="1"/>
  <c r="EV18" i="55"/>
  <c r="ET19" i="55"/>
  <c r="FB62" i="55"/>
  <c r="FD62" i="55"/>
  <c r="FB252" i="55"/>
  <c r="FD252" i="55"/>
  <c r="FD299" i="55"/>
  <c r="FB299" i="55"/>
  <c r="FD282" i="55"/>
  <c r="FB282" i="55"/>
  <c r="FD157" i="55"/>
  <c r="FB157" i="55"/>
  <c r="FB108" i="55"/>
  <c r="FD108" i="55"/>
  <c r="FD73" i="55"/>
  <c r="FB73" i="55"/>
  <c r="GC198" i="55"/>
  <c r="FC198" i="55"/>
  <c r="EZ198" i="55"/>
  <c r="EW198" i="55"/>
  <c r="FA198" i="55"/>
  <c r="GB198" i="55" s="1"/>
  <c r="FD133" i="55"/>
  <c r="FB133" i="55"/>
  <c r="FB269" i="55"/>
  <c r="FD269" i="55"/>
  <c r="FB254" i="55"/>
  <c r="FD254" i="55"/>
  <c r="FD118" i="55"/>
  <c r="FB118" i="55"/>
  <c r="FD120" i="55"/>
  <c r="FB120" i="55"/>
  <c r="FD212" i="55"/>
  <c r="FB212" i="55"/>
  <c r="FD230" i="55"/>
  <c r="FB230" i="55"/>
  <c r="FB271" i="55"/>
  <c r="FD271" i="55"/>
  <c r="BW22" i="54"/>
  <c r="FB272" i="55"/>
  <c r="FD272" i="55"/>
  <c r="FD214" i="55"/>
  <c r="FB214" i="55"/>
  <c r="FD261" i="55"/>
  <c r="FB261" i="55"/>
  <c r="FB94" i="55"/>
  <c r="FD94" i="55"/>
  <c r="FB348" i="55"/>
  <c r="FD348" i="55"/>
  <c r="FD346" i="55"/>
  <c r="FB346" i="55"/>
  <c r="FD139" i="55"/>
  <c r="FB139" i="55"/>
  <c r="FB189" i="55"/>
  <c r="FD189" i="55"/>
  <c r="FD143" i="55"/>
  <c r="FB143" i="55"/>
  <c r="FD312" i="55"/>
  <c r="FB312" i="55"/>
  <c r="FB86" i="55"/>
  <c r="FD86" i="55"/>
  <c r="FD194" i="55"/>
  <c r="FB194" i="55"/>
  <c r="FB238" i="55"/>
  <c r="FD238" i="55"/>
  <c r="FB146" i="55"/>
  <c r="FD146" i="55"/>
  <c r="FD218" i="55"/>
  <c r="FB218" i="55"/>
  <c r="FB82" i="55"/>
  <c r="FD82" i="55"/>
  <c r="FD20" i="55"/>
  <c r="FF20" i="55"/>
  <c r="FE20" i="55"/>
  <c r="FI20" i="55" s="1"/>
  <c r="DG20" i="55"/>
  <c r="DH20" i="55" s="1"/>
  <c r="DJ20" i="55" s="1" a="1"/>
  <c r="DJ20" i="55" s="1"/>
  <c r="FG20" i="55"/>
  <c r="EL20" i="55"/>
  <c r="EK21" i="55"/>
  <c r="FD246" i="55"/>
  <c r="FB246" i="55"/>
  <c r="FB273" i="55"/>
  <c r="FD273" i="55"/>
  <c r="FB206" i="55"/>
  <c r="FD206" i="55"/>
  <c r="EU46" i="55"/>
  <c r="GU46" i="55" s="1"/>
  <c r="EV46" i="55"/>
  <c r="ET47" i="55"/>
  <c r="FB284" i="55"/>
  <c r="FD284" i="55"/>
  <c r="EV242" i="55"/>
  <c r="EU242" i="55"/>
  <c r="GU242" i="55" s="1"/>
  <c r="ET243" i="55"/>
  <c r="FN242" i="55"/>
  <c r="FO242" i="55" s="1"/>
  <c r="GC297" i="55"/>
  <c r="EW297" i="55"/>
  <c r="FC297" i="55"/>
  <c r="EZ297" i="55"/>
  <c r="FA297" i="55"/>
  <c r="GB297" i="55" s="1"/>
  <c r="FD319" i="55"/>
  <c r="FB319" i="55"/>
  <c r="FD192" i="55"/>
  <c r="FB192" i="55"/>
  <c r="FB296" i="55"/>
  <c r="FD296" i="55"/>
  <c r="FD329" i="55"/>
  <c r="FB329" i="55"/>
  <c r="FD292" i="55"/>
  <c r="FB292" i="55"/>
  <c r="FB236" i="55"/>
  <c r="FD236" i="55"/>
  <c r="FD203" i="55"/>
  <c r="FB203" i="55"/>
  <c r="FB115" i="55"/>
  <c r="FD115" i="55"/>
  <c r="FB135" i="55"/>
  <c r="FD135" i="55"/>
  <c r="FD175" i="55"/>
  <c r="FB175" i="55"/>
  <c r="FB286" i="55"/>
  <c r="FD286" i="55"/>
  <c r="FB267" i="55"/>
  <c r="FD267" i="55"/>
  <c r="FB338" i="55"/>
  <c r="FD338" i="55"/>
  <c r="FB176" i="55"/>
  <c r="FD176" i="55"/>
  <c r="FB350" i="55"/>
  <c r="FD350" i="55"/>
  <c r="FB251" i="55"/>
  <c r="FD251" i="55"/>
  <c r="FB153" i="55"/>
  <c r="FD153" i="55"/>
  <c r="FD315" i="55"/>
  <c r="FB315" i="55"/>
  <c r="FD225" i="55"/>
  <c r="FB225" i="55"/>
  <c r="FD314" i="55"/>
  <c r="FB314" i="55"/>
  <c r="GC45" i="55"/>
  <c r="FC45" i="55"/>
  <c r="EZ45" i="55"/>
  <c r="EW45" i="55"/>
  <c r="FA45" i="55"/>
  <c r="GB45" i="55" s="1"/>
  <c r="FB300" i="55"/>
  <c r="FD300" i="55"/>
  <c r="FB268" i="55"/>
  <c r="FD268" i="55"/>
  <c r="FD248" i="55"/>
  <c r="FB248" i="55"/>
  <c r="FB188" i="55"/>
  <c r="FD188" i="55"/>
  <c r="FD70" i="55"/>
  <c r="FB70" i="55"/>
  <c r="FB147" i="55"/>
  <c r="FD147" i="55"/>
  <c r="EM19" i="55"/>
  <c r="FD72" i="55"/>
  <c r="FB72" i="55"/>
  <c r="GC17" i="55"/>
  <c r="EZ17" i="55"/>
  <c r="FC17" i="55"/>
  <c r="EW17" i="55"/>
  <c r="FA17" i="55"/>
  <c r="FD123" i="55"/>
  <c r="FB123" i="55"/>
  <c r="FD217" i="55"/>
  <c r="FB217" i="55"/>
  <c r="FD63" i="55"/>
  <c r="FB63" i="55"/>
  <c r="EV70" i="55"/>
  <c r="EU70" i="55"/>
  <c r="GU70" i="55" s="1"/>
  <c r="ET71" i="55"/>
  <c r="FN70" i="55"/>
  <c r="FO70" i="55" s="1"/>
  <c r="FD223" i="55"/>
  <c r="FB223" i="55"/>
  <c r="FD177" i="55"/>
  <c r="FB177" i="55"/>
  <c r="DL19" i="55"/>
  <c r="DO19" i="55" s="1"/>
  <c r="DN19" i="55"/>
  <c r="DK19" i="55"/>
  <c r="BU24" i="54" s="1" a="1"/>
  <c r="BU24" i="54" s="1"/>
  <c r="AE24" i="54" a="1"/>
  <c r="AE24" i="54" s="1"/>
  <c r="FD311" i="55"/>
  <c r="FB311" i="55"/>
  <c r="FD91" i="55"/>
  <c r="FB91" i="55"/>
  <c r="FD294" i="55"/>
  <c r="FB294" i="55"/>
  <c r="FD148" i="55"/>
  <c r="FB148" i="55"/>
  <c r="FD68" i="55"/>
  <c r="FB68" i="55"/>
  <c r="FD159" i="55"/>
  <c r="FB159" i="55"/>
  <c r="FB291" i="55"/>
  <c r="FD291" i="55"/>
  <c r="FB138" i="55"/>
  <c r="FD138" i="55"/>
  <c r="FD211" i="55"/>
  <c r="FB211" i="55"/>
  <c r="FB104" i="55"/>
  <c r="FD104" i="55"/>
  <c r="FD331" i="55"/>
  <c r="FB331" i="55"/>
  <c r="FZ17" i="55" a="1"/>
  <c r="FZ17" i="55" s="1"/>
  <c r="GA17" i="55" s="1"/>
  <c r="FV17" i="55" a="1"/>
  <c r="FV17" i="55" s="1"/>
  <c r="FW17" i="55" s="1"/>
  <c r="FX17" i="55" a="1"/>
  <c r="FX17" i="55" s="1"/>
  <c r="FY17" i="55" s="1"/>
  <c r="FT17" i="55" a="1"/>
  <c r="FT17" i="55" s="1"/>
  <c r="FU17" i="55" s="1"/>
  <c r="FR17" i="55" a="1"/>
  <c r="FR17" i="55" s="1"/>
  <c r="FS17" i="55" s="1"/>
  <c r="FP17" i="55" a="1"/>
  <c r="FP17" i="55" s="1"/>
  <c r="FQ17" i="55" s="1"/>
  <c r="FD298" i="55"/>
  <c r="FB298" i="55"/>
  <c r="GC241" i="55"/>
  <c r="EZ241" i="55"/>
  <c r="FC241" i="55"/>
  <c r="FA241" i="55"/>
  <c r="GB241" i="55" s="1"/>
  <c r="EW241" i="55"/>
  <c r="FB349" i="55"/>
  <c r="FD349" i="55"/>
  <c r="FD231" i="55"/>
  <c r="FB231" i="55"/>
  <c r="FB131" i="55"/>
  <c r="FD131" i="55"/>
  <c r="CY48" i="55"/>
  <c r="CZ47" i="55"/>
  <c r="DD47" i="55" s="1"/>
  <c r="FB201" i="55"/>
  <c r="FD201" i="55"/>
  <c r="FB110" i="55"/>
  <c r="FD110" i="55"/>
  <c r="FN18" i="55"/>
  <c r="FO18" i="55" s="1"/>
  <c r="FB279" i="55"/>
  <c r="FD279" i="55"/>
  <c r="FB60" i="55"/>
  <c r="FD60" i="55"/>
  <c r="CY148" i="55"/>
  <c r="CZ147" i="55"/>
  <c r="FB77" i="55"/>
  <c r="FD77" i="55"/>
  <c r="GC69" i="55"/>
  <c r="EZ69" i="55"/>
  <c r="FC69" i="55"/>
  <c r="FA69" i="55"/>
  <c r="GB69" i="55" s="1"/>
  <c r="EW69" i="55"/>
  <c r="FD132" i="55"/>
  <c r="FB132" i="55"/>
  <c r="FD170" i="55"/>
  <c r="FB170" i="55"/>
  <c r="FB66" i="55"/>
  <c r="FD66" i="55"/>
  <c r="FB114" i="55"/>
  <c r="FD114" i="55"/>
  <c r="FB99" i="55"/>
  <c r="FD99" i="55"/>
  <c r="FD327" i="55"/>
  <c r="FB327" i="55"/>
  <c r="FB305" i="55"/>
  <c r="FD305" i="55"/>
  <c r="FD56" i="55"/>
  <c r="FB56" i="55"/>
  <c r="FD262" i="55"/>
  <c r="FB262" i="55"/>
  <c r="FB210" i="55"/>
  <c r="FD210" i="55"/>
  <c r="FB239" i="55"/>
  <c r="FD239" i="55"/>
  <c r="FD260" i="55"/>
  <c r="FB260" i="55"/>
  <c r="DL327" i="55"/>
  <c r="DO327" i="55" s="1"/>
  <c r="DL329" i="55"/>
  <c r="DO329" i="55" s="1"/>
  <c r="DL326" i="55"/>
  <c r="DO326" i="55" s="1"/>
  <c r="DL328" i="55"/>
  <c r="DO328" i="55" s="1"/>
  <c r="DL325" i="55"/>
  <c r="DO325" i="55" s="1"/>
  <c r="FG46" i="55"/>
  <c r="FE46" i="55"/>
  <c r="FI46" i="55" s="1"/>
  <c r="FF46" i="55"/>
  <c r="FD46" i="55"/>
  <c r="DG46" i="55"/>
  <c r="DH46" i="55" s="1"/>
  <c r="DJ46" i="55" s="1" a="1"/>
  <c r="DJ46" i="55" s="1"/>
  <c r="EL46" i="55"/>
  <c r="EM46" i="55" s="1"/>
  <c r="EK47" i="55"/>
  <c r="FB306" i="55"/>
  <c r="FD306" i="55"/>
  <c r="FB85" i="55"/>
  <c r="FD85" i="55"/>
  <c r="FD117" i="55"/>
  <c r="FB117" i="55"/>
  <c r="FB321" i="55"/>
  <c r="FD321" i="55"/>
  <c r="FD195" i="55"/>
  <c r="FB195" i="55"/>
  <c r="FD168" i="55"/>
  <c r="FB168" i="55"/>
  <c r="FD208" i="55"/>
  <c r="FB208" i="55"/>
  <c r="FB67" i="55"/>
  <c r="FD67" i="55"/>
  <c r="FD116" i="55"/>
  <c r="FB116" i="55"/>
  <c r="FB347" i="55"/>
  <c r="FD347" i="55"/>
  <c r="FD161" i="55"/>
  <c r="FB161" i="55"/>
  <c r="FB187" i="55"/>
  <c r="FD187" i="55"/>
  <c r="FB80" i="55"/>
  <c r="FD80" i="55"/>
  <c r="FB150" i="55"/>
  <c r="FD150" i="55"/>
  <c r="FB326" i="55"/>
  <c r="FD326" i="55"/>
  <c r="FD55" i="55"/>
  <c r="FB55" i="55"/>
  <c r="FD181" i="55"/>
  <c r="FB181" i="55"/>
  <c r="FD180" i="55"/>
  <c r="FB180" i="55"/>
  <c r="CY171" i="55"/>
  <c r="CZ170" i="55"/>
  <c r="FB155" i="55"/>
  <c r="FD155" i="55"/>
  <c r="FB323" i="55"/>
  <c r="FD323" i="55"/>
  <c r="FD179" i="55"/>
  <c r="FB179" i="55"/>
  <c r="FD255" i="55"/>
  <c r="FB255" i="55"/>
  <c r="FD164" i="55"/>
  <c r="FB164" i="55"/>
  <c r="FD309" i="55"/>
  <c r="FB309" i="55"/>
  <c r="FB172" i="55"/>
  <c r="FD172" i="55"/>
  <c r="FD281" i="55"/>
  <c r="FB281" i="55"/>
  <c r="FD122" i="55"/>
  <c r="FB122" i="55"/>
  <c r="FD105" i="55"/>
  <c r="FB105" i="55"/>
  <c r="FB227" i="55"/>
  <c r="FD227" i="55"/>
  <c r="FD249" i="55"/>
  <c r="FB249" i="55"/>
  <c r="FB220" i="55"/>
  <c r="FD220" i="55"/>
  <c r="FD233" i="55"/>
  <c r="FB233" i="55"/>
  <c r="FB334" i="55"/>
  <c r="FD334" i="55"/>
  <c r="FB97" i="55"/>
  <c r="FD97" i="55"/>
  <c r="BU23" i="54" a="1"/>
  <c r="BU23" i="54" s="1"/>
  <c r="FD186" i="55"/>
  <c r="FB186" i="55"/>
  <c r="FD171" i="55"/>
  <c r="FB171" i="55"/>
  <c r="FB256" i="55"/>
  <c r="FD256" i="55"/>
  <c r="FD264" i="55"/>
  <c r="FB264" i="55"/>
  <c r="FB65" i="55"/>
  <c r="FD65" i="55"/>
  <c r="FB222" i="55"/>
  <c r="FD222" i="55"/>
  <c r="GN27" i="55"/>
  <c r="FL27" i="55"/>
  <c r="FM27" i="55" s="1"/>
  <c r="FE27" i="55"/>
  <c r="FI27" i="55" s="1"/>
  <c r="EQ27" i="55"/>
  <c r="FD263" i="55"/>
  <c r="FB263" i="55"/>
  <c r="FI128" i="55"/>
  <c r="FE129" i="55"/>
  <c r="FI129" i="55" s="1"/>
  <c r="FD119" i="55"/>
  <c r="FB119" i="55"/>
  <c r="FD196" i="55"/>
  <c r="FB196" i="55"/>
  <c r="FD245" i="55"/>
  <c r="FB245" i="55"/>
  <c r="FB318" i="55"/>
  <c r="FD318" i="55"/>
  <c r="FD243" i="55"/>
  <c r="FB243" i="55"/>
  <c r="FB96" i="55"/>
  <c r="FD96" i="55"/>
  <c r="FB81" i="55"/>
  <c r="FD81" i="55"/>
  <c r="FD276" i="55"/>
  <c r="FB276" i="55"/>
  <c r="FD308" i="55"/>
  <c r="FB308" i="55"/>
  <c r="FB92" i="55"/>
  <c r="FD92" i="55"/>
  <c r="DN45" i="55"/>
  <c r="DK45" i="55"/>
  <c r="FB316" i="55"/>
  <c r="FD316" i="55"/>
  <c r="FB303" i="55"/>
  <c r="FD303" i="55"/>
  <c r="FD234" i="55"/>
  <c r="FB234" i="55"/>
  <c r="FD197" i="55"/>
  <c r="FB197" i="55"/>
  <c r="FB87" i="55"/>
  <c r="FD87" i="55"/>
  <c r="FD310" i="55"/>
  <c r="FB310" i="55"/>
  <c r="FB257" i="55"/>
  <c r="FD257" i="55"/>
  <c r="FD58" i="55"/>
  <c r="FB58" i="55"/>
  <c r="FB270" i="55"/>
  <c r="FD270" i="55"/>
  <c r="FX116" i="55" a="1"/>
  <c r="FX116" i="55" s="1"/>
  <c r="FY116" i="55" s="1"/>
  <c r="FZ116" i="55" a="1"/>
  <c r="FZ116" i="55" s="1"/>
  <c r="GA116" i="55" s="1"/>
  <c r="FV116" i="55" a="1"/>
  <c r="FV116" i="55" s="1"/>
  <c r="FW116" i="55" s="1"/>
  <c r="FT116" i="55" a="1"/>
  <c r="FT116" i="55" s="1"/>
  <c r="FU116" i="55" s="1"/>
  <c r="FR116" i="55" a="1"/>
  <c r="FR116" i="55" s="1"/>
  <c r="FS116" i="55" s="1"/>
  <c r="FP116" i="55" a="1"/>
  <c r="FP116" i="55" s="1"/>
  <c r="FQ116" i="55" s="1"/>
  <c r="FD200" i="55"/>
  <c r="FB200" i="55"/>
  <c r="FB124" i="55"/>
  <c r="FD124" i="55"/>
  <c r="FB339" i="55"/>
  <c r="FD339" i="55"/>
  <c r="FD106" i="55"/>
  <c r="FB106" i="55"/>
  <c r="FD100" i="55"/>
  <c r="FB100" i="55"/>
  <c r="FD244" i="55"/>
  <c r="FB244" i="55"/>
  <c r="EV169" i="55"/>
  <c r="EU169" i="55"/>
  <c r="GU169" i="55" s="1"/>
  <c r="ET170" i="55"/>
  <c r="FN169" i="55"/>
  <c r="FO169" i="55" s="1"/>
  <c r="FD275" i="55"/>
  <c r="FB275" i="55"/>
  <c r="FD328" i="55"/>
  <c r="FB328" i="55"/>
  <c r="FD280" i="55"/>
  <c r="FB280" i="55"/>
  <c r="FB78" i="55"/>
  <c r="FD78" i="55"/>
  <c r="FB253" i="55"/>
  <c r="FD253" i="55"/>
  <c r="FD101" i="55"/>
  <c r="FB101" i="55"/>
  <c r="FD216" i="55"/>
  <c r="FB216" i="55"/>
  <c r="FB182" i="55"/>
  <c r="FD182" i="55"/>
  <c r="FB64" i="55"/>
  <c r="FD64" i="55"/>
  <c r="FD344" i="55"/>
  <c r="FB344" i="55"/>
  <c r="FD167" i="55"/>
  <c r="FB167" i="55"/>
  <c r="FB193" i="55"/>
  <c r="FD193" i="55"/>
  <c r="FB57" i="55"/>
  <c r="FD57" i="55"/>
  <c r="FB98" i="55"/>
  <c r="FD98" i="55"/>
  <c r="FB235" i="55"/>
  <c r="FD235" i="55"/>
  <c r="FD342" i="55"/>
  <c r="FB342" i="55"/>
  <c r="FD266" i="55"/>
  <c r="FB266" i="55"/>
  <c r="FB302" i="55"/>
  <c r="FD302" i="55"/>
  <c r="FB79" i="55"/>
  <c r="FD79" i="55"/>
  <c r="FB93" i="55"/>
  <c r="FD93" i="55"/>
  <c r="FD54" i="55"/>
  <c r="FB54" i="55"/>
  <c r="FB103" i="55"/>
  <c r="FD103" i="55"/>
  <c r="FB128" i="55"/>
  <c r="FD128" i="55"/>
  <c r="FD129" i="55" s="1"/>
  <c r="FB61" i="55"/>
  <c r="FD61" i="55"/>
  <c r="FD166" i="55"/>
  <c r="FB166" i="55"/>
  <c r="FD190" i="55"/>
  <c r="FB190" i="55"/>
  <c r="FD185" i="55"/>
  <c r="FB185" i="55"/>
  <c r="FD287" i="55"/>
  <c r="FB287" i="55"/>
  <c r="FD345" i="55"/>
  <c r="FB345" i="55"/>
  <c r="FB289" i="55"/>
  <c r="FD289" i="55"/>
  <c r="FB320" i="55"/>
  <c r="FD320" i="55"/>
  <c r="FD165" i="55"/>
  <c r="FB165" i="55"/>
  <c r="FD278" i="55"/>
  <c r="FB278" i="55"/>
  <c r="FD277" i="55"/>
  <c r="FB277" i="55"/>
  <c r="FD156" i="55"/>
  <c r="FB156" i="55"/>
  <c r="FB76" i="55"/>
  <c r="FD76" i="55"/>
  <c r="FB301" i="55"/>
  <c r="FD301" i="55"/>
  <c r="GC168" i="55"/>
  <c r="EW168" i="55"/>
  <c r="FC168" i="55"/>
  <c r="FA168" i="55"/>
  <c r="GB168" i="55" s="1"/>
  <c r="EZ168" i="55"/>
  <c r="FD75" i="55"/>
  <c r="FB75" i="55"/>
  <c r="FD232" i="55"/>
  <c r="FB232" i="55"/>
  <c r="FD107" i="55"/>
  <c r="FB107" i="55"/>
  <c r="FB202" i="55"/>
  <c r="FD202" i="55"/>
  <c r="FD324" i="55"/>
  <c r="FB324" i="55"/>
  <c r="FB83" i="55"/>
  <c r="FD83" i="55"/>
  <c r="FB332" i="55"/>
  <c r="FD332" i="55"/>
  <c r="FD340" i="55"/>
  <c r="FB340" i="55"/>
  <c r="FB337" i="55"/>
  <c r="FD337" i="55"/>
  <c r="FB274" i="55"/>
  <c r="FD274" i="55"/>
  <c r="FD293" i="55"/>
  <c r="FB293" i="55"/>
  <c r="FD213" i="55"/>
  <c r="FB213" i="55"/>
  <c r="FD160" i="55"/>
  <c r="FB160" i="55"/>
  <c r="FV241" i="55" a="1"/>
  <c r="FV241" i="55" s="1"/>
  <c r="FW241" i="55" s="1"/>
  <c r="FZ241" i="55" a="1"/>
  <c r="FZ241" i="55" s="1"/>
  <c r="GA241" i="55" s="1"/>
  <c r="FX241" i="55" a="1"/>
  <c r="FX241" i="55" s="1"/>
  <c r="FY241" i="55" s="1"/>
  <c r="FR241" i="55" a="1"/>
  <c r="FR241" i="55" s="1"/>
  <c r="FS241" i="55" s="1"/>
  <c r="FT241" i="55" a="1"/>
  <c r="FT241" i="55" s="1"/>
  <c r="FU241" i="55" s="1"/>
  <c r="FP241" i="55" a="1"/>
  <c r="FP241" i="55" s="1"/>
  <c r="FQ241" i="55" s="1"/>
  <c r="FD69" i="55"/>
  <c r="FB69" i="55"/>
  <c r="FD250" i="55"/>
  <c r="FB250" i="55"/>
  <c r="FD247" i="55"/>
  <c r="FB247" i="55"/>
  <c r="FB74" i="55"/>
  <c r="FD74" i="55"/>
  <c r="FD297" i="55"/>
  <c r="FB297" i="55"/>
  <c r="FD121" i="55"/>
  <c r="FB121" i="55"/>
  <c r="FD228" i="55"/>
  <c r="FB228" i="55"/>
  <c r="FB285" i="55"/>
  <c r="FD285" i="55"/>
  <c r="FD178" i="55"/>
  <c r="FB178" i="55"/>
  <c r="FB288" i="55"/>
  <c r="FD288" i="55"/>
  <c r="FD95" i="55"/>
  <c r="FB95" i="55"/>
  <c r="FB144" i="55"/>
  <c r="FD144" i="55"/>
  <c r="FD258" i="55"/>
  <c r="FB258" i="55"/>
  <c r="CY202" i="55"/>
  <c r="CZ201" i="55"/>
  <c r="FD89" i="55"/>
  <c r="FB89" i="55"/>
  <c r="FB333" i="55"/>
  <c r="FD333" i="55"/>
  <c r="FD343" i="55"/>
  <c r="FB343" i="55"/>
  <c r="FD242" i="55"/>
  <c r="FB242" i="55"/>
  <c r="FD152" i="55"/>
  <c r="FB152" i="55"/>
  <c r="FD351" i="55"/>
  <c r="FB351" i="55"/>
  <c r="FB140" i="55"/>
  <c r="FD140" i="55"/>
  <c r="EV117" i="55"/>
  <c r="EU117" i="55"/>
  <c r="GU117" i="55" s="1"/>
  <c r="ET118" i="55"/>
  <c r="FN117" i="55"/>
  <c r="FO117" i="55" s="1"/>
  <c r="FD158" i="55"/>
  <c r="FB158" i="55"/>
  <c r="FB151" i="55"/>
  <c r="FD151" i="55"/>
  <c r="FB240" i="55"/>
  <c r="FD240" i="55"/>
  <c r="BQ15" i="54"/>
  <c r="BR15" i="54" s="1" a="1"/>
  <c r="BR15" i="54" s="1"/>
  <c r="FB142" i="55"/>
  <c r="FD142" i="55"/>
  <c r="FD198" i="55"/>
  <c r="FB198" i="55"/>
  <c r="CY301" i="55" l="1"/>
  <c r="CZ300" i="55"/>
  <c r="CY121" i="55"/>
  <c r="CZ120" i="55"/>
  <c r="CY71" i="55"/>
  <c r="CZ70" i="55"/>
  <c r="CZ241" i="55"/>
  <c r="CY242" i="55"/>
  <c r="CY49" i="55"/>
  <c r="CZ48" i="55"/>
  <c r="DD48" i="55" s="1"/>
  <c r="CZ148" i="55"/>
  <c r="CY149" i="55"/>
  <c r="BW23" i="54"/>
  <c r="GC298" i="55"/>
  <c r="FC298" i="55"/>
  <c r="EW298" i="55"/>
  <c r="FA298" i="55"/>
  <c r="GB298" i="55" s="1"/>
  <c r="EZ298" i="55"/>
  <c r="FX70" i="55" a="1"/>
  <c r="FX70" i="55" s="1"/>
  <c r="FY70" i="55" s="1"/>
  <c r="FV70" i="55" a="1"/>
  <c r="FV70" i="55" s="1"/>
  <c r="FW70" i="55" s="1"/>
  <c r="FZ70" i="55" a="1"/>
  <c r="FZ70" i="55" s="1"/>
  <c r="GA70" i="55" s="1"/>
  <c r="FR70" i="55" a="1"/>
  <c r="FR70" i="55" s="1"/>
  <c r="FS70" i="55" s="1"/>
  <c r="FT70" i="55" a="1"/>
  <c r="FT70" i="55" s="1"/>
  <c r="FU70" i="55" s="1"/>
  <c r="FP70" i="55" a="1"/>
  <c r="FP70" i="55" s="1"/>
  <c r="FQ70" i="55" s="1"/>
  <c r="EV71" i="55"/>
  <c r="EU71" i="55"/>
  <c r="GU71" i="55" s="1"/>
  <c r="ET72" i="55"/>
  <c r="FN71" i="55"/>
  <c r="FO71" i="55" s="1"/>
  <c r="EV118" i="55"/>
  <c r="EU118" i="55"/>
  <c r="GU118" i="55" s="1"/>
  <c r="ET119" i="55"/>
  <c r="FN118" i="55"/>
  <c r="FO118" i="55" s="1"/>
  <c r="FV242" i="55" a="1"/>
  <c r="FV242" i="55" s="1"/>
  <c r="FW242" i="55" s="1"/>
  <c r="FZ242" i="55" a="1"/>
  <c r="FZ242" i="55" s="1"/>
  <c r="GA242" i="55" s="1"/>
  <c r="FX242" i="55" a="1"/>
  <c r="FX242" i="55" s="1"/>
  <c r="FY242" i="55" s="1"/>
  <c r="FT242" i="55" a="1"/>
  <c r="FT242" i="55" s="1"/>
  <c r="FU242" i="55" s="1"/>
  <c r="FR242" i="55" a="1"/>
  <c r="FR242" i="55" s="1"/>
  <c r="FS242" i="55" s="1"/>
  <c r="FP242" i="55" a="1"/>
  <c r="FP242" i="55" s="1"/>
  <c r="FQ242" i="55" s="1"/>
  <c r="GC70" i="55"/>
  <c r="FC70" i="55"/>
  <c r="EZ70" i="55"/>
  <c r="FA70" i="55"/>
  <c r="GB70" i="55" s="1"/>
  <c r="EW70" i="55"/>
  <c r="GC117" i="55"/>
  <c r="FC117" i="55"/>
  <c r="EZ117" i="55"/>
  <c r="FA117" i="55"/>
  <c r="GB117" i="55" s="1"/>
  <c r="EW117" i="55"/>
  <c r="DL333" i="55"/>
  <c r="DO333" i="55" s="1"/>
  <c r="DL332" i="55"/>
  <c r="DO332" i="55" s="1"/>
  <c r="DL334" i="55"/>
  <c r="DO334" i="55" s="1"/>
  <c r="DL331" i="55"/>
  <c r="DO331" i="55" s="1"/>
  <c r="DL330" i="55"/>
  <c r="DO330" i="55" s="1"/>
  <c r="EV19" i="55"/>
  <c r="EU19" i="55"/>
  <c r="ET20" i="55"/>
  <c r="GC18" i="55"/>
  <c r="EZ18" i="55"/>
  <c r="FA18" i="55"/>
  <c r="GB18" i="55" s="1"/>
  <c r="FC18" i="55"/>
  <c r="EW18" i="55"/>
  <c r="FN19" i="55"/>
  <c r="FO19" i="55" s="1"/>
  <c r="FT117" i="55" a="1"/>
  <c r="FT117" i="55" s="1"/>
  <c r="FU117" i="55" s="1"/>
  <c r="FZ117" i="55" a="1"/>
  <c r="FZ117" i="55" s="1"/>
  <c r="GA117" i="55" s="1"/>
  <c r="FV117" i="55" a="1"/>
  <c r="FV117" i="55" s="1"/>
  <c r="FW117" i="55" s="1"/>
  <c r="FX117" i="55" a="1"/>
  <c r="FX117" i="55" s="1"/>
  <c r="FY117" i="55" s="1"/>
  <c r="FR117" i="55" a="1"/>
  <c r="FR117" i="55" s="1"/>
  <c r="FS117" i="55" s="1"/>
  <c r="FP117" i="55" a="1"/>
  <c r="FP117" i="55" s="1"/>
  <c r="FQ117" i="55" s="1"/>
  <c r="FB352" i="55"/>
  <c r="FD352" i="55"/>
  <c r="CY203" i="55"/>
  <c r="CZ202" i="55"/>
  <c r="EV243" i="55"/>
  <c r="EU243" i="55"/>
  <c r="GU243" i="55" s="1"/>
  <c r="ET244" i="55"/>
  <c r="FN243" i="55"/>
  <c r="FO243" i="55" s="1"/>
  <c r="GC242" i="55"/>
  <c r="EZ242" i="55"/>
  <c r="FA242" i="55"/>
  <c r="GB242" i="55" s="1"/>
  <c r="FC242" i="55"/>
  <c r="EW242" i="55"/>
  <c r="EU47" i="55"/>
  <c r="GU47" i="55" s="1"/>
  <c r="EV47" i="55"/>
  <c r="ET48" i="55"/>
  <c r="DK46" i="55"/>
  <c r="DN46" i="55"/>
  <c r="EM20" i="55"/>
  <c r="FN20" i="55"/>
  <c r="FO20" i="55" s="1"/>
  <c r="EU200" i="55"/>
  <c r="GU200" i="55" s="1"/>
  <c r="EV200" i="55"/>
  <c r="ET201" i="55"/>
  <c r="FN200" i="55"/>
  <c r="FO200" i="55" s="1"/>
  <c r="FZ145" i="55" a="1"/>
  <c r="FZ145" i="55" s="1"/>
  <c r="GA145" i="55" s="1"/>
  <c r="FX145" i="55" a="1"/>
  <c r="FX145" i="55" s="1"/>
  <c r="FY145" i="55" s="1"/>
  <c r="FR145" i="55" a="1"/>
  <c r="FR145" i="55" s="1"/>
  <c r="FS145" i="55" s="1"/>
  <c r="FT145" i="55" a="1"/>
  <c r="FT145" i="55" s="1"/>
  <c r="FU145" i="55" s="1"/>
  <c r="FV145" i="55" a="1"/>
  <c r="FV145" i="55" s="1"/>
  <c r="FW145" i="55" s="1"/>
  <c r="FP145" i="55" a="1"/>
  <c r="FP145" i="55" s="1"/>
  <c r="FQ145" i="55" s="1"/>
  <c r="FX169" i="55" a="1"/>
  <c r="FX169" i="55" s="1"/>
  <c r="FY169" i="55" s="1"/>
  <c r="FV169" i="55" a="1"/>
  <c r="FV169" i="55" s="1"/>
  <c r="FW169" i="55" s="1"/>
  <c r="FZ169" i="55" a="1"/>
  <c r="FZ169" i="55" s="1"/>
  <c r="GA169" i="55" s="1"/>
  <c r="FT169" i="55" a="1"/>
  <c r="FT169" i="55" s="1"/>
  <c r="FU169" i="55" s="1"/>
  <c r="FR169" i="55" a="1"/>
  <c r="FR169" i="55" s="1"/>
  <c r="FS169" i="55" s="1"/>
  <c r="FP169" i="55" a="1"/>
  <c r="FP169" i="55" s="1"/>
  <c r="FQ169" i="55" s="1"/>
  <c r="FD27" i="55"/>
  <c r="FB27" i="55"/>
  <c r="GC46" i="55"/>
  <c r="FA46" i="55"/>
  <c r="GB46" i="55" s="1"/>
  <c r="FC46" i="55"/>
  <c r="EZ46" i="55"/>
  <c r="EW46" i="55"/>
  <c r="FF21" i="55"/>
  <c r="FD21" i="55"/>
  <c r="FG21" i="55"/>
  <c r="FE21" i="55"/>
  <c r="FI21" i="55" s="1"/>
  <c r="EL21" i="55"/>
  <c r="DG21" i="55"/>
  <c r="DH21" i="55" s="1"/>
  <c r="DJ21" i="55" s="1" a="1"/>
  <c r="DJ21" i="55" s="1"/>
  <c r="EK22" i="55"/>
  <c r="FZ199" i="55" a="1"/>
  <c r="FZ199" i="55" s="1"/>
  <c r="GA199" i="55" s="1"/>
  <c r="FV199" i="55" a="1"/>
  <c r="FV199" i="55" s="1"/>
  <c r="FW199" i="55" s="1"/>
  <c r="FX199" i="55" a="1"/>
  <c r="FX199" i="55" s="1"/>
  <c r="FY199" i="55" s="1"/>
  <c r="FT199" i="55" a="1"/>
  <c r="FT199" i="55" s="1"/>
  <c r="FU199" i="55" s="1"/>
  <c r="FP199" i="55" a="1"/>
  <c r="FP199" i="55" s="1"/>
  <c r="FQ199" i="55" s="1"/>
  <c r="FR199" i="55" a="1"/>
  <c r="FR199" i="55" s="1"/>
  <c r="FS199" i="55" s="1"/>
  <c r="EV170" i="55"/>
  <c r="EU170" i="55"/>
  <c r="GU170" i="55" s="1"/>
  <c r="ET171" i="55"/>
  <c r="FN170" i="55"/>
  <c r="FO170" i="55" s="1"/>
  <c r="GB17" i="55"/>
  <c r="GC199" i="55"/>
  <c r="FC199" i="55"/>
  <c r="EZ199" i="55"/>
  <c r="FA199" i="55"/>
  <c r="GB199" i="55" s="1"/>
  <c r="EW199" i="55"/>
  <c r="EU146" i="55"/>
  <c r="GU146" i="55" s="1"/>
  <c r="EV146" i="55"/>
  <c r="ET147" i="55"/>
  <c r="FN146" i="55"/>
  <c r="FO146" i="55" s="1"/>
  <c r="FZ18" i="55" a="1"/>
  <c r="FZ18" i="55" s="1"/>
  <c r="GA18" i="55" s="1"/>
  <c r="FT18" i="55" a="1"/>
  <c r="FT18" i="55" s="1"/>
  <c r="FU18" i="55" s="1"/>
  <c r="FX18" i="55" a="1"/>
  <c r="FX18" i="55" s="1"/>
  <c r="FY18" i="55" s="1"/>
  <c r="FV18" i="55" a="1"/>
  <c r="FV18" i="55" s="1"/>
  <c r="FW18" i="55" s="1"/>
  <c r="FP18" i="55" a="1"/>
  <c r="FP18" i="55" s="1"/>
  <c r="FQ18" i="55" s="1"/>
  <c r="FR18" i="55" a="1"/>
  <c r="FR18" i="55" s="1"/>
  <c r="FS18" i="55" s="1"/>
  <c r="FG47" i="55"/>
  <c r="FE47" i="55"/>
  <c r="FI47" i="55" s="1"/>
  <c r="FF47" i="55"/>
  <c r="FD47" i="55"/>
  <c r="DG47" i="55"/>
  <c r="DH47" i="55" s="1"/>
  <c r="DJ47" i="55" s="1" a="1"/>
  <c r="DJ47" i="55" s="1"/>
  <c r="EK48" i="55"/>
  <c r="EL47" i="55"/>
  <c r="EM47" i="55" s="1"/>
  <c r="GC169" i="55"/>
  <c r="FC169" i="55"/>
  <c r="FA169" i="55"/>
  <c r="GB169" i="55" s="1"/>
  <c r="EZ169" i="55"/>
  <c r="EW169" i="55"/>
  <c r="DN20" i="55"/>
  <c r="DL20" i="55"/>
  <c r="DO20" i="55" s="1"/>
  <c r="DK20" i="55"/>
  <c r="BU26" i="54" s="1" a="1"/>
  <c r="BU26" i="54" s="1"/>
  <c r="AE26" i="54" a="1"/>
  <c r="AE26" i="54" s="1"/>
  <c r="FZ298" i="55" a="1"/>
  <c r="FZ298" i="55" s="1"/>
  <c r="GA298" i="55" s="1"/>
  <c r="FX298" i="55" a="1"/>
  <c r="FX298" i="55" s="1"/>
  <c r="FY298" i="55" s="1"/>
  <c r="FT298" i="55" a="1"/>
  <c r="FT298" i="55" s="1"/>
  <c r="FU298" i="55" s="1"/>
  <c r="FV298" i="55" a="1"/>
  <c r="FV298" i="55" s="1"/>
  <c r="FW298" i="55" s="1"/>
  <c r="FP298" i="55" a="1"/>
  <c r="FP298" i="55" s="1"/>
  <c r="FQ298" i="55" s="1"/>
  <c r="FR298" i="55" a="1"/>
  <c r="FR298" i="55" s="1"/>
  <c r="FS298" i="55" s="1"/>
  <c r="GC145" i="55"/>
  <c r="EZ145" i="55"/>
  <c r="EW145" i="55"/>
  <c r="FC145" i="55"/>
  <c r="FA145" i="55"/>
  <c r="GB145" i="55" s="1"/>
  <c r="CY172" i="55"/>
  <c r="CZ171" i="55"/>
  <c r="EV299" i="55"/>
  <c r="EU299" i="55"/>
  <c r="GU299" i="55" s="1"/>
  <c r="ET300" i="55"/>
  <c r="FN299" i="55"/>
  <c r="FO299" i="55" s="1"/>
  <c r="CZ71" i="55" l="1"/>
  <c r="CY72" i="55"/>
  <c r="CY243" i="55"/>
  <c r="CZ242" i="55"/>
  <c r="CY122" i="55"/>
  <c r="CZ121" i="55"/>
  <c r="CY302" i="55"/>
  <c r="CZ301" i="55"/>
  <c r="GC170" i="55"/>
  <c r="FC170" i="55"/>
  <c r="FA170" i="55"/>
  <c r="GB170" i="55" s="1"/>
  <c r="EZ170" i="55"/>
  <c r="EW170" i="55"/>
  <c r="FT20" i="55" a="1"/>
  <c r="FT20" i="55" s="1"/>
  <c r="FU20" i="55" s="1"/>
  <c r="FX20" i="55" a="1"/>
  <c r="FX20" i="55" s="1"/>
  <c r="FY20" i="55" s="1"/>
  <c r="FV20" i="55" a="1"/>
  <c r="FV20" i="55" s="1"/>
  <c r="FW20" i="55" s="1"/>
  <c r="FZ20" i="55" a="1"/>
  <c r="FZ20" i="55" s="1"/>
  <c r="GA20" i="55" s="1"/>
  <c r="FP20" i="55" a="1"/>
  <c r="FP20" i="55" s="1"/>
  <c r="FQ20" i="55" s="1"/>
  <c r="FR20" i="55" a="1"/>
  <c r="FR20" i="55" s="1"/>
  <c r="FS20" i="55" s="1"/>
  <c r="FX71" i="55" a="1"/>
  <c r="FX71" i="55" s="1"/>
  <c r="FY71" i="55" s="1"/>
  <c r="FV71" i="55" a="1"/>
  <c r="FV71" i="55" s="1"/>
  <c r="FW71" i="55" s="1"/>
  <c r="FP71" i="55" a="1"/>
  <c r="FP71" i="55" s="1"/>
  <c r="FQ71" i="55" s="1"/>
  <c r="FT71" i="55" a="1"/>
  <c r="FT71" i="55" s="1"/>
  <c r="FU71" i="55" s="1"/>
  <c r="FZ71" i="55" a="1"/>
  <c r="FZ71" i="55" s="1"/>
  <c r="GA71" i="55" s="1"/>
  <c r="FR71" i="55" a="1"/>
  <c r="FR71" i="55" s="1"/>
  <c r="FS71" i="55" s="1"/>
  <c r="DL343" i="55"/>
  <c r="DO343" i="55" s="1"/>
  <c r="DL347" i="55"/>
  <c r="DO347" i="55" s="1"/>
  <c r="DL342" i="55"/>
  <c r="DO342" i="55" s="1"/>
  <c r="DL350" i="55"/>
  <c r="DO350" i="55" s="1"/>
  <c r="DL351" i="55"/>
  <c r="DO351" i="55" s="1"/>
  <c r="DL352" i="55"/>
  <c r="DO352" i="55" s="1"/>
  <c r="DL346" i="55"/>
  <c r="DO346" i="55" s="1"/>
  <c r="DL348" i="55"/>
  <c r="DO348" i="55" s="1"/>
  <c r="DL349" i="55"/>
  <c r="DO349" i="55" s="1"/>
  <c r="DL345" i="55"/>
  <c r="DO345" i="55" s="1"/>
  <c r="DL344" i="55"/>
  <c r="DO344" i="55" s="1"/>
  <c r="DL341" i="55"/>
  <c r="DO341" i="55" s="1"/>
  <c r="DN47" i="55"/>
  <c r="DK47" i="55"/>
  <c r="EV244" i="55"/>
  <c r="EU244" i="55"/>
  <c r="GU244" i="55" s="1"/>
  <c r="ET245" i="55"/>
  <c r="FN244" i="55"/>
  <c r="FO244" i="55" s="1"/>
  <c r="FZ299" i="55" a="1"/>
  <c r="FZ299" i="55" s="1"/>
  <c r="GA299" i="55" s="1"/>
  <c r="FX299" i="55" a="1"/>
  <c r="FX299" i="55" s="1"/>
  <c r="FY299" i="55" s="1"/>
  <c r="FR299" i="55" a="1"/>
  <c r="FR299" i="55" s="1"/>
  <c r="FS299" i="55" s="1"/>
  <c r="FP299" i="55" a="1"/>
  <c r="FP299" i="55" s="1"/>
  <c r="FQ299" i="55" s="1"/>
  <c r="FV299" i="55" a="1"/>
  <c r="FV299" i="55" s="1"/>
  <c r="FW299" i="55" s="1"/>
  <c r="FT299" i="55" a="1"/>
  <c r="FT299" i="55" s="1"/>
  <c r="FU299" i="55" s="1"/>
  <c r="EU300" i="55"/>
  <c r="GU300" i="55" s="1"/>
  <c r="EV300" i="55"/>
  <c r="ET301" i="55"/>
  <c r="FN300" i="55"/>
  <c r="FO300" i="55" s="1"/>
  <c r="GC243" i="55"/>
  <c r="FA243" i="55"/>
  <c r="GB243" i="55" s="1"/>
  <c r="EZ243" i="55"/>
  <c r="FC243" i="55"/>
  <c r="EW243" i="55"/>
  <c r="GC299" i="55"/>
  <c r="FC299" i="55"/>
  <c r="EW299" i="55"/>
  <c r="FA299" i="55"/>
  <c r="GB299" i="55" s="1"/>
  <c r="EZ299" i="55"/>
  <c r="CZ172" i="55"/>
  <c r="CY173" i="55"/>
  <c r="GC47" i="55"/>
  <c r="FA47" i="55"/>
  <c r="GB47" i="55" s="1"/>
  <c r="FC47" i="55"/>
  <c r="EZ47" i="55"/>
  <c r="EW47" i="55"/>
  <c r="FZ243" i="55" a="1"/>
  <c r="FZ243" i="55" s="1"/>
  <c r="GA243" i="55" s="1"/>
  <c r="FV243" i="55" a="1"/>
  <c r="FV243" i="55" s="1"/>
  <c r="FW243" i="55" s="1"/>
  <c r="FT243" i="55" a="1"/>
  <c r="FT243" i="55" s="1"/>
  <c r="FU243" i="55" s="1"/>
  <c r="FP243" i="55" a="1"/>
  <c r="FP243" i="55" s="1"/>
  <c r="FQ243" i="55" s="1"/>
  <c r="FX243" i="55" a="1"/>
  <c r="FX243" i="55" s="1"/>
  <c r="FY243" i="55" s="1"/>
  <c r="FR243" i="55" a="1"/>
  <c r="FR243" i="55" s="1"/>
  <c r="FS243" i="55" s="1"/>
  <c r="CZ149" i="55"/>
  <c r="CY150" i="55"/>
  <c r="FF48" i="55"/>
  <c r="FG48" i="55"/>
  <c r="FE48" i="55"/>
  <c r="FI48" i="55" s="1"/>
  <c r="FD48" i="55"/>
  <c r="DG48" i="55"/>
  <c r="DH48" i="55" s="1"/>
  <c r="DJ48" i="55" s="1" a="1"/>
  <c r="DJ48" i="55" s="1"/>
  <c r="EL48" i="55"/>
  <c r="EM48" i="55" s="1"/>
  <c r="EK49" i="55"/>
  <c r="EV72" i="55"/>
  <c r="EU72" i="55"/>
  <c r="GU72" i="55" s="1"/>
  <c r="ET73" i="55"/>
  <c r="FN72" i="55"/>
  <c r="FO72" i="55" s="1"/>
  <c r="GC71" i="55"/>
  <c r="EZ71" i="55"/>
  <c r="FA71" i="55"/>
  <c r="GB71" i="55" s="1"/>
  <c r="FC71" i="55"/>
  <c r="EW71" i="55"/>
  <c r="DK21" i="55"/>
  <c r="DN21" i="55"/>
  <c r="DL21" i="55"/>
  <c r="DO21" i="55" s="1"/>
  <c r="EU201" i="55"/>
  <c r="GU201" i="55" s="1"/>
  <c r="EV201" i="55"/>
  <c r="ET202" i="55"/>
  <c r="FN201" i="55"/>
  <c r="FO201" i="55" s="1"/>
  <c r="EV119" i="55"/>
  <c r="EU119" i="55"/>
  <c r="GU119" i="55" s="1"/>
  <c r="ET120" i="55"/>
  <c r="FN119" i="55"/>
  <c r="FO119" i="55" s="1"/>
  <c r="GU19" i="55"/>
  <c r="EM21" i="55"/>
  <c r="FV200" i="55" a="1"/>
  <c r="FV200" i="55" s="1"/>
  <c r="FW200" i="55" s="1"/>
  <c r="FX200" i="55" a="1"/>
  <c r="FX200" i="55" s="1"/>
  <c r="FY200" i="55" s="1"/>
  <c r="FT200" i="55" a="1"/>
  <c r="FT200" i="55" s="1"/>
  <c r="FU200" i="55" s="1"/>
  <c r="FR200" i="55" a="1"/>
  <c r="FR200" i="55" s="1"/>
  <c r="FS200" i="55" s="1"/>
  <c r="FP200" i="55" a="1"/>
  <c r="FP200" i="55" s="1"/>
  <c r="FQ200" i="55" s="1"/>
  <c r="FZ200" i="55" a="1"/>
  <c r="FZ200" i="55" s="1"/>
  <c r="GA200" i="55" s="1"/>
  <c r="FZ118" i="55" a="1"/>
  <c r="FZ118" i="55" s="1"/>
  <c r="GA118" i="55" s="1"/>
  <c r="FT118" i="55" a="1"/>
  <c r="FT118" i="55" s="1"/>
  <c r="FU118" i="55" s="1"/>
  <c r="FX118" i="55" a="1"/>
  <c r="FX118" i="55" s="1"/>
  <c r="FY118" i="55" s="1"/>
  <c r="FV118" i="55" a="1"/>
  <c r="FV118" i="55" s="1"/>
  <c r="FW118" i="55" s="1"/>
  <c r="FP118" i="55" a="1"/>
  <c r="FP118" i="55" s="1"/>
  <c r="FQ118" i="55" s="1"/>
  <c r="FR118" i="55" a="1"/>
  <c r="FR118" i="55" s="1"/>
  <c r="FS118" i="55" s="1"/>
  <c r="FZ146" i="55" a="1"/>
  <c r="FZ146" i="55" s="1"/>
  <c r="GA146" i="55" s="1"/>
  <c r="FV146" i="55" a="1"/>
  <c r="FV146" i="55" s="1"/>
  <c r="FW146" i="55" s="1"/>
  <c r="FX146" i="55" a="1"/>
  <c r="FX146" i="55" s="1"/>
  <c r="FY146" i="55" s="1"/>
  <c r="FP146" i="55" a="1"/>
  <c r="FP146" i="55" s="1"/>
  <c r="FQ146" i="55" s="1"/>
  <c r="FT146" i="55" a="1"/>
  <c r="FT146" i="55" s="1"/>
  <c r="FU146" i="55" s="1"/>
  <c r="FR146" i="55" a="1"/>
  <c r="FR146" i="55" s="1"/>
  <c r="FS146" i="55" s="1"/>
  <c r="FT170" i="55" a="1"/>
  <c r="FT170" i="55" s="1"/>
  <c r="FU170" i="55" s="1"/>
  <c r="FR170" i="55" a="1"/>
  <c r="FR170" i="55" s="1"/>
  <c r="FS170" i="55" s="1"/>
  <c r="FV170" i="55" a="1"/>
  <c r="FV170" i="55" s="1"/>
  <c r="FW170" i="55" s="1"/>
  <c r="FP170" i="55" a="1"/>
  <c r="FP170" i="55" s="1"/>
  <c r="FQ170" i="55" s="1"/>
  <c r="FZ170" i="55" a="1"/>
  <c r="FZ170" i="55" s="1"/>
  <c r="GA170" i="55" s="1"/>
  <c r="FX170" i="55" a="1"/>
  <c r="FX170" i="55" s="1"/>
  <c r="FY170" i="55" s="1"/>
  <c r="GC200" i="55"/>
  <c r="FC200" i="55"/>
  <c r="EW200" i="55"/>
  <c r="FA200" i="55"/>
  <c r="GB200" i="55" s="1"/>
  <c r="EZ200" i="55"/>
  <c r="CY204" i="55"/>
  <c r="CZ203" i="55"/>
  <c r="FF22" i="55"/>
  <c r="FD22" i="55"/>
  <c r="FG22" i="55"/>
  <c r="FE22" i="55"/>
  <c r="FI22" i="55" s="1"/>
  <c r="EL22" i="55"/>
  <c r="EM22" i="55" s="1"/>
  <c r="DG22" i="55"/>
  <c r="DH22" i="55" s="1"/>
  <c r="DJ22" i="55" s="1" a="1"/>
  <c r="DJ22" i="55" s="1"/>
  <c r="EK23" i="55"/>
  <c r="EV20" i="55"/>
  <c r="EU20" i="55"/>
  <c r="GU20" i="55" s="1"/>
  <c r="ET21" i="55"/>
  <c r="GC19" i="55"/>
  <c r="FA19" i="55"/>
  <c r="GB19" i="55" s="1"/>
  <c r="FC19" i="55"/>
  <c r="EZ19" i="55"/>
  <c r="EW19" i="55"/>
  <c r="EU147" i="55"/>
  <c r="GU147" i="55" s="1"/>
  <c r="EV147" i="55"/>
  <c r="ET148" i="55"/>
  <c r="FN147" i="55"/>
  <c r="FO147" i="55" s="1"/>
  <c r="EV171" i="55"/>
  <c r="EU171" i="55"/>
  <c r="GU171" i="55" s="1"/>
  <c r="ET172" i="55"/>
  <c r="FN171" i="55"/>
  <c r="FO171" i="55" s="1"/>
  <c r="GC118" i="55"/>
  <c r="FC118" i="55"/>
  <c r="EZ118" i="55"/>
  <c r="FA118" i="55"/>
  <c r="GB118" i="55" s="1"/>
  <c r="EW118" i="55"/>
  <c r="CZ49" i="55"/>
  <c r="DD49" i="55" s="1"/>
  <c r="CY50" i="55"/>
  <c r="GC146" i="55"/>
  <c r="EZ146" i="55"/>
  <c r="FA146" i="55"/>
  <c r="GB146" i="55" s="1"/>
  <c r="FC146" i="55"/>
  <c r="EW146" i="55"/>
  <c r="EU48" i="55"/>
  <c r="GU48" i="55" s="1"/>
  <c r="EV48" i="55"/>
  <c r="ET49" i="55"/>
  <c r="FT19" i="55" a="1"/>
  <c r="FT19" i="55" s="1"/>
  <c r="FU19" i="55" s="1"/>
  <c r="FX19" i="55" a="1"/>
  <c r="FX19" i="55" s="1"/>
  <c r="FY19" i="55" s="1"/>
  <c r="FV19" i="55" a="1"/>
  <c r="FV19" i="55" s="1"/>
  <c r="FW19" i="55" s="1"/>
  <c r="FR19" i="55" a="1"/>
  <c r="FR19" i="55" s="1"/>
  <c r="FS19" i="55" s="1"/>
  <c r="FZ19" i="55" a="1"/>
  <c r="FZ19" i="55" s="1"/>
  <c r="GA19" i="55" s="1"/>
  <c r="FP19" i="55" a="1"/>
  <c r="FP19" i="55" s="1"/>
  <c r="FQ19" i="55" s="1"/>
  <c r="BW24" i="54"/>
  <c r="CZ302" i="55" l="1"/>
  <c r="CY303" i="55"/>
  <c r="CZ122" i="55"/>
  <c r="CY123" i="55"/>
  <c r="CY244" i="55"/>
  <c r="CZ243" i="55"/>
  <c r="CZ72" i="55"/>
  <c r="CY73" i="55"/>
  <c r="EV202" i="55"/>
  <c r="EU202" i="55"/>
  <c r="GU202" i="55" s="1"/>
  <c r="ET203" i="55"/>
  <c r="FN202" i="55"/>
  <c r="FO202" i="55" s="1"/>
  <c r="GC72" i="55"/>
  <c r="EW72" i="55"/>
  <c r="FA72" i="55"/>
  <c r="GB72" i="55" s="1"/>
  <c r="FC72" i="55"/>
  <c r="EZ72" i="55"/>
  <c r="GC48" i="55"/>
  <c r="EZ48" i="55"/>
  <c r="FA48" i="55"/>
  <c r="GB48" i="55" s="1"/>
  <c r="FC48" i="55"/>
  <c r="EW48" i="55"/>
  <c r="EU148" i="55"/>
  <c r="GU148" i="55" s="1"/>
  <c r="EV148" i="55"/>
  <c r="ET149" i="55"/>
  <c r="FN148" i="55"/>
  <c r="FO148" i="55" s="1"/>
  <c r="CY174" i="55"/>
  <c r="CZ173" i="55"/>
  <c r="FX119" i="55" a="1"/>
  <c r="FX119" i="55" s="1"/>
  <c r="FY119" i="55" s="1"/>
  <c r="FZ119" i="55" a="1"/>
  <c r="FZ119" i="55" s="1"/>
  <c r="GA119" i="55" s="1"/>
  <c r="FT119" i="55" a="1"/>
  <c r="FT119" i="55" s="1"/>
  <c r="FU119" i="55" s="1"/>
  <c r="FP119" i="55" a="1"/>
  <c r="FP119" i="55" s="1"/>
  <c r="FQ119" i="55" s="1"/>
  <c r="FR119" i="55" a="1"/>
  <c r="FR119" i="55" s="1"/>
  <c r="FS119" i="55" s="1"/>
  <c r="FV119" i="55" a="1"/>
  <c r="FV119" i="55" s="1"/>
  <c r="FW119" i="55" s="1"/>
  <c r="CY151" i="55"/>
  <c r="CZ150" i="55"/>
  <c r="FZ171" i="55" a="1"/>
  <c r="FZ171" i="55" s="1"/>
  <c r="GA171" i="55" s="1"/>
  <c r="FX171" i="55" a="1"/>
  <c r="FX171" i="55" s="1"/>
  <c r="FY171" i="55" s="1"/>
  <c r="FV171" i="55" a="1"/>
  <c r="FV171" i="55" s="1"/>
  <c r="FW171" i="55" s="1"/>
  <c r="FR171" i="55" a="1"/>
  <c r="FR171" i="55" s="1"/>
  <c r="FS171" i="55" s="1"/>
  <c r="FP171" i="55" a="1"/>
  <c r="FP171" i="55" s="1"/>
  <c r="FQ171" i="55" s="1"/>
  <c r="FT171" i="55" a="1"/>
  <c r="FT171" i="55" s="1"/>
  <c r="FU171" i="55" s="1"/>
  <c r="FV147" i="55" a="1"/>
  <c r="FV147" i="55" s="1"/>
  <c r="FW147" i="55" s="1"/>
  <c r="FZ147" i="55" a="1"/>
  <c r="FZ147" i="55" s="1"/>
  <c r="GA147" i="55" s="1"/>
  <c r="FR147" i="55" a="1"/>
  <c r="FR147" i="55" s="1"/>
  <c r="FS147" i="55" s="1"/>
  <c r="FX147" i="55" a="1"/>
  <c r="FX147" i="55" s="1"/>
  <c r="FY147" i="55" s="1"/>
  <c r="FT147" i="55" a="1"/>
  <c r="FT147" i="55" s="1"/>
  <c r="FU147" i="55" s="1"/>
  <c r="FP147" i="55" a="1"/>
  <c r="FP147" i="55" s="1"/>
  <c r="FQ147" i="55" s="1"/>
  <c r="FG23" i="55"/>
  <c r="FF23" i="55"/>
  <c r="FD23" i="55"/>
  <c r="FE23" i="55"/>
  <c r="FI23" i="55" s="1"/>
  <c r="DG23" i="55"/>
  <c r="DH23" i="55" s="1"/>
  <c r="DJ23" i="55" s="1" a="1"/>
  <c r="DJ23" i="55" s="1"/>
  <c r="EL23" i="55"/>
  <c r="EK24" i="55"/>
  <c r="GC119" i="55"/>
  <c r="FC119" i="55"/>
  <c r="EZ119" i="55"/>
  <c r="EW119" i="55"/>
  <c r="FA119" i="55"/>
  <c r="GB119" i="55" s="1"/>
  <c r="GC201" i="55"/>
  <c r="FC201" i="55"/>
  <c r="FA201" i="55"/>
  <c r="GB201" i="55" s="1"/>
  <c r="EZ201" i="55"/>
  <c r="EW201" i="55"/>
  <c r="FX244" i="55" a="1"/>
  <c r="FX244" i="55" s="1"/>
  <c r="FY244" i="55" s="1"/>
  <c r="FZ244" i="55" a="1"/>
  <c r="FZ244" i="55" s="1"/>
  <c r="GA244" i="55" s="1"/>
  <c r="FV244" i="55" a="1"/>
  <c r="FV244" i="55" s="1"/>
  <c r="FW244" i="55" s="1"/>
  <c r="FT244" i="55" a="1"/>
  <c r="FT244" i="55" s="1"/>
  <c r="FU244" i="55" s="1"/>
  <c r="FP244" i="55" a="1"/>
  <c r="FP244" i="55" s="1"/>
  <c r="FQ244" i="55" s="1"/>
  <c r="FR244" i="55" a="1"/>
  <c r="FR244" i="55" s="1"/>
  <c r="FS244" i="55" s="1"/>
  <c r="EU245" i="55"/>
  <c r="GU245" i="55" s="1"/>
  <c r="EV245" i="55"/>
  <c r="ET246" i="55"/>
  <c r="FN245" i="55"/>
  <c r="FO245" i="55" s="1"/>
  <c r="EV21" i="55"/>
  <c r="EU21" i="55"/>
  <c r="GU21" i="55" s="1"/>
  <c r="ET22" i="55"/>
  <c r="FE49" i="55"/>
  <c r="FI49" i="55" s="1"/>
  <c r="FG49" i="55"/>
  <c r="FF49" i="55"/>
  <c r="FD49" i="55"/>
  <c r="DG49" i="55"/>
  <c r="DH49" i="55" s="1"/>
  <c r="DJ49" i="55" s="1" a="1"/>
  <c r="DJ49" i="55" s="1"/>
  <c r="EK50" i="55"/>
  <c r="EL49" i="55"/>
  <c r="EM49" i="55" s="1"/>
  <c r="GC244" i="55"/>
  <c r="EZ244" i="55"/>
  <c r="FA244" i="55"/>
  <c r="GB244" i="55" s="1"/>
  <c r="FC244" i="55"/>
  <c r="EW244" i="55"/>
  <c r="EV49" i="55"/>
  <c r="EU49" i="55"/>
  <c r="GU49" i="55" s="1"/>
  <c r="ET50" i="55"/>
  <c r="EU172" i="55"/>
  <c r="GU172" i="55" s="1"/>
  <c r="EV172" i="55"/>
  <c r="ET173" i="55"/>
  <c r="FN172" i="55"/>
  <c r="FO172" i="55" s="1"/>
  <c r="CY205" i="55"/>
  <c r="CZ204" i="55"/>
  <c r="FN21" i="55"/>
  <c r="FO21" i="55" s="1"/>
  <c r="GC20" i="55"/>
  <c r="EZ20" i="55"/>
  <c r="FA20" i="55"/>
  <c r="GB20" i="55" s="1"/>
  <c r="FC20" i="55"/>
  <c r="EW20" i="55"/>
  <c r="DK48" i="55"/>
  <c r="DN48" i="55"/>
  <c r="GC147" i="55"/>
  <c r="FC147" i="55"/>
  <c r="FA147" i="55"/>
  <c r="GB147" i="55" s="1"/>
  <c r="EW147" i="55"/>
  <c r="EZ147" i="55"/>
  <c r="CY51" i="55"/>
  <c r="CZ50" i="55"/>
  <c r="DD50" i="55" s="1"/>
  <c r="FZ72" i="55" a="1"/>
  <c r="FZ72" i="55" s="1"/>
  <c r="GA72" i="55" s="1"/>
  <c r="FV72" i="55" a="1"/>
  <c r="FV72" i="55" s="1"/>
  <c r="FW72" i="55" s="1"/>
  <c r="FX72" i="55" a="1"/>
  <c r="FX72" i="55" s="1"/>
  <c r="FY72" i="55" s="1"/>
  <c r="FR72" i="55" a="1"/>
  <c r="FR72" i="55" s="1"/>
  <c r="FS72" i="55" s="1"/>
  <c r="FT72" i="55" a="1"/>
  <c r="FT72" i="55" s="1"/>
  <c r="FU72" i="55" s="1"/>
  <c r="FP72" i="55" a="1"/>
  <c r="FP72" i="55" s="1"/>
  <c r="FQ72" i="55" s="1"/>
  <c r="EV73" i="55"/>
  <c r="EU73" i="55"/>
  <c r="GU73" i="55" s="1"/>
  <c r="ET74" i="55"/>
  <c r="FN73" i="55"/>
  <c r="FO73" i="55" s="1"/>
  <c r="FZ300" i="55" a="1"/>
  <c r="FZ300" i="55" s="1"/>
  <c r="GA300" i="55" s="1"/>
  <c r="FX300" i="55" a="1"/>
  <c r="FX300" i="55" s="1"/>
  <c r="FY300" i="55" s="1"/>
  <c r="FV300" i="55" a="1"/>
  <c r="FV300" i="55" s="1"/>
  <c r="FW300" i="55" s="1"/>
  <c r="FT300" i="55" a="1"/>
  <c r="FT300" i="55" s="1"/>
  <c r="FU300" i="55" s="1"/>
  <c r="FP300" i="55" a="1"/>
  <c r="FP300" i="55" s="1"/>
  <c r="FQ300" i="55" s="1"/>
  <c r="FR300" i="55" a="1"/>
  <c r="FR300" i="55" s="1"/>
  <c r="FS300" i="55" s="1"/>
  <c r="GC171" i="55"/>
  <c r="FC171" i="55"/>
  <c r="FA171" i="55"/>
  <c r="GB171" i="55" s="1"/>
  <c r="EZ171" i="55"/>
  <c r="EW171" i="55"/>
  <c r="EU301" i="55"/>
  <c r="GU301" i="55" s="1"/>
  <c r="EV301" i="55"/>
  <c r="ET302" i="55"/>
  <c r="FN301" i="55"/>
  <c r="FO301" i="55" s="1"/>
  <c r="GC300" i="55"/>
  <c r="FC300" i="55"/>
  <c r="EZ300" i="55"/>
  <c r="EW300" i="55"/>
  <c r="FA300" i="55"/>
  <c r="GB300" i="55" s="1"/>
  <c r="DL22" i="55"/>
  <c r="DO22" i="55" s="1"/>
  <c r="DN22" i="55"/>
  <c r="DK22" i="55"/>
  <c r="EU120" i="55"/>
  <c r="GU120" i="55" s="1"/>
  <c r="EV120" i="55"/>
  <c r="ET121" i="55"/>
  <c r="FN120" i="55"/>
  <c r="FO120" i="55" s="1"/>
  <c r="FX201" i="55" a="1"/>
  <c r="FX201" i="55" s="1"/>
  <c r="FY201" i="55" s="1"/>
  <c r="FR201" i="55" a="1"/>
  <c r="FR201" i="55" s="1"/>
  <c r="FS201" i="55" s="1"/>
  <c r="FT201" i="55" a="1"/>
  <c r="FT201" i="55" s="1"/>
  <c r="FU201" i="55" s="1"/>
  <c r="FV201" i="55" a="1"/>
  <c r="FV201" i="55" s="1"/>
  <c r="FW201" i="55" s="1"/>
  <c r="FP201" i="55" a="1"/>
  <c r="FP201" i="55" s="1"/>
  <c r="FQ201" i="55" s="1"/>
  <c r="FZ201" i="55" a="1"/>
  <c r="FZ201" i="55" s="1"/>
  <c r="GA201" i="55" s="1"/>
  <c r="BW26" i="54"/>
  <c r="CZ123" i="55" l="1"/>
  <c r="CY124" i="55"/>
  <c r="CY74" i="55"/>
  <c r="CZ73" i="55"/>
  <c r="CY304" i="55"/>
  <c r="CZ303" i="55"/>
  <c r="CY245" i="55"/>
  <c r="CZ244" i="55"/>
  <c r="GC120" i="55"/>
  <c r="EW120" i="55"/>
  <c r="FC120" i="55"/>
  <c r="FA120" i="55"/>
  <c r="GB120" i="55" s="1"/>
  <c r="EZ120" i="55"/>
  <c r="GC301" i="55"/>
  <c r="EZ301" i="55"/>
  <c r="EW301" i="55"/>
  <c r="FC301" i="55"/>
  <c r="FA301" i="55"/>
  <c r="GB301" i="55" s="1"/>
  <c r="GC49" i="55"/>
  <c r="EZ49" i="55"/>
  <c r="FC49" i="55"/>
  <c r="EW49" i="55"/>
  <c r="FA49" i="55"/>
  <c r="GB49" i="55" s="1"/>
  <c r="FZ148" i="55" a="1"/>
  <c r="FZ148" i="55" s="1"/>
  <c r="GA148" i="55" s="1"/>
  <c r="FT148" i="55" a="1"/>
  <c r="FT148" i="55" s="1"/>
  <c r="FU148" i="55" s="1"/>
  <c r="FV148" i="55" a="1"/>
  <c r="FV148" i="55" s="1"/>
  <c r="FW148" i="55" s="1"/>
  <c r="FX148" i="55" a="1"/>
  <c r="FX148" i="55" s="1"/>
  <c r="FY148" i="55" s="1"/>
  <c r="FR148" i="55" a="1"/>
  <c r="FR148" i="55" s="1"/>
  <c r="FS148" i="55" s="1"/>
  <c r="FP148" i="55" a="1"/>
  <c r="FP148" i="55" s="1"/>
  <c r="FQ148" i="55" s="1"/>
  <c r="EU149" i="55"/>
  <c r="GU149" i="55" s="1"/>
  <c r="EV149" i="55"/>
  <c r="ET150" i="55"/>
  <c r="FN149" i="55"/>
  <c r="FO149" i="55" s="1"/>
  <c r="EU246" i="55"/>
  <c r="GU246" i="55" s="1"/>
  <c r="EV246" i="55"/>
  <c r="ET247" i="55"/>
  <c r="FN246" i="55"/>
  <c r="FO246" i="55" s="1"/>
  <c r="CY52" i="55"/>
  <c r="CZ52" i="55" s="1"/>
  <c r="DD52" i="55" s="1"/>
  <c r="CZ51" i="55"/>
  <c r="DD51" i="55" s="1"/>
  <c r="GC245" i="55"/>
  <c r="EZ245" i="55"/>
  <c r="FA245" i="55"/>
  <c r="GB245" i="55" s="1"/>
  <c r="EW245" i="55"/>
  <c r="FC245" i="55"/>
  <c r="FX202" i="55" a="1"/>
  <c r="FX202" i="55" s="1"/>
  <c r="FY202" i="55" s="1"/>
  <c r="FV202" i="55" a="1"/>
  <c r="FV202" i="55" s="1"/>
  <c r="FW202" i="55" s="1"/>
  <c r="FT202" i="55" a="1"/>
  <c r="FT202" i="55" s="1"/>
  <c r="FU202" i="55" s="1"/>
  <c r="FZ202" i="55" a="1"/>
  <c r="FZ202" i="55" s="1"/>
  <c r="GA202" i="55" s="1"/>
  <c r="FR202" i="55" a="1"/>
  <c r="FR202" i="55" s="1"/>
  <c r="FS202" i="55" s="1"/>
  <c r="FP202" i="55" a="1"/>
  <c r="FP202" i="55" s="1"/>
  <c r="FQ202" i="55" s="1"/>
  <c r="FV120" i="55" a="1"/>
  <c r="FV120" i="55" s="1"/>
  <c r="FW120" i="55" s="1"/>
  <c r="FX120" i="55" a="1"/>
  <c r="FX120" i="55" s="1"/>
  <c r="FY120" i="55" s="1"/>
  <c r="FT120" i="55" a="1"/>
  <c r="FT120" i="55" s="1"/>
  <c r="FU120" i="55" s="1"/>
  <c r="FZ120" i="55" a="1"/>
  <c r="FZ120" i="55" s="1"/>
  <c r="GA120" i="55" s="1"/>
  <c r="FR120" i="55" a="1"/>
  <c r="FR120" i="55" s="1"/>
  <c r="FS120" i="55" s="1"/>
  <c r="FP120" i="55" a="1"/>
  <c r="FP120" i="55" s="1"/>
  <c r="FQ120" i="55" s="1"/>
  <c r="EV121" i="55"/>
  <c r="EU121" i="55"/>
  <c r="GU121" i="55" s="1"/>
  <c r="ET122" i="55"/>
  <c r="FN121" i="55"/>
  <c r="FO121" i="55" s="1"/>
  <c r="FT301" i="55" a="1"/>
  <c r="FT301" i="55" s="1"/>
  <c r="FU301" i="55" s="1"/>
  <c r="FZ301" i="55" a="1"/>
  <c r="FZ301" i="55" s="1"/>
  <c r="GA301" i="55" s="1"/>
  <c r="FV301" i="55" a="1"/>
  <c r="FV301" i="55" s="1"/>
  <c r="FW301" i="55" s="1"/>
  <c r="FR301" i="55" a="1"/>
  <c r="FR301" i="55" s="1"/>
  <c r="FS301" i="55" s="1"/>
  <c r="FP301" i="55" a="1"/>
  <c r="FP301" i="55" s="1"/>
  <c r="FQ301" i="55" s="1"/>
  <c r="FX301" i="55" a="1"/>
  <c r="FX301" i="55" s="1"/>
  <c r="FY301" i="55" s="1"/>
  <c r="FZ172" i="55" a="1"/>
  <c r="FZ172" i="55" s="1"/>
  <c r="GA172" i="55" s="1"/>
  <c r="FX172" i="55" a="1"/>
  <c r="FX172" i="55" s="1"/>
  <c r="FY172" i="55" s="1"/>
  <c r="FV172" i="55" a="1"/>
  <c r="FV172" i="55" s="1"/>
  <c r="FW172" i="55" s="1"/>
  <c r="FP172" i="55" a="1"/>
  <c r="FP172" i="55" s="1"/>
  <c r="FQ172" i="55" s="1"/>
  <c r="FT172" i="55" a="1"/>
  <c r="FT172" i="55" s="1"/>
  <c r="FU172" i="55" s="1"/>
  <c r="FR172" i="55" a="1"/>
  <c r="FR172" i="55" s="1"/>
  <c r="FS172" i="55" s="1"/>
  <c r="FX73" i="55" a="1"/>
  <c r="FX73" i="55" s="1"/>
  <c r="FY73" i="55" s="1"/>
  <c r="FT73" i="55" a="1"/>
  <c r="FT73" i="55" s="1"/>
  <c r="FU73" i="55" s="1"/>
  <c r="FZ73" i="55" a="1"/>
  <c r="FZ73" i="55" s="1"/>
  <c r="GA73" i="55" s="1"/>
  <c r="FR73" i="55" a="1"/>
  <c r="FR73" i="55" s="1"/>
  <c r="FS73" i="55" s="1"/>
  <c r="FV73" i="55" a="1"/>
  <c r="FV73" i="55" s="1"/>
  <c r="FW73" i="55" s="1"/>
  <c r="FP73" i="55" a="1"/>
  <c r="FP73" i="55" s="1"/>
  <c r="FQ73" i="55" s="1"/>
  <c r="EV173" i="55"/>
  <c r="EU173" i="55"/>
  <c r="GU173" i="55" s="1"/>
  <c r="ET174" i="55"/>
  <c r="FN173" i="55"/>
  <c r="FO173" i="55" s="1"/>
  <c r="EV22" i="55"/>
  <c r="EU22" i="55"/>
  <c r="GU22" i="55" s="1"/>
  <c r="ET23" i="55"/>
  <c r="EM23" i="55"/>
  <c r="DN23" i="55"/>
  <c r="DK23" i="55"/>
  <c r="DL23" i="55"/>
  <c r="DO23" i="55" s="1"/>
  <c r="GC21" i="55"/>
  <c r="EZ21" i="55"/>
  <c r="FA21" i="55"/>
  <c r="GB21" i="55" s="1"/>
  <c r="FC21" i="55"/>
  <c r="EW21" i="55"/>
  <c r="CY175" i="55"/>
  <c r="CZ174" i="55"/>
  <c r="FZ21" i="55" a="1"/>
  <c r="FZ21" i="55" s="1"/>
  <c r="GA21" i="55" s="1"/>
  <c r="FV21" i="55" a="1"/>
  <c r="FV21" i="55" s="1"/>
  <c r="FW21" i="55" s="1"/>
  <c r="FX21" i="55" a="1"/>
  <c r="FX21" i="55" s="1"/>
  <c r="FY21" i="55" s="1"/>
  <c r="FT21" i="55" a="1"/>
  <c r="FT21" i="55" s="1"/>
  <c r="FU21" i="55" s="1"/>
  <c r="FR21" i="55" a="1"/>
  <c r="FR21" i="55" s="1"/>
  <c r="FS21" i="55" s="1"/>
  <c r="FP21" i="55" a="1"/>
  <c r="FP21" i="55" s="1"/>
  <c r="FQ21" i="55" s="1"/>
  <c r="EV203" i="55"/>
  <c r="EU203" i="55"/>
  <c r="GU203" i="55" s="1"/>
  <c r="ET204" i="55"/>
  <c r="FN203" i="55"/>
  <c r="FO203" i="55" s="1"/>
  <c r="EU302" i="55"/>
  <c r="GU302" i="55" s="1"/>
  <c r="EV302" i="55"/>
  <c r="ET303" i="55"/>
  <c r="FN302" i="55"/>
  <c r="FO302" i="55" s="1"/>
  <c r="EV74" i="55"/>
  <c r="EU74" i="55"/>
  <c r="GU74" i="55" s="1"/>
  <c r="ET75" i="55"/>
  <c r="FN74" i="55"/>
  <c r="FO74" i="55" s="1"/>
  <c r="GC172" i="55"/>
  <c r="FC172" i="55"/>
  <c r="EZ172" i="55"/>
  <c r="FA172" i="55"/>
  <c r="GB172" i="55" s="1"/>
  <c r="EW172" i="55"/>
  <c r="GC73" i="55"/>
  <c r="FA73" i="55"/>
  <c r="GB73" i="55" s="1"/>
  <c r="EW73" i="55"/>
  <c r="FC73" i="55"/>
  <c r="EZ73" i="55"/>
  <c r="EV50" i="55"/>
  <c r="EU50" i="55"/>
  <c r="GU50" i="55" s="1"/>
  <c r="ET51" i="55"/>
  <c r="FF24" i="55"/>
  <c r="FD24" i="55"/>
  <c r="FE24" i="55"/>
  <c r="FI24" i="55" s="1"/>
  <c r="FG24" i="55"/>
  <c r="EL24" i="55"/>
  <c r="DG24" i="55"/>
  <c r="DH24" i="55" s="1"/>
  <c r="DJ24" i="55" s="1" a="1"/>
  <c r="DJ24" i="55" s="1"/>
  <c r="EK25" i="55"/>
  <c r="AG3" i="40" a="1"/>
  <c r="AG3" i="40" s="1"/>
  <c r="FZ245" i="55" a="1"/>
  <c r="FZ245" i="55" s="1"/>
  <c r="GA245" i="55" s="1"/>
  <c r="FT245" i="55" a="1"/>
  <c r="FT245" i="55" s="1"/>
  <c r="FU245" i="55" s="1"/>
  <c r="FX245" i="55" a="1"/>
  <c r="FX245" i="55" s="1"/>
  <c r="FY245" i="55" s="1"/>
  <c r="FR245" i="55" a="1"/>
  <c r="FR245" i="55" s="1"/>
  <c r="FS245" i="55" s="1"/>
  <c r="FP245" i="55" a="1"/>
  <c r="FP245" i="55" s="1"/>
  <c r="FQ245" i="55" s="1"/>
  <c r="FV245" i="55" a="1"/>
  <c r="FV245" i="55" s="1"/>
  <c r="FW245" i="55" s="1"/>
  <c r="GC148" i="55"/>
  <c r="FC148" i="55"/>
  <c r="EZ148" i="55"/>
  <c r="FA148" i="55"/>
  <c r="GB148" i="55" s="1"/>
  <c r="EW148" i="55"/>
  <c r="FE50" i="55"/>
  <c r="FI50" i="55" s="1"/>
  <c r="FG50" i="55"/>
  <c r="FF50" i="55"/>
  <c r="EL50" i="55"/>
  <c r="EM50" i="55" s="1"/>
  <c r="FD50" i="55"/>
  <c r="DG50" i="55"/>
  <c r="DH50" i="55" s="1"/>
  <c r="DJ50" i="55" s="1" a="1"/>
  <c r="DJ50" i="55" s="1"/>
  <c r="EK51" i="55"/>
  <c r="CZ151" i="55"/>
  <c r="CY152" i="55"/>
  <c r="CY206" i="55"/>
  <c r="CZ205" i="55"/>
  <c r="DK49" i="55"/>
  <c r="DN49" i="55"/>
  <c r="GC202" i="55"/>
  <c r="EZ202" i="55"/>
  <c r="EW202" i="55"/>
  <c r="FC202" i="55"/>
  <c r="FA202" i="55"/>
  <c r="GB202" i="55" s="1"/>
  <c r="CY305" i="55" l="1"/>
  <c r="CZ304" i="55"/>
  <c r="CZ245" i="55"/>
  <c r="CY246" i="55"/>
  <c r="CZ74" i="55"/>
  <c r="CY75" i="55"/>
  <c r="CY125" i="55"/>
  <c r="CZ124" i="55"/>
  <c r="DL24" i="55"/>
  <c r="DO24" i="55" s="1"/>
  <c r="DN24" i="55"/>
  <c r="DK24" i="55"/>
  <c r="FZ74" i="55" a="1"/>
  <c r="FZ74" i="55" s="1"/>
  <c r="GA74" i="55" s="1"/>
  <c r="FV74" i="55" a="1"/>
  <c r="FV74" i="55" s="1"/>
  <c r="FW74" i="55" s="1"/>
  <c r="FX74" i="55" a="1"/>
  <c r="FX74" i="55" s="1"/>
  <c r="FY74" i="55" s="1"/>
  <c r="FP74" i="55" a="1"/>
  <c r="FP74" i="55" s="1"/>
  <c r="FQ74" i="55" s="1"/>
  <c r="FR74" i="55" a="1"/>
  <c r="FR74" i="55" s="1"/>
  <c r="FS74" i="55" s="1"/>
  <c r="FT74" i="55" a="1"/>
  <c r="FT74" i="55" s="1"/>
  <c r="FU74" i="55" s="1"/>
  <c r="CY207" i="55"/>
  <c r="CZ206" i="55"/>
  <c r="CY153" i="55"/>
  <c r="CZ153" i="55" s="1"/>
  <c r="CZ152" i="55"/>
  <c r="EU204" i="55"/>
  <c r="GU204" i="55" s="1"/>
  <c r="EV204" i="55"/>
  <c r="ET205" i="55"/>
  <c r="FN204" i="55"/>
  <c r="FO204" i="55" s="1"/>
  <c r="GC203" i="55"/>
  <c r="FC203" i="55"/>
  <c r="FA203" i="55"/>
  <c r="GB203" i="55" s="1"/>
  <c r="EW203" i="55"/>
  <c r="EZ203" i="55"/>
  <c r="FX149" i="55" a="1"/>
  <c r="FX149" i="55" s="1"/>
  <c r="FY149" i="55" s="1"/>
  <c r="FT149" i="55" a="1"/>
  <c r="FT149" i="55" s="1"/>
  <c r="FU149" i="55" s="1"/>
  <c r="FZ149" i="55" a="1"/>
  <c r="FZ149" i="55" s="1"/>
  <c r="GA149" i="55" s="1"/>
  <c r="FV149" i="55" a="1"/>
  <c r="FV149" i="55" s="1"/>
  <c r="FW149" i="55" s="1"/>
  <c r="FR149" i="55" a="1"/>
  <c r="FR149" i="55" s="1"/>
  <c r="FS149" i="55" s="1"/>
  <c r="FP149" i="55" a="1"/>
  <c r="FP149" i="55" s="1"/>
  <c r="FQ149" i="55" s="1"/>
  <c r="EU23" i="55"/>
  <c r="GU23" i="55" s="1"/>
  <c r="EV23" i="55"/>
  <c r="ET24" i="55"/>
  <c r="FN24" i="55" s="1"/>
  <c r="FO24" i="55" s="1"/>
  <c r="GC74" i="55"/>
  <c r="FA74" i="55"/>
  <c r="GB74" i="55" s="1"/>
  <c r="EZ74" i="55"/>
  <c r="EW74" i="55"/>
  <c r="FC74" i="55"/>
  <c r="GC302" i="55"/>
  <c r="FA302" i="55"/>
  <c r="GB302" i="55" s="1"/>
  <c r="FC302" i="55"/>
  <c r="EZ302" i="55"/>
  <c r="EW302" i="55"/>
  <c r="EV174" i="55"/>
  <c r="EU174" i="55"/>
  <c r="GU174" i="55" s="1"/>
  <c r="ET175" i="55"/>
  <c r="FN174" i="55"/>
  <c r="FO174" i="55" s="1"/>
  <c r="FZ246" i="55" a="1"/>
  <c r="FZ246" i="55" s="1"/>
  <c r="GA246" i="55" s="1"/>
  <c r="FX246" i="55" a="1"/>
  <c r="FX246" i="55" s="1"/>
  <c r="FY246" i="55" s="1"/>
  <c r="FT246" i="55" a="1"/>
  <c r="FT246" i="55" s="1"/>
  <c r="FU246" i="55" s="1"/>
  <c r="FR246" i="55" a="1"/>
  <c r="FR246" i="55" s="1"/>
  <c r="FS246" i="55" s="1"/>
  <c r="FP246" i="55" a="1"/>
  <c r="FP246" i="55" s="1"/>
  <c r="FQ246" i="55" s="1"/>
  <c r="FV246" i="55" a="1"/>
  <c r="FV246" i="55" s="1"/>
  <c r="FW246" i="55" s="1"/>
  <c r="GC149" i="55"/>
  <c r="FC149" i="55"/>
  <c r="EZ149" i="55"/>
  <c r="FA149" i="55"/>
  <c r="GB149" i="55" s="1"/>
  <c r="EW149" i="55"/>
  <c r="EU75" i="55"/>
  <c r="GU75" i="55" s="1"/>
  <c r="EV75" i="55"/>
  <c r="ET76" i="55"/>
  <c r="FN75" i="55"/>
  <c r="FO75" i="55" s="1"/>
  <c r="FZ302" i="55" a="1"/>
  <c r="FZ302" i="55" s="1"/>
  <c r="GA302" i="55" s="1"/>
  <c r="FX302" i="55" a="1"/>
  <c r="FX302" i="55" s="1"/>
  <c r="FY302" i="55" s="1"/>
  <c r="FV302" i="55" a="1"/>
  <c r="FV302" i="55" s="1"/>
  <c r="FW302" i="55" s="1"/>
  <c r="FR302" i="55" a="1"/>
  <c r="FR302" i="55" s="1"/>
  <c r="FS302" i="55" s="1"/>
  <c r="FT302" i="55" a="1"/>
  <c r="FT302" i="55" s="1"/>
  <c r="FU302" i="55" s="1"/>
  <c r="FP302" i="55" a="1"/>
  <c r="FP302" i="55" s="1"/>
  <c r="FQ302" i="55" s="1"/>
  <c r="FC22" i="55"/>
  <c r="EZ22" i="55"/>
  <c r="FA22" i="55"/>
  <c r="GB22" i="55" s="1"/>
  <c r="EW22" i="55"/>
  <c r="FG51" i="55"/>
  <c r="FE51" i="55"/>
  <c r="FI51" i="55" s="1"/>
  <c r="FD51" i="55"/>
  <c r="FF51" i="55"/>
  <c r="EL51" i="55"/>
  <c r="EM51" i="55" s="1"/>
  <c r="DG51" i="55"/>
  <c r="DH51" i="55" s="1"/>
  <c r="DJ51" i="55" s="1" a="1"/>
  <c r="DJ51" i="55" s="1"/>
  <c r="EK52" i="55"/>
  <c r="GC50" i="55"/>
  <c r="EZ50" i="55"/>
  <c r="FA50" i="55"/>
  <c r="GB50" i="55" s="1"/>
  <c r="FC50" i="55"/>
  <c r="EW50" i="55"/>
  <c r="EU303" i="55"/>
  <c r="GU303" i="55" s="1"/>
  <c r="EV303" i="55"/>
  <c r="ET304" i="55"/>
  <c r="FN303" i="55"/>
  <c r="FO303" i="55" s="1"/>
  <c r="CY176" i="55"/>
  <c r="CZ175" i="55"/>
  <c r="FT173" i="55" a="1"/>
  <c r="FT173" i="55" s="1"/>
  <c r="FU173" i="55" s="1"/>
  <c r="FV173" i="55" a="1"/>
  <c r="FV173" i="55" s="1"/>
  <c r="FW173" i="55" s="1"/>
  <c r="FX173" i="55" a="1"/>
  <c r="FX173" i="55" s="1"/>
  <c r="FY173" i="55" s="1"/>
  <c r="FZ173" i="55" a="1"/>
  <c r="FZ173" i="55" s="1"/>
  <c r="GA173" i="55" s="1"/>
  <c r="FR173" i="55" a="1"/>
  <c r="FR173" i="55" s="1"/>
  <c r="FS173" i="55" s="1"/>
  <c r="FP173" i="55" a="1"/>
  <c r="FP173" i="55" s="1"/>
  <c r="FQ173" i="55" s="1"/>
  <c r="DK50" i="55"/>
  <c r="DN50" i="55"/>
  <c r="EU247" i="55"/>
  <c r="GU247" i="55" s="1"/>
  <c r="EV247" i="55"/>
  <c r="ET248" i="55"/>
  <c r="FN247" i="55"/>
  <c r="FO247" i="55" s="1"/>
  <c r="FT121" i="55" a="1"/>
  <c r="FT121" i="55" s="1"/>
  <c r="FU121" i="55" s="1"/>
  <c r="FX121" i="55" a="1"/>
  <c r="FX121" i="55" s="1"/>
  <c r="FY121" i="55" s="1"/>
  <c r="FV121" i="55" a="1"/>
  <c r="FV121" i="55" s="1"/>
  <c r="FW121" i="55" s="1"/>
  <c r="FR121" i="55" a="1"/>
  <c r="FR121" i="55" s="1"/>
  <c r="FS121" i="55" s="1"/>
  <c r="FZ121" i="55" a="1"/>
  <c r="FZ121" i="55" s="1"/>
  <c r="GA121" i="55" s="1"/>
  <c r="FP121" i="55" a="1"/>
  <c r="FP121" i="55" s="1"/>
  <c r="FQ121" i="55" s="1"/>
  <c r="FF25" i="55"/>
  <c r="FD25" i="55"/>
  <c r="FG25" i="55"/>
  <c r="FE25" i="55"/>
  <c r="FI25" i="55" s="1"/>
  <c r="EL25" i="55"/>
  <c r="EM25" i="55" s="1"/>
  <c r="DG25" i="55"/>
  <c r="DH25" i="55" s="1"/>
  <c r="DJ25" i="55" s="1" a="1"/>
  <c r="DJ25" i="55" s="1"/>
  <c r="EV122" i="55"/>
  <c r="EU122" i="55"/>
  <c r="GU122" i="55" s="1"/>
  <c r="ET123" i="55"/>
  <c r="FN122" i="55"/>
  <c r="FO122" i="55" s="1"/>
  <c r="EU150" i="55"/>
  <c r="GU150" i="55" s="1"/>
  <c r="EV150" i="55"/>
  <c r="ET151" i="55"/>
  <c r="FN150" i="55"/>
  <c r="FO150" i="55" s="1"/>
  <c r="EM24" i="55"/>
  <c r="GC121" i="55"/>
  <c r="FC121" i="55"/>
  <c r="FA121" i="55"/>
  <c r="GB121" i="55" s="1"/>
  <c r="EW121" i="55"/>
  <c r="EZ121" i="55"/>
  <c r="AZ3" i="40" a="1"/>
  <c r="AZ3" i="40" s="1"/>
  <c r="EV51" i="55"/>
  <c r="EU51" i="55"/>
  <c r="GU51" i="55" s="1"/>
  <c r="ET52" i="55"/>
  <c r="FT203" i="55" a="1"/>
  <c r="FT203" i="55" s="1"/>
  <c r="FU203" i="55" s="1"/>
  <c r="FX203" i="55" a="1"/>
  <c r="FX203" i="55" s="1"/>
  <c r="FY203" i="55" s="1"/>
  <c r="FZ203" i="55" a="1"/>
  <c r="FZ203" i="55" s="1"/>
  <c r="GA203" i="55" s="1"/>
  <c r="FR203" i="55" a="1"/>
  <c r="FR203" i="55" s="1"/>
  <c r="FS203" i="55" s="1"/>
  <c r="FV203" i="55" a="1"/>
  <c r="FV203" i="55" s="1"/>
  <c r="FW203" i="55" s="1"/>
  <c r="FP203" i="55" a="1"/>
  <c r="FP203" i="55" s="1"/>
  <c r="FQ203" i="55" s="1"/>
  <c r="GC173" i="55"/>
  <c r="FC173" i="55"/>
  <c r="FA173" i="55"/>
  <c r="GB173" i="55" s="1"/>
  <c r="EW173" i="55"/>
  <c r="EZ173" i="55"/>
  <c r="GC246" i="55"/>
  <c r="FC246" i="55"/>
  <c r="EZ246" i="55"/>
  <c r="EW246" i="55"/>
  <c r="FA246" i="55"/>
  <c r="GB246" i="55" s="1"/>
  <c r="CY247" i="55" l="1"/>
  <c r="CZ246" i="55"/>
  <c r="CZ75" i="55"/>
  <c r="CY76" i="55"/>
  <c r="CZ125" i="55"/>
  <c r="CY126" i="55"/>
  <c r="CY306" i="55"/>
  <c r="CZ305" i="55"/>
  <c r="FX150" i="55" a="1"/>
  <c r="FX150" i="55" s="1"/>
  <c r="FY150" i="55" s="1"/>
  <c r="FV150" i="55" a="1"/>
  <c r="FV150" i="55" s="1"/>
  <c r="FW150" i="55" s="1"/>
  <c r="FZ150" i="55" a="1"/>
  <c r="FZ150" i="55" s="1"/>
  <c r="GA150" i="55" s="1"/>
  <c r="FT150" i="55" a="1"/>
  <c r="FT150" i="55" s="1"/>
  <c r="FU150" i="55" s="1"/>
  <c r="FR150" i="55" a="1"/>
  <c r="FR150" i="55" s="1"/>
  <c r="FS150" i="55" s="1"/>
  <c r="FP150" i="55" a="1"/>
  <c r="FP150" i="55" s="1"/>
  <c r="FQ150" i="55" s="1"/>
  <c r="FZ204" i="55" a="1"/>
  <c r="FZ204" i="55" s="1"/>
  <c r="GA204" i="55" s="1"/>
  <c r="FV204" i="55" a="1"/>
  <c r="FV204" i="55" s="1"/>
  <c r="FW204" i="55" s="1"/>
  <c r="FX204" i="55" a="1"/>
  <c r="FX204" i="55" s="1"/>
  <c r="FY204" i="55" s="1"/>
  <c r="FT204" i="55" a="1"/>
  <c r="FT204" i="55" s="1"/>
  <c r="FU204" i="55" s="1"/>
  <c r="FR204" i="55" a="1"/>
  <c r="FR204" i="55" s="1"/>
  <c r="FS204" i="55" s="1"/>
  <c r="FP204" i="55" a="1"/>
  <c r="FP204" i="55" s="1"/>
  <c r="FQ204" i="55" s="1"/>
  <c r="EU24" i="55"/>
  <c r="GU24" i="55" s="1"/>
  <c r="EV24" i="55"/>
  <c r="ET25" i="55"/>
  <c r="EV205" i="55"/>
  <c r="EU205" i="55"/>
  <c r="GU205" i="55" s="1"/>
  <c r="ET206" i="55"/>
  <c r="FN205" i="55"/>
  <c r="FO205" i="55" s="1"/>
  <c r="EU52" i="55"/>
  <c r="GU52" i="55" s="1"/>
  <c r="EV52" i="55"/>
  <c r="FZ122" i="55" a="1"/>
  <c r="FZ122" i="55" s="1"/>
  <c r="GA122" i="55" s="1"/>
  <c r="FX122" i="55" a="1"/>
  <c r="FX122" i="55" s="1"/>
  <c r="FY122" i="55" s="1"/>
  <c r="FT122" i="55" a="1"/>
  <c r="FT122" i="55" s="1"/>
  <c r="FU122" i="55" s="1"/>
  <c r="FP122" i="55" a="1"/>
  <c r="FP122" i="55" s="1"/>
  <c r="FQ122" i="55" s="1"/>
  <c r="FV122" i="55" a="1"/>
  <c r="FV122" i="55" s="1"/>
  <c r="FW122" i="55" s="1"/>
  <c r="FR122" i="55" a="1"/>
  <c r="FR122" i="55" s="1"/>
  <c r="FS122" i="55" s="1"/>
  <c r="EV123" i="55"/>
  <c r="EU123" i="55"/>
  <c r="GU123" i="55" s="1"/>
  <c r="ET124" i="55"/>
  <c r="FN123" i="55"/>
  <c r="FO123" i="55" s="1"/>
  <c r="GC75" i="55"/>
  <c r="FC75" i="55"/>
  <c r="EZ75" i="55"/>
  <c r="EW75" i="55"/>
  <c r="FA75" i="55"/>
  <c r="GB75" i="55" s="1"/>
  <c r="EV175" i="55"/>
  <c r="EU175" i="55"/>
  <c r="GU175" i="55" s="1"/>
  <c r="ET176" i="55"/>
  <c r="FN175" i="55"/>
  <c r="FO175" i="55" s="1"/>
  <c r="FD52" i="55"/>
  <c r="FG52" i="55"/>
  <c r="FE52" i="55"/>
  <c r="FI52" i="55" s="1"/>
  <c r="FF52" i="55"/>
  <c r="DG52" i="55"/>
  <c r="DH52" i="55" s="1"/>
  <c r="DJ52" i="55" s="1" a="1"/>
  <c r="DJ52" i="55" s="1"/>
  <c r="EL52" i="55"/>
  <c r="EM52" i="55" s="1"/>
  <c r="BA3" i="40" s="1" a="1"/>
  <c r="BA3" i="40" s="1"/>
  <c r="GC150" i="55"/>
  <c r="FC150" i="55"/>
  <c r="EZ150" i="55"/>
  <c r="FA150" i="55"/>
  <c r="GB150" i="55" s="1"/>
  <c r="EW150" i="55"/>
  <c r="EU76" i="55"/>
  <c r="GU76" i="55" s="1"/>
  <c r="EV76" i="55"/>
  <c r="ET77" i="55"/>
  <c r="FN76" i="55"/>
  <c r="FO76" i="55" s="1"/>
  <c r="FX174" i="55" a="1"/>
  <c r="FX174" i="55" s="1"/>
  <c r="FY174" i="55" s="1"/>
  <c r="FZ174" i="55" a="1"/>
  <c r="FZ174" i="55" s="1"/>
  <c r="GA174" i="55" s="1"/>
  <c r="FV174" i="55" a="1"/>
  <c r="FV174" i="55" s="1"/>
  <c r="FW174" i="55" s="1"/>
  <c r="FR174" i="55" a="1"/>
  <c r="FR174" i="55" s="1"/>
  <c r="FS174" i="55" s="1"/>
  <c r="FP174" i="55" a="1"/>
  <c r="FP174" i="55" s="1"/>
  <c r="FQ174" i="55" s="1"/>
  <c r="FT174" i="55" a="1"/>
  <c r="FT174" i="55" s="1"/>
  <c r="FU174" i="55" s="1"/>
  <c r="EZ23" i="55"/>
  <c r="EW23" i="55"/>
  <c r="FC23" i="55"/>
  <c r="FA23" i="55"/>
  <c r="GB23" i="55" s="1"/>
  <c r="GC204" i="55"/>
  <c r="FC204" i="55"/>
  <c r="FA204" i="55"/>
  <c r="GB204" i="55" s="1"/>
  <c r="EZ204" i="55"/>
  <c r="EW204" i="55"/>
  <c r="GC51" i="55"/>
  <c r="FA51" i="55"/>
  <c r="GB51" i="55" s="1"/>
  <c r="FC51" i="55"/>
  <c r="EW51" i="55"/>
  <c r="EZ51" i="55"/>
  <c r="FX247" i="55" a="1"/>
  <c r="FX247" i="55" s="1"/>
  <c r="FY247" i="55" s="1"/>
  <c r="FV247" i="55" a="1"/>
  <c r="FV247" i="55" s="1"/>
  <c r="FW247" i="55" s="1"/>
  <c r="FZ247" i="55" a="1"/>
  <c r="FZ247" i="55" s="1"/>
  <c r="GA247" i="55" s="1"/>
  <c r="FT247" i="55" a="1"/>
  <c r="FT247" i="55" s="1"/>
  <c r="FU247" i="55" s="1"/>
  <c r="FP247" i="55" a="1"/>
  <c r="FP247" i="55" s="1"/>
  <c r="FQ247" i="55" s="1"/>
  <c r="FR247" i="55" a="1"/>
  <c r="FR247" i="55" s="1"/>
  <c r="FS247" i="55" s="1"/>
  <c r="CY177" i="55"/>
  <c r="CZ176" i="55"/>
  <c r="GC303" i="55"/>
  <c r="FA303" i="55"/>
  <c r="GB303" i="55" s="1"/>
  <c r="FC303" i="55"/>
  <c r="EZ303" i="55"/>
  <c r="EW303" i="55"/>
  <c r="CY208" i="55"/>
  <c r="CZ207" i="55"/>
  <c r="FV24" i="55" a="1"/>
  <c r="FV24" i="55" s="1"/>
  <c r="FW24" i="55" s="1"/>
  <c r="FZ24" i="55" a="1"/>
  <c r="FZ24" i="55" s="1"/>
  <c r="GA24" i="55" s="1"/>
  <c r="FX24" i="55" a="1"/>
  <c r="FX24" i="55" s="1"/>
  <c r="FY24" i="55" s="1"/>
  <c r="FT24" i="55" a="1"/>
  <c r="FT24" i="55" s="1"/>
  <c r="FU24" i="55" s="1"/>
  <c r="FR24" i="55" a="1"/>
  <c r="FR24" i="55" s="1"/>
  <c r="FS24" i="55" s="1"/>
  <c r="FP24" i="55" a="1"/>
  <c r="FP24" i="55" s="1"/>
  <c r="FQ24" i="55" s="1"/>
  <c r="EV151" i="55"/>
  <c r="EU151" i="55"/>
  <c r="GU151" i="55" s="1"/>
  <c r="ET152" i="55"/>
  <c r="FN151" i="55"/>
  <c r="FO151" i="55" s="1"/>
  <c r="DK51" i="55"/>
  <c r="DN51" i="55"/>
  <c r="FT75" i="55" a="1"/>
  <c r="FT75" i="55" s="1"/>
  <c r="FU75" i="55" s="1"/>
  <c r="FZ75" i="55" a="1"/>
  <c r="FZ75" i="55" s="1"/>
  <c r="GA75" i="55" s="1"/>
  <c r="FX75" i="55" a="1"/>
  <c r="FX75" i="55" s="1"/>
  <c r="FY75" i="55" s="1"/>
  <c r="FR75" i="55" a="1"/>
  <c r="FR75" i="55" s="1"/>
  <c r="FS75" i="55" s="1"/>
  <c r="FV75" i="55" a="1"/>
  <c r="FV75" i="55" s="1"/>
  <c r="FW75" i="55" s="1"/>
  <c r="FP75" i="55" a="1"/>
  <c r="FP75" i="55" s="1"/>
  <c r="FQ75" i="55" s="1"/>
  <c r="GC122" i="55"/>
  <c r="FA122" i="55"/>
  <c r="GB122" i="55" s="1"/>
  <c r="FC122" i="55"/>
  <c r="EZ122" i="55"/>
  <c r="EW122" i="55"/>
  <c r="EU248" i="55"/>
  <c r="GU248" i="55" s="1"/>
  <c r="EV248" i="55"/>
  <c r="ET249" i="55"/>
  <c r="FN248" i="55"/>
  <c r="FO248" i="55" s="1"/>
  <c r="FV303" i="55" a="1"/>
  <c r="FV303" i="55" s="1"/>
  <c r="FW303" i="55" s="1"/>
  <c r="FZ303" i="55" a="1"/>
  <c r="FZ303" i="55" s="1"/>
  <c r="GA303" i="55" s="1"/>
  <c r="FX303" i="55" a="1"/>
  <c r="FX303" i="55" s="1"/>
  <c r="FY303" i="55" s="1"/>
  <c r="FT303" i="55" a="1"/>
  <c r="FT303" i="55" s="1"/>
  <c r="FU303" i="55" s="1"/>
  <c r="FP303" i="55" a="1"/>
  <c r="FP303" i="55" s="1"/>
  <c r="FQ303" i="55" s="1"/>
  <c r="FR303" i="55" a="1"/>
  <c r="FR303" i="55" s="1"/>
  <c r="FS303" i="55" s="1"/>
  <c r="GC174" i="55"/>
  <c r="FA174" i="55"/>
  <c r="GB174" i="55" s="1"/>
  <c r="FC174" i="55"/>
  <c r="EW174" i="55"/>
  <c r="EZ174" i="55"/>
  <c r="DN25" i="55"/>
  <c r="DK25" i="55"/>
  <c r="DL25" i="55"/>
  <c r="DO25" i="55" s="1"/>
  <c r="AE11" i="54" a="1"/>
  <c r="AE11" i="54" s="1"/>
  <c r="AE12" i="54" a="1"/>
  <c r="AE12" i="54" s="1"/>
  <c r="GC247" i="55"/>
  <c r="EZ247" i="55"/>
  <c r="EW247" i="55"/>
  <c r="FC247" i="55"/>
  <c r="FA247" i="55"/>
  <c r="GB247" i="55" s="1"/>
  <c r="EU304" i="55"/>
  <c r="GU304" i="55" s="1"/>
  <c r="EV304" i="55"/>
  <c r="ET305" i="55"/>
  <c r="FN304" i="55"/>
  <c r="FO304" i="55" s="1"/>
  <c r="CZ76" i="55" l="1"/>
  <c r="CY77" i="55"/>
  <c r="CZ306" i="55"/>
  <c r="CY307" i="55"/>
  <c r="CZ126" i="55"/>
  <c r="CY127" i="55"/>
  <c r="CZ247" i="55"/>
  <c r="CY248" i="55"/>
  <c r="FV175" i="55" a="1"/>
  <c r="FV175" i="55" s="1"/>
  <c r="FW175" i="55" s="1"/>
  <c r="FZ175" i="55" a="1"/>
  <c r="FZ175" i="55" s="1"/>
  <c r="GA175" i="55" s="1"/>
  <c r="FX175" i="55" a="1"/>
  <c r="FX175" i="55" s="1"/>
  <c r="FY175" i="55" s="1"/>
  <c r="FT175" i="55" a="1"/>
  <c r="FT175" i="55" s="1"/>
  <c r="FU175" i="55" s="1"/>
  <c r="FP175" i="55" a="1"/>
  <c r="FP175" i="55" s="1"/>
  <c r="FQ175" i="55" s="1"/>
  <c r="FR175" i="55" a="1"/>
  <c r="FR175" i="55" s="1"/>
  <c r="FS175" i="55" s="1"/>
  <c r="EV176" i="55"/>
  <c r="EU176" i="55"/>
  <c r="GU176" i="55" s="1"/>
  <c r="ET177" i="55"/>
  <c r="FN176" i="55"/>
  <c r="FO176" i="55" s="1"/>
  <c r="DL31" i="55"/>
  <c r="DO31" i="55" s="1"/>
  <c r="DL32" i="55"/>
  <c r="DO32" i="55" s="1"/>
  <c r="DL33" i="55"/>
  <c r="DO33" i="55" s="1"/>
  <c r="DL34" i="55"/>
  <c r="DO34" i="55" s="1"/>
  <c r="DL35" i="55"/>
  <c r="DO35" i="55" s="1"/>
  <c r="DL36" i="55"/>
  <c r="DO36" i="55" s="1"/>
  <c r="DL37" i="55"/>
  <c r="DO37" i="55" s="1"/>
  <c r="DL38" i="55"/>
  <c r="DO38" i="55" s="1"/>
  <c r="DL39" i="55"/>
  <c r="DO39" i="55" s="1"/>
  <c r="DL40" i="55"/>
  <c r="DO40" i="55" s="1"/>
  <c r="DL41" i="55"/>
  <c r="DO41" i="55" s="1"/>
  <c r="DL42" i="55"/>
  <c r="DO42" i="55" s="1"/>
  <c r="DL43" i="55"/>
  <c r="DO43" i="55" s="1"/>
  <c r="DL44" i="55"/>
  <c r="DO44" i="55" s="1"/>
  <c r="DL45" i="55"/>
  <c r="DO45" i="55" s="1"/>
  <c r="DL46" i="55"/>
  <c r="DO46" i="55" s="1"/>
  <c r="DL47" i="55"/>
  <c r="DO47" i="55" s="1"/>
  <c r="DL48" i="55"/>
  <c r="DO48" i="55" s="1"/>
  <c r="DL49" i="55"/>
  <c r="DO49" i="55" s="1"/>
  <c r="DL50" i="55"/>
  <c r="DO50" i="55" s="1"/>
  <c r="DL27" i="55"/>
  <c r="DO27" i="55" s="1"/>
  <c r="DL28" i="55"/>
  <c r="DO28" i="55" s="1"/>
  <c r="DL26" i="55"/>
  <c r="DO26" i="55" s="1"/>
  <c r="FZ248" i="55" a="1"/>
  <c r="FZ248" i="55" s="1"/>
  <c r="GA248" i="55" s="1"/>
  <c r="FV248" i="55" a="1"/>
  <c r="FV248" i="55" s="1"/>
  <c r="FW248" i="55" s="1"/>
  <c r="FX248" i="55" a="1"/>
  <c r="FX248" i="55" s="1"/>
  <c r="FY248" i="55" s="1"/>
  <c r="FT248" i="55" a="1"/>
  <c r="FT248" i="55" s="1"/>
  <c r="FU248" i="55" s="1"/>
  <c r="FP248" i="55" a="1"/>
  <c r="FP248" i="55" s="1"/>
  <c r="FQ248" i="55" s="1"/>
  <c r="FR248" i="55" a="1"/>
  <c r="FR248" i="55" s="1"/>
  <c r="FS248" i="55" s="1"/>
  <c r="DL51" i="55"/>
  <c r="DO51" i="55" s="1"/>
  <c r="EU249" i="55"/>
  <c r="GU249" i="55" s="1"/>
  <c r="EV249" i="55"/>
  <c r="ET250" i="55"/>
  <c r="FN249" i="55"/>
  <c r="FO249" i="55" s="1"/>
  <c r="EU124" i="55"/>
  <c r="GU124" i="55" s="1"/>
  <c r="EV124" i="55"/>
  <c r="ET125" i="55"/>
  <c r="FN124" i="55"/>
  <c r="FO124" i="55" s="1"/>
  <c r="GC205" i="55"/>
  <c r="FC205" i="55"/>
  <c r="FA205" i="55"/>
  <c r="GB205" i="55" s="1"/>
  <c r="EZ205" i="55"/>
  <c r="EW205" i="55"/>
  <c r="GC52" i="55"/>
  <c r="EZ52" i="55"/>
  <c r="FA52" i="55"/>
  <c r="GB52" i="55" s="1"/>
  <c r="FC52" i="55"/>
  <c r="EW52" i="55"/>
  <c r="BU11" i="54" a="1"/>
  <c r="BU11" i="54" s="1"/>
  <c r="GC248" i="55"/>
  <c r="EW248" i="55"/>
  <c r="EZ248" i="55"/>
  <c r="FA248" i="55"/>
  <c r="GB248" i="55" s="1"/>
  <c r="FC248" i="55"/>
  <c r="FV205" i="55" a="1"/>
  <c r="FV205" i="55" s="1"/>
  <c r="FW205" i="55" s="1"/>
  <c r="FT205" i="55" a="1"/>
  <c r="FT205" i="55" s="1"/>
  <c r="FU205" i="55" s="1"/>
  <c r="FX205" i="55" a="1"/>
  <c r="FX205" i="55" s="1"/>
  <c r="FY205" i="55" s="1"/>
  <c r="FZ205" i="55" a="1"/>
  <c r="FZ205" i="55" s="1"/>
  <c r="GA205" i="55" s="1"/>
  <c r="FR205" i="55" a="1"/>
  <c r="FR205" i="55" s="1"/>
  <c r="FS205" i="55" s="1"/>
  <c r="FP205" i="55" a="1"/>
  <c r="FP205" i="55" s="1"/>
  <c r="FQ205" i="55" s="1"/>
  <c r="GC151" i="55"/>
  <c r="EZ151" i="55"/>
  <c r="FA151" i="55"/>
  <c r="GB151" i="55" s="1"/>
  <c r="FC151" i="55"/>
  <c r="EW151" i="55"/>
  <c r="FV304" i="55" a="1"/>
  <c r="FV304" i="55" s="1"/>
  <c r="FW304" i="55" s="1"/>
  <c r="FX304" i="55" a="1"/>
  <c r="FX304" i="55" s="1"/>
  <c r="FY304" i="55" s="1"/>
  <c r="FZ304" i="55" a="1"/>
  <c r="FZ304" i="55" s="1"/>
  <c r="GA304" i="55" s="1"/>
  <c r="FT304" i="55" a="1"/>
  <c r="FT304" i="55" s="1"/>
  <c r="FU304" i="55" s="1"/>
  <c r="FR304" i="55" a="1"/>
  <c r="FR304" i="55" s="1"/>
  <c r="FS304" i="55" s="1"/>
  <c r="FP304" i="55" a="1"/>
  <c r="FP304" i="55" s="1"/>
  <c r="FQ304" i="55" s="1"/>
  <c r="BW10" i="54"/>
  <c r="FZ76" i="55" a="1"/>
  <c r="FZ76" i="55" s="1"/>
  <c r="GA76" i="55" s="1"/>
  <c r="FT76" i="55" a="1"/>
  <c r="FT76" i="55" s="1"/>
  <c r="FU76" i="55" s="1"/>
  <c r="FV76" i="55" a="1"/>
  <c r="FV76" i="55" s="1"/>
  <c r="FW76" i="55" s="1"/>
  <c r="FR76" i="55" a="1"/>
  <c r="FR76" i="55" s="1"/>
  <c r="FS76" i="55" s="1"/>
  <c r="FX76" i="55" a="1"/>
  <c r="FX76" i="55" s="1"/>
  <c r="FY76" i="55" s="1"/>
  <c r="FP76" i="55" a="1"/>
  <c r="FP76" i="55" s="1"/>
  <c r="FQ76" i="55" s="1"/>
  <c r="EU25" i="55"/>
  <c r="GU25" i="55" s="1"/>
  <c r="EV25" i="55"/>
  <c r="BD12" i="54"/>
  <c r="BB12" i="54"/>
  <c r="BC12" i="54"/>
  <c r="DN52" i="55"/>
  <c r="DK52" i="55"/>
  <c r="AC3" i="57" s="1" a="1"/>
  <c r="AC3" i="57" s="1"/>
  <c r="DL52" i="55"/>
  <c r="DO52" i="55" s="1"/>
  <c r="FZ151" i="55" a="1"/>
  <c r="FZ151" i="55" s="1"/>
  <c r="GA151" i="55" s="1"/>
  <c r="FX151" i="55" a="1"/>
  <c r="FX151" i="55" s="1"/>
  <c r="FY151" i="55" s="1"/>
  <c r="FT151" i="55" a="1"/>
  <c r="FT151" i="55" s="1"/>
  <c r="FU151" i="55" s="1"/>
  <c r="FP151" i="55" a="1"/>
  <c r="FP151" i="55" s="1"/>
  <c r="FQ151" i="55" s="1"/>
  <c r="FV151" i="55" a="1"/>
  <c r="FV151" i="55" s="1"/>
  <c r="FW151" i="55" s="1"/>
  <c r="FR151" i="55" a="1"/>
  <c r="FR151" i="55" s="1"/>
  <c r="FS151" i="55" s="1"/>
  <c r="EV152" i="55"/>
  <c r="EU152" i="55"/>
  <c r="GU152" i="55" s="1"/>
  <c r="ET153" i="55"/>
  <c r="FN152" i="55"/>
  <c r="FO152" i="55" s="1"/>
  <c r="EV206" i="55"/>
  <c r="EU206" i="55"/>
  <c r="GU206" i="55" s="1"/>
  <c r="ET207" i="55"/>
  <c r="FN206" i="55"/>
  <c r="FO206" i="55" s="1"/>
  <c r="FV123" i="55" a="1"/>
  <c r="FV123" i="55" s="1"/>
  <c r="FW123" i="55" s="1"/>
  <c r="FZ123" i="55" a="1"/>
  <c r="FZ123" i="55" s="1"/>
  <c r="GA123" i="55" s="1"/>
  <c r="FR123" i="55" a="1"/>
  <c r="FR123" i="55" s="1"/>
  <c r="FS123" i="55" s="1"/>
  <c r="FT123" i="55" a="1"/>
  <c r="FT123" i="55" s="1"/>
  <c r="FU123" i="55" s="1"/>
  <c r="FP123" i="55" a="1"/>
  <c r="FP123" i="55" s="1"/>
  <c r="FQ123" i="55" s="1"/>
  <c r="FX123" i="55" a="1"/>
  <c r="FX123" i="55" s="1"/>
  <c r="FY123" i="55" s="1"/>
  <c r="EV305" i="55"/>
  <c r="EU305" i="55"/>
  <c r="GU305" i="55" s="1"/>
  <c r="ET306" i="55"/>
  <c r="FN305" i="55"/>
  <c r="FO305" i="55" s="1"/>
  <c r="EU77" i="55"/>
  <c r="GU77" i="55" s="1"/>
  <c r="EV77" i="55"/>
  <c r="ET78" i="55"/>
  <c r="FN77" i="55"/>
  <c r="FO77" i="55" s="1"/>
  <c r="GC123" i="55"/>
  <c r="FA123" i="55"/>
  <c r="GB123" i="55" s="1"/>
  <c r="EZ123" i="55"/>
  <c r="EW123" i="55"/>
  <c r="FC123" i="55"/>
  <c r="GC24" i="55"/>
  <c r="EW24" i="55"/>
  <c r="EZ24" i="55"/>
  <c r="FC24" i="55"/>
  <c r="FA24" i="55"/>
  <c r="GB24" i="55" s="1"/>
  <c r="CY209" i="55"/>
  <c r="CZ208" i="55"/>
  <c r="GC175" i="55"/>
  <c r="FA175" i="55"/>
  <c r="GB175" i="55" s="1"/>
  <c r="FC175" i="55"/>
  <c r="EW175" i="55"/>
  <c r="EZ175" i="55"/>
  <c r="GC304" i="55"/>
  <c r="EZ304" i="55"/>
  <c r="FA304" i="55"/>
  <c r="GB304" i="55" s="1"/>
  <c r="FC304" i="55"/>
  <c r="EW304" i="55"/>
  <c r="CY178" i="55"/>
  <c r="CZ177" i="55"/>
  <c r="GC76" i="55"/>
  <c r="FC76" i="55"/>
  <c r="EZ76" i="55"/>
  <c r="EW76" i="55"/>
  <c r="FA76" i="55"/>
  <c r="GB76" i="55" s="1"/>
  <c r="CY308" i="55" l="1"/>
  <c r="CZ307" i="55"/>
  <c r="CZ127" i="55"/>
  <c r="CY128" i="55"/>
  <c r="CY78" i="55"/>
  <c r="CZ77" i="55"/>
  <c r="CY249" i="55"/>
  <c r="CZ248" i="55"/>
  <c r="D53" i="57" a="1"/>
  <c r="D53" i="57" s="1"/>
  <c r="D20" i="57" a="1"/>
  <c r="D20" i="57" s="1"/>
  <c r="C53" i="57" a="1"/>
  <c r="C53" i="57" s="1"/>
  <c r="G9" i="57" a="1"/>
  <c r="G9" i="57" s="1"/>
  <c r="E53" i="57" a="1"/>
  <c r="E53" i="57" s="1"/>
  <c r="F9" i="57" a="1"/>
  <c r="F9" i="57" s="1"/>
  <c r="C5" i="57" a="1"/>
  <c r="C5" i="57" s="1"/>
  <c r="D31" i="57" a="1"/>
  <c r="D31" i="57" s="1"/>
  <c r="D9" i="57" a="1"/>
  <c r="D9" i="57" s="1"/>
  <c r="G53" i="57" a="1"/>
  <c r="G53" i="57" s="1"/>
  <c r="E9" i="57" a="1"/>
  <c r="E9" i="57" s="1"/>
  <c r="F53" i="57" a="1"/>
  <c r="F53" i="57" s="1"/>
  <c r="C83" i="57" a="1"/>
  <c r="C83" i="57" s="1"/>
  <c r="D42" i="57" a="1"/>
  <c r="D42" i="57" s="1"/>
  <c r="C42" i="57" a="1"/>
  <c r="C42" i="57" s="1"/>
  <c r="FV77" i="55" a="1"/>
  <c r="FV77" i="55" s="1"/>
  <c r="FW77" i="55" s="1"/>
  <c r="FZ77" i="55" a="1"/>
  <c r="FZ77" i="55" s="1"/>
  <c r="GA77" i="55" s="1"/>
  <c r="FT77" i="55" a="1"/>
  <c r="FT77" i="55" s="1"/>
  <c r="FU77" i="55" s="1"/>
  <c r="FX77" i="55" a="1"/>
  <c r="FX77" i="55" s="1"/>
  <c r="FY77" i="55" s="1"/>
  <c r="FR77" i="55" a="1"/>
  <c r="FR77" i="55" s="1"/>
  <c r="FS77" i="55" s="1"/>
  <c r="FP77" i="55" a="1"/>
  <c r="FP77" i="55" s="1"/>
  <c r="FQ77" i="55" s="1"/>
  <c r="EV207" i="55"/>
  <c r="EU207" i="55"/>
  <c r="GU207" i="55" s="1"/>
  <c r="ET208" i="55"/>
  <c r="FN207" i="55"/>
  <c r="FO207" i="55" s="1"/>
  <c r="EV78" i="55"/>
  <c r="EU78" i="55"/>
  <c r="GU78" i="55" s="1"/>
  <c r="ET79" i="55"/>
  <c r="FN78" i="55"/>
  <c r="FO78" i="55" s="1"/>
  <c r="GC124" i="55"/>
  <c r="FA124" i="55"/>
  <c r="GB124" i="55" s="1"/>
  <c r="EZ124" i="55"/>
  <c r="EW124" i="55"/>
  <c r="FC124" i="55"/>
  <c r="FT249" i="55" a="1"/>
  <c r="FT249" i="55" s="1"/>
  <c r="FU249" i="55" s="1"/>
  <c r="FX249" i="55" a="1"/>
  <c r="FX249" i="55" s="1"/>
  <c r="FY249" i="55" s="1"/>
  <c r="FZ249" i="55" a="1"/>
  <c r="FZ249" i="55" s="1"/>
  <c r="GA249" i="55" s="1"/>
  <c r="FR249" i="55" a="1"/>
  <c r="FR249" i="55" s="1"/>
  <c r="FS249" i="55" s="1"/>
  <c r="FV249" i="55" a="1"/>
  <c r="FV249" i="55" s="1"/>
  <c r="FW249" i="55" s="1"/>
  <c r="FP249" i="55" a="1"/>
  <c r="FP249" i="55" s="1"/>
  <c r="FQ249" i="55" s="1"/>
  <c r="EV250" i="55"/>
  <c r="EU250" i="55"/>
  <c r="GU250" i="55" s="1"/>
  <c r="ET251" i="55"/>
  <c r="FN250" i="55"/>
  <c r="FO250" i="55" s="1"/>
  <c r="EV153" i="55"/>
  <c r="EU153" i="55"/>
  <c r="GU153" i="55" s="1"/>
  <c r="FN153" i="55"/>
  <c r="FO153" i="55" s="1"/>
  <c r="CY179" i="55"/>
  <c r="CZ178" i="55"/>
  <c r="GC305" i="55"/>
  <c r="EZ305" i="55"/>
  <c r="FC305" i="55"/>
  <c r="EW305" i="55"/>
  <c r="FA305" i="55"/>
  <c r="GB305" i="55" s="1"/>
  <c r="EV125" i="55"/>
  <c r="EU125" i="55"/>
  <c r="GU125" i="55" s="1"/>
  <c r="ET126" i="55"/>
  <c r="FN125" i="55"/>
  <c r="FO125" i="55" s="1"/>
  <c r="GC25" i="55"/>
  <c r="EW25" i="55"/>
  <c r="FC25" i="55"/>
  <c r="FA25" i="55"/>
  <c r="GB25" i="55" s="1"/>
  <c r="EZ25" i="55"/>
  <c r="BW11" i="54"/>
  <c r="GC249" i="55"/>
  <c r="EZ249" i="55"/>
  <c r="FC249" i="55"/>
  <c r="FA249" i="55"/>
  <c r="GB249" i="55" s="1"/>
  <c r="EW249" i="55"/>
  <c r="BW12" i="54"/>
  <c r="AR31" i="55"/>
  <c r="FV176" i="55" a="1"/>
  <c r="FV176" i="55" s="1"/>
  <c r="FW176" i="55" s="1"/>
  <c r="FX176" i="55" a="1"/>
  <c r="FX176" i="55" s="1"/>
  <c r="FY176" i="55" s="1"/>
  <c r="FT176" i="55" a="1"/>
  <c r="FT176" i="55" s="1"/>
  <c r="FU176" i="55" s="1"/>
  <c r="FZ176" i="55" a="1"/>
  <c r="FZ176" i="55" s="1"/>
  <c r="GA176" i="55" s="1"/>
  <c r="FP176" i="55" a="1"/>
  <c r="FP176" i="55" s="1"/>
  <c r="FQ176" i="55" s="1"/>
  <c r="FR176" i="55" a="1"/>
  <c r="FR176" i="55" s="1"/>
  <c r="FS176" i="55" s="1"/>
  <c r="GC77" i="55"/>
  <c r="FC77" i="55"/>
  <c r="EZ77" i="55"/>
  <c r="EW77" i="55"/>
  <c r="FA77" i="55"/>
  <c r="GB77" i="55" s="1"/>
  <c r="GC206" i="55"/>
  <c r="FA206" i="55"/>
  <c r="GB206" i="55" s="1"/>
  <c r="FC206" i="55"/>
  <c r="EW206" i="55"/>
  <c r="EZ206" i="55"/>
  <c r="Z12" i="54"/>
  <c r="GC176" i="55"/>
  <c r="EZ176" i="55"/>
  <c r="FA176" i="55"/>
  <c r="GB176" i="55" s="1"/>
  <c r="FC176" i="55"/>
  <c r="EW176" i="55"/>
  <c r="CZ209" i="55"/>
  <c r="CY210" i="55"/>
  <c r="FZ305" i="55" a="1"/>
  <c r="FZ305" i="55" s="1"/>
  <c r="GA305" i="55" s="1"/>
  <c r="FX305" i="55" a="1"/>
  <c r="FX305" i="55" s="1"/>
  <c r="FY305" i="55" s="1"/>
  <c r="FT305" i="55" a="1"/>
  <c r="FT305" i="55" s="1"/>
  <c r="FU305" i="55" s="1"/>
  <c r="FV305" i="55" a="1"/>
  <c r="FV305" i="55" s="1"/>
  <c r="FW305" i="55" s="1"/>
  <c r="FR305" i="55" a="1"/>
  <c r="FR305" i="55" s="1"/>
  <c r="FS305" i="55" s="1"/>
  <c r="FP305" i="55" a="1"/>
  <c r="FP305" i="55" s="1"/>
  <c r="FQ305" i="55" s="1"/>
  <c r="FX124" i="55" a="1"/>
  <c r="FX124" i="55" s="1"/>
  <c r="FY124" i="55" s="1"/>
  <c r="FZ124" i="55" a="1"/>
  <c r="FZ124" i="55" s="1"/>
  <c r="GA124" i="55" s="1"/>
  <c r="FV124" i="55" a="1"/>
  <c r="FV124" i="55" s="1"/>
  <c r="FW124" i="55" s="1"/>
  <c r="FT124" i="55" a="1"/>
  <c r="FT124" i="55" s="1"/>
  <c r="FU124" i="55" s="1"/>
  <c r="FR124" i="55" a="1"/>
  <c r="FR124" i="55" s="1"/>
  <c r="FS124" i="55" s="1"/>
  <c r="FP124" i="55" a="1"/>
  <c r="FP124" i="55" s="1"/>
  <c r="FQ124" i="55" s="1"/>
  <c r="FZ206" i="55" a="1"/>
  <c r="FZ206" i="55" s="1"/>
  <c r="GA206" i="55" s="1"/>
  <c r="FX206" i="55" a="1"/>
  <c r="FX206" i="55" s="1"/>
  <c r="FY206" i="55" s="1"/>
  <c r="FV206" i="55" a="1"/>
  <c r="FV206" i="55" s="1"/>
  <c r="FW206" i="55" s="1"/>
  <c r="FT206" i="55" a="1"/>
  <c r="FT206" i="55" s="1"/>
  <c r="FU206" i="55" s="1"/>
  <c r="FR206" i="55" a="1"/>
  <c r="FR206" i="55" s="1"/>
  <c r="FS206" i="55" s="1"/>
  <c r="FP206" i="55" a="1"/>
  <c r="FP206" i="55" s="1"/>
  <c r="FQ206" i="55" s="1"/>
  <c r="BQ12" i="54"/>
  <c r="BQ10" i="54"/>
  <c r="EU177" i="55"/>
  <c r="GU177" i="55" s="1"/>
  <c r="EV177" i="55"/>
  <c r="ET178" i="55"/>
  <c r="FN177" i="55"/>
  <c r="FO177" i="55" s="1"/>
  <c r="FV152" i="55" a="1"/>
  <c r="FV152" i="55" s="1"/>
  <c r="FW152" i="55" s="1"/>
  <c r="FX152" i="55" a="1"/>
  <c r="FX152" i="55" s="1"/>
  <c r="FY152" i="55" s="1"/>
  <c r="FZ152" i="55" a="1"/>
  <c r="FZ152" i="55" s="1"/>
  <c r="GA152" i="55" s="1"/>
  <c r="FT152" i="55" a="1"/>
  <c r="FT152" i="55" s="1"/>
  <c r="FU152" i="55" s="1"/>
  <c r="FR152" i="55" a="1"/>
  <c r="FR152" i="55" s="1"/>
  <c r="FS152" i="55" s="1"/>
  <c r="FP152" i="55" a="1"/>
  <c r="FP152" i="55" s="1"/>
  <c r="FQ152" i="55" s="1"/>
  <c r="EV306" i="55"/>
  <c r="EU306" i="55"/>
  <c r="GU306" i="55" s="1"/>
  <c r="ET307" i="55"/>
  <c r="FN306" i="55"/>
  <c r="FO306" i="55" s="1"/>
  <c r="GC152" i="55"/>
  <c r="EW152" i="55"/>
  <c r="FC152" i="55"/>
  <c r="FA152" i="55"/>
  <c r="GB152" i="55" s="1"/>
  <c r="EZ152" i="55"/>
  <c r="CZ78" i="55" l="1"/>
  <c r="CY79" i="55"/>
  <c r="CY129" i="55"/>
  <c r="CZ129" i="55" s="1"/>
  <c r="DD129" i="55" s="1"/>
  <c r="CZ128" i="55"/>
  <c r="CZ249" i="55"/>
  <c r="CY250" i="55"/>
  <c r="CY309" i="55"/>
  <c r="CZ308" i="55"/>
  <c r="GC177" i="55"/>
  <c r="EZ177" i="55"/>
  <c r="EW177" i="55"/>
  <c r="FA177" i="55"/>
  <c r="GB177" i="55" s="1"/>
  <c r="FC177" i="55"/>
  <c r="GC306" i="55"/>
  <c r="EZ306" i="55"/>
  <c r="FA306" i="55"/>
  <c r="GB306" i="55" s="1"/>
  <c r="EW306" i="55"/>
  <c r="FC306" i="55"/>
  <c r="BN29" i="55" a="1"/>
  <c r="BN29" i="55" s="1"/>
  <c r="EV208" i="55"/>
  <c r="EU208" i="55"/>
  <c r="GU208" i="55" s="1"/>
  <c r="ET209" i="55"/>
  <c r="FN208" i="55"/>
  <c r="FO208" i="55" s="1"/>
  <c r="C84" i="57"/>
  <c r="C85" i="57" s="1" a="1"/>
  <c r="C85" i="57" s="1"/>
  <c r="C87" i="57"/>
  <c r="C86" i="57"/>
  <c r="EU126" i="55"/>
  <c r="GU126" i="55" s="1"/>
  <c r="EV126" i="55"/>
  <c r="ET127" i="55"/>
  <c r="FN126" i="55"/>
  <c r="FO126" i="55" s="1"/>
  <c r="GC153" i="55"/>
  <c r="FC153" i="55"/>
  <c r="FA153" i="55"/>
  <c r="GB153" i="55" s="1"/>
  <c r="EZ153" i="55"/>
  <c r="EW153" i="55"/>
  <c r="FT125" i="55" a="1"/>
  <c r="FT125" i="55" s="1"/>
  <c r="FU125" i="55" s="1"/>
  <c r="FZ125" i="55" a="1"/>
  <c r="FZ125" i="55" s="1"/>
  <c r="GA125" i="55" s="1"/>
  <c r="FV125" i="55" a="1"/>
  <c r="FV125" i="55" s="1"/>
  <c r="FW125" i="55" s="1"/>
  <c r="FX125" i="55" a="1"/>
  <c r="FX125" i="55" s="1"/>
  <c r="FY125" i="55" s="1"/>
  <c r="FR125" i="55" a="1"/>
  <c r="FR125" i="55" s="1"/>
  <c r="FS125" i="55" s="1"/>
  <c r="FP125" i="55" a="1"/>
  <c r="FP125" i="55" s="1"/>
  <c r="FQ125" i="55" s="1"/>
  <c r="GC207" i="55"/>
  <c r="FA207" i="55"/>
  <c r="GB207" i="55" s="1"/>
  <c r="FC207" i="55"/>
  <c r="EW207" i="55"/>
  <c r="EZ207" i="55"/>
  <c r="FZ153" i="55" a="1"/>
  <c r="FZ153" i="55" s="1"/>
  <c r="GA153" i="55" s="1"/>
  <c r="FV153" i="55" a="1"/>
  <c r="FV153" i="55" s="1"/>
  <c r="FW153" i="55" s="1"/>
  <c r="FR153" i="55" a="1"/>
  <c r="FR153" i="55" s="1"/>
  <c r="FS153" i="55" s="1"/>
  <c r="FX153" i="55" a="1"/>
  <c r="FX153" i="55" s="1"/>
  <c r="FY153" i="55" s="1"/>
  <c r="FT153" i="55" a="1"/>
  <c r="FT153" i="55" s="1"/>
  <c r="FU153" i="55" s="1"/>
  <c r="FP153" i="55" a="1"/>
  <c r="FP153" i="55" s="1"/>
  <c r="FQ153" i="55" s="1"/>
  <c r="GC125" i="55"/>
  <c r="FA125" i="55"/>
  <c r="GB125" i="55" s="1"/>
  <c r="EZ125" i="55"/>
  <c r="EW125" i="55"/>
  <c r="FC125" i="55"/>
  <c r="CY211" i="55"/>
  <c r="CZ210" i="55"/>
  <c r="FX250" i="55" a="1"/>
  <c r="FX250" i="55" s="1"/>
  <c r="FY250" i="55" s="1"/>
  <c r="FV250" i="55" a="1"/>
  <c r="FV250" i="55" s="1"/>
  <c r="FW250" i="55" s="1"/>
  <c r="FZ250" i="55" a="1"/>
  <c r="FZ250" i="55" s="1"/>
  <c r="GA250" i="55" s="1"/>
  <c r="FT250" i="55" a="1"/>
  <c r="FT250" i="55" s="1"/>
  <c r="FU250" i="55" s="1"/>
  <c r="FP250" i="55" a="1"/>
  <c r="FP250" i="55" s="1"/>
  <c r="FQ250" i="55" s="1"/>
  <c r="FR250" i="55" a="1"/>
  <c r="FR250" i="55" s="1"/>
  <c r="FS250" i="55" s="1"/>
  <c r="C88" i="57"/>
  <c r="D5" i="57"/>
  <c r="C9" i="57" s="1" a="1"/>
  <c r="C9" i="57" s="1"/>
  <c r="FZ177" i="55" a="1"/>
  <c r="FZ177" i="55" s="1"/>
  <c r="GA177" i="55" s="1"/>
  <c r="FX177" i="55" a="1"/>
  <c r="FX177" i="55" s="1"/>
  <c r="FY177" i="55" s="1"/>
  <c r="FV177" i="55" a="1"/>
  <c r="FV177" i="55" s="1"/>
  <c r="FW177" i="55" s="1"/>
  <c r="FT177" i="55" a="1"/>
  <c r="FT177" i="55" s="1"/>
  <c r="FU177" i="55" s="1"/>
  <c r="FR177" i="55" a="1"/>
  <c r="FR177" i="55" s="1"/>
  <c r="FS177" i="55" s="1"/>
  <c r="FP177" i="55" a="1"/>
  <c r="FP177" i="55" s="1"/>
  <c r="FQ177" i="55" s="1"/>
  <c r="GC78" i="55"/>
  <c r="FA78" i="55"/>
  <c r="GB78" i="55" s="1"/>
  <c r="EW78" i="55"/>
  <c r="FC78" i="55"/>
  <c r="EZ78" i="55"/>
  <c r="EU251" i="55"/>
  <c r="GU251" i="55" s="1"/>
  <c r="EV251" i="55"/>
  <c r="ET252" i="55"/>
  <c r="FN251" i="55"/>
  <c r="FO251" i="55" s="1"/>
  <c r="FV306" i="55" a="1"/>
  <c r="FV306" i="55" s="1"/>
  <c r="FW306" i="55" s="1"/>
  <c r="FX306" i="55" a="1"/>
  <c r="FX306" i="55" s="1"/>
  <c r="FY306" i="55" s="1"/>
  <c r="FZ306" i="55" a="1"/>
  <c r="FZ306" i="55" s="1"/>
  <c r="GA306" i="55" s="1"/>
  <c r="FT306" i="55" a="1"/>
  <c r="FT306" i="55" s="1"/>
  <c r="FU306" i="55" s="1"/>
  <c r="FP306" i="55" a="1"/>
  <c r="FP306" i="55" s="1"/>
  <c r="FQ306" i="55" s="1"/>
  <c r="FR306" i="55" a="1"/>
  <c r="FR306" i="55" s="1"/>
  <c r="FS306" i="55" s="1"/>
  <c r="EV307" i="55"/>
  <c r="EU307" i="55"/>
  <c r="GU307" i="55" s="1"/>
  <c r="ET308" i="55"/>
  <c r="FN307" i="55"/>
  <c r="FO307" i="55" s="1"/>
  <c r="BR10" i="54" a="1"/>
  <c r="BR10" i="54" s="1"/>
  <c r="EU178" i="55"/>
  <c r="GU178" i="55" s="1"/>
  <c r="EV178" i="55"/>
  <c r="ET179" i="55"/>
  <c r="FN178" i="55"/>
  <c r="FO178" i="55" s="1"/>
  <c r="FT78" i="55" a="1"/>
  <c r="FT78" i="55" s="1"/>
  <c r="FU78" i="55" s="1"/>
  <c r="FZ78" i="55" a="1"/>
  <c r="FZ78" i="55" s="1"/>
  <c r="GA78" i="55" s="1"/>
  <c r="FV78" i="55" a="1"/>
  <c r="FV78" i="55" s="1"/>
  <c r="FW78" i="55" s="1"/>
  <c r="FX78" i="55" a="1"/>
  <c r="FX78" i="55" s="1"/>
  <c r="FY78" i="55" s="1"/>
  <c r="FR78" i="55" a="1"/>
  <c r="FR78" i="55" s="1"/>
  <c r="FS78" i="55" s="1"/>
  <c r="FP78" i="55" a="1"/>
  <c r="FP78" i="55" s="1"/>
  <c r="FQ78" i="55" s="1"/>
  <c r="GC250" i="55"/>
  <c r="FC250" i="55"/>
  <c r="EZ250" i="55"/>
  <c r="EW250" i="55"/>
  <c r="FA250" i="55"/>
  <c r="GB250" i="55" s="1"/>
  <c r="EU79" i="55"/>
  <c r="GU79" i="55" s="1"/>
  <c r="EV79" i="55"/>
  <c r="ET80" i="55"/>
  <c r="FN79" i="55"/>
  <c r="FO79" i="55" s="1"/>
  <c r="BR11" i="54" a="1"/>
  <c r="BR11" i="54" s="1"/>
  <c r="BR12" i="54" a="1"/>
  <c r="BR12" i="54" s="1"/>
  <c r="CY180" i="55"/>
  <c r="CZ179" i="55"/>
  <c r="FZ207" i="55" a="1"/>
  <c r="FZ207" i="55" s="1"/>
  <c r="GA207" i="55" s="1"/>
  <c r="FX207" i="55" a="1"/>
  <c r="FX207" i="55" s="1"/>
  <c r="FY207" i="55" s="1"/>
  <c r="FV207" i="55" a="1"/>
  <c r="FV207" i="55" s="1"/>
  <c r="FW207" i="55" s="1"/>
  <c r="FT207" i="55" a="1"/>
  <c r="FT207" i="55" s="1"/>
  <c r="FU207" i="55" s="1"/>
  <c r="FP207" i="55" a="1"/>
  <c r="FP207" i="55" s="1"/>
  <c r="FQ207" i="55" s="1"/>
  <c r="FR207" i="55" a="1"/>
  <c r="FR207" i="55" s="1"/>
  <c r="FS207" i="55" s="1"/>
  <c r="H9" i="57" a="1"/>
  <c r="H9" i="57" s="1"/>
  <c r="CY310" i="55" l="1"/>
  <c r="CZ309" i="55"/>
  <c r="CZ250" i="55"/>
  <c r="CY251" i="55"/>
  <c r="C20" i="57" a="1"/>
  <c r="C20" i="57" s="1"/>
  <c r="C64" i="57" a="1"/>
  <c r="C64" i="57" s="1"/>
  <c r="BB15" i="54"/>
  <c r="BC15" i="54"/>
  <c r="BD15" i="54"/>
  <c r="CY80" i="55"/>
  <c r="CY81" i="55" s="1"/>
  <c r="CY82" i="55" s="1"/>
  <c r="CY83" i="55" s="1"/>
  <c r="CY84" i="55" s="1"/>
  <c r="CY85" i="55" s="1"/>
  <c r="CY86" i="55" s="1"/>
  <c r="CY87" i="55" s="1"/>
  <c r="CZ79" i="55"/>
  <c r="C31" i="57" a="1"/>
  <c r="C31" i="57" s="1"/>
  <c r="GC126" i="55"/>
  <c r="FA126" i="55"/>
  <c r="GB126" i="55" s="1"/>
  <c r="EW126" i="55"/>
  <c r="EZ126" i="55"/>
  <c r="FC126" i="55"/>
  <c r="DU29" i="55"/>
  <c r="BO29" i="55"/>
  <c r="CB29" i="55"/>
  <c r="CC29" i="55" s="1"/>
  <c r="FZ79" i="55" a="1"/>
  <c r="FZ79" i="55" s="1"/>
  <c r="GA79" i="55" s="1"/>
  <c r="FX79" i="55" a="1"/>
  <c r="FX79" i="55" s="1"/>
  <c r="FY79" i="55" s="1"/>
  <c r="FV79" i="55" a="1"/>
  <c r="FV79" i="55" s="1"/>
  <c r="FW79" i="55" s="1"/>
  <c r="FT79" i="55" a="1"/>
  <c r="FT79" i="55" s="1"/>
  <c r="FU79" i="55" s="1"/>
  <c r="FP79" i="55" a="1"/>
  <c r="FP79" i="55" s="1"/>
  <c r="FQ79" i="55" s="1"/>
  <c r="FR79" i="55" a="1"/>
  <c r="FR79" i="55" s="1"/>
  <c r="FS79" i="55" s="1"/>
  <c r="FV178" i="55" a="1"/>
  <c r="FV178" i="55" s="1"/>
  <c r="FW178" i="55" s="1"/>
  <c r="FT178" i="55" a="1"/>
  <c r="FT178" i="55" s="1"/>
  <c r="FU178" i="55" s="1"/>
  <c r="FX178" i="55" a="1"/>
  <c r="FX178" i="55" s="1"/>
  <c r="FY178" i="55" s="1"/>
  <c r="FP178" i="55" a="1"/>
  <c r="FP178" i="55" s="1"/>
  <c r="FQ178" i="55" s="1"/>
  <c r="FZ178" i="55" a="1"/>
  <c r="FZ178" i="55" s="1"/>
  <c r="GA178" i="55" s="1"/>
  <c r="FR178" i="55" a="1"/>
  <c r="FR178" i="55" s="1"/>
  <c r="FS178" i="55" s="1"/>
  <c r="CY212" i="55"/>
  <c r="CZ211" i="55"/>
  <c r="EU127" i="55"/>
  <c r="GU127" i="55" s="1"/>
  <c r="EV127" i="55"/>
  <c r="ET128" i="55"/>
  <c r="FN127" i="55"/>
  <c r="FO127" i="55" s="1"/>
  <c r="EU80" i="55"/>
  <c r="GU80" i="55" s="1"/>
  <c r="EV80" i="55"/>
  <c r="ET81" i="55"/>
  <c r="FN80" i="55"/>
  <c r="FO80" i="55" s="1"/>
  <c r="FV251" i="55" a="1"/>
  <c r="FV251" i="55" s="1"/>
  <c r="FW251" i="55" s="1"/>
  <c r="FX251" i="55" a="1"/>
  <c r="FX251" i="55" s="1"/>
  <c r="FY251" i="55" s="1"/>
  <c r="FR251" i="55" a="1"/>
  <c r="FR251" i="55" s="1"/>
  <c r="FS251" i="55" s="1"/>
  <c r="FT251" i="55" a="1"/>
  <c r="FT251" i="55" s="1"/>
  <c r="FU251" i="55" s="1"/>
  <c r="FP251" i="55" a="1"/>
  <c r="FP251" i="55" s="1"/>
  <c r="FQ251" i="55" s="1"/>
  <c r="FZ251" i="55" a="1"/>
  <c r="FZ251" i="55" s="1"/>
  <c r="GA251" i="55" s="1"/>
  <c r="GC79" i="55"/>
  <c r="FC79" i="55"/>
  <c r="FA79" i="55"/>
  <c r="GB79" i="55" s="1"/>
  <c r="EZ79" i="55"/>
  <c r="EW79" i="55"/>
  <c r="EU179" i="55"/>
  <c r="GU179" i="55" s="1"/>
  <c r="EV179" i="55"/>
  <c r="ET180" i="55"/>
  <c r="FN179" i="55"/>
  <c r="FO179" i="55" s="1"/>
  <c r="EU252" i="55"/>
  <c r="GU252" i="55" s="1"/>
  <c r="EV252" i="55"/>
  <c r="ET253" i="55"/>
  <c r="FN252" i="55"/>
  <c r="FO252" i="55" s="1"/>
  <c r="EV209" i="55"/>
  <c r="EU209" i="55"/>
  <c r="GU209" i="55" s="1"/>
  <c r="ET210" i="55"/>
  <c r="FN209" i="55"/>
  <c r="FO209" i="55" s="1"/>
  <c r="FZ126" i="55" a="1"/>
  <c r="FZ126" i="55" s="1"/>
  <c r="GA126" i="55" s="1"/>
  <c r="FV126" i="55" a="1"/>
  <c r="FV126" i="55" s="1"/>
  <c r="FW126" i="55" s="1"/>
  <c r="FX126" i="55" a="1"/>
  <c r="FX126" i="55" s="1"/>
  <c r="FY126" i="55" s="1"/>
  <c r="FR126" i="55" a="1"/>
  <c r="FR126" i="55" s="1"/>
  <c r="FS126" i="55" s="1"/>
  <c r="FP126" i="55" a="1"/>
  <c r="FP126" i="55" s="1"/>
  <c r="FQ126" i="55" s="1"/>
  <c r="FT126" i="55" a="1"/>
  <c r="FT126" i="55" s="1"/>
  <c r="FU126" i="55" s="1"/>
  <c r="GC208" i="55"/>
  <c r="EZ208" i="55"/>
  <c r="FA208" i="55"/>
  <c r="GB208" i="55" s="1"/>
  <c r="FC208" i="55"/>
  <c r="EW208" i="55"/>
  <c r="CZ180" i="55"/>
  <c r="CY181" i="55"/>
  <c r="FZ307" i="55" a="1"/>
  <c r="FZ307" i="55" s="1"/>
  <c r="GA307" i="55" s="1"/>
  <c r="FX307" i="55" a="1"/>
  <c r="FX307" i="55" s="1"/>
  <c r="FY307" i="55" s="1"/>
  <c r="FV307" i="55" a="1"/>
  <c r="FV307" i="55" s="1"/>
  <c r="FW307" i="55" s="1"/>
  <c r="FT307" i="55" a="1"/>
  <c r="FT307" i="55" s="1"/>
  <c r="FU307" i="55" s="1"/>
  <c r="FP307" i="55" a="1"/>
  <c r="FP307" i="55" s="1"/>
  <c r="FQ307" i="55" s="1"/>
  <c r="FR307" i="55" a="1"/>
  <c r="FR307" i="55" s="1"/>
  <c r="FS307" i="55" s="1"/>
  <c r="GC307" i="55"/>
  <c r="FA307" i="55"/>
  <c r="GB307" i="55" s="1"/>
  <c r="FC307" i="55"/>
  <c r="EZ307" i="55"/>
  <c r="EW307" i="55"/>
  <c r="GC178" i="55"/>
  <c r="EZ178" i="55"/>
  <c r="FA178" i="55"/>
  <c r="GB178" i="55" s="1"/>
  <c r="EW178" i="55"/>
  <c r="FC178" i="55"/>
  <c r="GC251" i="55"/>
  <c r="FC251" i="55"/>
  <c r="EW251" i="55"/>
  <c r="EZ251" i="55"/>
  <c r="FA251" i="55"/>
  <c r="GB251" i="55" s="1"/>
  <c r="EU308" i="55"/>
  <c r="GU308" i="55" s="1"/>
  <c r="EV308" i="55"/>
  <c r="ET309" i="55"/>
  <c r="FN308" i="55"/>
  <c r="FO308" i="55" s="1"/>
  <c r="FV208" i="55" a="1"/>
  <c r="FV208" i="55" s="1"/>
  <c r="FW208" i="55" s="1"/>
  <c r="FX208" i="55" a="1"/>
  <c r="FX208" i="55" s="1"/>
  <c r="FY208" i="55" s="1"/>
  <c r="FT208" i="55" a="1"/>
  <c r="FT208" i="55" s="1"/>
  <c r="FU208" i="55" s="1"/>
  <c r="FZ208" i="55" a="1"/>
  <c r="FZ208" i="55" s="1"/>
  <c r="GA208" i="55" s="1"/>
  <c r="FR208" i="55" a="1"/>
  <c r="FR208" i="55" s="1"/>
  <c r="FS208" i="55" s="1"/>
  <c r="FP208" i="55" a="1"/>
  <c r="FP208" i="55" s="1"/>
  <c r="FQ208" i="55" s="1"/>
  <c r="CZ251" i="55" l="1"/>
  <c r="CY252" i="55"/>
  <c r="Z15" i="54"/>
  <c r="BN7" i="55" s="1" a="1"/>
  <c r="BN7" i="55" s="1"/>
  <c r="CY311" i="55"/>
  <c r="CZ310" i="55"/>
  <c r="EV210" i="55"/>
  <c r="EU210" i="55"/>
  <c r="GU210" i="55" s="1"/>
  <c r="ET211" i="55"/>
  <c r="FN210" i="55"/>
  <c r="FO210" i="55" s="1"/>
  <c r="GC308" i="55"/>
  <c r="EZ308" i="55"/>
  <c r="FA308" i="55"/>
  <c r="GB308" i="55" s="1"/>
  <c r="FC308" i="55"/>
  <c r="EW308" i="55"/>
  <c r="GC179" i="55"/>
  <c r="FA179" i="55"/>
  <c r="GB179" i="55" s="1"/>
  <c r="EW179" i="55"/>
  <c r="EZ179" i="55"/>
  <c r="FC179" i="55"/>
  <c r="GC80" i="55"/>
  <c r="EZ80" i="55"/>
  <c r="FC80" i="55"/>
  <c r="FA80" i="55"/>
  <c r="GB80" i="55" s="1"/>
  <c r="EW80" i="55"/>
  <c r="FZ127" i="55" a="1"/>
  <c r="FZ127" i="55" s="1"/>
  <c r="GA127" i="55" s="1"/>
  <c r="FX127" i="55" a="1"/>
  <c r="FX127" i="55" s="1"/>
  <c r="FY127" i="55" s="1"/>
  <c r="FT127" i="55" a="1"/>
  <c r="FT127" i="55" s="1"/>
  <c r="FU127" i="55" s="1"/>
  <c r="FV127" i="55" a="1"/>
  <c r="FV127" i="55" s="1"/>
  <c r="FW127" i="55" s="1"/>
  <c r="FP127" i="55" a="1"/>
  <c r="FP127" i="55" s="1"/>
  <c r="FQ127" i="55" s="1"/>
  <c r="FR127" i="55" a="1"/>
  <c r="FR127" i="55" s="1"/>
  <c r="FS127" i="55" s="1"/>
  <c r="CZ181" i="55"/>
  <c r="CY182" i="55"/>
  <c r="CH29" i="55"/>
  <c r="BE12" i="54" a="1"/>
  <c r="BE12" i="54" s="1"/>
  <c r="FX252" i="55" a="1"/>
  <c r="FX252" i="55" s="1"/>
  <c r="FY252" i="55" s="1"/>
  <c r="FV252" i="55" a="1"/>
  <c r="FV252" i="55" s="1"/>
  <c r="FW252" i="55" s="1"/>
  <c r="FZ252" i="55" a="1"/>
  <c r="FZ252" i="55" s="1"/>
  <c r="GA252" i="55" s="1"/>
  <c r="FR252" i="55" a="1"/>
  <c r="FR252" i="55" s="1"/>
  <c r="FS252" i="55" s="1"/>
  <c r="FT252" i="55" a="1"/>
  <c r="FT252" i="55" s="1"/>
  <c r="FU252" i="55" s="1"/>
  <c r="FP252" i="55" a="1"/>
  <c r="FP252" i="55" s="1"/>
  <c r="FQ252" i="55" s="1"/>
  <c r="EC29" i="55"/>
  <c r="EU253" i="55"/>
  <c r="GU253" i="55" s="1"/>
  <c r="EV253" i="55"/>
  <c r="ET254" i="55"/>
  <c r="FN253" i="55"/>
  <c r="FO253" i="55" s="1"/>
  <c r="GC252" i="55"/>
  <c r="FC252" i="55"/>
  <c r="FA252" i="55"/>
  <c r="GB252" i="55" s="1"/>
  <c r="EZ252" i="55"/>
  <c r="EW252" i="55"/>
  <c r="EU128" i="55"/>
  <c r="GU128" i="55" s="1"/>
  <c r="EV128" i="55"/>
  <c r="ET129" i="55"/>
  <c r="FN128" i="55"/>
  <c r="FO128" i="55" s="1"/>
  <c r="FR209" i="55" a="1"/>
  <c r="FR209" i="55" s="1"/>
  <c r="FS209" i="55" s="1"/>
  <c r="FX209" i="55" a="1"/>
  <c r="FX209" i="55" s="1"/>
  <c r="FY209" i="55" s="1"/>
  <c r="FV209" i="55" a="1"/>
  <c r="FV209" i="55" s="1"/>
  <c r="FW209" i="55" s="1"/>
  <c r="FT209" i="55" a="1"/>
  <c r="FT209" i="55" s="1"/>
  <c r="FU209" i="55" s="1"/>
  <c r="FZ209" i="55" a="1"/>
  <c r="FZ209" i="55" s="1"/>
  <c r="GA209" i="55" s="1"/>
  <c r="FP209" i="55" a="1"/>
  <c r="FP209" i="55" s="1"/>
  <c r="FQ209" i="55" s="1"/>
  <c r="GC127" i="55"/>
  <c r="FA127" i="55"/>
  <c r="GB127" i="55" s="1"/>
  <c r="EW127" i="55"/>
  <c r="EZ127" i="55"/>
  <c r="FC127" i="55"/>
  <c r="EV309" i="55"/>
  <c r="EU309" i="55"/>
  <c r="GU309" i="55" s="1"/>
  <c r="ET310" i="55"/>
  <c r="FN309" i="55"/>
  <c r="FO309" i="55" s="1"/>
  <c r="FZ308" i="55" a="1"/>
  <c r="FZ308" i="55" s="1"/>
  <c r="GA308" i="55" s="1"/>
  <c r="FX308" i="55" a="1"/>
  <c r="FX308" i="55" s="1"/>
  <c r="FY308" i="55" s="1"/>
  <c r="FV308" i="55" a="1"/>
  <c r="FV308" i="55" s="1"/>
  <c r="FW308" i="55" s="1"/>
  <c r="FR308" i="55" a="1"/>
  <c r="FR308" i="55" s="1"/>
  <c r="FS308" i="55" s="1"/>
  <c r="FT308" i="55" a="1"/>
  <c r="FT308" i="55" s="1"/>
  <c r="FU308" i="55" s="1"/>
  <c r="FP308" i="55" a="1"/>
  <c r="FP308" i="55" s="1"/>
  <c r="FQ308" i="55" s="1"/>
  <c r="GC209" i="55"/>
  <c r="EZ209" i="55"/>
  <c r="FC209" i="55"/>
  <c r="FA209" i="55"/>
  <c r="GB209" i="55" s="1"/>
  <c r="EW209" i="55"/>
  <c r="CZ212" i="55"/>
  <c r="CY213" i="55"/>
  <c r="FX179" i="55" a="1"/>
  <c r="FX179" i="55" s="1"/>
  <c r="FY179" i="55" s="1"/>
  <c r="FZ179" i="55" a="1"/>
  <c r="FZ179" i="55" s="1"/>
  <c r="GA179" i="55" s="1"/>
  <c r="FV179" i="55" a="1"/>
  <c r="FV179" i="55" s="1"/>
  <c r="FW179" i="55" s="1"/>
  <c r="FT179" i="55" a="1"/>
  <c r="FT179" i="55" s="1"/>
  <c r="FU179" i="55" s="1"/>
  <c r="FR179" i="55" a="1"/>
  <c r="FR179" i="55" s="1"/>
  <c r="FS179" i="55" s="1"/>
  <c r="FP179" i="55" a="1"/>
  <c r="FP179" i="55" s="1"/>
  <c r="FQ179" i="55" s="1"/>
  <c r="FV80" i="55" a="1"/>
  <c r="FV80" i="55" s="1"/>
  <c r="FW80" i="55" s="1"/>
  <c r="FZ80" i="55" a="1"/>
  <c r="FZ80" i="55" s="1"/>
  <c r="GA80" i="55" s="1"/>
  <c r="FX80" i="55" a="1"/>
  <c r="FX80" i="55" s="1"/>
  <c r="FY80" i="55" s="1"/>
  <c r="FT80" i="55" a="1"/>
  <c r="FT80" i="55" s="1"/>
  <c r="FU80" i="55" s="1"/>
  <c r="FR80" i="55" a="1"/>
  <c r="FR80" i="55" s="1"/>
  <c r="FS80" i="55" s="1"/>
  <c r="FP80" i="55" a="1"/>
  <c r="FP80" i="55" s="1"/>
  <c r="FQ80" i="55" s="1"/>
  <c r="EU180" i="55"/>
  <c r="GU180" i="55" s="1"/>
  <c r="EV180" i="55"/>
  <c r="ET181" i="55"/>
  <c r="FN180" i="55"/>
  <c r="FO180" i="55" s="1"/>
  <c r="EU81" i="55"/>
  <c r="GU81" i="55" s="1"/>
  <c r="EV81" i="55"/>
  <c r="ET82" i="55"/>
  <c r="FN81" i="55"/>
  <c r="FO81" i="55" s="1"/>
  <c r="CZ311" i="55" l="1"/>
  <c r="CY312" i="55"/>
  <c r="CZ312" i="55" s="1"/>
  <c r="DU7" i="55"/>
  <c r="U3" i="40" s="1" a="1"/>
  <c r="U3" i="40" s="1"/>
  <c r="CB7" i="55"/>
  <c r="CC7" i="55" s="1"/>
  <c r="CZ252" i="55"/>
  <c r="CY253" i="55"/>
  <c r="EX29" i="55"/>
  <c r="DS29" i="55"/>
  <c r="FZ81" i="55" a="1"/>
  <c r="FZ81" i="55" s="1"/>
  <c r="GA81" i="55" s="1"/>
  <c r="FX81" i="55" a="1"/>
  <c r="FX81" i="55" s="1"/>
  <c r="FY81" i="55" s="1"/>
  <c r="FV81" i="55" a="1"/>
  <c r="FV81" i="55" s="1"/>
  <c r="FW81" i="55" s="1"/>
  <c r="FR81" i="55" a="1"/>
  <c r="FR81" i="55" s="1"/>
  <c r="FS81" i="55" s="1"/>
  <c r="FP81" i="55" a="1"/>
  <c r="FP81" i="55" s="1"/>
  <c r="FQ81" i="55" s="1"/>
  <c r="FT81" i="55" a="1"/>
  <c r="FT81" i="55" s="1"/>
  <c r="FU81" i="55" s="1"/>
  <c r="FT253" i="55" a="1"/>
  <c r="FT253" i="55" s="1"/>
  <c r="FU253" i="55" s="1"/>
  <c r="FV253" i="55" a="1"/>
  <c r="FV253" i="55" s="1"/>
  <c r="FW253" i="55" s="1"/>
  <c r="FZ253" i="55" a="1"/>
  <c r="FZ253" i="55" s="1"/>
  <c r="GA253" i="55" s="1"/>
  <c r="FR253" i="55" a="1"/>
  <c r="FR253" i="55" s="1"/>
  <c r="FS253" i="55" s="1"/>
  <c r="FX253" i="55" a="1"/>
  <c r="FX253" i="55" s="1"/>
  <c r="FY253" i="55" s="1"/>
  <c r="FP253" i="55" a="1"/>
  <c r="FP253" i="55" s="1"/>
  <c r="FQ253" i="55" s="1"/>
  <c r="EU82" i="55"/>
  <c r="GU82" i="55" s="1"/>
  <c r="EV82" i="55"/>
  <c r="ET83" i="55"/>
  <c r="FN82" i="55"/>
  <c r="FO82" i="55" s="1"/>
  <c r="EV254" i="55"/>
  <c r="EU254" i="55"/>
  <c r="GU254" i="55" s="1"/>
  <c r="ET255" i="55"/>
  <c r="FN254" i="55"/>
  <c r="FO254" i="55" s="1"/>
  <c r="GC81" i="55"/>
  <c r="EZ81" i="55"/>
  <c r="FC81" i="55"/>
  <c r="EW81" i="55"/>
  <c r="FA81" i="55"/>
  <c r="GB81" i="55" s="1"/>
  <c r="ED29" i="55"/>
  <c r="Z3" i="40" a="1"/>
  <c r="Z3" i="40" s="1"/>
  <c r="EU181" i="55"/>
  <c r="GU181" i="55" s="1"/>
  <c r="EV181" i="55"/>
  <c r="ET182" i="55"/>
  <c r="FN181" i="55"/>
  <c r="FO181" i="55" s="1"/>
  <c r="FT309" i="55" a="1"/>
  <c r="FT309" i="55" s="1"/>
  <c r="FU309" i="55" s="1"/>
  <c r="FX309" i="55" a="1"/>
  <c r="FX309" i="55" s="1"/>
  <c r="FY309" i="55" s="1"/>
  <c r="FZ309" i="55" a="1"/>
  <c r="FZ309" i="55" s="1"/>
  <c r="GA309" i="55" s="1"/>
  <c r="FV309" i="55" a="1"/>
  <c r="FV309" i="55" s="1"/>
  <c r="FW309" i="55" s="1"/>
  <c r="FR309" i="55" a="1"/>
  <c r="FR309" i="55" s="1"/>
  <c r="FS309" i="55" s="1"/>
  <c r="FP309" i="55" a="1"/>
  <c r="FP309" i="55" s="1"/>
  <c r="FQ309" i="55" s="1"/>
  <c r="FX210" i="55" a="1"/>
  <c r="FX210" i="55" s="1"/>
  <c r="FY210" i="55" s="1"/>
  <c r="FZ210" i="55" a="1"/>
  <c r="FZ210" i="55" s="1"/>
  <c r="GA210" i="55" s="1"/>
  <c r="FV210" i="55" a="1"/>
  <c r="FV210" i="55" s="1"/>
  <c r="FW210" i="55" s="1"/>
  <c r="FT210" i="55" a="1"/>
  <c r="FT210" i="55" s="1"/>
  <c r="FU210" i="55" s="1"/>
  <c r="FP210" i="55" a="1"/>
  <c r="FP210" i="55" s="1"/>
  <c r="FQ210" i="55" s="1"/>
  <c r="FR210" i="55" a="1"/>
  <c r="FR210" i="55" s="1"/>
  <c r="FS210" i="55" s="1"/>
  <c r="GC253" i="55"/>
  <c r="FA253" i="55"/>
  <c r="GB253" i="55" s="1"/>
  <c r="EZ253" i="55"/>
  <c r="EW253" i="55"/>
  <c r="FC253" i="55"/>
  <c r="FZ180" i="55" a="1"/>
  <c r="FZ180" i="55" s="1"/>
  <c r="GA180" i="55" s="1"/>
  <c r="FX180" i="55" a="1"/>
  <c r="FX180" i="55" s="1"/>
  <c r="FY180" i="55" s="1"/>
  <c r="FV180" i="55" a="1"/>
  <c r="FV180" i="55" s="1"/>
  <c r="FW180" i="55" s="1"/>
  <c r="FR180" i="55" a="1"/>
  <c r="FR180" i="55" s="1"/>
  <c r="FS180" i="55" s="1"/>
  <c r="FT180" i="55" a="1"/>
  <c r="FT180" i="55" s="1"/>
  <c r="FU180" i="55" s="1"/>
  <c r="FP180" i="55" a="1"/>
  <c r="FP180" i="55" s="1"/>
  <c r="FQ180" i="55" s="1"/>
  <c r="CZ213" i="55"/>
  <c r="CY214" i="55"/>
  <c r="EV129" i="55"/>
  <c r="EU129" i="55"/>
  <c r="GU129" i="55" s="1"/>
  <c r="EV310" i="55"/>
  <c r="EU310" i="55"/>
  <c r="GU310" i="55" s="1"/>
  <c r="ET311" i="55"/>
  <c r="FN310" i="55"/>
  <c r="FO310" i="55" s="1"/>
  <c r="GC128" i="55"/>
  <c r="EZ128" i="55"/>
  <c r="FA128" i="55"/>
  <c r="GB128" i="55" s="1"/>
  <c r="EW128" i="55"/>
  <c r="FC128" i="55"/>
  <c r="EU211" i="55"/>
  <c r="GU211" i="55" s="1"/>
  <c r="EV211" i="55"/>
  <c r="ET212" i="55"/>
  <c r="FN211" i="55"/>
  <c r="FO211" i="55" s="1"/>
  <c r="FV128" i="55" a="1"/>
  <c r="FV128" i="55" s="1"/>
  <c r="FW128" i="55" s="1"/>
  <c r="FZ128" i="55" a="1"/>
  <c r="FZ128" i="55" s="1"/>
  <c r="GA128" i="55" s="1"/>
  <c r="FT128" i="55" a="1"/>
  <c r="FT128" i="55" s="1"/>
  <c r="FU128" i="55" s="1"/>
  <c r="FP128" i="55" a="1"/>
  <c r="FP128" i="55" s="1"/>
  <c r="FQ128" i="55" s="1"/>
  <c r="FR128" i="55" a="1"/>
  <c r="FR128" i="55" s="1"/>
  <c r="FS128" i="55" s="1"/>
  <c r="FX128" i="55" a="1"/>
  <c r="FX128" i="55" s="1"/>
  <c r="FY128" i="55" s="1"/>
  <c r="CY183" i="55"/>
  <c r="CZ183" i="55" s="1"/>
  <c r="CZ182" i="55"/>
  <c r="GC180" i="55"/>
  <c r="EZ180" i="55"/>
  <c r="FA180" i="55"/>
  <c r="GB180" i="55" s="1"/>
  <c r="FC180" i="55"/>
  <c r="EW180" i="55"/>
  <c r="GC309" i="55"/>
  <c r="EZ309" i="55"/>
  <c r="FA309" i="55"/>
  <c r="GB309" i="55" s="1"/>
  <c r="FC309" i="55"/>
  <c r="EW309" i="55"/>
  <c r="GC210" i="55"/>
  <c r="EZ210" i="55"/>
  <c r="FA210" i="55"/>
  <c r="GB210" i="55" s="1"/>
  <c r="FC210" i="55"/>
  <c r="EW210" i="55"/>
  <c r="BE15" i="54" l="1" a="1"/>
  <c r="BE15" i="54" s="1"/>
  <c r="CH7" i="55"/>
  <c r="CY254" i="55"/>
  <c r="CZ253" i="55"/>
  <c r="EE29" i="55"/>
  <c r="AA3" i="40" a="1"/>
  <c r="AA3" i="40" s="1"/>
  <c r="FZ254" i="55" a="1"/>
  <c r="FZ254" i="55" s="1"/>
  <c r="GA254" i="55" s="1"/>
  <c r="FV254" i="55" a="1"/>
  <c r="FV254" i="55" s="1"/>
  <c r="FW254" i="55" s="1"/>
  <c r="FT254" i="55" a="1"/>
  <c r="FT254" i="55" s="1"/>
  <c r="FU254" i="55" s="1"/>
  <c r="FR254" i="55" a="1"/>
  <c r="FR254" i="55" s="1"/>
  <c r="FS254" i="55" s="1"/>
  <c r="FP254" i="55" a="1"/>
  <c r="FP254" i="55" s="1"/>
  <c r="FQ254" i="55" s="1"/>
  <c r="FX254" i="55" a="1"/>
  <c r="FX254" i="55" s="1"/>
  <c r="FY254" i="55" s="1"/>
  <c r="EV255" i="55"/>
  <c r="EU255" i="55"/>
  <c r="GU255" i="55" s="1"/>
  <c r="ET256" i="55"/>
  <c r="FN255" i="55"/>
  <c r="FO255" i="55" s="1"/>
  <c r="CZ214" i="55"/>
  <c r="CY215" i="55"/>
  <c r="GC254" i="55"/>
  <c r="FA254" i="55"/>
  <c r="GB254" i="55" s="1"/>
  <c r="FC254" i="55"/>
  <c r="EZ254" i="55"/>
  <c r="EW254" i="55"/>
  <c r="FX211" i="55" a="1"/>
  <c r="FX211" i="55" s="1"/>
  <c r="FY211" i="55" s="1"/>
  <c r="FZ211" i="55" a="1"/>
  <c r="FZ211" i="55" s="1"/>
  <c r="GA211" i="55" s="1"/>
  <c r="FR211" i="55" a="1"/>
  <c r="FR211" i="55" s="1"/>
  <c r="FS211" i="55" s="1"/>
  <c r="FV211" i="55" a="1"/>
  <c r="FV211" i="55" s="1"/>
  <c r="FW211" i="55" s="1"/>
  <c r="FP211" i="55" a="1"/>
  <c r="FP211" i="55" s="1"/>
  <c r="FQ211" i="55" s="1"/>
  <c r="FT211" i="55" a="1"/>
  <c r="FT211" i="55" s="1"/>
  <c r="FU211" i="55" s="1"/>
  <c r="FZ82" i="55" a="1"/>
  <c r="FZ82" i="55" s="1"/>
  <c r="GA82" i="55" s="1"/>
  <c r="FX82" i="55" a="1"/>
  <c r="FX82" i="55" s="1"/>
  <c r="FY82" i="55" s="1"/>
  <c r="FT82" i="55" a="1"/>
  <c r="FT82" i="55" s="1"/>
  <c r="FU82" i="55" s="1"/>
  <c r="FP82" i="55" a="1"/>
  <c r="FP82" i="55" s="1"/>
  <c r="FQ82" i="55" s="1"/>
  <c r="FV82" i="55" a="1"/>
  <c r="FV82" i="55" s="1"/>
  <c r="FW82" i="55" s="1"/>
  <c r="FR82" i="55" a="1"/>
  <c r="FR82" i="55" s="1"/>
  <c r="FS82" i="55" s="1"/>
  <c r="FZ310" i="55" a="1"/>
  <c r="FZ310" i="55" s="1"/>
  <c r="GA310" i="55" s="1"/>
  <c r="FX310" i="55" a="1"/>
  <c r="FX310" i="55" s="1"/>
  <c r="FY310" i="55" s="1"/>
  <c r="FT310" i="55" a="1"/>
  <c r="FT310" i="55" s="1"/>
  <c r="FU310" i="55" s="1"/>
  <c r="FV310" i="55" a="1"/>
  <c r="FV310" i="55" s="1"/>
  <c r="FW310" i="55" s="1"/>
  <c r="FR310" i="55" a="1"/>
  <c r="FR310" i="55" s="1"/>
  <c r="FS310" i="55" s="1"/>
  <c r="FP310" i="55" a="1"/>
  <c r="FP310" i="55" s="1"/>
  <c r="FQ310" i="55" s="1"/>
  <c r="GC310" i="55"/>
  <c r="EZ310" i="55"/>
  <c r="FC310" i="55"/>
  <c r="FA310" i="55"/>
  <c r="GB310" i="55" s="1"/>
  <c r="EW310" i="55"/>
  <c r="GC129" i="55"/>
  <c r="EZ129" i="55"/>
  <c r="FC129" i="55"/>
  <c r="EW129" i="55"/>
  <c r="FA129" i="55"/>
  <c r="GB129" i="55" s="1"/>
  <c r="EU212" i="55"/>
  <c r="GU212" i="55" s="1"/>
  <c r="EV212" i="55"/>
  <c r="ET213" i="55"/>
  <c r="FN212" i="55"/>
  <c r="FO212" i="55" s="1"/>
  <c r="FT181" i="55" a="1"/>
  <c r="FT181" i="55" s="1"/>
  <c r="FU181" i="55" s="1"/>
  <c r="FZ181" i="55" a="1"/>
  <c r="FZ181" i="55" s="1"/>
  <c r="GA181" i="55" s="1"/>
  <c r="FR181" i="55" a="1"/>
  <c r="FR181" i="55" s="1"/>
  <c r="FS181" i="55" s="1"/>
  <c r="FX181" i="55" a="1"/>
  <c r="FX181" i="55" s="1"/>
  <c r="FY181" i="55" s="1"/>
  <c r="FV181" i="55" a="1"/>
  <c r="FV181" i="55" s="1"/>
  <c r="FW181" i="55" s="1"/>
  <c r="FP181" i="55" a="1"/>
  <c r="FP181" i="55" s="1"/>
  <c r="FQ181" i="55" s="1"/>
  <c r="EV83" i="55"/>
  <c r="EU83" i="55"/>
  <c r="GU83" i="55" s="1"/>
  <c r="ET84" i="55"/>
  <c r="FN83" i="55"/>
  <c r="FO83" i="55" s="1"/>
  <c r="GR29" i="55"/>
  <c r="EY29" i="55"/>
  <c r="EZ29" i="55"/>
  <c r="EY30" i="55"/>
  <c r="EV311" i="55"/>
  <c r="EU311" i="55"/>
  <c r="GU311" i="55" s="1"/>
  <c r="ET312" i="55"/>
  <c r="FN311" i="55"/>
  <c r="FO311" i="55" s="1"/>
  <c r="GC211" i="55"/>
  <c r="FA211" i="55"/>
  <c r="GB211" i="55" s="1"/>
  <c r="EW211" i="55"/>
  <c r="FC211" i="55"/>
  <c r="EZ211" i="55"/>
  <c r="EU182" i="55"/>
  <c r="GU182" i="55" s="1"/>
  <c r="EV182" i="55"/>
  <c r="ET183" i="55"/>
  <c r="FN182" i="55"/>
  <c r="FO182" i="55" s="1"/>
  <c r="GC82" i="55"/>
  <c r="EZ82" i="55"/>
  <c r="FA82" i="55"/>
  <c r="GB82" i="55" s="1"/>
  <c r="FC82" i="55"/>
  <c r="EW82" i="55"/>
  <c r="GC181" i="55"/>
  <c r="FC181" i="55"/>
  <c r="EZ181" i="55"/>
  <c r="FA181" i="55"/>
  <c r="GB181" i="55" s="1"/>
  <c r="EW181" i="55"/>
  <c r="CY255" i="55" l="1"/>
  <c r="CZ254" i="55"/>
  <c r="DS7" i="55"/>
  <c r="Q3" i="40" s="1" a="1"/>
  <c r="Q3" i="40" s="1"/>
  <c r="EX7" i="55"/>
  <c r="AB25" i="54" a="1"/>
  <c r="AB25" i="54" s="1"/>
  <c r="AB12" i="54" a="1"/>
  <c r="AB12" i="54" s="1"/>
  <c r="AB19" i="54" a="1"/>
  <c r="AB19" i="54" s="1"/>
  <c r="AB11" i="54" a="1"/>
  <c r="AB11" i="54" s="1"/>
  <c r="AB22" i="54" a="1"/>
  <c r="AB22" i="54" s="1"/>
  <c r="AB26" i="54" a="1"/>
  <c r="AB26" i="54" s="1"/>
  <c r="AB15" i="54" a="1"/>
  <c r="AB15" i="54" s="1"/>
  <c r="AB24" i="54" a="1"/>
  <c r="AB24" i="54" s="1"/>
  <c r="AB16" i="54" a="1"/>
  <c r="AB16" i="54" s="1"/>
  <c r="AB20" i="54" a="1"/>
  <c r="AB20" i="54" s="1"/>
  <c r="AB23" i="54" a="1"/>
  <c r="AB23" i="54" s="1"/>
  <c r="AB18" i="54" a="1"/>
  <c r="AB18" i="54" s="1"/>
  <c r="AB13" i="54" a="1"/>
  <c r="AB13" i="54" s="1"/>
  <c r="AB17" i="54" a="1"/>
  <c r="AB17" i="54" s="1"/>
  <c r="AB21" i="54" a="1"/>
  <c r="AB21" i="54" s="1"/>
  <c r="AB10" i="54" a="1"/>
  <c r="AB10" i="54" s="1"/>
  <c r="AB14" i="54" a="1"/>
  <c r="AB14" i="54" s="1"/>
  <c r="AO3" i="40" a="1"/>
  <c r="AO3" i="40" s="1"/>
  <c r="EN29" i="55"/>
  <c r="GC311" i="55"/>
  <c r="EZ311" i="55"/>
  <c r="FC311" i="55"/>
  <c r="FA311" i="55"/>
  <c r="GB311" i="55" s="1"/>
  <c r="EW311" i="55"/>
  <c r="FZ182" i="55" a="1"/>
  <c r="FZ182" i="55" s="1"/>
  <c r="GA182" i="55" s="1"/>
  <c r="FV182" i="55" a="1"/>
  <c r="FV182" i="55" s="1"/>
  <c r="FW182" i="55" s="1"/>
  <c r="FT182" i="55" a="1"/>
  <c r="FT182" i="55" s="1"/>
  <c r="FU182" i="55" s="1"/>
  <c r="FX182" i="55" a="1"/>
  <c r="FX182" i="55" s="1"/>
  <c r="FY182" i="55" s="1"/>
  <c r="FR182" i="55" a="1"/>
  <c r="FR182" i="55" s="1"/>
  <c r="FS182" i="55" s="1"/>
  <c r="FP182" i="55" a="1"/>
  <c r="FP182" i="55" s="1"/>
  <c r="FQ182" i="55" s="1"/>
  <c r="EU183" i="55"/>
  <c r="GU183" i="55" s="1"/>
  <c r="EV183" i="55"/>
  <c r="FN183" i="55"/>
  <c r="FO183" i="55" s="1"/>
  <c r="FT212" i="55" a="1"/>
  <c r="FT212" i="55" s="1"/>
  <c r="FU212" i="55" s="1"/>
  <c r="FZ212" i="55" a="1"/>
  <c r="FZ212" i="55" s="1"/>
  <c r="GA212" i="55" s="1"/>
  <c r="FX212" i="55" a="1"/>
  <c r="FX212" i="55" s="1"/>
  <c r="FY212" i="55" s="1"/>
  <c r="FR212" i="55" a="1"/>
  <c r="FR212" i="55" s="1"/>
  <c r="FS212" i="55" s="1"/>
  <c r="FV212" i="55" a="1"/>
  <c r="FV212" i="55" s="1"/>
  <c r="FW212" i="55" s="1"/>
  <c r="FP212" i="55" a="1"/>
  <c r="FP212" i="55" s="1"/>
  <c r="FQ212" i="55" s="1"/>
  <c r="GC182" i="55"/>
  <c r="FC182" i="55"/>
  <c r="EZ182" i="55"/>
  <c r="EW182" i="55"/>
  <c r="FA182" i="55"/>
  <c r="GB182" i="55" s="1"/>
  <c r="FN30" i="55"/>
  <c r="FO30" i="55" s="1"/>
  <c r="GC30" i="55"/>
  <c r="FN29" i="55"/>
  <c r="FO29" i="55" s="1"/>
  <c r="GC29" i="55"/>
  <c r="FK27" i="55"/>
  <c r="FK28" i="55"/>
  <c r="EU213" i="55"/>
  <c r="GU213" i="55" s="1"/>
  <c r="EV213" i="55"/>
  <c r="ET214" i="55"/>
  <c r="FN213" i="55"/>
  <c r="FO213" i="55" s="1"/>
  <c r="GC212" i="55"/>
  <c r="EZ212" i="55"/>
  <c r="FA212" i="55"/>
  <c r="GB212" i="55" s="1"/>
  <c r="EW212" i="55"/>
  <c r="FC212" i="55"/>
  <c r="GX29" i="55"/>
  <c r="FX83" i="55" a="1"/>
  <c r="FX83" i="55" s="1"/>
  <c r="FY83" i="55" s="1"/>
  <c r="FZ83" i="55" a="1"/>
  <c r="FZ83" i="55" s="1"/>
  <c r="GA83" i="55" s="1"/>
  <c r="FT83" i="55" a="1"/>
  <c r="FT83" i="55" s="1"/>
  <c r="FU83" i="55" s="1"/>
  <c r="FR83" i="55" a="1"/>
  <c r="FR83" i="55" s="1"/>
  <c r="FS83" i="55" s="1"/>
  <c r="FV83" i="55" a="1"/>
  <c r="FV83" i="55" s="1"/>
  <c r="FW83" i="55" s="1"/>
  <c r="FP83" i="55" a="1"/>
  <c r="FP83" i="55" s="1"/>
  <c r="FQ83" i="55" s="1"/>
  <c r="EV84" i="55"/>
  <c r="EU84" i="55"/>
  <c r="GU84" i="55" s="1"/>
  <c r="ET85" i="55"/>
  <c r="FN84" i="55"/>
  <c r="FO84" i="55" s="1"/>
  <c r="GC83" i="55"/>
  <c r="FC83" i="55"/>
  <c r="FA83" i="55"/>
  <c r="GB83" i="55" s="1"/>
  <c r="EZ83" i="55"/>
  <c r="EW83" i="55"/>
  <c r="CZ215" i="55"/>
  <c r="CY216" i="55"/>
  <c r="EV312" i="55"/>
  <c r="EU312" i="55"/>
  <c r="FN312" i="55"/>
  <c r="FO312" i="55" s="1"/>
  <c r="FZ255" i="55" a="1"/>
  <c r="FZ255" i="55" s="1"/>
  <c r="GA255" i="55" s="1"/>
  <c r="FX255" i="55" a="1"/>
  <c r="FX255" i="55" s="1"/>
  <c r="FY255" i="55" s="1"/>
  <c r="FT255" i="55" a="1"/>
  <c r="FT255" i="55" s="1"/>
  <c r="FU255" i="55" s="1"/>
  <c r="FV255" i="55" a="1"/>
  <c r="FV255" i="55" s="1"/>
  <c r="FW255" i="55" s="1"/>
  <c r="FP255" i="55" a="1"/>
  <c r="FP255" i="55" s="1"/>
  <c r="FQ255" i="55" s="1"/>
  <c r="FR255" i="55" a="1"/>
  <c r="FR255" i="55" s="1"/>
  <c r="FS255" i="55" s="1"/>
  <c r="FZ311" i="55" a="1"/>
  <c r="FZ311" i="55" s="1"/>
  <c r="GA311" i="55" s="1"/>
  <c r="FX311" i="55" a="1"/>
  <c r="FX311" i="55" s="1"/>
  <c r="FY311" i="55" s="1"/>
  <c r="FV311" i="55" a="1"/>
  <c r="FV311" i="55" s="1"/>
  <c r="FW311" i="55" s="1"/>
  <c r="FT311" i="55" a="1"/>
  <c r="FT311" i="55" s="1"/>
  <c r="FU311" i="55" s="1"/>
  <c r="FP311" i="55" a="1"/>
  <c r="FP311" i="55" s="1"/>
  <c r="FQ311" i="55" s="1"/>
  <c r="FR311" i="55" a="1"/>
  <c r="FR311" i="55" s="1"/>
  <c r="FS311" i="55" s="1"/>
  <c r="EV256" i="55"/>
  <c r="EU256" i="55"/>
  <c r="GU256" i="55" s="1"/>
  <c r="ET257" i="55"/>
  <c r="FN256" i="55"/>
  <c r="FO256" i="55" s="1"/>
  <c r="GC255" i="55"/>
  <c r="FA255" i="55"/>
  <c r="GB255" i="55" s="1"/>
  <c r="FC255" i="55"/>
  <c r="EZ255" i="55"/>
  <c r="EW255" i="55"/>
  <c r="CD132" i="55" l="1"/>
  <c r="FK132" i="55" s="1"/>
  <c r="CD149" i="55"/>
  <c r="FK149" i="55" s="1"/>
  <c r="CD147" i="55"/>
  <c r="FK147" i="55" s="1"/>
  <c r="CD135" i="55"/>
  <c r="FK135" i="55" s="1"/>
  <c r="CD142" i="55"/>
  <c r="FK142" i="55" s="1"/>
  <c r="CD130" i="55"/>
  <c r="FK130" i="55" s="1"/>
  <c r="CD151" i="55"/>
  <c r="FK151" i="55" s="1"/>
  <c r="CD150" i="55"/>
  <c r="FK150" i="55" s="1"/>
  <c r="CD153" i="55"/>
  <c r="FK153" i="55" s="1"/>
  <c r="CD134" i="55"/>
  <c r="FK134" i="55" s="1"/>
  <c r="CD139" i="55"/>
  <c r="FK139" i="55" s="1"/>
  <c r="CD148" i="55"/>
  <c r="FK148" i="55" s="1"/>
  <c r="CD143" i="55"/>
  <c r="FK143" i="55" s="1"/>
  <c r="CD131" i="55"/>
  <c r="FK131" i="55" s="1"/>
  <c r="CD152" i="55"/>
  <c r="FK152" i="55" s="1"/>
  <c r="CD138" i="55"/>
  <c r="FK138" i="55" s="1"/>
  <c r="CD140" i="55"/>
  <c r="FK140" i="55" s="1"/>
  <c r="CD145" i="55"/>
  <c r="FK145" i="55" s="1"/>
  <c r="CD141" i="55"/>
  <c r="FK141" i="55" s="1"/>
  <c r="CD144" i="55"/>
  <c r="FK144" i="55" s="1"/>
  <c r="V16" i="54"/>
  <c r="CD146" i="55"/>
  <c r="FK146" i="55" s="1"/>
  <c r="CD136" i="55"/>
  <c r="FK136" i="55" s="1"/>
  <c r="CD133" i="55"/>
  <c r="FK133" i="55" s="1"/>
  <c r="CD137" i="55"/>
  <c r="FK137" i="55" s="1"/>
  <c r="CD102" i="55"/>
  <c r="FK102" i="55" s="1"/>
  <c r="CD117" i="55"/>
  <c r="FK117" i="55" s="1"/>
  <c r="CD108" i="55"/>
  <c r="FK108" i="55" s="1"/>
  <c r="CD105" i="55"/>
  <c r="FK105" i="55" s="1"/>
  <c r="CD103" i="55"/>
  <c r="FK103" i="55" s="1"/>
  <c r="CD125" i="55"/>
  <c r="FK125" i="55" s="1"/>
  <c r="CD128" i="55"/>
  <c r="FK128" i="55" s="1"/>
  <c r="CD106" i="55"/>
  <c r="FK106" i="55" s="1"/>
  <c r="CD120" i="55"/>
  <c r="FK120" i="55" s="1"/>
  <c r="CD111" i="55"/>
  <c r="FK111" i="55" s="1"/>
  <c r="CD123" i="55"/>
  <c r="FK123" i="55" s="1"/>
  <c r="CD122" i="55"/>
  <c r="FK122" i="55" s="1"/>
  <c r="CD114" i="55"/>
  <c r="FK114" i="55" s="1"/>
  <c r="CD118" i="55"/>
  <c r="FK118" i="55" s="1"/>
  <c r="CD126" i="55"/>
  <c r="FK126" i="55" s="1"/>
  <c r="CD104" i="55"/>
  <c r="FK104" i="55" s="1"/>
  <c r="CD116" i="55"/>
  <c r="FK116" i="55" s="1"/>
  <c r="CD109" i="55"/>
  <c r="FK109" i="55" s="1"/>
  <c r="CD115" i="55"/>
  <c r="FK115" i="55" s="1"/>
  <c r="CD124" i="55"/>
  <c r="FK124" i="55" s="1"/>
  <c r="CD127" i="55"/>
  <c r="FK127" i="55" s="1"/>
  <c r="CD110" i="55"/>
  <c r="FK110" i="55" s="1"/>
  <c r="CD107" i="55"/>
  <c r="FK107" i="55" s="1"/>
  <c r="V15" i="54"/>
  <c r="CD113" i="55"/>
  <c r="FK113" i="55" s="1"/>
  <c r="CD129" i="55"/>
  <c r="FK129" i="55" s="1"/>
  <c r="CD121" i="55"/>
  <c r="FK121" i="55" s="1"/>
  <c r="CD112" i="55"/>
  <c r="FK112" i="55" s="1"/>
  <c r="CD119" i="55"/>
  <c r="FK119" i="55" s="1"/>
  <c r="CD334" i="55"/>
  <c r="FK334" i="55" s="1"/>
  <c r="CD331" i="55"/>
  <c r="FK331" i="55" s="1"/>
  <c r="CD333" i="55"/>
  <c r="FK333" i="55" s="1"/>
  <c r="CD332" i="55"/>
  <c r="FK332" i="55" s="1"/>
  <c r="CD330" i="55"/>
  <c r="FK330" i="55" s="1"/>
  <c r="V24" i="54"/>
  <c r="CD350" i="55"/>
  <c r="FK350" i="55" s="1"/>
  <c r="CD345" i="55"/>
  <c r="FK345" i="55" s="1"/>
  <c r="CD343" i="55"/>
  <c r="FK343" i="55" s="1"/>
  <c r="V26" i="54"/>
  <c r="CD347" i="55"/>
  <c r="FK347" i="55" s="1"/>
  <c r="CD344" i="55"/>
  <c r="FK344" i="55" s="1"/>
  <c r="CD349" i="55"/>
  <c r="FK349" i="55" s="1"/>
  <c r="CD341" i="55"/>
  <c r="FK341" i="55" s="1"/>
  <c r="CD352" i="55"/>
  <c r="FK352" i="55" s="1"/>
  <c r="CD342" i="55"/>
  <c r="FK342" i="55" s="1"/>
  <c r="CD351" i="55"/>
  <c r="FK351" i="55" s="1"/>
  <c r="CD348" i="55"/>
  <c r="FK348" i="55" s="1"/>
  <c r="CD346" i="55"/>
  <c r="FK346" i="55" s="1"/>
  <c r="CD324" i="55"/>
  <c r="FK324" i="55" s="1"/>
  <c r="CD318" i="55"/>
  <c r="FK318" i="55" s="1"/>
  <c r="CD322" i="55"/>
  <c r="FK322" i="55" s="1"/>
  <c r="CD320" i="55"/>
  <c r="FK320" i="55" s="1"/>
  <c r="CD319" i="55"/>
  <c r="FK319" i="55" s="1"/>
  <c r="CD321" i="55"/>
  <c r="FK321" i="55" s="1"/>
  <c r="V22" i="54"/>
  <c r="CD317" i="55"/>
  <c r="FK317" i="55" s="1"/>
  <c r="CD323" i="55"/>
  <c r="FK323" i="55" s="1"/>
  <c r="CD43" i="55"/>
  <c r="FK43" i="55" s="1"/>
  <c r="CD48" i="55"/>
  <c r="FK48" i="55" s="1"/>
  <c r="CD44" i="55"/>
  <c r="FK44" i="55" s="1"/>
  <c r="CD35" i="55"/>
  <c r="FK35" i="55" s="1"/>
  <c r="CD39" i="55"/>
  <c r="FK39" i="55" s="1"/>
  <c r="CD32" i="55"/>
  <c r="FK32" i="55" s="1"/>
  <c r="CD51" i="55"/>
  <c r="FK51" i="55" s="1"/>
  <c r="CD37" i="55"/>
  <c r="FK37" i="55" s="1"/>
  <c r="CD45" i="55"/>
  <c r="FK45" i="55" s="1"/>
  <c r="CD52" i="55"/>
  <c r="FK52" i="55" s="1"/>
  <c r="CD46" i="55"/>
  <c r="FK46" i="55" s="1"/>
  <c r="CD42" i="55"/>
  <c r="FK42" i="55" s="1"/>
  <c r="CD47" i="55"/>
  <c r="FK47" i="55" s="1"/>
  <c r="CD50" i="55"/>
  <c r="FK50" i="55" s="1"/>
  <c r="CD41" i="55"/>
  <c r="FK41" i="55" s="1"/>
  <c r="CD38" i="55"/>
  <c r="FK38" i="55" s="1"/>
  <c r="CD49" i="55"/>
  <c r="FK49" i="55" s="1"/>
  <c r="CD34" i="55"/>
  <c r="FK34" i="55" s="1"/>
  <c r="CD33" i="55"/>
  <c r="FK33" i="55" s="1"/>
  <c r="CD40" i="55"/>
  <c r="FK40" i="55" s="1"/>
  <c r="CD36" i="55"/>
  <c r="FK36" i="55" s="1"/>
  <c r="V12" i="54"/>
  <c r="CD26" i="55"/>
  <c r="FK26" i="55" s="1"/>
  <c r="AR26" i="55" s="1"/>
  <c r="CD30" i="55"/>
  <c r="FK30" i="55" s="1"/>
  <c r="GV30" i="55" s="1"/>
  <c r="V11" i="54"/>
  <c r="CD29" i="55"/>
  <c r="CD245" i="55"/>
  <c r="FK245" i="55" s="1"/>
  <c r="CD254" i="55"/>
  <c r="FK254" i="55" s="1"/>
  <c r="CD225" i="55"/>
  <c r="FK225" i="55" s="1"/>
  <c r="CD268" i="55"/>
  <c r="CD267" i="55"/>
  <c r="CD228" i="55"/>
  <c r="FK228" i="55" s="1"/>
  <c r="CD259" i="55"/>
  <c r="CD277" i="55"/>
  <c r="CD242" i="55"/>
  <c r="FK242" i="55" s="1"/>
  <c r="CD262" i="55"/>
  <c r="CD260" i="55"/>
  <c r="CD261" i="55"/>
  <c r="CD249" i="55"/>
  <c r="FK249" i="55" s="1"/>
  <c r="CD229" i="55"/>
  <c r="FK229" i="55" s="1"/>
  <c r="CD272" i="55"/>
  <c r="CD274" i="55"/>
  <c r="CD243" i="55"/>
  <c r="FK243" i="55" s="1"/>
  <c r="CD264" i="55"/>
  <c r="CD258" i="55"/>
  <c r="CD252" i="55"/>
  <c r="FK252" i="55" s="1"/>
  <c r="CD266" i="55"/>
  <c r="CD271" i="55"/>
  <c r="CD251" i="55"/>
  <c r="FK251" i="55" s="1"/>
  <c r="CD237" i="55"/>
  <c r="FK237" i="55" s="1"/>
  <c r="CD275" i="55"/>
  <c r="CD240" i="55"/>
  <c r="FK240" i="55" s="1"/>
  <c r="V19" i="54"/>
  <c r="CD227" i="55"/>
  <c r="FK227" i="55" s="1"/>
  <c r="CD282" i="55"/>
  <c r="CD226" i="55"/>
  <c r="FK226" i="55" s="1"/>
  <c r="CD269" i="55"/>
  <c r="CD256" i="55"/>
  <c r="CD270" i="55"/>
  <c r="CD278" i="55"/>
  <c r="CD241" i="55"/>
  <c r="FK241" i="55" s="1"/>
  <c r="CD253" i="55"/>
  <c r="FK253" i="55" s="1"/>
  <c r="CD280" i="55"/>
  <c r="CD235" i="55"/>
  <c r="FK235" i="55" s="1"/>
  <c r="CD276" i="55"/>
  <c r="CD265" i="55"/>
  <c r="CD257" i="55"/>
  <c r="CD230" i="55"/>
  <c r="FK230" i="55" s="1"/>
  <c r="CD248" i="55"/>
  <c r="FK248" i="55" s="1"/>
  <c r="CD279" i="55"/>
  <c r="CD281" i="55"/>
  <c r="CD232" i="55"/>
  <c r="FK232" i="55" s="1"/>
  <c r="CD250" i="55"/>
  <c r="FK250" i="55" s="1"/>
  <c r="CD246" i="55"/>
  <c r="FK246" i="55" s="1"/>
  <c r="CD231" i="55"/>
  <c r="FK231" i="55" s="1"/>
  <c r="CD255" i="55"/>
  <c r="FK255" i="55" s="1"/>
  <c r="CD247" i="55"/>
  <c r="FK247" i="55" s="1"/>
  <c r="CD263" i="55"/>
  <c r="CD238" i="55"/>
  <c r="FK238" i="55" s="1"/>
  <c r="CD239" i="55"/>
  <c r="FK239" i="55" s="1"/>
  <c r="CD233" i="55"/>
  <c r="FK233" i="55" s="1"/>
  <c r="CD273" i="55"/>
  <c r="CD236" i="55"/>
  <c r="FK236" i="55" s="1"/>
  <c r="CD234" i="55"/>
  <c r="FK234" i="55" s="1"/>
  <c r="CD244" i="55"/>
  <c r="FK244" i="55" s="1"/>
  <c r="CD337" i="55"/>
  <c r="FK337" i="55" s="1"/>
  <c r="CD340" i="55"/>
  <c r="FK340" i="55" s="1"/>
  <c r="CD338" i="55"/>
  <c r="FK338" i="55" s="1"/>
  <c r="V25" i="54"/>
  <c r="CD336" i="55"/>
  <c r="FK336" i="55" s="1"/>
  <c r="CD339" i="55"/>
  <c r="FK339" i="55" s="1"/>
  <c r="CD335" i="55"/>
  <c r="FK335" i="55" s="1"/>
  <c r="CD57" i="55"/>
  <c r="FK57" i="55" s="1"/>
  <c r="CD64" i="55"/>
  <c r="FK64" i="55" s="1"/>
  <c r="V13" i="54"/>
  <c r="CD83" i="55"/>
  <c r="CD65" i="55"/>
  <c r="FK65" i="55" s="1"/>
  <c r="CD73" i="55"/>
  <c r="FK73" i="55" s="1"/>
  <c r="CD77" i="55"/>
  <c r="FK77" i="55" s="1"/>
  <c r="CD76" i="55"/>
  <c r="FK76" i="55" s="1"/>
  <c r="CD78" i="55"/>
  <c r="FK78" i="55" s="1"/>
  <c r="CD62" i="55"/>
  <c r="FK62" i="55" s="1"/>
  <c r="CD86" i="55"/>
  <c r="CD60" i="55"/>
  <c r="FK60" i="55" s="1"/>
  <c r="CD81" i="55"/>
  <c r="FK81" i="55" s="1"/>
  <c r="CD72" i="55"/>
  <c r="FK72" i="55" s="1"/>
  <c r="CD85" i="55"/>
  <c r="CD67" i="55"/>
  <c r="FK67" i="55" s="1"/>
  <c r="CD53" i="55"/>
  <c r="FK53" i="55" s="1"/>
  <c r="CD56" i="55"/>
  <c r="FK56" i="55" s="1"/>
  <c r="CD61" i="55"/>
  <c r="FK61" i="55" s="1"/>
  <c r="CD55" i="55"/>
  <c r="FK55" i="55" s="1"/>
  <c r="CD70" i="55"/>
  <c r="FK70" i="55" s="1"/>
  <c r="CD68" i="55"/>
  <c r="FK68" i="55" s="1"/>
  <c r="CD66" i="55"/>
  <c r="FK66" i="55" s="1"/>
  <c r="CD54" i="55"/>
  <c r="FK54" i="55" s="1"/>
  <c r="CD71" i="55"/>
  <c r="FK71" i="55" s="1"/>
  <c r="CD84" i="55"/>
  <c r="CD79" i="55"/>
  <c r="FK79" i="55" s="1"/>
  <c r="CD59" i="55"/>
  <c r="FK59" i="55" s="1"/>
  <c r="CD75" i="55"/>
  <c r="FK75" i="55" s="1"/>
  <c r="CD69" i="55"/>
  <c r="FK69" i="55" s="1"/>
  <c r="CD58" i="55"/>
  <c r="FK58" i="55" s="1"/>
  <c r="CD74" i="55"/>
  <c r="FK74" i="55" s="1"/>
  <c r="CD82" i="55"/>
  <c r="FK82" i="55" s="1"/>
  <c r="GV82" i="55" s="1"/>
  <c r="CD80" i="55"/>
  <c r="FK80" i="55" s="1"/>
  <c r="CD63" i="55"/>
  <c r="FK63" i="55" s="1"/>
  <c r="CD87" i="55"/>
  <c r="EZ7" i="55"/>
  <c r="EY8" i="55"/>
  <c r="EY23" i="55"/>
  <c r="AY3" i="40" a="1"/>
  <c r="AY3" i="40" s="1"/>
  <c r="EY22" i="55"/>
  <c r="GR7" i="55"/>
  <c r="GX7" i="55"/>
  <c r="BW3" i="40" s="1" a="1"/>
  <c r="BW3" i="40" s="1"/>
  <c r="GY7" i="55"/>
  <c r="CD171" i="55"/>
  <c r="FK171" i="55" s="1"/>
  <c r="CD182" i="55"/>
  <c r="FK182" i="55" s="1"/>
  <c r="CD169" i="55"/>
  <c r="FK169" i="55" s="1"/>
  <c r="CD172" i="55"/>
  <c r="FK172" i="55" s="1"/>
  <c r="CD178" i="55"/>
  <c r="FK178" i="55" s="1"/>
  <c r="CD174" i="55"/>
  <c r="FK174" i="55" s="1"/>
  <c r="CD176" i="55"/>
  <c r="FK176" i="55" s="1"/>
  <c r="CD179" i="55"/>
  <c r="FK179" i="55" s="1"/>
  <c r="CD167" i="55"/>
  <c r="FK167" i="55" s="1"/>
  <c r="CD163" i="55"/>
  <c r="FK163" i="55" s="1"/>
  <c r="CD156" i="55"/>
  <c r="FK156" i="55" s="1"/>
  <c r="CD183" i="55"/>
  <c r="CD164" i="55"/>
  <c r="FK164" i="55" s="1"/>
  <c r="CD165" i="55"/>
  <c r="FK165" i="55" s="1"/>
  <c r="CD166" i="55"/>
  <c r="FK166" i="55" s="1"/>
  <c r="CD162" i="55"/>
  <c r="FK162" i="55" s="1"/>
  <c r="CD158" i="55"/>
  <c r="FK158" i="55" s="1"/>
  <c r="CD180" i="55"/>
  <c r="FK180" i="55" s="1"/>
  <c r="CD161" i="55"/>
  <c r="FK161" i="55" s="1"/>
  <c r="CD175" i="55"/>
  <c r="FK175" i="55" s="1"/>
  <c r="CD160" i="55"/>
  <c r="FK160" i="55" s="1"/>
  <c r="CD168" i="55"/>
  <c r="FK168" i="55" s="1"/>
  <c r="CD177" i="55"/>
  <c r="FK177" i="55" s="1"/>
  <c r="CD173" i="55"/>
  <c r="FK173" i="55" s="1"/>
  <c r="V17" i="54"/>
  <c r="CD181" i="55"/>
  <c r="FK181" i="55" s="1"/>
  <c r="CD159" i="55"/>
  <c r="FK159" i="55" s="1"/>
  <c r="CD155" i="55"/>
  <c r="FK155" i="55" s="1"/>
  <c r="CD157" i="55"/>
  <c r="FK157" i="55" s="1"/>
  <c r="CD170" i="55"/>
  <c r="FK170" i="55" s="1"/>
  <c r="CD191" i="55"/>
  <c r="FK191" i="55" s="1"/>
  <c r="CD190" i="55"/>
  <c r="FK190" i="55" s="1"/>
  <c r="CD205" i="55"/>
  <c r="FK205" i="55" s="1"/>
  <c r="CD212" i="55"/>
  <c r="FK212" i="55" s="1"/>
  <c r="CD210" i="55"/>
  <c r="FK210" i="55" s="1"/>
  <c r="CD185" i="55"/>
  <c r="FK185" i="55" s="1"/>
  <c r="CD216" i="55"/>
  <c r="CD221" i="55"/>
  <c r="CD186" i="55"/>
  <c r="FK186" i="55" s="1"/>
  <c r="CD199" i="55"/>
  <c r="FK199" i="55" s="1"/>
  <c r="CD211" i="55"/>
  <c r="FK211" i="55" s="1"/>
  <c r="CD202" i="55"/>
  <c r="FK202" i="55" s="1"/>
  <c r="CD187" i="55"/>
  <c r="FK187" i="55" s="1"/>
  <c r="CD198" i="55"/>
  <c r="FK198" i="55" s="1"/>
  <c r="CD200" i="55"/>
  <c r="FK200" i="55" s="1"/>
  <c r="CD222" i="55"/>
  <c r="CD201" i="55"/>
  <c r="FK201" i="55" s="1"/>
  <c r="CD209" i="55"/>
  <c r="FK209" i="55" s="1"/>
  <c r="CD220" i="55"/>
  <c r="CD219" i="55"/>
  <c r="CD213" i="55"/>
  <c r="CD218" i="55"/>
  <c r="CD215" i="55"/>
  <c r="CD207" i="55"/>
  <c r="FK207" i="55" s="1"/>
  <c r="V18" i="54"/>
  <c r="CD214" i="55"/>
  <c r="CD193" i="55"/>
  <c r="FK193" i="55" s="1"/>
  <c r="CD208" i="55"/>
  <c r="FK208" i="55" s="1"/>
  <c r="CD206" i="55"/>
  <c r="FK206" i="55" s="1"/>
  <c r="CD188" i="55"/>
  <c r="FK188" i="55" s="1"/>
  <c r="CD223" i="55"/>
  <c r="CD197" i="55"/>
  <c r="FK197" i="55" s="1"/>
  <c r="CD189" i="55"/>
  <c r="FK189" i="55" s="1"/>
  <c r="CD195" i="55"/>
  <c r="FK195" i="55" s="1"/>
  <c r="CD196" i="55"/>
  <c r="FK196" i="55" s="1"/>
  <c r="CD203" i="55"/>
  <c r="FK203" i="55" s="1"/>
  <c r="CD194" i="55"/>
  <c r="FK194" i="55" s="1"/>
  <c r="CD192" i="55"/>
  <c r="FK192" i="55" s="1"/>
  <c r="CD204" i="55"/>
  <c r="FK204" i="55" s="1"/>
  <c r="CD217" i="55"/>
  <c r="CZ255" i="55"/>
  <c r="CY256" i="55"/>
  <c r="CD94" i="55"/>
  <c r="FK94" i="55" s="1"/>
  <c r="CD88" i="55"/>
  <c r="FK88" i="55" s="1"/>
  <c r="CD99" i="55"/>
  <c r="FK99" i="55" s="1"/>
  <c r="CD97" i="55"/>
  <c r="FK97" i="55" s="1"/>
  <c r="CD89" i="55"/>
  <c r="FK89" i="55" s="1"/>
  <c r="CD95" i="55"/>
  <c r="FK95" i="55" s="1"/>
  <c r="CD93" i="55"/>
  <c r="FK93" i="55" s="1"/>
  <c r="CD100" i="55"/>
  <c r="FK100" i="55" s="1"/>
  <c r="CD101" i="55"/>
  <c r="FK101" i="55" s="1"/>
  <c r="CD90" i="55"/>
  <c r="FK90" i="55" s="1"/>
  <c r="CD98" i="55"/>
  <c r="FK98" i="55" s="1"/>
  <c r="CD96" i="55"/>
  <c r="FK96" i="55" s="1"/>
  <c r="CD92" i="55"/>
  <c r="FK92" i="55" s="1"/>
  <c r="CD91" i="55"/>
  <c r="FK91" i="55" s="1"/>
  <c r="V14" i="54"/>
  <c r="CD21" i="55"/>
  <c r="V10" i="54"/>
  <c r="CD6" i="55"/>
  <c r="CD7" i="55"/>
  <c r="CD9" i="55"/>
  <c r="CD17" i="55"/>
  <c r="CD11" i="55"/>
  <c r="CD14" i="55"/>
  <c r="CD5" i="55"/>
  <c r="CD16" i="55"/>
  <c r="F4" i="60" a="1"/>
  <c r="F4" i="60" s="1"/>
  <c r="CD10" i="55"/>
  <c r="FK10" i="55" s="1"/>
  <c r="CD24" i="55"/>
  <c r="C24" i="60"/>
  <c r="CD22" i="55"/>
  <c r="CD23" i="55"/>
  <c r="CD12" i="55"/>
  <c r="CD18" i="55"/>
  <c r="CD8" i="55"/>
  <c r="CD15" i="55"/>
  <c r="CD19" i="55"/>
  <c r="CD20" i="55"/>
  <c r="CD13" i="55"/>
  <c r="G10" i="58"/>
  <c r="CD313" i="55"/>
  <c r="FK313" i="55" s="1"/>
  <c r="CD316" i="55"/>
  <c r="FK316" i="55" s="1"/>
  <c r="CD314" i="55"/>
  <c r="FK314" i="55" s="1"/>
  <c r="V21" i="54"/>
  <c r="CD315" i="55"/>
  <c r="FK315" i="55" s="1"/>
  <c r="FK83" i="55"/>
  <c r="AR83" i="55" s="1"/>
  <c r="CD327" i="55"/>
  <c r="FK327" i="55" s="1"/>
  <c r="CD328" i="55"/>
  <c r="FK328" i="55" s="1"/>
  <c r="CD325" i="55"/>
  <c r="FK325" i="55" s="1"/>
  <c r="CD326" i="55"/>
  <c r="FK326" i="55" s="1"/>
  <c r="V23" i="54"/>
  <c r="CD329" i="55"/>
  <c r="FK329" i="55" s="1"/>
  <c r="CD291" i="55"/>
  <c r="FK291" i="55" s="1"/>
  <c r="CD292" i="55"/>
  <c r="FK292" i="55" s="1"/>
  <c r="CD288" i="55"/>
  <c r="FK288" i="55" s="1"/>
  <c r="CD290" i="55"/>
  <c r="FK290" i="55" s="1"/>
  <c r="CD285" i="55"/>
  <c r="FK285" i="55" s="1"/>
  <c r="CD287" i="55"/>
  <c r="FK287" i="55" s="1"/>
  <c r="CD304" i="55"/>
  <c r="FK304" i="55" s="1"/>
  <c r="CD284" i="55"/>
  <c r="FK284" i="55" s="1"/>
  <c r="CD310" i="55"/>
  <c r="FK310" i="55" s="1"/>
  <c r="CD309" i="55"/>
  <c r="FK309" i="55" s="1"/>
  <c r="CD301" i="55"/>
  <c r="FK301" i="55" s="1"/>
  <c r="CD302" i="55"/>
  <c r="FK302" i="55" s="1"/>
  <c r="CD297" i="55"/>
  <c r="FK297" i="55" s="1"/>
  <c r="V20" i="54"/>
  <c r="CD308" i="55"/>
  <c r="FK308" i="55" s="1"/>
  <c r="CD300" i="55"/>
  <c r="FK300" i="55" s="1"/>
  <c r="CD306" i="55"/>
  <c r="FK306" i="55" s="1"/>
  <c r="CD296" i="55"/>
  <c r="FK296" i="55" s="1"/>
  <c r="CD311" i="55"/>
  <c r="FK311" i="55" s="1"/>
  <c r="CD289" i="55"/>
  <c r="FK289" i="55" s="1"/>
  <c r="CD295" i="55"/>
  <c r="FK295" i="55" s="1"/>
  <c r="CD303" i="55"/>
  <c r="FK303" i="55" s="1"/>
  <c r="CD298" i="55"/>
  <c r="FK298" i="55" s="1"/>
  <c r="CD294" i="55"/>
  <c r="FK294" i="55" s="1"/>
  <c r="CD293" i="55"/>
  <c r="FK293" i="55" s="1"/>
  <c r="CD307" i="55"/>
  <c r="FK307" i="55" s="1"/>
  <c r="CD312" i="55"/>
  <c r="CD299" i="55"/>
  <c r="FK299" i="55" s="1"/>
  <c r="CD305" i="55"/>
  <c r="FK305" i="55" s="1"/>
  <c r="CD286" i="55"/>
  <c r="FK286" i="55" s="1"/>
  <c r="FX312" i="55" a="1"/>
  <c r="FX312" i="55" s="1"/>
  <c r="FY312" i="55" s="1"/>
  <c r="FV312" i="55" a="1"/>
  <c r="FV312" i="55" s="1"/>
  <c r="FW312" i="55" s="1"/>
  <c r="FZ312" i="55" a="1"/>
  <c r="FZ312" i="55" s="1"/>
  <c r="GA312" i="55" s="1"/>
  <c r="FT312" i="55" a="1"/>
  <c r="FT312" i="55" s="1"/>
  <c r="FU312" i="55" s="1"/>
  <c r="FR312" i="55" a="1"/>
  <c r="FR312" i="55" s="1"/>
  <c r="FS312" i="55" s="1"/>
  <c r="FP312" i="55" a="1"/>
  <c r="FP312" i="55" s="1"/>
  <c r="FQ312" i="55" s="1"/>
  <c r="FZ30" i="55" a="1"/>
  <c r="FZ30" i="55" s="1"/>
  <c r="GA30" i="55" s="1"/>
  <c r="FX30" i="55" a="1"/>
  <c r="FX30" i="55" s="1"/>
  <c r="FY30" i="55" s="1"/>
  <c r="FV30" i="55" a="1"/>
  <c r="FV30" i="55" s="1"/>
  <c r="FW30" i="55" s="1"/>
  <c r="FR30" i="55" a="1"/>
  <c r="FR30" i="55" s="1"/>
  <c r="FS30" i="55" s="1"/>
  <c r="FT30" i="55" a="1"/>
  <c r="FT30" i="55" s="1"/>
  <c r="FU30" i="55" s="1"/>
  <c r="FP30" i="55" a="1"/>
  <c r="FP30" i="55" s="1"/>
  <c r="FQ30" i="55" s="1"/>
  <c r="GC256" i="55"/>
  <c r="EZ256" i="55"/>
  <c r="FA256" i="55"/>
  <c r="GB256" i="55" s="1"/>
  <c r="FC256" i="55"/>
  <c r="EW256" i="55"/>
  <c r="GC84" i="55"/>
  <c r="EZ84" i="55"/>
  <c r="FC84" i="55"/>
  <c r="FA84" i="55"/>
  <c r="GB84" i="55" s="1"/>
  <c r="EW84" i="55"/>
  <c r="CZ216" i="55"/>
  <c r="CY217" i="55"/>
  <c r="FT213" i="55" a="1"/>
  <c r="FT213" i="55" s="1"/>
  <c r="FU213" i="55" s="1"/>
  <c r="FX213" i="55" a="1"/>
  <c r="FX213" i="55" s="1"/>
  <c r="FY213" i="55" s="1"/>
  <c r="FZ213" i="55" a="1"/>
  <c r="FZ213" i="55" s="1"/>
  <c r="GA213" i="55" s="1"/>
  <c r="FR213" i="55" a="1"/>
  <c r="FR213" i="55" s="1"/>
  <c r="FS213" i="55" s="1"/>
  <c r="FP213" i="55" a="1"/>
  <c r="FP213" i="55" s="1"/>
  <c r="FQ213" i="55" s="1"/>
  <c r="FV213" i="55" a="1"/>
  <c r="FV213" i="55" s="1"/>
  <c r="FW213" i="55" s="1"/>
  <c r="EV214" i="55"/>
  <c r="EU214" i="55"/>
  <c r="GU214" i="55" s="1"/>
  <c r="ET215" i="55"/>
  <c r="FN214" i="55"/>
  <c r="FO214" i="55" s="1"/>
  <c r="GU312" i="55"/>
  <c r="GC213" i="55"/>
  <c r="EZ213" i="55"/>
  <c r="FA213" i="55"/>
  <c r="GB213" i="55" s="1"/>
  <c r="EW213" i="55"/>
  <c r="FC213" i="55"/>
  <c r="GC183" i="55"/>
  <c r="FC183" i="55"/>
  <c r="EZ183" i="55"/>
  <c r="EW183" i="55"/>
  <c r="FA183" i="55"/>
  <c r="GB183" i="55" s="1"/>
  <c r="GC312" i="55"/>
  <c r="EW312" i="55"/>
  <c r="FC312" i="55"/>
  <c r="FA312" i="55"/>
  <c r="EZ312" i="55"/>
  <c r="GV129" i="55"/>
  <c r="AR129" i="55"/>
  <c r="FX183" i="55" a="1"/>
  <c r="FX183" i="55" s="1"/>
  <c r="FY183" i="55" s="1"/>
  <c r="FV183" i="55" a="1"/>
  <c r="FV183" i="55" s="1"/>
  <c r="FW183" i="55" s="1"/>
  <c r="FZ183" i="55" a="1"/>
  <c r="FZ183" i="55" s="1"/>
  <c r="GA183" i="55" s="1"/>
  <c r="FT183" i="55" a="1"/>
  <c r="FT183" i="55" s="1"/>
  <c r="FU183" i="55" s="1"/>
  <c r="FP183" i="55" a="1"/>
  <c r="FP183" i="55" s="1"/>
  <c r="FQ183" i="55" s="1"/>
  <c r="FR183" i="55" a="1"/>
  <c r="FR183" i="55" s="1"/>
  <c r="FS183" i="55" s="1"/>
  <c r="GY29" i="55"/>
  <c r="EP29" i="55"/>
  <c r="AQ3" i="40" a="1"/>
  <c r="AQ3" i="40" s="1"/>
  <c r="GV26" i="55"/>
  <c r="FZ29" i="55" a="1"/>
  <c r="FZ29" i="55" s="1"/>
  <c r="GA29" i="55" s="1"/>
  <c r="FV29" i="55" a="1"/>
  <c r="FV29" i="55" s="1"/>
  <c r="FW29" i="55" s="1"/>
  <c r="FX29" i="55" a="1"/>
  <c r="FX29" i="55" s="1"/>
  <c r="FY29" i="55" s="1"/>
  <c r="FR29" i="55" a="1"/>
  <c r="FR29" i="55" s="1"/>
  <c r="FS29" i="55" s="1"/>
  <c r="FP29" i="55" a="1"/>
  <c r="FP29" i="55" s="1"/>
  <c r="FQ29" i="55" s="1"/>
  <c r="FT29" i="55" a="1"/>
  <c r="FT29" i="55" s="1"/>
  <c r="FU29" i="55" s="1"/>
  <c r="GV28" i="55"/>
  <c r="AR28" i="55"/>
  <c r="FV84" i="55" a="1"/>
  <c r="FV84" i="55" s="1"/>
  <c r="FW84" i="55" s="1"/>
  <c r="FZ84" i="55" a="1"/>
  <c r="FZ84" i="55" s="1"/>
  <c r="GA84" i="55" s="1"/>
  <c r="FT84" i="55" a="1"/>
  <c r="FT84" i="55" s="1"/>
  <c r="FU84" i="55" s="1"/>
  <c r="FX84" i="55" a="1"/>
  <c r="FX84" i="55" s="1"/>
  <c r="FY84" i="55" s="1"/>
  <c r="FR84" i="55" a="1"/>
  <c r="FR84" i="55" s="1"/>
  <c r="FS84" i="55" s="1"/>
  <c r="FP84" i="55" a="1"/>
  <c r="FP84" i="55" s="1"/>
  <c r="FQ84" i="55" s="1"/>
  <c r="GV27" i="55"/>
  <c r="AR27" i="55"/>
  <c r="GV181" i="55"/>
  <c r="AR181" i="55"/>
  <c r="FV256" i="55" a="1"/>
  <c r="FV256" i="55" s="1"/>
  <c r="FW256" i="55" s="1"/>
  <c r="FX256" i="55" a="1"/>
  <c r="FX256" i="55" s="1"/>
  <c r="FY256" i="55" s="1"/>
  <c r="FT256" i="55" a="1"/>
  <c r="FT256" i="55" s="1"/>
  <c r="FU256" i="55" s="1"/>
  <c r="FR256" i="55" a="1"/>
  <c r="FR256" i="55" s="1"/>
  <c r="FS256" i="55" s="1"/>
  <c r="FP256" i="55" a="1"/>
  <c r="FP256" i="55" s="1"/>
  <c r="FQ256" i="55" s="1"/>
  <c r="FZ256" i="55" a="1"/>
  <c r="FZ256" i="55" s="1"/>
  <c r="GA256" i="55" s="1"/>
  <c r="EV257" i="55"/>
  <c r="EU257" i="55"/>
  <c r="GU257" i="55" s="1"/>
  <c r="ET258" i="55"/>
  <c r="FN257" i="55"/>
  <c r="FO257" i="55" s="1"/>
  <c r="EV85" i="55"/>
  <c r="EU85" i="55"/>
  <c r="GU85" i="55" s="1"/>
  <c r="ET86" i="55"/>
  <c r="FN85" i="55"/>
  <c r="FO85" i="55" s="1"/>
  <c r="GV83" i="55" l="1"/>
  <c r="AR82" i="55"/>
  <c r="FK213" i="55"/>
  <c r="GV182" i="55"/>
  <c r="AR182" i="55"/>
  <c r="GV255" i="55"/>
  <c r="AR255" i="55"/>
  <c r="GV311" i="55"/>
  <c r="AR311" i="55"/>
  <c r="N33" i="42"/>
  <c r="P33" i="42" s="1"/>
  <c r="AE33" i="42" s="1"/>
  <c r="BF11" i="10"/>
  <c r="M62" i="16"/>
  <c r="GV98" i="55"/>
  <c r="AR98" i="55"/>
  <c r="GV74" i="55"/>
  <c r="AR74" i="55"/>
  <c r="GV241" i="55"/>
  <c r="AR241" i="55"/>
  <c r="GV128" i="55"/>
  <c r="AR128" i="55"/>
  <c r="GV194" i="55"/>
  <c r="AR194" i="55"/>
  <c r="GV172" i="55"/>
  <c r="AR172" i="55"/>
  <c r="AR335" i="55"/>
  <c r="GV335" i="55"/>
  <c r="GV50" i="55"/>
  <c r="AR50" i="55"/>
  <c r="GV298" i="55"/>
  <c r="AR298" i="55"/>
  <c r="GV210" i="55"/>
  <c r="AR210" i="55"/>
  <c r="GV67" i="55"/>
  <c r="AR67" i="55"/>
  <c r="GV225" i="55"/>
  <c r="AR225" i="55"/>
  <c r="GV138" i="55"/>
  <c r="AR138" i="55"/>
  <c r="GV304" i="55"/>
  <c r="AR304" i="55"/>
  <c r="GV10" i="55"/>
  <c r="AR10" i="55"/>
  <c r="AR175" i="55"/>
  <c r="GV175" i="55"/>
  <c r="GV247" i="55"/>
  <c r="AR247" i="55"/>
  <c r="GV107" i="55"/>
  <c r="AR107" i="55"/>
  <c r="GV314" i="55"/>
  <c r="AR314" i="55"/>
  <c r="GV161" i="55"/>
  <c r="AR161" i="55"/>
  <c r="AR254" i="55"/>
  <c r="GV254" i="55"/>
  <c r="AR110" i="55"/>
  <c r="GV110" i="55"/>
  <c r="GV285" i="55"/>
  <c r="AR285" i="55"/>
  <c r="AR205" i="55"/>
  <c r="GV205" i="55"/>
  <c r="GV231" i="55"/>
  <c r="AR231" i="55"/>
  <c r="AR319" i="55"/>
  <c r="GV319" i="55"/>
  <c r="GV131" i="55"/>
  <c r="AR131" i="55"/>
  <c r="AR313" i="55"/>
  <c r="GV313" i="55"/>
  <c r="AR190" i="55"/>
  <c r="GV190" i="55"/>
  <c r="GV75" i="55"/>
  <c r="AR75" i="55"/>
  <c r="AR46" i="55"/>
  <c r="GV46" i="55"/>
  <c r="GV105" i="55"/>
  <c r="AR105" i="55"/>
  <c r="AR189" i="55"/>
  <c r="GV189" i="55"/>
  <c r="GV59" i="55"/>
  <c r="AR59" i="55"/>
  <c r="AR338" i="55"/>
  <c r="GV338" i="55"/>
  <c r="GV250" i="55"/>
  <c r="AR250" i="55"/>
  <c r="GV52" i="55"/>
  <c r="AR52" i="55"/>
  <c r="GV322" i="55"/>
  <c r="AR322" i="55"/>
  <c r="GV115" i="55"/>
  <c r="AR115" i="55"/>
  <c r="GV108" i="55"/>
  <c r="AR108" i="55"/>
  <c r="GV148" i="55"/>
  <c r="AR148" i="55"/>
  <c r="GV303" i="55"/>
  <c r="AR303" i="55"/>
  <c r="AR169" i="55"/>
  <c r="GV169" i="55"/>
  <c r="AR47" i="55"/>
  <c r="GV47" i="55"/>
  <c r="GV125" i="55"/>
  <c r="AR125" i="55"/>
  <c r="GV316" i="55"/>
  <c r="AR316" i="55"/>
  <c r="GV180" i="55"/>
  <c r="AR180" i="55"/>
  <c r="GV336" i="55"/>
  <c r="AR336" i="55"/>
  <c r="AR42" i="55"/>
  <c r="GV42" i="55"/>
  <c r="GV127" i="55"/>
  <c r="AR127" i="55"/>
  <c r="GV289" i="55"/>
  <c r="AR289" i="55"/>
  <c r="GV195" i="55"/>
  <c r="AR195" i="55"/>
  <c r="GV171" i="55"/>
  <c r="AR171" i="55"/>
  <c r="AR124" i="55"/>
  <c r="GV124" i="55"/>
  <c r="AR93" i="55"/>
  <c r="GV93" i="55"/>
  <c r="AR162" i="55"/>
  <c r="GV162" i="55"/>
  <c r="GV296" i="55"/>
  <c r="AR296" i="55"/>
  <c r="GV197" i="55"/>
  <c r="AR197" i="55"/>
  <c r="GV79" i="55"/>
  <c r="AR79" i="55"/>
  <c r="GV226" i="55"/>
  <c r="AR226" i="55"/>
  <c r="GV318" i="55"/>
  <c r="AR318" i="55"/>
  <c r="GV117" i="55"/>
  <c r="AR117" i="55"/>
  <c r="GV139" i="55"/>
  <c r="AR139" i="55"/>
  <c r="GV90" i="55"/>
  <c r="AR90" i="55"/>
  <c r="GV58" i="55"/>
  <c r="AR58" i="55"/>
  <c r="GV321" i="55"/>
  <c r="AR321" i="55"/>
  <c r="GV152" i="55"/>
  <c r="AR152" i="55"/>
  <c r="AR101" i="55"/>
  <c r="GV101" i="55"/>
  <c r="AR69" i="55"/>
  <c r="GV69" i="55"/>
  <c r="GV243" i="55"/>
  <c r="AR243" i="55"/>
  <c r="GV345" i="55"/>
  <c r="AR345" i="55"/>
  <c r="FK84" i="55"/>
  <c r="GV84" i="55" s="1"/>
  <c r="GV100" i="55"/>
  <c r="AR100" i="55"/>
  <c r="GV158" i="55"/>
  <c r="AR158" i="55"/>
  <c r="GV246" i="55"/>
  <c r="AR246" i="55"/>
  <c r="GV350" i="55"/>
  <c r="AR350" i="55"/>
  <c r="GV288" i="55"/>
  <c r="AR288" i="55"/>
  <c r="AR191" i="55"/>
  <c r="GV191" i="55"/>
  <c r="AR95" i="55"/>
  <c r="GV95" i="55"/>
  <c r="AR166" i="55"/>
  <c r="GV166" i="55"/>
  <c r="GV340" i="55"/>
  <c r="AR340" i="55"/>
  <c r="AR229" i="55"/>
  <c r="GV229" i="55"/>
  <c r="GV109" i="55"/>
  <c r="AR109" i="55"/>
  <c r="GV306" i="55"/>
  <c r="AR306" i="55"/>
  <c r="AR287" i="55"/>
  <c r="GV287" i="55"/>
  <c r="GV203" i="55"/>
  <c r="AR203" i="55"/>
  <c r="AR339" i="55"/>
  <c r="GV339" i="55"/>
  <c r="GV343" i="55"/>
  <c r="AR343" i="55"/>
  <c r="GV295" i="55"/>
  <c r="AR295" i="55"/>
  <c r="GV196" i="55"/>
  <c r="AR196" i="55"/>
  <c r="GV72" i="55"/>
  <c r="AR72" i="55"/>
  <c r="AR245" i="55"/>
  <c r="GV245" i="55"/>
  <c r="GV103" i="55"/>
  <c r="AR103" i="55"/>
  <c r="AR290" i="55"/>
  <c r="GV290" i="55"/>
  <c r="GV209" i="55"/>
  <c r="AR209" i="55"/>
  <c r="AR81" i="55"/>
  <c r="GV81" i="55"/>
  <c r="GV320" i="55"/>
  <c r="AR320" i="55"/>
  <c r="AR143" i="55"/>
  <c r="GV143" i="55"/>
  <c r="GV201" i="55"/>
  <c r="AR201" i="55"/>
  <c r="GV60" i="55"/>
  <c r="AR60" i="55"/>
  <c r="GV292" i="55"/>
  <c r="AR292" i="55"/>
  <c r="GV232" i="55"/>
  <c r="AR232" i="55"/>
  <c r="GV45" i="55"/>
  <c r="AR45" i="55"/>
  <c r="GV330" i="55"/>
  <c r="AR330" i="55"/>
  <c r="GV291" i="55"/>
  <c r="AR291" i="55"/>
  <c r="GV89" i="55"/>
  <c r="AR89" i="55"/>
  <c r="GV62" i="55"/>
  <c r="AR62" i="55"/>
  <c r="AR37" i="55"/>
  <c r="GV37" i="55"/>
  <c r="AR102" i="55"/>
  <c r="GV102" i="55"/>
  <c r="GV97" i="55"/>
  <c r="AR97" i="55"/>
  <c r="GV164" i="55"/>
  <c r="AR164" i="55"/>
  <c r="FN22" i="55"/>
  <c r="FO22" i="55" s="1"/>
  <c r="GC22" i="55"/>
  <c r="AR346" i="55"/>
  <c r="GV346" i="55"/>
  <c r="AR153" i="55"/>
  <c r="GV153" i="55"/>
  <c r="AR99" i="55"/>
  <c r="GV99" i="55"/>
  <c r="GV206" i="55"/>
  <c r="AR206" i="55"/>
  <c r="GV187" i="55"/>
  <c r="AR187" i="55"/>
  <c r="GV155" i="55"/>
  <c r="AR155" i="55"/>
  <c r="BF10" i="10"/>
  <c r="M61" i="16"/>
  <c r="AR54" i="55"/>
  <c r="GV54" i="55"/>
  <c r="GV76" i="55"/>
  <c r="AR76" i="55"/>
  <c r="GV244" i="55"/>
  <c r="AR244" i="55"/>
  <c r="AR248" i="55"/>
  <c r="GV248" i="55"/>
  <c r="GV32" i="55"/>
  <c r="AR32" i="55"/>
  <c r="AR348" i="55"/>
  <c r="GV348" i="55"/>
  <c r="GV331" i="55"/>
  <c r="AR331" i="55"/>
  <c r="GV126" i="55"/>
  <c r="AR126" i="55"/>
  <c r="GV133" i="55"/>
  <c r="AR133" i="55"/>
  <c r="GV150" i="55"/>
  <c r="AR150" i="55"/>
  <c r="GV200" i="55"/>
  <c r="AR200" i="55"/>
  <c r="GV337" i="55"/>
  <c r="AR337" i="55"/>
  <c r="GV324" i="55"/>
  <c r="AR324" i="55"/>
  <c r="GV134" i="55"/>
  <c r="AR134" i="55"/>
  <c r="AR157" i="55"/>
  <c r="GV157" i="55"/>
  <c r="AR227" i="55"/>
  <c r="GV227" i="55"/>
  <c r="GV333" i="55"/>
  <c r="AR333" i="55"/>
  <c r="GV286" i="55"/>
  <c r="AR286" i="55"/>
  <c r="GV208" i="55"/>
  <c r="AR208" i="55"/>
  <c r="AR156" i="55"/>
  <c r="GV156" i="55"/>
  <c r="GC23" i="55"/>
  <c r="FK23" i="55"/>
  <c r="FN23" i="55"/>
  <c r="FO23" i="55" s="1"/>
  <c r="GV66" i="55"/>
  <c r="AR66" i="55"/>
  <c r="GV77" i="55"/>
  <c r="AR77" i="55"/>
  <c r="GV234" i="55"/>
  <c r="AR234" i="55"/>
  <c r="GV230" i="55"/>
  <c r="AR230" i="55"/>
  <c r="GV240" i="55"/>
  <c r="AR240" i="55"/>
  <c r="AR36" i="55"/>
  <c r="GV36" i="55"/>
  <c r="GV39" i="55"/>
  <c r="AR39" i="55"/>
  <c r="GV351" i="55"/>
  <c r="AR351" i="55"/>
  <c r="AR334" i="55"/>
  <c r="GV334" i="55"/>
  <c r="GV118" i="55"/>
  <c r="AR118" i="55"/>
  <c r="GV136" i="55"/>
  <c r="AR136" i="55"/>
  <c r="GV151" i="55"/>
  <c r="AR151" i="55"/>
  <c r="GV170" i="55"/>
  <c r="AR170" i="55"/>
  <c r="AR249" i="55"/>
  <c r="GV249" i="55"/>
  <c r="GV332" i="55"/>
  <c r="AR332" i="55"/>
  <c r="AR300" i="55"/>
  <c r="GV300" i="55"/>
  <c r="GV198" i="55"/>
  <c r="AR198" i="55"/>
  <c r="GV78" i="55"/>
  <c r="AR78" i="55"/>
  <c r="GV51" i="55"/>
  <c r="AR51" i="55"/>
  <c r="AR137" i="55"/>
  <c r="GV137" i="55"/>
  <c r="AR329" i="55"/>
  <c r="GV329" i="55"/>
  <c r="FK8" i="55"/>
  <c r="GV202" i="55"/>
  <c r="AR202" i="55"/>
  <c r="GV305" i="55"/>
  <c r="AR305" i="55"/>
  <c r="GV326" i="55"/>
  <c r="AR326" i="55"/>
  <c r="GV94" i="55"/>
  <c r="AR94" i="55"/>
  <c r="GV211" i="55"/>
  <c r="AR211" i="55"/>
  <c r="GV163" i="55"/>
  <c r="AR163" i="55"/>
  <c r="FK15" i="55"/>
  <c r="FK18" i="55"/>
  <c r="FK16" i="55"/>
  <c r="FK17" i="55"/>
  <c r="FN8" i="55"/>
  <c r="FO8" i="55" s="1"/>
  <c r="FK21" i="55"/>
  <c r="GC8" i="55"/>
  <c r="FK24" i="55"/>
  <c r="FK19" i="55"/>
  <c r="FK20" i="55"/>
  <c r="FK9" i="55"/>
  <c r="FK4" i="55"/>
  <c r="FK11" i="55"/>
  <c r="FK13" i="55"/>
  <c r="FK25" i="55"/>
  <c r="FK3" i="55"/>
  <c r="FK5" i="55"/>
  <c r="FK14" i="55"/>
  <c r="FK6" i="55"/>
  <c r="P3" i="40" a="1"/>
  <c r="P3" i="40" s="1"/>
  <c r="GV73" i="55"/>
  <c r="AR73" i="55"/>
  <c r="GV242" i="55"/>
  <c r="AR242" i="55"/>
  <c r="GV35" i="55"/>
  <c r="AR35" i="55"/>
  <c r="GV342" i="55"/>
  <c r="AR342" i="55"/>
  <c r="AR119" i="55"/>
  <c r="GV119" i="55"/>
  <c r="GV114" i="55"/>
  <c r="AR114" i="55"/>
  <c r="AR146" i="55"/>
  <c r="GV146" i="55"/>
  <c r="AR130" i="55"/>
  <c r="GV130" i="55"/>
  <c r="AR165" i="55"/>
  <c r="GV165" i="55"/>
  <c r="GS92" i="55"/>
  <c r="GS303" i="55"/>
  <c r="GS172" i="55"/>
  <c r="GS143" i="55"/>
  <c r="GS177" i="55"/>
  <c r="GS65" i="55"/>
  <c r="GS145" i="55"/>
  <c r="GS193" i="55"/>
  <c r="GS311" i="55"/>
  <c r="GS209" i="55"/>
  <c r="GS72" i="55"/>
  <c r="GS170" i="55"/>
  <c r="GS150" i="55"/>
  <c r="GS205" i="55"/>
  <c r="GS206" i="55"/>
  <c r="GS126" i="55"/>
  <c r="GS264" i="55"/>
  <c r="GS244" i="55"/>
  <c r="GS255" i="55"/>
  <c r="GS49" i="55"/>
  <c r="GS345" i="55"/>
  <c r="GS152" i="55"/>
  <c r="GS329" i="55"/>
  <c r="GS289" i="55"/>
  <c r="GS297" i="55"/>
  <c r="GS237" i="55"/>
  <c r="GS33" i="55"/>
  <c r="GS103" i="55"/>
  <c r="GS108" i="55"/>
  <c r="GS314" i="55"/>
  <c r="GS12" i="55"/>
  <c r="GS312" i="55"/>
  <c r="GS22" i="55"/>
  <c r="GS15" i="55"/>
  <c r="GS110" i="55"/>
  <c r="GS55" i="55"/>
  <c r="GS269" i="55"/>
  <c r="GS306" i="55"/>
  <c r="GS62" i="55"/>
  <c r="GS349" i="55"/>
  <c r="GS86" i="55"/>
  <c r="GS39" i="55"/>
  <c r="GS331" i="55"/>
  <c r="GS140" i="55"/>
  <c r="GS141" i="55"/>
  <c r="GS199" i="55"/>
  <c r="GS339" i="55"/>
  <c r="GS10" i="55"/>
  <c r="GS38" i="55"/>
  <c r="GS275" i="55"/>
  <c r="GS220" i="55"/>
  <c r="GS222" i="55"/>
  <c r="GS335" i="55"/>
  <c r="GS129" i="55"/>
  <c r="GS217" i="55"/>
  <c r="GS40" i="55"/>
  <c r="GS139" i="55"/>
  <c r="GS257" i="55"/>
  <c r="GS162" i="55"/>
  <c r="GS285" i="55"/>
  <c r="GS120" i="55"/>
  <c r="GS70" i="55"/>
  <c r="GS115" i="55"/>
  <c r="GS191" i="55"/>
  <c r="GS178" i="55"/>
  <c r="GS102" i="55"/>
  <c r="GS18" i="55"/>
  <c r="GS131" i="55"/>
  <c r="GS7" i="55"/>
  <c r="GS8" i="55" s="1"/>
  <c r="GS90" i="55"/>
  <c r="GS19" i="55"/>
  <c r="GS77" i="55"/>
  <c r="GS212" i="55"/>
  <c r="GS16" i="55"/>
  <c r="GS195" i="55"/>
  <c r="GS163" i="55"/>
  <c r="GS215" i="55"/>
  <c r="GS20" i="55"/>
  <c r="GS24" i="55"/>
  <c r="GS173" i="55"/>
  <c r="GS232" i="55"/>
  <c r="GS194" i="55"/>
  <c r="GS160" i="55"/>
  <c r="GS294" i="55"/>
  <c r="GS333" i="55"/>
  <c r="GS227" i="55"/>
  <c r="BQ3" i="40" a="1"/>
  <c r="BQ3" i="40" s="1"/>
  <c r="GS343" i="55"/>
  <c r="GS105" i="55"/>
  <c r="GS82" i="55"/>
  <c r="GS121" i="55"/>
  <c r="GS52" i="55"/>
  <c r="GS71" i="55"/>
  <c r="GS291" i="55"/>
  <c r="GS41" i="55"/>
  <c r="GS133" i="55"/>
  <c r="GS240" i="55"/>
  <c r="GS169" i="55"/>
  <c r="GS100" i="55"/>
  <c r="GS322" i="55"/>
  <c r="GS197" i="55"/>
  <c r="GS318" i="55"/>
  <c r="GS230" i="55"/>
  <c r="GS231" i="55"/>
  <c r="GS320" i="55"/>
  <c r="GS256" i="55"/>
  <c r="GS216" i="55"/>
  <c r="GS234" i="55"/>
  <c r="GS159" i="55"/>
  <c r="GS262" i="55"/>
  <c r="GS249" i="55"/>
  <c r="GS346" i="55"/>
  <c r="GS76" i="55"/>
  <c r="GS168" i="55"/>
  <c r="GS337" i="55"/>
  <c r="GS226" i="55"/>
  <c r="GS327" i="55"/>
  <c r="GS59" i="55"/>
  <c r="GS344" i="55"/>
  <c r="GS213" i="55"/>
  <c r="GS278" i="55"/>
  <c r="GS56" i="55"/>
  <c r="GS310" i="55"/>
  <c r="GS114" i="55"/>
  <c r="GS107" i="55"/>
  <c r="GS84" i="55"/>
  <c r="GS315" i="55"/>
  <c r="GS336" i="55"/>
  <c r="GS260" i="55"/>
  <c r="GS202" i="55"/>
  <c r="GS44" i="55"/>
  <c r="GS73" i="55"/>
  <c r="GS200" i="55"/>
  <c r="GS78" i="55"/>
  <c r="GS69" i="55"/>
  <c r="GS299" i="55"/>
  <c r="GS334" i="55"/>
  <c r="GS183" i="55"/>
  <c r="GS43" i="55"/>
  <c r="GS251" i="55"/>
  <c r="GS305" i="55"/>
  <c r="GS48" i="55"/>
  <c r="GS210" i="55"/>
  <c r="GS106" i="55"/>
  <c r="GS243" i="55"/>
  <c r="GS74" i="55"/>
  <c r="GS252" i="55"/>
  <c r="GS270" i="55"/>
  <c r="GS214" i="55"/>
  <c r="GS319" i="55"/>
  <c r="GS263" i="55"/>
  <c r="GS176" i="55"/>
  <c r="GS233" i="55"/>
  <c r="GS282" i="55"/>
  <c r="GS223" i="55"/>
  <c r="GS181" i="55"/>
  <c r="GS186" i="55"/>
  <c r="GS147" i="55"/>
  <c r="GS146" i="55"/>
  <c r="GS180" i="55"/>
  <c r="GS253" i="55"/>
  <c r="GS272" i="55"/>
  <c r="GS101" i="55"/>
  <c r="GS190" i="55"/>
  <c r="GS174" i="55"/>
  <c r="GS225" i="55"/>
  <c r="GS304" i="55"/>
  <c r="GS301" i="55"/>
  <c r="GS122" i="55"/>
  <c r="GS239" i="55"/>
  <c r="GS236" i="55"/>
  <c r="GS242" i="55"/>
  <c r="GS66" i="55"/>
  <c r="GS117" i="55"/>
  <c r="GS134" i="55"/>
  <c r="GS60" i="55"/>
  <c r="GS293" i="55"/>
  <c r="GS274" i="55"/>
  <c r="GS201" i="55"/>
  <c r="GS144" i="55"/>
  <c r="GS96" i="55"/>
  <c r="GS245" i="55"/>
  <c r="GS132" i="55"/>
  <c r="GS288" i="55"/>
  <c r="GS182" i="55"/>
  <c r="GS187" i="55"/>
  <c r="GS93" i="55"/>
  <c r="GS228" i="55"/>
  <c r="GS208" i="55"/>
  <c r="GS85" i="55"/>
  <c r="GS137" i="55"/>
  <c r="GS112" i="55"/>
  <c r="GS308" i="55"/>
  <c r="GS75" i="55"/>
  <c r="GS280" i="55"/>
  <c r="GS57" i="55"/>
  <c r="GS37" i="55"/>
  <c r="GS292" i="55"/>
  <c r="GS258" i="55"/>
  <c r="GS219" i="55"/>
  <c r="GS250" i="55"/>
  <c r="GS127" i="55"/>
  <c r="GS118" i="55"/>
  <c r="GS142" i="55"/>
  <c r="GS268" i="55"/>
  <c r="GS164" i="55"/>
  <c r="GS34" i="55"/>
  <c r="GS352" i="55"/>
  <c r="GS340" i="55"/>
  <c r="GS97" i="55"/>
  <c r="GS91" i="55"/>
  <c r="GS350" i="55"/>
  <c r="GS188" i="55"/>
  <c r="GS138" i="55"/>
  <c r="GS136" i="55"/>
  <c r="GS259" i="55"/>
  <c r="GS328" i="55"/>
  <c r="GS192" i="55"/>
  <c r="GS287" i="55"/>
  <c r="GS279" i="55"/>
  <c r="GS125" i="55"/>
  <c r="GS277" i="55"/>
  <c r="GS61" i="55"/>
  <c r="GS203" i="55"/>
  <c r="GS151" i="55"/>
  <c r="GS29" i="55"/>
  <c r="GS238" i="55"/>
  <c r="GS248" i="55"/>
  <c r="GS51" i="55"/>
  <c r="GS284" i="55"/>
  <c r="GS94" i="55"/>
  <c r="GS64" i="55"/>
  <c r="GS235" i="55"/>
  <c r="GS198" i="55"/>
  <c r="GS35" i="55"/>
  <c r="GS95" i="55"/>
  <c r="GS286" i="55"/>
  <c r="GS153" i="55"/>
  <c r="GS63" i="55"/>
  <c r="GS148" i="55"/>
  <c r="GS167" i="55"/>
  <c r="GS47" i="55"/>
  <c r="GS185" i="55"/>
  <c r="GS298" i="55"/>
  <c r="GS88" i="55"/>
  <c r="GS81" i="55"/>
  <c r="GS171" i="55"/>
  <c r="GS302" i="55"/>
  <c r="GS116" i="55"/>
  <c r="GS246" i="55"/>
  <c r="GS123" i="55"/>
  <c r="GS295" i="55"/>
  <c r="GS218" i="55"/>
  <c r="GS273" i="55"/>
  <c r="GS54" i="55"/>
  <c r="GS338" i="55"/>
  <c r="GS128" i="55"/>
  <c r="GS241" i="55"/>
  <c r="GS300" i="55"/>
  <c r="GS204" i="55"/>
  <c r="GS87" i="55"/>
  <c r="GS155" i="55"/>
  <c r="GS124" i="55"/>
  <c r="GS79" i="55"/>
  <c r="GS324" i="55"/>
  <c r="GS166" i="55"/>
  <c r="GS221" i="55"/>
  <c r="GS46" i="55"/>
  <c r="GS149" i="55"/>
  <c r="GS119" i="55"/>
  <c r="GS99" i="55"/>
  <c r="GS89" i="55"/>
  <c r="GS326" i="55"/>
  <c r="GS211" i="55"/>
  <c r="GS156" i="55"/>
  <c r="GS207" i="55"/>
  <c r="GS348" i="55"/>
  <c r="GS307" i="55"/>
  <c r="GS189" i="55"/>
  <c r="GS316" i="55"/>
  <c r="GS229" i="55"/>
  <c r="GS351" i="55"/>
  <c r="GS165" i="55"/>
  <c r="GS111" i="55"/>
  <c r="GS175" i="55"/>
  <c r="GS98" i="55"/>
  <c r="GS321" i="55"/>
  <c r="GS42" i="55"/>
  <c r="GS265" i="55"/>
  <c r="GS332" i="55"/>
  <c r="GS45" i="55"/>
  <c r="GS309" i="55"/>
  <c r="GS266" i="55"/>
  <c r="GS276" i="55"/>
  <c r="GS281" i="55"/>
  <c r="GS157" i="55"/>
  <c r="GS247" i="55"/>
  <c r="GS267" i="55"/>
  <c r="GS83" i="55"/>
  <c r="GS347" i="55"/>
  <c r="GS296" i="55"/>
  <c r="GS113" i="55"/>
  <c r="GS68" i="55"/>
  <c r="GS254" i="55"/>
  <c r="GS36" i="55"/>
  <c r="GS67" i="55"/>
  <c r="GS290" i="55"/>
  <c r="GS323" i="55"/>
  <c r="GS30" i="55"/>
  <c r="GS158" i="55"/>
  <c r="GS161" i="55"/>
  <c r="GS196" i="55"/>
  <c r="GS271" i="55"/>
  <c r="GS109" i="55"/>
  <c r="GS179" i="55"/>
  <c r="GS58" i="55"/>
  <c r="GS261" i="55"/>
  <c r="GS135" i="55"/>
  <c r="GV116" i="55"/>
  <c r="AR116" i="55"/>
  <c r="BX3" i="40" a="1"/>
  <c r="BX3" i="40" s="1"/>
  <c r="AR188" i="55"/>
  <c r="GV188" i="55"/>
  <c r="AR71" i="55"/>
  <c r="GV71" i="55"/>
  <c r="AR104" i="55"/>
  <c r="GV104" i="55"/>
  <c r="GV308" i="55"/>
  <c r="AR308" i="55"/>
  <c r="AR88" i="55"/>
  <c r="GV88" i="55"/>
  <c r="GV159" i="55"/>
  <c r="AR159" i="55"/>
  <c r="GV297" i="55"/>
  <c r="AR297" i="55"/>
  <c r="A5" i="61" a="1"/>
  <c r="A5" i="61" s="1"/>
  <c r="AR193" i="55"/>
  <c r="GV193" i="55"/>
  <c r="GV68" i="55"/>
  <c r="AR68" i="55"/>
  <c r="GV236" i="55"/>
  <c r="AR236" i="55"/>
  <c r="GV40" i="55"/>
  <c r="AR40" i="55"/>
  <c r="FK183" i="55"/>
  <c r="GV299" i="55"/>
  <c r="AR299" i="55"/>
  <c r="GV302" i="55"/>
  <c r="AR302" i="55"/>
  <c r="GV325" i="55"/>
  <c r="AR325" i="55"/>
  <c r="FK12" i="55"/>
  <c r="CY257" i="55"/>
  <c r="CZ256" i="55"/>
  <c r="GV199" i="55"/>
  <c r="AR199" i="55"/>
  <c r="GV70" i="55"/>
  <c r="AR70" i="55"/>
  <c r="AR33" i="55"/>
  <c r="GV33" i="55"/>
  <c r="AR112" i="55"/>
  <c r="GV112" i="55"/>
  <c r="GV122" i="55"/>
  <c r="AR122" i="55"/>
  <c r="GV142" i="55"/>
  <c r="AR142" i="55"/>
  <c r="GV301" i="55"/>
  <c r="AR301" i="55"/>
  <c r="AR328" i="55"/>
  <c r="GV328" i="55"/>
  <c r="AR186" i="55"/>
  <c r="GV186" i="55"/>
  <c r="GV173" i="55"/>
  <c r="AR173" i="55"/>
  <c r="GV179" i="55"/>
  <c r="AR179" i="55"/>
  <c r="GV55" i="55"/>
  <c r="AR55" i="55"/>
  <c r="AR233" i="55"/>
  <c r="GV233" i="55"/>
  <c r="AR251" i="55"/>
  <c r="GV251" i="55"/>
  <c r="GV34" i="55"/>
  <c r="AR34" i="55"/>
  <c r="AR48" i="55"/>
  <c r="GV48" i="55"/>
  <c r="GV341" i="55"/>
  <c r="AR341" i="55"/>
  <c r="GV121" i="55"/>
  <c r="AR121" i="55"/>
  <c r="GV123" i="55"/>
  <c r="AR123" i="55"/>
  <c r="AR144" i="55"/>
  <c r="GV144" i="55"/>
  <c r="GV135" i="55"/>
  <c r="AR135" i="55"/>
  <c r="GV167" i="55"/>
  <c r="AR167" i="55"/>
  <c r="FK7" i="55"/>
  <c r="GV44" i="55"/>
  <c r="AR44" i="55"/>
  <c r="GV307" i="55"/>
  <c r="AR307" i="55"/>
  <c r="GV309" i="55"/>
  <c r="AR309" i="55"/>
  <c r="GV327" i="55"/>
  <c r="AR327" i="55"/>
  <c r="FK22" i="55"/>
  <c r="GV91" i="55"/>
  <c r="AR91" i="55"/>
  <c r="GV207" i="55"/>
  <c r="AR207" i="55"/>
  <c r="GV177" i="55"/>
  <c r="AR177" i="55"/>
  <c r="GV176" i="55"/>
  <c r="AR176" i="55"/>
  <c r="AR63" i="55"/>
  <c r="GV63" i="55"/>
  <c r="GV61" i="55"/>
  <c r="AR61" i="55"/>
  <c r="GV239" i="55"/>
  <c r="AR239" i="55"/>
  <c r="AR235" i="55"/>
  <c r="GV235" i="55"/>
  <c r="GV228" i="55"/>
  <c r="AR228" i="55"/>
  <c r="AR49" i="55"/>
  <c r="GV49" i="55"/>
  <c r="GV43" i="55"/>
  <c r="AR43" i="55"/>
  <c r="AR349" i="55"/>
  <c r="GV349" i="55"/>
  <c r="AR111" i="55"/>
  <c r="GV111" i="55"/>
  <c r="GV141" i="55"/>
  <c r="AR141" i="55"/>
  <c r="GV147" i="55"/>
  <c r="AR147" i="55"/>
  <c r="GV237" i="55"/>
  <c r="AR237" i="55"/>
  <c r="GV352" i="55"/>
  <c r="AR352" i="55"/>
  <c r="AR30" i="55"/>
  <c r="AR293" i="55"/>
  <c r="GV293" i="55"/>
  <c r="GV310" i="55"/>
  <c r="AR310" i="55"/>
  <c r="GV92" i="55"/>
  <c r="AR92" i="55"/>
  <c r="AR204" i="55"/>
  <c r="GV204" i="55"/>
  <c r="GV168" i="55"/>
  <c r="AR168" i="55"/>
  <c r="GV174" i="55"/>
  <c r="AR174" i="55"/>
  <c r="GV80" i="55"/>
  <c r="AR80" i="55"/>
  <c r="GV56" i="55"/>
  <c r="AR56" i="55"/>
  <c r="AR64" i="55"/>
  <c r="GV64" i="55"/>
  <c r="GV238" i="55"/>
  <c r="AR238" i="55"/>
  <c r="AR38" i="55"/>
  <c r="GV38" i="55"/>
  <c r="GV323" i="55"/>
  <c r="AR323" i="55"/>
  <c r="GV344" i="55"/>
  <c r="AR344" i="55"/>
  <c r="GV113" i="55"/>
  <c r="AR113" i="55"/>
  <c r="AR120" i="55"/>
  <c r="GV120" i="55"/>
  <c r="GV145" i="55"/>
  <c r="AR145" i="55"/>
  <c r="GV149" i="55"/>
  <c r="AR149" i="55"/>
  <c r="GV65" i="55"/>
  <c r="AR65" i="55"/>
  <c r="AR294" i="55"/>
  <c r="GV294" i="55"/>
  <c r="GV284" i="55"/>
  <c r="AR284" i="55"/>
  <c r="GV315" i="55"/>
  <c r="AR315" i="55"/>
  <c r="GV96" i="55"/>
  <c r="AR96" i="55"/>
  <c r="GV192" i="55"/>
  <c r="AR192" i="55"/>
  <c r="AR185" i="55"/>
  <c r="GV185" i="55"/>
  <c r="AR160" i="55"/>
  <c r="GV160" i="55"/>
  <c r="AR178" i="55"/>
  <c r="GV178" i="55"/>
  <c r="GV53" i="55"/>
  <c r="AR53" i="55"/>
  <c r="GV57" i="55"/>
  <c r="AR57" i="55"/>
  <c r="GV253" i="55"/>
  <c r="AR253" i="55"/>
  <c r="AR252" i="55"/>
  <c r="GV252" i="55"/>
  <c r="AR41" i="55"/>
  <c r="GV41" i="55"/>
  <c r="GV317" i="55"/>
  <c r="AR317" i="55"/>
  <c r="AR347" i="55"/>
  <c r="GV347" i="55"/>
  <c r="GV106" i="55"/>
  <c r="AR106" i="55"/>
  <c r="GV140" i="55"/>
  <c r="AR140" i="55"/>
  <c r="AR132" i="55"/>
  <c r="GV132" i="55"/>
  <c r="FZ85" i="55" a="1"/>
  <c r="FZ85" i="55" s="1"/>
  <c r="GA85" i="55" s="1"/>
  <c r="FX85" i="55" a="1"/>
  <c r="FX85" i="55" s="1"/>
  <c r="FY85" i="55" s="1"/>
  <c r="FV85" i="55" a="1"/>
  <c r="FV85" i="55" s="1"/>
  <c r="FW85" i="55" s="1"/>
  <c r="FT85" i="55" a="1"/>
  <c r="FT85" i="55" s="1"/>
  <c r="FU85" i="55" s="1"/>
  <c r="FR85" i="55" a="1"/>
  <c r="FR85" i="55" s="1"/>
  <c r="FS85" i="55" s="1"/>
  <c r="FP85" i="55" a="1"/>
  <c r="FP85" i="55" s="1"/>
  <c r="FQ85" i="55" s="1"/>
  <c r="N34" i="42"/>
  <c r="P34" i="42" s="1"/>
  <c r="AE34" i="42" s="1"/>
  <c r="BF12" i="10"/>
  <c r="M63" i="16"/>
  <c r="FK312" i="55"/>
  <c r="GC85" i="55"/>
  <c r="EZ85" i="55"/>
  <c r="FK85" i="55" s="1"/>
  <c r="FC85" i="55"/>
  <c r="FA85" i="55"/>
  <c r="GB85" i="55" s="1"/>
  <c r="EW85" i="55"/>
  <c r="GB312" i="55"/>
  <c r="FZ257" i="55" a="1"/>
  <c r="FZ257" i="55" s="1"/>
  <c r="GA257" i="55" s="1"/>
  <c r="FX257" i="55" a="1"/>
  <c r="FX257" i="55" s="1"/>
  <c r="FY257" i="55" s="1"/>
  <c r="FT257" i="55" a="1"/>
  <c r="FT257" i="55" s="1"/>
  <c r="FU257" i="55" s="1"/>
  <c r="FR257" i="55" a="1"/>
  <c r="FR257" i="55" s="1"/>
  <c r="FS257" i="55" s="1"/>
  <c r="FP257" i="55" a="1"/>
  <c r="FP257" i="55" s="1"/>
  <c r="FQ257" i="55" s="1"/>
  <c r="FV257" i="55" a="1"/>
  <c r="FV257" i="55" s="1"/>
  <c r="FW257" i="55" s="1"/>
  <c r="GV212" i="55"/>
  <c r="AR212" i="55"/>
  <c r="GC257" i="55"/>
  <c r="EZ257" i="55"/>
  <c r="FC257" i="55"/>
  <c r="FA257" i="55"/>
  <c r="GB257" i="55" s="1"/>
  <c r="EW257" i="55"/>
  <c r="GN29" i="55"/>
  <c r="FL29" i="55"/>
  <c r="FM29" i="55" s="1"/>
  <c r="FE29" i="55"/>
  <c r="FI29" i="55" s="1"/>
  <c r="EQ29" i="55"/>
  <c r="GN249" i="55"/>
  <c r="GN96" i="55"/>
  <c r="GN81" i="55"/>
  <c r="GN116" i="55"/>
  <c r="GN99" i="55"/>
  <c r="GN66" i="55"/>
  <c r="GN347" i="55"/>
  <c r="GN132" i="55"/>
  <c r="GN338" i="55"/>
  <c r="GN159" i="55"/>
  <c r="GN68" i="55"/>
  <c r="GN225" i="55"/>
  <c r="GN326" i="55"/>
  <c r="GN117" i="55"/>
  <c r="GN150" i="55"/>
  <c r="GN85" i="55"/>
  <c r="GN187" i="55"/>
  <c r="GN318" i="55"/>
  <c r="GN92" i="55"/>
  <c r="GN308" i="55"/>
  <c r="GN276" i="55"/>
  <c r="GN223" i="55"/>
  <c r="GN248" i="55"/>
  <c r="GN284" i="55"/>
  <c r="GN315" i="55"/>
  <c r="GN91" i="55"/>
  <c r="GN63" i="55"/>
  <c r="GN105" i="55"/>
  <c r="GN331" i="55"/>
  <c r="GN56" i="55"/>
  <c r="GN243" i="55"/>
  <c r="GN104" i="55"/>
  <c r="GN211" i="55"/>
  <c r="GN195" i="55"/>
  <c r="GN305" i="55"/>
  <c r="GN327" i="55"/>
  <c r="GN138" i="55"/>
  <c r="GN291" i="55"/>
  <c r="GN306" i="55"/>
  <c r="GN114" i="55"/>
  <c r="GN161" i="55"/>
  <c r="GN170" i="55"/>
  <c r="GN135" i="55"/>
  <c r="GN115" i="55"/>
  <c r="GN203" i="55"/>
  <c r="GN201" i="55"/>
  <c r="GN153" i="55"/>
  <c r="GN251" i="55"/>
  <c r="GN350" i="55"/>
  <c r="GN77" i="55"/>
  <c r="GN60" i="55"/>
  <c r="GN176" i="55"/>
  <c r="GN148" i="55"/>
  <c r="GN294" i="55"/>
  <c r="GN311" i="55"/>
  <c r="GN177" i="55"/>
  <c r="GN206" i="55"/>
  <c r="GN314" i="55"/>
  <c r="GN273" i="55"/>
  <c r="GN267" i="55"/>
  <c r="GN286" i="55"/>
  <c r="GN123" i="55"/>
  <c r="GN217" i="55"/>
  <c r="GN236" i="55"/>
  <c r="GN110" i="55"/>
  <c r="GN131" i="55"/>
  <c r="GN329" i="55"/>
  <c r="GN118" i="55"/>
  <c r="GN296" i="55"/>
  <c r="GN214" i="55"/>
  <c r="GN149" i="55"/>
  <c r="GN199" i="55"/>
  <c r="GN226" i="55"/>
  <c r="GN183" i="55"/>
  <c r="GN192" i="55"/>
  <c r="GN204" i="55"/>
  <c r="GN312" i="55"/>
  <c r="GN174" i="55"/>
  <c r="GN113" i="55"/>
  <c r="GN109" i="55"/>
  <c r="GN259" i="55"/>
  <c r="GN299" i="55"/>
  <c r="GN218" i="55"/>
  <c r="GN246" i="55"/>
  <c r="GN146" i="55"/>
  <c r="GN238" i="55"/>
  <c r="GN72" i="55"/>
  <c r="GN175" i="55"/>
  <c r="GN279" i="55"/>
  <c r="GN189" i="55"/>
  <c r="GN254" i="55"/>
  <c r="GN269" i="55"/>
  <c r="GN94" i="55"/>
  <c r="GN108" i="55"/>
  <c r="GN127" i="55"/>
  <c r="GN111" i="55"/>
  <c r="GN271" i="55"/>
  <c r="GN84" i="55"/>
  <c r="GN231" i="55"/>
  <c r="GN147" i="55"/>
  <c r="GN70" i="55"/>
  <c r="GN319" i="55"/>
  <c r="GN349" i="55"/>
  <c r="GN82" i="55"/>
  <c r="GN120" i="55"/>
  <c r="GN133" i="55"/>
  <c r="GN292" i="55"/>
  <c r="GN261" i="55"/>
  <c r="GN290" i="55"/>
  <c r="GN143" i="55"/>
  <c r="GN272" i="55"/>
  <c r="GN221" i="55"/>
  <c r="GN145" i="55"/>
  <c r="GN139" i="55"/>
  <c r="GN307" i="55"/>
  <c r="GN282" i="55"/>
  <c r="GN240" i="55"/>
  <c r="GN62" i="55"/>
  <c r="GN112" i="55"/>
  <c r="GN322" i="55"/>
  <c r="GN265" i="55"/>
  <c r="GN194" i="55"/>
  <c r="GN137" i="55"/>
  <c r="GN346" i="55"/>
  <c r="GN157" i="55"/>
  <c r="GN348" i="55"/>
  <c r="GN73" i="55"/>
  <c r="GN173" i="55"/>
  <c r="GN205" i="55"/>
  <c r="GN215" i="55"/>
  <c r="GN219" i="55"/>
  <c r="GN198" i="55"/>
  <c r="GN142" i="55"/>
  <c r="GN152" i="55"/>
  <c r="GN242" i="55"/>
  <c r="GN343" i="55"/>
  <c r="GN89" i="55"/>
  <c r="GN258" i="55"/>
  <c r="GN95" i="55"/>
  <c r="GN288" i="55"/>
  <c r="GN293" i="55"/>
  <c r="GN337" i="55"/>
  <c r="GN125" i="55"/>
  <c r="GN83" i="55"/>
  <c r="GN237" i="55"/>
  <c r="GN252" i="55"/>
  <c r="GN212" i="55"/>
  <c r="GN140" i="55"/>
  <c r="GN351" i="55"/>
  <c r="GN144" i="55"/>
  <c r="GN90" i="55"/>
  <c r="GN178" i="55"/>
  <c r="GN200" i="55"/>
  <c r="GN270" i="55"/>
  <c r="GN190" i="55"/>
  <c r="GN241" i="55"/>
  <c r="GN121" i="55"/>
  <c r="GN297" i="55"/>
  <c r="GN250" i="55"/>
  <c r="GN69" i="55"/>
  <c r="GN158" i="55"/>
  <c r="GN333" i="55"/>
  <c r="GN285" i="55"/>
  <c r="GN191" i="55"/>
  <c r="GN230" i="55"/>
  <c r="GN165" i="55"/>
  <c r="GN324" i="55"/>
  <c r="GN320" i="55"/>
  <c r="GN228" i="55"/>
  <c r="GN202" i="55"/>
  <c r="GN232" i="55"/>
  <c r="GN74" i="55"/>
  <c r="GN247" i="55"/>
  <c r="GN160" i="55"/>
  <c r="GN213" i="55"/>
  <c r="GN301" i="55"/>
  <c r="GN76" i="55"/>
  <c r="GN340" i="55"/>
  <c r="GN277" i="55"/>
  <c r="GN332" i="55"/>
  <c r="GN289" i="55"/>
  <c r="GN287" i="55"/>
  <c r="GN209" i="55"/>
  <c r="GN124" i="55"/>
  <c r="GN106" i="55"/>
  <c r="GN167" i="55"/>
  <c r="GN65" i="55"/>
  <c r="GN239" i="55"/>
  <c r="GN227" i="55"/>
  <c r="GN141" i="55"/>
  <c r="GN281" i="55"/>
  <c r="GN302" i="55"/>
  <c r="GN98" i="55"/>
  <c r="GN222" i="55"/>
  <c r="GN260" i="55"/>
  <c r="GN245" i="55"/>
  <c r="GN197" i="55"/>
  <c r="GN185" i="55"/>
  <c r="GN188" i="55"/>
  <c r="GN295" i="55"/>
  <c r="GN298" i="55"/>
  <c r="GN71" i="55"/>
  <c r="GN233" i="55"/>
  <c r="GN172" i="55"/>
  <c r="GN122" i="55"/>
  <c r="GN97" i="55"/>
  <c r="GN58" i="55"/>
  <c r="GN61" i="55"/>
  <c r="GN166" i="55"/>
  <c r="GN59" i="55"/>
  <c r="GN196" i="55"/>
  <c r="GN208" i="55"/>
  <c r="GN303" i="55"/>
  <c r="GN344" i="55"/>
  <c r="GN328" i="55"/>
  <c r="GN182" i="55"/>
  <c r="GN235" i="55"/>
  <c r="GN210" i="55"/>
  <c r="GN323" i="55"/>
  <c r="GN352" i="55"/>
  <c r="GN262" i="55"/>
  <c r="GN67" i="55"/>
  <c r="GN75" i="55"/>
  <c r="GN300" i="55"/>
  <c r="H3" i="40" a="1"/>
  <c r="H3" i="40" s="1"/>
  <c r="GN168" i="55"/>
  <c r="GN316" i="55"/>
  <c r="GN207" i="55"/>
  <c r="GN164" i="55"/>
  <c r="GN268" i="55"/>
  <c r="GN180" i="55"/>
  <c r="GN79" i="55"/>
  <c r="GN163" i="55"/>
  <c r="GN57" i="55"/>
  <c r="GN103" i="55"/>
  <c r="GN134" i="55"/>
  <c r="GN93" i="55"/>
  <c r="GN342" i="55"/>
  <c r="GN136" i="55"/>
  <c r="GN55" i="55"/>
  <c r="GN229" i="55"/>
  <c r="GN310" i="55"/>
  <c r="GN186" i="55"/>
  <c r="GN78" i="55"/>
  <c r="GN266" i="55"/>
  <c r="GN169" i="55"/>
  <c r="GN193" i="55"/>
  <c r="GN275" i="55"/>
  <c r="GN216" i="55"/>
  <c r="GN309" i="55"/>
  <c r="GN100" i="55"/>
  <c r="GN181" i="55"/>
  <c r="GN179" i="55"/>
  <c r="GN30" i="55"/>
  <c r="GN264" i="55"/>
  <c r="GN171" i="55"/>
  <c r="GN278" i="55"/>
  <c r="GN256" i="55"/>
  <c r="GN280" i="55"/>
  <c r="GN244" i="55"/>
  <c r="GN263" i="55"/>
  <c r="GN339" i="55"/>
  <c r="GN156" i="55"/>
  <c r="GN334" i="55"/>
  <c r="GN128" i="55"/>
  <c r="GN345" i="55"/>
  <c r="GN253" i="55"/>
  <c r="GN126" i="55"/>
  <c r="GN107" i="55"/>
  <c r="GN162" i="55"/>
  <c r="GN321" i="55"/>
  <c r="GN255" i="55"/>
  <c r="GN257" i="55"/>
  <c r="GN304" i="55"/>
  <c r="GN119" i="55"/>
  <c r="GN101" i="55"/>
  <c r="EV258" i="55"/>
  <c r="EU258" i="55"/>
  <c r="GU258" i="55" s="1"/>
  <c r="ET259" i="55"/>
  <c r="FN258" i="55"/>
  <c r="FO258" i="55" s="1"/>
  <c r="FK256" i="55"/>
  <c r="CY218" i="55"/>
  <c r="CZ217" i="55"/>
  <c r="EV86" i="55"/>
  <c r="EU86" i="55"/>
  <c r="ET87" i="55"/>
  <c r="FN86" i="55"/>
  <c r="FO86" i="55" s="1"/>
  <c r="GC214" i="55"/>
  <c r="FC214" i="55"/>
  <c r="EZ214" i="55"/>
  <c r="FK214" i="55" s="1"/>
  <c r="FA214" i="55"/>
  <c r="GB214" i="55" s="1"/>
  <c r="EW214" i="55"/>
  <c r="GV183" i="55"/>
  <c r="AR183" i="55"/>
  <c r="FZ214" i="55" a="1"/>
  <c r="FZ214" i="55" s="1"/>
  <c r="GA214" i="55" s="1"/>
  <c r="FV214" i="55" a="1"/>
  <c r="FV214" i="55" s="1"/>
  <c r="FW214" i="55" s="1"/>
  <c r="FT214" i="55" a="1"/>
  <c r="FT214" i="55" s="1"/>
  <c r="FU214" i="55" s="1"/>
  <c r="FX214" i="55" a="1"/>
  <c r="FX214" i="55" s="1"/>
  <c r="FY214" i="55" s="1"/>
  <c r="FP214" i="55" a="1"/>
  <c r="FP214" i="55" s="1"/>
  <c r="FQ214" i="55" s="1"/>
  <c r="FR214" i="55" a="1"/>
  <c r="FR214" i="55" s="1"/>
  <c r="FS214" i="55" s="1"/>
  <c r="EU215" i="55"/>
  <c r="GU215" i="55" s="1"/>
  <c r="EV215" i="55"/>
  <c r="ET216" i="55"/>
  <c r="FN215" i="55"/>
  <c r="FO215" i="55" s="1"/>
  <c r="GV213" i="55"/>
  <c r="AR213" i="55"/>
  <c r="AR84" i="55" l="1"/>
  <c r="GS9" i="55"/>
  <c r="GS13" i="55" s="1"/>
  <c r="GV12" i="55"/>
  <c r="AR12" i="55"/>
  <c r="AR24" i="55"/>
  <c r="GV24" i="55"/>
  <c r="GS14" i="55"/>
  <c r="AR7" i="55"/>
  <c r="GV7" i="55"/>
  <c r="GV21" i="55"/>
  <c r="AR21" i="55"/>
  <c r="AR17" i="55"/>
  <c r="GV17" i="55"/>
  <c r="GV23" i="55"/>
  <c r="AR23" i="55"/>
  <c r="GV8" i="55"/>
  <c r="AR8" i="55"/>
  <c r="FK257" i="55"/>
  <c r="FZ8" i="55" a="1"/>
  <c r="FZ8" i="55" s="1"/>
  <c r="GA8" i="55" s="1"/>
  <c r="FR8" i="55" a="1"/>
  <c r="FR8" i="55" s="1"/>
  <c r="FS8" i="55" s="1"/>
  <c r="FP8" i="55" a="1"/>
  <c r="FP8" i="55" s="1"/>
  <c r="FQ8" i="55" s="1"/>
  <c r="FT8" i="55" a="1"/>
  <c r="FT8" i="55" s="1"/>
  <c r="FU8" i="55" s="1"/>
  <c r="FV8" i="55" a="1"/>
  <c r="FV8" i="55" s="1"/>
  <c r="FW8" i="55" s="1"/>
  <c r="FX8" i="55" a="1"/>
  <c r="FX8" i="55" s="1"/>
  <c r="FY8" i="55" s="1"/>
  <c r="AR6" i="55"/>
  <c r="GV6" i="55"/>
  <c r="AR16" i="55"/>
  <c r="GV16" i="55"/>
  <c r="GV14" i="55"/>
  <c r="AR14" i="55"/>
  <c r="AR5" i="55"/>
  <c r="GV5" i="55"/>
  <c r="GV15" i="55"/>
  <c r="AR15" i="55"/>
  <c r="AR25" i="55"/>
  <c r="GV25" i="55"/>
  <c r="GV13" i="55"/>
  <c r="AR13" i="55"/>
  <c r="GV18" i="55"/>
  <c r="AR18" i="55"/>
  <c r="GV4" i="55"/>
  <c r="AR4" i="55"/>
  <c r="GV11" i="55"/>
  <c r="AR11" i="55"/>
  <c r="AR9" i="55"/>
  <c r="GV9" i="55"/>
  <c r="GV22" i="55"/>
  <c r="AR22" i="55"/>
  <c r="GV3" i="55"/>
  <c r="AR3" i="55"/>
  <c r="FZ22" i="55" a="1"/>
  <c r="FZ22" i="55" s="1"/>
  <c r="GA22" i="55" s="1"/>
  <c r="FT22" i="55" a="1"/>
  <c r="FT22" i="55" s="1"/>
  <c r="FU22" i="55" s="1"/>
  <c r="FR22" i="55" a="1"/>
  <c r="FR22" i="55" s="1"/>
  <c r="FS22" i="55" s="1"/>
  <c r="FP22" i="55" a="1"/>
  <c r="FP22" i="55" s="1"/>
  <c r="FQ22" i="55" s="1"/>
  <c r="FV22" i="55" a="1"/>
  <c r="FV22" i="55" s="1"/>
  <c r="FW22" i="55" s="1"/>
  <c r="FX22" i="55" a="1"/>
  <c r="FX22" i="55" s="1"/>
  <c r="FY22" i="55" s="1"/>
  <c r="GV20" i="55"/>
  <c r="AR20" i="55"/>
  <c r="CY258" i="55"/>
  <c r="CZ257" i="55"/>
  <c r="AR19" i="55"/>
  <c r="GV19" i="55"/>
  <c r="FV23" i="55" a="1"/>
  <c r="FV23" i="55" s="1"/>
  <c r="FW23" i="55" s="1"/>
  <c r="FR23" i="55" a="1"/>
  <c r="FR23" i="55" s="1"/>
  <c r="FS23" i="55" s="1"/>
  <c r="FP23" i="55" a="1"/>
  <c r="FP23" i="55" s="1"/>
  <c r="FQ23" i="55" s="1"/>
  <c r="FX23" i="55" a="1"/>
  <c r="FX23" i="55" s="1"/>
  <c r="FY23" i="55" s="1"/>
  <c r="FZ23" i="55" a="1"/>
  <c r="FZ23" i="55" s="1"/>
  <c r="GA23" i="55" s="1"/>
  <c r="FT23" i="55" a="1"/>
  <c r="FT23" i="55" s="1"/>
  <c r="FU23" i="55" s="1"/>
  <c r="FX215" i="55" a="1"/>
  <c r="FX215" i="55" s="1"/>
  <c r="FY215" i="55" s="1"/>
  <c r="FV215" i="55" a="1"/>
  <c r="FV215" i="55" s="1"/>
  <c r="FW215" i="55" s="1"/>
  <c r="FZ215" i="55" a="1"/>
  <c r="FZ215" i="55" s="1"/>
  <c r="GA215" i="55" s="1"/>
  <c r="FT215" i="55" a="1"/>
  <c r="FT215" i="55" s="1"/>
  <c r="FU215" i="55" s="1"/>
  <c r="FP215" i="55" a="1"/>
  <c r="FP215" i="55" s="1"/>
  <c r="FQ215" i="55" s="1"/>
  <c r="FR215" i="55" a="1"/>
  <c r="FR215" i="55" s="1"/>
  <c r="FS215" i="55" s="1"/>
  <c r="EU216" i="55"/>
  <c r="GU216" i="55" s="1"/>
  <c r="EV216" i="55"/>
  <c r="ET217" i="55"/>
  <c r="FN216" i="55"/>
  <c r="FO216" i="55" s="1"/>
  <c r="GV214" i="55"/>
  <c r="AR214" i="55"/>
  <c r="GV312" i="55"/>
  <c r="AR312" i="55"/>
  <c r="GV256" i="55"/>
  <c r="AR256" i="55"/>
  <c r="GU86" i="55"/>
  <c r="GC86" i="55"/>
  <c r="FC86" i="55"/>
  <c r="EZ86" i="55"/>
  <c r="FA86" i="55"/>
  <c r="EW86" i="55"/>
  <c r="GN54" i="55"/>
  <c r="GC258" i="55"/>
  <c r="EZ258" i="55"/>
  <c r="FK258" i="55" s="1"/>
  <c r="FA258" i="55"/>
  <c r="GB258" i="55" s="1"/>
  <c r="FC258" i="55"/>
  <c r="EW258" i="55"/>
  <c r="FV86" i="55" a="1"/>
  <c r="FV86" i="55" s="1"/>
  <c r="FW86" i="55" s="1"/>
  <c r="FZ86" i="55" a="1"/>
  <c r="FZ86" i="55" s="1"/>
  <c r="GA86" i="55" s="1"/>
  <c r="FX86" i="55" a="1"/>
  <c r="FX86" i="55" s="1"/>
  <c r="FY86" i="55" s="1"/>
  <c r="FT86" i="55" a="1"/>
  <c r="FT86" i="55" s="1"/>
  <c r="FU86" i="55" s="1"/>
  <c r="FR86" i="55" a="1"/>
  <c r="FR86" i="55" s="1"/>
  <c r="FS86" i="55" s="1"/>
  <c r="FP86" i="55" a="1"/>
  <c r="FP86" i="55" s="1"/>
  <c r="EV87" i="55"/>
  <c r="EU87" i="55"/>
  <c r="GU87" i="55" s="1"/>
  <c r="FN87" i="55"/>
  <c r="FO87" i="55" s="1"/>
  <c r="GC215" i="55"/>
  <c r="EZ215" i="55"/>
  <c r="FK215" i="55" s="1"/>
  <c r="EW215" i="55"/>
  <c r="FC215" i="55"/>
  <c r="FA215" i="55"/>
  <c r="GB215" i="55" s="1"/>
  <c r="FZ258" i="55" a="1"/>
  <c r="FZ258" i="55" s="1"/>
  <c r="GA258" i="55" s="1"/>
  <c r="FX258" i="55" a="1"/>
  <c r="FX258" i="55" s="1"/>
  <c r="FY258" i="55" s="1"/>
  <c r="FT258" i="55" a="1"/>
  <c r="FT258" i="55" s="1"/>
  <c r="FU258" i="55" s="1"/>
  <c r="FV258" i="55" a="1"/>
  <c r="FV258" i="55" s="1"/>
  <c r="FW258" i="55" s="1"/>
  <c r="FP258" i="55" a="1"/>
  <c r="FP258" i="55" s="1"/>
  <c r="FQ258" i="55" s="1"/>
  <c r="FR258" i="55" a="1"/>
  <c r="FR258" i="55" s="1"/>
  <c r="FS258" i="55" s="1"/>
  <c r="EV259" i="55"/>
  <c r="EU259" i="55"/>
  <c r="GU259" i="55" s="1"/>
  <c r="ET260" i="55"/>
  <c r="FN259" i="55"/>
  <c r="FO259" i="55" s="1"/>
  <c r="FB29" i="55"/>
  <c r="FD29" i="55"/>
  <c r="AU3" i="40" a="1"/>
  <c r="AU3" i="40" s="1"/>
  <c r="CY219" i="55"/>
  <c r="CZ218" i="55"/>
  <c r="M24" i="16"/>
  <c r="N4" i="42"/>
  <c r="P4" i="42" s="1"/>
  <c r="AE4" i="42" s="1"/>
  <c r="N5" i="42"/>
  <c r="P5" i="42" s="1"/>
  <c r="AE5" i="42" s="1"/>
  <c r="N6" i="42"/>
  <c r="P6" i="42" s="1"/>
  <c r="AE6" i="42" s="1"/>
  <c r="AF6" i="42" s="1"/>
  <c r="N7" i="42"/>
  <c r="P7" i="42" s="1"/>
  <c r="AE7" i="42" s="1"/>
  <c r="AF7" i="42" s="1"/>
  <c r="N8" i="42"/>
  <c r="P8" i="42" s="1"/>
  <c r="AE8" i="42" s="1"/>
  <c r="AF8" i="42" s="1"/>
  <c r="N9" i="42"/>
  <c r="P9" i="42" s="1"/>
  <c r="AE9" i="42" s="1"/>
  <c r="N11" i="42"/>
  <c r="P11" i="42" s="1"/>
  <c r="AE11" i="42" s="1"/>
  <c r="AF11" i="42" s="1"/>
  <c r="N10" i="42"/>
  <c r="P10" i="42" s="1"/>
  <c r="AE10" i="42" s="1"/>
  <c r="GV257" i="55"/>
  <c r="AR257" i="55"/>
  <c r="GV85" i="55"/>
  <c r="AR85" i="55"/>
  <c r="AF10" i="42" l="1"/>
  <c r="GS17" i="55"/>
  <c r="GS21" i="55" s="1"/>
  <c r="CY259" i="55"/>
  <c r="CZ258" i="55"/>
  <c r="EV260" i="55"/>
  <c r="EU260" i="55"/>
  <c r="GU260" i="55" s="1"/>
  <c r="ET261" i="55"/>
  <c r="FN260" i="55"/>
  <c r="FO260" i="55" s="1"/>
  <c r="AF9" i="42"/>
  <c r="GN64" i="55"/>
  <c r="W3" i="40" a="1"/>
  <c r="W3" i="40" s="1"/>
  <c r="FK29" i="55"/>
  <c r="FX259" i="55" a="1"/>
  <c r="FX259" i="55" s="1"/>
  <c r="FY259" i="55" s="1"/>
  <c r="FV259" i="55" a="1"/>
  <c r="FV259" i="55" s="1"/>
  <c r="FW259" i="55" s="1"/>
  <c r="FZ259" i="55" a="1"/>
  <c r="FZ259" i="55" s="1"/>
  <c r="GA259" i="55" s="1"/>
  <c r="FP259" i="55" a="1"/>
  <c r="FP259" i="55" s="1"/>
  <c r="FQ259" i="55" s="1"/>
  <c r="FR259" i="55" a="1"/>
  <c r="FR259" i="55" s="1"/>
  <c r="FS259" i="55" s="1"/>
  <c r="FT259" i="55" a="1"/>
  <c r="FT259" i="55" s="1"/>
  <c r="FU259" i="55" s="1"/>
  <c r="EU217" i="55"/>
  <c r="EV217" i="55"/>
  <c r="ET218" i="55"/>
  <c r="FN217" i="55"/>
  <c r="FO217" i="55" s="1"/>
  <c r="AF34" i="42"/>
  <c r="FQ86" i="55"/>
  <c r="AF5" i="42"/>
  <c r="GB86" i="55"/>
  <c r="GV258" i="55"/>
  <c r="AR258" i="55"/>
  <c r="FV216" i="55" a="1"/>
  <c r="FV216" i="55" s="1"/>
  <c r="FW216" i="55" s="1"/>
  <c r="FZ216" i="55" a="1"/>
  <c r="FZ216" i="55" s="1"/>
  <c r="GA216" i="55" s="1"/>
  <c r="FX216" i="55" a="1"/>
  <c r="FX216" i="55" s="1"/>
  <c r="FY216" i="55" s="1"/>
  <c r="FT216" i="55" a="1"/>
  <c r="FT216" i="55" s="1"/>
  <c r="FU216" i="55" s="1"/>
  <c r="FR216" i="55" a="1"/>
  <c r="FR216" i="55" s="1"/>
  <c r="FS216" i="55" s="1"/>
  <c r="FP216" i="55" a="1"/>
  <c r="FP216" i="55" s="1"/>
  <c r="FQ216" i="55" s="1"/>
  <c r="GC216" i="55"/>
  <c r="FC216" i="55"/>
  <c r="EW216" i="55"/>
  <c r="EZ216" i="55"/>
  <c r="FA216" i="55"/>
  <c r="GB216" i="55" s="1"/>
  <c r="FX87" i="55" a="1"/>
  <c r="FX87" i="55" s="1"/>
  <c r="FY87" i="55" s="1"/>
  <c r="FZ87" i="55" a="1"/>
  <c r="FZ87" i="55" s="1"/>
  <c r="GA87" i="55" s="1"/>
  <c r="FV87" i="55" a="1"/>
  <c r="FV87" i="55" s="1"/>
  <c r="FW87" i="55" s="1"/>
  <c r="FP87" i="55" a="1"/>
  <c r="FP87" i="55" s="1"/>
  <c r="FQ87" i="55" s="1"/>
  <c r="FR87" i="55" a="1"/>
  <c r="FR87" i="55" s="1"/>
  <c r="FS87" i="55" s="1"/>
  <c r="FT87" i="55" a="1"/>
  <c r="FT87" i="55" s="1"/>
  <c r="FU87" i="55" s="1"/>
  <c r="GC87" i="55"/>
  <c r="FC87" i="55"/>
  <c r="EZ87" i="55"/>
  <c r="FK87" i="55" s="1"/>
  <c r="FA87" i="55"/>
  <c r="GB87" i="55" s="1"/>
  <c r="EW87" i="55"/>
  <c r="AF4" i="42"/>
  <c r="AF33" i="42"/>
  <c r="CZ219" i="55"/>
  <c r="CY220" i="55"/>
  <c r="FK86" i="55"/>
  <c r="GC259" i="55"/>
  <c r="FA259" i="55"/>
  <c r="GB259" i="55" s="1"/>
  <c r="FC259" i="55"/>
  <c r="EW259" i="55"/>
  <c r="EZ259" i="55"/>
  <c r="FK259" i="55" s="1"/>
  <c r="GV215" i="55"/>
  <c r="AR215" i="55"/>
  <c r="GS23" i="55" l="1"/>
  <c r="GS53" i="55"/>
  <c r="GS32" i="55"/>
  <c r="CY260" i="55"/>
  <c r="CZ259" i="55"/>
  <c r="A73" i="16"/>
  <c r="A147" i="16"/>
  <c r="A66" i="16"/>
  <c r="A29" i="16"/>
  <c r="A52" i="16"/>
  <c r="A156" i="16"/>
  <c r="A140" i="16"/>
  <c r="A97" i="16"/>
  <c r="A50" i="16"/>
  <c r="A12" i="16"/>
  <c r="A46" i="16"/>
  <c r="A45" i="16"/>
  <c r="A51" i="16"/>
  <c r="A62" i="16"/>
  <c r="A133" i="16"/>
  <c r="A82" i="16"/>
  <c r="A104" i="16"/>
  <c r="A71" i="16"/>
  <c r="A15" i="16"/>
  <c r="A96" i="16"/>
  <c r="A54" i="16"/>
  <c r="A8" i="16"/>
  <c r="A112" i="16"/>
  <c r="A126" i="16"/>
  <c r="A61" i="16"/>
  <c r="A16" i="16"/>
  <c r="A43" i="16"/>
  <c r="A155" i="16"/>
  <c r="A92" i="16"/>
  <c r="A41" i="16"/>
  <c r="A31" i="16"/>
  <c r="A108" i="16"/>
  <c r="A11" i="16"/>
  <c r="A87" i="16"/>
  <c r="A115" i="16"/>
  <c r="A111" i="16"/>
  <c r="A98" i="16"/>
  <c r="A77" i="16"/>
  <c r="A19" i="16"/>
  <c r="A78" i="16"/>
  <c r="A135" i="16"/>
  <c r="A44" i="16"/>
  <c r="A160" i="16"/>
  <c r="A149" i="16"/>
  <c r="A158" i="16"/>
  <c r="A32" i="16"/>
  <c r="A130" i="16"/>
  <c r="A59" i="16"/>
  <c r="A93" i="16"/>
  <c r="A63" i="16"/>
  <c r="A24" i="16"/>
  <c r="A152" i="16"/>
  <c r="A39" i="16"/>
  <c r="A127" i="16"/>
  <c r="A91" i="16"/>
  <c r="A5" i="16"/>
  <c r="A69" i="16"/>
  <c r="A53" i="16"/>
  <c r="A95" i="16"/>
  <c r="A28" i="16"/>
  <c r="A72" i="16"/>
  <c r="A55" i="16"/>
  <c r="A121" i="16"/>
  <c r="A22" i="16"/>
  <c r="A107" i="16"/>
  <c r="A9" i="16"/>
  <c r="A35" i="16"/>
  <c r="A86" i="16"/>
  <c r="A49" i="16"/>
  <c r="A153" i="16"/>
  <c r="A105" i="16"/>
  <c r="A106" i="16"/>
  <c r="A145" i="16"/>
  <c r="A34" i="16"/>
  <c r="A114" i="16"/>
  <c r="A151" i="16"/>
  <c r="A67" i="16"/>
  <c r="A79" i="16"/>
  <c r="A17" i="16"/>
  <c r="A100" i="16"/>
  <c r="A75" i="16"/>
  <c r="A117" i="16"/>
  <c r="A99" i="16"/>
  <c r="A128" i="16"/>
  <c r="A65" i="16"/>
  <c r="A85" i="16"/>
  <c r="A157" i="16"/>
  <c r="A27" i="16"/>
  <c r="A138" i="16"/>
  <c r="A7" i="16"/>
  <c r="A13" i="16"/>
  <c r="A89" i="16"/>
  <c r="A40" i="16"/>
  <c r="A14" i="16"/>
  <c r="A129" i="16"/>
  <c r="A136" i="16"/>
  <c r="A120" i="16"/>
  <c r="A64" i="16"/>
  <c r="A102" i="16"/>
  <c r="A74" i="16"/>
  <c r="A37" i="16"/>
  <c r="A68" i="16"/>
  <c r="A38" i="16"/>
  <c r="A142" i="16"/>
  <c r="A88" i="16"/>
  <c r="A154" i="16"/>
  <c r="A20" i="16"/>
  <c r="A56" i="16"/>
  <c r="A33" i="16"/>
  <c r="A60" i="16"/>
  <c r="A113" i="16"/>
  <c r="A90" i="16"/>
  <c r="A81" i="16"/>
  <c r="A143" i="16"/>
  <c r="A146" i="16"/>
  <c r="A148" i="16"/>
  <c r="A25" i="16"/>
  <c r="A36" i="16"/>
  <c r="A80" i="16"/>
  <c r="A141" i="16"/>
  <c r="A137" i="16"/>
  <c r="A23" i="16"/>
  <c r="A103" i="16"/>
  <c r="A83" i="16"/>
  <c r="A70" i="16"/>
  <c r="A30" i="16"/>
  <c r="A109" i="16"/>
  <c r="A119" i="16"/>
  <c r="A139" i="16"/>
  <c r="A110" i="16"/>
  <c r="A76" i="16"/>
  <c r="A122" i="16"/>
  <c r="A118" i="16"/>
  <c r="A21" i="16"/>
  <c r="A123" i="16"/>
  <c r="A124" i="16"/>
  <c r="A125" i="16"/>
  <c r="A94" i="16"/>
  <c r="A84" i="16"/>
  <c r="A144" i="16"/>
  <c r="A58" i="16"/>
  <c r="A47" i="16"/>
  <c r="A10" i="16"/>
  <c r="A57" i="16"/>
  <c r="A116" i="16"/>
  <c r="A26" i="16"/>
  <c r="A150" i="16"/>
  <c r="A101" i="16"/>
  <c r="A4" i="16"/>
  <c r="A134" i="16"/>
  <c r="A6" i="16"/>
  <c r="A18" i="16"/>
  <c r="A159" i="16"/>
  <c r="A132" i="16"/>
  <c r="A131" i="16"/>
  <c r="A48" i="16"/>
  <c r="A42" i="16"/>
  <c r="GV87" i="55"/>
  <c r="AR87" i="55"/>
  <c r="GN80" i="55"/>
  <c r="GN86" i="55" s="1"/>
  <c r="GN87" i="55" s="1"/>
  <c r="GS80" i="55"/>
  <c r="GS104" i="55" s="1"/>
  <c r="GS342" i="55" s="1"/>
  <c r="FX217" i="55" a="1"/>
  <c r="FX217" i="55" s="1"/>
  <c r="FY217" i="55" s="1"/>
  <c r="FZ217" i="55" a="1"/>
  <c r="FZ217" i="55" s="1"/>
  <c r="GA217" i="55" s="1"/>
  <c r="FT217" i="55" a="1"/>
  <c r="FT217" i="55" s="1"/>
  <c r="FU217" i="55" s="1"/>
  <c r="FR217" i="55" a="1"/>
  <c r="FR217" i="55" s="1"/>
  <c r="FS217" i="55" s="1"/>
  <c r="FV217" i="55" a="1"/>
  <c r="FV217" i="55" s="1"/>
  <c r="FW217" i="55" s="1"/>
  <c r="FP217" i="55" a="1"/>
  <c r="FP217" i="55" s="1"/>
  <c r="FQ217" i="55" s="1"/>
  <c r="EV261" i="55"/>
  <c r="EU261" i="55"/>
  <c r="GU261" i="55" s="1"/>
  <c r="ET262" i="55"/>
  <c r="FN261" i="55"/>
  <c r="FO261" i="55" s="1"/>
  <c r="EV218" i="55"/>
  <c r="EU218" i="55"/>
  <c r="GU218" i="55" s="1"/>
  <c r="ET219" i="55"/>
  <c r="FN218" i="55"/>
  <c r="FO218" i="55" s="1"/>
  <c r="GC217" i="55"/>
  <c r="FC217" i="55"/>
  <c r="EW217" i="55"/>
  <c r="EZ217" i="55"/>
  <c r="FK217" i="55" s="1"/>
  <c r="FA217" i="55"/>
  <c r="GB217" i="55" s="1"/>
  <c r="GC260" i="55"/>
  <c r="EZ260" i="55"/>
  <c r="FK260" i="55" s="1"/>
  <c r="FA260" i="55"/>
  <c r="GB260" i="55" s="1"/>
  <c r="FC260" i="55"/>
  <c r="EW260" i="55"/>
  <c r="GU217" i="55"/>
  <c r="GV29" i="55"/>
  <c r="AR29" i="55"/>
  <c r="GV259" i="55"/>
  <c r="AR259" i="55"/>
  <c r="FV260" i="55" a="1"/>
  <c r="FV260" i="55" s="1"/>
  <c r="FW260" i="55" s="1"/>
  <c r="FX260" i="55" a="1"/>
  <c r="FX260" i="55" s="1"/>
  <c r="FY260" i="55" s="1"/>
  <c r="FZ260" i="55" a="1"/>
  <c r="FZ260" i="55" s="1"/>
  <c r="GA260" i="55" s="1"/>
  <c r="FT260" i="55" a="1"/>
  <c r="FT260" i="55" s="1"/>
  <c r="FU260" i="55" s="1"/>
  <c r="FP260" i="55" a="1"/>
  <c r="FP260" i="55" s="1"/>
  <c r="FQ260" i="55" s="1"/>
  <c r="FR260" i="55" a="1"/>
  <c r="FR260" i="55" s="1"/>
  <c r="FS260" i="55" s="1"/>
  <c r="GV86" i="55"/>
  <c r="AR86" i="55"/>
  <c r="CZ220" i="55"/>
  <c r="CY221" i="55"/>
  <c r="FK216" i="55"/>
  <c r="GN151" i="55" l="1"/>
  <c r="GN155" i="55" s="1"/>
  <c r="GN220" i="55" s="1"/>
  <c r="GN234" i="55" s="1"/>
  <c r="GN274" i="55" s="1"/>
  <c r="CY261" i="55"/>
  <c r="CZ260" i="55"/>
  <c r="GC261" i="55"/>
  <c r="EZ261" i="55"/>
  <c r="FA261" i="55"/>
  <c r="GB261" i="55" s="1"/>
  <c r="FC261" i="55"/>
  <c r="EW261" i="55"/>
  <c r="G30" i="16"/>
  <c r="B30" i="16"/>
  <c r="F30" i="16"/>
  <c r="E30" i="16"/>
  <c r="C30" i="16"/>
  <c r="H30" i="16"/>
  <c r="H79" i="16"/>
  <c r="C79" i="16"/>
  <c r="G79" i="16"/>
  <c r="F79" i="16"/>
  <c r="E79" i="16"/>
  <c r="B79" i="16"/>
  <c r="E62" i="16"/>
  <c r="H62" i="16"/>
  <c r="F62" i="16"/>
  <c r="B62" i="16"/>
  <c r="G62" i="16"/>
  <c r="C62" i="16"/>
  <c r="GV217" i="55"/>
  <c r="AR217" i="55"/>
  <c r="B23" i="16"/>
  <c r="G23" i="16"/>
  <c r="C23" i="16"/>
  <c r="H23" i="16"/>
  <c r="F23" i="16"/>
  <c r="E23" i="16"/>
  <c r="G7" i="16"/>
  <c r="E7" i="16"/>
  <c r="F7" i="16"/>
  <c r="H7" i="16"/>
  <c r="C7" i="16"/>
  <c r="B7" i="16"/>
  <c r="F44" i="16"/>
  <c r="H44" i="16"/>
  <c r="B44" i="16"/>
  <c r="E44" i="16"/>
  <c r="C44" i="16"/>
  <c r="G44" i="16"/>
  <c r="C159" i="16"/>
  <c r="H159" i="16"/>
  <c r="G159" i="16"/>
  <c r="E159" i="16"/>
  <c r="B159" i="16"/>
  <c r="F159" i="16"/>
  <c r="C88" i="16"/>
  <c r="H88" i="16"/>
  <c r="G88" i="16"/>
  <c r="B88" i="16"/>
  <c r="F88" i="16"/>
  <c r="E88" i="16"/>
  <c r="H145" i="16"/>
  <c r="G145" i="16"/>
  <c r="B145" i="16"/>
  <c r="E145" i="16"/>
  <c r="C145" i="16"/>
  <c r="F145" i="16"/>
  <c r="H135" i="16"/>
  <c r="C135" i="16"/>
  <c r="F135" i="16"/>
  <c r="E135" i="16"/>
  <c r="B135" i="16"/>
  <c r="G135" i="16"/>
  <c r="C50" i="16"/>
  <c r="H50" i="16"/>
  <c r="F50" i="16"/>
  <c r="B50" i="16"/>
  <c r="E50" i="16"/>
  <c r="G50" i="16"/>
  <c r="C18" i="16"/>
  <c r="F18" i="16"/>
  <c r="B18" i="16"/>
  <c r="E18" i="16"/>
  <c r="H18" i="16"/>
  <c r="G18" i="16"/>
  <c r="B141" i="16"/>
  <c r="H141" i="16"/>
  <c r="F141" i="16"/>
  <c r="C141" i="16"/>
  <c r="E141" i="16"/>
  <c r="G141" i="16"/>
  <c r="E27" i="16"/>
  <c r="B27" i="16"/>
  <c r="H27" i="16"/>
  <c r="G27" i="16"/>
  <c r="F27" i="16"/>
  <c r="C27" i="16"/>
  <c r="F78" i="16"/>
  <c r="B78" i="16"/>
  <c r="E78" i="16"/>
  <c r="C78" i="16"/>
  <c r="H78" i="16"/>
  <c r="G78" i="16"/>
  <c r="E97" i="16"/>
  <c r="H97" i="16"/>
  <c r="C97" i="16"/>
  <c r="G97" i="16"/>
  <c r="F97" i="16"/>
  <c r="B97" i="16"/>
  <c r="C123" i="16"/>
  <c r="H123" i="16"/>
  <c r="E123" i="16"/>
  <c r="G123" i="16"/>
  <c r="F123" i="16"/>
  <c r="B123" i="16"/>
  <c r="F157" i="16"/>
  <c r="G157" i="16"/>
  <c r="C157" i="16"/>
  <c r="B157" i="16"/>
  <c r="H157" i="16"/>
  <c r="E157" i="16"/>
  <c r="F19" i="16"/>
  <c r="C19" i="16"/>
  <c r="B19" i="16"/>
  <c r="E19" i="16"/>
  <c r="H19" i="16"/>
  <c r="G19" i="16"/>
  <c r="BR3" i="40" a="1"/>
  <c r="BR3" i="40" s="1"/>
  <c r="B68" i="16"/>
  <c r="C68" i="16"/>
  <c r="F68" i="16"/>
  <c r="E68" i="16"/>
  <c r="H68" i="16"/>
  <c r="G68" i="16"/>
  <c r="G77" i="16"/>
  <c r="C77" i="16"/>
  <c r="B77" i="16"/>
  <c r="F77" i="16"/>
  <c r="H77" i="16"/>
  <c r="E77" i="16"/>
  <c r="H25" i="16"/>
  <c r="E25" i="16"/>
  <c r="G25" i="16"/>
  <c r="B25" i="16"/>
  <c r="F25" i="16"/>
  <c r="C25" i="16"/>
  <c r="B122" i="16"/>
  <c r="F122" i="16"/>
  <c r="H122" i="16"/>
  <c r="G122" i="16"/>
  <c r="C122" i="16"/>
  <c r="E122" i="16"/>
  <c r="E86" i="16"/>
  <c r="G86" i="16"/>
  <c r="C86" i="16"/>
  <c r="F86" i="16"/>
  <c r="B86" i="16"/>
  <c r="H86" i="16"/>
  <c r="F150" i="16"/>
  <c r="H150" i="16"/>
  <c r="G150" i="16"/>
  <c r="C150" i="16"/>
  <c r="E150" i="16"/>
  <c r="B150" i="16"/>
  <c r="E99" i="16"/>
  <c r="H99" i="16"/>
  <c r="F99" i="16"/>
  <c r="G99" i="16"/>
  <c r="C99" i="16"/>
  <c r="B99" i="16"/>
  <c r="E24" i="16"/>
  <c r="C24" i="16"/>
  <c r="G24" i="16"/>
  <c r="B24" i="16"/>
  <c r="H24" i="16"/>
  <c r="F24" i="16"/>
  <c r="C15" i="16"/>
  <c r="F15" i="16"/>
  <c r="B15" i="16"/>
  <c r="H15" i="16"/>
  <c r="G15" i="16"/>
  <c r="E15" i="16"/>
  <c r="GC218" i="55"/>
  <c r="FC218" i="55"/>
  <c r="EZ218" i="55"/>
  <c r="FK218" i="55" s="1"/>
  <c r="EW218" i="55"/>
  <c r="FA218" i="55"/>
  <c r="GB218" i="55" s="1"/>
  <c r="C26" i="16"/>
  <c r="F26" i="16"/>
  <c r="H26" i="16"/>
  <c r="G26" i="16"/>
  <c r="E26" i="16"/>
  <c r="B26" i="16"/>
  <c r="H110" i="16"/>
  <c r="E110" i="16"/>
  <c r="C110" i="16"/>
  <c r="G110" i="16"/>
  <c r="B110" i="16"/>
  <c r="F110" i="16"/>
  <c r="F143" i="16"/>
  <c r="C143" i="16"/>
  <c r="G143" i="16"/>
  <c r="E143" i="16"/>
  <c r="H143" i="16"/>
  <c r="B143" i="16"/>
  <c r="E64" i="16"/>
  <c r="H64" i="16"/>
  <c r="F64" i="16"/>
  <c r="G64" i="16"/>
  <c r="B64" i="16"/>
  <c r="C64" i="16"/>
  <c r="F117" i="16"/>
  <c r="B117" i="16"/>
  <c r="G117" i="16"/>
  <c r="E117" i="16"/>
  <c r="C117" i="16"/>
  <c r="H117" i="16"/>
  <c r="B9" i="16"/>
  <c r="F9" i="16"/>
  <c r="C9" i="16"/>
  <c r="G9" i="16"/>
  <c r="E9" i="16"/>
  <c r="H9" i="16"/>
  <c r="F63" i="16"/>
  <c r="C63" i="16"/>
  <c r="B63" i="16"/>
  <c r="G63" i="16"/>
  <c r="E63" i="16"/>
  <c r="H63" i="16"/>
  <c r="G87" i="16"/>
  <c r="B87" i="16"/>
  <c r="E87" i="16"/>
  <c r="F87" i="16"/>
  <c r="C87" i="16"/>
  <c r="H87" i="16"/>
  <c r="B71" i="16"/>
  <c r="G71" i="16"/>
  <c r="F71" i="16"/>
  <c r="E71" i="16"/>
  <c r="C71" i="16"/>
  <c r="H71" i="16"/>
  <c r="F147" i="16"/>
  <c r="E147" i="16"/>
  <c r="C147" i="16"/>
  <c r="H147" i="16"/>
  <c r="B147" i="16"/>
  <c r="G147" i="16"/>
  <c r="E47" i="16"/>
  <c r="G47" i="16"/>
  <c r="B47" i="16"/>
  <c r="C47" i="16"/>
  <c r="H47" i="16"/>
  <c r="F47" i="16"/>
  <c r="H14" i="16"/>
  <c r="G14" i="16"/>
  <c r="E14" i="16"/>
  <c r="C14" i="16"/>
  <c r="B14" i="16"/>
  <c r="F14" i="16"/>
  <c r="F32" i="16"/>
  <c r="C32" i="16"/>
  <c r="E32" i="16"/>
  <c r="B32" i="16"/>
  <c r="H32" i="16"/>
  <c r="G32" i="16"/>
  <c r="G42" i="16"/>
  <c r="E42" i="16"/>
  <c r="C42" i="16"/>
  <c r="H42" i="16"/>
  <c r="B42" i="16"/>
  <c r="F42" i="16"/>
  <c r="F33" i="16"/>
  <c r="E33" i="16"/>
  <c r="B33" i="16"/>
  <c r="C33" i="16"/>
  <c r="G33" i="16"/>
  <c r="H33" i="16"/>
  <c r="E72" i="16"/>
  <c r="H72" i="16"/>
  <c r="B72" i="16"/>
  <c r="F72" i="16"/>
  <c r="C72" i="16"/>
  <c r="G72" i="16"/>
  <c r="H51" i="16"/>
  <c r="E51" i="16"/>
  <c r="G51" i="16"/>
  <c r="F51" i="16"/>
  <c r="C51" i="16"/>
  <c r="B51" i="16"/>
  <c r="G83" i="16"/>
  <c r="C83" i="16"/>
  <c r="H83" i="16"/>
  <c r="F83" i="16"/>
  <c r="E83" i="16"/>
  <c r="B83" i="16"/>
  <c r="H151" i="16"/>
  <c r="G151" i="16"/>
  <c r="F151" i="16"/>
  <c r="E151" i="16"/>
  <c r="C151" i="16"/>
  <c r="B151" i="16"/>
  <c r="G155" i="16"/>
  <c r="F155" i="16"/>
  <c r="B155" i="16"/>
  <c r="E155" i="16"/>
  <c r="C155" i="16"/>
  <c r="H155" i="16"/>
  <c r="E103" i="16"/>
  <c r="H103" i="16"/>
  <c r="B103" i="16"/>
  <c r="F103" i="16"/>
  <c r="C103" i="16"/>
  <c r="G103" i="16"/>
  <c r="F114" i="16"/>
  <c r="C114" i="16"/>
  <c r="E114" i="16"/>
  <c r="B114" i="16"/>
  <c r="H114" i="16"/>
  <c r="G114" i="16"/>
  <c r="E43" i="16"/>
  <c r="H43" i="16"/>
  <c r="B43" i="16"/>
  <c r="F43" i="16"/>
  <c r="C43" i="16"/>
  <c r="G43" i="16"/>
  <c r="C132" i="16"/>
  <c r="G132" i="16"/>
  <c r="E132" i="16"/>
  <c r="B132" i="16"/>
  <c r="F132" i="16"/>
  <c r="H132" i="16"/>
  <c r="E34" i="16"/>
  <c r="G34" i="16"/>
  <c r="B34" i="16"/>
  <c r="F34" i="16"/>
  <c r="H34" i="16"/>
  <c r="C34" i="16"/>
  <c r="GV216" i="55"/>
  <c r="AR216" i="55"/>
  <c r="G80" i="16"/>
  <c r="E80" i="16"/>
  <c r="H80" i="16"/>
  <c r="B80" i="16"/>
  <c r="F80" i="16"/>
  <c r="C80" i="16"/>
  <c r="B91" i="16"/>
  <c r="F91" i="16"/>
  <c r="G91" i="16"/>
  <c r="H91" i="16"/>
  <c r="E91" i="16"/>
  <c r="C91" i="16"/>
  <c r="B112" i="16"/>
  <c r="C112" i="16"/>
  <c r="H112" i="16"/>
  <c r="G112" i="16"/>
  <c r="F112" i="16"/>
  <c r="E112" i="16"/>
  <c r="H140" i="16"/>
  <c r="E140" i="16"/>
  <c r="B140" i="16"/>
  <c r="G140" i="16"/>
  <c r="F140" i="16"/>
  <c r="C140" i="16"/>
  <c r="CZ221" i="55"/>
  <c r="CY222" i="55"/>
  <c r="B134" i="16"/>
  <c r="H134" i="16"/>
  <c r="C134" i="16"/>
  <c r="F134" i="16"/>
  <c r="G134" i="16"/>
  <c r="E134" i="16"/>
  <c r="G85" i="16"/>
  <c r="E85" i="16"/>
  <c r="B85" i="16"/>
  <c r="F85" i="16"/>
  <c r="C85" i="16"/>
  <c r="H85" i="16"/>
  <c r="F156" i="16"/>
  <c r="C156" i="16"/>
  <c r="E156" i="16"/>
  <c r="B156" i="16"/>
  <c r="H156" i="16"/>
  <c r="G156" i="16"/>
  <c r="FX218" i="55" a="1"/>
  <c r="FX218" i="55" s="1"/>
  <c r="FY218" i="55" s="1"/>
  <c r="FZ218" i="55" a="1"/>
  <c r="FZ218" i="55" s="1"/>
  <c r="GA218" i="55" s="1"/>
  <c r="FV218" i="55" a="1"/>
  <c r="FV218" i="55" s="1"/>
  <c r="FW218" i="55" s="1"/>
  <c r="FT218" i="55" a="1"/>
  <c r="FT218" i="55" s="1"/>
  <c r="FU218" i="55" s="1"/>
  <c r="FP218" i="55" a="1"/>
  <c r="FP218" i="55" s="1"/>
  <c r="FQ218" i="55" s="1"/>
  <c r="FR218" i="55" a="1"/>
  <c r="FR218" i="55" s="1"/>
  <c r="FS218" i="55" s="1"/>
  <c r="H37" i="16"/>
  <c r="B37" i="16"/>
  <c r="C37" i="16"/>
  <c r="F37" i="16"/>
  <c r="E37" i="16"/>
  <c r="G37" i="16"/>
  <c r="G49" i="16"/>
  <c r="F49" i="16"/>
  <c r="E49" i="16"/>
  <c r="B49" i="16"/>
  <c r="H49" i="16"/>
  <c r="C49" i="16"/>
  <c r="H98" i="16"/>
  <c r="C98" i="16"/>
  <c r="F98" i="16"/>
  <c r="G98" i="16"/>
  <c r="E98" i="16"/>
  <c r="B98" i="16"/>
  <c r="G52" i="16"/>
  <c r="B52" i="16"/>
  <c r="C52" i="16"/>
  <c r="F52" i="16"/>
  <c r="E52" i="16"/>
  <c r="H52" i="16"/>
  <c r="EU219" i="55"/>
  <c r="GU219" i="55" s="1"/>
  <c r="EV219" i="55"/>
  <c r="ET220" i="55"/>
  <c r="FN219" i="55"/>
  <c r="FO219" i="55" s="1"/>
  <c r="F74" i="16"/>
  <c r="H74" i="16"/>
  <c r="E74" i="16"/>
  <c r="G74" i="16"/>
  <c r="C74" i="16"/>
  <c r="B74" i="16"/>
  <c r="G146" i="16"/>
  <c r="B146" i="16"/>
  <c r="H146" i="16"/>
  <c r="E146" i="16"/>
  <c r="C146" i="16"/>
  <c r="F146" i="16"/>
  <c r="FX261" i="55" a="1"/>
  <c r="FX261" i="55" s="1"/>
  <c r="FY261" i="55" s="1"/>
  <c r="FT261" i="55" a="1"/>
  <c r="FT261" i="55" s="1"/>
  <c r="FU261" i="55" s="1"/>
  <c r="FZ261" i="55" a="1"/>
  <c r="FZ261" i="55" s="1"/>
  <c r="GA261" i="55" s="1"/>
  <c r="FV261" i="55" a="1"/>
  <c r="FV261" i="55" s="1"/>
  <c r="FW261" i="55" s="1"/>
  <c r="FR261" i="55" a="1"/>
  <c r="FR261" i="55" s="1"/>
  <c r="FS261" i="55" s="1"/>
  <c r="FP261" i="55" a="1"/>
  <c r="FP261" i="55" s="1"/>
  <c r="FQ261" i="55" s="1"/>
  <c r="H116" i="16"/>
  <c r="B116" i="16"/>
  <c r="E116" i="16"/>
  <c r="G116" i="16"/>
  <c r="F116" i="16"/>
  <c r="C116" i="16"/>
  <c r="C139" i="16"/>
  <c r="F139" i="16"/>
  <c r="G139" i="16"/>
  <c r="B139" i="16"/>
  <c r="H139" i="16"/>
  <c r="E139" i="16"/>
  <c r="C81" i="16"/>
  <c r="F81" i="16"/>
  <c r="B81" i="16"/>
  <c r="H81" i="16"/>
  <c r="G81" i="16"/>
  <c r="E81" i="16"/>
  <c r="G120" i="16"/>
  <c r="B120" i="16"/>
  <c r="H120" i="16"/>
  <c r="E120" i="16"/>
  <c r="C120" i="16"/>
  <c r="F120" i="16"/>
  <c r="G75" i="16"/>
  <c r="H75" i="16"/>
  <c r="E75" i="16"/>
  <c r="C75" i="16"/>
  <c r="B75" i="16"/>
  <c r="F75" i="16"/>
  <c r="F107" i="16"/>
  <c r="H107" i="16"/>
  <c r="E107" i="16"/>
  <c r="C107" i="16"/>
  <c r="B107" i="16"/>
  <c r="G107" i="16"/>
  <c r="H93" i="16"/>
  <c r="F93" i="16"/>
  <c r="C93" i="16"/>
  <c r="E93" i="16"/>
  <c r="B93" i="16"/>
  <c r="G93" i="16"/>
  <c r="B11" i="16"/>
  <c r="E11" i="16"/>
  <c r="F11" i="16"/>
  <c r="C11" i="16"/>
  <c r="G11" i="16"/>
  <c r="H11" i="16"/>
  <c r="B104" i="16"/>
  <c r="F104" i="16"/>
  <c r="E104" i="16"/>
  <c r="G104" i="16"/>
  <c r="C104" i="16"/>
  <c r="H104" i="16"/>
  <c r="E73" i="16"/>
  <c r="H73" i="16"/>
  <c r="C73" i="16"/>
  <c r="B73" i="16"/>
  <c r="F73" i="16"/>
  <c r="G73" i="16"/>
  <c r="GV260" i="55"/>
  <c r="AR260" i="55"/>
  <c r="B58" i="16"/>
  <c r="F58" i="16"/>
  <c r="G58" i="16"/>
  <c r="C58" i="16"/>
  <c r="H58" i="16"/>
  <c r="E58" i="16"/>
  <c r="G40" i="16"/>
  <c r="E40" i="16"/>
  <c r="F40" i="16"/>
  <c r="B40" i="16"/>
  <c r="H40" i="16"/>
  <c r="C40" i="16"/>
  <c r="F158" i="16"/>
  <c r="E158" i="16"/>
  <c r="H158" i="16"/>
  <c r="B158" i="16"/>
  <c r="C158" i="16"/>
  <c r="G158" i="16"/>
  <c r="H48" i="16"/>
  <c r="C48" i="16"/>
  <c r="B48" i="16"/>
  <c r="G48" i="16"/>
  <c r="E48" i="16"/>
  <c r="F48" i="16"/>
  <c r="F56" i="16"/>
  <c r="C56" i="16"/>
  <c r="G56" i="16"/>
  <c r="B56" i="16"/>
  <c r="E56" i="16"/>
  <c r="H56" i="16"/>
  <c r="F28" i="16"/>
  <c r="C28" i="16"/>
  <c r="E28" i="16"/>
  <c r="B28" i="16"/>
  <c r="H28" i="16"/>
  <c r="G28" i="16"/>
  <c r="B45" i="16"/>
  <c r="G45" i="16"/>
  <c r="E45" i="16"/>
  <c r="C45" i="16"/>
  <c r="F45" i="16"/>
  <c r="H45" i="16"/>
  <c r="C84" i="16"/>
  <c r="G84" i="16"/>
  <c r="F84" i="16"/>
  <c r="E84" i="16"/>
  <c r="B84" i="16"/>
  <c r="H84" i="16"/>
  <c r="B13" i="16"/>
  <c r="F13" i="16"/>
  <c r="G13" i="16"/>
  <c r="C13" i="16"/>
  <c r="H13" i="16"/>
  <c r="E13" i="16"/>
  <c r="F160" i="16"/>
  <c r="C160" i="16"/>
  <c r="E160" i="16"/>
  <c r="H160" i="16"/>
  <c r="B160" i="16"/>
  <c r="G160" i="16"/>
  <c r="B94" i="16"/>
  <c r="C94" i="16"/>
  <c r="G94" i="16"/>
  <c r="F94" i="16"/>
  <c r="E94" i="16"/>
  <c r="H94" i="16"/>
  <c r="G53" i="16"/>
  <c r="E53" i="16"/>
  <c r="H53" i="16"/>
  <c r="F53" i="16"/>
  <c r="C53" i="16"/>
  <c r="B53" i="16"/>
  <c r="G12" i="16"/>
  <c r="H12" i="16"/>
  <c r="E12" i="16"/>
  <c r="B12" i="16"/>
  <c r="F12" i="16"/>
  <c r="C12" i="16"/>
  <c r="G125" i="16"/>
  <c r="B125" i="16"/>
  <c r="E125" i="16"/>
  <c r="F125" i="16"/>
  <c r="H125" i="16"/>
  <c r="C125" i="16"/>
  <c r="F124" i="16"/>
  <c r="E124" i="16"/>
  <c r="C124" i="16"/>
  <c r="B124" i="16"/>
  <c r="H124" i="16"/>
  <c r="G124" i="16"/>
  <c r="C142" i="16"/>
  <c r="H142" i="16"/>
  <c r="F142" i="16"/>
  <c r="B142" i="16"/>
  <c r="G142" i="16"/>
  <c r="E142" i="16"/>
  <c r="F106" i="16"/>
  <c r="G106" i="16"/>
  <c r="H106" i="16"/>
  <c r="B106" i="16"/>
  <c r="C106" i="16"/>
  <c r="E106" i="16"/>
  <c r="F5" i="16"/>
  <c r="H5" i="16"/>
  <c r="B5" i="16"/>
  <c r="E5" i="16"/>
  <c r="C5" i="16"/>
  <c r="G5" i="16"/>
  <c r="C126" i="16"/>
  <c r="G126" i="16"/>
  <c r="B126" i="16"/>
  <c r="F126" i="16"/>
  <c r="H126" i="16"/>
  <c r="E126" i="16"/>
  <c r="E6" i="16"/>
  <c r="H6" i="16"/>
  <c r="G6" i="16"/>
  <c r="B6" i="16"/>
  <c r="F6" i="16"/>
  <c r="C6" i="16"/>
  <c r="G105" i="16"/>
  <c r="B105" i="16"/>
  <c r="F105" i="16"/>
  <c r="C105" i="16"/>
  <c r="H105" i="16"/>
  <c r="E105" i="16"/>
  <c r="F36" i="16"/>
  <c r="H36" i="16"/>
  <c r="B36" i="16"/>
  <c r="G36" i="16"/>
  <c r="E36" i="16"/>
  <c r="C36" i="16"/>
  <c r="G127" i="16"/>
  <c r="H127" i="16"/>
  <c r="F127" i="16"/>
  <c r="C127" i="16"/>
  <c r="B127" i="16"/>
  <c r="E127" i="16"/>
  <c r="C118" i="16"/>
  <c r="H118" i="16"/>
  <c r="E118" i="16"/>
  <c r="B118" i="16"/>
  <c r="G118" i="16"/>
  <c r="F118" i="16"/>
  <c r="F101" i="16"/>
  <c r="C101" i="16"/>
  <c r="B101" i="16"/>
  <c r="G101" i="16"/>
  <c r="H101" i="16"/>
  <c r="E101" i="16"/>
  <c r="G128" i="16"/>
  <c r="F128" i="16"/>
  <c r="C128" i="16"/>
  <c r="H128" i="16"/>
  <c r="E128" i="16"/>
  <c r="B128" i="16"/>
  <c r="C102" i="16"/>
  <c r="B102" i="16"/>
  <c r="H102" i="16"/>
  <c r="G102" i="16"/>
  <c r="F102" i="16"/>
  <c r="E102" i="16"/>
  <c r="EU262" i="55"/>
  <c r="GU262" i="55" s="1"/>
  <c r="EV262" i="55"/>
  <c r="ET263" i="55"/>
  <c r="FN262" i="55"/>
  <c r="FO262" i="55" s="1"/>
  <c r="E57" i="16"/>
  <c r="C57" i="16"/>
  <c r="B57" i="16"/>
  <c r="H57" i="16"/>
  <c r="F57" i="16"/>
  <c r="G57" i="16"/>
  <c r="H90" i="16"/>
  <c r="F90" i="16"/>
  <c r="E90" i="16"/>
  <c r="C90" i="16"/>
  <c r="B90" i="16"/>
  <c r="G90" i="16"/>
  <c r="F136" i="16"/>
  <c r="C136" i="16"/>
  <c r="G136" i="16"/>
  <c r="E136" i="16"/>
  <c r="B136" i="16"/>
  <c r="H136" i="16"/>
  <c r="F22" i="16"/>
  <c r="E22" i="16"/>
  <c r="H22" i="16"/>
  <c r="G22" i="16"/>
  <c r="B22" i="16"/>
  <c r="C22" i="16"/>
  <c r="C59" i="16"/>
  <c r="B59" i="16"/>
  <c r="F59" i="16"/>
  <c r="E59" i="16"/>
  <c r="H59" i="16"/>
  <c r="G59" i="16"/>
  <c r="G108" i="16"/>
  <c r="F108" i="16"/>
  <c r="B108" i="16"/>
  <c r="C108" i="16"/>
  <c r="H108" i="16"/>
  <c r="E108" i="16"/>
  <c r="B82" i="16"/>
  <c r="C82" i="16"/>
  <c r="G82" i="16"/>
  <c r="E82" i="16"/>
  <c r="F82" i="16"/>
  <c r="H82" i="16"/>
  <c r="E60" i="16"/>
  <c r="H60" i="16"/>
  <c r="G60" i="16"/>
  <c r="C60" i="16"/>
  <c r="F60" i="16"/>
  <c r="B60" i="16"/>
  <c r="C55" i="16"/>
  <c r="H55" i="16"/>
  <c r="F55" i="16"/>
  <c r="G55" i="16"/>
  <c r="E55" i="16"/>
  <c r="B55" i="16"/>
  <c r="B41" i="16"/>
  <c r="F41" i="16"/>
  <c r="G41" i="16"/>
  <c r="H41" i="16"/>
  <c r="E41" i="16"/>
  <c r="C41" i="16"/>
  <c r="C70" i="16"/>
  <c r="B70" i="16"/>
  <c r="G70" i="16"/>
  <c r="E70" i="16"/>
  <c r="F70" i="16"/>
  <c r="H70" i="16"/>
  <c r="G67" i="16"/>
  <c r="H67" i="16"/>
  <c r="F67" i="16"/>
  <c r="C67" i="16"/>
  <c r="E67" i="16"/>
  <c r="B67" i="16"/>
  <c r="E92" i="16"/>
  <c r="C92" i="16"/>
  <c r="B92" i="16"/>
  <c r="F92" i="16"/>
  <c r="G92" i="16"/>
  <c r="H92" i="16"/>
  <c r="H144" i="16"/>
  <c r="B144" i="16"/>
  <c r="G144" i="16"/>
  <c r="F144" i="16"/>
  <c r="C144" i="16"/>
  <c r="E144" i="16"/>
  <c r="B89" i="16"/>
  <c r="H89" i="16"/>
  <c r="C89" i="16"/>
  <c r="G89" i="16"/>
  <c r="F89" i="16"/>
  <c r="E89" i="16"/>
  <c r="H149" i="16"/>
  <c r="B149" i="16"/>
  <c r="E149" i="16"/>
  <c r="F149" i="16"/>
  <c r="C149" i="16"/>
  <c r="G149" i="16"/>
  <c r="B131" i="16"/>
  <c r="C131" i="16"/>
  <c r="E131" i="16"/>
  <c r="F131" i="16"/>
  <c r="G131" i="16"/>
  <c r="H131" i="16"/>
  <c r="H20" i="16"/>
  <c r="E20" i="16"/>
  <c r="C20" i="16"/>
  <c r="F20" i="16"/>
  <c r="G20" i="16"/>
  <c r="B20" i="16"/>
  <c r="C95" i="16"/>
  <c r="E95" i="16"/>
  <c r="B95" i="16"/>
  <c r="H95" i="16"/>
  <c r="G95" i="16"/>
  <c r="F95" i="16"/>
  <c r="B46" i="16"/>
  <c r="G46" i="16"/>
  <c r="E46" i="16"/>
  <c r="H46" i="16"/>
  <c r="C46" i="16"/>
  <c r="F46" i="16"/>
  <c r="G154" i="16"/>
  <c r="C154" i="16"/>
  <c r="B154" i="16"/>
  <c r="F154" i="16"/>
  <c r="E154" i="16"/>
  <c r="H154" i="16"/>
  <c r="E16" i="16"/>
  <c r="H16" i="16"/>
  <c r="C16" i="16"/>
  <c r="G16" i="16"/>
  <c r="F16" i="16"/>
  <c r="B16" i="16"/>
  <c r="H137" i="16"/>
  <c r="F137" i="16"/>
  <c r="B137" i="16"/>
  <c r="E137" i="16"/>
  <c r="G137" i="16"/>
  <c r="C137" i="16"/>
  <c r="F138" i="16"/>
  <c r="C138" i="16"/>
  <c r="H138" i="16"/>
  <c r="E138" i="16"/>
  <c r="G138" i="16"/>
  <c r="B138" i="16"/>
  <c r="B69" i="16"/>
  <c r="E69" i="16"/>
  <c r="G69" i="16"/>
  <c r="H69" i="16"/>
  <c r="F69" i="16"/>
  <c r="C69" i="16"/>
  <c r="B61" i="16"/>
  <c r="C61" i="16"/>
  <c r="E61" i="16"/>
  <c r="G61" i="16"/>
  <c r="F61" i="16"/>
  <c r="H61" i="16"/>
  <c r="E38" i="16"/>
  <c r="H38" i="16"/>
  <c r="F38" i="16"/>
  <c r="C38" i="16"/>
  <c r="G38" i="16"/>
  <c r="B38" i="16"/>
  <c r="H21" i="16"/>
  <c r="G21" i="16"/>
  <c r="F21" i="16"/>
  <c r="E21" i="16"/>
  <c r="C21" i="16"/>
  <c r="B21" i="16"/>
  <c r="F153" i="16"/>
  <c r="H153" i="16"/>
  <c r="C153" i="16"/>
  <c r="E153" i="16"/>
  <c r="B153" i="16"/>
  <c r="G153" i="16"/>
  <c r="G8" i="16"/>
  <c r="C8" i="16"/>
  <c r="E8" i="16"/>
  <c r="F8" i="16"/>
  <c r="H8" i="16"/>
  <c r="B8" i="16"/>
  <c r="C4" i="16"/>
  <c r="G4" i="16"/>
  <c r="F4" i="16"/>
  <c r="E4" i="16"/>
  <c r="B4" i="16"/>
  <c r="H4" i="16"/>
  <c r="B65" i="16"/>
  <c r="G65" i="16"/>
  <c r="C65" i="16"/>
  <c r="E65" i="16"/>
  <c r="H65" i="16"/>
  <c r="F65" i="16"/>
  <c r="E39" i="16"/>
  <c r="H39" i="16"/>
  <c r="G39" i="16"/>
  <c r="F39" i="16"/>
  <c r="B39" i="16"/>
  <c r="C39" i="16"/>
  <c r="B54" i="16"/>
  <c r="E54" i="16"/>
  <c r="H54" i="16"/>
  <c r="G54" i="16"/>
  <c r="F54" i="16"/>
  <c r="C54" i="16"/>
  <c r="H148" i="16"/>
  <c r="G148" i="16"/>
  <c r="E148" i="16"/>
  <c r="B148" i="16"/>
  <c r="F148" i="16"/>
  <c r="C148" i="16"/>
  <c r="E152" i="16"/>
  <c r="C152" i="16"/>
  <c r="B152" i="16"/>
  <c r="H152" i="16"/>
  <c r="G152" i="16"/>
  <c r="F152" i="16"/>
  <c r="B111" i="16"/>
  <c r="C111" i="16"/>
  <c r="E111" i="16"/>
  <c r="G111" i="16"/>
  <c r="H111" i="16"/>
  <c r="F111" i="16"/>
  <c r="F96" i="16"/>
  <c r="C96" i="16"/>
  <c r="G96" i="16"/>
  <c r="H96" i="16"/>
  <c r="E96" i="16"/>
  <c r="B96" i="16"/>
  <c r="E29" i="16"/>
  <c r="H29" i="16"/>
  <c r="G29" i="16"/>
  <c r="F29" i="16"/>
  <c r="C29" i="16"/>
  <c r="B29" i="16"/>
  <c r="C76" i="16"/>
  <c r="E76" i="16"/>
  <c r="G76" i="16"/>
  <c r="H76" i="16"/>
  <c r="F76" i="16"/>
  <c r="B76" i="16"/>
  <c r="E35" i="16"/>
  <c r="B35" i="16"/>
  <c r="H35" i="16"/>
  <c r="C35" i="16"/>
  <c r="G35" i="16"/>
  <c r="F35" i="16"/>
  <c r="E115" i="16"/>
  <c r="C115" i="16"/>
  <c r="G115" i="16"/>
  <c r="H115" i="16"/>
  <c r="F115" i="16"/>
  <c r="B115" i="16"/>
  <c r="E66" i="16"/>
  <c r="B66" i="16"/>
  <c r="H66" i="16"/>
  <c r="C66" i="16"/>
  <c r="F66" i="16"/>
  <c r="G66" i="16"/>
  <c r="F119" i="16"/>
  <c r="B119" i="16"/>
  <c r="C119" i="16"/>
  <c r="H119" i="16"/>
  <c r="E119" i="16"/>
  <c r="G119" i="16"/>
  <c r="B100" i="16"/>
  <c r="G100" i="16"/>
  <c r="F100" i="16"/>
  <c r="C100" i="16"/>
  <c r="E100" i="16"/>
  <c r="H100" i="16"/>
  <c r="G10" i="16"/>
  <c r="F10" i="16"/>
  <c r="C10" i="16"/>
  <c r="B10" i="16"/>
  <c r="H10" i="16"/>
  <c r="E10" i="16"/>
  <c r="G109" i="16"/>
  <c r="C109" i="16"/>
  <c r="F109" i="16"/>
  <c r="B109" i="16"/>
  <c r="E109" i="16"/>
  <c r="H109" i="16"/>
  <c r="C113" i="16"/>
  <c r="G113" i="16"/>
  <c r="E113" i="16"/>
  <c r="H113" i="16"/>
  <c r="F113" i="16"/>
  <c r="B113" i="16"/>
  <c r="G129" i="16"/>
  <c r="B129" i="16"/>
  <c r="E129" i="16"/>
  <c r="H129" i="16"/>
  <c r="F129" i="16"/>
  <c r="C129" i="16"/>
  <c r="H17" i="16"/>
  <c r="F17" i="16"/>
  <c r="B17" i="16"/>
  <c r="C17" i="16"/>
  <c r="E17" i="16"/>
  <c r="G17" i="16"/>
  <c r="B121" i="16"/>
  <c r="E121" i="16"/>
  <c r="F121" i="16"/>
  <c r="G121" i="16"/>
  <c r="H121" i="16"/>
  <c r="C121" i="16"/>
  <c r="C130" i="16"/>
  <c r="G130" i="16"/>
  <c r="B130" i="16"/>
  <c r="E130" i="16"/>
  <c r="H130" i="16"/>
  <c r="F130" i="16"/>
  <c r="H31" i="16"/>
  <c r="G31" i="16"/>
  <c r="E31" i="16"/>
  <c r="C31" i="16"/>
  <c r="F31" i="16"/>
  <c r="B31" i="16"/>
  <c r="H133" i="16"/>
  <c r="F133" i="16"/>
  <c r="B133" i="16"/>
  <c r="E133" i="16"/>
  <c r="C133" i="16"/>
  <c r="G133" i="16"/>
  <c r="BM3" i="40" l="1" a="1"/>
  <c r="BM3" i="40" s="1"/>
  <c r="L8" i="16" s="1"/>
  <c r="CZ261" i="55"/>
  <c r="CY262" i="55"/>
  <c r="GV218" i="55"/>
  <c r="AR218" i="55"/>
  <c r="CZ222" i="55"/>
  <c r="CY223" i="55"/>
  <c r="CZ223" i="55" s="1"/>
  <c r="FK261" i="55"/>
  <c r="FZ262" i="55" a="1"/>
  <c r="FZ262" i="55" s="1"/>
  <c r="GA262" i="55" s="1"/>
  <c r="FX262" i="55" a="1"/>
  <c r="FX262" i="55" s="1"/>
  <c r="FY262" i="55" s="1"/>
  <c r="FV262" i="55" a="1"/>
  <c r="FV262" i="55" s="1"/>
  <c r="FW262" i="55" s="1"/>
  <c r="FT262" i="55" a="1"/>
  <c r="FT262" i="55" s="1"/>
  <c r="FU262" i="55" s="1"/>
  <c r="FR262" i="55" a="1"/>
  <c r="FR262" i="55" s="1"/>
  <c r="FS262" i="55" s="1"/>
  <c r="FP262" i="55" a="1"/>
  <c r="FP262" i="55" s="1"/>
  <c r="FQ262" i="55" s="1"/>
  <c r="EU263" i="55"/>
  <c r="GU263" i="55" s="1"/>
  <c r="EV263" i="55"/>
  <c r="ET264" i="55"/>
  <c r="FN263" i="55"/>
  <c r="FO263" i="55" s="1"/>
  <c r="FV219" i="55" a="1"/>
  <c r="FV219" i="55" s="1"/>
  <c r="FW219" i="55" s="1"/>
  <c r="FT219" i="55" a="1"/>
  <c r="FT219" i="55" s="1"/>
  <c r="FU219" i="55" s="1"/>
  <c r="FP219" i="55" a="1"/>
  <c r="FP219" i="55" s="1"/>
  <c r="FQ219" i="55" s="1"/>
  <c r="FR219" i="55" a="1"/>
  <c r="FR219" i="55" s="1"/>
  <c r="FS219" i="55" s="1"/>
  <c r="FX219" i="55" a="1"/>
  <c r="FX219" i="55" s="1"/>
  <c r="FY219" i="55" s="1"/>
  <c r="FZ219" i="55" a="1"/>
  <c r="FZ219" i="55" s="1"/>
  <c r="GA219" i="55" s="1"/>
  <c r="L51" i="16"/>
  <c r="L52" i="16"/>
  <c r="L54" i="16"/>
  <c r="L53" i="16"/>
  <c r="L55" i="16"/>
  <c r="L60" i="16"/>
  <c r="L57" i="16"/>
  <c r="L56" i="16"/>
  <c r="L58" i="16"/>
  <c r="L59" i="16"/>
  <c r="GC262" i="55"/>
  <c r="EZ262" i="55"/>
  <c r="FK262" i="55" s="1"/>
  <c r="EW262" i="55"/>
  <c r="FC262" i="55"/>
  <c r="FA262" i="55"/>
  <c r="GB262" i="55" s="1"/>
  <c r="EU220" i="55"/>
  <c r="EV220" i="55"/>
  <c r="ET221" i="55"/>
  <c r="FN220" i="55"/>
  <c r="FO220" i="55" s="1"/>
  <c r="GC219" i="55"/>
  <c r="EZ219" i="55"/>
  <c r="FK219" i="55" s="1"/>
  <c r="EW219" i="55"/>
  <c r="FC219" i="55"/>
  <c r="FA219" i="55"/>
  <c r="L12" i="16" l="1"/>
  <c r="L19" i="16"/>
  <c r="L10" i="16"/>
  <c r="L22" i="16"/>
  <c r="AG22" i="42" s="1"/>
  <c r="AH22" i="42" s="1"/>
  <c r="L13" i="16"/>
  <c r="AG13" i="42" s="1"/>
  <c r="L15" i="16"/>
  <c r="M15" i="16" s="1"/>
  <c r="L16" i="16"/>
  <c r="L20" i="16"/>
  <c r="L9" i="16"/>
  <c r="L21" i="16"/>
  <c r="AG21" i="42" s="1"/>
  <c r="AH21" i="42" s="1"/>
  <c r="L11" i="16"/>
  <c r="AG11" i="42" s="1"/>
  <c r="L4" i="16"/>
  <c r="M4" i="16" s="1"/>
  <c r="L18" i="16"/>
  <c r="AG18" i="42" s="1"/>
  <c r="AH18" i="42" s="1"/>
  <c r="CZ262" i="55"/>
  <c r="CY263" i="55"/>
  <c r="L17" i="16"/>
  <c r="M17" i="16" s="1"/>
  <c r="L6" i="16"/>
  <c r="L23" i="16"/>
  <c r="L7" i="16"/>
  <c r="L14" i="16"/>
  <c r="L5" i="16"/>
  <c r="M59" i="16"/>
  <c r="N59" i="16"/>
  <c r="O59" i="16"/>
  <c r="M20" i="16"/>
  <c r="AG20" i="42"/>
  <c r="AH20" i="42" s="1"/>
  <c r="AG9" i="42"/>
  <c r="M9" i="16"/>
  <c r="N60" i="16"/>
  <c r="M60" i="16"/>
  <c r="O60" i="16"/>
  <c r="AG8" i="42"/>
  <c r="M8" i="16"/>
  <c r="EV221" i="55"/>
  <c r="EU221" i="55"/>
  <c r="GU221" i="55" s="1"/>
  <c r="ET222" i="55"/>
  <c r="FN221" i="55"/>
  <c r="FO221" i="55" s="1"/>
  <c r="N55" i="16"/>
  <c r="O55" i="16"/>
  <c r="M55" i="16"/>
  <c r="O54" i="16"/>
  <c r="N54" i="16"/>
  <c r="M54" i="16"/>
  <c r="M6" i="16"/>
  <c r="AG6" i="42"/>
  <c r="AH6" i="42" s="1"/>
  <c r="AG19" i="42"/>
  <c r="AH19" i="42" s="1"/>
  <c r="M19" i="16"/>
  <c r="M13" i="16"/>
  <c r="FX263" i="55" a="1"/>
  <c r="FX263" i="55" s="1"/>
  <c r="FY263" i="55" s="1"/>
  <c r="FT263" i="55" a="1"/>
  <c r="FT263" i="55" s="1"/>
  <c r="FU263" i="55" s="1"/>
  <c r="FZ263" i="55" a="1"/>
  <c r="FZ263" i="55" s="1"/>
  <c r="GA263" i="55" s="1"/>
  <c r="FP263" i="55" a="1"/>
  <c r="FP263" i="55" s="1"/>
  <c r="FQ263" i="55" s="1"/>
  <c r="FV263" i="55" a="1"/>
  <c r="FV263" i="55" s="1"/>
  <c r="FW263" i="55" s="1"/>
  <c r="FR263" i="55" a="1"/>
  <c r="FR263" i="55" s="1"/>
  <c r="FS263" i="55" s="1"/>
  <c r="M58" i="16"/>
  <c r="N58" i="16"/>
  <c r="O58" i="16"/>
  <c r="EU264" i="55"/>
  <c r="GU264" i="55" s="1"/>
  <c r="EV264" i="55"/>
  <c r="ET265" i="55"/>
  <c r="FN264" i="55"/>
  <c r="FO264" i="55" s="1"/>
  <c r="FV220" i="55" a="1"/>
  <c r="FV220" i="55" s="1"/>
  <c r="FW220" i="55" s="1"/>
  <c r="FX220" i="55" a="1"/>
  <c r="FX220" i="55" s="1"/>
  <c r="FY220" i="55" s="1"/>
  <c r="FZ220" i="55" a="1"/>
  <c r="FZ220" i="55" s="1"/>
  <c r="GA220" i="55" s="1"/>
  <c r="FT220" i="55" a="1"/>
  <c r="FT220" i="55" s="1"/>
  <c r="FU220" i="55" s="1"/>
  <c r="FP220" i="55" a="1"/>
  <c r="FP220" i="55" s="1"/>
  <c r="FQ220" i="55" s="1"/>
  <c r="FR220" i="55" a="1"/>
  <c r="FR220" i="55" s="1"/>
  <c r="FS220" i="55" s="1"/>
  <c r="GV261" i="55"/>
  <c r="AR261" i="55"/>
  <c r="M10" i="16"/>
  <c r="AG10" i="42"/>
  <c r="GV219" i="55"/>
  <c r="AR219" i="55"/>
  <c r="N56" i="16"/>
  <c r="M56" i="16"/>
  <c r="O56" i="16"/>
  <c r="GC263" i="55"/>
  <c r="EZ263" i="55"/>
  <c r="FK263" i="55" s="1"/>
  <c r="EW263" i="55"/>
  <c r="FC263" i="55"/>
  <c r="FA263" i="55"/>
  <c r="GB263" i="55" s="1"/>
  <c r="M14" i="16"/>
  <c r="AG14" i="42"/>
  <c r="AH14" i="42" s="1"/>
  <c r="M5" i="16"/>
  <c r="AG5" i="42"/>
  <c r="AG12" i="42"/>
  <c r="AH12" i="42" s="1"/>
  <c r="M12" i="16"/>
  <c r="GC220" i="55"/>
  <c r="FC220" i="55"/>
  <c r="EZ220" i="55"/>
  <c r="FK220" i="55" s="1"/>
  <c r="FA220" i="55"/>
  <c r="GB220" i="55" s="1"/>
  <c r="EW220" i="55"/>
  <c r="N53" i="16"/>
  <c r="O53" i="16"/>
  <c r="M53" i="16"/>
  <c r="GU220" i="55"/>
  <c r="O52" i="16"/>
  <c r="M52" i="16"/>
  <c r="N52" i="16"/>
  <c r="AG23" i="42"/>
  <c r="AH23" i="42" s="1"/>
  <c r="M23" i="16"/>
  <c r="M51" i="16"/>
  <c r="N51" i="16"/>
  <c r="O51" i="16"/>
  <c r="M7" i="16"/>
  <c r="AG7" i="42"/>
  <c r="AH7" i="42" s="1"/>
  <c r="GV262" i="55"/>
  <c r="AR262" i="55"/>
  <c r="M16" i="16"/>
  <c r="AG16" i="42"/>
  <c r="AH16" i="42" s="1"/>
  <c r="GB219" i="55"/>
  <c r="N57" i="16"/>
  <c r="O57" i="16"/>
  <c r="M57" i="16"/>
  <c r="M18" i="16" l="1"/>
  <c r="AG4" i="42"/>
  <c r="AH4" i="42" s="1"/>
  <c r="AG15" i="42"/>
  <c r="M11" i="16"/>
  <c r="M21" i="16"/>
  <c r="M22" i="16"/>
  <c r="CZ263" i="55"/>
  <c r="CY264" i="55"/>
  <c r="AG17" i="42"/>
  <c r="AH17" i="42" s="1"/>
  <c r="GV263" i="55"/>
  <c r="AR263" i="55"/>
  <c r="AH13" i="42"/>
  <c r="FT221" i="55" a="1"/>
  <c r="FT221" i="55" s="1"/>
  <c r="FU221" i="55" s="1"/>
  <c r="FV221" i="55" a="1"/>
  <c r="FV221" i="55" s="1"/>
  <c r="FW221" i="55" s="1"/>
  <c r="FZ221" i="55" a="1"/>
  <c r="FZ221" i="55" s="1"/>
  <c r="GA221" i="55" s="1"/>
  <c r="FR221" i="55" a="1"/>
  <c r="FR221" i="55" s="1"/>
  <c r="FS221" i="55" s="1"/>
  <c r="FX221" i="55" a="1"/>
  <c r="FX221" i="55" s="1"/>
  <c r="FY221" i="55" s="1"/>
  <c r="FP221" i="55" a="1"/>
  <c r="FP221" i="55" s="1"/>
  <c r="FQ221" i="55" s="1"/>
  <c r="GV220" i="55"/>
  <c r="AR220" i="55"/>
  <c r="EV222" i="55"/>
  <c r="EU222" i="55"/>
  <c r="GU222" i="55" s="1"/>
  <c r="ET223" i="55"/>
  <c r="FN222" i="55"/>
  <c r="FO222" i="55" s="1"/>
  <c r="FV264" i="55" a="1"/>
  <c r="FV264" i="55" s="1"/>
  <c r="FW264" i="55" s="1"/>
  <c r="FZ264" i="55" a="1"/>
  <c r="FZ264" i="55" s="1"/>
  <c r="GA264" i="55" s="1"/>
  <c r="FX264" i="55" a="1"/>
  <c r="FX264" i="55" s="1"/>
  <c r="FY264" i="55" s="1"/>
  <c r="FT264" i="55" a="1"/>
  <c r="FT264" i="55" s="1"/>
  <c r="FU264" i="55" s="1"/>
  <c r="FR264" i="55" a="1"/>
  <c r="FR264" i="55" s="1"/>
  <c r="FS264" i="55" s="1"/>
  <c r="FP264" i="55" a="1"/>
  <c r="FP264" i="55" s="1"/>
  <c r="FQ264" i="55" s="1"/>
  <c r="EV265" i="55"/>
  <c r="EU265" i="55"/>
  <c r="GU265" i="55" s="1"/>
  <c r="ET266" i="55"/>
  <c r="FN265" i="55"/>
  <c r="FO265" i="55" s="1"/>
  <c r="GC221" i="55"/>
  <c r="FC221" i="55"/>
  <c r="FA221" i="55"/>
  <c r="GB221" i="55" s="1"/>
  <c r="EW221" i="55"/>
  <c r="EZ221" i="55"/>
  <c r="FK221" i="55" s="1"/>
  <c r="AH9" i="42"/>
  <c r="AH10" i="42"/>
  <c r="GC264" i="55"/>
  <c r="EW264" i="55"/>
  <c r="FC264" i="55"/>
  <c r="FA264" i="55"/>
  <c r="GB264" i="55" s="1"/>
  <c r="EZ264" i="55"/>
  <c r="FK264" i="55" s="1"/>
  <c r="AH15" i="42" l="1"/>
  <c r="AH5" i="42"/>
  <c r="AH11" i="42"/>
  <c r="CZ264" i="55"/>
  <c r="CY265" i="55"/>
  <c r="R28" i="42"/>
  <c r="AH8" i="42"/>
  <c r="R29" i="42"/>
  <c r="FX222" i="55" a="1"/>
  <c r="FX222" i="55" s="1"/>
  <c r="FY222" i="55" s="1"/>
  <c r="FT222" i="55" a="1"/>
  <c r="FT222" i="55" s="1"/>
  <c r="FU222" i="55" s="1"/>
  <c r="FZ222" i="55" a="1"/>
  <c r="FZ222" i="55" s="1"/>
  <c r="GA222" i="55" s="1"/>
  <c r="FV222" i="55" a="1"/>
  <c r="FV222" i="55" s="1"/>
  <c r="FW222" i="55" s="1"/>
  <c r="FR222" i="55" a="1"/>
  <c r="FR222" i="55" s="1"/>
  <c r="FS222" i="55" s="1"/>
  <c r="FP222" i="55" a="1"/>
  <c r="FP222" i="55" s="1"/>
  <c r="FQ222" i="55" s="1"/>
  <c r="EU223" i="55"/>
  <c r="GU223" i="55" s="1"/>
  <c r="EV223" i="55"/>
  <c r="FN223" i="55"/>
  <c r="FO223" i="55" s="1"/>
  <c r="FZ265" i="55" a="1"/>
  <c r="FZ265" i="55" s="1"/>
  <c r="GA265" i="55" s="1"/>
  <c r="FV265" i="55" a="1"/>
  <c r="FV265" i="55" s="1"/>
  <c r="FW265" i="55" s="1"/>
  <c r="FX265" i="55" a="1"/>
  <c r="FX265" i="55" s="1"/>
  <c r="FY265" i="55" s="1"/>
  <c r="FR265" i="55" a="1"/>
  <c r="FR265" i="55" s="1"/>
  <c r="FS265" i="55" s="1"/>
  <c r="FT265" i="55" a="1"/>
  <c r="FT265" i="55" s="1"/>
  <c r="FU265" i="55" s="1"/>
  <c r="FP265" i="55" a="1"/>
  <c r="FP265" i="55" s="1"/>
  <c r="FQ265" i="55" s="1"/>
  <c r="GC265" i="55"/>
  <c r="EW265" i="55"/>
  <c r="FC265" i="55"/>
  <c r="FA265" i="55"/>
  <c r="GB265" i="55" s="1"/>
  <c r="EZ265" i="55"/>
  <c r="FK265" i="55" s="1"/>
  <c r="R32" i="42"/>
  <c r="GV221" i="55"/>
  <c r="AR221" i="55"/>
  <c r="GC222" i="55"/>
  <c r="FA222" i="55"/>
  <c r="GB222" i="55" s="1"/>
  <c r="FC222" i="55"/>
  <c r="EZ222" i="55"/>
  <c r="FK222" i="55" s="1"/>
  <c r="EW222" i="55"/>
  <c r="EV266" i="55"/>
  <c r="EU266" i="55"/>
  <c r="GU266" i="55" s="1"/>
  <c r="ET267" i="55"/>
  <c r="FN266" i="55"/>
  <c r="FO266" i="55" s="1"/>
  <c r="GV264" i="55"/>
  <c r="AR264" i="55"/>
  <c r="R34" i="42" l="1"/>
  <c r="R35" i="42"/>
  <c r="R30" i="42"/>
  <c r="C1" i="16" s="1"/>
  <c r="R31" i="42"/>
  <c r="CZ265" i="55"/>
  <c r="CY266" i="55"/>
  <c r="R33" i="42"/>
  <c r="GC223" i="55"/>
  <c r="FA223" i="55"/>
  <c r="GB223" i="55" s="1"/>
  <c r="FC223" i="55"/>
  <c r="EZ223" i="55"/>
  <c r="FK223" i="55" s="1"/>
  <c r="EW223" i="55"/>
  <c r="FX266" i="55" a="1"/>
  <c r="FX266" i="55" s="1"/>
  <c r="FY266" i="55" s="1"/>
  <c r="FZ266" i="55" a="1"/>
  <c r="FZ266" i="55" s="1"/>
  <c r="GA266" i="55" s="1"/>
  <c r="FV266" i="55" a="1"/>
  <c r="FV266" i="55" s="1"/>
  <c r="FW266" i="55" s="1"/>
  <c r="FT266" i="55" a="1"/>
  <c r="FT266" i="55" s="1"/>
  <c r="FU266" i="55" s="1"/>
  <c r="FP266" i="55" a="1"/>
  <c r="FP266" i="55" s="1"/>
  <c r="FQ266" i="55" s="1"/>
  <c r="FR266" i="55" a="1"/>
  <c r="FR266" i="55" s="1"/>
  <c r="FS266" i="55" s="1"/>
  <c r="EU267" i="55"/>
  <c r="GU267" i="55" s="1"/>
  <c r="EV267" i="55"/>
  <c r="ET268" i="55"/>
  <c r="FN267" i="55"/>
  <c r="FO267" i="55" s="1"/>
  <c r="GV265" i="55"/>
  <c r="AR265" i="55"/>
  <c r="FZ223" i="55" a="1"/>
  <c r="FZ223" i="55" s="1"/>
  <c r="GA223" i="55" s="1"/>
  <c r="FV223" i="55" a="1"/>
  <c r="FV223" i="55" s="1"/>
  <c r="FW223" i="55" s="1"/>
  <c r="FX223" i="55" a="1"/>
  <c r="FX223" i="55" s="1"/>
  <c r="FY223" i="55" s="1"/>
  <c r="FP223" i="55" a="1"/>
  <c r="FP223" i="55" s="1"/>
  <c r="FQ223" i="55" s="1"/>
  <c r="FR223" i="55" a="1"/>
  <c r="FR223" i="55" s="1"/>
  <c r="FS223" i="55" s="1"/>
  <c r="FT223" i="55" a="1"/>
  <c r="FT223" i="55" s="1"/>
  <c r="FU223" i="55" s="1"/>
  <c r="GC266" i="55"/>
  <c r="FC266" i="55"/>
  <c r="FA266" i="55"/>
  <c r="GB266" i="55" s="1"/>
  <c r="EW266" i="55"/>
  <c r="EZ266" i="55"/>
  <c r="FK266" i="55" s="1"/>
  <c r="GV222" i="55"/>
  <c r="AR222" i="55"/>
  <c r="CZ266" i="55" l="1"/>
  <c r="CY267" i="55"/>
  <c r="GV223" i="55"/>
  <c r="AR223" i="55"/>
  <c r="EU268" i="55"/>
  <c r="GU268" i="55" s="1"/>
  <c r="EV268" i="55"/>
  <c r="ET269" i="55"/>
  <c r="FN268" i="55"/>
  <c r="FO268" i="55" s="1"/>
  <c r="GC267" i="55"/>
  <c r="FC267" i="55"/>
  <c r="EW267" i="55"/>
  <c r="FA267" i="55"/>
  <c r="GB267" i="55" s="1"/>
  <c r="EZ267" i="55"/>
  <c r="FK267" i="55" s="1"/>
  <c r="FT267" i="55" a="1"/>
  <c r="FT267" i="55" s="1"/>
  <c r="FU267" i="55" s="1"/>
  <c r="FZ267" i="55" a="1"/>
  <c r="FZ267" i="55" s="1"/>
  <c r="GA267" i="55" s="1"/>
  <c r="FV267" i="55" a="1"/>
  <c r="FV267" i="55" s="1"/>
  <c r="FW267" i="55" s="1"/>
  <c r="FX267" i="55" a="1"/>
  <c r="FX267" i="55" s="1"/>
  <c r="FY267" i="55" s="1"/>
  <c r="FP267" i="55" a="1"/>
  <c r="FP267" i="55" s="1"/>
  <c r="FQ267" i="55" s="1"/>
  <c r="FR267" i="55" a="1"/>
  <c r="FR267" i="55" s="1"/>
  <c r="FS267" i="55" s="1"/>
  <c r="GV266" i="55"/>
  <c r="AR266" i="55"/>
  <c r="CY268" i="55" l="1"/>
  <c r="CZ267" i="55"/>
  <c r="GV267" i="55"/>
  <c r="AR267" i="55"/>
  <c r="EU269" i="55"/>
  <c r="GU269" i="55" s="1"/>
  <c r="EV269" i="55"/>
  <c r="ET270" i="55"/>
  <c r="FN269" i="55"/>
  <c r="FO269" i="55" s="1"/>
  <c r="GC268" i="55"/>
  <c r="FC268" i="55"/>
  <c r="EW268" i="55"/>
  <c r="FA268" i="55"/>
  <c r="GB268" i="55" s="1"/>
  <c r="EZ268" i="55"/>
  <c r="FK268" i="55" s="1"/>
  <c r="FZ268" i="55" a="1"/>
  <c r="FZ268" i="55" s="1"/>
  <c r="GA268" i="55" s="1"/>
  <c r="FT268" i="55" a="1"/>
  <c r="FT268" i="55" s="1"/>
  <c r="FU268" i="55" s="1"/>
  <c r="FV268" i="55" a="1"/>
  <c r="FV268" i="55" s="1"/>
  <c r="FW268" i="55" s="1"/>
  <c r="FX268" i="55" a="1"/>
  <c r="FX268" i="55" s="1"/>
  <c r="FY268" i="55" s="1"/>
  <c r="FR268" i="55" a="1"/>
  <c r="FR268" i="55" s="1"/>
  <c r="FS268" i="55" s="1"/>
  <c r="FP268" i="55" a="1"/>
  <c r="FP268" i="55" s="1"/>
  <c r="FQ268" i="55" s="1"/>
  <c r="CY269" i="55" l="1"/>
  <c r="CZ268" i="55"/>
  <c r="FX269" i="55" a="1"/>
  <c r="FX269" i="55" s="1"/>
  <c r="FY269" i="55" s="1"/>
  <c r="FV269" i="55" a="1"/>
  <c r="FV269" i="55" s="1"/>
  <c r="FW269" i="55" s="1"/>
  <c r="FT269" i="55" a="1"/>
  <c r="FT269" i="55" s="1"/>
  <c r="FU269" i="55" s="1"/>
  <c r="FZ269" i="55" a="1"/>
  <c r="FZ269" i="55" s="1"/>
  <c r="GA269" i="55" s="1"/>
  <c r="FP269" i="55" a="1"/>
  <c r="FP269" i="55" s="1"/>
  <c r="FQ269" i="55" s="1"/>
  <c r="FR269" i="55" a="1"/>
  <c r="FR269" i="55" s="1"/>
  <c r="FS269" i="55" s="1"/>
  <c r="EU270" i="55"/>
  <c r="GU270" i="55" s="1"/>
  <c r="EV270" i="55"/>
  <c r="ET271" i="55"/>
  <c r="FN270" i="55"/>
  <c r="FO270" i="55" s="1"/>
  <c r="GC269" i="55"/>
  <c r="EW269" i="55"/>
  <c r="FC269" i="55"/>
  <c r="FA269" i="55"/>
  <c r="GB269" i="55" s="1"/>
  <c r="EZ269" i="55"/>
  <c r="FK269" i="55" s="1"/>
  <c r="GV268" i="55"/>
  <c r="AR268" i="55"/>
  <c r="CZ269" i="55" l="1"/>
  <c r="CY270" i="55"/>
  <c r="FX270" i="55" a="1"/>
  <c r="FX270" i="55" s="1"/>
  <c r="FY270" i="55" s="1"/>
  <c r="FV270" i="55" a="1"/>
  <c r="FV270" i="55" s="1"/>
  <c r="FW270" i="55" s="1"/>
  <c r="FZ270" i="55" a="1"/>
  <c r="FZ270" i="55" s="1"/>
  <c r="GA270" i="55" s="1"/>
  <c r="FR270" i="55" a="1"/>
  <c r="FR270" i="55" s="1"/>
  <c r="FS270" i="55" s="1"/>
  <c r="FP270" i="55" a="1"/>
  <c r="FP270" i="55" s="1"/>
  <c r="FQ270" i="55" s="1"/>
  <c r="FT270" i="55" a="1"/>
  <c r="FT270" i="55" s="1"/>
  <c r="FU270" i="55" s="1"/>
  <c r="GV269" i="55"/>
  <c r="AR269" i="55"/>
  <c r="EV271" i="55"/>
  <c r="EU271" i="55"/>
  <c r="GU271" i="55" s="1"/>
  <c r="ET272" i="55"/>
  <c r="FN271" i="55"/>
  <c r="FO271" i="55" s="1"/>
  <c r="GC270" i="55"/>
  <c r="FA270" i="55"/>
  <c r="GB270" i="55" s="1"/>
  <c r="FC270" i="55"/>
  <c r="EW270" i="55"/>
  <c r="EZ270" i="55"/>
  <c r="FK270" i="55" s="1"/>
  <c r="CY271" i="55" l="1"/>
  <c r="CZ270" i="55"/>
  <c r="FZ271" i="55" a="1"/>
  <c r="FZ271" i="55" s="1"/>
  <c r="GA271" i="55" s="1"/>
  <c r="FR271" i="55" a="1"/>
  <c r="FR271" i="55" s="1"/>
  <c r="FS271" i="55" s="1"/>
  <c r="FP271" i="55" a="1"/>
  <c r="FP271" i="55" s="1"/>
  <c r="FQ271" i="55" s="1"/>
  <c r="FT271" i="55" a="1"/>
  <c r="FT271" i="55" s="1"/>
  <c r="FU271" i="55" s="1"/>
  <c r="FX271" i="55" a="1"/>
  <c r="FX271" i="55" s="1"/>
  <c r="FY271" i="55" s="1"/>
  <c r="FV271" i="55" a="1"/>
  <c r="FV271" i="55" s="1"/>
  <c r="FW271" i="55" s="1"/>
  <c r="EV272" i="55"/>
  <c r="EU272" i="55"/>
  <c r="GU272" i="55" s="1"/>
  <c r="ET273" i="55"/>
  <c r="FN272" i="55"/>
  <c r="FO272" i="55" s="1"/>
  <c r="GC271" i="55"/>
  <c r="FA271" i="55"/>
  <c r="GB271" i="55" s="1"/>
  <c r="FC271" i="55"/>
  <c r="EZ271" i="55"/>
  <c r="FK271" i="55" s="1"/>
  <c r="EW271" i="55"/>
  <c r="GV270" i="55"/>
  <c r="AR270" i="55"/>
  <c r="CY272" i="55" l="1"/>
  <c r="CZ271" i="55"/>
  <c r="GV271" i="55"/>
  <c r="AR271" i="55"/>
  <c r="EV273" i="55"/>
  <c r="EU273" i="55"/>
  <c r="GU273" i="55" s="1"/>
  <c r="ET274" i="55"/>
  <c r="FN273" i="55"/>
  <c r="FO273" i="55" s="1"/>
  <c r="GC272" i="55"/>
  <c r="EZ272" i="55"/>
  <c r="FK272" i="55" s="1"/>
  <c r="FA272" i="55"/>
  <c r="GB272" i="55" s="1"/>
  <c r="FC272" i="55"/>
  <c r="EW272" i="55"/>
  <c r="FV272" i="55" a="1"/>
  <c r="FV272" i="55" s="1"/>
  <c r="FW272" i="55" s="1"/>
  <c r="FZ272" i="55" a="1"/>
  <c r="FZ272" i="55" s="1"/>
  <c r="GA272" i="55" s="1"/>
  <c r="FX272" i="55" a="1"/>
  <c r="FX272" i="55" s="1"/>
  <c r="FY272" i="55" s="1"/>
  <c r="FT272" i="55" a="1"/>
  <c r="FT272" i="55" s="1"/>
  <c r="FU272" i="55" s="1"/>
  <c r="FR272" i="55" a="1"/>
  <c r="FR272" i="55" s="1"/>
  <c r="FS272" i="55" s="1"/>
  <c r="FP272" i="55" a="1"/>
  <c r="FP272" i="55" s="1"/>
  <c r="FQ272" i="55" s="1"/>
  <c r="CY273" i="55" l="1"/>
  <c r="CZ272" i="55"/>
  <c r="EV274" i="55"/>
  <c r="EU274" i="55"/>
  <c r="GU274" i="55" s="1"/>
  <c r="ET275" i="55"/>
  <c r="FN274" i="55"/>
  <c r="FO274" i="55" s="1"/>
  <c r="FV273" i="55" a="1"/>
  <c r="FV273" i="55" s="1"/>
  <c r="FW273" i="55" s="1"/>
  <c r="FX273" i="55" a="1"/>
  <c r="FX273" i="55" s="1"/>
  <c r="FY273" i="55" s="1"/>
  <c r="FZ273" i="55" a="1"/>
  <c r="FZ273" i="55" s="1"/>
  <c r="GA273" i="55" s="1"/>
  <c r="FT273" i="55" a="1"/>
  <c r="FT273" i="55" s="1"/>
  <c r="FU273" i="55" s="1"/>
  <c r="FR273" i="55" a="1"/>
  <c r="FR273" i="55" s="1"/>
  <c r="FS273" i="55" s="1"/>
  <c r="FP273" i="55" a="1"/>
  <c r="FP273" i="55" s="1"/>
  <c r="FQ273" i="55" s="1"/>
  <c r="GC273" i="55"/>
  <c r="EZ273" i="55"/>
  <c r="FK273" i="55" s="1"/>
  <c r="FC273" i="55"/>
  <c r="EW273" i="55"/>
  <c r="FA273" i="55"/>
  <c r="GB273" i="55" s="1"/>
  <c r="GV272" i="55"/>
  <c r="AR272" i="55"/>
  <c r="CY274" i="55" l="1"/>
  <c r="CY275" i="55" s="1"/>
  <c r="CZ273" i="55"/>
  <c r="GV273" i="55"/>
  <c r="AR273" i="55"/>
  <c r="FZ274" i="55" a="1"/>
  <c r="FZ274" i="55" s="1"/>
  <c r="GA274" i="55" s="1"/>
  <c r="FX274" i="55" a="1"/>
  <c r="FX274" i="55" s="1"/>
  <c r="FY274" i="55" s="1"/>
  <c r="FV274" i="55" a="1"/>
  <c r="FV274" i="55" s="1"/>
  <c r="FW274" i="55" s="1"/>
  <c r="FT274" i="55" a="1"/>
  <c r="FT274" i="55" s="1"/>
  <c r="FU274" i="55" s="1"/>
  <c r="FP274" i="55" a="1"/>
  <c r="FP274" i="55" s="1"/>
  <c r="FQ274" i="55" s="1"/>
  <c r="FR274" i="55" a="1"/>
  <c r="FR274" i="55" s="1"/>
  <c r="FS274" i="55" s="1"/>
  <c r="EV275" i="55"/>
  <c r="EU275" i="55"/>
  <c r="GU275" i="55" s="1"/>
  <c r="ET276" i="55"/>
  <c r="FN275" i="55"/>
  <c r="FO275" i="55" s="1"/>
  <c r="GC274" i="55"/>
  <c r="EZ274" i="55"/>
  <c r="FK274" i="55" s="1"/>
  <c r="FA274" i="55"/>
  <c r="GB274" i="55" s="1"/>
  <c r="FC274" i="55"/>
  <c r="EW274" i="55"/>
  <c r="CY276" i="55" l="1"/>
  <c r="CZ275" i="55"/>
  <c r="GV274" i="55"/>
  <c r="AR274" i="55"/>
  <c r="EV276" i="55"/>
  <c r="EU276" i="55"/>
  <c r="GU276" i="55" s="1"/>
  <c r="ET277" i="55"/>
  <c r="FN276" i="55"/>
  <c r="FO276" i="55" s="1"/>
  <c r="GC275" i="55"/>
  <c r="FA275" i="55"/>
  <c r="GB275" i="55" s="1"/>
  <c r="EZ275" i="55"/>
  <c r="FK275" i="55" s="1"/>
  <c r="FC275" i="55"/>
  <c r="EW275" i="55"/>
  <c r="FZ275" i="55" a="1"/>
  <c r="FZ275" i="55" s="1"/>
  <c r="GA275" i="55" s="1"/>
  <c r="FX275" i="55" a="1"/>
  <c r="FX275" i="55" s="1"/>
  <c r="FY275" i="55" s="1"/>
  <c r="FV275" i="55" a="1"/>
  <c r="FV275" i="55" s="1"/>
  <c r="FW275" i="55" s="1"/>
  <c r="FT275" i="55" a="1"/>
  <c r="FT275" i="55" s="1"/>
  <c r="FU275" i="55" s="1"/>
  <c r="FR275" i="55" a="1"/>
  <c r="FR275" i="55" s="1"/>
  <c r="FS275" i="55" s="1"/>
  <c r="FP275" i="55" a="1"/>
  <c r="FP275" i="55" s="1"/>
  <c r="FQ275" i="55" s="1"/>
  <c r="CY277" i="55" l="1"/>
  <c r="CZ276" i="55"/>
  <c r="GV275" i="55"/>
  <c r="AR275" i="55"/>
  <c r="EV277" i="55"/>
  <c r="EU277" i="55"/>
  <c r="GU277" i="55" s="1"/>
  <c r="ET278" i="55"/>
  <c r="FN277" i="55"/>
  <c r="FO277" i="55" s="1"/>
  <c r="FX276" i="55" a="1"/>
  <c r="FX276" i="55" s="1"/>
  <c r="FY276" i="55" s="1"/>
  <c r="FT276" i="55" a="1"/>
  <c r="FT276" i="55" s="1"/>
  <c r="FU276" i="55" s="1"/>
  <c r="FZ276" i="55" a="1"/>
  <c r="FZ276" i="55" s="1"/>
  <c r="GA276" i="55" s="1"/>
  <c r="FV276" i="55" a="1"/>
  <c r="FV276" i="55" s="1"/>
  <c r="FW276" i="55" s="1"/>
  <c r="FR276" i="55" a="1"/>
  <c r="FR276" i="55" s="1"/>
  <c r="FS276" i="55" s="1"/>
  <c r="FP276" i="55" a="1"/>
  <c r="FP276" i="55" s="1"/>
  <c r="FQ276" i="55" s="1"/>
  <c r="GC276" i="55"/>
  <c r="EZ276" i="55"/>
  <c r="FK276" i="55" s="1"/>
  <c r="FA276" i="55"/>
  <c r="GB276" i="55" s="1"/>
  <c r="FC276" i="55"/>
  <c r="EW276" i="55"/>
  <c r="CY278" i="55" l="1"/>
  <c r="CZ277" i="55"/>
  <c r="EV278" i="55"/>
  <c r="EU278" i="55"/>
  <c r="GU278" i="55" s="1"/>
  <c r="ET279" i="55"/>
  <c r="FN278" i="55"/>
  <c r="FO278" i="55" s="1"/>
  <c r="GC277" i="55"/>
  <c r="EZ277" i="55"/>
  <c r="FK277" i="55" s="1"/>
  <c r="FA277" i="55"/>
  <c r="GB277" i="55" s="1"/>
  <c r="FC277" i="55"/>
  <c r="EW277" i="55"/>
  <c r="GV276" i="55"/>
  <c r="AR276" i="55"/>
  <c r="FT277" i="55" a="1"/>
  <c r="FT277" i="55" s="1"/>
  <c r="FU277" i="55" s="1"/>
  <c r="FX277" i="55" a="1"/>
  <c r="FX277" i="55" s="1"/>
  <c r="FY277" i="55" s="1"/>
  <c r="FV277" i="55" a="1"/>
  <c r="FV277" i="55" s="1"/>
  <c r="FW277" i="55" s="1"/>
  <c r="FZ277" i="55" a="1"/>
  <c r="FZ277" i="55" s="1"/>
  <c r="GA277" i="55" s="1"/>
  <c r="FR277" i="55" a="1"/>
  <c r="FR277" i="55" s="1"/>
  <c r="FS277" i="55" s="1"/>
  <c r="FP277" i="55" a="1"/>
  <c r="FP277" i="55" s="1"/>
  <c r="FQ277" i="55" s="1"/>
  <c r="CZ278" i="55" l="1"/>
  <c r="CY279" i="55"/>
  <c r="FX278" i="55" a="1"/>
  <c r="FX278" i="55" s="1"/>
  <c r="FY278" i="55" s="1"/>
  <c r="FV278" i="55" a="1"/>
  <c r="FV278" i="55" s="1"/>
  <c r="FW278" i="55" s="1"/>
  <c r="FZ278" i="55" a="1"/>
  <c r="FZ278" i="55" s="1"/>
  <c r="GA278" i="55" s="1"/>
  <c r="FT278" i="55" a="1"/>
  <c r="FT278" i="55" s="1"/>
  <c r="FU278" i="55" s="1"/>
  <c r="FR278" i="55" a="1"/>
  <c r="FR278" i="55" s="1"/>
  <c r="FS278" i="55" s="1"/>
  <c r="FP278" i="55" a="1"/>
  <c r="FP278" i="55" s="1"/>
  <c r="FQ278" i="55" s="1"/>
  <c r="EU279" i="55"/>
  <c r="GU279" i="55" s="1"/>
  <c r="EV279" i="55"/>
  <c r="ET280" i="55"/>
  <c r="FN279" i="55"/>
  <c r="FO279" i="55" s="1"/>
  <c r="GV277" i="55"/>
  <c r="AR277" i="55"/>
  <c r="GC278" i="55"/>
  <c r="EZ278" i="55"/>
  <c r="FK278" i="55" s="1"/>
  <c r="FA278" i="55"/>
  <c r="GB278" i="55" s="1"/>
  <c r="FC278" i="55"/>
  <c r="EW278" i="55"/>
  <c r="CZ279" i="55" l="1"/>
  <c r="CY280" i="55"/>
  <c r="FZ279" i="55" a="1"/>
  <c r="FZ279" i="55" s="1"/>
  <c r="GA279" i="55" s="1"/>
  <c r="FV279" i="55" a="1"/>
  <c r="FV279" i="55" s="1"/>
  <c r="FW279" i="55" s="1"/>
  <c r="FX279" i="55" a="1"/>
  <c r="FX279" i="55" s="1"/>
  <c r="FY279" i="55" s="1"/>
  <c r="FT279" i="55" a="1"/>
  <c r="FT279" i="55" s="1"/>
  <c r="FU279" i="55" s="1"/>
  <c r="FP279" i="55" a="1"/>
  <c r="FP279" i="55" s="1"/>
  <c r="FQ279" i="55" s="1"/>
  <c r="FR279" i="55" a="1"/>
  <c r="FR279" i="55" s="1"/>
  <c r="FS279" i="55" s="1"/>
  <c r="GC279" i="55"/>
  <c r="EZ279" i="55"/>
  <c r="FK279" i="55" s="1"/>
  <c r="EW279" i="55"/>
  <c r="FA279" i="55"/>
  <c r="GB279" i="55" s="1"/>
  <c r="FC279" i="55"/>
  <c r="GV278" i="55"/>
  <c r="AR278" i="55"/>
  <c r="EU280" i="55"/>
  <c r="GU280" i="55" s="1"/>
  <c r="EV280" i="55"/>
  <c r="ET281" i="55"/>
  <c r="FN280" i="55"/>
  <c r="FO280" i="55" s="1"/>
  <c r="CZ280" i="55" l="1"/>
  <c r="CY281" i="55"/>
  <c r="EU281" i="55"/>
  <c r="GU281" i="55" s="1"/>
  <c r="EV281" i="55"/>
  <c r="ET282" i="55"/>
  <c r="FN281" i="55"/>
  <c r="FO281" i="55" s="1"/>
  <c r="GC280" i="55"/>
  <c r="EW280" i="55"/>
  <c r="EZ280" i="55"/>
  <c r="FK280" i="55" s="1"/>
  <c r="FA280" i="55"/>
  <c r="GB280" i="55" s="1"/>
  <c r="FC280" i="55"/>
  <c r="GV279" i="55"/>
  <c r="AR279" i="55"/>
  <c r="FV280" i="55" a="1"/>
  <c r="FV280" i="55" s="1"/>
  <c r="FW280" i="55" s="1"/>
  <c r="FZ280" i="55" a="1"/>
  <c r="FZ280" i="55" s="1"/>
  <c r="GA280" i="55" s="1"/>
  <c r="FX280" i="55" a="1"/>
  <c r="FX280" i="55" s="1"/>
  <c r="FY280" i="55" s="1"/>
  <c r="FT280" i="55" a="1"/>
  <c r="FT280" i="55" s="1"/>
  <c r="FU280" i="55" s="1"/>
  <c r="FR280" i="55" a="1"/>
  <c r="FR280" i="55" s="1"/>
  <c r="FS280" i="55" s="1"/>
  <c r="FP280" i="55" a="1"/>
  <c r="FP280" i="55" s="1"/>
  <c r="FQ280" i="55" s="1"/>
  <c r="CY282" i="55" l="1"/>
  <c r="CZ282" i="55" s="1"/>
  <c r="CZ281" i="55"/>
  <c r="GV280" i="55"/>
  <c r="AR280" i="55"/>
  <c r="EV282" i="55"/>
  <c r="EU282" i="55"/>
  <c r="FN282" i="55"/>
  <c r="FO282" i="55" s="1"/>
  <c r="AH3" i="40" a="1"/>
  <c r="AH3" i="40" s="1"/>
  <c r="FX281" i="55" a="1"/>
  <c r="FX281" i="55" s="1"/>
  <c r="FY281" i="55" s="1"/>
  <c r="FV281" i="55" a="1"/>
  <c r="FV281" i="55" s="1"/>
  <c r="FW281" i="55" s="1"/>
  <c r="FR281" i="55" a="1"/>
  <c r="FR281" i="55" s="1"/>
  <c r="FS281" i="55" s="1"/>
  <c r="FZ281" i="55" a="1"/>
  <c r="FZ281" i="55" s="1"/>
  <c r="GA281" i="55" s="1"/>
  <c r="FT281" i="55" a="1"/>
  <c r="FT281" i="55" s="1"/>
  <c r="FU281" i="55" s="1"/>
  <c r="FP281" i="55" a="1"/>
  <c r="FP281" i="55" s="1"/>
  <c r="FQ281" i="55" s="1"/>
  <c r="GC281" i="55"/>
  <c r="EW281" i="55"/>
  <c r="EZ281" i="55"/>
  <c r="FK281" i="55" s="1"/>
  <c r="FA281" i="55"/>
  <c r="GB281" i="55" s="1"/>
  <c r="FC281" i="55"/>
  <c r="GU282" i="55" l="1"/>
  <c r="BT3" i="40" s="1" a="1"/>
  <c r="BT3" i="40" s="1"/>
  <c r="AI3" i="40" a="1"/>
  <c r="AI3" i="40" s="1"/>
  <c r="FZ282" i="55" a="1"/>
  <c r="FZ282" i="55" s="1"/>
  <c r="GA282" i="55" s="1"/>
  <c r="FX282" i="55" a="1"/>
  <c r="FX282" i="55" s="1"/>
  <c r="FY282" i="55" s="1"/>
  <c r="FV282" i="55" a="1"/>
  <c r="FV282" i="55" s="1"/>
  <c r="FW282" i="55" s="1"/>
  <c r="FP282" i="55" a="1"/>
  <c r="FP282" i="55" s="1"/>
  <c r="FR282" i="55" a="1"/>
  <c r="FR282" i="55" s="1"/>
  <c r="FS282" i="55" s="1"/>
  <c r="FT282" i="55" a="1"/>
  <c r="FT282" i="55" s="1"/>
  <c r="FU282" i="55" s="1"/>
  <c r="GC282" i="55"/>
  <c r="AD3" i="40" s="1" a="1"/>
  <c r="AD3" i="40" s="1"/>
  <c r="FC282" i="55"/>
  <c r="X3" i="40" s="1" a="1"/>
  <c r="X3" i="40" s="1"/>
  <c r="FA282" i="55"/>
  <c r="EW282" i="55"/>
  <c r="AX3" i="40" s="1" a="1"/>
  <c r="AX3" i="40" s="1"/>
  <c r="EZ282" i="55"/>
  <c r="O3" i="40" a="1"/>
  <c r="O3" i="40" s="1"/>
  <c r="GV281" i="55"/>
  <c r="AR281" i="55"/>
  <c r="FQ282" i="55" l="1"/>
  <c r="A4" i="43" a="1"/>
  <c r="A4" i="43" s="1"/>
  <c r="FK282" i="55"/>
  <c r="G3" i="40" a="1"/>
  <c r="G3" i="40" s="1"/>
  <c r="GB282" i="55"/>
  <c r="AC3" i="40" s="1" a="1"/>
  <c r="AC3" i="40" s="1"/>
  <c r="M3" i="40" a="1"/>
  <c r="M3" i="40" s="1"/>
  <c r="L43" i="16"/>
  <c r="L48" i="16"/>
  <c r="L46" i="16"/>
  <c r="L47" i="16"/>
  <c r="L40" i="16"/>
  <c r="L39" i="16"/>
  <c r="L45" i="16"/>
  <c r="L42" i="16"/>
  <c r="L41" i="16"/>
  <c r="L44" i="16"/>
  <c r="AG37" i="42" l="1"/>
  <c r="AH37" i="42" s="1"/>
  <c r="M42" i="16"/>
  <c r="M39" i="16"/>
  <c r="AG34" i="42"/>
  <c r="AH34" i="42" s="1"/>
  <c r="AG42" i="42"/>
  <c r="AH42" i="42" s="1"/>
  <c r="M47" i="16"/>
  <c r="M46" i="16"/>
  <c r="AG41" i="42"/>
  <c r="AH41" i="42" s="1"/>
  <c r="M43" i="16"/>
  <c r="AG38" i="42"/>
  <c r="AH38" i="42" s="1"/>
  <c r="AG39" i="42"/>
  <c r="AH39" i="42" s="1"/>
  <c r="M44" i="16"/>
  <c r="AG36" i="42"/>
  <c r="AH36" i="42" s="1"/>
  <c r="M41" i="16"/>
  <c r="M45" i="16"/>
  <c r="AG40" i="42"/>
  <c r="AH40" i="42" s="1"/>
  <c r="M40" i="16"/>
  <c r="AG35" i="42"/>
  <c r="AH35" i="42" s="1"/>
  <c r="AG43" i="42"/>
  <c r="AH43" i="42" s="1"/>
  <c r="M48" i="16"/>
  <c r="GV282" i="55"/>
  <c r="BU3" i="40" s="1" a="1"/>
  <c r="BU3" i="40" s="1"/>
  <c r="AR282" i="55"/>
  <c r="AE3" i="40" a="1"/>
  <c r="AE3" i="40" s="1"/>
  <c r="A2" i="61" l="1"/>
  <c r="D5" i="61" a="1"/>
  <c r="D5" i="61" s="1"/>
  <c r="AE1" i="40"/>
  <c r="BF14" i="10"/>
  <c r="BF15" i="10"/>
  <c r="R36" i="42"/>
  <c r="R37" i="4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marat</author>
  </authors>
  <commentList>
    <comment ref="A9" authorId="0" shapeId="0" xr:uid="{926F0E34-7871-470A-A91D-A750B09D450D}">
      <text>
        <r>
          <rPr>
            <b/>
            <sz val="9"/>
            <color indexed="81"/>
            <rFont val="Tahoma"/>
            <family val="2"/>
            <charset val="204"/>
          </rPr>
          <t>Имя щита (как в «Линии» столбец «Щит»).</t>
        </r>
      </text>
    </comment>
    <comment ref="B9" authorId="0" shapeId="0" xr:uid="{6F5844DF-2B3D-473C-8294-7AA28E9905E0}">
      <text>
        <r>
          <rPr>
            <b/>
            <sz val="9"/>
            <color indexed="81"/>
            <rFont val="Tahoma"/>
            <family val="2"/>
            <charset val="204"/>
          </rPr>
          <t>Обычно пусто: определяется сам по линии-фидеру в «Линиях». Вписывайте, только если фидера в книге нет. Для ВРУ / ГРЩ — пусто.</t>
        </r>
      </text>
    </comment>
    <comment ref="C9" authorId="0" shapeId="0" xr:uid="{2DA825E1-542A-4EEB-BE01-18F1024AE956}">
      <text>
        <r>
          <rPr>
            <b/>
            <sz val="9"/>
            <color indexed="81"/>
            <rFont val="Tahoma"/>
            <family val="2"/>
            <charset val="204"/>
          </rPr>
          <t>Число вводов 1 / 2 / 3.</t>
        </r>
      </text>
    </comment>
    <comment ref="D9" authorId="0" shapeId="0" xr:uid="{3B720663-857C-450D-BD86-80E05B8C5E62}">
      <text>
        <r>
          <rPr>
            <b/>
            <sz val="9"/>
            <color indexed="81"/>
            <rFont val="Tahoma"/>
            <family val="2"/>
            <charset val="204"/>
          </rPr>
          <t>да / нет</t>
        </r>
      </text>
    </comment>
    <comment ref="E9" authorId="0" shapeId="0" xr:uid="{FA2D20D1-93BD-4378-9D26-F82A305154B7}">
      <text>
        <r>
          <rPr>
            <b/>
            <sz val="9"/>
            <color indexed="81"/>
            <rFont val="Tahoma"/>
            <family val="2"/>
            <charset val="204"/>
          </rPr>
          <t>Ввод 1 / 2 / 3 — от какого ввода питается ИБП (ЩГП).</t>
        </r>
      </text>
    </comment>
    <comment ref="F9" authorId="0" shapeId="0" xr:uid="{32DCB86B-3ACD-4B3E-BE20-1FFACE8F32F1}">
      <text>
        <r>
          <rPr>
            <b/>
            <sz val="9"/>
            <color indexed="81"/>
            <rFont val="Tahoma"/>
            <family val="2"/>
            <charset val="204"/>
          </rPr>
          <t>Первые места схемы под вводной узел (вводы, АВР, байпас) — рисуете сами. По умолчанию 15. Строки узла в схеме не рисуются (режим «рисовать» — нарисовать).</t>
        </r>
      </text>
    </comment>
    <comment ref="G9" authorId="0" shapeId="0" xr:uid="{9E999D0E-F2A8-4786-AFB1-6527352893CD}">
      <text>
        <r>
          <rPr>
            <b/>
            <sz val="9"/>
            <color indexed="81"/>
            <rFont val="Tahoma"/>
            <family val="2"/>
            <charset val="204"/>
          </rPr>
          <t>Только для ВРУ / ГРЩ: «ТП» — щит питается от своего трансформатора; иначе — от сети (введите Iкз).</t>
        </r>
      </text>
    </comment>
    <comment ref="I9" authorId="0" shapeId="0" xr:uid="{1D0EB6A7-4F6B-4699-8D1D-AC427CC63CDD}">
      <text>
        <r>
          <rPr>
            <b/>
            <sz val="9"/>
            <color indexed="81"/>
            <rFont val="Tahoma"/>
            <family val="2"/>
            <charset val="204"/>
          </rPr>
          <t>Iкз min (1ф) на вводе — от сетевой организации.</t>
        </r>
      </text>
    </comment>
    <comment ref="J9" authorId="0" shapeId="0" xr:uid="{89C7DA0D-8197-4AFF-881F-A9AD6FF8F823}">
      <text>
        <r>
          <rPr>
            <b/>
            <sz val="9"/>
            <color indexed="81"/>
            <rFont val="Tahoma"/>
            <family val="2"/>
            <charset val="204"/>
          </rPr>
          <t>Iкз max (3ф) на вводе — от сетевой организации.</t>
        </r>
      </text>
    </comment>
    <comment ref="L9" authorId="0" shapeId="0" xr:uid="{B53D1658-9272-45C2-B659-A00C15FAC1F2}">
      <text>
        <r>
          <rPr>
            <b/>
            <sz val="9"/>
            <color indexed="81"/>
            <rFont val="Tahoma"/>
            <family val="2"/>
            <charset val="204"/>
          </rPr>
          <t>Д/Yн или Y/Yн</t>
        </r>
      </text>
    </comment>
    <comment ref="Q9" authorId="0" shapeId="0" xr:uid="{9239F34D-C82D-4F82-A30F-98D8776B7ACE}">
      <text>
        <r>
          <rPr>
            <b/>
            <sz val="9"/>
            <color indexed="81"/>
            <rFont val="Tahoma"/>
            <family val="2"/>
            <charset val="204"/>
          </rPr>
          <t>медь / алюминий</t>
        </r>
      </text>
    </comment>
    <comment ref="S9" authorId="0" shapeId="0" xr:uid="{53CA6C58-C53D-4D27-A2A2-AC20B35214D5}">
      <text>
        <r>
          <rPr>
            <b/>
            <sz val="9"/>
            <color indexed="81"/>
            <rFont val="Tahoma"/>
            <family val="2"/>
            <charset val="204"/>
          </rPr>
          <t>B / C / D</t>
        </r>
      </text>
    </comment>
    <comment ref="T9" authorId="0" shapeId="0" xr:uid="{C26D0814-47C8-4749-90A7-E8844C591CB7}">
      <text>
        <r>
          <rPr>
            <b/>
            <sz val="9"/>
            <color indexed="81"/>
            <rFont val="Tahoma"/>
            <family val="2"/>
            <charset val="204"/>
          </rPr>
          <t>Для щита без вышестоящего в книге: какую категорию даёт питающая линия. Пусто — по своей схеме.</t>
        </r>
      </text>
    </comment>
    <comment ref="U9" authorId="0" shapeId="0" xr:uid="{65C76690-CBE4-4897-8F02-65BAD6DC6EB8}">
      <text>
        <r>
          <rPr>
            <b/>
            <sz val="9"/>
            <color indexed="81"/>
            <rFont val="Tahoma"/>
            <family val="2"/>
            <charset val="204"/>
          </rPr>
          <t>Вышестоящий щит: вручную или по линии-фидеру.</t>
        </r>
      </text>
    </comment>
    <comment ref="X9" authorId="0" shapeId="0" xr:uid="{B664947C-328D-406B-8340-BD6DD2405304}">
      <text>
        <r>
          <rPr>
            <b/>
            <sz val="9"/>
            <color indexed="81"/>
            <rFont val="Tahoma"/>
            <family val="2"/>
            <charset val="204"/>
          </rPr>
          <t>Сумма установленной мощности щита и всех нижестоящих (без группы «Нет»).</t>
        </r>
      </text>
    </comment>
    <comment ref="Y9" authorId="0" shapeId="0" xr:uid="{ED00AB0D-3F2A-40EB-8680-ED246C7CE405}">
      <text>
        <r>
          <rPr>
            <b/>
            <sz val="9"/>
            <color indexed="81"/>
            <rFont val="Tahoma"/>
            <family val="2"/>
            <charset val="204"/>
          </rPr>
          <t>Рр = kп.к·Руст быт·Кс + Ко·Рр сил + Руст пост + Р отоп + 0,7·Р ВНГ (СП 256 п. 7.1.10, Изм. 9).</t>
        </r>
      </text>
    </comment>
    <comment ref="Z9" authorId="0" shapeId="0" xr:uid="{AF44D7C2-7573-40A2-80D2-9D18860A81F8}">
      <text>
        <r>
          <rPr>
            <b/>
            <sz val="9"/>
            <color indexed="81"/>
            <rFont val="Tahoma"/>
            <family val="2"/>
            <charset val="204"/>
          </rPr>
          <t>По наиболее нагруженной фазе.</t>
        </r>
      </text>
    </comment>
    <comment ref="AB9" authorId="0" shapeId="0" xr:uid="{FDC825BD-E1DE-41F0-BE76-C9A74DF0AEA4}">
      <text>
        <r>
          <rPr>
            <b/>
            <sz val="9"/>
            <color indexed="81"/>
            <rFont val="Tahoma"/>
            <family val="2"/>
            <charset val="204"/>
          </rPr>
          <t>ΔU от ВРУ до шин щита = ΔU источника + Σ ΔU фидеров на пути.</t>
        </r>
      </text>
    </comment>
    <comment ref="AE9" authorId="0" shapeId="0" xr:uid="{0B0F4196-19E4-4372-B8F6-D57C084D3276}">
      <text>
        <r>
          <rPr>
            <b/>
            <sz val="9"/>
            <color indexed="81"/>
            <rFont val="Tahoma"/>
            <family val="2"/>
            <charset val="204"/>
          </rPr>
          <t>1 ввод — III (или II, если питающая линия I/II: один кабель не даёт I, ПУЭ 1.2.19); 2+ ввода без АВР — II; с АВР — I.</t>
        </r>
      </text>
    </comment>
    <comment ref="AF9" authorId="0" shapeId="0" xr:uid="{29CC9FA3-675C-4080-A7D6-B0476B017022}">
      <text>
        <r>
          <rPr>
            <b/>
            <sz val="9"/>
            <color indexed="81"/>
            <rFont val="Tahoma"/>
            <family val="2"/>
            <charset val="204"/>
          </rPr>
          <t>Цепочка щитов от ГРЩ до этого щита.</t>
        </r>
      </text>
    </comment>
    <comment ref="AS9" authorId="0" shapeId="0" xr:uid="{80FC01BB-CECB-4791-BD4A-3DC932217888}">
      <text>
        <r>
          <rPr>
            <b/>
            <sz val="9"/>
            <color indexed="81"/>
            <rFont val="Tahoma"/>
            <family val="2"/>
            <charset val="204"/>
          </rPr>
          <t>СП 256 табл. 7.2 по сумме Руст быт щита, линейная интерполяция.</t>
        </r>
      </text>
    </comment>
    <comment ref="AT9" authorId="0" shapeId="0" xr:uid="{C823D083-B414-485E-8318-AE10B61C7FC4}">
      <text>
        <r>
          <rPr>
            <b/>
            <sz val="9"/>
            <color indexed="81"/>
            <rFont val="Tahoma"/>
            <family val="2"/>
            <charset val="204"/>
          </rPr>
          <t>Σ P·Кс силовых линий.</t>
        </r>
      </text>
    </comment>
    <comment ref="AV9" authorId="0" shapeId="0" xr:uid="{5CC67ECB-6B4C-485E-80C1-F7CB62102CA5}">
      <text>
        <r>
          <rPr>
            <b/>
            <sz val="9"/>
            <color indexed="81"/>
            <rFont val="Tahoma"/>
            <family val="2"/>
            <charset val="204"/>
          </rPr>
          <t>Электроотопление, Кс = 1 (СП 256, Изм. 9).</t>
        </r>
      </text>
    </comment>
    <comment ref="AW9" authorId="0" shapeId="0" xr:uid="{0BF0BA00-190F-4608-BCB6-997B849FC0B3}">
      <text>
        <r>
          <rPr>
            <b/>
            <sz val="9"/>
            <color indexed="81"/>
            <rFont val="Tahoma"/>
            <family val="2"/>
            <charset val="204"/>
          </rPr>
          <t>Водонагреватели × 0,7 (СП 256, Изм. 9).</t>
        </r>
      </text>
    </comment>
    <comment ref="AY9" authorId="0" shapeId="0" xr:uid="{9CA7B6DF-5E96-4D2E-829F-923BF91F5E0F}">
      <text>
        <r>
          <rPr>
            <b/>
            <sz val="9"/>
            <color indexed="81"/>
            <rFont val="Tahoma"/>
            <family val="2"/>
            <charset val="204"/>
          </rPr>
          <t>СП 256 табл. 7.5 по числу силовых линий щита (доля сантехники 100–85 %; таблица — лист «Объект»). Применяется в режиме «нормы 2026», если Кс линии не задан.</t>
        </r>
      </text>
    </comment>
    <comment ref="AZ9" authorId="0" shapeId="0" xr:uid="{72A8E7F1-D845-47BA-BF64-754536A733F4}">
      <text>
        <r>
          <rPr>
            <b/>
            <sz val="9"/>
            <color indexed="81"/>
            <rFont val="Tahoma"/>
            <family val="2"/>
            <charset val="204"/>
          </rPr>
          <t>0,9 — совмещение бытовой и силовой нагрузки (СП 256 формула 6). В режиме «нормы 2026» — только если на щите есть обе.</t>
        </r>
      </text>
    </comment>
    <comment ref="BL9" authorId="0" shapeId="0" xr:uid="{F714BD85-3EFF-48A2-9899-9D0CF02332F3}">
      <text>
        <r>
          <rPr>
            <b/>
            <sz val="9"/>
            <color indexed="81"/>
            <rFont val="Tahoma"/>
            <family val="2"/>
            <charset val="204"/>
          </rPr>
          <t>Zшин = Zсети + Σ(петля фидеров + Rпер) на пути (ГОСТ 28249).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marat</author>
  </authors>
  <commentList>
    <comment ref="A2" authorId="0" shapeId="0" xr:uid="{F887F1BB-CCBD-4599-884F-881C464B82A3}">
      <text>
        <r>
          <rPr>
            <b/>
            <sz val="9"/>
            <color indexed="81"/>
            <rFont val="Tahoma"/>
            <family val="2"/>
            <charset val="204"/>
          </rPr>
          <t>Имя щита. Все места щита — подряд, в порядке мест на схеме.</t>
        </r>
      </text>
    </comment>
    <comment ref="B2" authorId="0" shapeId="0" xr:uid="{E17E2902-E177-4508-90EE-9C10D1B563A9}">
      <text>
        <r>
          <rPr>
            <b/>
            <sz val="9"/>
            <color indexed="81"/>
            <rFont val="Tahoma"/>
            <family val="2"/>
            <charset val="204"/>
          </rPr>
          <t>Колонка на схеме (шаг 20 мм). Пусто — следующее место по порядку (после вводного узла). Число — своё место (пропуск = пустая колонка). «-» — строки нет на схеме.</t>
        </r>
      </text>
    </comment>
    <comment ref="C2" authorId="0" shapeId="0" xr:uid="{36A879B4-5E7E-4174-BC3A-3B671CB933EF}">
      <text>
        <r>
          <rPr>
            <b/>
            <sz val="9"/>
            <color indexed="81"/>
            <rFont val="Tahoma"/>
            <family val="2"/>
            <charset val="204"/>
          </rPr>
          <t>Лист схемы A3 и место на нём (мест на лист — «Справочная»/«Таблицы_норм» BF4). «узел» — вводной узел щита.</t>
        </r>
      </text>
    </comment>
    <comment ref="D2" authorId="0" shapeId="0" xr:uid="{4258FB41-9227-4162-90D5-5650D64FD2FB}">
      <text>
        <r>
          <rPr>
            <b/>
            <sz val="9"/>
            <color indexed="81"/>
            <rFont val="Tahoma"/>
            <family val="2"/>
            <charset val="204"/>
          </rPr>
          <t>Код.Помещение.№ (пример: R.1.05.4). Код — «Справочная» P.</t>
        </r>
      </text>
    </comment>
    <comment ref="E2" authorId="0" shapeId="0" xr:uid="{51D88283-1548-4DB1-BABF-A3711574BD8D}">
      <text>
        <r>
          <rPr>
            <b/>
            <sz val="9"/>
            <color indexed="81"/>
            <rFont val="Tahoma"/>
            <family val="2"/>
            <charset val="204"/>
          </rPr>
          <t>Подставляется по коду автоматически. Можно переписать своим текстом. Если стереть — снова по коду (формулу можно протянуть из соседней ячейки).</t>
        </r>
      </text>
    </comment>
    <comment ref="F2" authorId="0" shapeId="0" xr:uid="{17ABAEF6-BAE4-4146-86D2-47E9348AFE31}">
      <text>
        <r>
          <rPr>
            <b/>
            <sz val="9"/>
            <color indexed="81"/>
            <rFont val="Tahoma"/>
            <family val="2"/>
            <charset val="204"/>
          </rPr>
          <t>Обычно не нужно: если номер линии совпадает с именем щита на листе «Щиты», фидер определяется сам. Заполняйте, только если номер другой (пример: линия ЩСПЗ.1 питает щит ЩСПЗ).</t>
        </r>
      </text>
    </comment>
    <comment ref="I2" authorId="0" shapeId="0" xr:uid="{920CF6DA-9B12-4026-8593-219D2A569B8D}">
      <text>
        <r>
          <rPr>
            <b/>
            <sz val="9"/>
            <color indexed="81"/>
            <rFont val="Tahoma"/>
            <family val="2"/>
            <charset val="204"/>
          </rPr>
          <t>1 или 3. Пусто — по коду.</t>
        </r>
      </text>
    </comment>
    <comment ref="J2" authorId="0" shapeId="0" xr:uid="{2326028A-CF44-4916-9E17-75C71F1CBAC5}">
      <text>
        <r>
          <rPr>
            <b/>
            <sz val="9"/>
            <color indexed="81"/>
            <rFont val="Tahoma"/>
            <family val="2"/>
            <charset val="204"/>
          </rPr>
          <t>230 или 400. Пусто — по коду.</t>
        </r>
      </text>
    </comment>
    <comment ref="K2" authorId="0" shapeId="0" xr:uid="{E8F3FD74-9E16-4A0D-9F6C-BB36DB51A5DB}">
      <text>
        <r>
          <rPr>
            <b/>
            <sz val="9"/>
            <color indexed="81"/>
            <rFont val="Tahoma"/>
            <family val="2"/>
            <charset val="204"/>
          </rPr>
          <t>Быт — табл. 7.2 по сумме; Сил — Кс линии или табл. 7.5; Пост — 1; Отоп — 1 и ВНГ — 0,7 отдельно (СП 256, Изм. 9); Нет — не учитывается.</t>
        </r>
      </text>
    </comment>
    <comment ref="L2" authorId="0" shapeId="0" xr:uid="{30A1B7AB-D3B6-4F60-AB8D-CFDD9C1594BA}">
      <text>
        <r>
          <rPr>
            <b/>
            <sz val="9"/>
            <color indexed="81"/>
            <rFont val="Tahoma"/>
            <family val="2"/>
            <charset val="204"/>
          </rPr>
          <t>Кс силовой линии (СП 256 табл. 7.5). Пусто — 1.</t>
        </r>
      </text>
    </comment>
    <comment ref="M2" authorId="0" shapeId="0" xr:uid="{2D51AF5F-A48F-4B70-BB58-9002DEA941FE}">
      <text>
        <r>
          <rPr>
            <b/>
            <sz val="9"/>
            <color indexed="81"/>
            <rFont val="Tahoma"/>
            <family val="2"/>
            <charset val="204"/>
          </rPr>
          <t>Пусто — 0,95, для двигателей по таблице.</t>
        </r>
      </text>
    </comment>
    <comment ref="O2" authorId="0" shapeId="0" xr:uid="{0C5B44E2-12A8-4E7F-8471-429D12731F20}">
      <text>
        <r>
          <rPr>
            <b/>
            <sz val="9"/>
            <color indexed="81"/>
            <rFont val="Tahoma"/>
            <family val="2"/>
            <charset val="204"/>
          </rPr>
          <t>1, 2, 3 или 1,2,3. Пусто — по кругу L1→L2→L3.</t>
        </r>
      </text>
    </comment>
    <comment ref="P2" authorId="0" shapeId="0" xr:uid="{C416A5B9-6304-4238-BB90-D534C26CA646}">
      <text>
        <r>
          <rPr>
            <b/>
            <sz val="9"/>
            <color indexed="81"/>
            <rFont val="Tahoma"/>
            <family val="2"/>
            <charset val="204"/>
          </rPr>
          <t>м. Пусто — сумма длин из чертежа (DWG).</t>
        </r>
      </text>
    </comment>
    <comment ref="U2" authorId="0" shapeId="0" xr:uid="{E777A554-6192-4194-BE5F-EFBA630EFB35}">
      <text>
        <r>
          <rPr>
            <b/>
            <sz val="9"/>
            <color indexed="81"/>
            <rFont val="Tahoma"/>
            <family val="2"/>
            <charset val="204"/>
          </rPr>
          <t>Обозначение из «Справочная» L (мс, мфр…). Пусто — по коду.</t>
        </r>
      </text>
    </comment>
    <comment ref="W2" authorId="0" shapeId="0" xr:uid="{C108F652-5766-41A4-812A-30614E5CEF5F}">
      <text>
        <r>
          <rPr>
            <b/>
            <sz val="9"/>
            <color indexed="81"/>
            <rFont val="Tahoma"/>
            <family val="2"/>
            <charset val="204"/>
          </rPr>
          <t>Пусто — по коду или подбор по автомату.</t>
        </r>
      </text>
    </comment>
    <comment ref="X2" authorId="0" shapeId="0" xr:uid="{A6794677-F11B-4235-A26E-01D3D79DCE21}">
      <text>
        <r>
          <rPr>
            <b/>
            <sz val="9"/>
            <color indexed="81"/>
            <rFont val="Tahoma"/>
            <family val="2"/>
            <charset val="204"/>
          </rPr>
          <t>Номинал автомата линии вручную, А.</t>
        </r>
      </text>
    </comment>
    <comment ref="Z2" authorId="0" shapeId="0" xr:uid="{63EFC6F7-D74C-4066-BC98-6E103B2F17E5}">
      <text>
        <r>
          <rPr>
            <b/>
            <sz val="9"/>
            <color indexed="81"/>
            <rFont val="Tahoma"/>
            <family val="2"/>
            <charset val="204"/>
          </rPr>
          <t>Строка таблицы нагрузок для пояснительной записки: рабочее освещение, розеточная сеть, вентиляция. Пусто — по коду.</t>
        </r>
      </text>
    </comment>
    <comment ref="AC2" authorId="0" shapeId="0" xr:uid="{999063B7-38E3-4C07-968C-8D13BFDDB1BE}">
      <text>
        <r>
          <rPr>
            <b/>
            <sz val="9"/>
            <color indexed="81"/>
            <rFont val="Tahoma"/>
            <family val="2"/>
            <charset val="204"/>
          </rPr>
          <t>Пусто — основная шина. Пишется в строке с автоматом.</t>
        </r>
      </text>
    </comment>
    <comment ref="AD2" authorId="0" shapeId="0" xr:uid="{A45ACF21-A0BD-4E71-8F23-5FBB03DE4A4A}">
      <text>
        <r>
          <rPr>
            <b/>
            <sz val="9"/>
            <color indexed="81"/>
            <rFont val="Tahoma"/>
            <family val="2"/>
            <charset val="204"/>
          </rPr>
          <t>«авто» или текст (1P C16A) в первой строке группы.</t>
        </r>
      </text>
    </comment>
    <comment ref="AE2" authorId="0" shapeId="0" xr:uid="{B7BE68A6-4DAD-4CB4-A180-47ADF4C45932}">
      <text>
        <r>
          <rPr>
            <b/>
            <sz val="9"/>
            <color indexed="81"/>
            <rFont val="Tahoma"/>
            <family val="2"/>
            <charset val="204"/>
          </rPr>
          <t>Пусто — по коду (лист «Коды», таблица УГО). Число — ток утечки: 10, 30, 100, 300. «нет» — без дифзащиты. «да» = 30 мА.</t>
        </r>
      </text>
    </comment>
    <comment ref="AI2" authorId="0" shapeId="0" xr:uid="{F38E077D-AA4C-48DB-BD46-203117A45C53}">
      <text>
        <r>
          <rPr>
            <b/>
            <sz val="9"/>
            <color indexed="81"/>
            <rFont val="Tahoma"/>
            <family val="2"/>
            <charset val="204"/>
          </rPr>
          <t>Модель — в первой строке модуля; следующие строки идут на его каналы. «-» — в первой строке ПОСЛЕ модуля (модуль закончился).</t>
        </r>
      </text>
    </comment>
    <comment ref="AJ2" authorId="0" shapeId="0" xr:uid="{B835F131-FE2D-4F1F-A8EF-E62C01A05273}">
      <text>
        <r>
          <rPr>
            <b/>
            <sz val="9"/>
            <color indexed="81"/>
            <rFont val="Tahoma"/>
            <family val="2"/>
            <charset val="204"/>
          </rPr>
          <t>Пусто — авто; № вручную; = параллельно; + в тот же кабель; р — резерв; б/к — без клеммы.</t>
        </r>
      </text>
    </comment>
    <comment ref="AK2" authorId="0" shapeId="0" xr:uid="{61766478-CD39-4613-BC42-E19743778089}">
      <text>
        <r>
          <rPr>
            <b/>
            <sz val="9"/>
            <color indexed="81"/>
            <rFont val="Tahoma"/>
            <family val="2"/>
            <charset val="204"/>
          </rPr>
          <t>Пусто — номер XT по порядку; «нет» — клемма без номера.</t>
        </r>
      </text>
    </comment>
    <comment ref="AL2" authorId="0" shapeId="0" xr:uid="{3EE0AFE2-5930-4FC8-A756-DBF8A41F4E76}">
      <text>
        <r>
          <rPr>
            <b/>
            <sz val="9"/>
            <color indexed="81"/>
            <rFont val="Tahoma"/>
            <family val="2"/>
            <charset val="204"/>
          </rPr>
          <t>Пусто — как обычно. «вручную» — строка только в таблице, в схеме не рисуется. «рисовать» — нарисовать строку вводного узла (по умолчанию вводной узел не рисуется).</t>
        </r>
      </text>
    </comment>
    <comment ref="AR2" authorId="0" shapeId="0" xr:uid="{CB37270E-A549-4B78-8F83-AF354596641E}">
      <text>
        <r>
          <rPr>
            <b/>
            <sz val="9"/>
            <color indexed="81"/>
            <rFont val="Tahoma"/>
            <family val="2"/>
            <charset val="204"/>
          </rPr>
          <t>Все замечания по строке. Сводка по объекту — лист «Проверка».</t>
        </r>
      </text>
    </comment>
    <comment ref="BF2" authorId="0" shapeId="0" xr:uid="{209AEA4F-ADC4-4D21-878A-53DCDE4DC66E}">
      <text>
        <r>
          <rPr>
            <b/>
            <sz val="9"/>
            <color indexed="81"/>
            <rFont val="Tahoma"/>
            <family val="2"/>
            <charset val="204"/>
          </rPr>
          <t>Мощность линии; для фидера — Руст нижестоящего щита.</t>
        </r>
      </text>
    </comment>
    <comment ref="BM2" authorId="0" shapeId="0" xr:uid="{0C5F1B48-48AF-4825-B387-B09A84B92C3F}">
      <text>
        <r>
          <rPr>
            <b/>
            <sz val="9"/>
            <color indexed="81"/>
            <rFont val="Tahoma"/>
            <family val="2"/>
            <charset val="204"/>
          </rPr>
          <t>Ручной; для двигателей — по мощности; иначе 0,95. В режиме «нормы 2026» силовые — 0,8 (СП 256 п. 7.1.12).</t>
        </r>
      </text>
    </comment>
    <comment ref="BN2" authorId="0" shapeId="0" xr:uid="{6E19F041-A001-4488-897D-315378C29792}">
      <text>
        <r>
          <rPr>
            <b/>
            <sz val="9"/>
            <color indexed="81"/>
            <rFont val="Tahoma"/>
            <family val="2"/>
            <charset val="204"/>
          </rPr>
          <t>1ф: P/(Uф·cos φ); 3ф: P/(√3·Uн·cos φ). Фидер — Iр нижестоящего щита.</t>
        </r>
      </text>
    </comment>
    <comment ref="BO2" authorId="0" shapeId="0" xr:uid="{1F40A922-F939-4F2A-84F8-EB5D37A2888E}">
      <text>
        <r>
          <rPr>
            <b/>
            <sz val="9"/>
            <color indexed="81"/>
            <rFont val="Tahoma"/>
            <family val="2"/>
            <charset val="204"/>
          </rPr>
          <t>Наименьший номинал с Iр ≤ 0,9·In (ГОСТ Р 50571.4.43 п. 433.1 + запас 10 %).</t>
        </r>
      </text>
    </comment>
    <comment ref="BS2" authorId="0" shapeId="0" xr:uid="{728C9569-8BC6-4AF6-AA3D-DCEA4BB64B3C}">
      <text>
        <r>
          <rPr>
            <b/>
            <sz val="9"/>
            <color indexed="81"/>
            <rFont val="Tahoma"/>
            <family val="2"/>
            <charset val="204"/>
          </rPr>
          <t>Наименьшее сечение с Iдоп·k ≥ In. Таблица — ПУЭ 1.3.7 (медь, воздух), 4–5 жил ×0,92 (ПУЭ 1.3.10).</t>
        </r>
      </text>
    </comment>
    <comment ref="BW2" authorId="0" shapeId="0" xr:uid="{3A406FA8-3B4C-494B-B91A-72A07E1E6BF3}">
      <text>
        <r>
          <rPr>
            <b/>
            <sz val="9"/>
            <color indexed="81"/>
            <rFont val="Tahoma"/>
            <family val="2"/>
            <charset val="204"/>
          </rPr>
          <t>Опуск·(2n−1) + длина по плану + подъём на этаж.</t>
        </r>
      </text>
    </comment>
    <comment ref="CC2" authorId="0" shapeId="0" xr:uid="{EB64C7C3-68D6-4A23-8291-6D4997F081EB}">
      <text>
        <r>
          <rPr>
            <b/>
            <sz val="9"/>
            <color indexed="81"/>
            <rFont val="Tahoma"/>
            <family val="2"/>
            <charset val="204"/>
          </rPr>
          <t>ΔU = b·(ρ·L/S·cos φ + x·L·sin φ)·I (ГОСТ Р 50571.5.52 прил. G), % от Uф.</t>
        </r>
      </text>
    </comment>
    <comment ref="CE2" authorId="0" shapeId="0" xr:uid="{FF7717F9-0966-4358-AA7D-ADB8D55AF46F}">
      <text>
        <r>
          <rPr>
            <b/>
            <sz val="9"/>
            <color indexed="81"/>
            <rFont val="Tahoma"/>
            <family val="2"/>
            <charset val="204"/>
          </rPr>
          <t>СП 256 п. 8.23: от ВРУ до светильников ≤ 3 %, до прочих ≤ 4 %.</t>
        </r>
      </text>
    </comment>
    <comment ref="CL2" authorId="0" shapeId="0" xr:uid="{6E7F987B-0BD9-46F0-9F60-9DBC937392F4}">
      <text>
        <r>
          <rPr>
            <b/>
            <sz val="9"/>
            <color indexed="81"/>
            <rFont val="Tahoma"/>
            <family val="2"/>
            <charset val="204"/>
          </rPr>
          <t>Iкз = c_min·Uф / (Zшин + 2·ρкз·L/S), ρкз = 1,5·ρ20 (ГОСТ 28249 п. 2.4.2).</t>
        </r>
      </text>
    </comment>
    <comment ref="DO2" authorId="0" shapeId="0" xr:uid="{ED79D926-0FA8-4296-8CA5-27A8E47C68EC}">
      <text>
        <r>
          <rPr>
            <b/>
            <sz val="9"/>
            <color indexed="81"/>
            <rFont val="Tahoma"/>
            <family val="2"/>
            <charset val="204"/>
          </rPr>
          <t>Требуемая категория выше, чем даёт схема (ПУЭ 1.2.17–1.2.21, СП 256 п. 6.13, 8.10).</t>
        </r>
      </text>
    </comment>
    <comment ref="EH2" authorId="0" shapeId="0" xr:uid="{91B7A895-90EA-43AB-A57C-0CB99D0D0589}">
      <text>
        <r>
          <rPr>
            <b/>
            <sz val="9"/>
            <color indexed="81"/>
            <rFont val="Tahoma"/>
            <family val="2"/>
            <charset val="204"/>
          </rPr>
          <t>Самая строгая уставка среди линий группы (меньший ток утечки).</t>
        </r>
      </text>
    </comment>
    <comment ref="EP2" authorId="0" shapeId="0" xr:uid="{5D98EC87-D347-40A9-9923-6917446A3BA0}">
      <text>
        <r>
          <rPr>
            <b/>
            <sz val="9"/>
            <color indexed="81"/>
            <rFont val="Tahoma"/>
            <family val="2"/>
            <charset val="204"/>
          </rPr>
          <t>Групповой автомат: ток группы, мин. автомат по типу, дифзащита (мА), полюса.</t>
        </r>
      </text>
    </comment>
    <comment ref="FB2" authorId="0" shapeId="0" xr:uid="{0ABD36F3-F128-4692-A9BD-08166EC530F2}">
      <text>
        <r>
          <rPr>
            <b/>
            <sz val="9"/>
            <color indexed="81"/>
            <rFont val="Tahoma"/>
            <family val="2"/>
            <charset val="204"/>
          </rPr>
          <t>ПЕРЕГРУЗ: ток группы &gt; In. КАБЕЛЬ НЕ ЗАЩИЩЁН: In &gt; Iдоп кабеля (ГОСТ Р 50571.4.43 п. 433.1).</t>
        </r>
      </text>
    </comment>
    <comment ref="FJ2" authorId="0" shapeId="0" xr:uid="{15FD81C6-7B3E-4974-B77E-FA1DD717EB88}">
      <text>
        <r>
          <rPr>
            <b/>
            <sz val="9"/>
            <color indexed="81"/>
            <rFont val="Tahoma"/>
            <family val="2"/>
            <charset val="204"/>
          </rPr>
          <t>ПУЭ 1.7.79: ≤ 0,4 с. Iкз/In ≥ 5 (B), 10 (C), 20 (D) — ГОСТ IEC 60898-1.</t>
        </r>
      </text>
    </comment>
    <comment ref="FK2" authorId="0" shapeId="0" xr:uid="{678F02A4-4ECF-49F2-8228-580AFAEB9442}">
      <text>
        <r>
          <rPr>
            <b/>
            <sz val="9"/>
            <color indexed="81"/>
            <rFont val="Tahoma"/>
            <family val="2"/>
            <charset val="204"/>
          </rPr>
          <t>Красный — ошибка (дубль, перегруз, кабель не защищён, канал, без 30 мА), жёлтый — проверить.</t>
        </r>
      </text>
    </comment>
    <comment ref="FM2" authorId="0" shapeId="0" xr:uid="{D6A68C9E-8FD5-4488-AF3A-5D497C0CC75F}">
      <text>
        <r>
          <rPr>
            <b/>
            <sz val="9"/>
            <color indexed="81"/>
            <rFont val="Tahoma"/>
            <family val="2"/>
            <charset val="204"/>
          </rPr>
          <t>Отключающая способность автомата не меньше Iкз max на шинах (ГОСТ Р 50571.4.43, СП 256).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<sst xmlns="http://schemas.openxmlformats.org/spreadsheetml/2006/main" count="6281" uniqueCount="2400">
  <si>
    <t>Номер линии</t>
  </si>
  <si>
    <t>Мощность, кВт</t>
  </si>
  <si>
    <t>Кол-во фаз</t>
  </si>
  <si>
    <t>Сечение</t>
  </si>
  <si>
    <t>Щит</t>
  </si>
  <si>
    <t>Ток</t>
  </si>
  <si>
    <t>Наименование</t>
  </si>
  <si>
    <t>Автомат</t>
  </si>
  <si>
    <t>Не исп</t>
  </si>
  <si>
    <t>Кабель</t>
  </si>
  <si>
    <t>Обознач</t>
  </si>
  <si>
    <t>мс</t>
  </si>
  <si>
    <t>ВВГнг(А)-LS</t>
  </si>
  <si>
    <t>мфр</t>
  </si>
  <si>
    <t>Кол-во жил</t>
  </si>
  <si>
    <t>Индуктивное, Ом/км</t>
  </si>
  <si>
    <t>Сечение (ручное)</t>
  </si>
  <si>
    <t>автомат (ручное)</t>
  </si>
  <si>
    <t>кВт</t>
  </si>
  <si>
    <t>%</t>
  </si>
  <si>
    <t>А</t>
  </si>
  <si>
    <t>Маркировка кабеля</t>
  </si>
  <si>
    <t>Трасса</t>
  </si>
  <si>
    <t>Испытания</t>
  </si>
  <si>
    <t>Начало</t>
  </si>
  <si>
    <t>Конец</t>
  </si>
  <si>
    <t>По проекту</t>
  </si>
  <si>
    <t>Проложено</t>
  </si>
  <si>
    <t>Длина трассы, м</t>
  </si>
  <si>
    <t>Марка</t>
  </si>
  <si>
    <t>Длина, м</t>
  </si>
  <si>
    <t>Дата прокладки</t>
  </si>
  <si>
    <t>R</t>
  </si>
  <si>
    <t>Розеточная группа</t>
  </si>
  <si>
    <t>L</t>
  </si>
  <si>
    <t>Этаж</t>
  </si>
  <si>
    <t>Третий этаж</t>
  </si>
  <si>
    <t>Цокольный этаж</t>
  </si>
  <si>
    <t>0</t>
  </si>
  <si>
    <t>1</t>
  </si>
  <si>
    <t>2</t>
  </si>
  <si>
    <t>3</t>
  </si>
  <si>
    <t>1 - этаж/2 - шлейф</t>
  </si>
  <si>
    <t>Длина линии (по плану)</t>
  </si>
  <si>
    <t>ютп</t>
  </si>
  <si>
    <t>Поз</t>
  </si>
  <si>
    <t>Наименование и техническая характеристика</t>
  </si>
  <si>
    <t>Тип, марка, обозначение документа</t>
  </si>
  <si>
    <t>Код оборудования, изделия, материала</t>
  </si>
  <si>
    <t>Завод изготовитель</t>
  </si>
  <si>
    <t>Кол-во</t>
  </si>
  <si>
    <t>Масса</t>
  </si>
  <si>
    <t>Примечание</t>
  </si>
  <si>
    <t>Ед. измерения</t>
  </si>
  <si>
    <t>Заполнить!!!</t>
  </si>
  <si>
    <t>Помещение</t>
  </si>
  <si>
    <t>Этаж/Шлейф</t>
  </si>
  <si>
    <t>Кол-во потребителей (для длины)</t>
  </si>
  <si>
    <t>Ввод</t>
  </si>
  <si>
    <t>Вытяжной вентилятор</t>
  </si>
  <si>
    <t>ре</t>
  </si>
  <si>
    <t>ПУГВ</t>
  </si>
  <si>
    <t>Потолок - 1/Пол - 2</t>
  </si>
  <si>
    <t>ПТО</t>
  </si>
  <si>
    <t>Артикул</t>
  </si>
  <si>
    <t>МСК001</t>
  </si>
  <si>
    <t>МСК002</t>
  </si>
  <si>
    <t>МСК003</t>
  </si>
  <si>
    <t>МСК004</t>
  </si>
  <si>
    <t>МСК005</t>
  </si>
  <si>
    <t>МСК006</t>
  </si>
  <si>
    <t>МСК007</t>
  </si>
  <si>
    <t>МСК008</t>
  </si>
  <si>
    <t>МСК009</t>
  </si>
  <si>
    <t>МСК010</t>
  </si>
  <si>
    <t>МСК011</t>
  </si>
  <si>
    <t>МСК012</t>
  </si>
  <si>
    <t>МСК013</t>
  </si>
  <si>
    <t>МСК014</t>
  </si>
  <si>
    <t>МСК015</t>
  </si>
  <si>
    <t>МСК016</t>
  </si>
  <si>
    <t>МСК017</t>
  </si>
  <si>
    <t>МСК018</t>
  </si>
  <si>
    <t>МСК019</t>
  </si>
  <si>
    <t>МСК020</t>
  </si>
  <si>
    <t>МСК021</t>
  </si>
  <si>
    <t>МСК022</t>
  </si>
  <si>
    <t>МСК023</t>
  </si>
  <si>
    <t>МСК024</t>
  </si>
  <si>
    <t>МСК025</t>
  </si>
  <si>
    <t>МСК026</t>
  </si>
  <si>
    <t>МСК027</t>
  </si>
  <si>
    <t>МСК028</t>
  </si>
  <si>
    <t>МСК029</t>
  </si>
  <si>
    <t>МСК030</t>
  </si>
  <si>
    <t>МСК031</t>
  </si>
  <si>
    <t>МСК032</t>
  </si>
  <si>
    <t>МСК033</t>
  </si>
  <si>
    <t>МСК034</t>
  </si>
  <si>
    <t>МСК035</t>
  </si>
  <si>
    <t>МСК036</t>
  </si>
  <si>
    <t>МСК037</t>
  </si>
  <si>
    <t>МСК038</t>
  </si>
  <si>
    <t>МСК041</t>
  </si>
  <si>
    <t>МСК042</t>
  </si>
  <si>
    <t>МСК043</t>
  </si>
  <si>
    <t>МСК044</t>
  </si>
  <si>
    <t>МСК045</t>
  </si>
  <si>
    <t>МСК046</t>
  </si>
  <si>
    <t>МСК047</t>
  </si>
  <si>
    <t>МСК048</t>
  </si>
  <si>
    <t>МСК049</t>
  </si>
  <si>
    <t>МСК050</t>
  </si>
  <si>
    <t>МСК051</t>
  </si>
  <si>
    <t>МСК052</t>
  </si>
  <si>
    <t>МСК053</t>
  </si>
  <si>
    <t>МСК054</t>
  </si>
  <si>
    <t>МСК055</t>
  </si>
  <si>
    <t>МСК056</t>
  </si>
  <si>
    <t>МСК057</t>
  </si>
  <si>
    <t>МСК058</t>
  </si>
  <si>
    <t>МСК059</t>
  </si>
  <si>
    <t>МСК060</t>
  </si>
  <si>
    <t>МСК061</t>
  </si>
  <si>
    <t>МСК062</t>
  </si>
  <si>
    <t>МСК063</t>
  </si>
  <si>
    <t>МСК064</t>
  </si>
  <si>
    <t>МСК065</t>
  </si>
  <si>
    <t>МСК066</t>
  </si>
  <si>
    <t>МСК067</t>
  </si>
  <si>
    <t>МСК068</t>
  </si>
  <si>
    <t>МСК069</t>
  </si>
  <si>
    <t>МСК070</t>
  </si>
  <si>
    <t>МСК071</t>
  </si>
  <si>
    <t>МСК072</t>
  </si>
  <si>
    <t>МСК073</t>
  </si>
  <si>
    <t>МСК074</t>
  </si>
  <si>
    <t>МСК075</t>
  </si>
  <si>
    <t>мб</t>
  </si>
  <si>
    <t>ВБШвнг(А)-LS</t>
  </si>
  <si>
    <t>МСК040</t>
  </si>
  <si>
    <t>КГВВнг(А)-LS</t>
  </si>
  <si>
    <t>кмб</t>
  </si>
  <si>
    <t>кмс</t>
  </si>
  <si>
    <t>КВБбШвнг(А)-LS 14x2.5</t>
  </si>
  <si>
    <t>ППГнг(А)-FRHF</t>
  </si>
  <si>
    <t>мшф</t>
  </si>
  <si>
    <t>ППГнг(А)-HF</t>
  </si>
  <si>
    <t>Тип кабеля</t>
  </si>
  <si>
    <t>Пол/Потолок</t>
  </si>
  <si>
    <t>ВВГнг(А)-FRLS</t>
  </si>
  <si>
    <t>ВБШВнг(А)-LS</t>
  </si>
  <si>
    <t>КВБбШвнг(А)-LS</t>
  </si>
  <si>
    <t>ТП</t>
  </si>
  <si>
    <t>ВРУ</t>
  </si>
  <si>
    <t>В</t>
  </si>
  <si>
    <t>Д</t>
  </si>
  <si>
    <t>КПД</t>
  </si>
  <si>
    <t>Cos(ф) 3ф</t>
  </si>
  <si>
    <t>Cos(ф) 1ф</t>
  </si>
  <si>
    <t>Двигатели</t>
  </si>
  <si>
    <t>Светодиоды</t>
  </si>
  <si>
    <t>Iп/Iн, 1ф</t>
  </si>
  <si>
    <t>Iп/Iн, 3ф</t>
  </si>
  <si>
    <t>Iп, А</t>
  </si>
  <si>
    <t>Iн 220, А</t>
  </si>
  <si>
    <t>Iн 380</t>
  </si>
  <si>
    <t>Iп 380</t>
  </si>
  <si>
    <t>Iн 220</t>
  </si>
  <si>
    <t>Iп 220</t>
  </si>
  <si>
    <t>КРМ</t>
  </si>
  <si>
    <t>Кабель_диаметр</t>
  </si>
  <si>
    <t>кол-во жил</t>
  </si>
  <si>
    <t>наружный диаметр</t>
  </si>
  <si>
    <t>ПуГВ</t>
  </si>
  <si>
    <t>Дн</t>
  </si>
  <si>
    <t>Дв</t>
  </si>
  <si>
    <t>гофра_ПНД</t>
  </si>
  <si>
    <t>гофра_ПВХ</t>
  </si>
  <si>
    <t>(Серая)</t>
  </si>
  <si>
    <t>(Черная)</t>
  </si>
  <si>
    <t>Расшифровка</t>
  </si>
  <si>
    <t>тпв</t>
  </si>
  <si>
    <t>тпн</t>
  </si>
  <si>
    <t>Труба жесткая ПВХ</t>
  </si>
  <si>
    <t>Труба жесткая ПНД</t>
  </si>
  <si>
    <t>гпв</t>
  </si>
  <si>
    <t>Труба гофрированная ПВХ</t>
  </si>
  <si>
    <t>гпн</t>
  </si>
  <si>
    <t>Труба гофрированная ПНД</t>
  </si>
  <si>
    <t>Напряжение</t>
  </si>
  <si>
    <t>Мин.диам. Трубы</t>
  </si>
  <si>
    <t>Лоток</t>
  </si>
  <si>
    <t>КПСнг?</t>
  </si>
  <si>
    <t>DAXX</t>
  </si>
  <si>
    <t>КСПВГ 4х0.35</t>
  </si>
  <si>
    <t>REXANT (акустика)</t>
  </si>
  <si>
    <t>МКЭШ 2х0.35</t>
  </si>
  <si>
    <t>МКЭШ 4х0.35</t>
  </si>
  <si>
    <t>Гофра ПНД</t>
  </si>
  <si>
    <t>Гофра ПВХ</t>
  </si>
  <si>
    <t>ПВХ</t>
  </si>
  <si>
    <t>ПНД</t>
  </si>
  <si>
    <t>не исп</t>
  </si>
  <si>
    <t>АСУ</t>
  </si>
  <si>
    <t>кн</t>
  </si>
  <si>
    <t>SH</t>
  </si>
  <si>
    <t>J-Y(St)Y 2х2х0.8</t>
  </si>
  <si>
    <t>кф</t>
  </si>
  <si>
    <t>КИПЭВ 2х2х0.6</t>
  </si>
  <si>
    <t>кс</t>
  </si>
  <si>
    <t>На ИБП</t>
  </si>
  <si>
    <t>От ИБП</t>
  </si>
  <si>
    <t>Питание на ИБП</t>
  </si>
  <si>
    <t>Питание от ИБП</t>
  </si>
  <si>
    <t>LED</t>
  </si>
  <si>
    <t>Светодиодное освещение</t>
  </si>
  <si>
    <t>R.ШТК</t>
  </si>
  <si>
    <t>Шкаф слаботочных систем</t>
  </si>
  <si>
    <t>R.ЩОПС</t>
  </si>
  <si>
    <t>Щит охранно-пожарной сигнализации</t>
  </si>
  <si>
    <t>Питание системы автоматизации</t>
  </si>
  <si>
    <t>PS-KNX</t>
  </si>
  <si>
    <t>Блок питания шины KNX</t>
  </si>
  <si>
    <t>Шаровый электрокран</t>
  </si>
  <si>
    <t xml:space="preserve">Управление сервоприводом отопления </t>
  </si>
  <si>
    <t>FTP-Cat.6-4х2х0.52</t>
  </si>
  <si>
    <t>КГВВнг(А)-LS (5х1)</t>
  </si>
  <si>
    <t>кмс1</t>
  </si>
  <si>
    <t>DALI</t>
  </si>
  <si>
    <t>Контролер DALI</t>
  </si>
  <si>
    <t>АПС</t>
  </si>
  <si>
    <t>Реле АПС</t>
  </si>
  <si>
    <t>ПВ</t>
  </si>
  <si>
    <t>Приточно-вытяжная установка</t>
  </si>
  <si>
    <t>УВ</t>
  </si>
  <si>
    <t>Увлажнитель</t>
  </si>
  <si>
    <t>ПН</t>
  </si>
  <si>
    <t>Проточный водонагреватель</t>
  </si>
  <si>
    <t>WD</t>
  </si>
  <si>
    <t>Датчик протечки</t>
  </si>
  <si>
    <t>VK</t>
  </si>
  <si>
    <t>КУП</t>
  </si>
  <si>
    <t>Коробка уравнивания потенциалов</t>
  </si>
  <si>
    <t>R.GSM</t>
  </si>
  <si>
    <t>Щит усиления соловой связи</t>
  </si>
  <si>
    <t>Теплый пол</t>
  </si>
  <si>
    <t>Управление сервоприводом теплого пола</t>
  </si>
  <si>
    <t>TE-ТП</t>
  </si>
  <si>
    <t>TE-O</t>
  </si>
  <si>
    <t>ЭK</t>
  </si>
  <si>
    <t>K</t>
  </si>
  <si>
    <t>ПУ</t>
  </si>
  <si>
    <t>Приточная установка</t>
  </si>
  <si>
    <t>PE</t>
  </si>
  <si>
    <t>Вводнораспределительное оборудование ЩР</t>
  </si>
  <si>
    <t>Крыша и основание RAL9005 с направляющими для корпусов CQE N, ШхГ 800х400 мм, комплект RAM block</t>
  </si>
  <si>
    <t>Стойки вертикальные RAL7035 для корпусов CQE N, В=1800 мм, комплект - 4 шт. RAM block</t>
  </si>
  <si>
    <t>Панель задняя для корпусов CQE N, ВхШ 1800х800 мм RAM block</t>
  </si>
  <si>
    <t>Углы цоколя с пластиковыми заглушками для корпусов CQE &amp; CQE N, В=200 мм, RAL9005, комплект - 4 шт. RAM block</t>
  </si>
  <si>
    <t>Панели цоколя для корпусов CQE &amp; CQE N, ШхГ 800 мм, В=200 мм, RAL9005, комплект - 2 шт. RAM block</t>
  </si>
  <si>
    <t>Фиксатор панели цоколя R5NFP, R5NFPB для корпусов CQE &amp; CQE N, комплект - 4 шт. RAM block</t>
  </si>
  <si>
    <t>Комплект</t>
  </si>
  <si>
    <t>Рейка широкая поперечная для корпусов CQE &amp; CQE N, Ш=800 мм, упаковка - 4 шт. RAM block</t>
  </si>
  <si>
    <t>Рейка для фиксации кабеля для корпусов CQE N, Ш=800 мм, упаковка - 2 шт. RAM block</t>
  </si>
  <si>
    <t>Комплект кабелей заземления CQE RAM block</t>
  </si>
  <si>
    <t>П-образный профиль для защиты кромок, для дверей и панелей RAM block</t>
  </si>
  <si>
    <t>Упаковка</t>
  </si>
  <si>
    <t>Метр</t>
  </si>
  <si>
    <t>Рейки широкие вертикальные для корпусов CQE N, В=1800 мм, упаковка - 2 шт. RAM block</t>
  </si>
  <si>
    <t>R5NPDV18</t>
  </si>
  <si>
    <t>R5NKTB84</t>
  </si>
  <si>
    <t>R5NKMN18</t>
  </si>
  <si>
    <t>R5NCRE1880</t>
  </si>
  <si>
    <t>R5NBP02B</t>
  </si>
  <si>
    <t>R5NFPB82</t>
  </si>
  <si>
    <t>R5NKFP02</t>
  </si>
  <si>
    <t>R5NPDF800</t>
  </si>
  <si>
    <t>R5NPAC800</t>
  </si>
  <si>
    <t>R5ES01</t>
  </si>
  <si>
    <t>R5PP01</t>
  </si>
  <si>
    <t>DKC</t>
  </si>
  <si>
    <t>Концевой выключатель с двумя контактами, нормально открытый + нормально закрытый (NO+NC). С поворотным регулируемым рычажным роликом</t>
  </si>
  <si>
    <t>R5MC131</t>
  </si>
  <si>
    <t>шт.</t>
  </si>
  <si>
    <t>Светодиодная лента COB-X480-4mm 24V Day4000 (4 W/m, IP20, CSP, 5m) (Arlight, -) 042031</t>
  </si>
  <si>
    <t>042031</t>
  </si>
  <si>
    <t>arlight</t>
  </si>
  <si>
    <t>Chint</t>
  </si>
  <si>
    <t>EKF</t>
  </si>
  <si>
    <t>256101</t>
  </si>
  <si>
    <t>643001</t>
  </si>
  <si>
    <t>179616</t>
  </si>
  <si>
    <t>179614</t>
  </si>
  <si>
    <t>982114</t>
  </si>
  <si>
    <t>203019</t>
  </si>
  <si>
    <t>256099</t>
  </si>
  <si>
    <t>Arlight</t>
  </si>
  <si>
    <t>028422</t>
  </si>
  <si>
    <t>Модуль защиты контактов MK-5-1</t>
  </si>
  <si>
    <t>EA06.002.001</t>
  </si>
  <si>
    <t>Россия</t>
  </si>
  <si>
    <t>5</t>
  </si>
  <si>
    <t>ZPSU640</t>
  </si>
  <si>
    <t>Zennio</t>
  </si>
  <si>
    <t>Многофункциональный актуатор KNX</t>
  </si>
  <si>
    <t>ZIOMB24V2</t>
  </si>
  <si>
    <t>ZDINDX4</t>
  </si>
  <si>
    <t>Интерфейс KNX-DALI</t>
  </si>
  <si>
    <t>ZDID64X2</t>
  </si>
  <si>
    <t>Модуль входов с 8 аналогово-цифровыми входами</t>
  </si>
  <si>
    <t>ZIO-RQUAD8</t>
  </si>
  <si>
    <t>VPR-4-GY</t>
  </si>
  <si>
    <t>Клемма проходная, зажим push-in, 2 точки подключения, 4 кв.мм, синяя</t>
  </si>
  <si>
    <t>VPR-4-BU</t>
  </si>
  <si>
    <t>Клемма заземления, зажим push-in, 2 точки подключения, 4 кв.мм</t>
  </si>
  <si>
    <t>VPR-4-PE-YG</t>
  </si>
  <si>
    <t>Изолятор торцевой для клеммы VPR-4</t>
  </si>
  <si>
    <t>D-VPR-4</t>
  </si>
  <si>
    <t>VPR-2.5-3L-GY</t>
  </si>
  <si>
    <t>Изолятор торцевой для клеммы VPR-2.5-3L</t>
  </si>
  <si>
    <t>D-VPR-2.5-3L</t>
  </si>
  <si>
    <t>Перемычка вставная, для клемм на 2.5 кв.мм, 10-и полюсная</t>
  </si>
  <si>
    <t>SBF-10-5</t>
  </si>
  <si>
    <t>Торцевой фиксатор на рейку 35мм, ширина 9,5 мм</t>
  </si>
  <si>
    <t>UK-E</t>
  </si>
  <si>
    <t xml:space="preserve">Провод ПуГВ 1,5 кв. мм красный, многопроволочный </t>
  </si>
  <si>
    <t>ПуГВ 1.5</t>
  </si>
  <si>
    <t>РЭК</t>
  </si>
  <si>
    <t>м.</t>
  </si>
  <si>
    <t>Провод ПуГВ 1,5 кв. мм белый, многопроволочный</t>
  </si>
  <si>
    <t xml:space="preserve">Провод ПуГВ 1,5 кв. мм черный, многопроволочный </t>
  </si>
  <si>
    <t xml:space="preserve">Провод ПуГВ 1,5 кв. мм синий, многопроволочный </t>
  </si>
  <si>
    <t xml:space="preserve">Провод ПуГВ 2,5 кв. мм красный, многопроволочный </t>
  </si>
  <si>
    <t>ПуГВ 2.5</t>
  </si>
  <si>
    <t>Провод ПуГВ 2,5 кв. мм белый, многопроволочный</t>
  </si>
  <si>
    <t xml:space="preserve">Провод ПуГВ 2,5 кв. мм черный, многопроволочный </t>
  </si>
  <si>
    <t xml:space="preserve">Провод ПуГВ 2,5 кв. мм синий, многопроволочный </t>
  </si>
  <si>
    <t xml:space="preserve">Провод ПуГВ 4 кв. мм красный, многопроволочный </t>
  </si>
  <si>
    <t>ПуГВ 4</t>
  </si>
  <si>
    <t>Провод ПуГВ 4 кв. мм белый, многопроволочный</t>
  </si>
  <si>
    <t xml:space="preserve">Провод ПуГВ 4 кв. мм черный, многопроволочный </t>
  </si>
  <si>
    <t xml:space="preserve">Провод ПуГВ 4 кв. мм синий, многопроволочный </t>
  </si>
  <si>
    <t>Наконечник НШВИ 1.5-12 (100шт)</t>
  </si>
  <si>
    <t>79441</t>
  </si>
  <si>
    <t>КВТ</t>
  </si>
  <si>
    <t>упак.</t>
  </si>
  <si>
    <t>Наконечник НШВИ(2) 1.5-12 (100шт)</t>
  </si>
  <si>
    <t>Наконечник НШВИ 2.5-12 (100шт)</t>
  </si>
  <si>
    <t>Наконечник НШВИ(2) 2.5-13 (100шт)</t>
  </si>
  <si>
    <t>79469</t>
  </si>
  <si>
    <t>Наконечник НШВИ 4.0–12 (100шт)</t>
  </si>
  <si>
    <t>79447</t>
  </si>
  <si>
    <t>Наконечник НШВИ(2) 4.0-12 (100шт)</t>
  </si>
  <si>
    <t>79470</t>
  </si>
  <si>
    <t>Огнетушитель порошковый самосрабатывающий</t>
  </si>
  <si>
    <t>ОСП-1</t>
  </si>
  <si>
    <t>Термостат модульный с регулируемым диапазоном температуры -10…+80°C, NO-контакт</t>
  </si>
  <si>
    <t>R5MTHNO</t>
  </si>
  <si>
    <t>Вентилятор с фильтром RV 44/46 м3/ч, 230 В, 150x150 мм, IP54</t>
  </si>
  <si>
    <t>R5RV12230</t>
  </si>
  <si>
    <t>Вентиляционная решетка с фильтром RF 150x150 мм, IP54</t>
  </si>
  <si>
    <t>R5RF12</t>
  </si>
  <si>
    <t xml:space="preserve">Расходные материалы (наконечники для кабелей ПуГВ, бирки, термоусадка 4-х цветов (Б,Ч,К,С)стяжки, изолента и т. д.) </t>
  </si>
  <si>
    <t>комп.</t>
  </si>
  <si>
    <t>040231</t>
  </si>
  <si>
    <t>Реле контроля напряжения и тока NJVA1-100 3P+N 100А</t>
  </si>
  <si>
    <t>508572</t>
  </si>
  <si>
    <t>LD</t>
  </si>
  <si>
    <t>816139</t>
  </si>
  <si>
    <t>Шина нулевая в корпусе (4x15)</t>
  </si>
  <si>
    <t>sn0-4x15</t>
  </si>
  <si>
    <t>Шина нулевая в корпусе (4x7)</t>
  </si>
  <si>
    <t>sn0-4x7</t>
  </si>
  <si>
    <t xml:space="preserve">Провод ПуГВ 1,5 кв. мм Ж/З, многопроволочный </t>
  </si>
  <si>
    <t xml:space="preserve">Провод ПуГВ 2,5 кв. мм Ж/З, многопроволочный </t>
  </si>
  <si>
    <t xml:space="preserve">Провод ПуГВ 4 кв. мм Ж/З, многопроволочный </t>
  </si>
  <si>
    <t xml:space="preserve">Провод ПуГВ 16 кв. мм красный, многопроволочный </t>
  </si>
  <si>
    <t>Провод ПуГВ 16 кв. мм белый, многопроволочный</t>
  </si>
  <si>
    <t xml:space="preserve">Провод ПуГВ 16 кв. мм черный, многопроволочный </t>
  </si>
  <si>
    <t xml:space="preserve">Провод ПуГВ 16 кв. мм синий, многопроволочный </t>
  </si>
  <si>
    <t xml:space="preserve">Провод ПуГВ 16 кв. мм Ж/З, многопроволочный </t>
  </si>
  <si>
    <t>ПуГВ 16</t>
  </si>
  <si>
    <t>Наконечник НШВИ 16–12 (100шт)</t>
  </si>
  <si>
    <t>Наконечник НШВИ(2) 16–14 (100шт)</t>
  </si>
  <si>
    <t>203296</t>
  </si>
  <si>
    <t>VPR-6-GY</t>
  </si>
  <si>
    <t>Клемма проходная, зажим push-in, 2 точки подключения, 6 кв.мм, синяя</t>
  </si>
  <si>
    <t>VPR-6-BU</t>
  </si>
  <si>
    <t>Клемма заземления, зажим push-in, 2 точки подключения, 6 кв.мм</t>
  </si>
  <si>
    <t>VPR-6-PE-YG</t>
  </si>
  <si>
    <t>Изолятор торцевой для клеммы VPR-6</t>
  </si>
  <si>
    <t>D-VPR-6</t>
  </si>
  <si>
    <t>VPR-16-GY</t>
  </si>
  <si>
    <t>Клемма проходная, зажим push-in, 2 точки подключения, 16 кв.мм, синяя</t>
  </si>
  <si>
    <t>VPR-16-BU</t>
  </si>
  <si>
    <t>Клемма заземления, зажим push-in, 2 точки подключения, 16 кв.мм</t>
  </si>
  <si>
    <t>VPR-16-PE-YG</t>
  </si>
  <si>
    <t>Изолятор торцевой для клемм VPR-16</t>
  </si>
  <si>
    <t>D-VPR-16</t>
  </si>
  <si>
    <t>VPR-2.5-QUATTRO-GY</t>
  </si>
  <si>
    <t>Дверь стеклянная для корпусов CQE N, ВхШ 1800x800 мм RAM block</t>
  </si>
  <si>
    <t>R5NCPTE1880</t>
  </si>
  <si>
    <t>Профиль: Arlight MIC-M-2000 ANOD, алюминий, накладной, 2 м</t>
  </si>
  <si>
    <t>Рассеиватель: Arlight Экран матовый для PDS, MIC, 2 м</t>
  </si>
  <si>
    <t>044541</t>
  </si>
  <si>
    <t>012037</t>
  </si>
  <si>
    <t>Блок питания ARV-DRP75-24 (24V, 3.15A, 75W)</t>
  </si>
  <si>
    <t>040232</t>
  </si>
  <si>
    <t>Блок питания ARV-DR135-12 (12V, 11.3A, 135W)</t>
  </si>
  <si>
    <t>035699</t>
  </si>
  <si>
    <t>Блок питания ARV-DR15-12 (12V, 1.25A, 15W)</t>
  </si>
  <si>
    <t>034670</t>
  </si>
  <si>
    <t>КМН</t>
  </si>
  <si>
    <t>Электрокамин</t>
  </si>
  <si>
    <t>МЕСТО</t>
  </si>
  <si>
    <t>ШИНА</t>
  </si>
  <si>
    <t>АВТОМАТ</t>
  </si>
  <si>
    <t>АППАРАТЫ (по порядку после автомата)</t>
  </si>
  <si>
    <t>МОДУЛЬ / КАНАЛ</t>
  </si>
  <si>
    <t>КЛЕММА</t>
  </si>
  <si>
    <t>КАБЕЛЬ</t>
  </si>
  <si>
    <t>ОТХОДЯЩАЯ ЛИНИЯ</t>
  </si>
  <si>
    <t>ПРОВЕРКИ</t>
  </si>
  <si>
    <t>СЛУЖЕБНОЕ — сюда можно не смотреть</t>
  </si>
  <si>
    <t>расчётные (скрыты, «+» над столбцами)</t>
  </si>
  <si>
    <t>SX_DATA</t>
  </si>
  <si>
    <t>№
места</t>
  </si>
  <si>
    <t>Лист
схемы</t>
  </si>
  <si>
    <t>Шина
(пусто =
основная)</t>
  </si>
  <si>
    <t>Автомат
«авто» или текст
(1-я строка группы)</t>
  </si>
  <si>
    <t>QF</t>
  </si>
  <si>
    <t>Аппарат 1
(МК-5-1, КМ,
T 24V 100W, БП…)</t>
  </si>
  <si>
    <t>Аппарат 2</t>
  </si>
  <si>
    <t>Аппарат 3</t>
  </si>
  <si>
    <t>Модуль
(модель в начале,
«-» = конец)</t>
  </si>
  <si>
    <t>Модуль</t>
  </si>
  <si>
    <t>Канал
(пусто = авто,
№, + = р б/к)</t>
  </si>
  <si>
    <t>Канал</t>
  </si>
  <si>
    <t>Клемма</t>
  </si>
  <si>
    <t>Линия</t>
  </si>
  <si>
    <t>Р, кВт</t>
  </si>
  <si>
    <t>Ток, А</t>
  </si>
  <si>
    <t>Фаза</t>
  </si>
  <si>
    <t>Режим
(«вручную» —
не рисовать)</t>
  </si>
  <si>
    <t>Ток
группы, А</t>
  </si>
  <si>
    <t>Номинал
по току, А</t>
  </si>
  <si>
    <t>Модель
модуля</t>
  </si>
  <si>
    <t>Цепь одной строкой</t>
  </si>
  <si>
    <t>гр.</t>
  </si>
  <si>
    <t>QF гр.</t>
  </si>
  <si>
    <t>модуль гр.</t>
  </si>
  <si>
    <t>модель гр.</t>
  </si>
  <si>
    <t>QF нач.</t>
  </si>
  <si>
    <t>фаз</t>
  </si>
  <si>
    <t>код</t>
  </si>
  <si>
    <t>30мА лин.</t>
  </si>
  <si>
    <t>в кабель выше</t>
  </si>
  <si>
    <t>по току</t>
  </si>
  <si>
    <t>мин. по кабелям</t>
  </si>
  <si>
    <t>номинал</t>
  </si>
  <si>
    <t>фаз гр.</t>
  </si>
  <si>
    <t>30мА гр.</t>
  </si>
  <si>
    <t>полюса</t>
  </si>
  <si>
    <t>номинал итог</t>
  </si>
  <si>
    <t>префикс</t>
  </si>
  <si>
    <t>модуль нач.</t>
  </si>
  <si>
    <t>посл. канал</t>
  </si>
  <si>
    <t>клемма</t>
  </si>
  <si>
    <t>аппараты гр.</t>
  </si>
  <si>
    <t>БП/тр-р</t>
  </si>
  <si>
    <t>draw</t>
  </si>
  <si>
    <t>bus2</t>
  </si>
  <si>
    <t>rcd</t>
  </si>
  <si>
    <t>chtype</t>
  </si>
  <si>
    <t>dev1</t>
  </si>
  <si>
    <t>dev2</t>
  </si>
  <si>
    <t>dev3</t>
  </si>
  <si>
    <t>sym</t>
  </si>
  <si>
    <t>hasline</t>
  </si>
  <si>
    <t>ZIO-MB24</t>
  </si>
  <si>
    <t>ZIOMB8V3</t>
  </si>
  <si>
    <t>уточнить-Z</t>
  </si>
  <si>
    <t>уточнить-R</t>
  </si>
  <si>
    <t>Модель</t>
  </si>
  <si>
    <t>Каналов</t>
  </si>
  <si>
    <t>УГО</t>
  </si>
  <si>
    <t>SOCKET</t>
  </si>
  <si>
    <t>нет</t>
  </si>
  <si>
    <t>Мин. автомат перед БП / трансформатором, А</t>
  </si>
  <si>
    <t>ZIOMB16V3</t>
  </si>
  <si>
    <t>реле</t>
  </si>
  <si>
    <t>да</t>
  </si>
  <si>
    <t>Автоматов всего</t>
  </si>
  <si>
    <t>ZCL-8HT230</t>
  </si>
  <si>
    <t>клапаны 230В</t>
  </si>
  <si>
    <t>LAMP</t>
  </si>
  <si>
    <t xml:space="preserve">  из них с 30 мА (QFD)</t>
  </si>
  <si>
    <t>Di</t>
  </si>
  <si>
    <t>диммер</t>
  </si>
  <si>
    <t>DA</t>
  </si>
  <si>
    <t>Z</t>
  </si>
  <si>
    <t>MOTOR</t>
  </si>
  <si>
    <t>Модулей всего</t>
  </si>
  <si>
    <t>К</t>
  </si>
  <si>
    <t>HEAT</t>
  </si>
  <si>
    <t>1. Ток группы = сумма токов линий группы (линия в нескольких строках считается один раз).</t>
  </si>
  <si>
    <t>VALVE</t>
  </si>
  <si>
    <t>ЭК</t>
  </si>
  <si>
    <t>TE</t>
  </si>
  <si>
    <t>SERVO</t>
  </si>
  <si>
    <t>ТЕ</t>
  </si>
  <si>
    <t>BOX</t>
  </si>
  <si>
    <t>DWG: гофра ПВХ по плану, м</t>
  </si>
  <si>
    <t>DWG: гофра ПНД по плану, м</t>
  </si>
  <si>
    <t>DWG: хэндлы полилиний</t>
  </si>
  <si>
    <t>DWG: примечание</t>
  </si>
  <si>
    <t>авто</t>
  </si>
  <si>
    <t>Доп информация из выноски</t>
  </si>
  <si>
    <t>Relay</t>
  </si>
  <si>
    <t>Марка кабеля</t>
  </si>
  <si>
    <t>Макс. автомат
по кабелю, А</t>
  </si>
  <si>
    <t>мин. по типу</t>
  </si>
  <si>
    <t>Мин. автомат, А</t>
  </si>
  <si>
    <t>Способ управления</t>
  </si>
  <si>
    <t>Ключ в выноске</t>
  </si>
  <si>
    <t>Цвет номера группы</t>
  </si>
  <si>
    <t>Реле</t>
  </si>
  <si>
    <t>кнопк</t>
  </si>
  <si>
    <t>С кнопки</t>
  </si>
  <si>
    <t>Ключ из AQ ищется в AY. Цвет AS — образец для номера в D.</t>
  </si>
  <si>
    <t>-</t>
  </si>
  <si>
    <t>МК-5-1</t>
  </si>
  <si>
    <t>Кс</t>
  </si>
  <si>
    <t>ЗНАЧКИ УГО ДЛЯ ОДНОЛИНЕЙКИ</t>
  </si>
  <si>
    <t>НАСТРОЙКИ ОДНОЛИНЕЙКИ И СВОДКА (перенесено с листа «Справочник_схемы»)</t>
  </si>
  <si>
    <t>КОЭФФИЦИЕНТ СПРОСА (СП 256.1325800.2016, расчётные нагрузки)</t>
  </si>
  <si>
    <t>ДОПУСТИМЫЙ ДЛИТЕЛЬНЫЙ ТОК, А (ПУЭ табл. 1.3.6, медь, в воздухе)</t>
  </si>
  <si>
    <t>ρ при рабочей t° (ГОСТ Р 50571.5.52 прил. G), Ом·мм²/м</t>
  </si>
  <si>
    <t>Группа Кс</t>
  </si>
  <si>
    <t>УГО (выбирается в AV)</t>
  </si>
  <si>
    <t>Блок AutoCAD (из 02_Однолинейка.dwg)</t>
  </si>
  <si>
    <t>Код программы (не менять)</t>
  </si>
  <si>
    <t>НАСТРОЙКИ (жёлтые — можно менять)</t>
  </si>
  <si>
    <t>МОДУЛИ В ПРОЕКТЕ — СВОБОДНЫЕ КАНАЛЫ</t>
  </si>
  <si>
    <t>Руст быт, кВт</t>
  </si>
  <si>
    <t>Квартиры/дома повышенной комфортности (СП 31-110-2003 табл. 6.2, те же значения в СП 256). Между точками — линейная интерполяция.</t>
  </si>
  <si>
    <t>Сечение, мм²</t>
  </si>
  <si>
    <t>Одножильные</t>
  </si>
  <si>
    <t>Двухжильные (1ф: L+N, PE не нагружен)</t>
  </si>
  <si>
    <t>Трёхжильные (3ф); 4–5 жил ×0,92</t>
  </si>
  <si>
    <t>Нет</t>
  </si>
  <si>
    <t>Розетка</t>
  </si>
  <si>
    <t>Розетка1</t>
  </si>
  <si>
    <t>Мест (столбцов схемы) на лист A3</t>
  </si>
  <si>
    <t>Занято (посл. №)</t>
  </si>
  <si>
    <t>Резерв «р»</t>
  </si>
  <si>
    <t>Свободно</t>
  </si>
  <si>
    <t>до 14 кВт — 0,8 (строка 0 кВт нужна для интерполяции)</t>
  </si>
  <si>
    <t>Рабочее освещение</t>
  </si>
  <si>
    <t>Светильник</t>
  </si>
  <si>
    <t>$RECOVER_230831092053-0</t>
  </si>
  <si>
    <t>Сервопривод</t>
  </si>
  <si>
    <t>Сервопривод-1</t>
  </si>
  <si>
    <t>Наружное и фасадное освещение</t>
  </si>
  <si>
    <t>Розеточная сеть и бытовые приборы</t>
  </si>
  <si>
    <t>Быт</t>
  </si>
  <si>
    <t>Клапан</t>
  </si>
  <si>
    <t>EK.1</t>
  </si>
  <si>
    <t>ИТОГИ ПО ОДНОЛИНЕЙКЕ</t>
  </si>
  <si>
    <t>Привод (двигатель)</t>
  </si>
  <si>
    <t>Привод</t>
  </si>
  <si>
    <t>Электрический тёплый пол</t>
  </si>
  <si>
    <t>Нагреватель</t>
  </si>
  <si>
    <t>(условный значок программы)</t>
  </si>
  <si>
    <t>Электроотопление (конвекторы, камины)</t>
  </si>
  <si>
    <t>Слаботочные системы, автоматизация, KNX</t>
  </si>
  <si>
    <t>Пост</t>
  </si>
  <si>
    <t>Прочее (прямоуг. с подписью)</t>
  </si>
  <si>
    <t>Клемм XT (номеров)</t>
  </si>
  <si>
    <t>Кондиционирование и увлажнение</t>
  </si>
  <si>
    <t>Системы безопасности и связи</t>
  </si>
  <si>
    <t xml:space="preserve">  трёхуровневых блоков</t>
  </si>
  <si>
    <t>70 кВт и более — 0,45</t>
  </si>
  <si>
    <t>Вентиляция</t>
  </si>
  <si>
    <t xml:space="preserve">  доп. проходных</t>
  </si>
  <si>
    <t>Водонагреватели</t>
  </si>
  <si>
    <t>НАСТРОЙКИ</t>
  </si>
  <si>
    <t>Приводы (шторы, ворота, краны)</t>
  </si>
  <si>
    <t>Строк с ошибками (красные в AE)</t>
  </si>
  <si>
    <t>Ко сил.</t>
  </si>
  <si>
    <t>Коэффициент участия силовой нагрузки в максимуме: Рр = Рр.быт + 0,9·Рр.сил (СП 256, расчёт жилого дома)</t>
  </si>
  <si>
    <t>Строк с предупреждениями (жёлтые в AE)</t>
  </si>
  <si>
    <t>ГРУППЫ</t>
  </si>
  <si>
    <t>«Исходные данные»: AZ — группа (пусто = по коду, столбец AZ этой страницы), BA — Кс для «Сил», BB — секция (1/2)</t>
  </si>
  <si>
    <t>Системы противопожарной защиты</t>
  </si>
  <si>
    <t>pe</t>
  </si>
  <si>
    <t>Бытовая нагрузка дома/квартиры: розетки, свет, тёплый пол, кондиционеры, бытовые щиты ЩР. Кс — по таблице выше по СУММЕ Руст быт щита (не перемножать с Кс нижних щитов).</t>
  </si>
  <si>
    <t>Технология пищеприготовления</t>
  </si>
  <si>
    <t>фтп</t>
  </si>
  <si>
    <t>FTP 5e 4x2x0.51</t>
  </si>
  <si>
    <t>КАК ПОДБИРАЕТСЯ АВТОМАТ («авто»)</t>
  </si>
  <si>
    <t>Сил</t>
  </si>
  <si>
    <t>Силовая: вентиляция, насосы, пищеблок, бассейн, хаммам… Кс — свой у каждой линии («Исходные данные» BA; пусто = 1). Вентиляция и насосы — по табл. СП 256 для сантехнического и вентиляционного оборудования (по числу двигателей, резервные не учитывать); пищеблок — по табл. для теплового оборудования.</t>
  </si>
  <si>
    <t>Бассейн, SPA, хаммам</t>
  </si>
  <si>
    <t>эк</t>
  </si>
  <si>
    <t>МКЭШнг(A)-LS</t>
  </si>
  <si>
    <t>Постоянная, Кс = 1 и без Ко: обогрев кровли/воронок, слаботочные шкафы, АСУ, питание KNX, СПЗ.</t>
  </si>
  <si>
    <t>Насосы (водоснабжение, дренаж)</t>
  </si>
  <si>
    <t>5pe</t>
  </si>
  <si>
    <t>5ПуГВ</t>
  </si>
  <si>
    <t>2. Номинал по току — по таблице «Автомат_номиналы» (эта страница, F:G).</t>
  </si>
  <si>
    <t>Не учитывается в Руст и Рр: вводы, резервные линии и двигатели, транзит.</t>
  </si>
  <si>
    <t>Обогрев водостоков и кровли</t>
  </si>
  <si>
    <t>Сечение подбирается как наименьшее, у которого Iдоп·k ≥ In автомата (ГОСТ Р 50571.4.43: Ib ≤ In ≤ Iz); k = 0,92 для 4–5-жильных в 3ф (ПУЭ 1.3.10) × «К прокл.». 240 мм² — только одножильные (в табл. 1.3.6 для многожильных нет).</t>
  </si>
  <si>
    <t>5мс</t>
  </si>
  <si>
    <t xml:space="preserve">5хВВГнг(А)-LS </t>
  </si>
  <si>
    <t>3. Итог = наибольший из: по току, «Мин. автомат» по коду (AX: розетки 16 А, свет 10 А) и ручного автомата из «Исходных данных».</t>
  </si>
  <si>
    <t>5мс2</t>
  </si>
  <si>
    <t>4. «Макс. автомат по кабелю» — по сечению (I:J). Если итог больше — «КАБЕЛЬ НЕ ЗАЩИЩЁН».</t>
  </si>
  <si>
    <t>ФОРМУЛА</t>
  </si>
  <si>
    <t>Распределительные щиты жилой части</t>
  </si>
  <si>
    <t>5. Если после автомата БП/трансформатор — берётся ток и мин. номинал BF5.</t>
  </si>
  <si>
    <t>Рр = Руст.быт · Кс(табл.) + Ко · Σ(Pсил · Кс) + Σ Pпост;   Кс итоговый = Рр / Руст — он идёт в «Нагрузка_щитов» V9 и в «В Акад».</t>
  </si>
  <si>
    <t>Прочее</t>
  </si>
  <si>
    <t>6. Полюса: 3 фазы → 3P (4P с 30 мА), 1 фаза → 1P (2P с 30 мА).</t>
  </si>
  <si>
    <t>Iр — по наиболее нагруженной фазе: Iр = Pф.max · Кс итог / (0,22 · cos φ), но не меньше симметричного Рр / (√3 · 0,38 · cos φ).</t>
  </si>
  <si>
    <t>7. 30 мА: столбец F «Однолинейки» или по коду (AW).</t>
  </si>
  <si>
    <t>Секции: «Весь щит» = аварийный режим (все линии на одном вводе) — по нему выбирать вводные аппараты при АВР/секционном; «Секция 1» и «Секция 2» — нормальный режим.</t>
  </si>
  <si>
    <t>8. Свой текст в «Автомат» (например «2P С20А 30мА») — используется как есть и проверяется.</t>
  </si>
  <si>
    <t>Многоуровневое питание: в ВРУ/ГРЩ линия к бытовому ЩР — группа «Быт» с Руст этого щита; Кс считается заново по сумме, Кс нижних щитов не перемножается.</t>
  </si>
  <si>
    <t>НАСТРОЙКИ СЕТИ</t>
  </si>
  <si>
    <t>Uн, кВ</t>
  </si>
  <si>
    <t>Номинальное линейное напряжение (ГОСТ 29322-2014: 230/400 В). Фазное = Uн/√3. Для 380 В впишите 0,38.</t>
  </si>
  <si>
    <t>К прокл.</t>
  </si>
  <si>
    <t>Общий коэффициент снижения допустимого тока (пучок, многослойно в лотке/коробе — ПУЭ табл. 1.3.12, температура). В воздухе/лотке однорядно — 1.</t>
  </si>
  <si>
    <t>ΔU до шин щита теперь считается на листе «Питание_щита».</t>
  </si>
  <si>
    <t>Свой значок: впишите название в BA и точное имя блока в BB (код оставьте пустым) — блок возьмётся из библиотеки DWG.</t>
  </si>
  <si>
    <t>Свободных каналов всего</t>
  </si>
  <si>
    <t>Доп. коды (нет в списке P — латиница/кириллица и т.п.)</t>
  </si>
  <si>
    <t>КАТАЛОГ ОБОРУДОВАНИЯ. Спецификация собирается отсюда: N — посчитано по однолинейке, O — впишите вручную (корпус, провод, запас). Добавляйте строки вниз.</t>
  </si>
  <si>
    <t>список автоматов</t>
  </si>
  <si>
    <t>список аппаратов</t>
  </si>
  <si>
    <t>список модулей</t>
  </si>
  <si>
    <t>список произв.</t>
  </si>
  <si>
    <t>Категория (раздел)</t>
  </si>
  <si>
    <t>Производитель</t>
  </si>
  <si>
    <t>Модель (как в таблице)</t>
  </si>
  <si>
    <t>Префикс модуля</t>
  </si>
  <si>
    <t>Тип каналов</t>
  </si>
  <si>
    <t>Наименование для спецификации</t>
  </si>
  <si>
    <t>Полюса</t>
  </si>
  <si>
    <t>Номинал, А</t>
  </si>
  <si>
    <t>Ширина, мод. DIN</t>
  </si>
  <si>
    <t>Ед.</t>
  </si>
  <si>
    <t>Вручную / запас (+)</t>
  </si>
  <si>
    <t>ИТОГО в спецификацию</t>
  </si>
  <si>
    <t>Значение</t>
  </si>
  <si>
    <t>обозначение</t>
  </si>
  <si>
    <t>ключ</t>
  </si>
  <si>
    <t>№ авт.</t>
  </si>
  <si>
    <t>№ апп.</t>
  </si>
  <si>
    <t>№ мод.</t>
  </si>
  <si>
    <t>№ произв.</t>
  </si>
  <si>
    <t>(все)</t>
  </si>
  <si>
    <t>ключ сортировки</t>
  </si>
  <si>
    <t>№ в спецификации</t>
  </si>
  <si>
    <t>нет в каталоге</t>
  </si>
  <si>
    <t>№</t>
  </si>
  <si>
    <t>NB1-63 1P C10</t>
  </si>
  <si>
    <t>Автоматический выключатель NB1-63 1P 10А 6кА х-ка C (DB)</t>
  </si>
  <si>
    <t>1P</t>
  </si>
  <si>
    <t>Производитель автоматов</t>
  </si>
  <si>
    <t>NB1-63 1P C16</t>
  </si>
  <si>
    <t>Автоматический выключатель NB1-63 1P 16А 6кА х-ка C (DB)</t>
  </si>
  <si>
    <t>Производитель аппаратов</t>
  </si>
  <si>
    <t>NB1-63 3P C20</t>
  </si>
  <si>
    <t>Автоматический выключатель NB1-63 3P 20А 6кА х-ка C (DB)</t>
  </si>
  <si>
    <t>179702</t>
  </si>
  <si>
    <t>3P</t>
  </si>
  <si>
    <t>Производитель модулей</t>
  </si>
  <si>
    <t>NB1-63 4P C50</t>
  </si>
  <si>
    <t>Автоматический выключатель NB1-63 4P 50А 6кА х-ка C (DB)</t>
  </si>
  <si>
    <t>179750</t>
  </si>
  <si>
    <t>4P</t>
  </si>
  <si>
    <t>Клемма трёхуровневая (модель)</t>
  </si>
  <si>
    <t>NXB-125 3P C80</t>
  </si>
  <si>
    <t>Автоматический выключатель NXB-125 3P C80 10кА х-ка C</t>
  </si>
  <si>
    <t>Клемма проходная доп. (модель)</t>
  </si>
  <si>
    <t>Дифавтомат</t>
  </si>
  <si>
    <t>NB1L 1P+N C16 30мА</t>
  </si>
  <si>
    <t>Дифавтомат (АВДТ) NB1L 1P+N C16 30мА тип A 6кА</t>
  </si>
  <si>
    <t>2P</t>
  </si>
  <si>
    <t>Трёхуровневых на 4–5-жильную линию, если по коду не задано</t>
  </si>
  <si>
    <t>NB1L 1P+N C20 30мА</t>
  </si>
  <si>
    <t>Дифавтомат (АВДТ) NB1L 1P+N C20 30мА тип A 6кА</t>
  </si>
  <si>
    <t>NB1L 1P+N C32 30мА</t>
  </si>
  <si>
    <t>Дифавтомат (АВДТ) NB1L 1P+N C32 30мА тип A 6кА</t>
  </si>
  <si>
    <t>ПОРЯДОК РАЗДЕЛОВ СПЕЦИФИКАЦИИ (можно менять и дописывать)</t>
  </si>
  <si>
    <t>Аппарат</t>
  </si>
  <si>
    <t>Корпус</t>
  </si>
  <si>
    <t>КМ NCH8-63/40</t>
  </si>
  <si>
    <t>Контактор модульный NCH8-63/40 63А 4НО AC220/230В</t>
  </si>
  <si>
    <t>КМ NCH8-40/40</t>
  </si>
  <si>
    <t>Контактор модульный NCH8-40/40 40А 4НО AC220/230В</t>
  </si>
  <si>
    <t>NJVA1-100</t>
  </si>
  <si>
    <t>NZK1-32 2P</t>
  </si>
  <si>
    <t>Модульный переключатель NZK1-32 2P 32А 3 положения</t>
  </si>
  <si>
    <t>БП 24V 480W</t>
  </si>
  <si>
    <t>Блок питания ARV-DRP480-PFC-24 (24V, 20A, 480W)</t>
  </si>
  <si>
    <t>Шины</t>
  </si>
  <si>
    <t>БП 24V 75W</t>
  </si>
  <si>
    <t>БП 12V 135W</t>
  </si>
  <si>
    <t>Провод</t>
  </si>
  <si>
    <t>БП 12V 15W</t>
  </si>
  <si>
    <t>Универсальный источник питания KNX</t>
  </si>
  <si>
    <t>Актуатор клапанов отопления 230В</t>
  </si>
  <si>
    <t>Универсальный 4-канальный диммер 220V</t>
  </si>
  <si>
    <t>ЕСТЬ В ОДНОЛИНЕЙКЕ, НО НЕТ В КАТАЛОГЕ — добавьте строку:</t>
  </si>
  <si>
    <t>IN</t>
  </si>
  <si>
    <t>входы</t>
  </si>
  <si>
    <t>SMART-DALI-104</t>
  </si>
  <si>
    <t>диммер DALI</t>
  </si>
  <si>
    <t>Диммер SMART-DALI-104-62-ADDR-DIM-DT6-DIN White (12-24V, 4x5A)</t>
  </si>
  <si>
    <t>—</t>
  </si>
  <si>
    <t>Модель уточнить</t>
  </si>
  <si>
    <t>датчики</t>
  </si>
  <si>
    <t>Клемма трёхуровневая push-in, 6 точек, 2.5 кв.мм</t>
  </si>
  <si>
    <t>Клемма проходная push-in, 4 точки, 2.5 кв.мм, серая</t>
  </si>
  <si>
    <t>Клемма проходная push-in, 2 точки, 4 кв.мм, серая</t>
  </si>
  <si>
    <t>Клемма проходная push-in, 2 точки, 6 кв.мм, серая</t>
  </si>
  <si>
    <t>Клемма проходная push-in, 2 точки, 16 кв.мм, серая</t>
  </si>
  <si>
    <t>79467</t>
  </si>
  <si>
    <t>79444</t>
  </si>
  <si>
    <t>79452</t>
  </si>
  <si>
    <t>79473</t>
  </si>
  <si>
    <t>Расходные материалы (наконечни</t>
  </si>
  <si>
    <t>Кс (для Сил)</t>
  </si>
  <si>
    <t>Группа Кс (итог)</t>
  </si>
  <si>
    <t>ΔU от ВРУ, %</t>
  </si>
  <si>
    <t>К прокл. линии (пусто = общий)</t>
  </si>
  <si>
    <t>Iкз min в конце линии, А</t>
  </si>
  <si>
    <t>Iкз / In</t>
  </si>
  <si>
    <t>Zпетли в конце, Ом</t>
  </si>
  <si>
    <t>Iкз max в конце, кА</t>
  </si>
  <si>
    <t>Основной ввод в дом №1</t>
  </si>
  <si>
    <t>Ввод.1</t>
  </si>
  <si>
    <t>Основной ввод в дом №2</t>
  </si>
  <si>
    <t>Ввод.2</t>
  </si>
  <si>
    <t>Щит вентиляции ЩОВ-01 Цокольный этаж этаж Пом. №0.001Тб</t>
  </si>
  <si>
    <t>ЩОВ-01</t>
  </si>
  <si>
    <t>Щит вентиляции ЩОВ-001 Подвальный этаж этаж Пом. №00.006Т</t>
  </si>
  <si>
    <t>ЩОВ-001</t>
  </si>
  <si>
    <t>Щит вентиляции ЩОВ-002 Подвальный этаж этаж Пом. №00.003Т</t>
  </si>
  <si>
    <t>ЩОВ-002</t>
  </si>
  <si>
    <t>Щит вентиляции ЩОВ-2 Техэтаж этаж Пом. №3.001Т</t>
  </si>
  <si>
    <t>ЩОВ-2</t>
  </si>
  <si>
    <t>Щит распределительный ЩР-001 Подвальный этаж этаж Пом. №00.004Т</t>
  </si>
  <si>
    <t>ЩР-001</t>
  </si>
  <si>
    <t>Щит распределительный ЩР-01 Цокольный этаж этаж Пом. №0.001Т</t>
  </si>
  <si>
    <t>ЩР-01</t>
  </si>
  <si>
    <t>Щит распределительный ЩР-1 Первый этаж этаж Пом. №1.003Б</t>
  </si>
  <si>
    <t>ЩР-1</t>
  </si>
  <si>
    <t>Щит распределительный ЩР-2 Техэтаж этаж Пом. №3.001Т</t>
  </si>
  <si>
    <t>ЩР-2</t>
  </si>
  <si>
    <t>Щит бассейна ЩС-Б Подвальный этаж этаж Пом. №00.002Тб</t>
  </si>
  <si>
    <t>ЩС-Б</t>
  </si>
  <si>
    <t>Щит дренажных насосов ЩС-ВК.001 Подвальный этаж этаж Пом. 00.002Т</t>
  </si>
  <si>
    <t>ЩС-ВК.001</t>
  </si>
  <si>
    <t>Щит насосов ЩС-ВК.002 Подвальный этаж этаж Пом. №00.002Тб</t>
  </si>
  <si>
    <t>ЩС-ВК.002</t>
  </si>
  <si>
    <t>Щит насосов ЩС-ВК.003 Подвальный этаж этаж Пом. №00.006Т</t>
  </si>
  <si>
    <t>ЩС-ВК.003</t>
  </si>
  <si>
    <t>Щит управления обогрева воронок ЩУОВ Тех. этаж этаж Пом. №3.001</t>
  </si>
  <si>
    <t>ЩУОВ</t>
  </si>
  <si>
    <t>Щит профкухни ЩС-ПК Цокольный этаж этаж Пом. №0.0014Б</t>
  </si>
  <si>
    <t>ЩР-ПК</t>
  </si>
  <si>
    <t>Щит освещения ЩО-2 Тех. этаж этаж Пом. №3.001</t>
  </si>
  <si>
    <t>ЩО-2</t>
  </si>
  <si>
    <t>Щит Хаммам РЩ-1  Подвальный этаж этаж Пом. №00.001Тб</t>
  </si>
  <si>
    <t>РЩ-1</t>
  </si>
  <si>
    <t>Э.4</t>
  </si>
  <si>
    <t>SEC1-21</t>
  </si>
  <si>
    <t>Щит системы противопожарной защиты Цокольный этаж этаж Пом. №001Т Ввод.1</t>
  </si>
  <si>
    <t>ЩСПЗ-ЖД.1</t>
  </si>
  <si>
    <t>Щит системы противопожарной защиты Цокольный этаж этаж Пом. №001Т Ввод.2</t>
  </si>
  <si>
    <t>ЩСПЗ-ЖД.2</t>
  </si>
  <si>
    <t>ЩГП</t>
  </si>
  <si>
    <t>ГРЩ-ЖД</t>
  </si>
  <si>
    <t>Статус строки
(что проверить)</t>
  </si>
  <si>
    <t>тип автомата №</t>
  </si>
  <si>
    <t>аппарат 1 №</t>
  </si>
  <si>
    <t>аппарат 2 №</t>
  </si>
  <si>
    <t>аппарат 3 №</t>
  </si>
  <si>
    <t>кабель клеммы</t>
  </si>
  <si>
    <t>вид клеммы №</t>
  </si>
  <si>
    <t>модуль №</t>
  </si>
  <si>
    <t>модель №</t>
  </si>
  <si>
    <t>уровень</t>
  </si>
  <si>
    <t>№ линии</t>
  </si>
  <si>
    <t>3L клемм</t>
  </si>
  <si>
    <t>доп. проходных</t>
  </si>
  <si>
    <t>УГО (рус)</t>
  </si>
  <si>
    <t>кА</t>
  </si>
  <si>
    <t>кВА</t>
  </si>
  <si>
    <t>Кабелей параллельно</t>
  </si>
  <si>
    <t>Показатель</t>
  </si>
  <si>
    <t>cos φ</t>
  </si>
  <si>
    <t>ΔU питающей линии</t>
  </si>
  <si>
    <t>Iкз min (1ф) на шинах</t>
  </si>
  <si>
    <t>Iкз max (3ф) на шинах</t>
  </si>
  <si>
    <t>Руст, кВт</t>
  </si>
  <si>
    <t>Руст пост, кВт</t>
  </si>
  <si>
    <t>Iр, А</t>
  </si>
  <si>
    <t>≈ 1,5·ρ20</t>
  </si>
  <si>
    <t>Рр сил, кВт</t>
  </si>
  <si>
    <t>Секция</t>
  </si>
  <si>
    <t>Объект:</t>
  </si>
  <si>
    <t>II</t>
  </si>
  <si>
    <t>Режим:</t>
  </si>
  <si>
    <t>tg φ</t>
  </si>
  <si>
    <t>Категория</t>
  </si>
  <si>
    <t>Руст</t>
  </si>
  <si>
    <t>Рр</t>
  </si>
  <si>
    <t>Напряжение сети</t>
  </si>
  <si>
    <t>Система заземления</t>
  </si>
  <si>
    <t>TN-C-S</t>
  </si>
  <si>
    <t>Категория надёжности электроснабжения</t>
  </si>
  <si>
    <t>Установленная мощность Руст, кВт</t>
  </si>
  <si>
    <t>Расчётная мощность Рр, кВт / Sр, кВА / cos φ</t>
  </si>
  <si>
    <t>Расчётный ток Iр, А</t>
  </si>
  <si>
    <t>Компенсация реактивной мощности</t>
  </si>
  <si>
    <t>ПОДСЧЁТ ПО ЛИСТУ «ОДНОЛИНЕЙКА» (считается сам)</t>
  </si>
  <si>
    <t>Трёхуровн.</t>
  </si>
  <si>
    <t>Доп. проходных</t>
  </si>
  <si>
    <t>Автоматы и дифавтоматы (полюса, номинал, 30 мА)</t>
  </si>
  <si>
    <t xml:space="preserve">  всего автоматов</t>
  </si>
  <si>
    <t>Аппараты после автоматов (трансформаторы, БП, МК, КМ)</t>
  </si>
  <si>
    <t>Модули умного дома (по модели)</t>
  </si>
  <si>
    <t>Клеммы XT по кабелю линии (жилы × сечение)</t>
  </si>
  <si>
    <t xml:space="preserve">  всего клемм XT</t>
  </si>
  <si>
    <t>Клемма трёхуровневая (по настройке Каталога)</t>
  </si>
  <si>
    <t>Клемма проходная доп. (по настройке Каталога)</t>
  </si>
  <si>
    <t>Трёхуровневая = L/N/PE одной линии; у 5-жильных ещё 2 проходные на доп. жилы.</t>
  </si>
  <si>
    <t>Линий с необеспеченной категорией (v3.12)</t>
  </si>
  <si>
    <t>Ввод 1</t>
  </si>
  <si>
    <t>Тип шины</t>
  </si>
  <si>
    <t>Категория надёжности (ввод: I особая / I / II / III; пусто = III)</t>
  </si>
  <si>
    <t>Категория (итог)</t>
  </si>
  <si>
    <t>Пожарная (итог)</t>
  </si>
  <si>
    <t>Источник для режимов</t>
  </si>
  <si>
    <t>Категория обеспечена</t>
  </si>
  <si>
    <t>Категория: проверка</t>
  </si>
  <si>
    <t>Секция (1/2/3; пусто = 1)</t>
  </si>
  <si>
    <t>Пожарная</t>
  </si>
  <si>
    <t>Кс быт</t>
  </si>
  <si>
    <t>Рр, кВт</t>
  </si>
  <si>
    <t>Qр, квар</t>
  </si>
  <si>
    <t>Sр, кВА</t>
  </si>
  <si>
    <t>Ввод 2</t>
  </si>
  <si>
    <t>Ввод 3</t>
  </si>
  <si>
    <t>ИБП</t>
  </si>
  <si>
    <t>ДГУ</t>
  </si>
  <si>
    <t>Итого</t>
  </si>
  <si>
    <t>Не обеспечено, линий</t>
  </si>
  <si>
    <t>I особая</t>
  </si>
  <si>
    <t>I</t>
  </si>
  <si>
    <t>III</t>
  </si>
  <si>
    <t>Шина</t>
  </si>
  <si>
    <t>Допустимая загрузка ИБП</t>
  </si>
  <si>
    <t>Проверка</t>
  </si>
  <si>
    <t>мин</t>
  </si>
  <si>
    <t>КПД инвертора</t>
  </si>
  <si>
    <t>1. ТЕРМИНЫ</t>
  </si>
  <si>
    <t>Термин</t>
  </si>
  <si>
    <t>Место</t>
  </si>
  <si>
    <t>Группа</t>
  </si>
  <si>
    <t>Фидер</t>
  </si>
  <si>
    <t>2. ПРАВИЛА КНИГИ</t>
  </si>
  <si>
    <t>ВНИМАНИЕ: Перед массовой правкой сохраните копию книги. После макросов Ctrl+Z не работает.</t>
  </si>
  <si>
    <t>4. ПОРЯДОК РАБОТЫ (КРАТКО)</t>
  </si>
  <si>
    <t>4</t>
  </si>
  <si>
    <t>6</t>
  </si>
  <si>
    <t>7</t>
  </si>
  <si>
    <t>8</t>
  </si>
  <si>
    <t>5.1</t>
  </si>
  <si>
    <t>5.2</t>
  </si>
  <si>
    <t>5.3</t>
  </si>
  <si>
    <t>6.1</t>
  </si>
  <si>
    <t>6.2</t>
  </si>
  <si>
    <t>6.3</t>
  </si>
  <si>
    <t>6.4</t>
  </si>
  <si>
    <t>6.5</t>
  </si>
  <si>
    <t>7.1</t>
  </si>
  <si>
    <t>7.2</t>
  </si>
  <si>
    <t>7.3</t>
  </si>
  <si>
    <t>8.1</t>
  </si>
  <si>
    <t>8.2</t>
  </si>
  <si>
    <t>8.3</t>
  </si>
  <si>
    <t>8.4</t>
  </si>
  <si>
    <t>Что нужно</t>
  </si>
  <si>
    <t>Что ввести</t>
  </si>
  <si>
    <t>Линия со своим автоматом</t>
  </si>
  <si>
    <t>Несколько линий на одном автомате</t>
  </si>
  <si>
    <t>Вторая шина (ИБП, секция)</t>
  </si>
  <si>
    <t>10.1</t>
  </si>
  <si>
    <t>11.1</t>
  </si>
  <si>
    <t>11.2</t>
  </si>
  <si>
    <t>11.3</t>
  </si>
  <si>
    <t>12.1</t>
  </si>
  <si>
    <t>12.2</t>
  </si>
  <si>
    <t>Схема</t>
  </si>
  <si>
    <t>1 ввод, питающая линия пусто или III</t>
  </si>
  <si>
    <t>2–3 ввода без АВР</t>
  </si>
  <si>
    <t>2–3 ввода с АВР</t>
  </si>
  <si>
    <t>Режимы!C3</t>
  </si>
  <si>
    <t>13.1</t>
  </si>
  <si>
    <t>13.2</t>
  </si>
  <si>
    <t>13.3</t>
  </si>
  <si>
    <t>13.4</t>
  </si>
  <si>
    <t>14.1</t>
  </si>
  <si>
    <t>14.2</t>
  </si>
  <si>
    <t>14.3</t>
  </si>
  <si>
    <t>15.1</t>
  </si>
  <si>
    <t>15.2</t>
  </si>
  <si>
    <t>15.3</t>
  </si>
  <si>
    <t>Лист</t>
  </si>
  <si>
    <t>Режимы</t>
  </si>
  <si>
    <t>Расчёт_нагрузок</t>
  </si>
  <si>
    <t>Кабельный_журнал</t>
  </si>
  <si>
    <t>Бирки</t>
  </si>
  <si>
    <t>Каталог!A1</t>
  </si>
  <si>
    <t>ОСТОРОЖНО: «Обновить спецификацию» стирает «Спецификация» B4:J160. Ручные правки делайте в «Каталоге».</t>
  </si>
  <si>
    <t>Автомат больше допустимого тока кабеля. Увеличьте сечение или уменьшите автомат.</t>
  </si>
  <si>
    <t>ОБЪЕКТ: настройки</t>
  </si>
  <si>
    <t>Объект</t>
  </si>
  <si>
    <t>название и адрес</t>
  </si>
  <si>
    <t>ρ меди для Iкз min, Ом·мм²/м</t>
  </si>
  <si>
    <t>≈ 1,5·ρ20 (ГОСТ 28249 п. 2.4.2)</t>
  </si>
  <si>
    <t>ρ алюминия для Iкз min, Ом·мм²/м</t>
  </si>
  <si>
    <t>Переходные сопротивления на щит, Ом</t>
  </si>
  <si>
    <t>контакты и аппараты на каждый щит</t>
  </si>
  <si>
    <t>c_min для Iкз min</t>
  </si>
  <si>
    <t>МЭК 60909-0</t>
  </si>
  <si>
    <t>Методика расчёта</t>
  </si>
  <si>
    <t>v3.12</t>
  </si>
  <si>
    <t>v3.12 — как старая книга (для сверки); нормы 2026 — исправления по СП 256 с Изм. 9 (см. «Методика»)</t>
  </si>
  <si>
    <t>kп.к — региональный коэффициент</t>
  </si>
  <si>
    <t>СП 256 табл. 7.5а (ЦФО 0,81, СЗФО 0,91…); для частного дома по умолчанию 1</t>
  </si>
  <si>
    <t>Сеть (Uн), К прокладки, Кс быт, Ко — «Справочная» BP:BQ.</t>
  </si>
  <si>
    <t>Число силовых ЭП</t>
  </si>
  <si>
    <t>Кс (СП 256 табл. 7.5)</t>
  </si>
  <si>
    <t>КОДЫ ПОТРЕБИТЕЛЕЙ, УГО, ЭТАЖИ, КАБЕЛИ — новая строка дописывается сразу под таблицей, таблица растёт сама</t>
  </si>
  <si>
    <t>Код</t>
  </si>
  <si>
    <t>Опуск, м</t>
  </si>
  <si>
    <t>Пуск: 1 нет/2 двигатель/3 свет</t>
  </si>
  <si>
    <t>Жил</t>
  </si>
  <si>
    <t>Фаз</t>
  </si>
  <si>
    <t>Вид нагрузки</t>
  </si>
  <si>
    <t>Вводной кабель</t>
  </si>
  <si>
    <t>Осветительная группа</t>
  </si>
  <si>
    <t>Вытяжная установка</t>
  </si>
  <si>
    <t>Привод штор</t>
  </si>
  <si>
    <t>Внутренний блок кондиционирования</t>
  </si>
  <si>
    <t>Выключатель кнопочный/сухой контакт</t>
  </si>
  <si>
    <t>Точка заземления</t>
  </si>
  <si>
    <t>LED-подсветка</t>
  </si>
  <si>
    <t>FR</t>
  </si>
  <si>
    <t>Фасадные розетки</t>
  </si>
  <si>
    <t>FL</t>
  </si>
  <si>
    <t>Фасадное освещение</t>
  </si>
  <si>
    <t>LT</t>
  </si>
  <si>
    <t>Трековое освещение</t>
  </si>
  <si>
    <t>Шина DALI</t>
  </si>
  <si>
    <t>ЭОК</t>
  </si>
  <si>
    <t>Электрообогрев кровли и водостоков</t>
  </si>
  <si>
    <t>V</t>
  </si>
  <si>
    <t>П</t>
  </si>
  <si>
    <t>НБ</t>
  </si>
  <si>
    <t>Наружный блок кондиционирования</t>
  </si>
  <si>
    <t>У</t>
  </si>
  <si>
    <t>КЛ</t>
  </si>
  <si>
    <t>Привод клапана вентиляции</t>
  </si>
  <si>
    <t>FLD</t>
  </si>
  <si>
    <t>Фасадная подсветка</t>
  </si>
  <si>
    <t>Кабель от ВРУ</t>
  </si>
  <si>
    <t>ТЕ-О</t>
  </si>
  <si>
    <t>Сервопривод отопления</t>
  </si>
  <si>
    <t>ТЕ-П</t>
  </si>
  <si>
    <t>Сервопривод тёплого пола</t>
  </si>
  <si>
    <t>Кран с электроприводом</t>
  </si>
  <si>
    <t>ЩС-Х</t>
  </si>
  <si>
    <t>Щит хаммама</t>
  </si>
  <si>
    <t>ЩС-РП</t>
  </si>
  <si>
    <t>Щит русской парной</t>
  </si>
  <si>
    <t>ЩС-ФС</t>
  </si>
  <si>
    <t>Щит финской сауны</t>
  </si>
  <si>
    <t>ЩС-КС</t>
  </si>
  <si>
    <t>Щит криосауны</t>
  </si>
  <si>
    <t>ЩС-КЗ</t>
  </si>
  <si>
    <t>Щит кинотеатра</t>
  </si>
  <si>
    <t>ЩС-К</t>
  </si>
  <si>
    <t>Щит проф.кухни</t>
  </si>
  <si>
    <t>ЩС-П</t>
  </si>
  <si>
    <t>Щит прачечной</t>
  </si>
  <si>
    <t>РМ</t>
  </si>
  <si>
    <t>Контакты реле РМ в щите ЩОПС</t>
  </si>
  <si>
    <t>KNX</t>
  </si>
  <si>
    <t>Шина оборудования KNX</t>
  </si>
  <si>
    <t>EIB</t>
  </si>
  <si>
    <t>Шина датчиков присутствия KNX</t>
  </si>
  <si>
    <t>Н</t>
  </si>
  <si>
    <t>Насос в ИТП</t>
  </si>
  <si>
    <t>СПД</t>
  </si>
  <si>
    <t>Станция повышения давления</t>
  </si>
  <si>
    <t>CR</t>
  </si>
  <si>
    <t>Управляемая розетка</t>
  </si>
  <si>
    <t>ШТК-ЛВС</t>
  </si>
  <si>
    <t>Шкаф телекоммуникационный ЛВС</t>
  </si>
  <si>
    <t>ШТК-СОТ</t>
  </si>
  <si>
    <t>Шкаф телекоммуникационный СОТ</t>
  </si>
  <si>
    <t>ШТК-РУМ</t>
  </si>
  <si>
    <t>Шкаф телекоммуникационный РУМ</t>
  </si>
  <si>
    <t>ЩКД</t>
  </si>
  <si>
    <t>Щит контроля доступа</t>
  </si>
  <si>
    <t>ЩС</t>
  </si>
  <si>
    <t>Щит силовой</t>
  </si>
  <si>
    <t>ЩКД-01</t>
  </si>
  <si>
    <t>Щит контроля доступа первого этажа</t>
  </si>
  <si>
    <t>НВК</t>
  </si>
  <si>
    <t>Насос дренажный</t>
  </si>
  <si>
    <t>Э</t>
  </si>
  <si>
    <t>Управляющий электрощит бассейна</t>
  </si>
  <si>
    <t>РЕ</t>
  </si>
  <si>
    <t>ЩС-ГМ</t>
  </si>
  <si>
    <t>Щит гидромассажной ванны</t>
  </si>
  <si>
    <t>ЩС-ГК</t>
  </si>
  <si>
    <t>Щит горячей купели</t>
  </si>
  <si>
    <t>ЩС-ХК</t>
  </si>
  <si>
    <t>Щит холодной купели</t>
  </si>
  <si>
    <t>Щит бассейна</t>
  </si>
  <si>
    <t>ЩКД.001</t>
  </si>
  <si>
    <t>ЩР</t>
  </si>
  <si>
    <t>Щит распределительный</t>
  </si>
  <si>
    <t>БКН</t>
  </si>
  <si>
    <t>Бойлер косвенного нагрева</t>
  </si>
  <si>
    <t>ЖУ</t>
  </si>
  <si>
    <t>Жироулавливатель</t>
  </si>
  <si>
    <t>ЩБП</t>
  </si>
  <si>
    <t>Щит с блоками питания подсветок</t>
  </si>
  <si>
    <t>ЩПК</t>
  </si>
  <si>
    <t>Щит профессиональной кухни</t>
  </si>
  <si>
    <t>ШТК</t>
  </si>
  <si>
    <t>Шкаф телекоммуникационный</t>
  </si>
  <si>
    <t>На СТБ</t>
  </si>
  <si>
    <t>Кабель на стабилизатор</t>
  </si>
  <si>
    <t>От СТБ</t>
  </si>
  <si>
    <t>Кабель от стабилизатора</t>
  </si>
  <si>
    <t>П2</t>
  </si>
  <si>
    <t>Парогенератор</t>
  </si>
  <si>
    <t>П1/В1</t>
  </si>
  <si>
    <t>Вентустановка</t>
  </si>
  <si>
    <t>П2/В2</t>
  </si>
  <si>
    <t>П3/В3</t>
  </si>
  <si>
    <t>FCP21</t>
  </si>
  <si>
    <t>шкаф пожарной сигнализации</t>
  </si>
  <si>
    <t>ENC211</t>
  </si>
  <si>
    <t>шкаф системы оповещения и управления эвакуацией</t>
  </si>
  <si>
    <t>Вводной кабель №2</t>
  </si>
  <si>
    <t>Вводной кабель №1</t>
  </si>
  <si>
    <t>Код (УГО)</t>
  </si>
  <si>
    <t>Дифзащита, мА (да = 30)</t>
  </si>
  <si>
    <t>3L клемм на линию</t>
  </si>
  <si>
    <t>Название этажа</t>
  </si>
  <si>
    <t>Подъём, м</t>
  </si>
  <si>
    <t>По другим этажам, м</t>
  </si>
  <si>
    <t>Первый этаж</t>
  </si>
  <si>
    <t>Второй этаж</t>
  </si>
  <si>
    <t>00</t>
  </si>
  <si>
    <t>Подвальный этаж</t>
  </si>
  <si>
    <t>Кровля</t>
  </si>
  <si>
    <t>Обозначение</t>
  </si>
  <si>
    <t>Сечение в марке (1 да / 2 нет)</t>
  </si>
  <si>
    <t>5ВВГнг(А)-LS</t>
  </si>
  <si>
    <t>Питается от</t>
  </si>
  <si>
    <t>Вводов</t>
  </si>
  <si>
    <t>АВР</t>
  </si>
  <si>
    <t>ИБП от</t>
  </si>
  <si>
    <t>Мест под вводной узел</t>
  </si>
  <si>
    <t>Питание: от (ТП / сеть)</t>
  </si>
  <si>
    <t>ΔU до питающего, %</t>
  </si>
  <si>
    <t>Iкз min от сети, А</t>
  </si>
  <si>
    <t>Iкз max от сети, кА</t>
  </si>
  <si>
    <t>Sтр, кВА</t>
  </si>
  <si>
    <t>Схема тр-ра</t>
  </si>
  <si>
    <t>Питающий кабель: S, мм²</t>
  </si>
  <si>
    <t>Материал</t>
  </si>
  <si>
    <t>In питающего аппарата, А</t>
  </si>
  <si>
    <t>Хар-ка аппарата</t>
  </si>
  <si>
    <t>Кат. питающей линии (ручн.)</t>
  </si>
  <si>
    <t>Питается от (итог)</t>
  </si>
  <si>
    <t>Замечания щита</t>
  </si>
  <si>
    <t>Линия фидера</t>
  </si>
  <si>
    <t>ΔU до шин, %</t>
  </si>
  <si>
    <t>Iкз min на шинах, А</t>
  </si>
  <si>
    <t>Iкз max на шинах, кА</t>
  </si>
  <si>
    <t>Категория шины «Ввод»</t>
  </si>
  <si>
    <t>Путь</t>
  </si>
  <si>
    <t>Корень</t>
  </si>
  <si>
    <t>Уровень</t>
  </si>
  <si>
    <t>_строка фидера</t>
  </si>
  <si>
    <t>_Руст собств</t>
  </si>
  <si>
    <t>_быт собств</t>
  </si>
  <si>
    <t>_сил собств</t>
  </si>
  <si>
    <t>_пост собств</t>
  </si>
  <si>
    <t>_P собств</t>
  </si>
  <si>
    <t>_Pcos собств</t>
  </si>
  <si>
    <t>_отоп собств</t>
  </si>
  <si>
    <t>_внг собств</t>
  </si>
  <si>
    <t>Р отопления, кВт</t>
  </si>
  <si>
    <t>Рр ВНГ, кВт</t>
  </si>
  <si>
    <t>_n силовых</t>
  </si>
  <si>
    <t>Кс силовых (табл. 7.5)</t>
  </si>
  <si>
    <t>Ко</t>
  </si>
  <si>
    <t>Кс итог</t>
  </si>
  <si>
    <t>P L1, кВт</t>
  </si>
  <si>
    <t>P L2, кВт</t>
  </si>
  <si>
    <t>P L3, кВт</t>
  </si>
  <si>
    <t>_ΔU фидера</t>
  </si>
  <si>
    <t>_ΔU пит. линии</t>
  </si>
  <si>
    <t>_ΔU источника</t>
  </si>
  <si>
    <t>_петля пит. кабеля</t>
  </si>
  <si>
    <t>_Zсети</t>
  </si>
  <si>
    <t>_Zисточника</t>
  </si>
  <si>
    <t>_Zфидера</t>
  </si>
  <si>
    <t>Zпетли на шинах, Ом</t>
  </si>
  <si>
    <t>_Zmax сети</t>
  </si>
  <si>
    <t>_Zmax источника</t>
  </si>
  <si>
    <t>_Zmax фидера</t>
  </si>
  <si>
    <t>Zmax на шинах, Ом</t>
  </si>
  <si>
    <t>_ранг собств</t>
  </si>
  <si>
    <t>Высшая категория нагрузки</t>
  </si>
  <si>
    <t>Категория фидера</t>
  </si>
  <si>
    <t>Iпуск max, А</t>
  </si>
  <si>
    <t>Источник фидера</t>
  </si>
  <si>
    <t>Пожарный фидер</t>
  </si>
  <si>
    <t>ЩО-001</t>
  </si>
  <si>
    <t>ЩСПЗ-ЖД</t>
  </si>
  <si>
    <t>ШИНЫ: тип шины вручную. Без строки здесь — по имени (ИБП / ДГУ) или по секции линии (Ввод 1 / 2 / 3).</t>
  </si>
  <si>
    <t>Тип</t>
  </si>
  <si>
    <t>№ места</t>
  </si>
  <si>
    <t>Лист / место</t>
  </si>
  <si>
    <t>Питает щит</t>
  </si>
  <si>
    <t>Группа Кс (Быт/Сил/Пост/Отоп/ВНГ/Нет; пусто = по коду)</t>
  </si>
  <si>
    <t>cos φ (ручн.)</t>
  </si>
  <si>
    <t>Фаза (ручная)</t>
  </si>
  <si>
    <t>Вид нагрузки (пусто = по коду)</t>
  </si>
  <si>
    <t>Пожарная (ввод: да / нет; пусто = по коду)</t>
  </si>
  <si>
    <t>Автомат «авто» или текст</t>
  </si>
  <si>
    <t>Дифзащита, мА</t>
  </si>
  <si>
    <t>Аппарат 1</t>
  </si>
  <si>
    <t>Режим</t>
  </si>
  <si>
    <t>Замечания</t>
  </si>
  <si>
    <t>_n</t>
  </si>
  <si>
    <t>_часть1</t>
  </si>
  <si>
    <t>_часть2</t>
  </si>
  <si>
    <t>Наименование по коду</t>
  </si>
  <si>
    <t>Наименование (итог)</t>
  </si>
  <si>
    <t>_фидер</t>
  </si>
  <si>
    <t>_№ щита</t>
  </si>
  <si>
    <t>_мест узла</t>
  </si>
  <si>
    <t>_№ места (итог)</t>
  </si>
  <si>
    <t>_зона</t>
  </si>
  <si>
    <t>U, В</t>
  </si>
  <si>
    <t>Марка (итог)</t>
  </si>
  <si>
    <t>Сечение задано</t>
  </si>
  <si>
    <t>_тип пуска</t>
  </si>
  <si>
    <t>_k жил</t>
  </si>
  <si>
    <t>_К прокл</t>
  </si>
  <si>
    <t>_столбец Iдоп</t>
  </si>
  <si>
    <t>_ρ</t>
  </si>
  <si>
    <t>_x</t>
  </si>
  <si>
    <t>_Lплан</t>
  </si>
  <si>
    <t>_гофра ПВХ</t>
  </si>
  <si>
    <t>_гофра ПНД</t>
  </si>
  <si>
    <t>_b</t>
  </si>
  <si>
    <t>_sin</t>
  </si>
  <si>
    <t>_ΔU, В</t>
  </si>
  <si>
    <t>ΔU, %</t>
  </si>
  <si>
    <t>Допустимо ΔU, %</t>
  </si>
  <si>
    <t>_кабель</t>
  </si>
  <si>
    <t>_кабель с сечением</t>
  </si>
  <si>
    <t>_Zкабеля</t>
  </si>
  <si>
    <t>_Zmax кабеля</t>
  </si>
  <si>
    <t>_Руст (без Нет)</t>
  </si>
  <si>
    <t>_Руст быт</t>
  </si>
  <si>
    <t>_Рр сил</t>
  </si>
  <si>
    <t>_Руст пост</t>
  </si>
  <si>
    <t>_Р отопления</t>
  </si>
  <si>
    <t>_Рр ВНГ</t>
  </si>
  <si>
    <t>_P для cos</t>
  </si>
  <si>
    <t>_P·cos</t>
  </si>
  <si>
    <t>_фаза №</t>
  </si>
  <si>
    <t>_фаза авто</t>
  </si>
  <si>
    <t>_Iпуск двиг.</t>
  </si>
  <si>
    <t>_Iпуск LED</t>
  </si>
  <si>
    <t>Iпуск, А</t>
  </si>
  <si>
    <t>_шина группы</t>
  </si>
  <si>
    <t>Шина (итог)</t>
  </si>
  <si>
    <t>_секция №</t>
  </si>
  <si>
    <t>_ранг категории</t>
  </si>
  <si>
    <t>_ранг для фидера</t>
  </si>
  <si>
    <t>_путь щита</t>
  </si>
  <si>
    <t>Вид нагрузки (итог)</t>
  </si>
  <si>
    <t>Лист схемы</t>
  </si>
  <si>
    <t>Кабель (строкой)</t>
  </si>
  <si>
    <t>_Р схемы</t>
  </si>
  <si>
    <t>_Ток схемы</t>
  </si>
  <si>
    <t>_фаз</t>
  </si>
  <si>
    <t>_дифзащита по коду, мА</t>
  </si>
  <si>
    <t>_в кабель выше</t>
  </si>
  <si>
    <t>_гр.</t>
  </si>
  <si>
    <t>_гр. (перенос)</t>
  </si>
  <si>
    <t>_мин. по типу</t>
  </si>
  <si>
    <t>_макс. автомат по кабелю</t>
  </si>
  <si>
    <t>_ток группы</t>
  </si>
  <si>
    <t>_номинал по току</t>
  </si>
  <si>
    <t>_по току</t>
  </si>
  <si>
    <t>_мин. по кабелям</t>
  </si>
  <si>
    <t>_фаз гр.</t>
  </si>
  <si>
    <t>Дифзащита группы, мА</t>
  </si>
  <si>
    <t>_дифзащита гр. (0/1)</t>
  </si>
  <si>
    <t>_QF нач.</t>
  </si>
  <si>
    <t>_QF гр.</t>
  </si>
  <si>
    <t>_аппараты гр.</t>
  </si>
  <si>
    <t>_БП/тр-р</t>
  </si>
  <si>
    <t>_номинал</t>
  </si>
  <si>
    <t>_полюса</t>
  </si>
  <si>
    <t>Автомат (схема)</t>
  </si>
  <si>
    <t>_номинал итог</t>
  </si>
  <si>
    <t>_префикс</t>
  </si>
  <si>
    <t>_модуль нач.</t>
  </si>
  <si>
    <t>_модуль гр.</t>
  </si>
  <si>
    <t>_модель гр.</t>
  </si>
  <si>
    <t>Канал (итог)</t>
  </si>
  <si>
    <t>_посл. канал</t>
  </si>
  <si>
    <t>_клемма</t>
  </si>
  <si>
    <t>Клемма (итог)</t>
  </si>
  <si>
    <t>_Модуль (схема)</t>
  </si>
  <si>
    <t>Проверка автомата</t>
  </si>
  <si>
    <t>Проверка канала</t>
  </si>
  <si>
    <t>_In гр.</t>
  </si>
  <si>
    <t>_автомат гр.</t>
  </si>
  <si>
    <t>_дифзащита гр. (строки)</t>
  </si>
  <si>
    <t>_мА гр. (строки)</t>
  </si>
  <si>
    <t>_кратность</t>
  </si>
  <si>
    <t>Отключение ≤ 0,4 с</t>
  </si>
  <si>
    <t>Статус</t>
  </si>
  <si>
    <t>Icu автомата, кА</t>
  </si>
  <si>
    <t>Проверка Icu</t>
  </si>
  <si>
    <t>_цепь для бирок</t>
  </si>
  <si>
    <t>_цепь с кабелем</t>
  </si>
  <si>
    <t>_бирка 1</t>
  </si>
  <si>
    <t>_бирка 1 линия</t>
  </si>
  <si>
    <t>_бирка 2</t>
  </si>
  <si>
    <t>_бирка 2 линия</t>
  </si>
  <si>
    <t>_бирка 3</t>
  </si>
  <si>
    <t>_бирка 3 линия</t>
  </si>
  <si>
    <t>_бирка 4</t>
  </si>
  <si>
    <t>_бирка 4 линия</t>
  </si>
  <si>
    <t>_бирка 5</t>
  </si>
  <si>
    <t>_бирка 5 линия</t>
  </si>
  <si>
    <t>_бирка 6</t>
  </si>
  <si>
    <t>_бирка 6 линия</t>
  </si>
  <si>
    <t>_модель (схема)</t>
  </si>
  <si>
    <t>_цепь</t>
  </si>
  <si>
    <t>_draw</t>
  </si>
  <si>
    <t>_bus2</t>
  </si>
  <si>
    <t>_rcd</t>
  </si>
  <si>
    <t>_chtype</t>
  </si>
  <si>
    <t>_dev1</t>
  </si>
  <si>
    <t>_dev2</t>
  </si>
  <si>
    <t>_dev3</t>
  </si>
  <si>
    <t>_УГО (рус)</t>
  </si>
  <si>
    <t>_sym</t>
  </si>
  <si>
    <t>_hasline</t>
  </si>
  <si>
    <t>_тип автомата №</t>
  </si>
  <si>
    <t>_аппарат 1 №</t>
  </si>
  <si>
    <t>_аппарат 2 №</t>
  </si>
  <si>
    <t>_аппарат 3 №</t>
  </si>
  <si>
    <t>_кабель клеммы</t>
  </si>
  <si>
    <t>_вид клеммы №</t>
  </si>
  <si>
    <t>_модуль №</t>
  </si>
  <si>
    <t>_модель №</t>
  </si>
  <si>
    <t>_уровень</t>
  </si>
  <si>
    <t>_№ линии</t>
  </si>
  <si>
    <t>_3L клемм</t>
  </si>
  <si>
    <t>_доп. проходных</t>
  </si>
  <si>
    <t>1,2,3</t>
  </si>
  <si>
    <t>Флоатинг. Цокольный этаж этаж Пом. №023A</t>
  </si>
  <si>
    <t>Щит охранной сигнализации Подвальный этаж этаж Пом. №007Т</t>
  </si>
  <si>
    <t>вручную</t>
  </si>
  <si>
    <t>Щит освещения ЩО-2 Подвальный этаж этаж Пом. №3.001</t>
  </si>
  <si>
    <t>ЩО-01</t>
  </si>
  <si>
    <t>Щит освещения ЩО-2 Цокольный этаж этаж Пом. №001Т</t>
  </si>
  <si>
    <t>L.00.001T.1</t>
  </si>
  <si>
    <t>L.00.001Б.2</t>
  </si>
  <si>
    <t>L.00.001Б.3</t>
  </si>
  <si>
    <t>L.00.001Т.1</t>
  </si>
  <si>
    <t>L.00.002Б.1</t>
  </si>
  <si>
    <t>L.00.002Т.1</t>
  </si>
  <si>
    <t>L.00.003Б.1</t>
  </si>
  <si>
    <t>L.00.003Tб.1</t>
  </si>
  <si>
    <t>L.00.004Б.1</t>
  </si>
  <si>
    <t>L.00.004Т.1</t>
  </si>
  <si>
    <t>L.00.005Б.1</t>
  </si>
  <si>
    <t>L.00.005Т.1</t>
  </si>
  <si>
    <t>L.00.006Б.1</t>
  </si>
  <si>
    <t>L.00.006Т.1</t>
  </si>
  <si>
    <t>L.00.007Б.1</t>
  </si>
  <si>
    <t>L.00.007Т.1</t>
  </si>
  <si>
    <t>L.00.008T.1</t>
  </si>
  <si>
    <t>L.00.009Б.1</t>
  </si>
  <si>
    <t>L.00.008Б.1</t>
  </si>
  <si>
    <t>L.00.010Б.1</t>
  </si>
  <si>
    <t>L.00.003T.1</t>
  </si>
  <si>
    <t>В.3</t>
  </si>
  <si>
    <t>Вытяжная установка Пом №006T</t>
  </si>
  <si>
    <t>В.9</t>
  </si>
  <si>
    <t>В.11</t>
  </si>
  <si>
    <t>Вытяжная установка Подвальный этаж Пом №006T</t>
  </si>
  <si>
    <t>В.12</t>
  </si>
  <si>
    <t>В.13</t>
  </si>
  <si>
    <t>В.17</t>
  </si>
  <si>
    <t>В.18</t>
  </si>
  <si>
    <t>П.1</t>
  </si>
  <si>
    <t>Приточная установка Пом №006Т</t>
  </si>
  <si>
    <t>П.2</t>
  </si>
  <si>
    <t>П.4</t>
  </si>
  <si>
    <t>ПВ.2</t>
  </si>
  <si>
    <t>Приточно-вытяжная установка Подвальный этаж Пом. №006Т</t>
  </si>
  <si>
    <t>ПВ.3</t>
  </si>
  <si>
    <t>ПВ.4</t>
  </si>
  <si>
    <t>К.1.017А.1</t>
  </si>
  <si>
    <t>Внутренний блок кондиционера Подвальный этаж Пом. №006Т</t>
  </si>
  <si>
    <t>К.1.021А.1</t>
  </si>
  <si>
    <t>K.1</t>
  </si>
  <si>
    <t>Внешний блок кондиционирования Пом. Венткиосок</t>
  </si>
  <si>
    <t>K.2</t>
  </si>
  <si>
    <t>K.3</t>
  </si>
  <si>
    <t>K.4</t>
  </si>
  <si>
    <t>K.5</t>
  </si>
  <si>
    <t>K.6</t>
  </si>
  <si>
    <t>K.7</t>
  </si>
  <si>
    <t>K.8</t>
  </si>
  <si>
    <t>K.9</t>
  </si>
  <si>
    <t>K.10</t>
  </si>
  <si>
    <t>K.11</t>
  </si>
  <si>
    <t>ККБ-1</t>
  </si>
  <si>
    <t>ККБ-2</t>
  </si>
  <si>
    <t>НБ-1</t>
  </si>
  <si>
    <t>ККБ-3</t>
  </si>
  <si>
    <t>ККБ-4</t>
  </si>
  <si>
    <t>НБ-2</t>
  </si>
  <si>
    <t>НБ-3</t>
  </si>
  <si>
    <t>НБ-4</t>
  </si>
  <si>
    <t>В.7</t>
  </si>
  <si>
    <t>Вытяжная установка Шлейф Подвальный этаж Пом. №003Т</t>
  </si>
  <si>
    <t>ПВ.1</t>
  </si>
  <si>
    <t>Приточно-вытяжная установка Подвальный этаж Пом. №003Т</t>
  </si>
  <si>
    <t>ПВ.К</t>
  </si>
  <si>
    <t>ПВ.10</t>
  </si>
  <si>
    <t>Приточно-вытяжная установка Подвальный этаж Пом. №005Т</t>
  </si>
  <si>
    <t>K.0.002A</t>
  </si>
  <si>
    <t>Внутренний блок кондиционирования Подвальный этаж Пом. №005Т</t>
  </si>
  <si>
    <t>K.0.006A</t>
  </si>
  <si>
    <t>K.00.001A</t>
  </si>
  <si>
    <t>K.00.004A</t>
  </si>
  <si>
    <t>Внутренний блок кондиционирования Подвальный этаж Пом. №002Б</t>
  </si>
  <si>
    <t>K.00.004T.1</t>
  </si>
  <si>
    <t>Внутренний блок кондиционирования Подвальный этаж Пом. №004Т</t>
  </si>
  <si>
    <t>K.00.004T.2</t>
  </si>
  <si>
    <t>K.00.007A</t>
  </si>
  <si>
    <t>K.00.007T.1</t>
  </si>
  <si>
    <t>Внутренний блок кондиционирования Подвальный этаж Пом. №007Т</t>
  </si>
  <si>
    <t>K.00.007T.2</t>
  </si>
  <si>
    <t>П.6</t>
  </si>
  <si>
    <t>Приточная установка Цокольный этаж Пом №001Тб</t>
  </si>
  <si>
    <t>ПВ.6</t>
  </si>
  <si>
    <t>Приточно-вытяжная установка цокольный этаж Пом №001Тб</t>
  </si>
  <si>
    <t>ПВ.9</t>
  </si>
  <si>
    <t>В.2</t>
  </si>
  <si>
    <t>Вытяжная установка Пом. №003Б</t>
  </si>
  <si>
    <t>В.10</t>
  </si>
  <si>
    <t>Вытяжная установка Пом. №019Б</t>
  </si>
  <si>
    <t>В.24</t>
  </si>
  <si>
    <t>Внутренний блок кондиционирования подвальный этаж Пом. №0001Тб</t>
  </si>
  <si>
    <t>В.25</t>
  </si>
  <si>
    <t>Внутренний блок кондиционирования подвальный этаж Пом. №01Тб</t>
  </si>
  <si>
    <t>K.0.001T.1</t>
  </si>
  <si>
    <t>Внутренний блок кондиционирования цокольный этаж Пом. №001Т</t>
  </si>
  <si>
    <t>K.0.001T.2</t>
  </si>
  <si>
    <t>K.0.002T.1</t>
  </si>
  <si>
    <t>Внутренний блок кондиционирования цокольный этаж Пом. №002Т</t>
  </si>
  <si>
    <t>K.0.002T.2</t>
  </si>
  <si>
    <t>K.0.004A-K.0.005A</t>
  </si>
  <si>
    <t>Внутренний блок кондиционирования цокольный этаж Пом. №013.1Б</t>
  </si>
  <si>
    <t>K.0.005Б.1</t>
  </si>
  <si>
    <t>Внутренний блок кондиционирования цокольный этаж Пом. №005Б</t>
  </si>
  <si>
    <t>K.0.005Б.2</t>
  </si>
  <si>
    <t>Внутренний блок кондиционирования цокольный этаж Пом. №014Б</t>
  </si>
  <si>
    <t>K.0.008A</t>
  </si>
  <si>
    <t>K.0.012Б</t>
  </si>
  <si>
    <t>Внутренний блок кондиционирования цокольный этаж Пом. №012Б</t>
  </si>
  <si>
    <t>K.1.002AБ.1</t>
  </si>
  <si>
    <t>Внутренний блок кондиционирования подвальный этаж Пом. №001Т</t>
  </si>
  <si>
    <t>K.1.002AБ.2</t>
  </si>
  <si>
    <t>K.1.006A</t>
  </si>
  <si>
    <t>K.1.002Б</t>
  </si>
  <si>
    <t>Внутренний блок кондиционирования первый этаж Пом. №002Б</t>
  </si>
  <si>
    <t>K.1.007A</t>
  </si>
  <si>
    <t>Внутренний блок кондиционирования первый этаж Пом. №003Б</t>
  </si>
  <si>
    <t>K.1.010A</t>
  </si>
  <si>
    <t>K.1.011A</t>
  </si>
  <si>
    <t>K.1.014A</t>
  </si>
  <si>
    <t>K.1.015A</t>
  </si>
  <si>
    <t>K.0.009А.1</t>
  </si>
  <si>
    <t>Внутренний блок кондиционирования цокольный этаж Пом. №0.002Т</t>
  </si>
  <si>
    <t>K.1.001A.1</t>
  </si>
  <si>
    <t>Внутренний блок кондиционирования Технический этаж Пом. №001Т</t>
  </si>
  <si>
    <t>K.1.001A.2</t>
  </si>
  <si>
    <t>K.1.003A</t>
  </si>
  <si>
    <t>Внутренний блок кондиционирования Технический этаж Пом. №002Т</t>
  </si>
  <si>
    <t>K.1.005A</t>
  </si>
  <si>
    <t>K.2.004A</t>
  </si>
  <si>
    <t>K.2.005A</t>
  </si>
  <si>
    <t>K.2.008A</t>
  </si>
  <si>
    <t>K.2.009A</t>
  </si>
  <si>
    <t>K.2.014A</t>
  </si>
  <si>
    <t>K.2.016A</t>
  </si>
  <si>
    <t>Внутренний блок кондиционирования Технический этаж Пом. №001Б</t>
  </si>
  <si>
    <t>K.2.019A</t>
  </si>
  <si>
    <t>Внутренний блок кондиционирования Технический этаж Пом. №003Т</t>
  </si>
  <si>
    <t>K.3.002Б</t>
  </si>
  <si>
    <t>K.3.004T.1</t>
  </si>
  <si>
    <t>Внутренний блок кондиционирования Технический этаж Пом. №004Т</t>
  </si>
  <si>
    <t>K.3.004T.2</t>
  </si>
  <si>
    <t>В.1</t>
  </si>
  <si>
    <t>Вытяжная установка Технический этаж Пом. №001Т</t>
  </si>
  <si>
    <t>В.22</t>
  </si>
  <si>
    <t>В.23</t>
  </si>
  <si>
    <t>В.8</t>
  </si>
  <si>
    <t>П.3</t>
  </si>
  <si>
    <t>Приточная установка Технический этаж Пом. №001Т</t>
  </si>
  <si>
    <t>П.5</t>
  </si>
  <si>
    <t>ПВ.5</t>
  </si>
  <si>
    <t>Приточно-вытяжная установка Технический этаж Пом. №001Т</t>
  </si>
  <si>
    <t>ПВ.7</t>
  </si>
  <si>
    <t>ПВ.8</t>
  </si>
  <si>
    <t>R.00.001Б.1</t>
  </si>
  <si>
    <t>R.00.003Т.1</t>
  </si>
  <si>
    <t>R.00.004Т.1</t>
  </si>
  <si>
    <t>R.00.001Тб.1</t>
  </si>
  <si>
    <t>R.00.001Б.2</t>
  </si>
  <si>
    <t>R.00.005Т.1</t>
  </si>
  <si>
    <t>R.00.002Т.1</t>
  </si>
  <si>
    <t>R.00.001А.1</t>
  </si>
  <si>
    <t>R.00.005А.1</t>
  </si>
  <si>
    <t>R.00.004А.1</t>
  </si>
  <si>
    <t>R.00.001А.2</t>
  </si>
  <si>
    <t>R.00.002.1А.1</t>
  </si>
  <si>
    <t>R.00.006T.1</t>
  </si>
  <si>
    <t>R.00.007Т.1</t>
  </si>
  <si>
    <t>R.00.008T.1</t>
  </si>
  <si>
    <t>R.00.002Tб.1</t>
  </si>
  <si>
    <t>R.00.007Б.1</t>
  </si>
  <si>
    <t>R.00.004Б.1</t>
  </si>
  <si>
    <t>R.00.005Б.1</t>
  </si>
  <si>
    <t>R.00.009Б.1</t>
  </si>
  <si>
    <t>R.00.006Б.1</t>
  </si>
  <si>
    <t>R.00.007А.1</t>
  </si>
  <si>
    <t>R.00.008А.1</t>
  </si>
  <si>
    <t>R.00.002Б.1</t>
  </si>
  <si>
    <t>ШТК-0</t>
  </si>
  <si>
    <t>Шкаф телекоммуникационный ШТК-0 Подвальный этаж Пом. №007Т</t>
  </si>
  <si>
    <t>ШТК-ЛВС.00</t>
  </si>
  <si>
    <t>Шкаф телекоммуникационный ШТК-ЛВС.00  Подвальный этаж Пом. №007Т</t>
  </si>
  <si>
    <t>ШТК-СОТ.00</t>
  </si>
  <si>
    <t>Шкаф телекоммуникационный ШТК-СОТ.00  Подвальный этаж Пом. №007Т</t>
  </si>
  <si>
    <t>ЩКД-6</t>
  </si>
  <si>
    <t>Щит контроля доступа ШДК-06. Пом. Венткиосок</t>
  </si>
  <si>
    <t>ЩКД-001</t>
  </si>
  <si>
    <t>Щит контроля доступа ШДК-001 Подвальный этаж Пом. №004Т</t>
  </si>
  <si>
    <t>R.0.002A.1</t>
  </si>
  <si>
    <t>R.0.002A.2</t>
  </si>
  <si>
    <t>R.0.002A.3</t>
  </si>
  <si>
    <t>R.0.002T.1</t>
  </si>
  <si>
    <t>R.0.002Б.1</t>
  </si>
  <si>
    <t>R.0.002Б.2</t>
  </si>
  <si>
    <t>R.0.003A.1</t>
  </si>
  <si>
    <t>R.0.003A.3</t>
  </si>
  <si>
    <t>R.0.003Б.1</t>
  </si>
  <si>
    <t>R.0.004Б.1</t>
  </si>
  <si>
    <t>R.0.004Б.2</t>
  </si>
  <si>
    <t>Розеточная группа Цокольный этаж Пом. №004Б Сушильная машина</t>
  </si>
  <si>
    <t>R.0.004Б.3</t>
  </si>
  <si>
    <t>Розеточная группа Цокольный этаж Пом. №004Б Стиральная машина</t>
  </si>
  <si>
    <t>R.0.006A.1</t>
  </si>
  <si>
    <t>R.0.007A.1</t>
  </si>
  <si>
    <t>R.0.008A.1</t>
  </si>
  <si>
    <t>R.0.008A.2</t>
  </si>
  <si>
    <t>Розеточная группа Цокольный этаж Пом. №008A Душ виши</t>
  </si>
  <si>
    <t>R.0.009A.1</t>
  </si>
  <si>
    <t>R.0.009A.2</t>
  </si>
  <si>
    <t>R.0.010A.1</t>
  </si>
  <si>
    <t>R.0.011.1A</t>
  </si>
  <si>
    <t>R.0.011Б.1</t>
  </si>
  <si>
    <t>R.0.012A.1</t>
  </si>
  <si>
    <t>R.0.013A.1</t>
  </si>
  <si>
    <t>R.0.013Б.1</t>
  </si>
  <si>
    <t>R.0.013Б.2</t>
  </si>
  <si>
    <t>R.0.013Б.3</t>
  </si>
  <si>
    <t>Розеточная группа Цокольный этаж Пом. №013Б Полотенцесушитель</t>
  </si>
  <si>
    <t>R.0.013Б.4</t>
  </si>
  <si>
    <t>Розеточная группа Цокольный этаж Пом. №013Б Сушильная машина</t>
  </si>
  <si>
    <t>R.0.015A.1</t>
  </si>
  <si>
    <t>R.0.017A.1</t>
  </si>
  <si>
    <t>R.0.018A.1</t>
  </si>
  <si>
    <t>R.0.018Б.1</t>
  </si>
  <si>
    <t>R.0.021A.1</t>
  </si>
  <si>
    <t>R.0.022.1</t>
  </si>
  <si>
    <t>R.0.012A.2</t>
  </si>
  <si>
    <t>R.0.020A.1</t>
  </si>
  <si>
    <t>ШТК-1</t>
  </si>
  <si>
    <t>Шкаф телекоммуникационный ШТК-2 Цокольный этаж Пом. №002Т</t>
  </si>
  <si>
    <t>ШТК-СОТ.0</t>
  </si>
  <si>
    <t>Шкаф телекоммуникационный ШТК-СОТ.0 Цокольный этаж Пом. №002Т</t>
  </si>
  <si>
    <t>ШТК-ЛВС.0</t>
  </si>
  <si>
    <t>Шкаф телекоммуникационный ШТК-ЛВС.0 Цокольный этаж Пом. №002Т</t>
  </si>
  <si>
    <t>ЩДК-01</t>
  </si>
  <si>
    <t>Щит контроля доступа ШДК-01 Цокольный этаж Пом. №001Т</t>
  </si>
  <si>
    <t>R.1.001A.1</t>
  </si>
  <si>
    <t>R.1.001Aб.1</t>
  </si>
  <si>
    <t>Розеточная группа Первый этаж Пом. №001Aб, 002Аб</t>
  </si>
  <si>
    <t>R.1.001Г.1</t>
  </si>
  <si>
    <t>R.1.002A.1</t>
  </si>
  <si>
    <t>Розеточная группа Первый этаж Пом. №002A, 023А</t>
  </si>
  <si>
    <t>R.1.002Aб.1</t>
  </si>
  <si>
    <t>R.1.002Б.1</t>
  </si>
  <si>
    <t>Розеточная группа Первый этаж Пом. №002Б Ледогенератор</t>
  </si>
  <si>
    <t>R.1.002Б.2</t>
  </si>
  <si>
    <t>R.1.002Б.3</t>
  </si>
  <si>
    <t>R.1.002Б.4</t>
  </si>
  <si>
    <t>Розеточная группа Первый этаж Пом. №002Б Фартук</t>
  </si>
  <si>
    <t>R.1.002Б.5</t>
  </si>
  <si>
    <t>Розеточная группа Первый этаж Пом. №002Б ПММ</t>
  </si>
  <si>
    <t>R.1.002Б.6</t>
  </si>
  <si>
    <t>Розеточная группа Первый этаж Пом. №002Б Стаканомоечная машина</t>
  </si>
  <si>
    <t>R.1.002Б.7</t>
  </si>
  <si>
    <t>R.1.002Б.8</t>
  </si>
  <si>
    <t>R.1.002Г.1</t>
  </si>
  <si>
    <t>R.1.003A.1</t>
  </si>
  <si>
    <t>R.1.003A.2</t>
  </si>
  <si>
    <t>R.1.003A.3</t>
  </si>
  <si>
    <t>R.1.003A2</t>
  </si>
  <si>
    <t>R.1.003Aб.1</t>
  </si>
  <si>
    <t>R.1.003Б.1</t>
  </si>
  <si>
    <t>R.1.003Б.2</t>
  </si>
  <si>
    <t>R.1.003Г.1</t>
  </si>
  <si>
    <t>R.1.004Aб.1</t>
  </si>
  <si>
    <t>R.1.005A.1</t>
  </si>
  <si>
    <t>R.1.006A.1</t>
  </si>
  <si>
    <t>R.1.006Aб.1</t>
  </si>
  <si>
    <t>R.1.006Aб.2</t>
  </si>
  <si>
    <t>R.1.007A.1</t>
  </si>
  <si>
    <t>R.1.008A.1</t>
  </si>
  <si>
    <t>R.1.009A.1</t>
  </si>
  <si>
    <t>R.1.010A.1</t>
  </si>
  <si>
    <t>R.1.011A.1</t>
  </si>
  <si>
    <t>R.1.012.1A.1</t>
  </si>
  <si>
    <t>R.1.013A.1</t>
  </si>
  <si>
    <t>R.1.014A.1</t>
  </si>
  <si>
    <t>R.1.015A.1</t>
  </si>
  <si>
    <t>R.1.016A.1</t>
  </si>
  <si>
    <t>R.1.017A.1</t>
  </si>
  <si>
    <t>R.1.017A.2</t>
  </si>
  <si>
    <t>R.1.018A.1</t>
  </si>
  <si>
    <t>R.1.019A.1</t>
  </si>
  <si>
    <t>Розеточная группа Первый этаж Пом. №019A Полотенцесушитель</t>
  </si>
  <si>
    <t>R.1.020A.2</t>
  </si>
  <si>
    <t>R.1.021A.1</t>
  </si>
  <si>
    <t>Розеточная группа Первый этаж Пом. №021A Кофемашина</t>
  </si>
  <si>
    <t>R.1.021A.10</t>
  </si>
  <si>
    <t>Розеточная группа Первый этаж Пом. №021A ПММ</t>
  </si>
  <si>
    <t>R.1.021A.11</t>
  </si>
  <si>
    <t>R.1.021A.2</t>
  </si>
  <si>
    <t>Розеточная группа Первый этаж Пом. №021A Духовой шкаф</t>
  </si>
  <si>
    <t>R.1.021A.3</t>
  </si>
  <si>
    <t>Розеточная группа Первый этаж Пом. №021A Микроволновая печь</t>
  </si>
  <si>
    <t>R.1.021A.4</t>
  </si>
  <si>
    <t>Розеточная группа Первый этаж Пом. №021A Холодильник, морозильная камера</t>
  </si>
  <si>
    <t>R.1.021A.6</t>
  </si>
  <si>
    <t>Розеточная группа Первый этаж Пом. №021A Вывод для вытяжки</t>
  </si>
  <si>
    <t>R.1.021A.7</t>
  </si>
  <si>
    <t>Розеточная группа Первый этаж Пом. №021A Вывод на варочную панель</t>
  </si>
  <si>
    <t>R.1.021A.8</t>
  </si>
  <si>
    <t>R.1.021A.9</t>
  </si>
  <si>
    <t>Розеточная группа Первый этаж Пом. №021A Подогреватель пищи и посуды</t>
  </si>
  <si>
    <t>R.1.002Б.9</t>
  </si>
  <si>
    <t>Розеточная группа Первый этаж Пом. №002Б Холодильник</t>
  </si>
  <si>
    <t>R.1.002Б.10</t>
  </si>
  <si>
    <t>R.1.021A.5</t>
  </si>
  <si>
    <t>R.1.020A.1</t>
  </si>
  <si>
    <t>Розеточная группа Первый этаж Пом. №020A Холодильник, морозильная камера</t>
  </si>
  <si>
    <t>R.1.022A.1</t>
  </si>
  <si>
    <t>ЩКД.1</t>
  </si>
  <si>
    <t>Щит контроля доступа ЩКД-1 Первый этаж Пом. №002Б</t>
  </si>
  <si>
    <t>R.2.002А.1</t>
  </si>
  <si>
    <t>R.2.003А.1</t>
  </si>
  <si>
    <t>R.2.005А.1</t>
  </si>
  <si>
    <t>R.2.005А.2</t>
  </si>
  <si>
    <t>R.2.006А.1</t>
  </si>
  <si>
    <t>R.2.009А.1</t>
  </si>
  <si>
    <t>R.2.009А.2</t>
  </si>
  <si>
    <t>R.2.010А.1</t>
  </si>
  <si>
    <t>R.2.002Г.1</t>
  </si>
  <si>
    <t>R.2.013А.1</t>
  </si>
  <si>
    <t>R.2.014А.1</t>
  </si>
  <si>
    <t>Розеточная группа Второй этаж Пом. №013А, 012А</t>
  </si>
  <si>
    <t>R.2.014А.2</t>
  </si>
  <si>
    <t>R.2.015А.1</t>
  </si>
  <si>
    <t>R.2.016А.1</t>
  </si>
  <si>
    <t>R.2.017А.1</t>
  </si>
  <si>
    <t>R.2.019А.1</t>
  </si>
  <si>
    <t>R.2.019А.2</t>
  </si>
  <si>
    <t>R.2.020А.1</t>
  </si>
  <si>
    <t>R.2.022Б.1</t>
  </si>
  <si>
    <t>R.2.001.1</t>
  </si>
  <si>
    <t>R.2.003Г.1</t>
  </si>
  <si>
    <t>R.2.005А.3</t>
  </si>
  <si>
    <t>R.2.009А.3</t>
  </si>
  <si>
    <t>R.2.020А.2</t>
  </si>
  <si>
    <t>R.3.001T.1</t>
  </si>
  <si>
    <t>R.3.001Б.1</t>
  </si>
  <si>
    <t>ШТК-2</t>
  </si>
  <si>
    <t>Шкаф телекоммуникационный ШТК-2  Тех. Этаж Пом №004T</t>
  </si>
  <si>
    <t>ШТК-ЛВС.3</t>
  </si>
  <si>
    <t>ШКД.3</t>
  </si>
  <si>
    <t>Щит контроля доступа ЩКД-2  Тех. Этаж Пом №001T</t>
  </si>
  <si>
    <t>Э.1</t>
  </si>
  <si>
    <t>Управляющий электрощит бассейна Подвальный этаж Пом. 002Тб</t>
  </si>
  <si>
    <t>Э.2</t>
  </si>
  <si>
    <t>Горячая купель Подвальный этаж Пом. 002Тб</t>
  </si>
  <si>
    <t>Э.3</t>
  </si>
  <si>
    <t>Холодная купель Подвальный этаж Пом. 002Тб</t>
  </si>
  <si>
    <t>НВК.00.003Т.2</t>
  </si>
  <si>
    <t>НВК.00.003Т.1</t>
  </si>
  <si>
    <t>НВК.00.005Т.4</t>
  </si>
  <si>
    <t>НВК.00.005Т.3</t>
  </si>
  <si>
    <t>НВК.00.005Т.1</t>
  </si>
  <si>
    <t>НВК.00.005Т.2</t>
  </si>
  <si>
    <t>НВК.00.002Т.1</t>
  </si>
  <si>
    <t>циркуляционный насос Подвальный этаж Пом. №002Т</t>
  </si>
  <si>
    <t>НВК.00.002Тб.3</t>
  </si>
  <si>
    <t>НВК.00.002Тб.4</t>
  </si>
  <si>
    <t>НВК.00.002Тб.2</t>
  </si>
  <si>
    <t>НВК.00.002Тб.1</t>
  </si>
  <si>
    <t>НВК.00.006Т.2</t>
  </si>
  <si>
    <t>НВК.00.006Т.1</t>
  </si>
  <si>
    <t>ЖУ.1</t>
  </si>
  <si>
    <t>Жироулавливатель Подвальный этаж Пом. №006Т</t>
  </si>
  <si>
    <t>R.00.002Б.3</t>
  </si>
  <si>
    <t>Сололифт Подвальный этаж Пом. №002Б</t>
  </si>
  <si>
    <t>FCP1-2</t>
  </si>
  <si>
    <t>шкаф пожарной сигнализации  Подвальный этаж Пом. №007Т</t>
  </si>
  <si>
    <t>ENC1-11</t>
  </si>
  <si>
    <t>шкаф системы оповещения и управления эвакуацией Цокольный этаж Пом. №002Т</t>
  </si>
  <si>
    <t>FCP1-1</t>
  </si>
  <si>
    <t>шкаф пожарной сигнализации Цокольный этаж Пом. №002Т</t>
  </si>
  <si>
    <t>FCP13</t>
  </si>
  <si>
    <t>шкаф пожарной сигнализации Тех. этаж Пом. №004Т</t>
  </si>
  <si>
    <t>DW.1</t>
  </si>
  <si>
    <t>DT.1</t>
  </si>
  <si>
    <t>OV.2.002Г.1</t>
  </si>
  <si>
    <t>OV.2.003Г.1</t>
  </si>
  <si>
    <t>OV.2.1.1</t>
  </si>
  <si>
    <t>Обогревл ливнестоков Кровля бассейна</t>
  </si>
  <si>
    <t>OV.2.1.2</t>
  </si>
  <si>
    <t>Обогревл ливнестоков Второй этаж</t>
  </si>
  <si>
    <t>OV.2.1.3</t>
  </si>
  <si>
    <t>OV.4.1.1</t>
  </si>
  <si>
    <t>Обогревл ливнестоков Кровля</t>
  </si>
  <si>
    <t>OV.4.1.2</t>
  </si>
  <si>
    <t>OV.4.1.3</t>
  </si>
  <si>
    <t>OV.4.1.4</t>
  </si>
  <si>
    <t>ИБП (для щитов с шиной ИБП)</t>
  </si>
  <si>
    <t>cos φ на выходе ИБП</t>
  </si>
  <si>
    <t>Автономия, мин</t>
  </si>
  <si>
    <t>Напряжение АКБ, В</t>
  </si>
  <si>
    <t>Коэффициент разряда / старения АКБ</t>
  </si>
  <si>
    <t>Заряд АКБ, доля мощности</t>
  </si>
  <si>
    <t>cos φ на входе ИБП</t>
  </si>
  <si>
    <t>Ряд типоразмеров ИБП, кВА</t>
  </si>
  <si>
    <t>РЕЖИМЫ: нагрузка выбранного щита (вместе со всеми нижестоящими) по вводам в разных режимах</t>
  </si>
  <si>
    <t>Как читать: столбцы — источники (Ввод 1/2/3, ИБП, ДГУ), блоки — режимы. На «Нормальный» и «Аварийный» проверяются вводы, аппараты и кабели (берётся больший). Пожарные — отдельно, в максимум не входят. Блок 7 — кВт по категориям для ТУ.</t>
  </si>
  <si>
    <t>Щит:</t>
  </si>
  <si>
    <t>в составе</t>
  </si>
  <si>
    <t>нижний щит</t>
  </si>
  <si>
    <t>источник</t>
  </si>
  <si>
    <t>пожарная</t>
  </si>
  <si>
    <t>категория</t>
  </si>
  <si>
    <t>Вход ИБП, кВт / квар:</t>
  </si>
  <si>
    <t>1. НОРМАЛЬНЫЙ РЕЖИМ (секционный выключатель отключён, пожарные не входят; ИБП — нагрузка на выходе, справочно)</t>
  </si>
  <si>
    <t>Итого (вводы)</t>
  </si>
  <si>
    <t>Кс (Рр / Руст)</t>
  </si>
  <si>
    <t>2. АВАРИЙНЫЙ: потерян Ввод 1 (его нагрузка и вход ИБП — на Ввод 2)</t>
  </si>
  <si>
    <t>3. АВАРИЙНЫЙ: потерян Ввод 2 (его нагрузка и вход ИБП — на Ввод 1)</t>
  </si>
  <si>
    <t>4. ПОТЕРЯНЫ ВСЕ ВВОДЫ: работают только ИБП и ДГУ</t>
  </si>
  <si>
    <t>5. ПОЖАР: пожарные нагрузки (в расчётный максимум не входят, СП 256 п. 7.1.9; Кс пожарных = 1)</t>
  </si>
  <si>
    <t>6. НОРМАЛЬНЫЙ + ПОЖАРНЫЕ (проверка вводов при пожаре)</t>
  </si>
  <si>
    <t>7. ПО КАТЕГОРИЯМ НАДЁЖНОСТИ (для ТУ и пояснительной записки; ИБП — нагрузка на выходе)</t>
  </si>
  <si>
    <t>Линий</t>
  </si>
  <si>
    <t>Пожарные: Руст, кВт</t>
  </si>
  <si>
    <t>Пожарные: Рр, кВт</t>
  </si>
  <si>
    <t>Кс быт применяется к каждому набору линий отдельно (табл. 7.2 по сумме Руст быт набора), поэтому сумма строк может отличаться от «Итого».</t>
  </si>
  <si>
    <t>8. ИБП ВЫБРАННОГО ЩИТА (нагрузка шин ИБП, без пожарных)</t>
  </si>
  <si>
    <t>P на выходе, кВт</t>
  </si>
  <si>
    <t>Требуемая S по загрузке, кВА</t>
  </si>
  <si>
    <t>Типоразмер ИБП, кВА</t>
  </si>
  <si>
    <t>Загрузка принятого ИБП</t>
  </si>
  <si>
    <t>Ёмкость АКБ, А·ч</t>
  </si>
  <si>
    <t>Вход ИБП, кВт (на ввод)</t>
  </si>
  <si>
    <t>ТАБЛИЦА НАГРУЗОК ДЛЯ ПОЯСНИТЕЛЬНОЙ ЗАПИСКИ</t>
  </si>
  <si>
    <t>(название и адрес объекта)</t>
  </si>
  <si>
    <t>Щит (ВРУ):</t>
  </si>
  <si>
    <t>Весь щит</t>
  </si>
  <si>
    <t>ОСНОВНЫЕ ПОКАЗАТЕЛИ</t>
  </si>
  <si>
    <t>ΔU от ВРУ до шин щита, %</t>
  </si>
  <si>
    <t>Iкз min (1ф) / Iкз max (3ф) на шинах</t>
  </si>
  <si>
    <t>Наименование электроприёмника (вид нагрузки)</t>
  </si>
  <si>
    <t>Итого (сумма строк)</t>
  </si>
  <si>
    <t>Расчётная нагрузка щита: Рр = kп.к·Руст быт·Кс + Ко·Рр сил + Руст пост + Р отоп + 0,7·Р ВНГ (СП 256)</t>
  </si>
  <si>
    <t>Как считается: строка = вид нагрузки (столбец «Вид нагрузки» в «Линиях», пусто — по коду). Кс бытовой нагрузки — по таблице СП 256 по сумме Руст быт ВСЕГО щита, поэтому строки складываются в «Итого». Строка «Расчётная нагрузка» учитывает Ко = 0,9 и kп.к. Пожарные нагрузки не входят (СП 256 п. 7.1.9). Для записки: выберите щит и режим, скопируйте A14:J… и вставьте как значения.</t>
  </si>
  <si>
    <t>КАБЕЛЬНЫЙ ЖУРНАЛ. Для AutoCAD — макрос «Выгрузить журнал» (лёгкий файл для Data Link).</t>
  </si>
  <si>
    <t>Количество кабелей и сечение</t>
  </si>
  <si>
    <t>Запас длины:</t>
  </si>
  <si>
    <t>Кабель (марка, сечение)</t>
  </si>
  <si>
    <t>С запасом, м</t>
  </si>
  <si>
    <t>Спецификация для щита (все — весь объект):</t>
  </si>
  <si>
    <t>все</t>
  </si>
  <si>
    <t>По однолинейке (авто; щит — «Спецификация» D1)</t>
  </si>
  <si>
    <t>ИТОГИ ПО ЩИТАМ (данные под однолинейку)</t>
  </si>
  <si>
    <t xml:space="preserve">  в т. ч. бытовая</t>
  </si>
  <si>
    <t>Кс быт (табл. 7.2)</t>
  </si>
  <si>
    <t>Рр силовой (Σ P·Кс)</t>
  </si>
  <si>
    <t>Руст постоянной</t>
  </si>
  <si>
    <t>Р отопления (Кс 1)</t>
  </si>
  <si>
    <t>Рр ВНГ (×0,7)</t>
  </si>
  <si>
    <t>Кс итог = Рр / Руст</t>
  </si>
  <si>
    <t>Qр = Рр·tg φ</t>
  </si>
  <si>
    <t>квар</t>
  </si>
  <si>
    <t>Sр</t>
  </si>
  <si>
    <t>Iр (по наиб. нагруженной фазе)</t>
  </si>
  <si>
    <t>P L1 / L2 / L3</t>
  </si>
  <si>
    <t>L1р / L2р / L3р (P·Кс итог)</t>
  </si>
  <si>
    <t>Перекос фаз (max−min)/max</t>
  </si>
  <si>
    <t>Наибольший пусковой ток</t>
  </si>
  <si>
    <t>ΔU от ВРУ до шин</t>
  </si>
  <si>
    <t>Iкз min, А</t>
  </si>
  <si>
    <t>Iкз max, кА</t>
  </si>
  <si>
    <t>Карточка слева — для таблицы под однолинейкой выбранного щита (скопируйте B4:D27 как значения). Справа — все щиты объекта.</t>
  </si>
  <si>
    <t>БИРКИ: строка на каждый провод — от автомата до устройства, от устройства до клеммы, от клеммы — кабель к потребителю</t>
  </si>
  <si>
    <t>Откуда</t>
  </si>
  <si>
    <t>Куда</t>
  </si>
  <si>
    <t>ПРОВЕРКА ОБЪЕКТА</t>
  </si>
  <si>
    <t>Перейти</t>
  </si>
  <si>
    <t>ЛИНИЯ (ввод)</t>
  </si>
  <si>
    <t>КАБЕЛЬ (ввод)</t>
  </si>
  <si>
    <t>КАТЕГОРИИ (ввод)</t>
  </si>
  <si>
    <t>СХЕМА (ввод)</t>
  </si>
  <si>
    <t>DWG (заполняет DLN)</t>
  </si>
  <si>
    <t>ЗАМЕЧАНИЯ</t>
  </si>
  <si>
    <t>КАТЕГОРИИ (расчёт)</t>
  </si>
  <si>
    <t>СХЕМА (расчёт)</t>
  </si>
  <si>
    <t>СХЕМА ЩИТА (ввод для каждого щита)</t>
  </si>
  <si>
    <t>ТОЛЬКО ДЛЯ ВРУ / ГРЩ: сеть и питающий кабель (ввод)</t>
  </si>
  <si>
    <t>РЕЗУЛЬТАТ (считается сам)</t>
  </si>
  <si>
    <t>ГАЙД ПО ОДНОЛИНЕЙКЕ v4</t>
  </si>
  <si>
    <t>Одна книга — один объект: все щиты, все линии, все расчёты. Связей между файлами нет. Текст написан по правилам ASD-STE100: одно действие в предложении, один термин — одно значение.</t>
  </si>
  <si>
    <t>Разделы 4–15 — порядок работы. На листах «Объект», «Щиты», «Шины» есть свой короткий гайд. Как и по каким нормам всё считается — лист «Методика».</t>
  </si>
  <si>
    <t>Здание или комплекс. Одна книга = один объект.</t>
  </si>
  <si>
    <t>Электрический щит объекта. Каждый щит — одна строка на листе «Щиты».</t>
  </si>
  <si>
    <t>Щиты!A10</t>
  </si>
  <si>
    <t>ВРУ (корневой щит)</t>
  </si>
  <si>
    <t>Щит без вышестоящего щита в книге: ГРЩ, ВРУ. Для него вводятся данные сети.</t>
  </si>
  <si>
    <t>Отходящая цепь щита. Одна строка на листе «Линии» = одно место схемы.</t>
  </si>
  <si>
    <t>Линии!A3</t>
  </si>
  <si>
    <t>Текст вида «Код.Помещение.№». Пример: R.1.05.4. Код ищется на листе «Коды».</t>
  </si>
  <si>
    <t>Колонка на схеме (шаг 20 мм). На листе A3 — 17 мест (настройка «Таблицы_норм» BF4).</t>
  </si>
  <si>
    <t>Вводной узел</t>
  </si>
  <si>
    <t>Первые места схемы щита (обычно 1–15): вводы, АВР, байпас. Вы рисуете их сами. Строки узла в схеме не рисуются.</t>
  </si>
  <si>
    <t>Линия, которая питает другой щит этой книги. Номер линии = имя щита — фидер найден автоматически.</t>
  </si>
  <si>
    <t>Несколько линий на одном автомате. Автомат стоит в первой строке группы.</t>
  </si>
  <si>
    <t>Дифзащита</t>
  </si>
  <si>
    <t>Ток утечки защиты (УЗО, дифавтомат): 10, 30, 100, 300 мА. Пусто — по коду.</t>
  </si>
  <si>
    <t>Жёлтый столбец</t>
  </si>
  <si>
    <t>Ввод. Вводите данные только сюда.</t>
  </si>
  <si>
    <t>Серый столбец</t>
  </si>
  <si>
    <t>Расчёт. Значение считается само. Служебные столбцы свёрнуты кнопкой «+» над таблицей.</t>
  </si>
  <si>
    <t>ОСТОРОЖНО: Не сортируйте таблицу «Линии». Порядок строк = порядок мест и групп на схеме.</t>
  </si>
  <si>
    <t>ОСТОРОЖНО: Не переименовывайте листы, таблицы и заголовки столбцов. Формулы и программы AutoCAD ищут их по имени.</t>
  </si>
  <si>
    <t>ОСТОРОЖНО: Не вводите данные в серые столбцы и на лист «Однолинейка». Лист «Однолинейка» считается сам.</t>
  </si>
  <si>
    <t>ВНИМАНИЕ: Новую строку добавляйте внутри таблицы: правая кнопка на строке → «Вставить» → «Строки таблицы выше». Формулы продлятся сами.</t>
  </si>
  <si>
    <t>3. ЛИСТЫ</t>
  </si>
  <si>
    <t>Что на нём</t>
  </si>
  <si>
    <t>Все замечания объекта одним списком. Начинайте и заканчивайте работу здесь.</t>
  </si>
  <si>
    <t>Проверка!A1</t>
  </si>
  <si>
    <t>Настройки объекта: методика, kп.к, ток КЗ, Кс силовых, ИБП. Внизу — гайд по настройке.</t>
  </si>
  <si>
    <t>Объект!B1</t>
  </si>
  <si>
    <t>Коды</t>
  </si>
  <si>
    <t>Коды потребителей, УГО, этажи, кабели. Таблицы растут сами.</t>
  </si>
  <si>
    <t>Коды!A3</t>
  </si>
  <si>
    <t>Щиты</t>
  </si>
  <si>
    <t>Щиты объекта: схема (ввод) и результат. Сверху — гайд.</t>
  </si>
  <si>
    <t>Итоги_щитов</t>
  </si>
  <si>
    <t>Карточка щита для таблицы под однолинейкой и сводка по всем щитам.</t>
  </si>
  <si>
    <t>Итоги_щитов!C3</t>
  </si>
  <si>
    <t>Тип шины вручную — только если не определяется сам. Сверху — гайд.</t>
  </si>
  <si>
    <t>Шины!A8</t>
  </si>
  <si>
    <t>Линии</t>
  </si>
  <si>
    <t>Главный лист ввода: все линии всех щитов.</t>
  </si>
  <si>
    <t>Линии!A2</t>
  </si>
  <si>
    <t>Нагрузка щита по вводам: нормальный, аварийный, пожар, категории, ИБП.</t>
  </si>
  <si>
    <t>Таблица нагрузок для пояснительной записки.</t>
  </si>
  <si>
    <t>Расчёт_нагрузок!C4</t>
  </si>
  <si>
    <t>Журнал кабелей (как в v3.12) и сводка по маркам.</t>
  </si>
  <si>
    <t>Кабельный_журнал!A2</t>
  </si>
  <si>
    <t>Однолинейка</t>
  </si>
  <si>
    <t>Расчётный лист для AutoCAD (SXDRAW, SXLAYOUT). Не изменяйте его.</t>
  </si>
  <si>
    <t>Однолинейка!A1</t>
  </si>
  <si>
    <t>Каталог, Спецификация, Спецификация_авто</t>
  </si>
  <si>
    <t>Оборудование и спецификация. Щит — «Спецификация» D1.</t>
  </si>
  <si>
    <t>Спецификация!D1</t>
  </si>
  <si>
    <t>Строка на каждый провод: откуда — куда.</t>
  </si>
  <si>
    <t>Бирки!A3</t>
  </si>
  <si>
    <t>Методика</t>
  </si>
  <si>
    <t>Как считается каждая величина и по какой норме.</t>
  </si>
  <si>
    <t>Таблицы_норм</t>
  </si>
  <si>
    <t>Допустимые токи, сопротивления, номиналы, Кс быт, настройки сети. Обычно не меняют.</t>
  </si>
  <si>
    <t>Заполните лист «Объект» (раздел 5).</t>
  </si>
  <si>
    <t>Объект!C3</t>
  </si>
  <si>
    <t>Внесите щиты на лист «Щиты» (раздел 6).</t>
  </si>
  <si>
    <t>Проверьте коды потребителей на листе «Коды» (раздел 7).</t>
  </si>
  <si>
    <t>Коды!A4</t>
  </si>
  <si>
    <t>Заполните линии на листе «Линии» (раздел 8).</t>
  </si>
  <si>
    <t>Если нужно, задайте тип шины на листе «Шины» (раздел 9).</t>
  </si>
  <si>
    <t>Шины!A9</t>
  </si>
  <si>
    <t>Откройте лист «Проверка» и устраните замечания (раздел 10).</t>
  </si>
  <si>
    <t>Возьмите результаты: «Итоги_щитов», «Режимы», «Расчёт_нагрузок», журнал, бирки (разделы 11–13).</t>
  </si>
  <si>
    <t>Нарисуйте схему в AutoCAD и выпустите спецификацию (разделы 14–15).</t>
  </si>
  <si>
    <t>5. ЛИСТ «ОБЪЕКТ»</t>
  </si>
  <si>
    <t>C3 — введите название и адрес объекта.</t>
  </si>
  <si>
    <t>C8 — методика. Для нового проекта оставьте «нормы 2026».</t>
  </si>
  <si>
    <t>Объект!C8</t>
  </si>
  <si>
    <t>C9 — kп.к. Для частного дома оставьте 1.</t>
  </si>
  <si>
    <t>Объект!C9</t>
  </si>
  <si>
    <t>ПРИМЕЧАНИЕ: Что значит каждая настройка и на что влияет — гайд внизу листа «Объект».</t>
  </si>
  <si>
    <t>6. ЛИСТ «ЩИТЫ»</t>
  </si>
  <si>
    <t>Щит — введите имя щита. Каждый щит — одна строка.</t>
  </si>
  <si>
    <t>Вводов, АВР, ИБП от — введите схему щита.</t>
  </si>
  <si>
    <t>Щиты!C10</t>
  </si>
  <si>
    <t>Мест под вводной узел — сколько первых мест схемы занимает вводной узел (обычно 15).</t>
  </si>
  <si>
    <t>«Питается от» оставьте пусто. Книга найдёт фидер сама. Заполняйте, только если фидера нет в «Линиях».</t>
  </si>
  <si>
    <t>Для ВРУ / ГРЩ введите данные сети: Iкз min и Iкз max от сетевой организации или «ТП» и Sтр.</t>
  </si>
  <si>
    <t>ОСТОРОЖНО: Без данных сети книга не считает ток КЗ и не проверяет отключение 0,4 с ни в одном щите.</t>
  </si>
  <si>
    <t>7. ЛИСТ «КОДЫ»</t>
  </si>
  <si>
    <t>Найдите код в таблице «Коды» (столбец A).</t>
  </si>
  <si>
    <t>Чтобы добавить код, введите его в первую пустую строку под таблицей. Таблица расширится сама.</t>
  </si>
  <si>
    <t>В таблице «УГО» задайте значок, дифзащиту (мА, «да» = 30), минимальный автомат, клеммы 3L.</t>
  </si>
  <si>
    <t>Коды!O4</t>
  </si>
  <si>
    <t>ВНИМАНИЕ: Один код = одно определение на весь объект. Если изменить опуск кода, изменятся длины всех его линий.</t>
  </si>
  <si>
    <t>8. ЛИСТ «ЛИНИИ»</t>
  </si>
  <si>
    <t>Строка = одно место схемы. Щиты разделены линией и цветом. Строки вводного узла подсвечены голубым.</t>
  </si>
  <si>
    <t>Щит — введите щит. Места одного щита ставьте подряд.</t>
  </si>
  <si>
    <t>№ места — оставьте пусто: место будет следующим по порядку, после вводного узла. Число — своё место (пропуск = пустая колонка). «-» — строки нет на схеме.</t>
  </si>
  <si>
    <t>Линии!B3</t>
  </si>
  <si>
    <t>«Лист / место» показывает лист схемы A3 и место на нём. «узел» — строка вводного узла.</t>
  </si>
  <si>
    <t>Линии!C3</t>
  </si>
  <si>
    <t>Номер линии — введите номер. Наименование подставится по коду. Чтобы переписать — введите свой текст в «Наименование».</t>
  </si>
  <si>
    <t>Линии!D3</t>
  </si>
  <si>
    <t>8.5</t>
  </si>
  <si>
    <t>Питает щит — заполняйте, только если номер фидера не совпадает с именем щита.</t>
  </si>
  <si>
    <t>8.6</t>
  </si>
  <si>
    <t>Мощность, кол-во, фазы, напряжение, группа Кс, длины, кабель — введите или оставьте пусто (по коду, по чертежу).</t>
  </si>
  <si>
    <t>8.7</t>
  </si>
  <si>
    <t>Категория надёжности и «Пожарная» — для линий, которым они нужны.</t>
  </si>
  <si>
    <t>8.8</t>
  </si>
  <si>
    <t>Схема: «Автомат» = «авто» в первой строке группы. Дифзащита, аппараты, модуль, канал, клемма — как в v3.12.</t>
  </si>
  <si>
    <t>Линии!AC3</t>
  </si>
  <si>
    <t>8.9</t>
  </si>
  <si>
    <t>Режим: «вручную» — строка только в таблице; «рисовать» — нарисовать строку вводного узла.</t>
  </si>
  <si>
    <t>Автомат = «авто». Клемма пусто (номер по порядку) или своя.</t>
  </si>
  <si>
    <t>Первая строка: «авто». Следующие строки: автомат пусто.</t>
  </si>
  <si>
    <t>Дифзащита 30 / 100 / 300 мА</t>
  </si>
  <si>
    <t>Дифзащита = 30 (100, 300). «нет» — без неё.</t>
  </si>
  <si>
    <t>Шина = имя шины в строке с автоматом.</t>
  </si>
  <si>
    <t>Линия на модуле</t>
  </si>
  <si>
    <t>Модуль = модель в первой строке модуля. «-» — в первой строке после модуля. Канал: пусто — авто, № — вручную.</t>
  </si>
  <si>
    <t>Параллельная линия, резерв, тот же кабель, без клеммы</t>
  </si>
  <si>
    <t>Канал = «=», «р», «+», «б/к».</t>
  </si>
  <si>
    <t>Клемма без номера</t>
  </si>
  <si>
    <t>Клемма = «нет».</t>
  </si>
  <si>
    <t>ПРИМЕЧАНИЕ: Справа серые столбцы: «Замечания», ток, автомат, сечение, ΔU, Iкз, категория. Примечание к заголовку — формула и норма.</t>
  </si>
  <si>
    <t>9. ЛИСТ «ШИНЫ»</t>
  </si>
  <si>
    <t>9.1</t>
  </si>
  <si>
    <t>Обычно лист пустой: имя шины с «ИБП» или «ДГУ» определяется само, иначе — по секции линии.</t>
  </si>
  <si>
    <t>9.2</t>
  </si>
  <si>
    <t>Заполните строку, только если имя шины не говорит о типе (пример: шина «ЩГП» от ИБП).</t>
  </si>
  <si>
    <t>10. ЛИСТ «ПРОВЕРКА»</t>
  </si>
  <si>
    <t>Слева — замечания по щитам. Справа — по линиям. «→» — перейти к строке.</t>
  </si>
  <si>
    <t>Проверка!A4</t>
  </si>
  <si>
    <t>Замечание</t>
  </si>
  <si>
    <t>Что сделать</t>
  </si>
  <si>
    <t>нет данных сети для ТКЗ</t>
  </si>
  <si>
    <t>Введите Iкз от сетевой организации или трансформатор в строке ВРУ на листе «Щиты».</t>
  </si>
  <si>
    <t>ПЕРЕГРУЗ</t>
  </si>
  <si>
    <t>Ток группы больше номинала. Увеличьте автомат или разделите группу.</t>
  </si>
  <si>
    <t>КАБЕЛЬ НЕ ЗАЩИЩЁН</t>
  </si>
  <si>
    <t>категория … не обеспечена</t>
  </si>
  <si>
    <t>Нужен второй ввод с АВР у щита или шина ИБП/ДГУ. Или снизьте требуемую категорию.</t>
  </si>
  <si>
    <t>розетка без дифзащиты до 30 мА</t>
  </si>
  <si>
    <t>Поставьте дифзащиту 30 мА (или 10 мА) на розеточную группу (ПУЭ 7.1.79).</t>
  </si>
  <si>
    <t>Icu … &lt; Iкз max</t>
  </si>
  <si>
    <t>Выберите автомат с большей отключающей способностью.</t>
  </si>
  <si>
    <t>потери … &gt; …</t>
  </si>
  <si>
    <t>Увеличьте сечение или сократите длину.</t>
  </si>
  <si>
    <t>не на схеме</t>
  </si>
  <si>
    <t>Уберите «-» из № места или удалите строку.</t>
  </si>
  <si>
    <t>11. ЛИСТЫ «ИТОГИ_ЩИТОВ» И «РЕЖИМЫ»</t>
  </si>
  <si>
    <t>«Итоги_щитов» C3 — выберите щит. Карточка B4:D27 — данные под однолинейку (Руст, Кс, Рр, cos φ, Iр, фазы).</t>
  </si>
  <si>
    <t>Справа на «Итогах_щитов» — все щиты объекта одной таблицей.</t>
  </si>
  <si>
    <t>«Режимы» C3 — выберите щит. Смотрите нормальный, аварийный, пожар; блок 7 — кВт по категориям для ТУ; блок 8 — ИБП.</t>
  </si>
  <si>
    <t>ПРИМЕЧАНИЕ: Пожарные нагрузки не входят в расчётный максимум (СП 256 п. 7.1.9).</t>
  </si>
  <si>
    <t>12. ЛИСТ «РАСЧЁТ_НАГРУЗОК» (ДЛЯ ПОЯСНИТЕЛЬНОЙ ЗАПИСКИ)</t>
  </si>
  <si>
    <t>C3 — объект. C4 — щит. C5 — режим: весь щит или секция.</t>
  </si>
  <si>
    <t>Скопируйте таблицу и основные показатели в пояснительную записку как значения.</t>
  </si>
  <si>
    <t>13. ЖУРНАЛ И БИРКИ</t>
  </si>
  <si>
    <t>«Кабельный_журнал»: маркировка, трасса, кабель по проекту. «Проложено», испытания, дата — заполняют на монтаже.</t>
  </si>
  <si>
    <t>P2 — запас длины для сводки по маркам кабеля (0,2 = 20 %).</t>
  </si>
  <si>
    <t>Кабельный_журнал!P2</t>
  </si>
  <si>
    <t>Для AutoCAD запустите макрос «Выгрузить журнал». В Data Link укажите этот лёгкий файл.</t>
  </si>
  <si>
    <t>«Бирки»: строка на каждый провод — от автомата к устройству, от устройства к клемме, от клеммы — кабель.</t>
  </si>
  <si>
    <t>14. СХЕМА В AUTOCAD</t>
  </si>
  <si>
    <t>Выполните SXDRAW. Выберите эту книгу, лист «Однолинейка», щит. Один щит — один чертёж.</t>
  </si>
  <si>
    <t>После правки книги выполните SXUPDATE. Компоновка щита — SXLAYOUT.</t>
  </si>
  <si>
    <t>Вводной узел нарисуйте сами. Строку узла можно нарисовать: Режим = «рисовать».</t>
  </si>
  <si>
    <t>15. СПЕЦИФИКАЦИЯ</t>
  </si>
  <si>
    <t>«Спецификация» D1 — выберите щит или «все».</t>
  </si>
  <si>
    <t>Проверьте «Каталог»: N — по схеме выбранного щита, O — запас вручную.</t>
  </si>
  <si>
    <t>Нажмите «Обновить спецификацию» (макрос SX_Spec). Источник — лист «Спецификация_авто».</t>
  </si>
  <si>
    <t>Спецификация_авто!A1</t>
  </si>
  <si>
    <t>16. ГДЕ ПОДРОБНЕЕ</t>
  </si>
  <si>
    <t>Лист «Методика» и документ 4_Инструкции/Методика_расчёта.md — формулы, нормы, проверка по нормам РФ. Пример со всеми случаями — «Однолинейка_v4_пример_все_случаи.xlsx».</t>
  </si>
  <si>
    <t>Методика расчёта однолинейки и проверка по нормам РФ</t>
  </si>
  <si>
    <t>Версия книги: v3.12 → v4. Дата проверки: 03.10.2026, дополнено 04.10.2026.</t>
  </si>
  <si>
    <t>Пояснительная записка (ПЗ) — текстовая часть проекта; в книге v4 сокращение «ПЗ» не используется.</t>
  </si>
  <si>
    <t>Документ описывает каждый расчёт книги: формулу, исходные данные, место в книге, норму и вердикт. Он же — техническое задание на v4: раздел «В v4» у каждого расчёта говорит, что исправить.</t>
  </si>
  <si>
    <t>Как читать вердикт у каждого расчёта:</t>
  </si>
  <si>
    <t>•  ✅ соответствует — книга считает так, как требует норма. Ничего делать не нужно.</t>
  </si>
  <si>
    <t>•  ⚠️ упрощение / уточнить — расчёт допустим, но упрощён (например, не учтено сопротивление дуги) или зависит от решения инженера (например, какой Кс принять). Что именно упрощено — в столбце «Суть», что сделано или надо сделать — в столбце «В v4». Результат пользоваться можно, но прочитайте пояснение.</t>
  </si>
  <si>
    <t>•  ❌ расхождение — книга v3.12 могла дать результат не по норме. В v4 это исправлено или вынесено в проверку (лист «Проверка»).</t>
  </si>
  <si>
    <t>Нормы и редакции, по которым проверено:</t>
  </si>
  <si>
    <t>Документ</t>
  </si>
  <si>
    <t>Редакция</t>
  </si>
  <si>
    <t>Что из него берём</t>
  </si>
  <si>
    <t>ПУЭ, 7-е изд.</t>
  </si>
  <si>
    <t>гл. 1.2, 1.3, 1.7</t>
  </si>
  <si>
    <t>категории, допустимые токи, автоматическое отключение</t>
  </si>
  <si>
    <t>СП 256.1325800.2016</t>
  </si>
  <si>
    <t>ред. 01.03.2022 (изм. 1–5) + Изменение № 6 (2023) + Изменение № 9 (введено 26.01.2026)</t>
  </si>
  <si>
    <t>расчётные нагрузки, потери напряжения, КРМ, схемы</t>
  </si>
  <si>
    <t>ГОСТ Р 50571.4.43-2012</t>
  </si>
  <si>
    <t>защита от сверхтока: Iр ≤ In ≤ Iдоп, термическая стойкость</t>
  </si>
  <si>
    <t>ГОСТ Р 50571.5.52-2011</t>
  </si>
  <si>
    <t>потери напряжения (прил. G), способы прокладки, поправочные коэффициенты</t>
  </si>
  <si>
    <t>ГОСТ 31996-2012</t>
  </si>
  <si>
    <t>допустимые токи кабелей с ПВХ-изоляцией (ВВГнг и т. п.)</t>
  </si>
  <si>
    <t>ГОСТ 28249-93</t>
  </si>
  <si>
    <t>токи КЗ в установках до 1 кВ</t>
  </si>
  <si>
    <t>ГОСТ IEC 60898-1</t>
  </si>
  <si>
    <t>зоны мгновенного расцепления B / C / D</t>
  </si>
  <si>
    <t>СП 6.13130.2021</t>
  </si>
  <si>
    <t>электроснабжение систем противопожарной защиты</t>
  </si>
  <si>
    <t>ВНИМАНИЕ: формулировки Изменения № 9 к СП 256 проверены по пересказу официального текста. Перед внедрением в v4 сверьте табл. 7.2 и подраздел 7.5 с официальной публикацией.</t>
  </si>
  <si>
    <t>---</t>
  </si>
  <si>
    <t>1. Сводка проверки</t>
  </si>
  <si>
    <t>Расчёт</t>
  </si>
  <si>
    <t>Вердикт</t>
  </si>
  <si>
    <t>Суть</t>
  </si>
  <si>
    <t>В v4</t>
  </si>
  <si>
    <t>Ток линии</t>
  </si>
  <si>
    <t>✅</t>
  </si>
  <si>
    <t>I = P / (U·cos φ)</t>
  </si>
  <si>
    <t>без изменений</t>
  </si>
  <si>
    <t>cos φ линии</t>
  </si>
  <si>
    <t>⚠️</t>
  </si>
  <si>
    <t>по умолчанию 0,95 для всех, кроме кодов «двигатель»</t>
  </si>
  <si>
    <t>cos φ по типу нагрузки (СП 256 п. 7.1.12: насосы и вентиляция 0,8)</t>
  </si>
  <si>
    <t>Автомат линии по току</t>
  </si>
  <si>
    <t>ближайший стандартный с Iр ≤ 0,9·In (запас 10 %)</t>
  </si>
  <si>
    <t>без изменений, запас вынести в настройку</t>
  </si>
  <si>
    <t>Сечение кабеля</t>
  </si>
  <si>
    <t>ПУЭ табл. 1.3.7 (подписано «1.3.6»), один общий К прокладки</t>
  </si>
  <si>
    <t>ГОСТ 31996 / паспорт производителя, способ прокладки и коэффициенты по ГОСТ Р 50571.5.52</t>
  </si>
  <si>
    <t>Согласование автомат ↔ кабель</t>
  </si>
  <si>
    <t>In ≤ Iдоп·k, проверка «кабель не защищён»</t>
  </si>
  <si>
    <t>Длина линии</t>
  </si>
  <si>
    <t>✅ (проектный приём)</t>
  </si>
  <si>
    <t>план + опуски + подъём на этаж</t>
  </si>
  <si>
    <t>Потери напряжения</t>
  </si>
  <si>
    <t>формула ГОСТ Р 50571.5.52 прил. G, пределы 3 % / 4 % СП 256 п. 8.23</t>
  </si>
  <si>
    <t>добавить +0,005 %/м после 100 м и проверку 7,5 % от ТП</t>
  </si>
  <si>
    <t>Iкз min, отключение 0,4 с</t>
  </si>
  <si>
    <t>без сопротивления дуги, PE = фазе, только медь</t>
  </si>
  <si>
    <t>дуга по ГОСТ 28249, сечение PE, алюминий</t>
  </si>
  <si>
    <t>Iкз max, отключающая способность</t>
  </si>
  <si>
    <t>❌</t>
  </si>
  <si>
    <t>Iкз max считается, но с Icu аппарата не сравнивается</t>
  </si>
  <si>
    <t>автоматическая проверка Icu ≥ Iкз max</t>
  </si>
  <si>
    <t>Кс бытовой нагрузки</t>
  </si>
  <si>
    <t>⚠️ / ❌</t>
  </si>
  <si>
    <t>табл. 7.2 верна, но отопление и тёплые полы снижаются Кс (по Изм. 9 — отдельно, Кс 1 и 0,7)</t>
  </si>
  <si>
    <t>группы «Отопление» и «ВНГ / тёплый пол»</t>
  </si>
  <si>
    <t>Кс силовой нагрузки</t>
  </si>
  <si>
    <t>вводится вручную (в объекте ЖД везде 0,5)</t>
  </si>
  <si>
    <t>автоматически по табл. 7.5 по числу электроприёмников</t>
  </si>
  <si>
    <t>Ко = 0,9</t>
  </si>
  <si>
    <t>применяется к любому щиту, в т. ч. чисто силовому</t>
  </si>
  <si>
    <t>только там, где сходятся квартиры и силовая нагрузка (ВРУ дома)</t>
  </si>
  <si>
    <t>kп.к (региональный)</t>
  </si>
  <si>
    <t>отсутствует (СП 256 формула 6, табл. 7.5а: ЦФО 0,81)</t>
  </si>
  <si>
    <t>настройка объекта + решение о применимости</t>
  </si>
  <si>
    <t>Пожарные нагрузки</t>
  </si>
  <si>
    <t>не входят в расчётный максимум (СП 256 п. 7.1.9)</t>
  </si>
  <si>
    <t>исправить ссылку (в книге — СП 31-110)</t>
  </si>
  <si>
    <t>cos φ и Iр щита</t>
  </si>
  <si>
    <t>cos φ щита — средневзвешенный по P, а не через Q</t>
  </si>
  <si>
    <t>Q = Σ P·tg φ, cos φ = P / S</t>
  </si>
  <si>
    <t>СП 256 п. 7.3.1–7.3.2: не требуется при ≤ 50 квар на ввод</t>
  </si>
  <si>
    <t>Категории надёжности</t>
  </si>
  <si>
    <t>ПУЭ 1.2.17–1.2.21, СП 256 табл. 6.1, п. 6.13, 8.10</t>
  </si>
  <si>
    <t>Питающая линия щита</t>
  </si>
  <si>
    <t>uк трансформатора 5,5 % константой, Y/Yн — «×3»</t>
  </si>
  <si>
    <t>uк и Zт(1) из паспорта трансформатора</t>
  </si>
  <si>
    <t>Лист «ТКЗ»</t>
  </si>
  <si>
    <t>старый расчёт (220 / Z, без коэффициентов), в основной не входит</t>
  </si>
  <si>
    <t>удалить, всё считает «Питание_щита»</t>
  </si>
  <si>
    <t>Запас кабеля 20 % в журнале</t>
  </si>
  <si>
    <t>не норма, проектный приём</t>
  </si>
  <si>
    <t>настройка объекта</t>
  </si>
  <si>
    <t>2. Исходные данные линии и значения «по коду»</t>
  </si>
  <si>
    <t>Одна линия = одна строка «Исходных данных». Номер линии имеет вид Код.Помещение.№ (пример: K.1.002A.1).</t>
  </si>
  <si>
    <t>Код (часть до первой точки) ищется в «Справочной» P4:P51. Из строки кода берутся значения по умолчанию:</t>
  </si>
  <si>
    <t>Что</t>
  </si>
  <si>
    <t>Столбец кода в «Справочной»</t>
  </si>
  <si>
    <t>Куда идёт</t>
  </si>
  <si>
    <t>Q</t>
  </si>
  <si>
    <t>«Исходные данные» B</t>
  </si>
  <si>
    <t>длина линии</t>
  </si>
  <si>
    <t>Этаж / шлейф</t>
  </si>
  <si>
    <t>S</t>
  </si>
  <si>
    <t>способ подписи и подъём на этаж</t>
  </si>
  <si>
    <t>Тип пускового тока: 1 — нет, 2 — двигатель, 3 — светодиоды</t>
  </si>
  <si>
    <t>T</t>
  </si>
  <si>
    <t>cos φ и Iпуск</t>
  </si>
  <si>
    <t>Марка кабеля, жилы, напряжение, фазы, сечение</t>
  </si>
  <si>
    <t>U, V, W, X, Y</t>
  </si>
  <si>
    <t>N, O, F, H, Q</t>
  </si>
  <si>
    <t>Вид нагрузки (строка таблицы для пояснительной записки)</t>
  </si>
  <si>
    <t>«Исходные данные» BE</t>
  </si>
  <si>
    <t>AZ</t>
  </si>
  <si>
    <t>«Исходные данные» BC</t>
  </si>
  <si>
    <t>BD</t>
  </si>
  <si>
    <t>«Исходные данные» BQ</t>
  </si>
  <si>
    <t>УГО, 30 мА, мин. автомат, клемм 3L</t>
  </si>
  <si>
    <t>AV, AW, AX, AY</t>
  </si>
  <si>
    <t>«Однолинейка»</t>
  </si>
  <si>
    <t>Ручной ввод в «Исходных данных» всегда важнее значения по коду.</t>
  </si>
  <si>
    <t>3. Ток линии</t>
  </si>
  <si>
    <t>Формула ('Исходные данные'!T):</t>
  </si>
  <si>
    <t>•  однофазная линия: I = P / (Uф · cos φ), где Uф = Uн / √3 = 0,4 / 1,732 = 0,231 кВ;</t>
  </si>
  <si>
    <t>•  трёхфазная линия: I = P / (√3 · Uн · cos φ), Uн = 0,4 кВ.</t>
  </si>
  <si>
    <t>P — кВт, U — кВ, I — А. Uн берётся из «Справочной» BQ29.</t>
  </si>
  <si>
    <t>Для линии, которая питает нижестоящий щит, ток берётся из файла этого щита («Нижестоящие_щиты» J).</t>
  </si>
  <si>
    <t>Норма: закон Ома для активной мощности, без особых требований. Вердикт: ✅.</t>
  </si>
  <si>
    <t>cos φ линии ('Исходные данные'!P)</t>
  </si>
  <si>
    <t>•  код с типом «двигатель» (T = 2): cos φ по мощности из «Справочная_потребители» B:K (3ф — столбец I, 1ф — столбец K);</t>
  </si>
  <si>
    <t>•  все остальные: 0,95;</t>
  </si>
  <si>
    <t>•  фидер нижестоящего щита: cos φ из его файла.</t>
  </si>
  <si>
    <t>Норма: СП 256 п. 7.1.12 даёт коэффициенты мощности питающих линий: квартиры с электроплитами 0,98 (с кондиционерами 0,93), с газовыми плитами 0,96 (0,92), хозяйственные насосы, вентиляционные установки и другие сантехнические устройства — 0,8.</t>
  </si>
  <si>
    <t>Вердикт: ⚠️. Вентиляция, ККБ и насосы с кодом не «двигатель» получают 0,95. Ток таких линий занижен до 16 % (0,95 / 0,8 = 1,19).</t>
  </si>
  <si>
    <t>В v4: cos φ по типу нагрузки из справочника кодов; значение 0,8 для вентиляции и насосов по умолчанию.</t>
  </si>
  <si>
    <t>4. Аппарат защиты</t>
  </si>
  <si>
    <t>4.1 Номинал по току линии ('Исходные данные'!U)</t>
  </si>
  <si>
    <t>In = наименьший номинал ряда, для которого Iр ≤ 0,9 · In.</t>
  </si>
  <si>
    <t>Таблица «Справочная» F4:G23: пороги тока = 0,9 × предыдущего номинала (6 А до 5,4 А; 10 А до 9 А; 16 А до 14,4 А …).</t>
  </si>
  <si>
    <t>Если введён автомат вручную (R), берётся он.</t>
  </si>
  <si>
    <t>Норма: ГОСТ Р 50571.4.43, п. 433.1: Iр ≤ In ≤ Iдоп. Запас 10 % нормой не требуется, это проектный запас.</t>
  </si>
  <si>
    <t>Вердикт: ✅ (в запас).</t>
  </si>
  <si>
    <t>4.2 Групповой автомат (Однолинейка!Z:AU)</t>
  </si>
  <si>
    <t>Если на один автомат подключено несколько линий (группа), номинал считается так:</t>
  </si>
  <si>
    <t>1. Ток группы Z = сумма токов линий группы (линии «в тот же кабель» не суммируются).</t>
  </si>
  <si>
    <t>2. Номинал по току AA — по той же таблице с запасом 10 %.</t>
  </si>
  <si>
    <t>3. Минимальный номинал по типу BB = больший из: автомат вручную («Исходные данные» R) и минимальный автомат кода («Справочная» AX).</t>
  </si>
  <si>
    <t>4. Номинал AO = max(AA, max BB по группе).</t>
  </si>
  <si>
    <t>5. Если в группе есть блок питания или трансформатор — не меньше «Справочная» BF5.</t>
  </si>
  <si>
    <t>6. Итог AU берётся из текста автомата (H), например «1P С16А» → 16.</t>
  </si>
  <si>
    <t>Проверки (Однолинейка!W):</t>
  </si>
  <si>
    <t>•  «ПЕРЕГРУЗ», если ток группы &gt; In;</t>
  </si>
  <si>
    <t>•  «КАБЕЛЬ НЕ ЗАЩИЩЁН», если In &gt; наименьшего «максимального автомата по кабелю» среди линий группы (AB, AP). Проверка не делается за БП / трансформатором.</t>
  </si>
  <si>
    <t>Вердикт: ✅. Требование Iр ≤ In ≤ Iдоп (ГОСТ Р 50571.4.43, п. 433.1) выполнено. Условие I2 ≤ 1,45·Iдоп для модульных автоматов по ГОСТ IEC 60898-1 выполняется автоматически (I2 = 1,45·In).</t>
  </si>
  <si>
    <t>ПРИМЕЧАНИЕ: сечение линии подбирается по её собственному автомату (4.1), а не по групповому. Если групповой автомат больше, сработает проверка «КАБЕЛЬ НЕ ЗАЩИЩЁН». Это правильно, но в v4 сечение лучше подбирать сразу по групповому автомату.</t>
  </si>
  <si>
    <t>4.3 Полюса и 30 мА (Однолинейка!AR:AT)</t>
  </si>
  <si>
    <t>•  30 мА: текст автомата содержит «мА», или F = «да», или хотя бы у одной линии группы код требует 30 мА («Справочная» AW); F = «нет» отменяет.</t>
  </si>
  <si>
    <t>•  Полюса: 3ф — 3P (с 30 мА 4P), 1ф — 1P (с 30 мА 2P).</t>
  </si>
  <si>
    <t>•  Предупреждение «розетка без 30 мА» для кода R.</t>
  </si>
  <si>
    <t>Норма: ПУЭ 7.1.79 и СП 256 (применение ВДТ для розеточных сетей). Вердикт: ✅.</t>
  </si>
  <si>
    <t>5. Сечение кабеля ('Исходные данные'!V)</t>
  </si>
  <si>
    <t>Алгоритм:</t>
  </si>
  <si>
    <t>1. Требуемый допустимый ток: Iтреб = In / (k_жил · К_прокл).</t>
  </si>
  <si>
    <t>•  k_жил = 0,92 для 3ф кабеля с 4–5 жилами, иначе 1;</t>
  </si>
  <si>
    <t>•  К_прокл — из «Исходные данные» BH, иначе общий («Справочная» BQ30, сейчас 1).</t>
  </si>
  <si>
    <t>2. Столбец таблицы: одножильные (O = 1), двухжильные (1ф, нагружены L и N), трёхжильные (3ф).</t>
  </si>
  <si>
    <t>3. Берётся наименьшее сечение с Iдоп ≥ Iтреб. Больше 240 мм² — «Не исп».</t>
  </si>
  <si>
    <t>4. Сечение вручную (Q) важнее расчёта.</t>
  </si>
  <si>
    <t>Таблица («Справочная» BX:CA) — медь, прокладка в воздухе. Значения совпадают с ПУЭ табл. 1.3.7 (кабели с медными жилами в ПВХ / резиновой оболочке): 1,5 мм² — 23 / 19 / 19 А; 2,5 — 30 / 27 / 25 А; 25 — 140 / 115 / 95 А и т. д. В книге таблица подписана «ПУЭ табл. 1.3.6» — это ошибка подписи. Коэффициент 0,92 для четырёхжильных кабелей — ПУЭ п. 1.3.10.</t>
  </si>
  <si>
    <t>Норма: ГОСТ Р 50571.4.43 (In ≤ Iдоп); допустимые токи кабелей с ПВХ-изоляцией по ГОСТ 31996-2012 или по документации изготовителя; поправки на способ прокладки, группу и температуру — ГОСТ Р 50571.5.52.</t>
  </si>
  <si>
    <t>Вердикт: ⚠️.</t>
  </si>
  <si>
    <t>•  Таблица ПУЭ 1.3.7 исторически для резиновой изоляции. Для ВВГнг и ППГнг первичны данные изготовителя, затем ГОСТ 31996-2012, затем ГОСТ Р 50571.5.52.</t>
  </si>
  <si>
    <t>•  Поправочные коэффициенты на совместную прокладку (группу) и температуру не учитываются: только один общий К прокладки на линию. При пучке кабелей в лотке результат может быть завышен.</t>
  </si>
  <si>
    <t>•  Алюминиевые жилы не поддерживаются.</t>
  </si>
  <si>
    <t>В v4: таблица допустимых токов по ГОСТ 31996 (медь и алюминий, воздух и земля); способ прокладки на линию; коэффициент группы и температуры по ГОСТ Р 50571.5.52; подпись источника в заголовке.</t>
  </si>
  <si>
    <t>6. Длина линии ('Исходные данные'!M)</t>
  </si>
  <si>
    <t>L = Опуск · (2·n − 1) + Lплан + Подъём_этажа + По_другим_этажам</t>
  </si>
  <si>
    <t>•  Опуск — «Справочная» R по коду (м), n — число потребителей G: к каждому потребителю кабель опускается и поднимается, кроме последнего;</t>
  </si>
  <si>
    <t>•  Lплан — «Исходные данные» I (заполняет DLN.lsp из чертежа);</t>
  </si>
  <si>
    <t>•  подъём — «Справочная» AF:AG по этажу (только для кодов «этаж»).</t>
  </si>
  <si>
    <t>Разбивка по способу прокладки: лоток J, гофра ПВХ K, гофра ПНД L (K, L — из чертежа минус 4 м на опуски).</t>
  </si>
  <si>
    <t>Норма: не нормируется, проектный приём. Вердикт: ✅.</t>
  </si>
  <si>
    <t>7. Потери напряжения ('Исходные данные'!AA:AB, BG)</t>
  </si>
  <si>
    <t>Формула (ГОСТ Р 50571.5.52, прил. G):</t>
  </si>
  <si>
    <t>ΔU = b · (ρ · L / S · cos φ + x · L · sin φ / 1000) · I, В</t>
  </si>
  <si>
    <t>•  b = 2 для однофазной линии (фаза + нейтраль), 1 для трёхфазной;</t>
  </si>
  <si>
    <t>•  ρ = 0,0225 Ом·мм²/м — медь при рабочей температуре (1,25·ρ20), «Справочная» D;</t>
  </si>
  <si>
    <t>•  x — индуктивное сопротивление, Ом/км, по сечению («Справочная» C, 0,13…0,059);</t>
  </si>
  <si>
    <t>•  L — м, S — мм², I — А.</t>
  </si>
  <si>
    <t>ΔU% = ΔU / Uф · 100 (Uф = 231 В). Для трёхфазной линии это равно отношению линейных величин.</t>
  </si>
  <si>
    <t>Итог от ВРУ (BG) = ΔU линии + ΔU от ВРУ до шин щита («Питание_щита» стр. 33).</t>
  </si>
  <si>
    <t>Пределы (BF): светильники — 3 %, прочие — 4 %.</t>
  </si>
  <si>
    <t>Норма: СП 256 п. 8.23: потери от ВРУ здания до наиболее удалённых светильников не более 3 %, до прочих потребителей не более 4 %. При длине более 100 м допускается +0,005 % на каждый метр сверх 100, но не более +0,5 %. Суммарно от шин 0,4 кВ ТП до наиболее удалённого светильника — не более 7,5 %. (ГОСТ Р 50571.5.52 табл. G.52.1 даёт 3 % / 5 % — СП 256 строже, книга берёт СП 256.)</t>
  </si>
  <si>
    <t>Вердикт: ✅ формула и пределы. Не реализованы: надбавка за длину &gt; 100 м (в запас) и проверка 7,5 % от ТП.</t>
  </si>
  <si>
    <t>В v4: надбавка 0,005 %/м; ΔU внешней сети (от ТП до ВРУ) как исходное данное объекта и проверка 7,5 %.</t>
  </si>
  <si>
    <t>8. Токи КЗ и автоматическое отключение</t>
  </si>
  <si>
    <t>8.1 Сопротивление петли на шинах щита (Питание_щита!C34)</t>
  </si>
  <si>
    <t>•  если щит связан с вышестоящим: Zшин = Zшин вышестоящего (по связи) + Rпер;</t>
  </si>
  <si>
    <t>•  если щит — ВРУ от ТП: Zт = uк · Uн² / Sт (uк = 5,5 %, для Y/Yн ×3) + петля питающего кабеля + Rпер;</t>
  </si>
  <si>
    <t>•  если известен Iкз min от сетевой организации: Z = c_min · Uф / Iкз min.</t>
  </si>
  <si>
    <t>Петля питающего кабеля: 2 · ρкз · L / (S · n), ρкз(Cu) = 0,0263, ρкз(Al) = 0,042 Ом·мм²/м (≈1,5·ρ20).</t>
  </si>
  <si>
    <t>Rпер = 0,015 Ом на каждый щит («Питание_щита» C53).</t>
  </si>
  <si>
    <t>8.2 Iкз min в конце линии ('Исходные данные'!BL, BI)</t>
  </si>
  <si>
    <t>Zпетли = Zшин + 2 · ρкз(Cu) · L / S</t>
  </si>
  <si>
    <t>Iкз min = c_min · Uф / Zпетли, c_min = 0,95.</t>
  </si>
  <si>
    <t>8.3 Проверка отключения ('Исходные данные'!BJ, BK)</t>
  </si>
  <si>
    <t>Iкз min / In ≥ 5 (характеристика B), ≥ 10 (C), ≥ 20 (D) → «ok». Иначе «ok (УЗО 30 мА)», если у группы есть 30 мА, или «мало».</t>
  </si>
  <si>
    <t>Нормы:</t>
  </si>
  <si>
    <t>•  ПУЭ п. 1.7.79, табл. 1.7.1: время автоматического отключения в системе TN при Uф = 220 В — не более 0,4 с для групповых цепей; для распределительных цепей — не более 5 с;</t>
  </si>
  <si>
    <t>•  ГОСТ IEC 60898-1: зона мгновенного расцепления B — 3…5·In, C — 5…10·In, D — 10…20·In. Книга берёт верхнюю границу (в запас);</t>
  </si>
  <si>
    <t>•  ГОСТ 28249-93: п. 2.4.2 — нагрев проводников при КЗ, коэффициент 1,5 допускается при приближённых расчётах (совпадает с ρкз); п. 1.5 — рекомендуется учитывать сопротивление дуги и нагрев; п. 2.6 — переходные сопротивления контактов: 0,1 мОм на кабельное соединение, 1,0 мОм на коммутационный аппарат.</t>
  </si>
  <si>
    <t>•  Сопротивление дуги не учитывается: расчётный Iкз min получается выше реального. Это не в запас.</t>
  </si>
  <si>
    <t>•  Rпер 15 мОм на щит взят из справочной практики, а не из ГОСТ 28249. Частично компенсирует отсутствие дуги.</t>
  </si>
  <si>
    <t>•  Сечение PE принимается равным сечению фазы. Для кабелей с уменьшенным PE (например, 4×95+1×50) петля занижена.</t>
  </si>
  <si>
    <t>•  Индуктивное сопротивление линий не учитывается (существенно только от 50–70 мм²).</t>
  </si>
  <si>
    <t>•  В линиях только медь.</t>
  </si>
  <si>
    <t>•  c_min = 0,95 взят из МЭК 60909-0 (коэффициент напряжения для минимального тока КЗ в сетях до 1 кВ), в ГОСТ 28249 такого коэффициента нет. Допустимо.</t>
  </si>
  <si>
    <t>В v4: сопротивление дуги по ГОСТ 28249; сечение PE отдельно; материал жил; x линии от 35 мм².</t>
  </si>
  <si>
    <t>8.4 Iкз max и отключающая способность ('Исходные данные'!BM, Питание_щита!C36)</t>
  </si>
  <si>
    <t>Iкз max = 1,05 · Uф / (Zшин(3ф) + ρ20 · L / S), ρ20 = 0,0175.</t>
  </si>
  <si>
    <t>Норма: ГОСТ Р 50571.4.43 и СП 256 (в линиях I категории аппараты проверяются по режиму КЗ, ГОСТ IEC 60898-2 п. 8.8): отключающая способность аппарата ≥ Iкз max в месте установки.</t>
  </si>
  <si>
    <t>Вердикт: ❌. Iкз max считается, но с отключающей способностью (Icu, например 6 кА) не сравнивается. Сравнение оставлено инженеру (подсказка на «Питание_щита» стр. 36).</t>
  </si>
  <si>
    <t>В v4: Icu аппарата в «Каталоге»; автоматическая проверка Icu ≥ Iкз max на шинах.</t>
  </si>
  <si>
    <t>8.5 Данные для ТКЗ в объекте ЖД</t>
  </si>
  <si>
    <t>ВНИМАНИЕ: в объекте ЖД ТКЗ не считаются ни в одном щите. В ГРЩ‑ЖД на «Питание_щита» не введены Iкз от сетевой организации или данные трансформатора. Поэтому Zшин пусты, и столбцы BI:BM (Iкз, отключение 0,4 с) у всех нижних щитов пустые. Запросите у сетевой организации Iкз min / max на вводе и введите их в ГРЩ, раздел 2.</t>
  </si>
  <si>
    <t>9. Расчётная нагрузка щита (Нагрузка_щитов!AE:AH)</t>
  </si>
  <si>
    <t>9.1 Группы нагрузки</t>
  </si>
  <si>
    <t>Что относится</t>
  </si>
  <si>
    <t>Как считается</t>
  </si>
  <si>
    <t>розетки, свет, кондиционеры, тёплый пол, бытовые щиты</t>
  </si>
  <si>
    <t>Кс по табл. СП 256 по сумме Руст быт щита</t>
  </si>
  <si>
    <t>вентиляция, насосы, пищеблок, бассейн, хаммам</t>
  </si>
  <si>
    <t>Кс своей линии («Исходные данные» BA; пусто = 1), затем × Ко</t>
  </si>
  <si>
    <t>обогрев кровли, слаботочные шкафы, АСУ, СПЗ</t>
  </si>
  <si>
    <t>Кс = 1, без Ко</t>
  </si>
  <si>
    <t>вводы, резерв, транзит</t>
  </si>
  <si>
    <t>не учитывается</t>
  </si>
  <si>
    <t>фидер нижестоящего щита</t>
  </si>
  <si>
    <t>составляющие берутся из файла щита</t>
  </si>
  <si>
    <t>9.2 Формула</t>
  </si>
  <si>
    <t>Рр = Руст.быт · Кс.быт + Ко · Σ(Pсил · Кс) + Руст.пост, Ко = 0,9 («Справочная» BQ14).</t>
  </si>
  <si>
    <t>Кс быт — линейная интерполяция по таблице «Справочная» BP4:BQ11:</t>
  </si>
  <si>
    <t>≤14</t>
  </si>
  <si>
    <t>0,8</t>
  </si>
  <si>
    <t>0,65</t>
  </si>
  <si>
    <t>0,6</t>
  </si>
  <si>
    <t>0,55</t>
  </si>
  <si>
    <t>Считается для всего щита (аварийный режим) и по секциям 1 и 2. «Кс итоговый» = Рр / Руст.</t>
  </si>
  <si>
    <t>•  СП 256 табл. 7.2 (Кс для квартир повышенной комфортности по заявленной мощности) — значения совпадают ✅;</t>
  </si>
  <si>
    <t>•  СП 256 табл. 7.1, прим. 4 и 11: квартиры повышенной комфортности — по заданию или по заявленной мощности с Кс (табл. 7.2) и Ко (табл. 7.3); одноквартирный дом 55–300 м² — по удельным нагрузкам табл. 7.1;</t>
  </si>
  <si>
    <t>•  СП 256 п. 7.1.10, формула (6): Рр.ж.д = kп.к · Ркв + 0,9 · Рс; kп.к — табл. 7.5а (ЦФО 0,81, СЗФО 0,91 …);</t>
  </si>
  <si>
    <t>•  СП 256 п. 7.1.8, табл. 7.5: Кс для сантехнического оборудования и холодильных машин по числу электроприёмников (доля 100–85 %: 2 — 1,0; 3 — 0,9; 5 — 0,8; 8 — 0,75; 10 — 0,7; 15–20 — 0,65; 30 — 0,6; 50–100 — 0,55; 200 — 0,5; резервные не учитываются);</t>
  </si>
  <si>
    <t>•  Изменение № 9 к СП 256 (с 26.01.2026): к нагрузке квартир (домов) повышенной комфортности электроотопление прибавляется отдельно с Кс = 1, электроводонагреватели (и, по пересказу, тёплые полы) — с коэффициентом 0,7. Новый подраздел 7.5 — расчёт для ОИЖС (формула 17, табл. 7.19: 1 дом — 12 кВт с газовой плитой, 16,2 кВт с электроплитой + отопление, ВНГ, обогрев кровли отдельными слагаемыми).</t>
  </si>
  <si>
    <t>Вердикт:</t>
  </si>
  <si>
    <t>•  Кс быт по табл. 7.2 — ✅;</t>
  </si>
  <si>
    <t>•  отопление и тёплые полы в группе «Быт» снижаются табличным Кс — ❌ по Изм. 9 (должны идти отдельно с 1 и 0,7);</t>
  </si>
  <si>
    <t>•  Кс силовой нагрузки вводится вручную — ⚠️ (в объекте ЖД у всех линий ЩОВ‑001 стоит 0,5; по табл. 7.5 для 34 электроприёмников ≈ 0,59);</t>
  </si>
  <si>
    <t>•  Ко = 0,9 применяется на любом щите — ⚠️: по формуле (6) это коэффициент совмещения квартирной и силовой нагрузки на вводе дома. На чисто силовом щите (ЩОВ) он занижает Рр на 10 %;</t>
  </si>
  <si>
    <t>•  kп.к отсутствует — ⚠️ (нужно решение: применим ли он к дому повышенной комфортности; для многоквартирных домов обязателен).</t>
  </si>
  <si>
    <t>В v4:</t>
  </si>
  <si>
    <t>•  выбор метода на объект: «квартира / дом повышенной комфортности (табл. 7.2 + 7.3)», «ОИЖС (п. 7.5)», «многоквартирный дом (табл. 7.1 + kп.к)», «общественное здание»;</t>
  </si>
  <si>
    <t>•  группы «Отопление» (Кс 1) и «ВНГ / тёплый пол» (0,7);</t>
  </si>
  <si>
    <t>•  Кс сантехники и вентиляции — автоматически по табл. 7.5 по числу работающих электроприёмников и доле;</t>
  </si>
  <si>
    <t>•  Ко только на щите, где есть и бытовая, и силовая нагрузка (флажок «ВРУ дома»).</t>
  </si>
  <si>
    <t>9.3 Ток щита, cos φ, фазы</t>
  </si>
  <si>
    <t>•  Фаза линии назначается по кругу L1 → L2 → L3 для однофазных линий, трёхфазные — на все фазы («Разбивка_по_щитам» S:T). Вручную — «Нагрузка_щитов» E.</t>
  </si>
  <si>
    <t>•  Мощность фазы = Σ однофазных этой фазы + Σ трёхфазных / 3.</t>
  </si>
  <si>
    <t>•  Iр = max( Pфазы.max · Кс.итог / (Uф · cos φ) ; Рр / (√3 · Uн · cos φ) ) — по наиболее нагруженной фазе.</t>
  </si>
  <si>
    <t>•  cos φ щита = Σ(P · cos φ) / ΣP.</t>
  </si>
  <si>
    <t>Вердикт: ⚠️. Ток по наиболее нагруженной фазе — правильный инженерный приём. cos φ щита правильнее считать через реактивную мощность: Q = Σ P·tg φ, cos φ = P / √(P² + Q²). При смеси 0,95 и 0,8 ошибка — 1–2 %.</t>
  </si>
  <si>
    <t>9.4 Пожарные нагрузки</t>
  </si>
  <si>
    <t>Пожарные линии (BO = «да» или код с признаком «пожарная») идут отдельным режимом «Пожар» и в расчётный максимум не входят.</t>
  </si>
  <si>
    <t>Норма: СП 256 п. 7.1.9: мощность электроприёмников противопожарных устройств и резервных двигателей при расчёте нагрузок питающих линий и вводов не учитывается, кроме случаев, когда она определяет выбор аппаратов и сечений; для линий одновременно работающих противопожарных устройств Кс = 1.</t>
  </si>
  <si>
    <t>Вердикт: ✅. В книге ссылка на «СП 31-110-2003 п. 6.9» — заменить на СП 256 п. 7.1.9.</t>
  </si>
  <si>
    <t>10. Питающая линия и шины щита (Питание_щита, раздел 3)</t>
  </si>
  <si>
    <t>Строка</t>
  </si>
  <si>
    <t>Величина</t>
  </si>
  <si>
    <t>Формула</t>
  </si>
  <si>
    <t>Норма</t>
  </si>
  <si>
    <t>29–31</t>
  </si>
  <si>
    <t>Рр, Iр, cos φ щита</t>
  </si>
  <si>
    <t>из «Нагрузка_щитов»</t>
  </si>
  <si>
    <t>см. разд. 9</t>
  </si>
  <si>
    <t>(ρ·L/(S·n)·cos φ + 0,08·L/n·sin φ /1000)·Iр / Uф·100, ρ = 0,0225 (Cu) / 0,036 (Al)</t>
  </si>
  <si>
    <t>ГОСТ Р 50571.5.52 прил. G (x = 0,08 мОм/м)</t>
  </si>
  <si>
    <t>ΔU вышестоящего + ΔU питающей; для ВРУ = 0</t>
  </si>
  <si>
    <t>СП 256 п. 8.23</t>
  </si>
  <si>
    <t>34–36</t>
  </si>
  <si>
    <t>Zпетли, Iкз min, Iкз max на шинах</t>
  </si>
  <si>
    <t>см. разд. 8</t>
  </si>
  <si>
    <t>ГОСТ 28249</t>
  </si>
  <si>
    <t>Iдоп питающего кабеля</t>
  </si>
  <si>
    <t>ПУЭ 1.3.7 × 0,92 (4–5 жил) × n × К прокл; для Al — «ПУЭ 1.3.7» вручную</t>
  </si>
  <si>
    <t>ГОСТ 31996</t>
  </si>
  <si>
    <t>Iр ≤ In ≤ Iдоп</t>
  </si>
  <si>
    <t>ГОСТ Р 50571.4.43 п. 433.1</t>
  </si>
  <si>
    <t>Отключение КЗ на шинах</t>
  </si>
  <si>
    <t>Iкз min ≥ 5 / 10 / 20 · In</t>
  </si>
  <si>
    <t>ПУЭ 1.7.79 (распред. цепи ≤ 5 с)</t>
  </si>
  <si>
    <t>Термическая стойкость кабеля</t>
  </si>
  <si>
    <t>t = (k·S / Iкз max)², k = 115 (Cu, ПВХ) / 76 (Al); если t &lt; 0,1 с — проверить по I²t аппарата</t>
  </si>
  <si>
    <t>ГОСТ Р 50571.4.43 п. 434.5.2</t>
  </si>
  <si>
    <t>Селективность</t>
  </si>
  <si>
    <t>In ≥ 1,6 · max In отходящих</t>
  </si>
  <si>
    <t>ориентир; подтверждать картами селективности изготовителя</t>
  </si>
  <si>
    <t>Трансформатор: Zт = uк · Uн² / Sт, uк = 5,5 % константой; для Y/Yн сопротивление петли ×3.</t>
  </si>
  <si>
    <t>Вердикт: ⚠️. ГОСТ 28249 требует сопротивления нулевой последовательности по данным изготовителя. Множитель 3 — грубая оценка.</t>
  </si>
  <si>
    <t>В v4: uк, Sт и схема из паспорта; Zт(1) / 3 по таблице изготовителя.</t>
  </si>
  <si>
    <t>11. Категории надёжности, режимы, ИБП</t>
  </si>
  <si>
    <t>Обеспечиваемая категория шины:</t>
  </si>
  <si>
    <t>1 ввод, питающая линия I особая / I / II</t>
  </si>
  <si>
    <t>шина ИБП или ДГУ</t>
  </si>
  <si>
    <t>•  ПУЭ 1.2.17–1.2.21: категория определяется последствиями перерыва питания; I — два независимых взаимно резервирующих источника, перерыв только на время автоматического восстановления (1.2.19); II — допускается перерыв на время ручного переключения (1.2.20);</t>
  </si>
  <si>
    <t>•  СП 256 табл. 6.1 — категории электроприёмников жилых и общественных зданий; п. 6.13 и 8.10 — АВР на вводе или самостоятельный щит с АВР у электроприёмников I категории;</t>
  </si>
  <si>
    <t>•  СП 6.13130.2021 — системы противопожарной защиты по I категории.</t>
  </si>
  <si>
    <t>Вердикт: ✅. Ограничение «один кабель — не выше II» соответствует ПУЭ 1.2.19 и СП 256 п. 8.10.</t>
  </si>
  <si>
    <t>Режимы («Режимы»): нормальный (СВ отключён), аварийный (потеря ввода 1 или 2), максимум аварийного, потеряны все вводы (только ИБП и ДГУ), пожар (вне максимума), нормальный + пожарные. Рр каждого набора линий считается по формуле разд. 9.2 заново (Кс быт — по сумме своего набора).</t>
  </si>
  <si>
    <t>Вердикт: ✅ (методика СП 256 п. 7.1.9 и разд. 9.2).</t>
  </si>
  <si>
    <t>ИБП («ИБП»):</t>
  </si>
  <si>
    <t>•  требуемая S = P / cos φ вых / допустимая загрузка (0,75);</t>
  </si>
  <si>
    <t>•  ёмкость АКБ, А·ч = P · 1000 · t / 60 / (U · КПД · k), k = 0,8 (разряд и старение);</t>
  </si>
  <si>
    <t>•  вход ИБП: P вх = P / КПД · (1 + заряд АКБ 10 %).</t>
  </si>
  <si>
    <t>Норма: не нормируется; время автономии для систем противопожарной защиты — по СП 6.13130 и СП 484.1311500. Вердикт: ⚠️ (инженерная методика, автономию задаёт проектировщик по нормам на конкретную систему).</t>
  </si>
  <si>
    <t>12. Таблица нагрузок для пояснительной записки и компенсация</t>
  </si>
  <si>
    <t>«Расчёт_нагрузок»: строки по видам нагрузки («Справочная» BT:BV, в v4 — столбец «Вид нагрузки»), для каждой — Руст, Кс = Рр / Руст, cos φ (средневзвешенный или из «Справочной» BU), tg φ, Рр, Qр = Рр·tg φ, Sр, Iр = Sр / (√3·Uн). Итог щита — с Ко = 0,9.</t>
  </si>
  <si>
    <t>Компенсация: Qку = Рр · (tg φ − 0,35); если &lt; 50 квар — «не требуется».</t>
  </si>
  <si>
    <t>Норма: СП 256 п. 7.3.1: для жилых и общественных зданий КРМ, как правило, не требуется; п. 7.3.2: для тепловых пунктов, насосных и т. п. — не требуется, если мощность КУ на рабочем вводе ≤ 50 квар (≈ 250 кВт нагрузки). Целевой tg φ = 0,35 — из приказа Минэнерго № 380 (предельные значения для потребителей), в СП 256 не задан.</t>
  </si>
  <si>
    <t>Вердикт: ✅.</t>
  </si>
  <si>
    <t>13. Кабельный журнал и спецификация</t>
  </si>
  <si>
    <t>•  Длина кабеля в журнале = длина трассы × (1 + запас 20 %) («Кабельный_журнал» D3). Запас — проектный приём, не норма. ⚠️ Вынести в настройку объекта.</t>
  </si>
  <si>
    <t>•  Спецификация считает автоматы, аппараты, модули, клеммы по «Однолинейке» (Каталог N) + ручной запас (O). Расчётом не является.</t>
  </si>
  <si>
    <t>14. Лист «ТКЗ»</t>
  </si>
  <si>
    <t>Старый ручной расчёт по участкам: Iкз = 220 / Zпетли, без c_min, без нагрева, свой справочник автоматов. В основной расчёт не входит (v1.04: «для тестирования»).</t>
  </si>
  <si>
    <t>Вердикт: ❌ (дублирует и противоречит «Питание_щита»). В v4: удалить.</t>
  </si>
  <si>
    <t>15. Пример: линия ККБ‑1 щита ЩОВ‑001 (объект ЖД)</t>
  </si>
  <si>
    <t>Исходные данные: P = 28 кВт, 3ф, 400 В, кабель ВВГнг(А)-LS 5×25 (сечение задано вручную), L = 34 м, автомат вручную 63 А, cos φ = 0,95, группа «Сил», Кс = 0,5.</t>
  </si>
  <si>
    <t>Шаг</t>
  </si>
  <si>
    <t>Результат</t>
  </si>
  <si>
    <t>В книге</t>
  </si>
  <si>
    <t>28 / (1,732 · 0,4 · 0,95)</t>
  </si>
  <si>
    <t>42,54 А</t>
  </si>
  <si>
    <t>T = 42,54 ✅</t>
  </si>
  <si>
    <t>Номинал по току</t>
  </si>
  <si>
    <t>42,54 &gt; 36 и ≤ 45 → 50 А (Iр ≤ 0,9·In)</t>
  </si>
  <si>
    <t>50 А</t>
  </si>
  <si>
    <t>«Однолинейка» AA = 50 ✅</t>
  </si>
  <si>
    <t>Номинал итог</t>
  </si>
  <si>
    <t>max(50; ручной 63)</t>
  </si>
  <si>
    <t>63 А</t>
  </si>
  <si>
    <t>AU = 63 ✅</t>
  </si>
  <si>
    <t>Iдоп кабеля</t>
  </si>
  <si>
    <t>ПУЭ 1.3.7, 3-жил., 25 мм² = 95 А × 0,92</t>
  </si>
  <si>
    <t>87,4 А ≥ 63 А</t>
  </si>
  <si>
    <t>«Однолинейка» AB = 80 (ближайший номинал ≤ 87,4) ✅</t>
  </si>
  <si>
    <t>ΔU</t>
  </si>
  <si>
    <t>1 · (0,0225·34/25·0,95 + 0,0662·34·0,31/1000) · 42,54 = 1,27 В</t>
  </si>
  <si>
    <t>0,55 %</t>
  </si>
  <si>
    <t>AB = 0,55 ✅</t>
  </si>
  <si>
    <t>ΔU от ВРУ</t>
  </si>
  <si>
    <t>0,55 + 0,5 (до шин ЩОВ‑001)</t>
  </si>
  <si>
    <t>1,05 % ≤ 4 %</t>
  </si>
  <si>
    <t>BG = 1,05 ✅</t>
  </si>
  <si>
    <t>Iкз, 0,4 с</t>
  </si>
  <si>
    <t>нет данных сети в ГРЩ</t>
  </si>
  <si>
    <t>пусто ⚠️ (разд. 8.5)</t>
  </si>
  <si>
    <t>Что даст проверка по нормам для этой линии:</t>
  </si>
  <si>
    <t>•  cos φ ККБ по СП 256 п. 7.1.12 — 0,8 → I = 28 / (1,732·0,4·0,8) = 50,5 А. Номинал по току с запасом 10 % → 63 А (совпадает с ручным), Iдоп 87,4 А — сечение достаточно.</t>
  </si>
  <si>
    <t>Щит ЩОВ‑001 целиком: Руст = 211,22 кВт (вся нагрузка «Сил»), Σ P·Кс = 105,61 кВт, Рр = 0,9 · 105,61 = 95,05 кВт, Iр = 146,4 А (по наиболее нагруженной фазе 71,36 кВт).</t>
  </si>
  <si>
    <t>По нормам: Кс по табл. 7.5 для 34 электроприёмников ≈ 0,59 (вместо 0,5), без Ко (щит чисто силовой), cos φ 0,8 → Рр ≈ 211,22 · 0,59 ≈ 125 кВт (+31 %), Iр ≈ 125 / (1,732·0,4·0,8) ≈ 225 А (+54 %).</t>
  </si>
  <si>
    <t>ВНИМАНИЕ: это оценка для иллюстрации. Точный Кс зависит от числа одновременно работающих электроприёмников без резервных (табл. 7.5, прим. 3) и доли сантехнической нагрузки. Решение — за инженером. Питающая линия ЩОВ‑001 защищена аппаратом 400 А, поэтому вывод по аппарату не меняется, но расчётная нагрузка объекта для ТУ вырастет.</t>
  </si>
  <si>
    <t>16. Что решить инженеру до v4</t>
  </si>
  <si>
    <t>1. Метод расчёта бытовой нагрузки объекта ЖД: дом повышенной комфортности (табл. 7.2) или ОИЖС (п. 7.5, Изм. 9).</t>
  </si>
  <si>
    <t>2. kп.к: применять ли региональный коэффициент к отдельному дому.</t>
  </si>
  <si>
    <t>3. Таблица допустимых токов: ГОСТ 31996 или данные конкретного изготовителя кабеля.</t>
  </si>
  <si>
    <t>4. cos φ вентиляции и насосов: 0,8 по СП 256 или паспортные значения.</t>
  </si>
  <si>
    <t>5. Кс силовой нагрузки: автоматически по табл. 7.5 или вручную по заданию технологов.</t>
  </si>
  <si>
    <t>6. Данные сети для ТКЗ: запросить у сетевой организации Iкз min / max на вводе ГРЩ.</t>
  </si>
  <si>
    <t>17. Что реализовано в v4</t>
  </si>
  <si>
    <t>Книга v4 — один файл на объект. Методика выбирается на листе «Объект» (C8): «v3.12» — формулы как в старой книге (для сверки), «нормы 2026» — с исправлениями ниже. Расчёт в обоих режимах одинаков, кроме перечисленного.</t>
  </si>
  <si>
    <t>нормы 2026 (v4)</t>
  </si>
  <si>
    <t>cos φ силовых линий без ручного значения</t>
  </si>
  <si>
    <t>0,95</t>
  </si>
  <si>
    <t>0,8 (СП 256 п. 7.1.12)</t>
  </si>
  <si>
    <t>Кс силовых линий без ручного значения</t>
  </si>
  <si>
    <t>по табл. 7.5 СП 256 по числу силовых линий щита (таблица на листе «Объект»)</t>
  </si>
  <si>
    <t>на любом щите</t>
  </si>
  <si>
    <t>только если на щите есть и бытовая, и силовая нагрузка (формула 6)</t>
  </si>
  <si>
    <t>Электроотопление</t>
  </si>
  <si>
    <t>в группе «Быт» (снижается Кс)</t>
  </si>
  <si>
    <t>группа «Отоп», Кс = 1, отдельным слагаемым (Изм. 9)</t>
  </si>
  <si>
    <t>Водонагреватели (тёплые полы)</t>
  </si>
  <si>
    <t>в группе «Быт»</t>
  </si>
  <si>
    <t>группа «ВНГ», × 0,7 отдельным слагаемым (Изм. 9)</t>
  </si>
  <si>
    <t>kп.к</t>
  </si>
  <si>
    <t>настройка объекта (C9), по умолчанию 1</t>
  </si>
  <si>
    <t>Допустимая ΔU</t>
  </si>
  <si>
    <t>3 % / 4 %</t>
  </si>
  <si>
    <t>3 % / 4 % + 0,005 %/м после 100 м, не более +0,5 % (СП 256 п. 8.23)</t>
  </si>
  <si>
    <t>Отключающая способность</t>
  </si>
  <si>
    <t>не проверялась</t>
  </si>
  <si>
    <t>Icu автомата (из «Каталога») ≥ Iкз max на шинах — замечание в «Проверке»</t>
  </si>
  <si>
    <t>Сборка нагрузки по щитам. Для каждого щита вычисляется путь от ВРУ (лист «Щиты», столбец «Путь»). Нагрузка щита = составляющие всех линий щита и нижестоящих щитов (Руст быт, Σ P·Кс силовых, Руст пост, Р отоп, 0,7·Р ВНГ, Σ P·cos φ); Кс быт и Ко применяются к сумме. ΔU до шин и Zпетли нижнего щита = ΔU / петля источника + Σ по фидерам на пути (+ Rпер на каждый щит).</t>
  </si>
  <si>
    <t>Режимы (лист «Нагрузки»): линии нижних щитов относятся к источнику своего фидера в выбранном щите; линия на шине ИБП/ДГУ нижнего щита в текущей версии относится к источнику фидера (подстановка входа ИБП нижнего щита — в следующей версии). Пожарная линия-фидер делает пожарной всю нагрузку нижнего щита.</t>
  </si>
  <si>
    <t>Сверка v4 с v3.12 на объекте ЖД (режим «v3.12»): автоматы 348/349, сечения 346/350, cos φ 350/350, длины 331/350, 12 щитов из 17 — полностью. Остальные расхождения — исправления v3.12: ошибка шаблона в формуле фаз (строки 29–127 листа «Нагрузка_щитов» брали фазу соседней строки), подключение ЩГП и ЩО‑001, учёт линии вне схемы, объединение справочников кодов.</t>
  </si>
  <si>
    <t>Источники</t>
  </si>
  <si>
    <t>•  СП 256.1325800.2016, ред. 01.03.2022 — полный текст (КонсультантПлюс, опубликован на сайте ГУ МЧС): https://22.mchs.gov.ru/uploads/resource/2023-03-02/8cd1efa9150e03022668bf3a9b3922e2.docx</t>
  </si>
  <si>
    <t>•  Изменение № 9 к СП 256.1325800.2016 (приказ Минстроя от 25.12.2025 № 846/пр): https://meganorm.ru/mega_doc/norm_update_01032026/prikaz/0/izmenenie_N_9_k_sp_256_1325800_2016_elektroustanovki_zhilykh.html</t>
  </si>
  <si>
    <t>•  Изменение № 6 к СП 256.1325800.2016: https://meganorm.ru/mega_doc/norm/prikaz/13/izmenenie_N_6_k_sp_256_1325800_2016_elektroustanovki_zhilykh.html</t>
  </si>
  <si>
    <t>•  ГОСТ 28249-93: https://dnaop.com/html/65618/doc-%D0%93%D0%9E%D0%A1%D0%A2_28249-93</t>
  </si>
  <si>
    <t>•  ГОСТ Р 50571.5.52-2011, прил. G: https://www.normacs.info/answers/5995, https://meganorm.ru/Data2/1/4293792/4293792410.htm</t>
  </si>
  <si>
    <t>•  Выбор допустимых токов кабелей (изготовитель → ГОСТ 31996 → ГОСТ Р 50571.5.52), ответ эксперта NormaCS: https://www.normacs.info/answers/6099</t>
  </si>
  <si>
    <t>•  ПУЭ 7-е изд. (табл. 1.3.7, п. 1.3.10, п. 1.7.79, п. 1.2.17–1.2.21), ГОСТ Р 50571.4.43-2012, ГОСТ IEC 60898-1 — по тексту норм, номера пунктов сверить при выпуске v4.</t>
  </si>
  <si>
    <t>КАК НАСТРАИВАТЬ ЛИСТ «ОБЪЕКТ»</t>
  </si>
  <si>
    <t>Лист задаёт настройки ВСЕГО объекта. Обычно меняют только C3 (название), C8 (методика) и C9 (kп.к). Остальное — по необходимости.</t>
  </si>
  <si>
    <t>C3 Объект — название и адрес. Идёт в таблицу для пояснительной записки.</t>
  </si>
  <si>
    <t>C4–C7 Ток КЗ: ρ меди/алюминия при нагреве, переходные сопротивления на каждый щит, c_min. Влияют на Iкз min в конце линий и проверку отключения ≤ 0,4 с. Значения по ГОСТ 28249 — не меняйте без причины.</t>
  </si>
  <si>
    <t>C8 Методика: «нормы 2026» — расчёт по СП 256 с Изм. 9 (cos φ силовых 0,8, Кс силовых по табл. 7.5, Ко только при бытовой + силовой нагрузке, отопление и ВНГ отдельно). «v3.12» — как старая книга, только для сверки.</t>
  </si>
  <si>
    <t>C9 kп.к — региональный коэффициент к бытовой нагрузке (СП 256 табл. 7.5а). Частный дом — 1. Многоквартирный дом — значение региона (ЦФО 0,81).</t>
  </si>
  <si>
    <t>F2:G14 Кс силовых по числу электроприёмников (СП 256 табл. 7.5, доля сантехники 100–85 %). Применяется к силовым линиям без ручного Кс в режиме «нормы 2026».</t>
  </si>
  <si>
    <t>B15:C22 ИБП — допустимая загрузка, cos φ, автономия, напряжение АКБ, КПД, разряд, заряд. Влияют на подбор ИБП и на нагрузку входа ИБП на вводе (лист «Режимы»).</t>
  </si>
  <si>
    <t>Где ещё настройки: Uн, общий К прокладки, таблица Кс быт, мест на лист схемы — лист «Таблицы_норм» (BF4, BQ29, BQ30, BP4:BQ11).</t>
  </si>
  <si>
    <t>КАК ЗАПОЛНЯТЬ ЛИСТ «ЩИТЫ»</t>
  </si>
  <si>
    <t>ЩИТЫ: одна строка — один щит объекта. Жёлтые столбцы — ввод, серые — результат. Свёрнутые столбцы (кнопка «+» над таблицей) — подробности расчёта.</t>
  </si>
  <si>
    <t>Для КАЖДОГО щита: Щит (имя, как в «Линиях»), Вводов (1/2/3), АВР (да/нет), ИБП от (Ввод 1/2/3), Мест под вводной узел (обычно 15).</t>
  </si>
  <si>
    <t>«Питается от» обычно НЕ заполняйте: книга сама находит линию-фидер в «Линиях» (номер линии = имя щита, или столбец «Питает щит»).</t>
  </si>
  <si>
    <t>Только для ВРУ / ГРЩ (щит без вышестоящего): данные сети — Iкз min и Iкз max от сетевой организации, или «ТП» и мощность трансформатора; питающий кабель и аппарат. Без них ток КЗ не считается ни в одном щите.</t>
  </si>
  <si>
    <t>Результат: Руст, Рр, Iр, cos φ — щит вместе со всеми нижестоящими; ΔU до шин и Iкз — от ВРУ по фидерам; «Категория шины «Ввод»» — какую категорию даёт схема; «Замечания щита» — что исправить.</t>
  </si>
  <si>
    <t>КАК ЗАПОЛНЯТЬ ЛИСТ «ШИНЫ»</t>
  </si>
  <si>
    <t>ШИНЫ: нужен, только если тип шины НЕ определяется сам. Обычно лист пустой.</t>
  </si>
  <si>
    <t>Как определяется сам: в «Линиях» в столбце «Шина» (в строке с автоматом) пишется имя шины. Имя содержит «ИБП» → шина ИБП (категория I особая); «ДГУ» → шина ДГУ; иначе — основная шина секции линии (Ввод 1/2/3 по столбцу «Секция»).</t>
  </si>
  <si>
    <t>Когда заполнять: имя шины не говорит о её типе. Пример: шина «ЩГП» питается от ИБП → строка: Шина = ЩГП, Щит = ЩР-1 (или пусто — для всех щитов), Тип = ИБП. Пример: «Шина вентиляции» без резерва → Тип = Одиночная (категория III).</t>
  </si>
  <si>
    <t>Типы: Ввод 1 / Ввод 2 / Ввод 3 — источник по секции; ИБП, ДГУ — отдельный источник (I особая); Одиночная — без резерва (III). Тип влияет на категорию линий и на режимы (лист «Режимы»).</t>
  </si>
  <si>
    <t>ТАБЛИЦЫ НОРМ: допустимые токи кабелей (BX:CA), сопротивления (B:D), номиналы автоматов (F:G), Кс быт (BP:BQ), настройки сети (BQ29:BQ31), мест на лист схемы (BF4), УГО → блоки AutoCAD (BA:BC). Коды потребителей, УГО, этажи, кабели — на листе «Коды».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</si>
</sst>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theme="1"/>
      <name val="GOST 2.304 type A"/>
      <family val="2"/>
      <charset val="204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1"/>
      <color theme="1"/>
      <name val="GOST 2.304 type A"/>
      <family val="2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rgb="FF7F7F7F"/>
      <name val="Calibri"/>
      <family val="2"/>
      <charset val="204"/>
      <scheme val="minor"/>
    </font>
    <font>
      <sz val="11"/>
      <color theme="1"/>
      <name val="Calibri"/>
      <scheme val="minor"/>
    </font>
    <font>
      <b/>
      <sz val="11"/>
      <color rgb="FFFFFFFF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9"/>
      <color rgb="FF0000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sz val="8"/>
      <color rgb="FF808080"/>
      <name val="Calibri"/>
      <family val="2"/>
      <scheme val="minor"/>
    </font>
    <font>
      <b/>
      <sz val="10"/>
      <color theme="1"/>
      <name val="Arial"/>
      <family val="2"/>
      <charset val="204"/>
    </font>
    <font>
      <sz val="11"/>
      <color rgb="FF808080"/>
      <name val="Calibri"/>
      <family val="2"/>
      <scheme val="minor"/>
    </font>
    <font>
      <b/>
      <sz val="12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6"/>
      <color rgb="FF002060"/>
      <name val="Arial"/>
      <family val="2"/>
      <charset val="204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10"/>
      <color theme="1"/>
      <name val="Arial"/>
      <family val="2"/>
      <charset val="204"/>
    </font>
    <font>
      <b/>
      <sz val="14"/>
      <color theme="1"/>
      <name val="Calibri"/>
      <family val="2"/>
      <charset val="204"/>
      <scheme val="minor"/>
    </font>
    <font>
      <sz val="11"/>
      <color rgb="FFFFFFFF"/>
      <name val="Calibri"/>
      <family val="2"/>
      <scheme val="minor"/>
    </font>
    <font>
      <b/>
      <sz val="9"/>
      <color indexed="81"/>
      <name val="Tahoma"/>
      <family val="2"/>
      <charset val="204"/>
    </font>
    <font>
      <b/>
      <sz val="16"/>
      <color theme="1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EB9C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E6F0FA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B0C4D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7F7F7F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6" fillId="5" borderId="0" applyNumberFormat="0" applyBorder="0" applyAlignment="0" applyProtection="0"/>
    <xf numFmtId="0" fontId="5" fillId="0" borderId="0"/>
    <xf numFmtId="0" fontId="1" fillId="0" borderId="0"/>
    <xf numFmtId="0" fontId="24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2" xfId="0" applyBorder="1" applyAlignment="1">
      <alignment horizontal="center" vertical="center" wrapText="1"/>
    </xf>
    <xf numFmtId="0" fontId="0" fillId="2" borderId="3" xfId="0" applyFill="1" applyBorder="1"/>
    <xf numFmtId="0" fontId="0" fillId="0" borderId="3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3" xfId="0" applyBorder="1"/>
    <xf numFmtId="2" fontId="0" fillId="0" borderId="0" xfId="0" applyNumberFormat="1"/>
    <xf numFmtId="1" fontId="0" fillId="0" borderId="0" xfId="0" applyNumberFormat="1"/>
    <xf numFmtId="0" fontId="0" fillId="0" borderId="4" xfId="0" applyBorder="1"/>
    <xf numFmtId="2" fontId="0" fillId="0" borderId="1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2" borderId="4" xfId="0" applyFill="1" applyBorder="1"/>
    <xf numFmtId="0" fontId="0" fillId="2" borderId="4" xfId="0" applyFill="1" applyBorder="1" applyAlignment="1">
      <alignment wrapText="1"/>
    </xf>
    <xf numFmtId="0" fontId="0" fillId="4" borderId="3" xfId="0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0" fillId="4" borderId="3" xfId="0" applyFill="1" applyBorder="1"/>
    <xf numFmtId="0" fontId="0" fillId="0" borderId="3" xfId="0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49" fontId="0" fillId="0" borderId="3" xfId="0" applyNumberFormat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 applyProtection="1">
      <alignment horizontal="center" vertical="center"/>
      <protection locked="0"/>
    </xf>
    <xf numFmtId="0" fontId="0" fillId="2" borderId="4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8" fillId="0" borderId="4" xfId="0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 wrapText="1"/>
    </xf>
    <xf numFmtId="49" fontId="4" fillId="0" borderId="4" xfId="0" applyNumberFormat="1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0" fontId="0" fillId="0" borderId="3" xfId="0" applyFill="1" applyBorder="1"/>
    <xf numFmtId="0" fontId="12" fillId="8" borderId="10" xfId="0" applyNumberFormat="1" applyFont="1" applyFill="1" applyBorder="1" applyAlignment="1">
      <alignment horizontal="center" vertical="center"/>
    </xf>
    <xf numFmtId="0" fontId="10" fillId="7" borderId="10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9" fillId="0" borderId="10" xfId="0" applyNumberFormat="1" applyFont="1" applyFill="1" applyBorder="1" applyAlignment="1">
      <alignment vertical="center"/>
    </xf>
    <xf numFmtId="0" fontId="9" fillId="6" borderId="10" xfId="0" applyNumberFormat="1" applyFont="1" applyFill="1" applyBorder="1" applyAlignment="1">
      <alignment vertical="center"/>
    </xf>
    <xf numFmtId="0" fontId="9" fillId="9" borderId="11" xfId="0" applyNumberFormat="1" applyFont="1" applyFill="1" applyBorder="1" applyAlignment="1">
      <alignment horizontal="center" vertical="center"/>
    </xf>
    <xf numFmtId="0" fontId="10" fillId="9" borderId="11" xfId="0" applyNumberFormat="1" applyFont="1" applyFill="1" applyBorder="1" applyAlignment="1">
      <alignment horizontal="center" vertical="center" wrapText="1"/>
    </xf>
    <xf numFmtId="0" fontId="11" fillId="9" borderId="11" xfId="0" applyNumberFormat="1" applyFont="1" applyFill="1" applyBorder="1" applyAlignment="1">
      <alignment horizontal="center" vertical="center"/>
    </xf>
    <xf numFmtId="0" fontId="9" fillId="9" borderId="10" xfId="0" applyNumberFormat="1" applyFont="1" applyFill="1" applyBorder="1" applyAlignment="1">
      <alignment horizontal="center" vertical="center"/>
    </xf>
    <xf numFmtId="0" fontId="10" fillId="9" borderId="10" xfId="0" applyNumberFormat="1" applyFont="1" applyFill="1" applyBorder="1" applyAlignment="1">
      <alignment horizontal="center" vertical="center" wrapText="1"/>
    </xf>
    <xf numFmtId="0" fontId="10" fillId="6" borderId="11" xfId="0" applyNumberFormat="1" applyFont="1" applyFill="1" applyBorder="1" applyAlignment="1">
      <alignment horizontal="center" vertical="center" wrapText="1"/>
    </xf>
    <xf numFmtId="0" fontId="11" fillId="10" borderId="11" xfId="0" applyNumberFormat="1" applyFont="1" applyFill="1" applyBorder="1" applyAlignment="1">
      <alignment horizontal="center" vertical="center"/>
    </xf>
    <xf numFmtId="0" fontId="10" fillId="6" borderId="10" xfId="0" applyNumberFormat="1" applyFont="1" applyFill="1" applyBorder="1" applyAlignment="1">
      <alignment horizontal="center" vertical="center" wrapText="1"/>
    </xf>
    <xf numFmtId="0" fontId="10" fillId="11" borderId="10" xfId="0" applyNumberFormat="1" applyFont="1" applyFill="1" applyBorder="1" applyAlignment="1">
      <alignment horizontal="center" vertical="center"/>
    </xf>
    <xf numFmtId="0" fontId="10" fillId="11" borderId="10" xfId="0" applyNumberFormat="1" applyFont="1" applyFill="1" applyBorder="1" applyAlignment="1">
      <alignment horizontal="center" vertical="center" wrapText="1"/>
    </xf>
    <xf numFmtId="0" fontId="9" fillId="13" borderId="10" xfId="0" applyNumberFormat="1" applyFont="1" applyFill="1" applyBorder="1" applyAlignment="1">
      <alignment horizontal="center" vertical="center"/>
    </xf>
    <xf numFmtId="0" fontId="10" fillId="13" borderId="10" xfId="0" applyNumberFormat="1" applyFont="1" applyFill="1" applyBorder="1" applyAlignment="1">
      <alignment horizontal="center" vertical="center" wrapText="1"/>
    </xf>
    <xf numFmtId="0" fontId="10" fillId="14" borderId="11" xfId="0" applyNumberFormat="1" applyFont="1" applyFill="1" applyBorder="1" applyAlignment="1">
      <alignment horizontal="center" vertical="center" wrapText="1"/>
    </xf>
    <xf numFmtId="0" fontId="11" fillId="14" borderId="11" xfId="0" applyNumberFormat="1" applyFont="1" applyFill="1" applyBorder="1" applyAlignment="1">
      <alignment horizontal="center" vertical="center"/>
    </xf>
    <xf numFmtId="0" fontId="9" fillId="9" borderId="11" xfId="0" applyNumberFormat="1" applyFont="1" applyFill="1" applyBorder="1" applyAlignment="1">
      <alignment vertical="center"/>
    </xf>
    <xf numFmtId="0" fontId="10" fillId="9" borderId="11" xfId="0" applyNumberFormat="1" applyFont="1" applyFill="1" applyBorder="1" applyAlignment="1">
      <alignment horizontal="center" vertical="center"/>
    </xf>
    <xf numFmtId="0" fontId="9" fillId="9" borderId="10" xfId="0" applyNumberFormat="1" applyFont="1" applyFill="1" applyBorder="1" applyAlignment="1">
      <alignment vertical="center"/>
    </xf>
    <xf numFmtId="2" fontId="9" fillId="9" borderId="10" xfId="0" applyNumberFormat="1" applyFont="1" applyFill="1" applyBorder="1" applyAlignment="1">
      <alignment horizontal="center" vertical="center"/>
    </xf>
    <xf numFmtId="0" fontId="9" fillId="0" borderId="11" xfId="0" applyNumberFormat="1" applyFont="1" applyFill="1" applyBorder="1" applyAlignment="1">
      <alignment horizontal="center" vertical="center"/>
    </xf>
    <xf numFmtId="0" fontId="9" fillId="0" borderId="10" xfId="0" applyNumberFormat="1" applyFont="1" applyFill="1" applyBorder="1" applyAlignment="1">
      <alignment horizontal="center" vertical="center"/>
    </xf>
    <xf numFmtId="2" fontId="9" fillId="15" borderId="10" xfId="0" applyNumberFormat="1" applyFont="1" applyFill="1" applyBorder="1" applyAlignment="1">
      <alignment horizontal="center" vertical="center"/>
    </xf>
    <xf numFmtId="0" fontId="10" fillId="15" borderId="10" xfId="0" applyNumberFormat="1" applyFont="1" applyFill="1" applyBorder="1" applyAlignment="1">
      <alignment horizontal="center" vertical="center" wrapText="1"/>
    </xf>
    <xf numFmtId="0" fontId="9" fillId="15" borderId="10" xfId="0" applyNumberFormat="1" applyFont="1" applyFill="1" applyBorder="1" applyAlignment="1">
      <alignment horizontal="center" vertical="center"/>
    </xf>
    <xf numFmtId="0" fontId="9" fillId="15" borderId="10" xfId="0" applyNumberFormat="1" applyFont="1" applyFill="1" applyBorder="1" applyAlignment="1">
      <alignment vertical="center"/>
    </xf>
    <xf numFmtId="0" fontId="13" fillId="2" borderId="0" xfId="0" applyFont="1" applyFill="1" applyBorder="1" applyAlignment="1">
      <alignment horizontal="center" wrapText="1"/>
    </xf>
    <xf numFmtId="0" fontId="0" fillId="2" borderId="9" xfId="0" applyFill="1" applyBorder="1"/>
    <xf numFmtId="0" fontId="0" fillId="2" borderId="9" xfId="0" applyFill="1" applyBorder="1" applyAlignment="1">
      <alignment wrapText="1"/>
    </xf>
    <xf numFmtId="0" fontId="11" fillId="15" borderId="11" xfId="0" applyNumberFormat="1" applyFont="1" applyFill="1" applyBorder="1" applyAlignment="1">
      <alignment horizontal="center" vertical="center"/>
    </xf>
    <xf numFmtId="0" fontId="14" fillId="17" borderId="0" xfId="0" applyFont="1" applyFill="1" applyAlignment="1">
      <alignment horizontal="center" wrapText="1"/>
    </xf>
    <xf numFmtId="0" fontId="15" fillId="18" borderId="0" xfId="0" applyFont="1" applyFill="1" applyAlignment="1">
      <alignment horizontal="center"/>
    </xf>
    <xf numFmtId="0" fontId="0" fillId="16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16" fillId="18" borderId="0" xfId="0" applyFont="1" applyFill="1" applyAlignment="1">
      <alignment horizontal="center" wrapText="1"/>
    </xf>
    <xf numFmtId="0" fontId="14" fillId="17" borderId="0" xfId="0" applyFont="1" applyFill="1" applyAlignment="1">
      <alignment horizontal="center"/>
    </xf>
    <xf numFmtId="0" fontId="9" fillId="6" borderId="10" xfId="0" applyNumberFormat="1" applyFont="1" applyFill="1" applyBorder="1" applyAlignment="1" applyProtection="1">
      <alignment vertical="center"/>
      <protection locked="0"/>
    </xf>
    <xf numFmtId="0" fontId="9" fillId="6" borderId="11" xfId="0" applyNumberFormat="1" applyFont="1" applyFill="1" applyBorder="1" applyAlignment="1" applyProtection="1">
      <alignment horizontal="center" vertical="center"/>
      <protection locked="0"/>
    </xf>
    <xf numFmtId="0" fontId="9" fillId="6" borderId="10" xfId="0" applyNumberFormat="1" applyFont="1" applyFill="1" applyBorder="1" applyAlignment="1" applyProtection="1">
      <alignment horizontal="center" vertical="center"/>
      <protection locked="0"/>
    </xf>
    <xf numFmtId="0" fontId="9" fillId="14" borderId="11" xfId="0" applyNumberFormat="1" applyFont="1" applyFill="1" applyBorder="1" applyAlignment="1" applyProtection="1">
      <alignment horizontal="center" vertical="center"/>
      <protection locked="0"/>
    </xf>
    <xf numFmtId="0" fontId="11" fillId="11" borderId="0" xfId="0" applyFont="1" applyFill="1" applyAlignment="1">
      <alignment horizontal="center" wrapText="1"/>
    </xf>
    <xf numFmtId="0" fontId="0" fillId="22" borderId="0" xfId="0" applyFill="1" applyAlignment="1" applyProtection="1">
      <alignment horizontal="center"/>
      <protection locked="0"/>
    </xf>
    <xf numFmtId="0" fontId="18" fillId="0" borderId="0" xfId="0" applyFont="1"/>
    <xf numFmtId="0" fontId="0" fillId="0" borderId="0" xfId="0"/>
    <xf numFmtId="0" fontId="7" fillId="0" borderId="0" xfId="0" applyFont="1" applyAlignment="1">
      <alignment vertical="top"/>
    </xf>
    <xf numFmtId="0" fontId="23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7" fillId="23" borderId="0" xfId="0" applyFont="1" applyFill="1" applyAlignment="1">
      <alignment vertical="top"/>
    </xf>
    <xf numFmtId="0" fontId="21" fillId="23" borderId="0" xfId="0" applyFont="1" applyFill="1" applyAlignment="1">
      <alignment vertical="top"/>
    </xf>
    <xf numFmtId="0" fontId="19" fillId="21" borderId="12" xfId="0" applyFont="1" applyFill="1" applyBorder="1" applyAlignment="1">
      <alignment vertical="top" wrapText="1"/>
    </xf>
    <xf numFmtId="0" fontId="19" fillId="21" borderId="12" xfId="0" applyFont="1" applyFill="1" applyBorder="1" applyAlignment="1">
      <alignment vertical="top"/>
    </xf>
    <xf numFmtId="0" fontId="7" fillId="0" borderId="12" xfId="0" applyFont="1" applyBorder="1" applyAlignment="1">
      <alignment vertical="top" wrapText="1"/>
    </xf>
    <xf numFmtId="0" fontId="7" fillId="0" borderId="12" xfId="0" applyFont="1" applyBorder="1" applyAlignment="1">
      <alignment vertical="top"/>
    </xf>
    <xf numFmtId="0" fontId="19" fillId="0" borderId="0" xfId="0" quotePrefix="1" applyFont="1" applyAlignment="1">
      <alignment vertical="top"/>
    </xf>
    <xf numFmtId="0" fontId="25" fillId="0" borderId="0" xfId="5" applyFont="1" applyAlignment="1">
      <alignment vertical="top"/>
    </xf>
    <xf numFmtId="0" fontId="25" fillId="0" borderId="12" xfId="5" applyFont="1" applyBorder="1" applyAlignment="1">
      <alignment vertical="top"/>
    </xf>
    <xf numFmtId="0" fontId="7" fillId="0" borderId="0" xfId="0" applyFont="1" applyAlignment="1">
      <alignment vertical="top" wrapText="1"/>
    </xf>
    <xf numFmtId="0" fontId="19" fillId="24" borderId="0" xfId="0" applyFont="1" applyFill="1" applyAlignment="1">
      <alignment vertical="top" wrapText="1"/>
    </xf>
    <xf numFmtId="0" fontId="7" fillId="25" borderId="0" xfId="0" applyFont="1" applyFill="1" applyAlignment="1">
      <alignment vertical="top" wrapText="1"/>
    </xf>
    <xf numFmtId="0" fontId="26" fillId="9" borderId="0" xfId="0" applyFont="1" applyFill="1" applyAlignment="1">
      <alignment vertical="top" wrapText="1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14" fillId="17" borderId="0" xfId="0" applyFont="1" applyFill="1" applyAlignment="1">
      <alignment horizontal="center"/>
    </xf>
    <xf numFmtId="0" fontId="17" fillId="0" borderId="0" xfId="0" applyFont="1" applyFill="1" applyAlignment="1">
      <alignment horizontal="left" wrapText="1"/>
    </xf>
    <xf numFmtId="0" fontId="11" fillId="9" borderId="11" xfId="0" applyNumberFormat="1" applyFont="1" applyFill="1" applyBorder="1" applyAlignment="1">
      <alignment horizontal="center" vertical="center"/>
    </xf>
    <xf numFmtId="0" fontId="11" fillId="9" borderId="10" xfId="0" applyNumberFormat="1" applyFont="1" applyFill="1" applyBorder="1" applyAlignment="1">
      <alignment horizontal="center" vertical="center"/>
    </xf>
    <xf numFmtId="0" fontId="11" fillId="15" borderId="11" xfId="0" applyNumberFormat="1" applyFont="1" applyFill="1" applyBorder="1" applyAlignment="1">
      <alignment horizontal="center" vertical="center"/>
    </xf>
    <xf numFmtId="0" fontId="11" fillId="15" borderId="10" xfId="0" applyNumberFormat="1" applyFont="1" applyFill="1" applyBorder="1" applyAlignment="1">
      <alignment horizontal="center" vertical="center"/>
    </xf>
    <xf numFmtId="0" fontId="11" fillId="11" borderId="11" xfId="0" applyNumberFormat="1" applyFont="1" applyFill="1" applyBorder="1" applyAlignment="1">
      <alignment horizontal="center" vertical="center"/>
    </xf>
    <xf numFmtId="0" fontId="11" fillId="11" borderId="10" xfId="0" applyNumberFormat="1" applyFont="1" applyFill="1" applyBorder="1" applyAlignment="1">
      <alignment horizontal="center" vertical="center"/>
    </xf>
    <xf numFmtId="0" fontId="11" fillId="12" borderId="11" xfId="0" applyNumberFormat="1" applyFont="1" applyFill="1" applyBorder="1" applyAlignment="1">
      <alignment horizontal="center" vertical="center"/>
    </xf>
    <xf numFmtId="0" fontId="11" fillId="12" borderId="10" xfId="0" applyNumberFormat="1" applyFont="1" applyFill="1" applyBorder="1" applyAlignment="1">
      <alignment horizontal="center" vertical="center"/>
    </xf>
    <xf numFmtId="0" fontId="11" fillId="13" borderId="11" xfId="0" applyNumberFormat="1" applyFont="1" applyFill="1" applyBorder="1" applyAlignment="1">
      <alignment horizontal="center" vertical="center"/>
    </xf>
    <xf numFmtId="0" fontId="11" fillId="13" borderId="10" xfId="0" applyNumberFormat="1" applyFont="1" applyFill="1" applyBorder="1" applyAlignment="1">
      <alignment horizontal="center" vertical="center"/>
    </xf>
    <xf numFmtId="0" fontId="27" fillId="0" borderId="0" xfId="0" applyFont="1"/>
    <xf numFmtId="0" fontId="0" fillId="22" borderId="0" xfId="0" applyFill="1"/>
    <xf numFmtId="0" fontId="0" fillId="0" borderId="0" xfId="0" quotePrefix="1"/>
    <xf numFmtId="0" fontId="20" fillId="0" borderId="0" xfId="0" applyFont="1"/>
    <xf numFmtId="0" fontId="11" fillId="21" borderId="0" xfId="0" applyFont="1" applyFill="1"/>
    <xf numFmtId="0" fontId="11" fillId="21" borderId="0" xfId="0" applyFont="1" applyFill="1" applyAlignment="1">
      <alignment horizontal="right"/>
    </xf>
    <xf numFmtId="0" fontId="11" fillId="21" borderId="0" xfId="0" applyFont="1" applyFill="1" applyAlignment="1">
      <alignment wrapText="1"/>
    </xf>
    <xf numFmtId="0" fontId="11" fillId="0" borderId="0" xfId="0" applyFont="1" applyAlignment="1">
      <alignment wrapText="1"/>
    </xf>
    <xf numFmtId="2" fontId="11" fillId="0" borderId="0" xfId="0" applyNumberFormat="1" applyFont="1"/>
    <xf numFmtId="1" fontId="11" fillId="0" borderId="0" xfId="0" applyNumberFormat="1" applyFont="1"/>
    <xf numFmtId="0" fontId="11" fillId="21" borderId="12" xfId="0" applyFont="1" applyFill="1" applyBorder="1" applyAlignment="1">
      <alignment horizontal="center" vertical="center" wrapText="1"/>
    </xf>
    <xf numFmtId="0" fontId="11" fillId="21" borderId="1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/>
    </xf>
    <xf numFmtId="0" fontId="11" fillId="22" borderId="0" xfId="0" applyFont="1" applyFill="1"/>
    <xf numFmtId="0" fontId="28" fillId="0" borderId="0" xfId="0" applyFont="1"/>
    <xf numFmtId="0" fontId="0" fillId="0" borderId="12" xfId="0" applyBorder="1"/>
    <xf numFmtId="2" fontId="0" fillId="0" borderId="12" xfId="0" applyNumberFormat="1" applyBorder="1" applyAlignment="1">
      <alignment horizontal="right"/>
    </xf>
    <xf numFmtId="0" fontId="0" fillId="22" borderId="0" xfId="0" applyFill="1" applyAlignment="1">
      <alignment wrapText="1"/>
    </xf>
    <xf numFmtId="0" fontId="0" fillId="9" borderId="0" xfId="0" applyFill="1" applyAlignment="1">
      <alignment wrapText="1"/>
    </xf>
    <xf numFmtId="0" fontId="11" fillId="26" borderId="0" xfId="0" applyFont="1" applyFill="1"/>
    <xf numFmtId="0" fontId="0" fillId="9" borderId="0" xfId="0" applyFill="1"/>
    <xf numFmtId="0" fontId="7" fillId="9" borderId="0" xfId="0" applyFont="1" applyFill="1" applyAlignment="1">
      <alignment vertical="top" wrapText="1"/>
    </xf>
    <xf numFmtId="0" fontId="30" fillId="0" borderId="0" xfId="0" applyFont="1" applyAlignment="1">
      <alignment vertical="top" wrapText="1"/>
    </xf>
    <xf numFmtId="0" fontId="21" fillId="23" borderId="0" xfId="0" applyFont="1" applyFill="1" applyAlignment="1">
      <alignment vertical="top"/>
    </xf>
    <xf numFmtId="0" fontId="22" fillId="0" borderId="0" xfId="0" applyFont="1" applyAlignment="1">
      <alignment vertical="top" wrapText="1"/>
    </xf>
    <xf numFmtId="0" fontId="31" fillId="23" borderId="0" xfId="0" applyFont="1" applyFill="1"/>
    <xf numFmtId="0" fontId="0" fillId="23" borderId="0" xfId="0" applyFill="1"/>
    <xf numFmtId="0" fontId="0" fillId="0" borderId="0" xfId="0" applyAlignment="1">
      <alignment vertical="top" wrapText="1"/>
    </xf>
    <xf numFmtId="0" fontId="32" fillId="0" borderId="0" xfId="0" applyFont="1"/>
  </cellXfs>
  <cellStyles count="6">
    <cellStyle name="Гиперссылка" xfId="5" builtinId="8"/>
    <cellStyle name="Нейтральный 2" xfId="2" xr:uid="{35B9662B-4EF6-455F-A153-998AF8988465}"/>
    <cellStyle name="Обычный" xfId="0" builtinId="0"/>
    <cellStyle name="Обычный 2" xfId="3" xr:uid="{E2F4D3BA-771E-461C-AB7D-7903C0A10092}"/>
    <cellStyle name="Обычный 3" xfId="1" xr:uid="{2CCFBF6A-55A0-40CD-AD47-3F0AAF8CDCFB}"/>
    <cellStyle name="Обычный 3 2" xfId="4" xr:uid="{BF7B6DDC-276E-4454-9BAA-41291326E95A}"/>
  </cellStyles>
  <dxfs count="52">
    <dxf>
      <font>
        <b/>
        <color rgb="FF9C0006"/>
      </font>
      <fill>
        <patternFill>
          <bgColor rgb="FFFFC7CE"/>
        </patternFill>
      </fill>
    </dxf>
    <dxf>
      <border>
        <top style="thin">
          <color rgb="FF000000"/>
        </top>
      </border>
    </dxf>
    <dxf>
      <fill>
        <patternFill>
          <bgColor rgb="FFF2F2F2"/>
        </patternFill>
      </fill>
    </dxf>
    <dxf>
      <fill>
        <patternFill>
          <bgColor rgb="FFDDEBF7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006100"/>
      </font>
    </dxf>
    <dxf>
      <font>
        <b/>
        <color rgb="FF9C0006"/>
      </font>
      <fill>
        <patternFill>
          <bgColor rgb="FFFFC7CE"/>
        </patternFill>
      </fill>
    </dxf>
    <dxf>
      <fill>
        <patternFill>
          <bgColor rgb="FFEAF2FB"/>
        </patternFill>
      </fill>
    </dxf>
    <dxf>
      <font>
        <b/>
      </font>
      <border>
        <top style="medium">
          <color rgb="FF2F5597"/>
        </top>
      </border>
    </dxf>
    <dxf>
      <font>
        <i/>
        <color rgb="FF808080"/>
      </font>
    </dxf>
    <dxf>
      <font>
        <color rgb="FF006100"/>
      </font>
      <fill>
        <patternFill>
          <bgColor rgb="FFC6EFCE"/>
        </patternFill>
      </fill>
    </dxf>
    <dxf>
      <font>
        <color rgb="FF7F60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7F60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border>
        <top style="dashed">
          <color rgb="FF808080"/>
        </top>
      </border>
    </dxf>
    <dxf>
      <border>
        <top style="thin">
          <color rgb="FF000000"/>
        </top>
      </border>
    </dxf>
    <dxf>
      <fill>
        <patternFill>
          <bgColor rgb="FFF2F2F2"/>
        </patternFill>
      </fill>
    </dxf>
    <dxf>
      <fill>
        <patternFill>
          <bgColor rgb="FFDDEBF7"/>
        </patternFill>
      </fill>
    </dxf>
    <dxf>
      <fill>
        <patternFill patternType="solid">
          <fgColor indexed="64"/>
          <bgColor rgb="FFF2F2F2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DC6F4F-F195-4F5C-823F-AF878A32D190}" name="Коды" displayName="Коды" ref="A3:M92" totalsRowShown="0" headerRowDxfId="51">
  <autoFilter ref="A3:M92" xr:uid="{F5DC6F4F-F195-4F5C-823F-AF878A32D190}"/>
  <tableColumns count="13">
    <tableColumn id="1" xr3:uid="{0AD1CABF-0A39-4FD5-ACD2-6D7671D6DBDC}" name="Код"/>
    <tableColumn id="2" xr3:uid="{7E805269-2827-434E-8BD9-A55E4F8475E9}" name="Наименование"/>
    <tableColumn id="3" xr3:uid="{EE92E110-84DC-49B7-BE09-F37BE4C96A5B}" name="Опуск, м"/>
    <tableColumn id="4" xr3:uid="{F9AC435F-D716-45C0-94F7-CCA9150AF8C7}" name="1 - этаж/2 - шлейф"/>
    <tableColumn id="5" xr3:uid="{26341B34-C4B3-4EF1-9F0E-42516C532E56}" name="Пуск: 1 нет/2 двигатель/3 свет"/>
    <tableColumn id="6" xr3:uid="{83268F99-86FA-407A-968A-24106AC73B65}" name="Марка кабеля"/>
    <tableColumn id="7" xr3:uid="{29DC3BD6-D94A-4959-B9E1-FA23C66254FF}" name="Жил"/>
    <tableColumn id="8" xr3:uid="{2106DF7E-A260-47CF-88F4-C51B605CE6C9}" name="Напряжение"/>
    <tableColumn id="9" xr3:uid="{A4500004-F6FE-4C7B-A124-89C0564A6662}" name="Фаз"/>
    <tableColumn id="10" xr3:uid="{E4215D44-9A9A-4C2B-8DFD-C219F03725B8}" name="Сечение"/>
    <tableColumn id="11" xr3:uid="{B7B241CA-7274-4639-B185-C38FBD0CE8BA}" name="Вид нагрузки"/>
    <tableColumn id="12" xr3:uid="{E91F2AAF-1C18-44B3-B290-E5E91D0E559C}" name="Группа Кс"/>
    <tableColumn id="13" xr3:uid="{5A4EBC70-D2FA-4908-8050-94963F03C2B6}" name="Пожарная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E71EC4-E684-42F0-A8AF-8D34DCAFBE6A}" name="УГО" displayName="УГО" ref="O3:S95" totalsRowShown="0" headerRowDxfId="50">
  <autoFilter ref="O3:S95" xr:uid="{49E71EC4-E684-42F0-A8AF-8D34DCAFBE6A}"/>
  <tableColumns count="5">
    <tableColumn id="1" xr3:uid="{9B10C041-E1A2-44D5-BB92-35E23F6ED2C3}" name="Код (УГО)"/>
    <tableColumn id="2" xr3:uid="{0BF6E6DC-2647-4BA7-9D57-B7FC33698A05}" name="УГО"/>
    <tableColumn id="3" xr3:uid="{0435C6FA-3274-4BF8-94EA-C188B3457BE9}" name="Дифзащита, мА (да = 30)"/>
    <tableColumn id="4" xr3:uid="{E8857A05-0B1E-4E7E-BD11-0974EEE509BC}" name="Мин. автомат, А"/>
    <tableColumn id="5" xr3:uid="{B406AD17-24B0-453F-B3C9-AC62D8A1E4D4}" name="3L клемм на линию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4529EB-8EB2-4B4C-B8F6-BA62B35A55C3}" name="Этажи" displayName="Этажи" ref="U3:X9" totalsRowShown="0" headerRowDxfId="49">
  <autoFilter ref="U3:X9" xr:uid="{634529EB-8EB2-4B4C-B8F6-BA62B35A55C3}"/>
  <tableColumns count="4">
    <tableColumn id="1" xr3:uid="{3D1A0019-761F-462D-AA0D-C0539E79C008}" name="Этаж"/>
    <tableColumn id="2" xr3:uid="{045ED60C-FAB6-49F6-A5D4-B8F07A04B40B}" name="Название этажа"/>
    <tableColumn id="3" xr3:uid="{367E8BD6-C230-4706-B430-6813038C12E6}" name="Подъём, м"/>
    <tableColumn id="4" xr3:uid="{9210F9DA-4C6D-4E1A-8361-C825C7F5575F}" name="По другим этажам, м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C68B215-5F87-4303-B062-203DA58AECF5}" name="Кабели" displayName="Кабели" ref="Z3:AB21" totalsRowShown="0" headerRowDxfId="48">
  <autoFilter ref="Z3:AB21" xr:uid="{1C68B215-5F87-4303-B062-203DA58AECF5}"/>
  <tableColumns count="3">
    <tableColumn id="1" xr3:uid="{102DE243-27F3-4E1C-8D21-EB730B26CEBC}" name="Обозначение"/>
    <tableColumn id="2" xr3:uid="{21231038-7F93-4651-8939-450D30CFBAE0}" name="Кабель"/>
    <tableColumn id="3" xr3:uid="{23A5213A-E2EE-440A-B00F-1BAFBF753CC6}" name="Сечение в марке (1 да / 2 нет)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3DAD02F-519C-49B8-8C68-BBA31AC5820C}" name="Щиты" displayName="Щиты" ref="A9:BW26" totalsRowShown="0">
  <autoFilter ref="A9:BW26" xr:uid="{03DAD02F-519C-49B8-8C68-BBA31AC5820C}"/>
  <tableColumns count="75">
    <tableColumn id="1" xr3:uid="{40A0CB99-B53F-4DF8-A296-09D71D7B7BD4}" name="Щит"/>
    <tableColumn id="2" xr3:uid="{BFFC4CB3-9AE5-4B6E-BD89-35DB268A78D7}" name="Питается от"/>
    <tableColumn id="3" xr3:uid="{E103CA27-16E2-4F89-B46A-8437889CF119}" name="Вводов"/>
    <tableColumn id="4" xr3:uid="{8B28F01F-6879-41E8-9C19-99D7864B5B6E}" name="АВР"/>
    <tableColumn id="5" xr3:uid="{FA1DF4B8-A200-4225-9C7E-D1414D1C4EF5}" name="ИБП от"/>
    <tableColumn id="6" xr3:uid="{8270BE9A-331A-4F1B-94A0-1B2E730AD5D4}" name="Мест под вводной узел"/>
    <tableColumn id="7" xr3:uid="{193C2B9E-D2C4-441F-B44F-9BAD58902EE4}" name="Питание: от (ТП / сеть)"/>
    <tableColumn id="8" xr3:uid="{BFB4606E-2302-4482-98A0-5442C1515F92}" name="ΔU до питающего, %"/>
    <tableColumn id="9" xr3:uid="{56C08AA7-BC8B-40F3-8E25-D6B7F21AAD6F}" name="Iкз min от сети, А"/>
    <tableColumn id="10" xr3:uid="{E7850F17-8ABD-4881-A4E6-4238A8D11EDC}" name="Iкз max от сети, кА"/>
    <tableColumn id="11" xr3:uid="{60456FB8-EA90-4CFD-9F7C-304C94670761}" name="Sтр, кВА"/>
    <tableColumn id="12" xr3:uid="{FF0BDA1C-2CCE-44C0-B149-F0D0D4ED15C0}" name="Схема тр-ра"/>
    <tableColumn id="13" xr3:uid="{9BF128AB-78FB-4D93-AA87-10EE8BFCBBFD}" name="Питающий кабель: S, мм²"/>
    <tableColumn id="14" xr3:uid="{70F65956-296D-40D7-A6F4-393995C94E71}" name="Жил"/>
    <tableColumn id="15" xr3:uid="{C4CC18BA-0B7C-4522-AD38-609057D3597A}" name="Кабелей параллельно"/>
    <tableColumn id="16" xr3:uid="{C9D3DB3D-FFE0-48EA-BF94-C2A4FA0A7518}" name="Длина, м"/>
    <tableColumn id="17" xr3:uid="{51E1886D-240D-4D36-86F3-A8064C2FC0A7}" name="Материал"/>
    <tableColumn id="18" xr3:uid="{B35C0042-11DE-4138-A9AE-1AAF53D07C42}" name="In питающего аппарата, А"/>
    <tableColumn id="19" xr3:uid="{551D342E-08F6-491A-9145-DB9FC9BF3F31}" name="Хар-ка аппарата"/>
    <tableColumn id="20" xr3:uid="{C35E88C4-3EBF-41F2-A30E-47A6EF6769AC}" name="Кат. питающей линии (ручн.)"/>
    <tableColumn id="21" xr3:uid="{2338FE4B-3CBF-4402-9150-2B6C7F855CE4}" name="Питается от (итог)">
      <calculatedColumnFormula array="1">IF(Щиты[[#This Row],[Питается от]]&lt;&gt;"",Щиты[[#This Row],[Питается от]],IFERROR(INDEX(Линии[Щит],Щиты[[#This Row],[_строка фидера]]),""))</calculatedColumnFormula>
    </tableColumn>
    <tableColumn id="22" xr3:uid="{F8D36744-9D8B-4145-99DE-1C87268145CB}" name="Замечания щита">
      <calculatedColumnFormula>_xlfn.TEXTJOIN("; ",TRUE,IF(AND(Щиты[[#This Row],[Питается от (итог)]]="",Щиты[[#This Row],[Zпетли на шинах, Ом]]=""),"нет данных сети для ТКЗ: введите Iкз от сетевой организации или трансформатор",""),IF(AND(Щиты[[#This Row],[Категория фидера]]&lt;&gt;"",IFERROR(MATCH(Щиты[[#This Row],[Категория фидера]],{"III","II","I","I особая"},0),1)&lt;IFERROR(MATCH(Щиты[[#This Row],[Высшая категория нагрузки]],{"III","II","I","I особая"},0),1)),"фидер "&amp;Щиты[[#This Row],[Категория фидера]]&amp;" ниже нагрузки "&amp;Щиты[[#This Row],[Высшая категория нагрузки]],""),IF(Щиты[[#This Row],[Не обеспечено, линий]]&gt;0,"не обеспечена категория у "&amp;Щиты[[#This Row],[Не обеспечено, линий]]&amp;" линий",""),IF(AND(Щиты[[#This Row],[Питается от]]&lt;&gt;"",Щиты[[#This Row],[_строка фидера]]=""),"нет линии-фидера в «Линиях»: номер линии = имя щита или столбец «Питает щит»",""),IF(AND(ISNUMBER(Щиты[[#This Row],[ΔU до шин, %]]),Щиты[[#This Row],[ΔU до шин, %]]&gt;4),"ΔU до шин "&amp;FIXED(Щиты[[#This Row],[ΔU до шин, %]],2)&amp;" % &gt; 4 %",""))</calculatedColumnFormula>
    </tableColumn>
    <tableColumn id="23" xr3:uid="{CA473A94-A66C-4831-AD4F-F46A5E887D7F}" name="Линия фидера">
      <calculatedColumnFormula array="1">IF(Щиты[[#This Row],[_строка фидера]]="","",INDEX(Линии[Номер линии],Щиты[[#This Row],[_строка фидера]]))</calculatedColumnFormula>
    </tableColumn>
    <tableColumn id="24" xr3:uid="{64EC5F5B-DE09-47F4-88FA-5FC94FBC5FBB}" name="Руст, кВт">
      <calculatedColumnFormula>SUMIFS(Щиты[_Руст собств],Щиты[Путь],"*|"&amp;Щиты[[#This Row],[Щит]]&amp;"|*")</calculatedColumnFormula>
    </tableColumn>
    <tableColumn id="25" xr3:uid="{08B5B913-DB06-40A1-B225-86799D78CF8C}" name="Рр, кВт">
      <calculatedColumnFormula>k_пк*Щиты[[#This Row],[Руст быт, кВт]]*Щиты[[#This Row],[Кс быт]]+Щиты[[#This Row],[Ко]]*Щиты[[#This Row],[Рр сил, кВт]]+Щиты[[#This Row],[Руст пост, кВт]]+Щиты[[#This Row],[Р отопления, кВт]]+Щиты[[#This Row],[Рр ВНГ, кВт]]</calculatedColumnFormula>
    </tableColumn>
    <tableColumn id="26" xr3:uid="{D687A8BB-6799-452A-881A-0D6C5F72ABB4}" name="Iр, А">
      <calculatedColumnFormula>IFERROR(MAX(MAX(Щиты[[#This Row],[P L1, кВт]],Щиты[[#This Row],[P L2, кВт]],Щиты[[#This Row],[P L3, кВт]])*Щиты[[#This Row],[Кс итог]]/((Uн_лин*1000/SQRT(3))/1000*Щиты[[#This Row],[cos φ]]),Щиты[[#This Row],[Рр, кВт]]/(SQRT(3)*Uн_лин*Щиты[[#This Row],[cos φ]])),0)</calculatedColumnFormula>
    </tableColumn>
    <tableColumn id="27" xr3:uid="{C7ECFC6A-578C-40EE-82AA-62EDEE280360}" name="cos φ">
      <calculatedColumnFormula>IFERROR(SUMIFS(Щиты[_Pcos собств],Щиты[Путь],"*|"&amp;Щиты[[#This Row],[Щит]]&amp;"|*")/SUMIFS(Щиты[_P собств],Щиты[Путь],"*|"&amp;Щиты[[#This Row],[Щит]]&amp;"|*"),0.95)</calculatedColumnFormula>
    </tableColumn>
    <tableColumn id="28" xr3:uid="{DAFA8E21-6A19-4622-B956-15640A706DFF}" name="ΔU до шин, %">
      <calculatedColumnFormula array="1">SUMPRODUCT(--ISNUMBER(SEARCH("|"&amp;Щиты[Щит]&amp;"|",Щиты[[#This Row],[Путь]])),IFERROR(--Щиты[_ΔU фидера],0)+IFERROR(--Щиты[_ΔU источника],0))</calculatedColumnFormula>
    </tableColumn>
    <tableColumn id="29" xr3:uid="{057CD0A2-D7C7-46B2-B407-AE270B020D05}" name="Iкз min на шинах, А">
      <calculatedColumnFormula>IF(ISNUMBER(Щиты[[#This Row],[Zпетли на шинах, Ом]]),c_min*(Uн_лин*1000/SQRT(3))/Щиты[[#This Row],[Zпетли на шинах, Ом]],"")</calculatedColumnFormula>
    </tableColumn>
    <tableColumn id="30" xr3:uid="{CA18557E-2A30-4D6F-AD3B-9C383991A591}" name="Iкз max на шинах, кА">
      <calculatedColumnFormula>IF(ISNUMBER(Щиты[[#This Row],[Zmax на шинах, Ом]]),1.05*(Uн_лин*1000/SQRT(3))/Щиты[[#This Row],[Zmax на шинах, Ом]]/1000,"")</calculatedColumnFormula>
    </tableColumn>
    <tableColumn id="31" xr3:uid="{444363A2-E54B-4B82-B496-4D28D538CF4E}" name="Категория шины «Ввод»">
      <calculatedColumnFormula array="1">_xlfn.LET(_xlpm.w,_xlfn.TEXTSPLIT(Щиты[[#This Row],[Путь]],"|"),_xlpm.names,_xlfn._xlws.FILTER(_xlpm.w,_xlpm.w&lt;&gt;""),_xlfn.REDUCE("",_xlpm.names,_xlfn.LAMBDA(_xlpm.acc,_xlpm.nm,_xlfn.LET(_xlpm.inp,N(_xlfn.XLOOKUP(_xlpm.nm,Щиты[Щит],Щиты[Вводов],1)),_xlpm.avr,LOWER(TRIM(_xlfn.XLOOKUP(_xlpm.nm,Щиты[Щит],Щиты[АВР],"нет")&amp;"")),_xlpm.own,IF(_xlpm.inp&gt;=2,IF(_xlpm.avr="да","I","II"),"III"),_xlpm.fr,_xlfn.XLOOKUP(_xlpm.nm,Щиты[Щит],Щиты[_строка фидера],""),_xlpm.bt,IF(_xlpm.fr="","",INDEX(Линии[Тип шины],_xlpm.fr)&amp;""),_xlpm.man,TRIM(_xlfn.XLOOKUP(_xlpm.nm,Щиты[Щит],Щиты[Кат. питающей линии (ручн.)],"")&amp;""),_xlpm.up,IF(_xlpm.acc="",_xlpm.man,IF(OR(_xlpm.bt="ИБП",_xlpm.bt="ДГУ"),"I особая",IF(_xlpm.bt="Одиночная","III",_xlpm.acc))),IF(_xlpm.own&lt;&gt;"III",_xlpm.own,IF(OR(_xlpm.up="I особая",_xlpm.up="I",_xlpm.up="II"),"II","III"))))))</calculatedColumnFormula>
    </tableColumn>
    <tableColumn id="32" xr3:uid="{C6E99B03-662C-44BE-B3D7-1817462CA2A1}" name="Путь">
      <calculatedColumnFormula array="1">_xlfn.LET(_xlpm.f,_xlfn.LAMBDA(_xlpm.x,IF(_xlpm.x="","",_xlfn.XLOOKUP(_xlpm.x,Щиты[Щит],Щиты[Питается от (итог)],"")&amp;"")),_xlpm.п0,Щиты[[#This Row],[Щит]],_xlpm.п1,_xlpm.f(_xlpm.п0),_xlpm.п2,_xlpm.f(_xlpm.п1),_xlpm.п3,_xlpm.f(_xlpm.п2),_xlpm.п4,_xlpm.f(_xlpm.п3),_xlpm.п5,_xlpm.f(_xlpm.п4),_xlpm.п6,_xlpm.f(_xlpm.п5),_xlpm.п7,_xlpm.f(_xlpm.п6),"|"&amp;_xlfn.TEXTJOIN("|",TRUE,_xlpm.п7,_xlpm.п6,_xlpm.п5,_xlpm.п4,_xlpm.п3,_xlpm.п2,_xlpm.п1,_xlpm.п0)&amp;"|")</calculatedColumnFormula>
    </tableColumn>
    <tableColumn id="33" xr3:uid="{3F9B2750-276B-44B0-94BE-CE930450201D}" name="Корень">
      <calculatedColumnFormula>_xlfn.TEXTBEFORE(MID(Щиты[[#This Row],[Путь]],2,999),"|")</calculatedColumnFormula>
    </tableColumn>
    <tableColumn id="34" xr3:uid="{0046878C-8722-49D8-A48A-1617A184F323}" name="Уровень">
      <calculatedColumnFormula>LEN(Щиты[[#This Row],[Путь]])-LEN(SUBSTITUTE(Щиты[[#This Row],[Путь]],"|",""))-2</calculatedColumnFormula>
    </tableColumn>
    <tableColumn id="35" xr3:uid="{D402C7D5-DE99-48E8-9234-4AAE16B62EBE}" name="_строка фидера">
      <calculatedColumnFormula>IFERROR(_xlfn.XMATCH(Щиты[[#This Row],[Щит]],Линии[_фидер]),"")</calculatedColumnFormula>
    </tableColumn>
    <tableColumn id="36" xr3:uid="{1C391AEE-F7B3-41D8-BB75-57AA6700E948}" name="_Руст собств">
      <calculatedColumnFormula>SUMIFS(Линии[_Руст (без Нет)],Линии[Щит],Щиты[[#This Row],[Щит]])</calculatedColumnFormula>
    </tableColumn>
    <tableColumn id="37" xr3:uid="{595FA53F-4395-4A38-A515-77ED0F993A5B}" name="_быт собств">
      <calculatedColumnFormula>SUMIFS(Линии[_Руст быт],Линии[Щит],Щиты[[#This Row],[Щит]])</calculatedColumnFormula>
    </tableColumn>
    <tableColumn id="38" xr3:uid="{6BED9D37-EEF1-42FA-8C62-55496BCF5AFC}" name="_сил собств">
      <calculatedColumnFormula>SUMIFS(Линии[_Рр сил],Линии[Щит],Щиты[[#This Row],[Щит]])</calculatedColumnFormula>
    </tableColumn>
    <tableColumn id="39" xr3:uid="{6274EAF2-1CC5-4908-B122-B265CA9F77F7}" name="_пост собств">
      <calculatedColumnFormula>SUMIFS(Линии[_Руст пост],Линии[Щит],Щиты[[#This Row],[Щит]])</calculatedColumnFormula>
    </tableColumn>
    <tableColumn id="40" xr3:uid="{0DF71245-DB2A-4768-A8DE-3545A14DCA0B}" name="_P собств">
      <calculatedColumnFormula>SUMIFS(Линии[_P для cos],Линии[Щит],Щиты[[#This Row],[Щит]])</calculatedColumnFormula>
    </tableColumn>
    <tableColumn id="41" xr3:uid="{5A15F8A8-E78B-4415-B528-08F0A548EA92}" name="_Pcos собств">
      <calculatedColumnFormula>SUMIFS(Линии[_P·cos],Линии[Щит],Щиты[[#This Row],[Щит]])</calculatedColumnFormula>
    </tableColumn>
    <tableColumn id="42" xr3:uid="{51C34716-1C35-4211-8143-8695AC2A3151}" name="_отоп собств">
      <calculatedColumnFormula>SUMIFS(Линии[_Р отопления],Линии[Щит],Щиты[[#This Row],[Щит]])</calculatedColumnFormula>
    </tableColumn>
    <tableColumn id="43" xr3:uid="{DDF25529-7B99-495C-A184-DDBB72E753ED}" name="_внг собств">
      <calculatedColumnFormula>SUMIFS(Линии[_Рр ВНГ],Линии[Щит],Щиты[[#This Row],[Щит]])</calculatedColumnFormula>
    </tableColumn>
    <tableColumn id="44" xr3:uid="{5C8DA0B9-7B51-412E-AD44-709C0DA2FB65}" name="Руст быт, кВт">
      <calculatedColumnFormula>SUMIFS(Щиты[_быт собств],Щиты[Путь],"*|"&amp;Щиты[[#This Row],[Щит]]&amp;"|*")</calculatedColumnFormula>
    </tableColumn>
    <tableColumn id="45" xr3:uid="{A742A2C5-9A01-4D71-8A74-077F4C606715}" name="Кс быт">
      <calculatedColumnFormula array="1">_xlfn.LET(_xlpm.x,Щиты[[#This Row],[Руст быт, кВт]],_xlpm.m,MATCH(_xlpm.x,Кс_Р,1),IF(_xlpm.x&gt;=INDEX(Кс_Р,ROWS(Кс_Р)),INDEX(Кс_К,ROWS(Кс_К)),INDEX(Кс_К,_xlpm.m)+(_xlpm.x-INDEX(Кс_Р,_xlpm.m))*(INDEX(Кс_К,_xlpm.m+1)-INDEX(Кс_К,_xlpm.m))/(INDEX(Кс_Р,_xlpm.m+1)-INDEX(Кс_Р,_xlpm.m))))</calculatedColumnFormula>
    </tableColumn>
    <tableColumn id="46" xr3:uid="{378AF89E-4BA4-4870-8895-CF06113ACC38}" name="Рр сил, кВт">
      <calculatedColumnFormula>SUMIFS(Щиты[_сил собств],Щиты[Путь],"*|"&amp;Щиты[[#This Row],[Щит]]&amp;"|*")</calculatedColumnFormula>
    </tableColumn>
    <tableColumn id="47" xr3:uid="{5E826A5C-7A2F-466D-B3B8-A7289F6A4032}" name="Руст пост, кВт">
      <calculatedColumnFormula>SUMIFS(Щиты[_пост собств],Щиты[Путь],"*|"&amp;Щиты[[#This Row],[Щит]]&amp;"|*")</calculatedColumnFormula>
    </tableColumn>
    <tableColumn id="48" xr3:uid="{ED1AAA45-BFB6-4076-89DE-ED99741688B5}" name="Р отопления, кВт">
      <calculatedColumnFormula>SUMIFS(Щиты[_отоп собств],Щиты[Путь],"*|"&amp;Щиты[[#This Row],[Щит]]&amp;"|*")</calculatedColumnFormula>
    </tableColumn>
    <tableColumn id="49" xr3:uid="{E92F24A0-6F01-4FC4-AF93-2C11B2E17C20}" name="Рр ВНГ, кВт">
      <calculatedColumnFormula>SUMIFS(Щиты[_внг собств],Щиты[Путь],"*|"&amp;Щиты[[#This Row],[Щит]]&amp;"|*")</calculatedColumnFormula>
    </tableColumn>
    <tableColumn id="50" xr3:uid="{D3F7B9E1-E628-4D7C-B6F6-8AF3E375382A}" name="_n силовых">
      <calculatedColumnFormula>COUNTIFS(Линии[Щит],Щиты[[#This Row],[Щит]],Линии[Группа Кс (итог)],"Сил")</calculatedColumnFormula>
    </tableColumn>
    <tableColumn id="51" xr3:uid="{DACA880D-2E39-44E6-9A43-CC7A1CB0F991}" name="Кс силовых (табл. 7.5)">
      <calculatedColumnFormula array="1">_xlfn.LET(_xlpm.n,Щиты[[#This Row],[_n силовых]],IF(_xlpm.n&lt;=1,1,IF(_xlpm.n&gt;=MAX(Кс75_n),INDEX(Кс75_k,ROWS(Кс75_k)),_xlfn.LET(_xlpm.m,MATCH(_xlpm.n,Кс75_n,1),INDEX(Кс75_k,_xlpm.m)+(_xlpm.n-INDEX(Кс75_n,_xlpm.m))*(INDEX(Кс75_k,_xlpm.m+1)-INDEX(Кс75_k,_xlpm.m))/(INDEX(Кс75_n,_xlpm.m+1)-INDEX(Кс75_n,_xlpm.m))))))</calculatedColumnFormula>
    </tableColumn>
    <tableColumn id="52" xr3:uid="{B98E300E-308F-47D0-A44E-4E38FEC452C0}" name="Ко">
      <calculatedColumnFormula>IF(Методика="нормы 2026",IF(AND(Щиты[[#This Row],[Руст быт, кВт]]&gt;0,Щиты[[#This Row],[Рр сил, кВт]]&gt;0),Ко_сил,1),Ко_сил)</calculatedColumnFormula>
    </tableColumn>
    <tableColumn id="53" xr3:uid="{FD226A65-FE11-429C-8EDA-9EEE94BD167A}" name="Кс итог">
      <calculatedColumnFormula>IF(Щиты[[#This Row],[Руст, кВт]]=0,0,Щиты[[#This Row],[Рр, кВт]]/Щиты[[#This Row],[Руст, кВт]])</calculatedColumnFormula>
    </tableColumn>
    <tableColumn id="54" xr3:uid="{620708A4-7D58-4091-8938-718FA7033BA7}" name="P L1, кВт">
      <calculatedColumnFormula>SUMIFS(Линии[Р, кВт],Линии[Щит],Щиты[[#This Row],[Щит]],Линии[Фаза],"L1,L2,L3",Линии[Группа Кс (итог)],"&lt;&gt;Нет")/3+SUMIFS(Линии[Р, кВт],Линии[Щит],Щиты[[#This Row],[Щит]],Линии[Фаза],"L1",Линии[Группа Кс (итог)],"&lt;&gt;Нет")</calculatedColumnFormula>
    </tableColumn>
    <tableColumn id="55" xr3:uid="{8268F5A1-E9A3-4350-96E7-004FAE54D03E}" name="P L2, кВт">
      <calculatedColumnFormula>SUMIFS(Линии[Р, кВт],Линии[Щит],Щиты[[#This Row],[Щит]],Линии[Фаза],"L1,L2,L3",Линии[Группа Кс (итог)],"&lt;&gt;Нет")/3+SUMIFS(Линии[Р, кВт],Линии[Щит],Щиты[[#This Row],[Щит]],Линии[Фаза],"L2",Линии[Группа Кс (итог)],"&lt;&gt;Нет")</calculatedColumnFormula>
    </tableColumn>
    <tableColumn id="56" xr3:uid="{7F3E4F29-CC0A-4BCC-ACA3-919E18E3A1DF}" name="P L3, кВт">
      <calculatedColumnFormula>SUMIFS(Линии[Р, кВт],Линии[Щит],Щиты[[#This Row],[Щит]],Линии[Фаза],"L1,L2,L3",Линии[Группа Кс (итог)],"&lt;&gt;Нет")/3+SUMIFS(Линии[Р, кВт],Линии[Щит],Щиты[[#This Row],[Щит]],Линии[Фаза],"L3",Линии[Группа Кс (итог)],"&lt;&gt;Нет")</calculatedColumnFormula>
    </tableColumn>
    <tableColumn id="57" xr3:uid="{369ACDB7-EA50-4DE0-8128-DD1D9E5EDB56}" name="_ΔU фидера">
      <calculatedColumnFormula array="1">IF(Щиты[[#This Row],[_строка фидера]]="","",INDEX(Линии[ΔU, %],Щиты[[#This Row],[_строка фидера]]))</calculatedColumnFormula>
    </tableColumn>
    <tableColumn id="58" xr3:uid="{D41E7E35-0DB6-4558-8E40-602F9BAB8DAC}" name="_ΔU пит. линии">
      <calculatedColumnFormula>IF(OR(N(Щиты[[#This Row],[Питающий кабель: S, мм²]])=0,N(Щиты[[#This Row],[Длина, м]])=0),0,(IF(Щиты[[#This Row],[Материал]]="алюминий",0.036,0.0225)*N(Щиты[[#This Row],[Длина, м]])/(N(Щиты[[#This Row],[Питающий кабель: S, мм²]])*MAX(1,N(Щиты[[#This Row],[Кабелей параллельно]])))*Щиты[[#This Row],[cos φ]]+0.00008*N(Щиты[[#This Row],[Длина, м]])/MAX(1,N(Щиты[[#This Row],[Кабелей параллельно]]))*SIN(ACOS(Щиты[[#This Row],[cos φ]])))*Щиты[[#This Row],[Iр, А]]/(Uн_лин*1000/SQRT(3))*100)</calculatedColumnFormula>
    </tableColumn>
    <tableColumn id="59" xr3:uid="{11A78162-2A7A-489F-A685-66BE27DE5F22}" name="_ΔU источника">
      <calculatedColumnFormula>IF(Щиты[[#This Row],[Питается от (итог)]]&lt;&gt;"",0,IF(LEFT(UPPER(TRIM(Щиты[[#This Row],[Питание: от (ТП / сеть)]])),2)="ТП",0,N(Щиты[[#This Row],[ΔU до питающего, %]])+Щиты[[#This Row],[_ΔU пит. линии]]))</calculatedColumnFormula>
    </tableColumn>
    <tableColumn id="60" xr3:uid="{F5FCD6F9-798C-4A6D-BD0D-1F91A3C5832F}" name="_петля пит. кабеля">
      <calculatedColumnFormula>IF(N(Щиты[[#This Row],[Питающий кабель: S, мм²]])&gt;0,2*IF(Щиты[[#This Row],[Материал]]="алюминий",ρкз_Al,ρкз_Cu)*N(Щиты[[#This Row],[Длина, м]])/(N(Щиты[[#This Row],[Питающий кабель: S, мм²]])*MAX(1,N(Щиты[[#This Row],[Кабелей параллельно]]))),0)</calculatedColumnFormula>
    </tableColumn>
    <tableColumn id="61" xr3:uid="{224EF0EC-4369-4B95-952E-E5E78DB80CAF}" name="_Zсети">
      <calculatedColumnFormula>IF(Щиты[[#This Row],[Питается от (итог)]]&lt;&gt;"","",IF(N(Щиты[[#This Row],[Iкз min от сети, А]])&gt;0,c_min*(Uн_лин*1000/SQRT(3))/Щиты[[#This Row],[Iкз min от сети, А]],IF(AND(LEFT(UPPER(TRIM(Щиты[[#This Row],[Питание: от (ТП / сеть)]])),2)="ТП",N(Щиты[[#This Row],[Sтр, кВА]])&gt;0),0.055*Uн_лин^2/(Щиты[[#This Row],[Sтр, кВА]]/1000)*IF(Щиты[[#This Row],[Схема тр-ра]]="Y/Yн",3,1),"")))</calculatedColumnFormula>
    </tableColumn>
    <tableColumn id="62" xr3:uid="{B04DA64A-3B06-4ED6-B3A7-869745A1B354}" name="_Zисточника">
      <calculatedColumnFormula>IF(Щиты[[#This Row],[_Zсети]]="","",Щиты[[#This Row],[_Zсети]]+Щиты[[#This Row],[_петля пит. кабеля]])</calculatedColumnFormula>
    </tableColumn>
    <tableColumn id="63" xr3:uid="{804E242E-C304-441B-BD45-F2296820A2DA}" name="_Zфидера">
      <calculatedColumnFormula array="1">IF(Щиты[[#This Row],[_строка фидера]]="","",INDEX(Линии[_Zкабеля],Щиты[[#This Row],[_строка фидера]]))</calculatedColumnFormula>
    </tableColumn>
    <tableColumn id="64" xr3:uid="{8EC7BAFB-338F-439A-945D-26FE07ECFE76}" name="Zпетли на шинах, Ом">
      <calculatedColumnFormula array="1">IF(_xlfn.XLOOKUP(Щиты[[#This Row],[Корень]],Щиты[Щит],Щиты[_Zисточника],"")="","",SUMPRODUCT(--ISNUMBER(SEARCH("|"&amp;Щиты[Щит]&amp;"|",Щиты[[#This Row],[Путь]])),IFERROR(--Щиты[_Zисточника],0)+IFERROR(--Щиты[_Zфидера],0))+SUMPRODUCT(--ISNUMBER(SEARCH("|"&amp;Щиты[Щит]&amp;"|",Щиты[[#This Row],[Путь]])))*R_пер)</calculatedColumnFormula>
    </tableColumn>
    <tableColumn id="65" xr3:uid="{BEC9508C-7C39-438A-A06E-4185C79FD37B}" name="_Zmax сети">
      <calculatedColumnFormula>IF(Щиты[[#This Row],[Питается от (итог)]]&lt;&gt;"","",IF(N(Щиты[[#This Row],[Iкз max от сети, кА]])&gt;0,1.05*(Uн_лин*1000/SQRT(3))/(Щиты[[#This Row],[Iкз max от сети, кА]]*1000),IF(AND(LEFT(UPPER(TRIM(Щиты[[#This Row],[Питание: от (ТП / сеть)]])),2)="ТП",N(Щиты[[#This Row],[Sтр, кВА]])&gt;0),0.055*Uн_лин^2/(Щиты[[#This Row],[Sтр, кВА]]/1000),"")))</calculatedColumnFormula>
    </tableColumn>
    <tableColumn id="66" xr3:uid="{47B64005-9B96-4A68-BB50-BB34022C6F38}" name="_Zmax источника">
      <calculatedColumnFormula>IF(Щиты[[#This Row],[_Zmax сети]]="","",Щиты[[#This Row],[_Zmax сети]]+IF(N(Щиты[[#This Row],[Питающий кабель: S, мм²]])&gt;0,IF(Щиты[[#This Row],[Материал]]="алюминий",0.028,0.0175)*N(Щиты[[#This Row],[Длина, м]])/(N(Щиты[[#This Row],[Питающий кабель: S, мм²]])*MAX(1,N(Щиты[[#This Row],[Кабелей параллельно]]))),0))</calculatedColumnFormula>
    </tableColumn>
    <tableColumn id="67" xr3:uid="{4869DDF6-9FA7-420A-80E2-3EEE65BE78D7}" name="_Zmax фидера">
      <calculatedColumnFormula array="1">IF(Щиты[[#This Row],[_строка фидера]]="","",INDEX(Линии[_Zmax кабеля],Щиты[[#This Row],[_строка фидера]]))</calculatedColumnFormula>
    </tableColumn>
    <tableColumn id="68" xr3:uid="{34879579-22CD-4F45-A4DE-6AB164E9F3B9}" name="Zmax на шинах, Ом">
      <calculatedColumnFormula array="1">IF(_xlfn.XLOOKUP(Щиты[[#This Row],[Корень]],Щиты[Щит],Щиты[_Zmax источника],"")="","",SUMPRODUCT(--ISNUMBER(SEARCH("|"&amp;Щиты[Щит]&amp;"|",Щиты[[#This Row],[Путь]])),IFERROR(--Щиты[_Zmax источника],0)+IFERROR(--Щиты[_Zmax фидера],0)))</calculatedColumnFormula>
    </tableColumn>
    <tableColumn id="69" xr3:uid="{502C44BE-7999-4866-932D-78317FA7D3DA}" name="_ранг собств">
      <calculatedColumnFormula>_xlfn.MAXIFS(Линии[_ранг для фидера],Линии[Щит],Щиты[[#This Row],[Щит]])</calculatedColumnFormula>
    </tableColumn>
    <tableColumn id="70" xr3:uid="{7BC27F2E-F930-44DC-9421-B3591B811F87}" name="Высшая категория нагрузки">
      <calculatedColumnFormula array="1">IFERROR(INDEX({"III","II","I","I особая"},MAX(1,_xlfn.MAXIFS(Щиты[_ранг собств],Щиты[Путь],"*|"&amp;Щиты[[#This Row],[Щит]]&amp;"|*"))),"III")</calculatedColumnFormula>
    </tableColumn>
    <tableColumn id="71" xr3:uid="{2E10C687-60FB-445A-844A-C046C2C208B6}" name="Категория фидера">
      <calculatedColumnFormula array="1">IF(Щиты[[#This Row],[_строка фидера]]="","",INDEX(Линии[Категория (итог)],Щиты[[#This Row],[_строка фидера]]))</calculatedColumnFormula>
    </tableColumn>
    <tableColumn id="72" xr3:uid="{9F96DFC0-B5AC-4714-A2CF-9743D10BA788}" name="Iпуск max, А">
      <calculatedColumnFormula>_xlfn.MAXIFS(Линии[Iпуск, А],Линии[Щит],Щиты[[#This Row],[Щит]])</calculatedColumnFormula>
    </tableColumn>
    <tableColumn id="73" xr3:uid="{9D9073C9-D3C9-47AF-882B-62F9E895BEC2}" name="Источник фидера">
      <calculatedColumnFormula array="1">IF(Щиты[[#This Row],[_строка фидера]]="","",INDEX(Линии[Источник для режимов],Щиты[[#This Row],[_строка фидера]]))</calculatedColumnFormula>
    </tableColumn>
    <tableColumn id="74" xr3:uid="{D6699859-3343-4D5E-B193-091DD9F9EEA1}" name="Пожарный фидер">
      <calculatedColumnFormula array="1">IF(Щиты[[#This Row],[_строка фидера]]="","",INDEX(Линии[Пожарная (итог)],Щиты[[#This Row],[_строка фидера]]))</calculatedColumnFormula>
    </tableColumn>
    <tableColumn id="75" xr3:uid="{5FBA4755-47B7-422A-AAD0-AB607290F61A}" name="Не обеспечено, линий">
      <calculatedColumnFormula>COUNTIFS(Линии[Щит],Щиты[[#This Row],[Щит]],Линии[Категория: проверка],"НЕ ОБЕСПЕЧЕНА")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AB7E5AF-8980-4783-ACF1-4FAD48C03D73}" name="Шины" displayName="Шины" ref="A8:C9" totalsRowShown="0">
  <autoFilter ref="A8:C9" xr:uid="{6AB7E5AF-8980-4783-ACF1-4FAD48C03D73}"/>
  <tableColumns count="3">
    <tableColumn id="1" xr3:uid="{61249985-422B-4732-BB5A-DB5A8DAF8008}" name="Шина"/>
    <tableColumn id="2" xr3:uid="{8D40E801-7A68-456F-9F71-0C848E1108B9}" name="Щит"/>
    <tableColumn id="3" xr3:uid="{C9522985-61C2-405C-990A-BC105A0E2E92}" name="Тип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0CE6956-DDEC-484B-B5EA-6A4BD183FB8E}" name="Линии" displayName="Линии" ref="A2:GY352" totalsRowShown="0">
  <autoFilter ref="A2:GY352" xr:uid="{30CE6956-DDEC-484B-B5EA-6A4BD183FB8E}"/>
  <tableColumns count="207">
    <tableColumn id="1" xr3:uid="{02A55228-6DB7-40A4-B2F4-E360C476C2E3}" name="Щит"/>
    <tableColumn id="2" xr3:uid="{C020EBCD-A858-44C9-ACAF-00BC8D2C37C1}" name="№ места"/>
    <tableColumn id="3" xr3:uid="{6DEFBE25-E111-4084-A182-296E0E31A8B4}" name="Лист / место">
      <calculatedColumnFormula>IF(BD3="","",IF(BE3="вводной узел","узел ","")&amp;"л."&amp;(INT((BD3-1)/Столбцов_на_лист)+1)&amp;" / "&amp;(MOD(BD3-1,Столбцов_на_лист)+1))</calculatedColumnFormula>
    </tableColumn>
    <tableColumn id="4" xr3:uid="{B348F15E-EBFC-4777-99DF-DA1D50E1D7BF}" name="Номер линии"/>
    <tableColumn id="5" xr3:uid="{DEE49212-4E5D-4101-856A-B1E1742B6326}" name="Наименование" dataDxfId="47">
      <calculatedColumnFormula>AY3</calculatedColumnFormula>
    </tableColumn>
    <tableColumn id="6" xr3:uid="{2DC7F979-75B4-4DD1-AAD3-62910EC947E2}" name="Питает щит"/>
    <tableColumn id="7" xr3:uid="{E5ADEA5F-E6B5-4A48-9353-52893A58A706}" name="Мощность, кВт"/>
    <tableColumn id="8" xr3:uid="{73973A3A-37FD-4B4A-A1FD-4BC626961E27}" name="Кол-во потребителей (для длины)"/>
    <tableColumn id="9" xr3:uid="{DB70F018-B877-4AF7-BF7D-DE4F2B555034}" name="Кол-во фаз"/>
    <tableColumn id="10" xr3:uid="{FC2C56DF-F008-4660-9EB7-F986FE161178}" name="Напряжение"/>
    <tableColumn id="11" xr3:uid="{C323E09D-59D9-4F89-9BCC-93EA0DFD4534}" name="Группа Кс (Быт/Сил/Пост/Отоп/ВНГ/Нет; пусто = по коду)"/>
    <tableColumn id="12" xr3:uid="{7B4D7916-59F2-4FD9-BCC5-D69DAB8962D2}" name="Кс (для Сил)"/>
    <tableColumn id="13" xr3:uid="{B34CCEAC-8FB9-41C9-A759-D5859E37A214}" name="cos φ (ручн.)"/>
    <tableColumn id="14" xr3:uid="{2263FE95-EB13-4FFA-8469-BD0CB7A47678}" name="Секция (1/2/3; пусто = 1)"/>
    <tableColumn id="15" xr3:uid="{008A0668-51EA-4356-8663-280EAA1BDFBA}" name="Фаза (ручная)"/>
    <tableColumn id="16" xr3:uid="{CF7975E4-F50A-4615-ACB2-19D51C767858}" name="Длина линии (по плану)"/>
    <tableColumn id="17" xr3:uid="{0B46DDE9-7883-4732-B02C-A36159E7AA4E}" name="Лоток"/>
    <tableColumn id="18" xr3:uid="{53CBF16F-7AB9-4B6E-A012-0A75B767F546}" name="Гофра ПВХ"/>
    <tableColumn id="19" xr3:uid="{FFE95A4D-DAE7-45BE-AF05-284D320A9AA6}" name="Гофра ПНД"/>
    <tableColumn id="20" xr3:uid="{43DF646E-656E-4138-B3E2-2582C5A289F3}" name="Потолок - 1/Пол - 2"/>
    <tableColumn id="21" xr3:uid="{50BAFDA0-C6F0-43A0-8907-E1CC6F221586}" name="Марка кабеля"/>
    <tableColumn id="22" xr3:uid="{7DE4917F-9D9E-404C-9AC5-312C3E5259A8}" name="Кол-во жил"/>
    <tableColumn id="23" xr3:uid="{13B4923E-6340-4DAF-9675-0E9B7E28508E}" name="Сечение (ручное)"/>
    <tableColumn id="24" xr3:uid="{4190CE68-F16A-4C89-84F4-3DDDFADB2519}" name="автомат (ручное)"/>
    <tableColumn id="25" xr3:uid="{2310DC56-B2B3-4DBD-8E42-EBE3070A82CD}" name="К прокл. линии (пусто = общий)"/>
    <tableColumn id="26" xr3:uid="{7A10434E-9287-4D72-A137-82B0397E3876}" name="Вид нагрузки (пусто = по коду)"/>
    <tableColumn id="27" xr3:uid="{DCB982FD-2172-4093-928D-091956A65365}" name="Категория надёжности (ввод: I особая / I / II / III; пусто = III)"/>
    <tableColumn id="28" xr3:uid="{6FF68E45-E408-4869-AA49-08B657042EC8}" name="Пожарная (ввод: да / нет; пусто = по коду)"/>
    <tableColumn id="29" xr3:uid="{135D3B3D-4B26-4CB7-A31F-B3AA64B33416}" name="Шина"/>
    <tableColumn id="30" xr3:uid="{6878FBD4-4E02-4AE1-8EBF-7928FF7601FD}" name="Автомат «авто» или текст"/>
    <tableColumn id="31" xr3:uid="{F21E372D-90BD-4230-B13F-167CCCEB6F03}" name="Дифзащита, мА"/>
    <tableColumn id="32" xr3:uid="{FC1C1C65-455C-4953-BA23-E55B094B8903}" name="Аппарат 1"/>
    <tableColumn id="33" xr3:uid="{6583192B-EBD5-47A6-A31C-FBFF52477B91}" name="Аппарат 2"/>
    <tableColumn id="34" xr3:uid="{245C4379-A5D8-4BE9-B1DE-AAE88D0D9952}" name="Аппарат 3"/>
    <tableColumn id="35" xr3:uid="{A8FCBFD9-5D05-44CE-9CB8-03589CBBA6D8}" name="Модуль"/>
    <tableColumn id="36" xr3:uid="{2A20E5BD-878F-4F6D-AD4D-73F55630AFDF}" name="Канал"/>
    <tableColumn id="37" xr3:uid="{447EEE18-DF07-4BFF-A243-B5A7BAE3DA7F}" name="Клемма"/>
    <tableColumn id="38" xr3:uid="{DF4588C2-C347-4AD7-BB7F-10ED3C370EEC}" name="Режим"/>
    <tableColumn id="39" xr3:uid="{2D9DF91E-BF34-41B5-AA8B-65AC05BE99F6}" name="DWG: гофра ПВХ по плану, м"/>
    <tableColumn id="40" xr3:uid="{1F3BC334-3CE4-447F-83D1-B754FF7EDF2E}" name="DWG: гофра ПНД по плану, м"/>
    <tableColumn id="41" xr3:uid="{6B9B4E2B-9FD0-4EEA-A893-BFDB122C1F0C}" name="DWG: хэндлы полилиний"/>
    <tableColumn id="42" xr3:uid="{79CF957A-83A7-4A6E-8C79-72E076E43777}" name="DWG: примечание"/>
    <tableColumn id="43" xr3:uid="{8C8A1C57-1B18-4360-9CB9-41C4A463F63A}" name="Доп информация из выноски"/>
    <tableColumn id="44" xr3:uid="{FFEE6145-6AAC-4964-8E59-BC01F4EF040F}" name="Замечания">
      <calculatedColumnFormula>_xlfn.TEXTJOIN("; ",TRUE,FK3,IF(DO3="НЕ ОБЕСПЕЧЕНА","категория "&amp;DE3&amp;" не обеспечена (есть "&amp;DL3&amp;")",""),IF(LEFT(FM3,3)="Icu",FM3,""),IF(AND(D3&lt;&gt;"",BS3="Не исп"),"сечение не подобрано",""))</calculatedColumnFormula>
    </tableColumn>
    <tableColumn id="45" xr3:uid="{FF5939E1-663E-4A9C-AAD0-E9FAC5296EB5}" name="_n">
      <calculatedColumnFormula array="1">ROW()-ROW(Линии[#Headers])</calculatedColumnFormula>
    </tableColumn>
    <tableColumn id="46" xr3:uid="{D9EB86FD-5326-4357-A457-D49844D42872}" name="Код">
      <calculatedColumnFormula>IF(D3="","",IFERROR(LEFT(D3,SEARCH(".",D3)-1),D3))</calculatedColumnFormula>
    </tableColumn>
    <tableColumn id="47" xr3:uid="{EAEE6374-0D51-4098-881F-AF9DF67275C5}" name="_часть1">
      <calculatedColumnFormula>IFERROR(RIGHT(D3,LEN(D3)-SEARCH(".",D3)),"")</calculatedColumnFormula>
    </tableColumn>
    <tableColumn id="48" xr3:uid="{DA42851C-A895-4E71-9E45-1F48FA92A84B}" name="Этаж/Шлейф">
      <calculatedColumnFormula>IFERROR(LEFT(AU3,SEARCH(".",AU3)-1),AU3)</calculatedColumnFormula>
    </tableColumn>
    <tableColumn id="49" xr3:uid="{F2E8412B-A806-493C-A16E-32A4797830D9}" name="_часть2">
      <calculatedColumnFormula>IFERROR(RIGHT(AU3,LEN(AU3)-SEARCH(".",AU3)),"")</calculatedColumnFormula>
    </tableColumn>
    <tableColumn id="50" xr3:uid="{2F2D58E2-CBE0-4093-8AFA-16373DE7ED23}" name="Помещение">
      <calculatedColumnFormula>IFERROR(LEFT(AW3,SEARCH(".",AW3)-1),AW3)</calculatedColumnFormula>
    </tableColumn>
    <tableColumn id="51" xr3:uid="{868E835C-0EE6-4512-929A-9B1098ED4542}" name="Наименование по коду">
      <calculatedColumnFormula>IF(D3="","",IF(ISERROR(SEARCH(".",D3)),IFERROR(VLOOKUP(D3,Потребители_обозначение,2,FALSE)&amp;"",""),IFERROR(IF(VLOOKUP(AT3,Потребители_обозначение,4,FALSE)=1,VLOOKUP(AT3,Потребители_обозначение,2,FALSE)&amp;" "&amp;VLOOKUP(AV3,Этаж_обозначение,2,FALSE)&amp;" Пом. №"&amp;AX3,VLOOKUP(AT3,Потребители_обозначение,2,FALSE)&amp;" Шлейф №"&amp;AV3),IFERROR(VLOOKUP(D3,Потребители_обозначение,2,FALSE),""))))</calculatedColumnFormula>
    </tableColumn>
    <tableColumn id="52" xr3:uid="{48B2BEAC-8E4C-453B-990F-C6A3F69F2899}" name="Наименование (итог)">
      <calculatedColumnFormula>IF(E3&lt;&gt;"",E3,AY3)</calculatedColumnFormula>
    </tableColumn>
    <tableColumn id="53" xr3:uid="{0C803494-472B-40BB-BFC2-E029F305065C}" name="_фидер">
      <calculatedColumnFormula>IF(F3&lt;&gt;"",F3,IF(AND(D3&lt;&gt;"",D3&lt;&gt;A3,ISNUMBER(_xlfn.XMATCH(D3,Щиты[Щит]))),D3,""))</calculatedColumnFormula>
    </tableColumn>
    <tableColumn id="54" xr3:uid="{128AE628-7A4D-41EA-A567-4F2AA6CA1CF5}" name="_№ щита">
      <calculatedColumnFormula>IFERROR(_xlfn.XMATCH(A3,Щиты[Щит]),0)</calculatedColumnFormula>
    </tableColumn>
    <tableColumn id="55" xr3:uid="{B63B1047-69CA-4E97-A145-895AE1BC46AE}" name="_мест узла">
      <calculatedColumnFormula>IFERROR(N(_xlfn.XLOOKUP(A3,Щиты[Щит],Щиты[Мест под вводной узел])),15)</calculatedColumnFormula>
    </tableColumn>
    <tableColumn id="56" xr3:uid="{DF6334B1-DF74-42FE-90F8-943FAD843E98}" name="_№ места (итог)">
      <calculatedColumnFormula>IF(B3="-","",IF(ISNUMBER(B3),B3,_xlfn.LET(_xlpm.prev,IF(OR(AS3=1,A3&lt;&gt;A2),0,N(IF(AS3=1,"",BD2))),_xlpm.nx,_xlpm.prev+1,IF(AND(AL3&lt;&gt;"вручную",_xlpm.nx&lt;=BC3),BC3+1,_xlpm.nx))))</calculatedColumnFormula>
    </tableColumn>
    <tableColumn id="57" xr3:uid="{A801EED6-968E-4885-AC10-F866B26760E3}" name="_зона">
      <calculatedColumnFormula>IF(BD3="","",IF(BD3&lt;=BC3,"вводной узел","линии"))</calculatedColumnFormula>
    </tableColumn>
    <tableColumn id="58" xr3:uid="{C04BAB9F-6FEE-4EE4-B481-880AB42827C0}" name="Р, кВт">
      <calculatedColumnFormula>IF(D3="","",IF(BA3&lt;&gt;"",IFERROR(_xlfn.XLOOKUP(BA3,Щиты[Щит],Щиты[Руст, кВт]),0),N(G3)))</calculatedColumnFormula>
    </tableColumn>
    <tableColumn id="59" xr3:uid="{3A226AF2-C82D-4950-B1EA-7DF0CFAB70CE}" name="U, В">
      <calculatedColumnFormula>IF(J3&lt;&gt;"",J3,IF(D3="","",IFERROR(IF(VLOOKUP(AT3,Потребители_обозначение,8,FALSE)=0,"",VLOOKUP(AT3,Потребители_обозначение,8,FALSE)),"")))</calculatedColumnFormula>
    </tableColumn>
    <tableColumn id="60" xr3:uid="{D91051C1-068E-4ACD-BA93-7EC083C3E5A2}" name="Фаз">
      <calculatedColumnFormula>IF(I3&lt;&gt;"",I3,IF(D3="","",IFERROR(IF(VLOOKUP(AT3,Потребители_обозначение,9,FALSE)=0,"",VLOOKUP(AT3,Потребители_обозначение,9,FALSE)),"")))</calculatedColumnFormula>
    </tableColumn>
    <tableColumn id="61" xr3:uid="{2290670D-F322-4548-8977-74E6AFFF2B36}" name="Марка (итог)">
      <calculatedColumnFormula>IF(U3&lt;&gt;"",U3,IF(D3="","",IFERROR(IF(VLOOKUP(AT3,Потребители_обозначение,6,FALSE)=0,"",VLOOKUP(AT3,Потребители_обозначение,6,FALSE)),"")))</calculatedColumnFormula>
    </tableColumn>
    <tableColumn id="62" xr3:uid="{816FA7B2-0395-4AB0-9581-DD025325DECA}" name="Жил">
      <calculatedColumnFormula>IF(V3&lt;&gt;"",V3,IF(D3="","",IFERROR(IF(VLOOKUP(AT3,Потребители_обозначение,7,FALSE)=0,"",VLOOKUP(AT3,Потребители_обозначение,7,FALSE)),"")))</calculatedColumnFormula>
    </tableColumn>
    <tableColumn id="63" xr3:uid="{A3826ED5-586F-4E2C-B5B2-81BFD46FA4C0}" name="Сечение задано">
      <calculatedColumnFormula>IF(W3&lt;&gt;"",W3,IF(D3="","",IFERROR(IF(VLOOKUP(AT3,Потребители_обозначение,10,FALSE)=0,"",VLOOKUP(AT3,Потребители_обозначение,10,FALSE)),"")))</calculatedColumnFormula>
    </tableColumn>
    <tableColumn id="64" xr3:uid="{A2A1F60A-1410-4CAD-A0BD-59AF3D5DA2E0}" name="_тип пуска">
      <calculatedColumnFormula>IFERROR(VLOOKUP(AT3,Потребители_обозначение,5,FALSE),0)</calculatedColumnFormula>
    </tableColumn>
    <tableColumn id="65" xr3:uid="{79AF8449-0E02-42AC-83F9-D67333F3A38E}" name="cos φ">
      <calculatedColumnFormula array="1">IF(D3="","",IF(BA3&lt;&gt;"",IFERROR(_xlfn.XLOOKUP(BA3,Щиты[Щит],Щиты[cos φ]),0.95),IF(ISNUMBER(M3),M3,IFERROR(IF(BL3=2,_xlfn.IFS(BH3=3,VLOOKUP(BF3,Справочная_двигатели,8,FALSE),BH3=1,VLOOKUP(BF3,Справочная_двигатели,10,TRUE)),IF(AND(Методика="нормы 2026",CN3="Сил"),0.8,0.95)),0.95))))</calculatedColumnFormula>
    </tableColumn>
    <tableColumn id="66" xr3:uid="{045939BE-F877-42FA-9217-725C0027F622}" name="Ток, А">
      <calculatedColumnFormula array="1">IF(D3="","",IF(BA3&lt;&gt;"",IFERROR(_xlfn.XLOOKUP(BA3,Щиты[Щит],Щиты[Iр, А]),""),IFERROR(_xlfn.IFS(BH3=1,BF3/((Uн_лин/SQRT(3))*BM3),BH3=3,BF3/(SQRT(3)*Uн_лин*BM3)),"")))</calculatedColumnFormula>
    </tableColumn>
    <tableColumn id="67" xr3:uid="{FA58228D-BEDE-47B7-9142-CE9D99E3B4DF}" name="Автомат">
      <calculatedColumnFormula>IF(D3="","",IF(N(X3)=0,IFERROR(VLOOKUP(BN3,Автомат_номиналы,2,TRUE),""),X3))</calculatedColumnFormula>
    </tableColumn>
    <tableColumn id="68" xr3:uid="{EE46B618-6AD8-4B62-8435-7BB78234E65A}" name="_k жил">
      <calculatedColumnFormula>IF(N(BJ3)=1,1,IF(BH3=1,1,IF(N(BJ3)&gt;=4,0.92,1)))</calculatedColumnFormula>
    </tableColumn>
    <tableColumn id="69" xr3:uid="{959F0D81-E6CB-4F74-8E13-4B9002BB3FAD}" name="_К прокл">
      <calculatedColumnFormula>IF(ISNUMBER(Y3),Y3,К_прокл)</calculatedColumnFormula>
    </tableColumn>
    <tableColumn id="70" xr3:uid="{6984792F-000D-4248-83BA-148B586DFBE5}" name="_столбец Iдоп">
      <calculatedColumnFormula>IF(N(BJ3)=1,1,IF(BH3=1,2,3))</calculatedColumnFormula>
    </tableColumn>
    <tableColumn id="71" xr3:uid="{FF768BBC-C4CE-4E37-8FFF-B2D9E97930C3}" name="Сечение">
      <calculatedColumnFormula array="1">IF(D3="","",IF(N(BK3)&lt;&gt;0,BK3,IFERROR(_xlfn.LET(_xlpm.need,BO3/(BP3*BQ3),_xlpm.t,CHOOSE(BR3,Iдоп_1ж,Iдоп_2ж,Iдоп_3ж),_xlpm.k,_xlfn.XMATCH(_xlpm.need,_xlpm.t,1),IF(ISNA(_xlpm.k),"Не исп",INDEX(Iдоп_S,_xlpm.k))),"Не исп")))</calculatedColumnFormula>
    </tableColumn>
    <tableColumn id="72" xr3:uid="{6D484606-F437-46AE-ACDD-3EDB733BC5DB}" name="_ρ">
      <calculatedColumnFormula>IFERROR(VLOOKUP(BS3,Кабель_сопротивление,3,FALSE),"")</calculatedColumnFormula>
    </tableColumn>
    <tableColumn id="73" xr3:uid="{51E56E2B-64F1-4DC4-A32E-63FAB21496CD}" name="_x">
      <calculatedColumnFormula>IFERROR(VLOOKUP(BS3,Кабель_сопротивление,2,FALSE),"")</calculatedColumnFormula>
    </tableColumn>
    <tableColumn id="74" xr3:uid="{93BA8D12-8EAE-45BF-960E-A548C0B04708}" name="_Lплан">
      <calculatedColumnFormula>IF(P3&lt;&gt;"",P3,IF(COUNT(AM3,AN3)=0,"",ROUNDUP(SUM(AM3,AN3),0)))</calculatedColumnFormula>
    </tableColumn>
    <tableColumn id="75" xr3:uid="{1B357D5B-634A-43F0-9C92-158E79C91404}" name="Длина, м">
      <calculatedColumnFormula>IF(D3="","",IFERROR(IF(VLOOKUP(AT3,Потребители_обозначение,4,FALSE)=1,VLOOKUP(AT3,Потребители_обозначение,3,FALSE)*(H3*2-1)+BV3+VLOOKUP(AV3,Этаж_обозначение,3,FALSE)+VLOOKUP(AV3,Этаж_обозначение,4,FALSE),VLOOKUP(AT3,Потребители_обозначение,3,FALSE)*(H3*2-1)+BV3),BV3))</calculatedColumnFormula>
    </tableColumn>
    <tableColumn id="76" xr3:uid="{268FFFC5-FA38-4299-9FDE-170CA38D895C}" name="_гофра ПВХ">
      <calculatedColumnFormula>IF(R3&lt;&gt;"",R3,IF(OR(BV3="",T3=""),"",IF(T3=1,MAX(0,BW3-ROUNDUP(N(AN3),0)-4),ROUNDUP(N(AM3),0))))</calculatedColumnFormula>
    </tableColumn>
    <tableColumn id="77" xr3:uid="{517BA90B-D6F3-4E03-B5C7-814BA67BC3D1}" name="_гофра ПНД">
      <calculatedColumnFormula>IF(S3&lt;&gt;"",S3,IF(OR(BV3="",T3=""),"",IF(T3=2,MAX(0,BW3-ROUNDUP(N(AM3),0)-4),ROUNDUP(N(AN3),0))))</calculatedColumnFormula>
    </tableColumn>
    <tableColumn id="78" xr3:uid="{0103E4F3-D459-4209-A084-28AB8B3B2E33}" name="_b">
      <calculatedColumnFormula>IF(BH3=1,2,IF(BH3=3,1,""))</calculatedColumnFormula>
    </tableColumn>
    <tableColumn id="79" xr3:uid="{A38EFDFE-0BA2-4D65-9E31-B0E3AB789DAF}" name="_sin">
      <calculatedColumnFormula>IFERROR(ROUND(SIN(ACOS(BM3)),2),"")</calculatedColumnFormula>
    </tableColumn>
    <tableColumn id="80" xr3:uid="{892C9433-80A7-4E73-AA2F-638FF0A272F6}" name="_ΔU, В">
      <calculatedColumnFormula>IFERROR(BZ3*(BT3*BW3/BS3*BM3+BU3*BW3*CA3/1000)*BN3,"")</calculatedColumnFormula>
    </tableColumn>
    <tableColumn id="81" xr3:uid="{0725DEF3-3FC6-47F2-8CAA-3F0AE11509BC}" name="ΔU, %">
      <calculatedColumnFormula>IFERROR(ROUNDUP(CB3/((Uн_лин/SQRT(3))*1000)*100,2),"")</calculatedColumnFormula>
    </tableColumn>
    <tableColumn id="82" xr3:uid="{863117D2-BC8D-471D-82D2-8EFF3026B464}" name="ΔU от ВРУ, %">
      <calculatedColumnFormula>IF(ISNUMBER(CC3),CC3+IFERROR(_xlfn.XLOOKUP(A3,Щиты[Щит],Щиты[ΔU до шин, %]),0),"")</calculatedColumnFormula>
    </tableColumn>
    <tableColumn id="83" xr3:uid="{9D3D50F0-1754-4C50-993D-53E8275A6FE0}" name="Допустимо ΔU, %">
      <calculatedColumnFormula>IF(D3="","",IF(IFERROR(VLOOKUP(AT3,УГО_спр,2,FALSE),"")="Светильник",3,4)+IF(Методика="нормы 2026",MIN(0.5,MAX(0,N(BW3)-100)*0.005),0))</calculatedColumnFormula>
    </tableColumn>
    <tableColumn id="84" xr3:uid="{2A79497B-8F2F-4450-90AF-01CF2518BBE2}" name="_кабель">
      <calculatedColumnFormula>IFERROR(VLOOKUP(BI3,Кабель_обозначение,2,FALSE),"")</calculatedColumnFormula>
    </tableColumn>
    <tableColumn id="85" xr3:uid="{2079D4DC-9F96-453A-9F2C-CD35DD97B4C5}" name="_кабель с сечением">
      <calculatedColumnFormula>IFERROR(IF(VLOOKUP(BI3,Кабель_обозначение,3,FALSE)=1,CF3&amp;" ("&amp;BJ3&amp;"х"&amp;BS3&amp;")",CF3),"")</calculatedColumnFormula>
    </tableColumn>
    <tableColumn id="86" xr3:uid="{1E3C4FF1-5846-4C8E-B89E-2878998DECF5}" name="Кабель">
      <calculatedColumnFormula>IF(OR(D3="",CF3="",AND(G3&lt;&gt;"",NOT(ISNUMBER(G3)))),"",IF(BS3=0,CF3,CG3&amp;CHAR(10)&amp;"L="&amp;BW3&amp;"-"&amp;CC3&amp;"%"))</calculatedColumnFormula>
    </tableColumn>
    <tableColumn id="87" xr3:uid="{C26E786D-3BA7-41E5-B75E-A31D38952382}" name="_Zкабеля">
      <calculatedColumnFormula>IFERROR(2*ρкз_Cu*BW3/BS3,"")</calculatedColumnFormula>
    </tableColumn>
    <tableColumn id="88" xr3:uid="{0C85E3E9-B08D-49E1-AD20-0981C462980D}" name="_Zmax кабеля">
      <calculatedColumnFormula>IFERROR(0.0175*N(BW3)/BS3,"")</calculatedColumnFormula>
    </tableColumn>
    <tableColumn id="89" xr3:uid="{2EFBD57E-39D7-4797-B2C4-B8BCE2B57D9C}" name="Zпетли в конце, Ом">
      <calculatedColumnFormula>IFERROR(IF(OR(D3="",NOT(ISNUMBER(BS3)),N(BW3)=0),"",_xlfn.XLOOKUP(A3,Щиты[Щит],Щиты[Zпетли на шинах, Ом])+CI3),"")</calculatedColumnFormula>
    </tableColumn>
    <tableColumn id="90" xr3:uid="{42EABFB6-8957-4675-9744-9C8E00B6D587}" name="Iкз min в конце линии, А">
      <calculatedColumnFormula>IF(ISNUMBER(CK3),c_min*(Uн_лин*1000/SQRT(3))/CK3,"")</calculatedColumnFormula>
    </tableColumn>
    <tableColumn id="91" xr3:uid="{A34ED820-3A49-4479-A8C0-C53553D6708A}" name="Iкз max в конце, кА">
      <calculatedColumnFormula>IFERROR(IF(OR(D3="",NOT(ISNUMBER(BS3))),"",1.05*(Uн_лин*1000/SQRT(3))/(_xlfn.XLOOKUP(A3,Щиты[Щит],Щиты[Zmax на шинах, Ом])+CJ3)/1000),"")</calculatedColumnFormula>
    </tableColumn>
    <tableColumn id="92" xr3:uid="{0244980F-7518-4F83-A8FD-AB7AB21E7949}" name="Группа Кс (итог)">
      <calculatedColumnFormula>IF(D3="","",IF(BA3&lt;&gt;"","Щит",IF(K3&lt;&gt;"",K3,IF(ISNUMBER(L3),"Сил",IF(IFERROR(_xlfn.XLOOKUP(AT3,Коды_код,Коды_группа)&amp;"","")="","Быт",_xlfn.XLOOKUP(AT3,Коды_код,Коды_группа)&amp;"")))))</calculatedColumnFormula>
    </tableColumn>
    <tableColumn id="93" xr3:uid="{FEA9BF65-69B9-41F9-973B-B4F8485E3D30}" name="Кс">
      <calculatedColumnFormula>IF(CN3="Щит","щит",IF(CN3="","",IF(CN3="Быт",IFERROR(_xlfn.XLOOKUP(A3,Щиты[Щит],Щиты[Кс быт]),1),IF(CN3="Сил",IF(ISNUMBER(L3),L3,IF(Методика="нормы 2026",IFERROR(_xlfn.XLOOKUP(A3,Щиты[Щит],Щиты[Кс силовых (табл. 7.5)]),1),1)),IF(OR(CN3="Пост",CN3="Отоп"),1,IF(CN3="ВНГ",0.7,0))))))</calculatedColumnFormula>
    </tableColumn>
    <tableColumn id="94" xr3:uid="{3E86E20F-B38C-4BEE-A9A8-86545BCA411F}" name="Секция">
      <calculatedColumnFormula>IF(CN3="","",IFERROR(MIN(3,MAX(1,INT(--N3))),1))</calculatedColumnFormula>
    </tableColumn>
    <tableColumn id="95" xr3:uid="{8C659C10-CAEB-4686-9537-ADDBD59F531E}" name="_Руст (без Нет)">
      <calculatedColumnFormula>IF(OR(CN3="",CN3="Нет",CN3="Щит"),0,N(BF3))</calculatedColumnFormula>
    </tableColumn>
    <tableColumn id="96" xr3:uid="{727D0B94-71F7-4C81-B70F-4293FEB87359}" name="_Руст быт">
      <calculatedColumnFormula>IF(CN3="Быт",N(BF3),0)</calculatedColumnFormula>
    </tableColumn>
    <tableColumn id="97" xr3:uid="{C10A496F-15C0-46CD-9048-3D2C7FE9773B}" name="_Рр сил">
      <calculatedColumnFormula>IF(CN3="Сил",N(BF3)*N(CO3),0)</calculatedColumnFormula>
    </tableColumn>
    <tableColumn id="98" xr3:uid="{45024FBE-4C3E-43ED-B232-60B9DDDE123E}" name="_Руст пост">
      <calculatedColumnFormula>IF(CN3="Пост",N(BF3),0)</calculatedColumnFormula>
    </tableColumn>
    <tableColumn id="99" xr3:uid="{BF1C0BC2-B2BF-4485-BC55-24A9D45D2B9F}" name="_Р отопления">
      <calculatedColumnFormula>IF(CN3="Отоп",N(BF3),0)</calculatedColumnFormula>
    </tableColumn>
    <tableColumn id="100" xr3:uid="{2A3AF0D5-0DBA-46E0-BA74-C3AF7088FB24}" name="_Рр ВНГ">
      <calculatedColumnFormula>IF(CN3="ВНГ",N(BF3)*0.7,0)</calculatedColumnFormula>
    </tableColumn>
    <tableColumn id="101" xr3:uid="{D1C7E21F-AAFD-488B-B2D2-299829C93E87}" name="_P для cos">
      <calculatedColumnFormula>IF(OR(D3="",CN3="Щит"),0,N(BF3))</calculatedColumnFormula>
    </tableColumn>
    <tableColumn id="102" xr3:uid="{57F73E63-5F2B-4511-8E77-7717CACE3149}" name="_P·cos">
      <calculatedColumnFormula>IF(OR(D3="",CN3="Щит"),0,N(BF3)*N(BM3))</calculatedColumnFormula>
    </tableColumn>
    <tableColumn id="103" xr3:uid="{A0834A25-27EA-4810-BE24-B64386F01987}" name="_фаза №">
      <calculatedColumnFormula>_xlfn.LET(_xlpm.prev,IF(OR(OR(AS3=1,A3&lt;&gt;A2)),0,N(IF(AS3=1,"",CY2))),IF(OR(D3="",BH3=3),_xlpm.prev,IF(_xlpm.prev&gt;=3,1,_xlpm.prev+1)))</calculatedColumnFormula>
    </tableColumn>
    <tableColumn id="104" xr3:uid="{98514256-B1F5-40C2-B2AF-D687F711F7F5}" name="_фаза авто">
      <calculatedColumnFormula>IF(D3="","",IF(BH3=3,"L1,L2,L3","L"&amp;MAX(1,CY3)))</calculatedColumnFormula>
    </tableColumn>
    <tableColumn id="105" xr3:uid="{ECEC037F-6D08-4325-A3C1-F56DE2BA3F8F}" name="_Iпуск двиг.">
      <calculatedColumnFormula array="1">IFERROR(IF(BL3=2,_xlfn.IFS(BH3=3,VLOOKUP(BF3,Справочная_двигатели,3,FALSE),BH3=1,VLOOKUP(BF3,Справочная_двигатели,5,TRUE)),0),0)</calculatedColumnFormula>
    </tableColumn>
    <tableColumn id="106" xr3:uid="{0DA8A220-8BEA-4B34-90F5-D9374A73B56D}" name="_Iпуск LED">
      <calculatedColumnFormula>IFERROR(IF(BL3=3,VLOOKUP(BF3,Справочная_ЛЭД,2,TRUE),0),0)</calculatedColumnFormula>
    </tableColumn>
    <tableColumn id="107" xr3:uid="{EF81759E-4DDC-450D-8A6C-243BC4F8EDB2}" name="Iпуск, А">
      <calculatedColumnFormula>IF(D3="","",IF(DA3=0,DB3,DA3))</calculatedColumnFormula>
    </tableColumn>
    <tableColumn id="108" xr3:uid="{96B8FBAC-894A-4BEA-A657-5E8DC7D0C97B}" name="Фаза">
      <calculatedColumnFormula>IF(D3="","",IF(O3="упр","",IF(O3="",CZ3,IF(O3&amp;""="1,2,3","L1,L2,L3","L"&amp;O3))))</calculatedColumnFormula>
    </tableColumn>
    <tableColumn id="109" xr3:uid="{D057433E-2478-4420-B8AF-2896091BB954}" name="Категория (итог)">
      <calculatedColumnFormula array="1">IF(D3="","",IFERROR(INDEX({"I особая","I","II","III"},MATCH(TRIM(AA3&amp;""),{"I особая","I","II","III"},0)),"III"))</calculatedColumnFormula>
    </tableColumn>
    <tableColumn id="110" xr3:uid="{CD4D897D-8D4F-4E15-AC28-CC3D2C6978E0}" name="Пожарная (итог)">
      <calculatedColumnFormula>IF(D3="","",IF(TRIM(AB3&amp;"")&lt;&gt;"",IF(LOWER(TRIM(AB3&amp;""))="да","да","нет"),IF(IFERROR(_xlfn.XLOOKUP(AT3,Коды_код,Коды_пожарная),"")="да","да","нет")))</calculatedColumnFormula>
    </tableColumn>
    <tableColumn id="111" xr3:uid="{9EE3089C-0186-4C4B-ABF1-CDA09AAE77E1}" name="_шина группы">
      <calculatedColumnFormula>IF(AC3&lt;&gt;"",AC3,IF(AD3&lt;&gt;"","",IF(EK3="","",IF(AS3=1,"",DG2))))</calculatedColumnFormula>
    </tableColumn>
    <tableColumn id="112" xr3:uid="{28481DF0-900A-4322-8CFF-AD1E15367172}" name="Шина (итог)">
      <calculatedColumnFormula>IF(D3="","",IF(DG3="","основная",DG3))</calculatedColumnFormula>
    </tableColumn>
    <tableColumn id="113" xr3:uid="{A30192BF-C2B4-4202-A043-CBADE6C2DE57}" name="_секция №">
      <calculatedColumnFormula>IFERROR(MIN(3,MAX(1,INT(--N3))),1)</calculatedColumnFormula>
    </tableColumn>
    <tableColumn id="114" xr3:uid="{99EB4E23-922E-431A-AE09-BEC2E75D16A5}" name="Тип шины">
      <calculatedColumnFormula array="1">IF(D3="","",_xlfn.LET(_xlpm.t,IFERROR(_xlfn.XLOOKUP(1,(Шины[Шина]=DH3)*(((Шины[Щит]=A3)+(Шины[Щит]=""))&gt;0),Шины[Тип]),"")&amp;"",IF(_xlpm.t&lt;&gt;"",_xlpm.t,IF(ISNUMBER(SEARCH("ИБП",DH3)),"ИБП",IF(ISNUMBER(SEARCH("ДГУ",DH3)),"ДГУ","Ввод "&amp;DI3)))))</calculatedColumnFormula>
    </tableColumn>
    <tableColumn id="115" xr3:uid="{20124663-9230-49B3-ACF7-E3D921ADE400}" name="Источник для режимов">
      <calculatedColumnFormula>IF(D3="","",IF(OR(DJ3="ИБП",DJ3="ДГУ"),DJ3,IF(LEFT(DJ3,5)="Ввод ",DJ3,"Ввод "&amp;DI3)))</calculatedColumnFormula>
    </tableColumn>
    <tableColumn id="116" xr3:uid="{DBF38AF4-C9FC-4B9A-AA18-8FD4730E31C4}" name="Категория обеспечена">
      <calculatedColumnFormula>IF(D3="","",IF(OR(DJ3="ИБП",DJ3="ДГУ"),"I особая",IF(DJ3="Одиночная","III",_xlfn.XLOOKUP(A3,Щиты[Щит],Щиты[Категория шины «Ввод»],"III"))))</calculatedColumnFormula>
    </tableColumn>
    <tableColumn id="117" xr3:uid="{FB649E4F-1920-4593-9793-B1B266596DFB}" name="_ранг категории">
      <calculatedColumnFormula>IF(D3="",0,IFERROR(MATCH(DE3,{"III","II","I","I особая"},0),1))</calculatedColumnFormula>
    </tableColumn>
    <tableColumn id="118" xr3:uid="{A0B24A53-2C73-4DD4-8096-34CB5DCE558E}" name="_ранг для фидера">
      <calculatedColumnFormula>IF(OR(DJ3="ИБП",DJ3="ДГУ"),MIN(DM3,3),DM3)</calculatedColumnFormula>
    </tableColumn>
    <tableColumn id="119" xr3:uid="{CAEAB53E-A255-491A-AA95-55AEEC133B5E}" name="Категория: проверка">
      <calculatedColumnFormula>IF(D3="","",IF(DM3&gt;IFERROR(MATCH(DL3,{"III","II","I","I особая"},0),1),"НЕ ОБЕСПЕЧЕНА","ОК"))</calculatedColumnFormula>
    </tableColumn>
    <tableColumn id="120" xr3:uid="{64624D96-AED8-42B0-9968-57240F4DB569}" name="_путь щита">
      <calculatedColumnFormula>IF(A3="","",_xlfn.XLOOKUP(A3,Щиты[Щит],Щиты[Путь],""))</calculatedColumnFormula>
    </tableColumn>
    <tableColumn id="121" xr3:uid="{8E969078-A174-4BF3-8DFB-51DB7B8E6561}" name="Вид нагрузки (итог)">
      <calculatedColumnFormula>IF(D3="","",IF(Z3&lt;&gt;"",Z3,IF(IFERROR(_xlfn.XLOOKUP(AT3,Коды_код,Коды_вид)&amp;"","")="","Прочее",_xlfn.XLOOKUP(AT3,Коды_код,Коды_вид)&amp;"")))</calculatedColumnFormula>
    </tableColumn>
    <tableColumn id="122" xr3:uid="{8A34F85B-902C-4A6C-8113-504BAABBA045}" name="Лист схемы">
      <calculatedColumnFormula>IF(BD3="","",INT((BD3-1)/Столбцов_на_лист)+1)</calculatedColumnFormula>
    </tableColumn>
    <tableColumn id="123" xr3:uid="{A6E7266D-A6F2-45A8-84AB-4E2A6FF55AAB}" name="Кабель (строкой)">
      <calculatedColumnFormula>IF(D3="","",SUBSTITUTE(CH3,CHAR(10)," "))</calculatedColumnFormula>
    </tableColumn>
    <tableColumn id="124" xr3:uid="{CAFE1C42-9471-4D5B-A079-8CC1F3CC0125}" name="_Р схемы">
      <calculatedColumnFormula>IF(D3="","",IFERROR(--BF3,""))</calculatedColumnFormula>
    </tableColumn>
    <tableColumn id="125" xr3:uid="{F3E66216-B69D-43B2-9B81-0E8914B6ABC6}" name="_Ток схемы">
      <calculatedColumnFormula>IF(D3="","",IFERROR(ROUNDUP(BN3,2),""))</calculatedColumnFormula>
    </tableColumn>
    <tableColumn id="126" xr3:uid="{691686D3-DB1A-48D7-B2DE-920F6CFDC4EC}" name="_фаз">
      <calculatedColumnFormula>IF(D3="","",IFERROR(--BH3,1))</calculatedColumnFormula>
    </tableColumn>
    <tableColumn id="127" xr3:uid="{00E70DC3-4591-4C83-94C3-03B3AD73AA6C}" name="_дифзащита по коду, мА">
      <calculatedColumnFormula>IF(AT3="",0,_xlfn.LET(_xlpm.v,IFERROR(VLOOKUP(D3,УГО_спр,3,FALSE),IFERROR(VLOOKUP(AT3,УГО_спр,3,FALSE),IFERROR(VLOOKUP(LEFT(AT3,2),УГО_спр,3,FALSE),""))),IF(_xlpm.v="да",30,IF(ISNUMBER(_xlpm.v),_xlpm.v,0))))</calculatedColumnFormula>
    </tableColumn>
    <tableColumn id="128" xr3:uid="{B3221D8E-2E44-42BB-A03D-43D0B0BF6B8C}" name="_в кабель выше">
      <calculatedColumnFormula>IF(OR(AJ3="+",AND(D3&lt;&gt;"",D3=IF(AS3=1,"",D2))),1,0)</calculatedColumnFormula>
    </tableColumn>
    <tableColumn id="129" xr3:uid="{4FFFE338-6AFC-4B82-8575-F9FA90E07867}" name="_гр.">
      <calculatedColumnFormula>IF(BD3="","",IF(AD3&lt;&gt;"",COUNTIFS(A$3:A3,A3,AD$3:AD3,"?*"),IF(OR(OR(AS3=1,A3&lt;&gt;A2),AL3="вручную"),"",IF(AS3=1,"",DZ2))))</calculatedColumnFormula>
    </tableColumn>
    <tableColumn id="130" xr3:uid="{2515F346-BD86-49A0-BAA6-F07B6C759D4F}" name="_гр. (перенос)">
      <calculatedColumnFormula>IF(BD3="",IF(OR(AS3=1,A3&lt;&gt;A2),"",IF(AS3=1,"",DZ2)),DY3)</calculatedColumnFormula>
    </tableColumn>
    <tableColumn id="131" xr3:uid="{0280CA3F-6E94-4DED-8418-1BF409DDE62F}" name="_мин. по типу">
      <calculatedColumnFormula>IF(D3="",0,MAX(IFERROR(--X3,0),IFERROR(--VLOOKUP(D3,УГО_спр,4,FALSE),IFERROR(--VLOOKUP(AT3,УГО_спр,4,FALSE),IFERROR(--VLOOKUP(LEFT(AT3,2),УГО_спр,4,FALSE),0)))))</calculatedColumnFormula>
    </tableColumn>
    <tableColumn id="132" xr3:uid="{E9DCEF66-15D0-4088-9DB4-F09656663565}" name="_макс. автомат по кабелю">
      <calculatedColumnFormula>IF(D3="","",IFERROR(LOOKUP(INDEX(CHOOSE(BR3,Iдоп_1ж,Iдоп_2ж,Iдоп_3ж),MATCH(BS3,Iдоп_S,0))*BP3*BQ3,{6,10,16,20,25,32,40,50,63,80,100,125,160,200,250,315,400,500,630}),""))</calculatedColumnFormula>
    </tableColumn>
    <tableColumn id="133" xr3:uid="{1B06552C-0E79-40FC-A9F3-1A1B77E86191}" name="_ток группы">
      <calculatedColumnFormula>IF(AD3="","",SUMIFS(Линии[_Ток схемы],Линии[_гр.],DY3,Линии[Щит],A3,Линии[_в кабель выше],0))</calculatedColumnFormula>
    </tableColumn>
    <tableColumn id="134" xr3:uid="{00BD4D18-F50E-4ABA-8D5E-B99AFB0E6C01}" name="_номинал по току">
      <calculatedColumnFormula>IF(AD3="","",IFERROR(VLOOKUP(EC3,Автомат_номиналы,2,TRUE),""))</calculatedColumnFormula>
    </tableColumn>
    <tableColumn id="135" xr3:uid="{94CB10B9-DCD9-486D-8D88-BC294E2C5A1E}" name="_по току">
      <calculatedColumnFormula>IF(AD3="","",MAX(N(ED3),_xlfn.MAXIFS(Линии[_мин. по типу],Линии[_гр.],DY3,Линии[Щит],A3)))</calculatedColumnFormula>
    </tableColumn>
    <tableColumn id="136" xr3:uid="{B027A6F2-E8A0-4F73-8B81-C2AEFAD1B9B6}" name="_мин. по кабелям">
      <calculatedColumnFormula>IF(AD3="","",_xlfn.MINIFS(Линии[_макс. автомат по кабелю],Линии[_гр.],DY3,Линии[Щит],A3))</calculatedColumnFormula>
    </tableColumn>
    <tableColumn id="137" xr3:uid="{A09A8C97-5C7D-4196-AB0D-445C4B4DF0CD}" name="_фаз гр.">
      <calculatedColumnFormula>IF(AD3="","",MAX(1,_xlfn.MAXIFS(Линии[_фаз],Линии[_гр.],DY3,Линии[Щит],A3)))</calculatedColumnFormula>
    </tableColumn>
    <tableColumn id="138" xr3:uid="{F4E2CF40-2D6E-4514-B944-D06D970F3177}" name="Дифзащита группы, мА">
      <calculatedColumnFormula>IF(AD3="","",IF(AND(AD3&lt;&gt;"авто",AD3&lt;&gt;"+"),IF(ISNUMBER(SEARCH("мА",AD3)),IFERROR(--TRIM(RIGHT(SUBSTITUTE(LEFT(AD3,SEARCH("мА",AD3)-1)," ",REPT(" ",9)),6)),30),0),IF(AE3="нет",0,IF(ISNUMBER(AE3),AE3,IF(AE3="да",30,_xlfn.MINIFS(Линии[_дифзащита по коду, мА],Линии[_гр.],DY3,Линии[Щит],A3,Линии[_дифзащита по коду, мА],"&gt;0"))))))</calculatedColumnFormula>
    </tableColumn>
    <tableColumn id="139" xr3:uid="{F5DA581D-A2C8-44CF-BECE-E3132F667CD9}" name="_дифзащита гр. (0/1)">
      <calculatedColumnFormula>IF(AD3="","",IF(N(EH3)&gt;0,1,0))</calculatedColumnFormula>
    </tableColumn>
    <tableColumn id="140" xr3:uid="{93D8B0BD-F553-4914-B77C-BBA89701E3A1}" name="_QF нач.">
      <calculatedColumnFormula>IF(AD3="","",IF(EI3=1,"QFD","QF")&amp;DY3)</calculatedColumnFormula>
    </tableColumn>
    <tableColumn id="141" xr3:uid="{C6F0DC44-8105-4EEF-82A4-9D61BB5D35D2}" name="_QF гр.">
      <calculatedColumnFormula>IF(EJ3&lt;&gt;"",EJ3,IF(OR(OR(AS3=1,A3&lt;&gt;A2),AL3="вручную"),"",IF(AS3=1,"",EK2)))</calculatedColumnFormula>
    </tableColumn>
    <tableColumn id="142" xr3:uid="{E2C33F35-3764-475C-9D31-796F8AFF2C00}" name="_аппараты гр.">
      <calculatedColumnFormula>IF(EJ3&lt;&gt;"",_xlfn.TEXTJOIN(" → ",TRUE,AF3,AG3,AH3),IF(EK3="","",IF(AS3=1,"",EL2)))</calculatedColumnFormula>
    </tableColumn>
    <tableColumn id="143" xr3:uid="{39A3D630-7429-4CFE-A97D-F23BD0485A74}" name="_БП/тр-р">
      <calculatedColumnFormula>IF(EL3="",0,IF(OR(LEFT(EL3,2)="T ",LEFT(EL3,2)="Т ",ISNUMBER(SEARCH("→ T ",EL3)),ISNUMBER(SEARCH("→ Т ",EL3)),ISNUMBER(SEARCH("БП",EL3))),1,0))</calculatedColumnFormula>
    </tableColumn>
    <tableColumn id="144" xr3:uid="{BDD1CEDC-6599-426F-9904-930A73C0FC55}" name="_номинал">
      <calculatedColumnFormula>IF(AD3="","",IF(EM3=1,MAX(EE3,Мин_автомат_БП),EE3))</calculatedColumnFormula>
    </tableColumn>
    <tableColumn id="145" xr3:uid="{816EDDA0-0F60-4F38-8334-19A222F87B34}" name="_полюса">
      <calculatedColumnFormula>IF(AD3="","",IF(EG3&gt;=3,IF(EI3=1,"4P","3P"),IF(EI3=1,"2P","1P")))</calculatedColumnFormula>
    </tableColumn>
    <tableColumn id="146" xr3:uid="{99FE4485-8663-402A-BCF0-02A922BEA680}" name="Автомат (схема)">
      <calculatedColumnFormula>IF(AD3="","",IF(AND(AD3&lt;&gt;"авто",AD3&lt;&gt;"+"),AD3,EO3&amp;" С"&amp;EN3&amp;"А"&amp;IF(EI3=1," "&amp;EH3&amp;"мА","")))</calculatedColumnFormula>
    </tableColumn>
    <tableColumn id="147" xr3:uid="{50C3BA03-B7DD-4DC2-A0EA-D968910AF47B}" name="_номинал итог">
      <calculatedColumnFormula>IF(EP3="","",_xlfn.LET(_xlpm.t,SUBSTITUTE(SUBSTITUTE(UPPER(EP3),"С","C"),"А","A"),_xlpm.c,FIND("C",_xlpm.t),IFERROR(--MID(_xlpm.t,_xlpm.c+1,FIND("A",_xlpm.t&amp;"A",_xlpm.c)-_xlpm.c-1),"")))</calculatedColumnFormula>
    </tableColumn>
    <tableColumn id="148" xr3:uid="{079DFCD5-0624-4D32-9B0C-17CCAB80271E}" name="_префикс">
      <calculatedColumnFormula>IF(OR(AI3="",AI3="-"),"",IFERROR(VLOOKUP(AI3,Модули_спр,2,FALSE),"R"))</calculatedColumnFormula>
    </tableColumn>
    <tableColumn id="149" xr3:uid="{622D6FA3-7623-4DAB-91D3-9FD0B61BB1B7}" name="_модуль нач.">
      <calculatedColumnFormula>IF(ER3="","",ER3&amp;"."&amp;COUNTIFS(A$3:A3,A3,ER$3:ER3,ER3))</calculatedColumnFormula>
    </tableColumn>
    <tableColumn id="150" xr3:uid="{D11727DA-86E1-4265-ACBD-7A245197136B}" name="_модуль гр.">
      <calculatedColumnFormula>IF(AI3="-","",IF(ES3&lt;&gt;"",ES3,IF(OR(AS3=1,A3&lt;&gt;A2),"",IF(AS3=1,"",ET2))))</calculatedColumnFormula>
    </tableColumn>
    <tableColumn id="151" xr3:uid="{9C23AA73-1D8A-482C-9579-72DEC13457D5}" name="_модель гр.">
      <calculatedColumnFormula>IF(ET3="","",IF(AND(AI3&lt;&gt;"",AI3&lt;&gt;"-"),AI3,IF(AS3=1,"",EU2)))</calculatedColumnFormula>
    </tableColumn>
    <tableColumn id="152" xr3:uid="{10F73DE4-481D-43E3-A7E3-5678501AE357}" name="Канал (итог)">
      <calculatedColumnFormula>IF(AJ3="=",IF(AS3=1,"",EW2),IF(ISNUMBER(AJ3),AJ3,IF(ET3="","",IF(OR(D3&lt;&gt;"",AJ3="+",AJ3="р"),IF(OR(ES3&lt;&gt;"",IF(AS3=1,"",EW2)=""),1,IF(AS3=1,"",EW2)+1),""))))</calculatedColumnFormula>
    </tableColumn>
    <tableColumn id="153" xr3:uid="{E5992C9F-E798-4081-86A8-493C4430DC6A}" name="_посл. канал">
      <calculatedColumnFormula>IF(EV3&lt;&gt;"",EV3,IF(OR(OR(AS3=1,A3&lt;&gt;A2),AI3="-",ES3&lt;&gt;""),"",IF(AS3=1,"",EW2)))</calculatedColumnFormula>
    </tableColumn>
    <tableColumn id="154" xr3:uid="{C7EBDA54-FAF7-4E39-8A9D-8E04C6D205A5}" name="_клемма">
      <calculatedColumnFormula>IF(AJ3="б/к",0,IF(OR(ISNUMBER(SEARCH("L=",CH3)),AJ3="+",AJ3="="),1,0))</calculatedColumnFormula>
    </tableColumn>
    <tableColumn id="155" xr3:uid="{59D1F077-3137-44AA-A8DE-A68E5E4D203E}" name="Клемма (итог)">
      <calculatedColumnFormula>IF(AK3="нет","",IF(AK3&lt;&gt;"",AK3,IF(EX3=1,"XT"&amp;COUNTIFS(A$3:A3,A3,EX$3:EX3,1),"")))</calculatedColumnFormula>
    </tableColumn>
    <tableColumn id="156" xr3:uid="{E8D8AC3C-1460-4844-A43E-02E4639B38BD}" name="QF">
      <calculatedColumnFormula>IF(OR(D3&lt;&gt;"",EV3&lt;&gt;"",EX3=1),EK3,"")</calculatedColumnFormula>
    </tableColumn>
    <tableColumn id="157" xr3:uid="{F1265EDD-D498-4BD5-81AA-77840AF2ED32}" name="_Модуль (схема)">
      <calculatedColumnFormula>IF(OR(EV3&lt;&gt;"",AND(AI3&lt;&gt;"",AI3&lt;&gt;"-")),ET3,"")</calculatedColumnFormula>
    </tableColumn>
    <tableColumn id="158" xr3:uid="{666465FA-A9F0-4DAE-B7F1-B9B518A8F7F2}" name="Проверка автомата">
      <calculatedColumnFormula>IF(AD3="","",IF(NOT(ISNUMBER(EQ3)),"",IF(EC3&gt;EQ3,"ПЕРЕГРУЗ",IF(AND(EM3=0,EF3&gt;0,EQ3&gt;EF3),"КАБЕЛЬ НЕ ЗАЩИЩЁН","ok"))))</calculatedColumnFormula>
    </tableColumn>
    <tableColumn id="159" xr3:uid="{5343BE98-EBD6-454F-AAE0-BF00F306D443}" name="Проверка канала">
      <calculatedColumnFormula>IF(OR(EV3="",ET3=""),"",IF(EV3&gt;IFERROR(VLOOKUP(EU3,Модули_спр,3,FALSE),99),"ЛИШНИЙ КАНАЛ",IF(AND(AJ3&lt;&gt;"=",COUNTIFS(Линии[_модуль гр.],ET3,Линии[Канал (итог)],EV3,Линии[Канал],"&lt;&gt;=",Линии[Щит],A3)&gt;1),"ДУБЛЬ КАНАЛА","")))</calculatedColumnFormula>
    </tableColumn>
    <tableColumn id="160" xr3:uid="{2A567314-D8BA-4E29-9A20-558A87A4CED8}" name="_In гр.">
      <calculatedColumnFormula>IF(AD3&lt;&gt;"",EQ3,IF(EK3="","",IF(AS3=1,"",FD2)))</calculatedColumnFormula>
    </tableColumn>
    <tableColumn id="161" xr3:uid="{3DB4AF37-BC01-40B6-A251-05239CD56228}" name="_автомат гр.">
      <calculatedColumnFormula>IF(AD3&lt;&gt;"",EP3,IF(EK3="","",IF(AS3=1,"",FE2)))</calculatedColumnFormula>
    </tableColumn>
    <tableColumn id="162" xr3:uid="{F97FFFC9-E4D9-4CF3-A179-0EA2CD943CD5}" name="_дифзащита гр. (строки)">
      <calculatedColumnFormula>IF(AD3&lt;&gt;"",EI3,IF(EK3="","",IF(AS3=1,"",FF2)))</calculatedColumnFormula>
    </tableColumn>
    <tableColumn id="163" xr3:uid="{D94AEF2C-CE6E-4EFF-BD8A-AEFAA32926DF}" name="_мА гр. (строки)">
      <calculatedColumnFormula>IF(AD3&lt;&gt;"",EH3,IF(EK3="","",IF(AS3=1,"",FG2)))</calculatedColumnFormula>
    </tableColumn>
    <tableColumn id="164" xr3:uid="{AC8F5F17-F77F-4827-AFAE-D3429C090B97}" name="Iкз / In">
      <calculatedColumnFormula>IFERROR(IF(ISNUMBER(CL3),CL3/IFERROR(--FD3,N(BO3)),""),"")</calculatedColumnFormula>
    </tableColumn>
    <tableColumn id="165" xr3:uid="{39335EE1-7895-466D-90F7-93BE2C4CC1E0}" name="_кратность">
      <calculatedColumnFormula>IF(OR(ISNUMBER(SEARCH(" B"," "&amp;FE3)),ISNUMBER(SEARCH(" В"," "&amp;FE3))),5,IF(ISNUMBER(SEARCH(" D"," "&amp;FE3)),20,10))</calculatedColumnFormula>
    </tableColumn>
    <tableColumn id="166" xr3:uid="{E9D963D9-B371-4A3C-A06F-F9865DF493D7}" name="Отключение ≤ 0,4 с">
      <calculatedColumnFormula>IF(NOT(ISNUMBER(FH3)),"",IF(FH3&gt;=FI3,"ok",IF(N(FF3)=1,"ok (дифзащита "&amp;FG3&amp;" мА)","мало: Iкз &lt; "&amp;FI3&amp;"·In")))</calculatedColumnFormula>
    </tableColumn>
    <tableColumn id="167" xr3:uid="{2D371BD8-ED5D-41FD-ABC9-97D7AAC1DAB1}" name="Статус">
      <calculatedColumnFormula>IF(AND(D3="",EZ3=""),"",_xlfn.TEXTJOIN("; ",TRUE,IF(AND(D3&lt;&gt;"",DD3=""),"нет фазы",""),IF(AND(D3&lt;&gt;"",N(DT3)=0,CN3&lt;&gt;"Нет"),"нет мощности",""),IF(AND(EY3&lt;&gt;"",COUNTIFS(Линии[Щит],A3,Линии[Клемма (итог)],EY3)&gt;1),"дубль клеммы "&amp;EY3,""),IF(AND(FB3&lt;&gt;"",FB3&lt;&gt;"ok"),FB3,""),IF(FC3&lt;&gt;"",FC3,""),IF(AND(ISNUMBER(SEARCH("(5х",DS3)),N(DV3)=1),"5 жил на 1 фазе",""),IF(AND(AT3="R",AD3&lt;&gt;"",OR(N(EH3)=0,N(EH3)&gt;30)),"розетка без дифзащиты до 30 мА",""),IFERROR(IF(AND(ISNUMBER(CD3),CD3&gt;CE3),"потери "&amp;FIXED(CD3,1)&amp;" % &gt; "&amp;CE3&amp;" %",""),""),IFERROR(IF(LEFT(FJ3,4)="мало","Iкз мало — отключение &gt; 0,4 с",""),""),IF(AND(D3&lt;&gt;"",BD3=""),"не на схеме","")))</calculatedColumnFormula>
    </tableColumn>
    <tableColumn id="168" xr3:uid="{F031925D-C9ED-4C7E-B627-8163C719B699}" name="Icu автомата, кА">
      <calculatedColumnFormula>IF(AD3="","",_xlfn.LET(_xlpm.t,IFERROR(_xlfn.XLOOKUP(EP3,Каталог!$U$4:$U$500,Каталог!$G$4:$G$500),""),_xlpm.k,SEARCH("кА",_xlpm.t),IFERROR(--TRIM(RIGHT(SUBSTITUTE(MID(_xlpm.t,MAX(1,_xlpm.k-4),_xlpm.k-MAX(1,_xlpm.k-4))," ",REPT(" ",9)),5)),"")))</calculatedColumnFormula>
    </tableColumn>
    <tableColumn id="169" xr3:uid="{BE02B8AD-2190-4D2D-AF3E-5CE61EFAFEDB}" name="Проверка Icu">
      <calculatedColumnFormula>IF(OR(FL3="",AD3=""),"",IF(_xlfn.XLOOKUP(A3,Щиты[Щит],Щиты[Iкз max на шинах, кА],"")="","",IF(FL3&lt;_xlfn.XLOOKUP(A3,Щиты[Щит],Щиты[Iкз max на шинах, кА]),"Icu "&amp;FL3&amp;" кА &lt; Iкз max","ok")))</calculatedColumnFormula>
    </tableColumn>
    <tableColumn id="170" xr3:uid="{2571E399-879D-418D-B6C9-E6E05347DAB4}" name="_цепь для бирок">
      <calculatedColumnFormula>IF(OR(AL3="вручную",BD3="",AND(D3="",EY3="")),"",_xlfn.TEXTJOIN("|",TRUE,EK3,SUBSTITUTE(EL3," → ","|"),IF(ET3&lt;&gt;"",ET3&amp;IF(EV3&lt;&gt;""," к."&amp;EV3,""),""),EY3))</calculatedColumnFormula>
    </tableColumn>
    <tableColumn id="171" xr3:uid="{247D2DAA-EEC1-4713-900F-A3A31677AF4C}" name="_цепь с кабелем">
      <calculatedColumnFormula>IF(FN3="","",FN3&amp;IF(D3&lt;&gt;"","|кабель "&amp;CG3&amp;" → "&amp;AZ3,""))</calculatedColumnFormula>
    </tableColumn>
    <tableColumn id="172" xr3:uid="{8D157446-8EED-4016-96ED-5380AA775FE0}" name="_бирка 1">
      <calculatedColumnFormula array="1">IF(FO3="","",_xlfn.LET(_xlpm.nd,_xlfn.TEXTSPLIT(FO3,"|"),IF(COLUMNS(_xlpm.nd)&gt;1,A3&amp;"¦"&amp;INDEX(_xlpm.nd,1)&amp;"¦"&amp;INDEX(_xlpm.nd,2),"")))</calculatedColumnFormula>
    </tableColumn>
    <tableColumn id="173" xr3:uid="{579A9E86-07F2-43C5-A4BE-E1FC5F698653}" name="_бирка 1 линия">
      <calculatedColumnFormula>IF(FP3="","",D3&amp;"¦"&amp;AZ3)</calculatedColumnFormula>
    </tableColumn>
    <tableColumn id="174" xr3:uid="{FE401B2A-7322-4E21-A87C-6C9A2377F758}" name="_бирка 2">
      <calculatedColumnFormula array="1">IF(FO3="","",_xlfn.LET(_xlpm.nd,_xlfn.TEXTSPLIT(FO3,"|"),IF(COLUMNS(_xlpm.nd)&gt;2,A3&amp;"¦"&amp;INDEX(_xlpm.nd,2)&amp;"¦"&amp;INDEX(_xlpm.nd,3),"")))</calculatedColumnFormula>
    </tableColumn>
    <tableColumn id="175" xr3:uid="{A6244D32-F652-4EB8-BE6E-8A5E27C9FD58}" name="_бирка 2 линия">
      <calculatedColumnFormula>IF(FR3="","",D3&amp;"¦"&amp;AZ3)</calculatedColumnFormula>
    </tableColumn>
    <tableColumn id="176" xr3:uid="{E4E80653-6A89-49EF-9A21-95A620D116A2}" name="_бирка 3">
      <calculatedColumnFormula array="1">IF(FO3="","",_xlfn.LET(_xlpm.nd,_xlfn.TEXTSPLIT(FO3,"|"),IF(COLUMNS(_xlpm.nd)&gt;3,A3&amp;"¦"&amp;INDEX(_xlpm.nd,3)&amp;"¦"&amp;INDEX(_xlpm.nd,4),"")))</calculatedColumnFormula>
    </tableColumn>
    <tableColumn id="177" xr3:uid="{C128BC95-E2F0-4D82-BC8C-104DF1C475C9}" name="_бирка 3 линия">
      <calculatedColumnFormula>IF(FT3="","",D3&amp;"¦"&amp;AZ3)</calculatedColumnFormula>
    </tableColumn>
    <tableColumn id="178" xr3:uid="{FF0C2E04-A7E7-41E4-8209-00E49C0F0E43}" name="_бирка 4">
      <calculatedColumnFormula array="1">IF(FO3="","",_xlfn.LET(_xlpm.nd,_xlfn.TEXTSPLIT(FO3,"|"),IF(COLUMNS(_xlpm.nd)&gt;4,A3&amp;"¦"&amp;INDEX(_xlpm.nd,4)&amp;"¦"&amp;INDEX(_xlpm.nd,5),"")))</calculatedColumnFormula>
    </tableColumn>
    <tableColumn id="179" xr3:uid="{EF3484C7-06D4-43E8-B4B3-D3CB0156752C}" name="_бирка 4 линия">
      <calculatedColumnFormula>IF(FV3="","",D3&amp;"¦"&amp;AZ3)</calculatedColumnFormula>
    </tableColumn>
    <tableColumn id="180" xr3:uid="{808B62AF-84A3-4AC0-B455-D701470D71AA}" name="_бирка 5">
      <calculatedColumnFormula array="1">IF(FO3="","",_xlfn.LET(_xlpm.nd,_xlfn.TEXTSPLIT(FO3,"|"),IF(COLUMNS(_xlpm.nd)&gt;5,A3&amp;"¦"&amp;INDEX(_xlpm.nd,5)&amp;"¦"&amp;INDEX(_xlpm.nd,6),"")))</calculatedColumnFormula>
    </tableColumn>
    <tableColumn id="181" xr3:uid="{D4EAA37C-8401-4FF7-846A-CF754D27D2DE}" name="_бирка 5 линия">
      <calculatedColumnFormula>IF(FX3="","",D3&amp;"¦"&amp;AZ3)</calculatedColumnFormula>
    </tableColumn>
    <tableColumn id="182" xr3:uid="{26C3AC32-B8C3-499D-97ED-F589C41738A8}" name="_бирка 6">
      <calculatedColumnFormula array="1">IF(FO3="","",_xlfn.LET(_xlpm.nd,_xlfn.TEXTSPLIT(FO3,"|"),IF(COLUMNS(_xlpm.nd)&gt;6,A3&amp;"¦"&amp;INDEX(_xlpm.nd,6)&amp;"¦"&amp;INDEX(_xlpm.nd,7),"")))</calculatedColumnFormula>
    </tableColumn>
    <tableColumn id="183" xr3:uid="{E0638F8F-C01E-4352-8B28-470430AC1047}" name="_бирка 6 линия">
      <calculatedColumnFormula>IF(FZ3="","",D3&amp;"¦"&amp;AZ3)</calculatedColumnFormula>
    </tableColumn>
    <tableColumn id="184" xr3:uid="{FA757485-A80F-4A4C-BC4C-F9564D59BAC2}" name="_модель (схема)">
      <calculatedColumnFormula>IF(FA3="","",EU3)</calculatedColumnFormula>
    </tableColumn>
    <tableColumn id="185" xr3:uid="{17DEAD14-E779-4799-937E-A8DB7EA571BC}" name="_цепь">
      <calculatedColumnFormula>IF(AND(D3="",EV3="",EY3=""),"",_xlfn.TEXTJOIN(" → ",TRUE,EK3,EL3,IF(ET3&lt;&gt;"",ET3&amp;IF(EV3&lt;&gt;""," к."&amp;EV3,""),IF(EV3&lt;&gt;"","к."&amp;EV3,"")),EY3,IF(DX3=1,"(в кабель выше)","")))</calculatedColumnFormula>
    </tableColumn>
    <tableColumn id="186" xr3:uid="{20721258-1259-401B-B3F7-7482223E9FDA}" name="_draw">
      <calculatedColumnFormula>IF(OR(BD3="",AL3="вручную",AND(BE3="вводной узел",AL3&lt;&gt;"рисовать")),0,1)</calculatedColumnFormula>
    </tableColumn>
    <tableColumn id="187" xr3:uid="{AC674EE5-B090-4ED6-B774-6EEE6984D1A2}" name="_bus2">
      <calculatedColumnFormula>IF(AC3="",0,1)</calculatedColumnFormula>
    </tableColumn>
    <tableColumn id="188" xr3:uid="{7BD4BBBE-AD78-4E38-AAF0-0F311BCE486D}" name="_rcd">
      <calculatedColumnFormula>IF(EJ3="",0,IF(LEFT(EJ3,3)="QFD",1,0))</calculatedColumnFormula>
    </tableColumn>
    <tableColumn id="189" xr3:uid="{7130B336-6505-470A-B1FD-EFB644B3DC0D}" name="_chtype">
      <calculatedColumnFormula>IF(AJ3="=","=",IF(AJ3="+","+",IF(AJ3="р","R","")))</calculatedColumnFormula>
    </tableColumn>
    <tableColumn id="190" xr3:uid="{B6D8C73A-C7D9-4F74-BD09-60BDF8D65F3D}" name="_dev1">
      <calculatedColumnFormula>IF(AF3="","",IF(OR(LEFT(AF3,1)="T",LEFT(AF3,1)="Т"),"T",IF(LEFT(UPPER(AF3),2)="БП","PS",IF(OR(LEFT(UPPER(AF3),2)="МК",LEFT(UPPER(AF3),2)="MK"),"MK",IF(OR(LEFT(UPPER(AF3),2)="КМ",LEFT(UPPER(AF3),2)="KM"),"KM","X")))))</calculatedColumnFormula>
    </tableColumn>
    <tableColumn id="191" xr3:uid="{7C1DDEBC-4A84-4178-924A-31BE0E201B34}" name="_dev2">
      <calculatedColumnFormula>IF(AG3="","",IF(OR(LEFT(AG3,1)="T",LEFT(AG3,1)="Т"),"T",IF(LEFT(UPPER(AG3),2)="БП","PS",IF(OR(LEFT(UPPER(AG3),2)="МК",LEFT(UPPER(AG3),2)="MK"),"MK",IF(OR(LEFT(UPPER(AG3),2)="КМ",LEFT(UPPER(AG3),2)="KM"),"KM","X")))))</calculatedColumnFormula>
    </tableColumn>
    <tableColumn id="192" xr3:uid="{12D4109A-DF3B-49A2-99B8-F47FCEE45CA8}" name="_dev3">
      <calculatedColumnFormula>IF(AH3="","",IF(OR(LEFT(AH3,1)="T",LEFT(AH3,1)="Т"),"T",IF(LEFT(UPPER(AH3),2)="БП","PS",IF(OR(LEFT(UPPER(AH3),2)="МК",LEFT(UPPER(AH3),2)="MK"),"MK",IF(OR(LEFT(UPPER(AH3),2)="КМ",LEFT(UPPER(AH3),2)="KM"),"KM","X")))))</calculatedColumnFormula>
    </tableColumn>
    <tableColumn id="193" xr3:uid="{98DD780D-D005-421E-B928-4EBD12D608AA}" name="_УГО (рус)">
      <calculatedColumnFormula>IF(D3="","",IFERROR(VLOOKUP(D3,УГО_спр,2,FALSE),IFERROR(VLOOKUP(AT3,УГО_спр,2,FALSE),IFERROR(VLOOKUP(LEFT(AT3,2),УГО_спр,2,FALSE),""))))</calculatedColumnFormula>
    </tableColumn>
    <tableColumn id="194" xr3:uid="{0D9C9FC5-A652-4440-870A-6B27C7B06159}" name="_sym">
      <calculatedColumnFormula>IF(D3="","",IF(OR(GK3="",GK3=0),"BOX",IFERROR(IF(VLOOKUP(GK3,УГО_блоки,3,FALSE)&amp;""&lt;&gt;"",VLOOKUP(GK3,УГО_блоки,3,FALSE),VLOOKUP(GK3,УГО_блоки,2,FALSE)),GK3)))</calculatedColumnFormula>
    </tableColumn>
    <tableColumn id="195" xr3:uid="{20C5C710-A9D2-4406-AB0A-81F1B079A396}" name="_hasline">
      <calculatedColumnFormula>IF(D3="",0,1)</calculatedColumnFormula>
    </tableColumn>
    <tableColumn id="196" xr3:uid="{0ED03614-2FE2-4E1C-A24C-D3DA416E6625}" name="_тип автомата №">
      <calculatedColumnFormula>IF(EP3="","",IF(COUNTIF(EP$3:EP3,EP3)=1,MAX(GN$2:GN2)+1,""))</calculatedColumnFormula>
    </tableColumn>
    <tableColumn id="197" xr3:uid="{1B53EA95-C423-4622-999C-98CD72B1B6C3}" name="_аппарат 1 №">
      <calculatedColumnFormula>IF(AF3="","",IF(COUNTIF(AF$3:AF3,AF3)+COUNTIF(AG$2:AG2,AF3)+COUNTIF(AH$2:AH2,AF3)=1,MAX(GO$2:GQ2)+1,""))</calculatedColumnFormula>
    </tableColumn>
    <tableColumn id="198" xr3:uid="{1BF80C59-EDD9-4A78-ADA0-EBEAC4E5F665}" name="_аппарат 2 №">
      <calculatedColumnFormula>IF(AG3="","",IF(COUNTIF(AF$3:AF3,AG3)+COUNTIF(AG$3:AG3,AG3)+COUNTIF(AH$2:AH2,AG3)=1,MAX(GO$2:GQ2,GO3)+1,""))</calculatedColumnFormula>
    </tableColumn>
    <tableColumn id="199" xr3:uid="{283CDBF9-1528-4778-9F4F-8EE1659A58C2}" name="_аппарат 3 №">
      <calculatedColumnFormula>IF(AH3="","",IF(COUNTIF(AF$3:AF3,AH3)+COUNTIF(AG$3:AG3,AH3)+COUNTIF(AH$3:AH3,AH3)=1,MAX(GO$2:GQ2,GO3,GP3)+1,""))</calculatedColumnFormula>
    </tableColumn>
    <tableColumn id="200" xr3:uid="{A9914EB9-0503-4D6E-B2C4-7C7E9279A4B5}" name="_кабель клеммы">
      <calculatedColumnFormula>IF(EX3=1,IFERROR(MID(DS3,FIND(" (",DS3)+2,FIND(")",DS3,FIND(" (",DS3))-FIND(" (",DS3)-2),"?"),"")</calculatedColumnFormula>
    </tableColumn>
    <tableColumn id="201" xr3:uid="{AA789076-C530-44F8-A32C-3A955117DAE3}" name="_вид клеммы №">
      <calculatedColumnFormula>IF(GR3="","",IF(COUNTIF(GR$3:GR3,GR3)=1,MAX(GS$2:GS2)+1,""))</calculatedColumnFormula>
    </tableColumn>
    <tableColumn id="202" xr3:uid="{2F9F5369-C6A0-47D8-B547-87A1FADBEA30}" name="_модуль №">
      <calculatedColumnFormula>IF(ES3="","",COUNTIF(ES$3:ES3,"?*"))</calculatedColumnFormula>
    </tableColumn>
    <tableColumn id="203" xr3:uid="{B1FA957E-563B-459B-9C97-B806B19E696D}" name="_модель №">
      <calculatedColumnFormula>IF(OR(ES3="",EU3=""),"",IF(COUNTIFS(ES$3:ES3,"?*",EU$3:EU3,EU3)=1,MAX(GU$2:GU2)+1,""))</calculatedColumnFormula>
    </tableColumn>
    <tableColumn id="204" xr3:uid="{6BE57F75-AE3A-4365-8787-3A4394B0D37A}" name="_уровень">
      <calculatedColumnFormula>IF(FK3="",0,IF(OR(ISNUMBER(SEARCH("дубль",FK3)),ISNUMBER(SEARCH("ПЕРЕГРУЗ",FK3)),ISNUMBER(SEARCH("ЗАЩИЩ",FK3)),ISNUMBER(SEARCH("КАНАЛ",FK3)),ISNUMBER(SEARCH("без диф",FK3))),2,1))</calculatedColumnFormula>
    </tableColumn>
    <tableColumn id="205" xr3:uid="{4FDF3EA6-8BD4-4645-B015-78576395FCB7}" name="_№ линии">
      <calculatedColumnFormula>IF(D3="","",COUNTIF(D$3:D3,"?*"))</calculatedColumnFormula>
    </tableColumn>
    <tableColumn id="206" xr3:uid="{EF20D2EC-2ABA-4172-81E3-E09997573E29}" name="_3L клемм">
      <calculatedColumnFormula>IF(EX3&lt;&gt;1,0,_xlfn.LET(_xlpm.k,MAX(IFERROR(--VLOOKUP(D3,УГО_спр,5,FALSE),0),IFERROR(--VLOOKUP(AT3,УГО_спр,5,FALSE),0),IFERROR(--VLOOKUP(LEFT(AT3,2),УГО_спр,5,FALSE),0)),IF(_xlpm.k&gt;0,_xlpm.k,IF(IFERROR(--LEFT(SUBSTITUTE(GR3,"x","х"),FIND("х",SUBSTITUTE(GR3,"x","х"))-1),3)&gt;3,Каталог!$S$9,1))))</calculatedColumnFormula>
    </tableColumn>
    <tableColumn id="207" xr3:uid="{CC0E5711-7B79-4FE9-B237-B8907250ABFB}" name="_доп. проходных">
      <calculatedColumnFormula>IF(EX3&lt;&gt;1,0,MAX(0,IFERROR(--LEFT(SUBSTITUTE(GR3,"x","х"),FIND("х",SUBSTITUTE(GR3,"x","х"))-1),3)-3*GX3))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  <wetp:taskpane dockstate="right" visibility="0" width="438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C8D8BBB-A61B-4833-8A81-CF3C57B8DBE8}">
  <we:reference id="wa200010215" version="1.0.0.0" store="ru-RU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7647E81-A4C7-4E54-8491-8428F71A8707}">
  <we:reference id="wa200011214" version="1.0.0.1" store="ru-RU" storeType="OMEX"/>
  <we:alternateReferences>
    <we:reference id="wa200011214" version="1.0.0.1" store="WA200011214" storeType="OMEX"/>
  </we:alternateReferences>
  <we:properties>
    <we:property name="grokConversationBinding" value="{&quot;responseId&quot;:&quot;1ff32469-886e-495e-8399-4d0ef0c9e676&quot;,&quot;title&quot;:&quot;Relay vs Dali управление&quot;,&quot;transport&quot;:&quot;gateway&quot;}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2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293D9-C5E6-449F-8603-BCFB2C034664}">
  <sheetPr>
    <tabColor rgb="FF00B050"/>
    <pageSetUpPr fitToPage="1"/>
  </sheetPr>
  <dimension ref="A1:D140"/>
  <sheetViews>
    <sheetView showGridLines="0" tabSelected="1" workbookViewId="0"/>
  </sheetViews>
  <sheetFormatPr defaultRowHeight="13.2" x14ac:dyDescent="0.3"/>
  <cols>
    <col min="1" max="1" width="8.77734375" style="82" customWidth="1"/>
    <col min="2" max="2" width="34.77734375" style="82" customWidth="1"/>
    <col min="3" max="3" width="80.77734375" style="82" customWidth="1"/>
    <col min="4" max="4" width="24.77734375" style="82" customWidth="1"/>
    <col min="5" max="16384" width="8.88671875" style="82"/>
  </cols>
  <sheetData>
    <row r="1" spans="1:4" ht="24" customHeight="1" x14ac:dyDescent="0.3">
      <c r="A1" s="83" t="s">
        <v>1787</v>
      </c>
    </row>
    <row r="2" spans="1:4" ht="13.5" customHeight="1" x14ac:dyDescent="0.3">
      <c r="A2" s="94" t="s">
        <v>1788</v>
      </c>
      <c r="B2" s="94"/>
      <c r="C2" s="94"/>
      <c r="D2" s="94"/>
    </row>
    <row r="3" spans="1:4" ht="13.5" customHeight="1" x14ac:dyDescent="0.3">
      <c r="A3" s="94" t="s">
        <v>1789</v>
      </c>
      <c r="B3" s="94"/>
      <c r="C3" s="94"/>
      <c r="D3" s="94"/>
    </row>
    <row r="5" spans="1:4" ht="15.6" x14ac:dyDescent="0.3">
      <c r="A5" s="86" t="s">
        <v>873</v>
      </c>
      <c r="B5" s="85"/>
      <c r="C5" s="85"/>
      <c r="D5" s="85"/>
    </row>
    <row r="6" spans="1:4" x14ac:dyDescent="0.3">
      <c r="B6" s="87" t="s">
        <v>874</v>
      </c>
      <c r="C6" s="87" t="s">
        <v>657</v>
      </c>
      <c r="D6" s="88"/>
    </row>
    <row r="7" spans="1:4" ht="13.5" customHeight="1" x14ac:dyDescent="0.3">
      <c r="B7" s="89" t="s">
        <v>935</v>
      </c>
      <c r="C7" s="89" t="s">
        <v>1790</v>
      </c>
      <c r="D7" s="90"/>
    </row>
    <row r="8" spans="1:4" ht="13.5" customHeight="1" x14ac:dyDescent="0.3">
      <c r="B8" s="89" t="s">
        <v>4</v>
      </c>
      <c r="C8" s="89" t="s">
        <v>1791</v>
      </c>
      <c r="D8" s="93" t="s">
        <v>1792</v>
      </c>
    </row>
    <row r="9" spans="1:4" ht="13.5" customHeight="1" x14ac:dyDescent="0.3">
      <c r="B9" s="89" t="s">
        <v>1793</v>
      </c>
      <c r="C9" s="89" t="s">
        <v>1794</v>
      </c>
      <c r="D9" s="90"/>
    </row>
    <row r="10" spans="1:4" ht="13.5" customHeight="1" x14ac:dyDescent="0.3">
      <c r="B10" s="89" t="s">
        <v>440</v>
      </c>
      <c r="C10" s="89" t="s">
        <v>1795</v>
      </c>
      <c r="D10" s="93" t="s">
        <v>1796</v>
      </c>
    </row>
    <row r="11" spans="1:4" ht="13.5" customHeight="1" x14ac:dyDescent="0.3">
      <c r="B11" s="89" t="s">
        <v>0</v>
      </c>
      <c r="C11" s="89" t="s">
        <v>1797</v>
      </c>
      <c r="D11" s="90"/>
    </row>
    <row r="12" spans="1:4" ht="27" customHeight="1" x14ac:dyDescent="0.3">
      <c r="B12" s="89" t="s">
        <v>875</v>
      </c>
      <c r="C12" s="89" t="s">
        <v>1798</v>
      </c>
      <c r="D12" s="90"/>
    </row>
    <row r="13" spans="1:4" ht="27" customHeight="1" x14ac:dyDescent="0.3">
      <c r="B13" s="89" t="s">
        <v>1799</v>
      </c>
      <c r="C13" s="89" t="s">
        <v>1800</v>
      </c>
      <c r="D13" s="90"/>
    </row>
    <row r="14" spans="1:4" ht="27" customHeight="1" x14ac:dyDescent="0.3">
      <c r="B14" s="89" t="s">
        <v>877</v>
      </c>
      <c r="C14" s="89" t="s">
        <v>1801</v>
      </c>
      <c r="D14" s="90"/>
    </row>
    <row r="15" spans="1:4" ht="13.5" customHeight="1" x14ac:dyDescent="0.3">
      <c r="B15" s="89" t="s">
        <v>876</v>
      </c>
      <c r="C15" s="89" t="s">
        <v>1802</v>
      </c>
      <c r="D15" s="90"/>
    </row>
    <row r="16" spans="1:4" ht="13.5" customHeight="1" x14ac:dyDescent="0.3">
      <c r="B16" s="89" t="s">
        <v>1803</v>
      </c>
      <c r="C16" s="89" t="s">
        <v>1804</v>
      </c>
      <c r="D16" s="90"/>
    </row>
    <row r="17" spans="1:4" ht="13.5" customHeight="1" x14ac:dyDescent="0.3">
      <c r="B17" s="89" t="s">
        <v>1805</v>
      </c>
      <c r="C17" s="89" t="s">
        <v>1806</v>
      </c>
      <c r="D17" s="90"/>
    </row>
    <row r="18" spans="1:4" ht="27" customHeight="1" x14ac:dyDescent="0.3">
      <c r="B18" s="89" t="s">
        <v>1807</v>
      </c>
      <c r="C18" s="89" t="s">
        <v>1808</v>
      </c>
      <c r="D18" s="90"/>
    </row>
    <row r="20" spans="1:4" ht="15.6" x14ac:dyDescent="0.3">
      <c r="A20" s="86" t="s">
        <v>878</v>
      </c>
      <c r="B20" s="85"/>
      <c r="C20" s="85"/>
      <c r="D20" s="85"/>
    </row>
    <row r="21" spans="1:4" ht="13.5" customHeight="1" x14ac:dyDescent="0.3">
      <c r="A21" s="95" t="s">
        <v>1809</v>
      </c>
      <c r="B21" s="95"/>
      <c r="C21" s="95"/>
      <c r="D21" s="95"/>
    </row>
    <row r="22" spans="1:4" ht="13.5" customHeight="1" x14ac:dyDescent="0.3">
      <c r="A22" s="95" t="s">
        <v>1810</v>
      </c>
      <c r="B22" s="95"/>
      <c r="C22" s="95"/>
      <c r="D22" s="95"/>
    </row>
    <row r="23" spans="1:4" ht="13.5" customHeight="1" x14ac:dyDescent="0.3">
      <c r="A23" s="95" t="s">
        <v>1811</v>
      </c>
      <c r="B23" s="95"/>
      <c r="C23" s="95"/>
      <c r="D23" s="95"/>
    </row>
    <row r="24" spans="1:4" ht="13.5" customHeight="1" x14ac:dyDescent="0.3">
      <c r="A24" s="96" t="s">
        <v>1812</v>
      </c>
      <c r="B24" s="96"/>
      <c r="C24" s="96"/>
      <c r="D24" s="96"/>
    </row>
    <row r="25" spans="1:4" ht="13.5" customHeight="1" x14ac:dyDescent="0.3">
      <c r="A25" s="96" t="s">
        <v>879</v>
      </c>
      <c r="B25" s="96"/>
      <c r="C25" s="96"/>
      <c r="D25" s="96"/>
    </row>
    <row r="27" spans="1:4" ht="15.6" x14ac:dyDescent="0.3">
      <c r="A27" s="86" t="s">
        <v>1813</v>
      </c>
      <c r="B27" s="85"/>
      <c r="C27" s="85"/>
      <c r="D27" s="85"/>
    </row>
    <row r="28" spans="1:4" x14ac:dyDescent="0.3">
      <c r="B28" s="87" t="s">
        <v>926</v>
      </c>
      <c r="C28" s="87" t="s">
        <v>1814</v>
      </c>
      <c r="D28" s="88"/>
    </row>
    <row r="29" spans="1:4" ht="13.5" customHeight="1" x14ac:dyDescent="0.3">
      <c r="B29" s="89" t="s">
        <v>870</v>
      </c>
      <c r="C29" s="89" t="s">
        <v>1815</v>
      </c>
      <c r="D29" s="93" t="s">
        <v>1816</v>
      </c>
    </row>
    <row r="30" spans="1:4" ht="27" customHeight="1" x14ac:dyDescent="0.3">
      <c r="B30" s="89" t="s">
        <v>935</v>
      </c>
      <c r="C30" s="89" t="s">
        <v>1817</v>
      </c>
      <c r="D30" s="93" t="s">
        <v>1818</v>
      </c>
    </row>
    <row r="31" spans="1:4" ht="13.5" customHeight="1" x14ac:dyDescent="0.3">
      <c r="B31" s="89" t="s">
        <v>1819</v>
      </c>
      <c r="C31" s="89" t="s">
        <v>1820</v>
      </c>
      <c r="D31" s="93" t="s">
        <v>1821</v>
      </c>
    </row>
    <row r="32" spans="1:4" ht="13.5" customHeight="1" x14ac:dyDescent="0.3">
      <c r="B32" s="89" t="s">
        <v>1822</v>
      </c>
      <c r="C32" s="89" t="s">
        <v>1823</v>
      </c>
      <c r="D32" s="93" t="s">
        <v>1792</v>
      </c>
    </row>
    <row r="33" spans="1:4" ht="13.5" customHeight="1" x14ac:dyDescent="0.3">
      <c r="B33" s="89" t="s">
        <v>1824</v>
      </c>
      <c r="C33" s="89" t="s">
        <v>1825</v>
      </c>
      <c r="D33" s="93" t="s">
        <v>1826</v>
      </c>
    </row>
    <row r="34" spans="1:4" ht="13.5" customHeight="1" x14ac:dyDescent="0.3">
      <c r="B34" s="89" t="s">
        <v>710</v>
      </c>
      <c r="C34" s="89" t="s">
        <v>1827</v>
      </c>
      <c r="D34" s="93" t="s">
        <v>1828</v>
      </c>
    </row>
    <row r="35" spans="1:4" ht="13.5" customHeight="1" x14ac:dyDescent="0.3">
      <c r="B35" s="89" t="s">
        <v>1829</v>
      </c>
      <c r="C35" s="89" t="s">
        <v>1830</v>
      </c>
      <c r="D35" s="93" t="s">
        <v>1831</v>
      </c>
    </row>
    <row r="36" spans="1:4" ht="13.5" customHeight="1" x14ac:dyDescent="0.3">
      <c r="B36" s="89" t="s">
        <v>927</v>
      </c>
      <c r="C36" s="89" t="s">
        <v>1832</v>
      </c>
      <c r="D36" s="93" t="s">
        <v>915</v>
      </c>
    </row>
    <row r="37" spans="1:4" ht="13.5" customHeight="1" x14ac:dyDescent="0.3">
      <c r="B37" s="89" t="s">
        <v>928</v>
      </c>
      <c r="C37" s="89" t="s">
        <v>1833</v>
      </c>
      <c r="D37" s="93" t="s">
        <v>1834</v>
      </c>
    </row>
    <row r="38" spans="1:4" ht="13.5" customHeight="1" x14ac:dyDescent="0.3">
      <c r="B38" s="89" t="s">
        <v>929</v>
      </c>
      <c r="C38" s="89" t="s">
        <v>1835</v>
      </c>
      <c r="D38" s="93" t="s">
        <v>1836</v>
      </c>
    </row>
    <row r="39" spans="1:4" ht="13.5" customHeight="1" x14ac:dyDescent="0.3">
      <c r="B39" s="89" t="s">
        <v>1837</v>
      </c>
      <c r="C39" s="89" t="s">
        <v>1838</v>
      </c>
      <c r="D39" s="93" t="s">
        <v>1839</v>
      </c>
    </row>
    <row r="40" spans="1:4" ht="27" customHeight="1" x14ac:dyDescent="0.3">
      <c r="B40" s="89" t="s">
        <v>1840</v>
      </c>
      <c r="C40" s="89" t="s">
        <v>1841</v>
      </c>
      <c r="D40" s="93" t="s">
        <v>1842</v>
      </c>
    </row>
    <row r="41" spans="1:4" ht="13.5" customHeight="1" x14ac:dyDescent="0.3">
      <c r="B41" s="89" t="s">
        <v>930</v>
      </c>
      <c r="C41" s="89" t="s">
        <v>1843</v>
      </c>
      <c r="D41" s="93" t="s">
        <v>1844</v>
      </c>
    </row>
    <row r="42" spans="1:4" ht="13.5" customHeight="1" x14ac:dyDescent="0.3">
      <c r="B42" s="89" t="s">
        <v>1845</v>
      </c>
      <c r="C42" s="89" t="s">
        <v>1846</v>
      </c>
      <c r="D42" s="90"/>
    </row>
    <row r="43" spans="1:4" ht="27" customHeight="1" x14ac:dyDescent="0.3">
      <c r="B43" s="89" t="s">
        <v>1847</v>
      </c>
      <c r="C43" s="89" t="s">
        <v>1848</v>
      </c>
      <c r="D43" s="90"/>
    </row>
    <row r="45" spans="1:4" ht="15.6" x14ac:dyDescent="0.3">
      <c r="A45" s="86" t="s">
        <v>880</v>
      </c>
      <c r="B45" s="85"/>
      <c r="C45" s="85"/>
      <c r="D45" s="85"/>
    </row>
    <row r="46" spans="1:4" ht="13.5" customHeight="1" x14ac:dyDescent="0.3">
      <c r="A46" s="91" t="s">
        <v>39</v>
      </c>
      <c r="B46" s="94" t="s">
        <v>1849</v>
      </c>
      <c r="C46" s="94"/>
      <c r="D46" s="92" t="s">
        <v>1850</v>
      </c>
    </row>
    <row r="47" spans="1:4" ht="13.5" customHeight="1" x14ac:dyDescent="0.3">
      <c r="A47" s="91" t="s">
        <v>40</v>
      </c>
      <c r="B47" s="94" t="s">
        <v>1851</v>
      </c>
      <c r="C47" s="94"/>
      <c r="D47" s="92" t="s">
        <v>1792</v>
      </c>
    </row>
    <row r="48" spans="1:4" ht="13.5" customHeight="1" x14ac:dyDescent="0.3">
      <c r="A48" s="91" t="s">
        <v>41</v>
      </c>
      <c r="B48" s="94" t="s">
        <v>1852</v>
      </c>
      <c r="C48" s="94"/>
      <c r="D48" s="92" t="s">
        <v>1853</v>
      </c>
    </row>
    <row r="49" spans="1:4" ht="13.5" customHeight="1" x14ac:dyDescent="0.3">
      <c r="A49" s="91" t="s">
        <v>881</v>
      </c>
      <c r="B49" s="94" t="s">
        <v>1854</v>
      </c>
      <c r="C49" s="94"/>
      <c r="D49" s="92" t="s">
        <v>1796</v>
      </c>
    </row>
    <row r="50" spans="1:4" ht="13.5" customHeight="1" x14ac:dyDescent="0.3">
      <c r="A50" s="91" t="s">
        <v>302</v>
      </c>
      <c r="B50" s="94" t="s">
        <v>1855</v>
      </c>
      <c r="C50" s="94"/>
      <c r="D50" s="92" t="s">
        <v>1856</v>
      </c>
    </row>
    <row r="51" spans="1:4" ht="13.5" customHeight="1" x14ac:dyDescent="0.3">
      <c r="A51" s="91" t="s">
        <v>882</v>
      </c>
      <c r="B51" s="94" t="s">
        <v>1857</v>
      </c>
      <c r="C51" s="94"/>
      <c r="D51" s="92" t="s">
        <v>1816</v>
      </c>
    </row>
    <row r="52" spans="1:4" ht="13.5" customHeight="1" x14ac:dyDescent="0.3">
      <c r="A52" s="91" t="s">
        <v>883</v>
      </c>
      <c r="B52" s="94" t="s">
        <v>1858</v>
      </c>
      <c r="C52" s="94"/>
    </row>
    <row r="53" spans="1:4" ht="13.5" customHeight="1" x14ac:dyDescent="0.3">
      <c r="A53" s="91" t="s">
        <v>884</v>
      </c>
      <c r="B53" s="94" t="s">
        <v>1859</v>
      </c>
      <c r="C53" s="94"/>
    </row>
    <row r="55" spans="1:4" ht="15.6" x14ac:dyDescent="0.3">
      <c r="A55" s="86" t="s">
        <v>1860</v>
      </c>
      <c r="B55" s="85"/>
      <c r="C55" s="85"/>
      <c r="D55" s="85"/>
    </row>
    <row r="56" spans="1:4" ht="13.5" customHeight="1" x14ac:dyDescent="0.3">
      <c r="A56" s="91" t="s">
        <v>885</v>
      </c>
      <c r="B56" s="94" t="s">
        <v>1861</v>
      </c>
      <c r="C56" s="94"/>
      <c r="D56" s="92" t="s">
        <v>1850</v>
      </c>
    </row>
    <row r="57" spans="1:4" ht="13.5" customHeight="1" x14ac:dyDescent="0.3">
      <c r="A57" s="91" t="s">
        <v>886</v>
      </c>
      <c r="B57" s="94" t="s">
        <v>1862</v>
      </c>
      <c r="C57" s="94"/>
      <c r="D57" s="92" t="s">
        <v>1863</v>
      </c>
    </row>
    <row r="58" spans="1:4" ht="13.5" customHeight="1" x14ac:dyDescent="0.3">
      <c r="A58" s="91" t="s">
        <v>887</v>
      </c>
      <c r="B58" s="94" t="s">
        <v>1864</v>
      </c>
      <c r="C58" s="94"/>
      <c r="D58" s="92" t="s">
        <v>1865</v>
      </c>
    </row>
    <row r="59" spans="1:4" ht="13.5" customHeight="1" x14ac:dyDescent="0.3">
      <c r="A59" s="97" t="s">
        <v>1866</v>
      </c>
      <c r="B59" s="97"/>
      <c r="C59" s="97"/>
      <c r="D59" s="97"/>
    </row>
    <row r="61" spans="1:4" ht="15.6" x14ac:dyDescent="0.3">
      <c r="A61" s="86" t="s">
        <v>1867</v>
      </c>
      <c r="B61" s="85"/>
      <c r="C61" s="85"/>
      <c r="D61" s="85"/>
    </row>
    <row r="62" spans="1:4" ht="13.5" customHeight="1" x14ac:dyDescent="0.3">
      <c r="A62" s="91" t="s">
        <v>888</v>
      </c>
      <c r="B62" s="94" t="s">
        <v>1868</v>
      </c>
      <c r="C62" s="94"/>
      <c r="D62" s="92" t="s">
        <v>1792</v>
      </c>
    </row>
    <row r="63" spans="1:4" ht="13.5" customHeight="1" x14ac:dyDescent="0.3">
      <c r="A63" s="91" t="s">
        <v>889</v>
      </c>
      <c r="B63" s="94" t="s">
        <v>1869</v>
      </c>
      <c r="C63" s="94"/>
      <c r="D63" s="92" t="s">
        <v>1870</v>
      </c>
    </row>
    <row r="64" spans="1:4" ht="13.5" customHeight="1" x14ac:dyDescent="0.3">
      <c r="A64" s="91" t="s">
        <v>890</v>
      </c>
      <c r="B64" s="94" t="s">
        <v>1871</v>
      </c>
      <c r="C64" s="94"/>
    </row>
    <row r="65" spans="1:4" ht="13.5" customHeight="1" x14ac:dyDescent="0.3">
      <c r="A65" s="91" t="s">
        <v>891</v>
      </c>
      <c r="B65" s="94" t="s">
        <v>1872</v>
      </c>
      <c r="C65" s="94"/>
    </row>
    <row r="66" spans="1:4" ht="13.5" customHeight="1" x14ac:dyDescent="0.3">
      <c r="A66" s="91" t="s">
        <v>892</v>
      </c>
      <c r="B66" s="94" t="s">
        <v>1873</v>
      </c>
      <c r="C66" s="94"/>
    </row>
    <row r="67" spans="1:4" ht="13.5" customHeight="1" x14ac:dyDescent="0.3">
      <c r="A67" s="95" t="s">
        <v>1874</v>
      </c>
      <c r="B67" s="95"/>
      <c r="C67" s="95"/>
      <c r="D67" s="95"/>
    </row>
    <row r="69" spans="1:4" ht="15.6" x14ac:dyDescent="0.3">
      <c r="A69" s="86" t="s">
        <v>1875</v>
      </c>
      <c r="B69" s="85"/>
      <c r="C69" s="85"/>
      <c r="D69" s="85"/>
    </row>
    <row r="70" spans="1:4" ht="13.5" customHeight="1" x14ac:dyDescent="0.3">
      <c r="A70" s="91" t="s">
        <v>893</v>
      </c>
      <c r="B70" s="94" t="s">
        <v>1876</v>
      </c>
      <c r="C70" s="94"/>
      <c r="D70" s="92" t="s">
        <v>1853</v>
      </c>
    </row>
    <row r="71" spans="1:4" ht="13.5" customHeight="1" x14ac:dyDescent="0.3">
      <c r="A71" s="91" t="s">
        <v>894</v>
      </c>
      <c r="B71" s="94" t="s">
        <v>1877</v>
      </c>
      <c r="C71" s="94"/>
    </row>
    <row r="72" spans="1:4" ht="13.5" customHeight="1" x14ac:dyDescent="0.3">
      <c r="A72" s="91" t="s">
        <v>895</v>
      </c>
      <c r="B72" s="94" t="s">
        <v>1878</v>
      </c>
      <c r="C72" s="94"/>
      <c r="D72" s="92" t="s">
        <v>1879</v>
      </c>
    </row>
    <row r="73" spans="1:4" ht="13.5" customHeight="1" x14ac:dyDescent="0.3">
      <c r="A73" s="96" t="s">
        <v>1880</v>
      </c>
      <c r="B73" s="96"/>
      <c r="C73" s="96"/>
      <c r="D73" s="96"/>
    </row>
    <row r="75" spans="1:4" ht="15.6" x14ac:dyDescent="0.3">
      <c r="A75" s="86" t="s">
        <v>1881</v>
      </c>
      <c r="B75" s="85"/>
      <c r="C75" s="85"/>
      <c r="D75" s="85"/>
    </row>
    <row r="76" spans="1:4" ht="13.5" customHeight="1" x14ac:dyDescent="0.3">
      <c r="A76" s="94" t="s">
        <v>1882</v>
      </c>
      <c r="B76" s="94"/>
      <c r="C76" s="94"/>
      <c r="D76" s="94"/>
    </row>
    <row r="77" spans="1:4" ht="13.5" customHeight="1" x14ac:dyDescent="0.3">
      <c r="A77" s="91" t="s">
        <v>896</v>
      </c>
      <c r="B77" s="94" t="s">
        <v>1883</v>
      </c>
      <c r="C77" s="94"/>
      <c r="D77" s="92" t="s">
        <v>1796</v>
      </c>
    </row>
    <row r="78" spans="1:4" ht="27" customHeight="1" x14ac:dyDescent="0.3">
      <c r="A78" s="91" t="s">
        <v>897</v>
      </c>
      <c r="B78" s="94" t="s">
        <v>1884</v>
      </c>
      <c r="C78" s="94"/>
      <c r="D78" s="92" t="s">
        <v>1885</v>
      </c>
    </row>
    <row r="79" spans="1:4" ht="13.5" customHeight="1" x14ac:dyDescent="0.3">
      <c r="A79" s="91" t="s">
        <v>898</v>
      </c>
      <c r="B79" s="94" t="s">
        <v>1886</v>
      </c>
      <c r="C79" s="94"/>
      <c r="D79" s="92" t="s">
        <v>1887</v>
      </c>
    </row>
    <row r="80" spans="1:4" ht="27" customHeight="1" x14ac:dyDescent="0.3">
      <c r="A80" s="91" t="s">
        <v>899</v>
      </c>
      <c r="B80" s="94" t="s">
        <v>1888</v>
      </c>
      <c r="C80" s="94"/>
      <c r="D80" s="92" t="s">
        <v>1889</v>
      </c>
    </row>
    <row r="81" spans="1:4" ht="13.5" customHeight="1" x14ac:dyDescent="0.3">
      <c r="A81" s="91" t="s">
        <v>1890</v>
      </c>
      <c r="B81" s="94" t="s">
        <v>1891</v>
      </c>
      <c r="C81" s="94"/>
    </row>
    <row r="82" spans="1:4" ht="27" customHeight="1" x14ac:dyDescent="0.3">
      <c r="A82" s="91" t="s">
        <v>1892</v>
      </c>
      <c r="B82" s="94" t="s">
        <v>1893</v>
      </c>
      <c r="C82" s="94"/>
    </row>
    <row r="83" spans="1:4" ht="13.5" customHeight="1" x14ac:dyDescent="0.3">
      <c r="A83" s="91" t="s">
        <v>1894</v>
      </c>
      <c r="B83" s="94" t="s">
        <v>1895</v>
      </c>
      <c r="C83" s="94"/>
    </row>
    <row r="84" spans="1:4" ht="27" customHeight="1" x14ac:dyDescent="0.3">
      <c r="A84" s="91" t="s">
        <v>1896</v>
      </c>
      <c r="B84" s="94" t="s">
        <v>1897</v>
      </c>
      <c r="C84" s="94"/>
      <c r="D84" s="92" t="s">
        <v>1898</v>
      </c>
    </row>
    <row r="85" spans="1:4" ht="13.5" customHeight="1" x14ac:dyDescent="0.3">
      <c r="A85" s="91" t="s">
        <v>1899</v>
      </c>
      <c r="B85" s="94" t="s">
        <v>1900</v>
      </c>
      <c r="C85" s="94"/>
    </row>
    <row r="86" spans="1:4" x14ac:dyDescent="0.3">
      <c r="B86" s="87" t="s">
        <v>900</v>
      </c>
      <c r="C86" s="87" t="s">
        <v>901</v>
      </c>
      <c r="D86" s="88"/>
    </row>
    <row r="87" spans="1:4" ht="13.5" customHeight="1" x14ac:dyDescent="0.3">
      <c r="B87" s="89" t="s">
        <v>902</v>
      </c>
      <c r="C87" s="89" t="s">
        <v>1901</v>
      </c>
      <c r="D87" s="90"/>
    </row>
    <row r="88" spans="1:4" ht="13.5" customHeight="1" x14ac:dyDescent="0.3">
      <c r="B88" s="89" t="s">
        <v>903</v>
      </c>
      <c r="C88" s="89" t="s">
        <v>1902</v>
      </c>
      <c r="D88" s="90"/>
    </row>
    <row r="89" spans="1:4" ht="13.5" customHeight="1" x14ac:dyDescent="0.3">
      <c r="B89" s="89" t="s">
        <v>1903</v>
      </c>
      <c r="C89" s="89" t="s">
        <v>1904</v>
      </c>
      <c r="D89" s="90"/>
    </row>
    <row r="90" spans="1:4" ht="13.5" customHeight="1" x14ac:dyDescent="0.3">
      <c r="B90" s="89" t="s">
        <v>904</v>
      </c>
      <c r="C90" s="89" t="s">
        <v>1905</v>
      </c>
      <c r="D90" s="90"/>
    </row>
    <row r="91" spans="1:4" ht="27" customHeight="1" x14ac:dyDescent="0.3">
      <c r="B91" s="89" t="s">
        <v>1906</v>
      </c>
      <c r="C91" s="89" t="s">
        <v>1907</v>
      </c>
      <c r="D91" s="90"/>
    </row>
    <row r="92" spans="1:4" ht="27" customHeight="1" x14ac:dyDescent="0.3">
      <c r="B92" s="89" t="s">
        <v>1908</v>
      </c>
      <c r="C92" s="89" t="s">
        <v>1909</v>
      </c>
      <c r="D92" s="90"/>
    </row>
    <row r="93" spans="1:4" ht="13.5" customHeight="1" x14ac:dyDescent="0.3">
      <c r="B93" s="89" t="s">
        <v>1910</v>
      </c>
      <c r="C93" s="89" t="s">
        <v>1911</v>
      </c>
      <c r="D93" s="90"/>
    </row>
    <row r="94" spans="1:4" ht="13.5" customHeight="1" x14ac:dyDescent="0.3">
      <c r="A94" s="97" t="s">
        <v>1912</v>
      </c>
      <c r="B94" s="97"/>
      <c r="C94" s="97"/>
      <c r="D94" s="97"/>
    </row>
    <row r="96" spans="1:4" ht="15.6" x14ac:dyDescent="0.3">
      <c r="A96" s="86" t="s">
        <v>1913</v>
      </c>
      <c r="B96" s="85"/>
      <c r="C96" s="85"/>
      <c r="D96" s="85"/>
    </row>
    <row r="97" spans="1:4" ht="13.5" customHeight="1" x14ac:dyDescent="0.3">
      <c r="A97" s="91" t="s">
        <v>1914</v>
      </c>
      <c r="B97" s="94" t="s">
        <v>1915</v>
      </c>
      <c r="C97" s="94"/>
    </row>
    <row r="98" spans="1:4" ht="13.5" customHeight="1" x14ac:dyDescent="0.3">
      <c r="A98" s="91" t="s">
        <v>1916</v>
      </c>
      <c r="B98" s="94" t="s">
        <v>1917</v>
      </c>
      <c r="C98" s="94"/>
      <c r="D98" s="92" t="s">
        <v>1856</v>
      </c>
    </row>
    <row r="100" spans="1:4" ht="15.6" x14ac:dyDescent="0.3">
      <c r="A100" s="86" t="s">
        <v>1918</v>
      </c>
      <c r="B100" s="85"/>
      <c r="C100" s="85"/>
      <c r="D100" s="85"/>
    </row>
    <row r="101" spans="1:4" ht="13.5" customHeight="1" x14ac:dyDescent="0.3">
      <c r="A101" s="91" t="s">
        <v>905</v>
      </c>
      <c r="B101" s="94" t="s">
        <v>1919</v>
      </c>
      <c r="C101" s="94"/>
      <c r="D101" s="92" t="s">
        <v>1920</v>
      </c>
    </row>
    <row r="102" spans="1:4" x14ac:dyDescent="0.3">
      <c r="B102" s="87" t="s">
        <v>1921</v>
      </c>
      <c r="C102" s="87" t="s">
        <v>1922</v>
      </c>
      <c r="D102" s="88"/>
    </row>
    <row r="103" spans="1:4" ht="27" customHeight="1" x14ac:dyDescent="0.3">
      <c r="B103" s="89" t="s">
        <v>1923</v>
      </c>
      <c r="C103" s="89" t="s">
        <v>1924</v>
      </c>
      <c r="D103" s="90"/>
    </row>
    <row r="104" spans="1:4" ht="13.5" customHeight="1" x14ac:dyDescent="0.3">
      <c r="B104" s="89" t="s">
        <v>1925</v>
      </c>
      <c r="C104" s="89" t="s">
        <v>1926</v>
      </c>
      <c r="D104" s="90"/>
    </row>
    <row r="105" spans="1:4" ht="13.5" customHeight="1" x14ac:dyDescent="0.3">
      <c r="B105" s="89" t="s">
        <v>1927</v>
      </c>
      <c r="C105" s="89" t="s">
        <v>933</v>
      </c>
      <c r="D105" s="90"/>
    </row>
    <row r="106" spans="1:4" ht="27" customHeight="1" x14ac:dyDescent="0.3">
      <c r="B106" s="89" t="s">
        <v>1928</v>
      </c>
      <c r="C106" s="89" t="s">
        <v>1929</v>
      </c>
      <c r="D106" s="90"/>
    </row>
    <row r="107" spans="1:4" ht="13.5" customHeight="1" x14ac:dyDescent="0.3">
      <c r="B107" s="89" t="s">
        <v>1930</v>
      </c>
      <c r="C107" s="89" t="s">
        <v>1931</v>
      </c>
      <c r="D107" s="90"/>
    </row>
    <row r="108" spans="1:4" ht="13.5" customHeight="1" x14ac:dyDescent="0.3">
      <c r="B108" s="89" t="s">
        <v>1932</v>
      </c>
      <c r="C108" s="89" t="s">
        <v>1933</v>
      </c>
      <c r="D108" s="90"/>
    </row>
    <row r="109" spans="1:4" ht="13.5" customHeight="1" x14ac:dyDescent="0.3">
      <c r="B109" s="89" t="s">
        <v>1934</v>
      </c>
      <c r="C109" s="89" t="s">
        <v>1935</v>
      </c>
      <c r="D109" s="90"/>
    </row>
    <row r="110" spans="1:4" ht="13.5" customHeight="1" x14ac:dyDescent="0.3">
      <c r="B110" s="89" t="s">
        <v>1936</v>
      </c>
      <c r="C110" s="89" t="s">
        <v>1937</v>
      </c>
      <c r="D110" s="90"/>
    </row>
    <row r="112" spans="1:4" ht="15.6" x14ac:dyDescent="0.3">
      <c r="A112" s="86" t="s">
        <v>1938</v>
      </c>
      <c r="B112" s="85"/>
      <c r="C112" s="85"/>
      <c r="D112" s="85"/>
    </row>
    <row r="113" spans="1:4" ht="27" customHeight="1" x14ac:dyDescent="0.3">
      <c r="A113" s="91" t="s">
        <v>906</v>
      </c>
      <c r="B113" s="94" t="s">
        <v>1939</v>
      </c>
      <c r="C113" s="94"/>
      <c r="D113" s="92" t="s">
        <v>1826</v>
      </c>
    </row>
    <row r="114" spans="1:4" ht="13.5" customHeight="1" x14ac:dyDescent="0.3">
      <c r="A114" s="91" t="s">
        <v>907</v>
      </c>
      <c r="B114" s="94" t="s">
        <v>1940</v>
      </c>
      <c r="C114" s="94"/>
    </row>
    <row r="115" spans="1:4" ht="27" customHeight="1" x14ac:dyDescent="0.3">
      <c r="A115" s="91" t="s">
        <v>908</v>
      </c>
      <c r="B115" s="94" t="s">
        <v>1941</v>
      </c>
      <c r="C115" s="94"/>
      <c r="D115" s="92" t="s">
        <v>915</v>
      </c>
    </row>
    <row r="116" spans="1:4" ht="13.5" customHeight="1" x14ac:dyDescent="0.3">
      <c r="A116" s="97" t="s">
        <v>1942</v>
      </c>
      <c r="B116" s="97"/>
      <c r="C116" s="97"/>
      <c r="D116" s="97"/>
    </row>
    <row r="118" spans="1:4" ht="15.6" x14ac:dyDescent="0.3">
      <c r="A118" s="86" t="s">
        <v>1943</v>
      </c>
      <c r="B118" s="85"/>
      <c r="C118" s="85"/>
      <c r="D118" s="85"/>
    </row>
    <row r="119" spans="1:4" ht="13.5" customHeight="1" x14ac:dyDescent="0.3">
      <c r="A119" s="91" t="s">
        <v>909</v>
      </c>
      <c r="B119" s="94" t="s">
        <v>1944</v>
      </c>
      <c r="C119" s="94"/>
      <c r="D119" s="92" t="s">
        <v>1834</v>
      </c>
    </row>
    <row r="120" spans="1:4" ht="13.5" customHeight="1" x14ac:dyDescent="0.3">
      <c r="A120" s="91" t="s">
        <v>910</v>
      </c>
      <c r="B120" s="94" t="s">
        <v>1945</v>
      </c>
      <c r="C120" s="94"/>
    </row>
    <row r="122" spans="1:4" ht="15.6" x14ac:dyDescent="0.3">
      <c r="A122" s="86" t="s">
        <v>1946</v>
      </c>
      <c r="B122" s="85"/>
      <c r="C122" s="85"/>
      <c r="D122" s="85"/>
    </row>
    <row r="123" spans="1:4" ht="27" customHeight="1" x14ac:dyDescent="0.3">
      <c r="A123" s="91" t="s">
        <v>916</v>
      </c>
      <c r="B123" s="94" t="s">
        <v>1947</v>
      </c>
      <c r="C123" s="94"/>
      <c r="D123" s="92" t="s">
        <v>1836</v>
      </c>
    </row>
    <row r="124" spans="1:4" ht="13.5" customHeight="1" x14ac:dyDescent="0.3">
      <c r="A124" s="91" t="s">
        <v>917</v>
      </c>
      <c r="B124" s="94" t="s">
        <v>1948</v>
      </c>
      <c r="C124" s="94"/>
      <c r="D124" s="92" t="s">
        <v>1949</v>
      </c>
    </row>
    <row r="125" spans="1:4" ht="13.5" customHeight="1" x14ac:dyDescent="0.3">
      <c r="A125" s="91" t="s">
        <v>918</v>
      </c>
      <c r="B125" s="94" t="s">
        <v>1950</v>
      </c>
      <c r="C125" s="94"/>
    </row>
    <row r="126" spans="1:4" ht="13.5" customHeight="1" x14ac:dyDescent="0.3">
      <c r="A126" s="91" t="s">
        <v>919</v>
      </c>
      <c r="B126" s="94" t="s">
        <v>1951</v>
      </c>
      <c r="C126" s="94"/>
      <c r="D126" s="92" t="s">
        <v>1844</v>
      </c>
    </row>
    <row r="128" spans="1:4" ht="15.6" x14ac:dyDescent="0.3">
      <c r="A128" s="86" t="s">
        <v>1952</v>
      </c>
      <c r="B128" s="85"/>
      <c r="C128" s="85"/>
      <c r="D128" s="85"/>
    </row>
    <row r="129" spans="1:4" ht="13.5" customHeight="1" x14ac:dyDescent="0.3">
      <c r="A129" s="91" t="s">
        <v>920</v>
      </c>
      <c r="B129" s="94" t="s">
        <v>1953</v>
      </c>
      <c r="C129" s="94"/>
    </row>
    <row r="130" spans="1:4" ht="13.5" customHeight="1" x14ac:dyDescent="0.3">
      <c r="A130" s="91" t="s">
        <v>921</v>
      </c>
      <c r="B130" s="94" t="s">
        <v>1954</v>
      </c>
      <c r="C130" s="94"/>
    </row>
    <row r="131" spans="1:4" ht="13.5" customHeight="1" x14ac:dyDescent="0.3">
      <c r="A131" s="91" t="s">
        <v>922</v>
      </c>
      <c r="B131" s="94" t="s">
        <v>1955</v>
      </c>
      <c r="C131" s="94"/>
    </row>
    <row r="133" spans="1:4" ht="15.6" x14ac:dyDescent="0.3">
      <c r="A133" s="86" t="s">
        <v>1956</v>
      </c>
      <c r="B133" s="85"/>
      <c r="C133" s="85"/>
      <c r="D133" s="85"/>
    </row>
    <row r="134" spans="1:4" ht="13.5" customHeight="1" x14ac:dyDescent="0.3">
      <c r="A134" s="91" t="s">
        <v>923</v>
      </c>
      <c r="B134" s="94" t="s">
        <v>1957</v>
      </c>
      <c r="C134" s="94"/>
      <c r="D134" s="92" t="s">
        <v>1842</v>
      </c>
    </row>
    <row r="135" spans="1:4" ht="13.5" customHeight="1" x14ac:dyDescent="0.3">
      <c r="A135" s="91" t="s">
        <v>924</v>
      </c>
      <c r="B135" s="94" t="s">
        <v>1958</v>
      </c>
      <c r="C135" s="94"/>
      <c r="D135" s="92" t="s">
        <v>931</v>
      </c>
    </row>
    <row r="136" spans="1:4" ht="13.5" customHeight="1" x14ac:dyDescent="0.3">
      <c r="A136" s="91" t="s">
        <v>925</v>
      </c>
      <c r="B136" s="94" t="s">
        <v>1959</v>
      </c>
      <c r="C136" s="94"/>
      <c r="D136" s="92" t="s">
        <v>1960</v>
      </c>
    </row>
    <row r="137" spans="1:4" ht="13.5" customHeight="1" x14ac:dyDescent="0.3">
      <c r="A137" s="95" t="s">
        <v>932</v>
      </c>
      <c r="B137" s="95"/>
      <c r="C137" s="95"/>
      <c r="D137" s="95"/>
    </row>
    <row r="139" spans="1:4" ht="15.6" x14ac:dyDescent="0.3">
      <c r="A139" s="86" t="s">
        <v>1961</v>
      </c>
      <c r="B139" s="85"/>
      <c r="C139" s="85"/>
      <c r="D139" s="85"/>
    </row>
    <row r="140" spans="1:4" ht="13.5" customHeight="1" x14ac:dyDescent="0.3">
      <c r="A140" s="94" t="s">
        <v>1962</v>
      </c>
      <c r="B140" s="94"/>
      <c r="C140" s="94"/>
      <c r="D140" s="94"/>
    </row>
  </sheetData>
  <mergeCells count="61">
    <mergeCell ref="A140:D140"/>
    <mergeCell ref="B130:C130"/>
    <mergeCell ref="B131:C131"/>
    <mergeCell ref="B134:C134"/>
    <mergeCell ref="B135:C135"/>
    <mergeCell ref="B136:C136"/>
    <mergeCell ref="A137:D137"/>
    <mergeCell ref="B120:C120"/>
    <mergeCell ref="B123:C123"/>
    <mergeCell ref="B124:C124"/>
    <mergeCell ref="B125:C125"/>
    <mergeCell ref="B126:C126"/>
    <mergeCell ref="B129:C129"/>
    <mergeCell ref="B101:C101"/>
    <mergeCell ref="B113:C113"/>
    <mergeCell ref="B114:C114"/>
    <mergeCell ref="B115:C115"/>
    <mergeCell ref="A116:D116"/>
    <mergeCell ref="B119:C119"/>
    <mergeCell ref="B83:C83"/>
    <mergeCell ref="B84:C84"/>
    <mergeCell ref="B85:C85"/>
    <mergeCell ref="A94:D94"/>
    <mergeCell ref="B97:C97"/>
    <mergeCell ref="B98:C98"/>
    <mergeCell ref="B77:C77"/>
    <mergeCell ref="B78:C78"/>
    <mergeCell ref="B79:C79"/>
    <mergeCell ref="B80:C80"/>
    <mergeCell ref="B81:C81"/>
    <mergeCell ref="B82:C82"/>
    <mergeCell ref="A67:D67"/>
    <mergeCell ref="B70:C70"/>
    <mergeCell ref="B71:C71"/>
    <mergeCell ref="B72:C72"/>
    <mergeCell ref="A73:D73"/>
    <mergeCell ref="A76:D76"/>
    <mergeCell ref="A59:D59"/>
    <mergeCell ref="B62:C62"/>
    <mergeCell ref="B63:C63"/>
    <mergeCell ref="B64:C64"/>
    <mergeCell ref="B65:C65"/>
    <mergeCell ref="B66:C66"/>
    <mergeCell ref="B51:C51"/>
    <mergeCell ref="B52:C52"/>
    <mergeCell ref="B53:C53"/>
    <mergeCell ref="B56:C56"/>
    <mergeCell ref="B57:C57"/>
    <mergeCell ref="B58:C58"/>
    <mergeCell ref="A25:D25"/>
    <mergeCell ref="B46:C46"/>
    <mergeCell ref="B47:C47"/>
    <mergeCell ref="B48:C48"/>
    <mergeCell ref="B49:C49"/>
    <mergeCell ref="B50:C50"/>
    <mergeCell ref="A2:D2"/>
    <mergeCell ref="A3:D3"/>
    <mergeCell ref="A21:D21"/>
    <mergeCell ref="A22:D22"/>
    <mergeCell ref="A23:D23"/>
    <mergeCell ref="A24:D24"/>
  </mergeCells>
  <hyperlinks>
    <hyperlink ref="D8" location="Щиты!A10" display="Щиты!A10" xr:uid="{748FD41B-B9E8-4037-9704-337F5EC06328}"/>
    <hyperlink ref="D10" location="Линии!A3" display="Линии!A3" xr:uid="{2E0ADA85-1741-459F-A350-596F4CE2C812}"/>
    <hyperlink ref="D29" location="Проверка!A1" display="Проверка!A1" xr:uid="{A40FB379-014A-4A7A-A80B-1B5AC104C583}"/>
    <hyperlink ref="D30" location="Объект!B1" display="Объект!B1" xr:uid="{7155E011-BA1F-4876-A94B-089AEFD86CCF}"/>
    <hyperlink ref="D31" location="Коды!A3" display="Коды!A3" xr:uid="{049A9CC6-8C9F-4A0E-AF02-7ED1913AE5B0}"/>
    <hyperlink ref="D32" location="Щиты!A10" display="Щиты!A10" xr:uid="{3CAB75E0-C8E5-4B22-A669-7B9FC8D86B59}"/>
    <hyperlink ref="D33" location="Итоги_щитов!C3" display="Итоги_щитов!C3" xr:uid="{3A29AACE-07A9-4E76-BEA6-3145A92B6528}"/>
    <hyperlink ref="D34" location="Шины!A8" display="Шины!A8" xr:uid="{80F02A80-7E59-460C-83BB-301B6461BE2A}"/>
    <hyperlink ref="D35" location="Линии!A2" display="Линии!A2" xr:uid="{CED6D9D2-AE19-41CC-829F-3E51A333EE0F}"/>
    <hyperlink ref="D36" location="Режимы!C3" display="Режимы!C3" xr:uid="{6837227D-F567-415B-85B8-F122D40CDC54}"/>
    <hyperlink ref="D37" location="Расчёт_нагрузок!C4" display="Расчёт_нагрузок!C4" xr:uid="{1B76E772-A478-4C72-8B0F-AA710C732D78}"/>
    <hyperlink ref="D38" location="Кабельный_журнал!A2" display="Кабельный_журнал!A2" xr:uid="{1D2D9167-0925-4976-8786-D61BAA623377}"/>
    <hyperlink ref="D39" location="Однолинейка!A1" display="Однолинейка!A1" xr:uid="{CC4516F8-4490-47D8-9F55-90F8FF237C98}"/>
    <hyperlink ref="D40" location="Спецификация!D1" display="Спецификация!D1" xr:uid="{2240D7C8-29C1-4958-8ECF-D93CFEDC6BA2}"/>
    <hyperlink ref="D41" location="Бирки!A3" display="Бирки!A3" xr:uid="{1E98AF76-5910-4807-BD8A-E53C4B2F5A24}"/>
    <hyperlink ref="D46" location="Объект!C3" display="Объект!C3" xr:uid="{C67C77DC-9713-406F-AB87-0A1C932D6361}"/>
    <hyperlink ref="D47" location="Щиты!A10" display="Щиты!A10" xr:uid="{70EE2A6F-9DF3-48E8-B8A9-D36245CB0AEB}"/>
    <hyperlink ref="D48" location="Коды!A4" display="Коды!A4" xr:uid="{88885B25-27D5-4BEB-A7B9-02E5778F3A61}"/>
    <hyperlink ref="D49" location="Линии!A3" display="Линии!A3" xr:uid="{21D19084-16F5-4D15-BEEF-054A6DC95283}"/>
    <hyperlink ref="D50" location="Шины!A9" display="Шины!A9" xr:uid="{BF7DD0B3-6F34-43AB-A201-8A8EA32507E7}"/>
    <hyperlink ref="D51" location="Проверка!A1" display="Проверка!A1" xr:uid="{0533FF00-9DA7-447D-9689-EA9EF283C944}"/>
    <hyperlink ref="D56" location="Объект!C3" display="Объект!C3" xr:uid="{EB2FC4D8-8452-445B-8F8C-12AA0AFA51AF}"/>
    <hyperlink ref="D57" location="Объект!C8" display="Объект!C8" xr:uid="{5A4C91C2-334E-429A-9A4E-ECE32B00182A}"/>
    <hyperlink ref="D58" location="Объект!C9" display="Объект!C9" xr:uid="{6638F1D6-0532-4925-AC5F-F53570980C21}"/>
    <hyperlink ref="D62" location="Щиты!A10" display="Щиты!A10" xr:uid="{601157C1-3A9B-4836-8685-3ACD48CE74DA}"/>
    <hyperlink ref="D63" location="Щиты!C10" display="Щиты!C10" xr:uid="{FC23EF77-B407-4AAC-B1F5-878AC5AAE122}"/>
    <hyperlink ref="D70" location="Коды!A4" display="Коды!A4" xr:uid="{9349CF6F-92A6-4DDE-9289-723F9CE327FC}"/>
    <hyperlink ref="D72" location="Коды!O4" display="Коды!O4" xr:uid="{1F774445-0FC5-42AE-852E-DDE3D87FD686}"/>
    <hyperlink ref="D77" location="Линии!A3" display="Линии!A3" xr:uid="{3E2481B1-DBB0-4D43-8A1D-83637B7CA8DF}"/>
    <hyperlink ref="D78" location="Линии!B3" display="Линии!B3" xr:uid="{482C1CDB-E3EE-4615-8C18-4FF3663A8B9D}"/>
    <hyperlink ref="D79" location="Линии!C3" display="Линии!C3" xr:uid="{3435804E-CAD7-4A8D-A2D4-67C87195CD6F}"/>
    <hyperlink ref="D80" location="Линии!D3" display="Линии!D3" xr:uid="{F97DC003-42C7-40F4-A34C-9765A2B77D56}"/>
    <hyperlink ref="D84" location="Линии!AC3" display="Линии!AC3" xr:uid="{CA97D41A-3FB6-4923-937F-F4595CB68A85}"/>
    <hyperlink ref="D98" location="Шины!A9" display="Шины!A9" xr:uid="{0AE4068D-C51D-4854-B2B3-BEB43D34525E}"/>
    <hyperlink ref="D101" location="Проверка!A4" display="Проверка!A4" xr:uid="{7084A4FA-4859-40C7-A182-1FB8C5B13212}"/>
    <hyperlink ref="D113" location="Итоги_щитов!C3" display="Итоги_щитов!C3" xr:uid="{145AD2CA-B23E-4060-84CB-1C6C872EA87B}"/>
    <hyperlink ref="D115" location="Режимы!C3" display="Режимы!C3" xr:uid="{C9523C45-3E54-4DE6-BFC9-219B95FFB6D1}"/>
    <hyperlink ref="D119" location="Расчёт_нагрузок!C4" display="Расчёт_нагрузок!C4" xr:uid="{8FF1C627-1E2E-466E-9511-1FDF8F3FB1D0}"/>
    <hyperlink ref="D123" location="Кабельный_журнал!A2" display="Кабельный_журнал!A2" xr:uid="{057E7ABC-7E07-4DF7-A8BF-2AB261984117}"/>
    <hyperlink ref="D124" location="Кабельный_журнал!P2" display="Кабельный_журнал!P2" xr:uid="{B79C4028-419C-4F02-AB6C-30D04B88EE0A}"/>
    <hyperlink ref="D126" location="Бирки!A3" display="Бирки!A3" xr:uid="{A7BFE919-582D-4BDE-9D13-23B93F6C73DE}"/>
    <hyperlink ref="D134" location="Спецификация!D1" display="Спецификация!D1" xr:uid="{D9C29EF4-A9E7-4911-B650-6AEE390E2AAD}"/>
    <hyperlink ref="D135" location="Каталог!A1" display="Каталог!A1" xr:uid="{92C61C2F-7D85-4C8C-8A34-7CFCF1BC0500}"/>
    <hyperlink ref="D136" location="Спецификация_авто!A1" display="Спецификация_авто!A1" xr:uid="{47AF37EE-4CF2-45E7-97DF-9112298D88EF}"/>
  </hyperlinks>
  <pageMargins left="0.7" right="0.7" top="0.75" bottom="0.75" header="0.3" footer="0.3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0F9D7-3815-4D26-B889-480B932D4672}">
  <sheetPr>
    <tabColor rgb="FFFF0000"/>
  </sheetPr>
  <dimension ref="A1:I60"/>
  <sheetViews>
    <sheetView workbookViewId="0"/>
  </sheetViews>
  <sheetFormatPr defaultRowHeight="14.4" x14ac:dyDescent="0.3"/>
  <cols>
    <col min="1" max="1" width="12.77734375" customWidth="1"/>
    <col min="2" max="2" width="70.77734375" style="4" customWidth="1"/>
    <col min="4" max="4" width="12.77734375" customWidth="1"/>
    <col min="5" max="5" width="8.77734375" customWidth="1"/>
    <col min="6" max="6" width="16.77734375" customWidth="1"/>
    <col min="7" max="7" width="40.77734375" customWidth="1"/>
    <col min="8" max="8" width="70.77734375" style="4" customWidth="1"/>
    <col min="9" max="9" width="8.77734375" customWidth="1"/>
  </cols>
  <sheetData>
    <row r="1" spans="1:9" ht="18" x14ac:dyDescent="0.35">
      <c r="A1" s="113" t="s">
        <v>1774</v>
      </c>
    </row>
    <row r="2" spans="1:9" x14ac:dyDescent="0.3">
      <c r="A2" t="str">
        <f>"Замечаний: щиты — "&amp;COUNTIF(Щиты[Замечания щита],"?*")&amp;", линии — "&amp;COUNTIF(Линии[Замечания],"?*")&amp;". Методика: "&amp;Методика</f>
        <v>Замечаний: щиты — 3, линии — 56. Методика: v3.12</v>
      </c>
    </row>
    <row r="4" spans="1:9" x14ac:dyDescent="0.3">
      <c r="A4" s="117" t="s">
        <v>4</v>
      </c>
      <c r="B4" s="119" t="s">
        <v>1101</v>
      </c>
      <c r="D4" s="117" t="s">
        <v>4</v>
      </c>
      <c r="E4" s="117" t="s">
        <v>1150</v>
      </c>
      <c r="F4" s="117" t="s">
        <v>0</v>
      </c>
      <c r="G4" s="117" t="s">
        <v>6</v>
      </c>
      <c r="H4" s="119" t="s">
        <v>1162</v>
      </c>
      <c r="I4" s="117" t="s">
        <v>1775</v>
      </c>
    </row>
    <row r="5" spans="1:9" x14ac:dyDescent="0.3">
      <c r="A5" t="str" cm="1">
        <f t="array" ref="A5:B7">_xlfn._xlws.FILTER(_xlfn.HSTACK(Щиты[Щит],Щиты[Замечания щита]),Щиты[Замечания щита]&lt;&gt;"","замечаний нет")</f>
        <v>ГРЩ-ЖД</v>
      </c>
      <c r="B5" s="4" t="str">
        <v>нет данных сети для ТКЗ: введите Iкз от сетевой организации или трансформатор</v>
      </c>
      <c r="D5" t="str" cm="1">
        <f t="array" ref="D5:I60">_xlfn._xlws.FILTER(_xlfn.HSTACK(Линии[Щит],Линии[№ места],Линии[Номер линии],Линии[Наименование],Линии[Замечания],HYPERLINK("#'Линии'!C"&amp;(Линии[_n]+2),"→")),Линии[Замечания]&lt;&gt;"","замечаний нет")</f>
        <v>ГРЩ-ЖД</v>
      </c>
      <c r="E5">
        <v>8</v>
      </c>
      <c r="F5" t="str">
        <v>ЩСПЗ-ЖД.2</v>
      </c>
      <c r="G5" t="str">
        <v>Щит системы противопожарной защиты Цокольный этаж этаж Пом. №001Т Ввод.2</v>
      </c>
      <c r="H5" s="4" t="str">
        <v>нет мощности</v>
      </c>
      <c r="I5" t="str">
        <v>→</v>
      </c>
    </row>
    <row r="6" spans="1:9" x14ac:dyDescent="0.3">
      <c r="A6" t="str">
        <v>ЩГП</v>
      </c>
      <c r="B6" s="4" t="str">
        <v>фидер III ниже нагрузки I</v>
      </c>
      <c r="D6" t="str">
        <v>ГРЩ-ЖД</v>
      </c>
      <c r="E6">
        <v>23</v>
      </c>
      <c r="F6" t="str">
        <v>ЩО-2</v>
      </c>
      <c r="G6" t="str">
        <v>Щит освещения ЩО-2 Тех. этаж этаж Пом. №3.001</v>
      </c>
      <c r="H6" s="4" t="str">
        <v>нет мощности</v>
      </c>
      <c r="I6" t="str">
        <v>→</v>
      </c>
    </row>
    <row r="7" spans="1:9" x14ac:dyDescent="0.3">
      <c r="A7" t="str">
        <v>ЩС-ВК.001</v>
      </c>
      <c r="B7" s="4" t="str">
        <v>не обеспечена категория у 7 линий</v>
      </c>
      <c r="D7" t="str">
        <v>ГРЩ-ЖД</v>
      </c>
      <c r="E7">
        <v>37</v>
      </c>
      <c r="F7" t="str">
        <v>Э.4</v>
      </c>
      <c r="G7" t="str">
        <v>Флоатинг. Цокольный этаж этаж Пом. №023A</v>
      </c>
      <c r="H7" s="4" t="str">
        <v>потери 4,5 % &gt; 4 %</v>
      </c>
      <c r="I7" t="str">
        <v>→</v>
      </c>
    </row>
    <row r="8" spans="1:9" x14ac:dyDescent="0.3">
      <c r="D8" t="str">
        <v>ГРЩ-ЖД</v>
      </c>
      <c r="E8" t="str">
        <v>-</v>
      </c>
      <c r="F8" t="str">
        <v>ЩГП</v>
      </c>
      <c r="G8" t="str">
        <v/>
      </c>
      <c r="H8" s="4" t="str">
        <v>не на схеме</v>
      </c>
      <c r="I8" t="str">
        <v>→</v>
      </c>
    </row>
    <row r="9" spans="1:9" x14ac:dyDescent="0.3">
      <c r="D9" t="str">
        <v>ЩГП</v>
      </c>
      <c r="E9">
        <v>11</v>
      </c>
      <c r="F9" t="str">
        <v>От ИБП</v>
      </c>
      <c r="G9" t="str">
        <v>Питание от ИБП</v>
      </c>
      <c r="H9" s="4" t="str">
        <v>сечение не подобрано</v>
      </c>
      <c r="I9" t="str">
        <v>→</v>
      </c>
    </row>
    <row r="10" spans="1:9" x14ac:dyDescent="0.3">
      <c r="D10" t="str">
        <v>ЩГП</v>
      </c>
      <c r="E10">
        <v>15</v>
      </c>
      <c r="F10" t="str">
        <v>ЩО-01</v>
      </c>
      <c r="G10" t="str">
        <v>Щит освещения ЩО-2 Цокольный этаж этаж Пом. №001Т</v>
      </c>
      <c r="H10" s="4" t="str">
        <v>нет мощности</v>
      </c>
      <c r="I10" t="str">
        <v>→</v>
      </c>
    </row>
    <row r="11" spans="1:9" x14ac:dyDescent="0.3">
      <c r="D11" t="str">
        <v>ЩО-001</v>
      </c>
      <c r="E11" t="str">
        <v>-</v>
      </c>
      <c r="F11" t="str">
        <v>L.00.001T.1</v>
      </c>
      <c r="G11" t="str">
        <v>Осветительная группа Подвальный этаж Пом. №001T</v>
      </c>
      <c r="H11" s="4" t="str">
        <v>не на схеме</v>
      </c>
      <c r="I11" t="str">
        <v>→</v>
      </c>
    </row>
    <row r="12" spans="1:9" x14ac:dyDescent="0.3">
      <c r="D12" t="str">
        <v>ЩО-001</v>
      </c>
      <c r="E12" t="str">
        <v>-</v>
      </c>
      <c r="F12" t="str">
        <v>L.00.001Б.2</v>
      </c>
      <c r="G12" t="str">
        <v>Осветительная группа Подвальный этаж Пом. №001Б</v>
      </c>
      <c r="H12" s="4" t="str">
        <v>не на схеме</v>
      </c>
      <c r="I12" t="str">
        <v>→</v>
      </c>
    </row>
    <row r="13" spans="1:9" x14ac:dyDescent="0.3">
      <c r="D13" t="str">
        <v>ЩО-001</v>
      </c>
      <c r="E13" t="str">
        <v>-</v>
      </c>
      <c r="F13" t="str">
        <v>L.00.001Б.3</v>
      </c>
      <c r="G13" t="str">
        <v>Осветительная группа Подвальный этаж Пом. №001Б</v>
      </c>
      <c r="H13" s="4" t="str">
        <v>не на схеме</v>
      </c>
      <c r="I13" t="str">
        <v>→</v>
      </c>
    </row>
    <row r="14" spans="1:9" x14ac:dyDescent="0.3">
      <c r="D14" t="str">
        <v>ЩО-001</v>
      </c>
      <c r="E14" t="str">
        <v>-</v>
      </c>
      <c r="F14" t="str">
        <v>L.00.001Т.1</v>
      </c>
      <c r="G14" t="str">
        <v>Осветительная группа Подвальный этаж Пом. №001Т</v>
      </c>
      <c r="H14" s="4" t="str">
        <v>не на схеме</v>
      </c>
      <c r="I14" t="str">
        <v>→</v>
      </c>
    </row>
    <row r="15" spans="1:9" x14ac:dyDescent="0.3">
      <c r="D15" t="str">
        <v>ЩО-001</v>
      </c>
      <c r="E15" t="str">
        <v>-</v>
      </c>
      <c r="F15" t="str">
        <v>L.00.002Б.1</v>
      </c>
      <c r="G15" t="str">
        <v>Осветительная группа Подвальный этаж Пом. №002Б</v>
      </c>
      <c r="H15" s="4" t="str">
        <v>не на схеме</v>
      </c>
      <c r="I15" t="str">
        <v>→</v>
      </c>
    </row>
    <row r="16" spans="1:9" x14ac:dyDescent="0.3">
      <c r="D16" t="str">
        <v>ЩО-001</v>
      </c>
      <c r="E16" t="str">
        <v>-</v>
      </c>
      <c r="F16" t="str">
        <v>L.00.002Т.1</v>
      </c>
      <c r="G16" t="str">
        <v>Осветительная группа Подвальный этаж Пом. №002Т</v>
      </c>
      <c r="H16" s="4" t="str">
        <v>не на схеме</v>
      </c>
      <c r="I16" t="str">
        <v>→</v>
      </c>
    </row>
    <row r="17" spans="4:9" x14ac:dyDescent="0.3">
      <c r="D17" t="str">
        <v>ЩО-001</v>
      </c>
      <c r="E17" t="str">
        <v>-</v>
      </c>
      <c r="F17" t="str">
        <v>L.00.003Б.1</v>
      </c>
      <c r="G17" t="str">
        <v>Осветительная группа Подвальный этаж Пом. №003Б</v>
      </c>
      <c r="H17" s="4" t="str">
        <v>не на схеме</v>
      </c>
      <c r="I17" t="str">
        <v>→</v>
      </c>
    </row>
    <row r="18" spans="4:9" x14ac:dyDescent="0.3">
      <c r="D18" t="str">
        <v>ЩО-001</v>
      </c>
      <c r="E18" t="str">
        <v>-</v>
      </c>
      <c r="F18" t="str">
        <v>L.00.003Tб.1</v>
      </c>
      <c r="G18" t="str">
        <v>Осветительная группа Подвальный этаж Пом. №003Tб</v>
      </c>
      <c r="H18" s="4" t="str">
        <v>не на схеме</v>
      </c>
      <c r="I18" t="str">
        <v>→</v>
      </c>
    </row>
    <row r="19" spans="4:9" x14ac:dyDescent="0.3">
      <c r="D19" t="str">
        <v>ЩО-001</v>
      </c>
      <c r="E19" t="str">
        <v>-</v>
      </c>
      <c r="F19" t="str">
        <v>L.00.004Б.1</v>
      </c>
      <c r="G19" t="str">
        <v>Осветительная группа Подвальный этаж Пом. №004Б</v>
      </c>
      <c r="H19" s="4" t="str">
        <v>не на схеме</v>
      </c>
      <c r="I19" t="str">
        <v>→</v>
      </c>
    </row>
    <row r="20" spans="4:9" x14ac:dyDescent="0.3">
      <c r="D20" t="str">
        <v>ЩО-001</v>
      </c>
      <c r="E20" t="str">
        <v>-</v>
      </c>
      <c r="F20" t="str">
        <v>L.00.004Т.1</v>
      </c>
      <c r="G20" t="str">
        <v>Осветительная группа Подвальный этаж Пом. №004Т</v>
      </c>
      <c r="H20" s="4" t="str">
        <v>не на схеме</v>
      </c>
      <c r="I20" t="str">
        <v>→</v>
      </c>
    </row>
    <row r="21" spans="4:9" x14ac:dyDescent="0.3">
      <c r="D21" t="str">
        <v>ЩО-001</v>
      </c>
      <c r="E21" t="str">
        <v>-</v>
      </c>
      <c r="F21" t="str">
        <v>L.00.005Б.1</v>
      </c>
      <c r="G21" t="str">
        <v>Осветительная группа Подвальный этаж Пом. №005Б</v>
      </c>
      <c r="H21" s="4" t="str">
        <v>не на схеме</v>
      </c>
      <c r="I21" t="str">
        <v>→</v>
      </c>
    </row>
    <row r="22" spans="4:9" x14ac:dyDescent="0.3">
      <c r="D22" t="str">
        <v>ЩО-001</v>
      </c>
      <c r="E22" t="str">
        <v>-</v>
      </c>
      <c r="F22" t="str">
        <v>L.00.005Т.1</v>
      </c>
      <c r="G22" t="str">
        <v>Осветительная группа Подвальный этаж Пом. №005Т</v>
      </c>
      <c r="H22" s="4" t="str">
        <v>не на схеме</v>
      </c>
      <c r="I22" t="str">
        <v>→</v>
      </c>
    </row>
    <row r="23" spans="4:9" x14ac:dyDescent="0.3">
      <c r="D23" t="str">
        <v>ЩО-001</v>
      </c>
      <c r="E23" t="str">
        <v>-</v>
      </c>
      <c r="F23" t="str">
        <v>L.00.006Б.1</v>
      </c>
      <c r="G23" t="str">
        <v>Осветительная группа Подвальный этаж Пом. №006Б</v>
      </c>
      <c r="H23" s="4" t="str">
        <v>не на схеме</v>
      </c>
      <c r="I23" t="str">
        <v>→</v>
      </c>
    </row>
    <row r="24" spans="4:9" x14ac:dyDescent="0.3">
      <c r="D24" t="str">
        <v>ЩО-001</v>
      </c>
      <c r="E24" t="str">
        <v>-</v>
      </c>
      <c r="F24" t="str">
        <v>L.00.006Т.1</v>
      </c>
      <c r="G24" t="str">
        <v>Осветительная группа Подвальный этаж Пом. №006Т</v>
      </c>
      <c r="H24" s="4" t="str">
        <v>не на схеме</v>
      </c>
      <c r="I24" t="str">
        <v>→</v>
      </c>
    </row>
    <row r="25" spans="4:9" x14ac:dyDescent="0.3">
      <c r="D25" t="str">
        <v>ЩО-001</v>
      </c>
      <c r="E25" t="str">
        <v>-</v>
      </c>
      <c r="F25" t="str">
        <v>L.00.007Б.1</v>
      </c>
      <c r="G25" t="str">
        <v>Осветительная группа Подвальный этаж Пом. №007Б</v>
      </c>
      <c r="H25" s="4" t="str">
        <v>не на схеме</v>
      </c>
      <c r="I25" t="str">
        <v>→</v>
      </c>
    </row>
    <row r="26" spans="4:9" x14ac:dyDescent="0.3">
      <c r="D26" t="str">
        <v>ЩО-001</v>
      </c>
      <c r="E26" t="str">
        <v>-</v>
      </c>
      <c r="F26" t="str">
        <v>L.00.007Т.1</v>
      </c>
      <c r="G26" t="str">
        <v>Осветительная группа Подвальный этаж Пом. №007Т</v>
      </c>
      <c r="H26" s="4" t="str">
        <v>не на схеме</v>
      </c>
      <c r="I26" t="str">
        <v>→</v>
      </c>
    </row>
    <row r="27" spans="4:9" x14ac:dyDescent="0.3">
      <c r="D27" t="str">
        <v>ЩО-001</v>
      </c>
      <c r="E27" t="str">
        <v>-</v>
      </c>
      <c r="F27" t="str">
        <v>L.00.008T.1</v>
      </c>
      <c r="G27" t="str">
        <v>Осветительная группа Подвальный этаж Пом. №008T</v>
      </c>
      <c r="H27" s="4" t="str">
        <v>не на схеме</v>
      </c>
      <c r="I27" t="str">
        <v>→</v>
      </c>
    </row>
    <row r="28" spans="4:9" x14ac:dyDescent="0.3">
      <c r="D28" t="str">
        <v>ЩО-001</v>
      </c>
      <c r="E28" t="str">
        <v>-</v>
      </c>
      <c r="F28" t="str">
        <v>L.00.009Б.1</v>
      </c>
      <c r="G28" t="str">
        <v>Осветительная группа Подвальный этаж Пом. №009Б</v>
      </c>
      <c r="H28" s="4" t="str">
        <v>не на схеме</v>
      </c>
      <c r="I28" t="str">
        <v>→</v>
      </c>
    </row>
    <row r="29" spans="4:9" x14ac:dyDescent="0.3">
      <c r="D29" t="str">
        <v>ЩО-001</v>
      </c>
      <c r="E29" t="str">
        <v>-</v>
      </c>
      <c r="F29" t="str">
        <v>L.00.008Б.1</v>
      </c>
      <c r="G29" t="str">
        <v>Осветительная группа Подвальный этаж Пом. №008Б</v>
      </c>
      <c r="H29" s="4" t="str">
        <v>нет мощности; не на схеме</v>
      </c>
      <c r="I29" t="str">
        <v>→</v>
      </c>
    </row>
    <row r="30" spans="4:9" x14ac:dyDescent="0.3">
      <c r="D30" t="str">
        <v>ЩО-001</v>
      </c>
      <c r="E30" t="str">
        <v>-</v>
      </c>
      <c r="F30" t="str">
        <v>L.00.010Б.1</v>
      </c>
      <c r="G30" t="str">
        <v>Осветительная группа Подвальный этаж Пом. №010Б</v>
      </c>
      <c r="H30" s="4" t="str">
        <v>нет мощности; не на схеме</v>
      </c>
      <c r="I30" t="str">
        <v>→</v>
      </c>
    </row>
    <row r="31" spans="4:9" x14ac:dyDescent="0.3">
      <c r="D31" t="str">
        <v>ЩО-001</v>
      </c>
      <c r="E31" t="str">
        <v>-</v>
      </c>
      <c r="F31" t="str">
        <v>L.00.003T.1</v>
      </c>
      <c r="G31" t="str">
        <v>Осветительная группа Подвальный этаж Пом. №003T</v>
      </c>
      <c r="H31" s="4" t="str">
        <v>не на схеме</v>
      </c>
      <c r="I31" t="str">
        <v>→</v>
      </c>
    </row>
    <row r="32" spans="4:9" x14ac:dyDescent="0.3">
      <c r="D32" t="str">
        <v>ЩОВ-01</v>
      </c>
      <c r="E32" t="str">
        <v>-</v>
      </c>
      <c r="F32" t="str">
        <v>K.0.009А.1</v>
      </c>
      <c r="G32" t="str">
        <v>Внутренний блок кондиционирования цокольный этаж Пом. №0.002Т</v>
      </c>
      <c r="H32" s="4" t="str">
        <v>не на схеме</v>
      </c>
      <c r="I32" t="str">
        <v>→</v>
      </c>
    </row>
    <row r="33" spans="4:9" x14ac:dyDescent="0.3">
      <c r="D33" t="str">
        <v>ЩР-001</v>
      </c>
      <c r="E33">
        <v>8</v>
      </c>
      <c r="F33" t="str">
        <v>R.00.001Б.1</v>
      </c>
      <c r="G33" t="str">
        <v>Розеточная группа Подвальный этаж Пом. №001Б</v>
      </c>
      <c r="H33" s="4" t="str">
        <v>потери 4,4 % &gt; 4 %</v>
      </c>
      <c r="I33" t="str">
        <v>→</v>
      </c>
    </row>
    <row r="34" spans="4:9" x14ac:dyDescent="0.3">
      <c r="D34" t="str">
        <v>ЩР-001</v>
      </c>
      <c r="E34">
        <v>37</v>
      </c>
      <c r="F34" t="str">
        <v>ШТК-ЛВС.00</v>
      </c>
      <c r="G34" t="str">
        <v>Шкаф телекоммуникационный ШТК-ЛВС.00  Подвальный этаж Пом. №007Т</v>
      </c>
      <c r="H34" s="4" t="str">
        <v>потери 5,1 % &gt; 4 %</v>
      </c>
      <c r="I34" t="str">
        <v>→</v>
      </c>
    </row>
    <row r="35" spans="4:9" x14ac:dyDescent="0.3">
      <c r="D35" t="str">
        <v>ЩР-001</v>
      </c>
      <c r="E35">
        <v>38</v>
      </c>
      <c r="F35" t="str">
        <v>ШТК-СОТ.00</v>
      </c>
      <c r="G35" t="str">
        <v>Шкаф телекоммуникационный ШТК-СОТ.00  Подвальный этаж Пом. №007Т</v>
      </c>
      <c r="H35" s="4" t="str">
        <v>потери 4,2 % &gt; 4 %</v>
      </c>
      <c r="I35" t="str">
        <v>→</v>
      </c>
    </row>
    <row r="36" spans="4:9" x14ac:dyDescent="0.3">
      <c r="D36" t="str">
        <v>ЩР-01</v>
      </c>
      <c r="E36">
        <v>26</v>
      </c>
      <c r="F36" t="str">
        <v>R.0.008A.2</v>
      </c>
      <c r="G36" t="str">
        <v>Розеточная группа Цокольный этаж Пом. №008A Душ виши</v>
      </c>
      <c r="H36" s="4" t="str">
        <v>потери 5,2 % &gt; 4 %</v>
      </c>
      <c r="I36" t="str">
        <v>→</v>
      </c>
    </row>
    <row r="37" spans="4:9" x14ac:dyDescent="0.3">
      <c r="D37" t="str">
        <v>ЩР-01</v>
      </c>
      <c r="E37">
        <v>39</v>
      </c>
      <c r="F37" t="str">
        <v>R.0.013Б.4</v>
      </c>
      <c r="G37" t="str">
        <v>Розеточная группа Цокольный этаж Пом. №013Б Сушильная машина</v>
      </c>
      <c r="H37" s="4" t="str">
        <v>потери 4,8 % &gt; 4 %</v>
      </c>
      <c r="I37" t="str">
        <v>→</v>
      </c>
    </row>
    <row r="38" spans="4:9" x14ac:dyDescent="0.3">
      <c r="D38" t="str">
        <v>ЩР-1</v>
      </c>
      <c r="E38">
        <v>58</v>
      </c>
      <c r="F38" t="str">
        <v>R.1.021A.10</v>
      </c>
      <c r="G38" t="str">
        <v>Розеточная группа Первый этаж Пом. №021A ПММ</v>
      </c>
      <c r="H38" s="4" t="str">
        <v>потери 4,1 % &gt; 4 %</v>
      </c>
      <c r="I38" t="str">
        <v>→</v>
      </c>
    </row>
    <row r="39" spans="4:9" x14ac:dyDescent="0.3">
      <c r="D39" t="str">
        <v>ЩР-1</v>
      </c>
      <c r="E39">
        <v>60</v>
      </c>
      <c r="F39" t="str">
        <v>R.1.021A.2</v>
      </c>
      <c r="G39" t="str">
        <v>Розеточная группа Первый этаж Пом. №021A Духовой шкаф</v>
      </c>
      <c r="H39" s="4" t="str">
        <v>потери 4,3 % &gt; 4 %</v>
      </c>
      <c r="I39" t="str">
        <v>→</v>
      </c>
    </row>
    <row r="40" spans="4:9" x14ac:dyDescent="0.3">
      <c r="D40" t="str">
        <v>ЩР-1</v>
      </c>
      <c r="E40">
        <v>72</v>
      </c>
      <c r="F40" t="str">
        <v>R.1.020A.1</v>
      </c>
      <c r="G40" t="str">
        <v>Розеточная группа Первый этаж Пом. №020A Холодильник, морозильная камера</v>
      </c>
      <c r="H40" s="4" t="str">
        <v>нет мощности</v>
      </c>
      <c r="I40" t="str">
        <v>→</v>
      </c>
    </row>
    <row r="41" spans="4:9" x14ac:dyDescent="0.3">
      <c r="D41" t="str">
        <v>ЩР-2</v>
      </c>
      <c r="E41">
        <v>41</v>
      </c>
      <c r="F41" t="str">
        <v>ШТК-ЛВС.3</v>
      </c>
      <c r="G41" t="str">
        <v>Шкаф телекоммуникационный ШТК-2  Тех. Этаж Пом №004T</v>
      </c>
      <c r="H41" s="4" t="str">
        <v>потери 5,4 % &gt; 4 %</v>
      </c>
      <c r="I41" t="str">
        <v>→</v>
      </c>
    </row>
    <row r="42" spans="4:9" x14ac:dyDescent="0.3">
      <c r="D42" t="str">
        <v>ЩС-ВК.001</v>
      </c>
      <c r="E42">
        <v>10</v>
      </c>
      <c r="F42" t="str">
        <v>НВК.00.003Т.2</v>
      </c>
      <c r="G42" t="str">
        <v>Насос дренажный Подвальный этаж Пом. №003Т</v>
      </c>
      <c r="H42" s="4" t="str">
        <v>категория I не обеспечена (есть II)</v>
      </c>
      <c r="I42" t="str">
        <v>→</v>
      </c>
    </row>
    <row r="43" spans="4:9" x14ac:dyDescent="0.3">
      <c r="D43" t="str">
        <v>ЩС-ВК.001</v>
      </c>
      <c r="E43">
        <v>11</v>
      </c>
      <c r="F43" t="str">
        <v>НВК.00.003Т.1</v>
      </c>
      <c r="G43" t="str">
        <v>Насос дренажный Подвальный этаж Пом. №003Т</v>
      </c>
      <c r="H43" s="4" t="str">
        <v>категория I не обеспечена (есть II)</v>
      </c>
      <c r="I43" t="str">
        <v>→</v>
      </c>
    </row>
    <row r="44" spans="4:9" x14ac:dyDescent="0.3">
      <c r="D44" t="str">
        <v>ЩС-ВК.001</v>
      </c>
      <c r="E44">
        <v>12</v>
      </c>
      <c r="F44" t="str">
        <v>НВК.00.005Т.4</v>
      </c>
      <c r="G44" t="str">
        <v>Насос дренажный Подвальный этаж Пом. №005Т</v>
      </c>
      <c r="H44" s="4" t="str">
        <v>категория I не обеспечена (есть II)</v>
      </c>
      <c r="I44" t="str">
        <v>→</v>
      </c>
    </row>
    <row r="45" spans="4:9" x14ac:dyDescent="0.3">
      <c r="D45" t="str">
        <v>ЩС-ВК.001</v>
      </c>
      <c r="E45">
        <v>13</v>
      </c>
      <c r="F45" t="str">
        <v>НВК.00.005Т.3</v>
      </c>
      <c r="G45" t="str">
        <v>Насос дренажный Подвальный этаж Пом. №005Т</v>
      </c>
      <c r="H45" s="4" t="str">
        <v>категория I не обеспечена (есть II)</v>
      </c>
      <c r="I45" t="str">
        <v>→</v>
      </c>
    </row>
    <row r="46" spans="4:9" x14ac:dyDescent="0.3">
      <c r="D46" t="str">
        <v>ЩС-ВК.001</v>
      </c>
      <c r="E46">
        <v>14</v>
      </c>
      <c r="F46" t="str">
        <v>НВК.00.005Т.1</v>
      </c>
      <c r="G46" t="str">
        <v>Насос дренажный Подвальный этаж Пом. №005Т</v>
      </c>
      <c r="H46" s="4" t="str">
        <v>категория I не обеспечена (есть II)</v>
      </c>
      <c r="I46" t="str">
        <v>→</v>
      </c>
    </row>
    <row r="47" spans="4:9" x14ac:dyDescent="0.3">
      <c r="D47" t="str">
        <v>ЩС-ВК.001</v>
      </c>
      <c r="E47">
        <v>15</v>
      </c>
      <c r="F47" t="str">
        <v>НВК.00.005Т.2</v>
      </c>
      <c r="G47" t="str">
        <v>Насос дренажный Подвальный этаж Пом. №005Т</v>
      </c>
      <c r="H47" s="4" t="str">
        <v>категория I не обеспечена (есть II)</v>
      </c>
      <c r="I47" t="str">
        <v>→</v>
      </c>
    </row>
    <row r="48" spans="4:9" x14ac:dyDescent="0.3">
      <c r="D48" t="str">
        <v>ЩС-ВК.001</v>
      </c>
      <c r="E48">
        <v>16</v>
      </c>
      <c r="F48" t="str">
        <v>НВК.00.002Т.1</v>
      </c>
      <c r="G48" t="str">
        <v>циркуляционный насос Подвальный этаж Пом. №002Т</v>
      </c>
      <c r="H48" s="4" t="str">
        <v>категория I не обеспечена (есть II)</v>
      </c>
      <c r="I48" t="str">
        <v>→</v>
      </c>
    </row>
    <row r="49" spans="4:9" x14ac:dyDescent="0.3">
      <c r="D49" t="str">
        <v>ЩС-ВК.003</v>
      </c>
      <c r="E49">
        <v>14</v>
      </c>
      <c r="F49" t="str">
        <v>ЖУ.1</v>
      </c>
      <c r="G49" t="str">
        <v>Жироулавливатель Подвальный этаж Пом. №006Т</v>
      </c>
      <c r="H49" s="4" t="str">
        <v>потери 4,1 % &gt; 4 %</v>
      </c>
      <c r="I49" t="str">
        <v>→</v>
      </c>
    </row>
    <row r="50" spans="4:9" x14ac:dyDescent="0.3">
      <c r="D50" t="str">
        <v>ЩУОВ</v>
      </c>
      <c r="E50">
        <v>11</v>
      </c>
      <c r="F50" t="str">
        <v>DW.1</v>
      </c>
      <c r="G50" t="str">
        <v/>
      </c>
      <c r="H50" s="4" t="str">
        <v>нет мощности</v>
      </c>
      <c r="I50" t="str">
        <v>→</v>
      </c>
    </row>
    <row r="51" spans="4:9" x14ac:dyDescent="0.3">
      <c r="D51" t="str">
        <v>ЩУОВ</v>
      </c>
      <c r="E51">
        <v>12</v>
      </c>
      <c r="F51" t="str">
        <v>DT.1</v>
      </c>
      <c r="G51" t="str">
        <v/>
      </c>
      <c r="H51" s="4" t="str">
        <v>нет мощности</v>
      </c>
      <c r="I51" t="str">
        <v>→</v>
      </c>
    </row>
    <row r="52" spans="4:9" x14ac:dyDescent="0.3">
      <c r="D52" t="str">
        <v>ЩУОВ</v>
      </c>
      <c r="E52">
        <v>19</v>
      </c>
      <c r="F52" t="str">
        <v>OV.2.002Г.1</v>
      </c>
      <c r="G52" t="str">
        <v/>
      </c>
      <c r="H52" s="4" t="str">
        <v>потери 8,0 % &gt; 4 %</v>
      </c>
      <c r="I52" t="str">
        <v>→</v>
      </c>
    </row>
    <row r="53" spans="4:9" x14ac:dyDescent="0.3">
      <c r="D53" t="str">
        <v>ЩУОВ</v>
      </c>
      <c r="E53">
        <v>20</v>
      </c>
      <c r="F53" t="str">
        <v>OV.2.003Г.1</v>
      </c>
      <c r="G53" t="str">
        <v/>
      </c>
      <c r="H53" s="4" t="str">
        <v>потери 4,7 % &gt; 4 %</v>
      </c>
      <c r="I53" t="str">
        <v>→</v>
      </c>
    </row>
    <row r="54" spans="4:9" x14ac:dyDescent="0.3">
      <c r="D54" t="str">
        <v>ЩУОВ</v>
      </c>
      <c r="E54">
        <v>21</v>
      </c>
      <c r="F54" t="str">
        <v>OV.2.1.1</v>
      </c>
      <c r="G54" t="str">
        <v>Обогревл ливнестоков Кровля бассейна</v>
      </c>
      <c r="H54" s="4" t="str">
        <v>потери 6,7 % &gt; 4 %</v>
      </c>
      <c r="I54" t="str">
        <v>→</v>
      </c>
    </row>
    <row r="55" spans="4:9" x14ac:dyDescent="0.3">
      <c r="D55" t="str">
        <v>ЩУОВ</v>
      </c>
      <c r="E55">
        <v>22</v>
      </c>
      <c r="F55" t="str">
        <v>OV.2.1.2</v>
      </c>
      <c r="G55" t="str">
        <v>Обогревл ливнестоков Второй этаж</v>
      </c>
      <c r="H55" s="4" t="str">
        <v>потери 6,9 % &gt; 4 %</v>
      </c>
      <c r="I55" t="str">
        <v>→</v>
      </c>
    </row>
    <row r="56" spans="4:9" x14ac:dyDescent="0.3">
      <c r="D56" t="str">
        <v>ЩУОВ</v>
      </c>
      <c r="E56">
        <v>23</v>
      </c>
      <c r="F56" t="str">
        <v>OV.2.1.3</v>
      </c>
      <c r="G56" t="str">
        <v>Обогревл ливнестоков Второй этаж</v>
      </c>
      <c r="H56" s="4" t="str">
        <v>потери 4,2 % &gt; 4 %</v>
      </c>
      <c r="I56" t="str">
        <v>→</v>
      </c>
    </row>
    <row r="57" spans="4:9" x14ac:dyDescent="0.3">
      <c r="D57" t="str">
        <v>ЩУОВ</v>
      </c>
      <c r="E57">
        <v>24</v>
      </c>
      <c r="F57" t="str">
        <v>OV.4.1.1</v>
      </c>
      <c r="G57" t="str">
        <v>Обогревл ливнестоков Кровля</v>
      </c>
      <c r="H57" s="4" t="str">
        <v>потери 5,8 % &gt; 4 %</v>
      </c>
      <c r="I57" t="str">
        <v>→</v>
      </c>
    </row>
    <row r="58" spans="4:9" x14ac:dyDescent="0.3">
      <c r="D58" t="str">
        <v>ЩУОВ</v>
      </c>
      <c r="E58">
        <v>25</v>
      </c>
      <c r="F58" t="str">
        <v>OV.4.1.2</v>
      </c>
      <c r="G58" t="str">
        <v>Обогревл ливнестоков Кровля</v>
      </c>
      <c r="H58" s="4" t="str">
        <v>потери 6,3 % &gt; 4 %</v>
      </c>
      <c r="I58" t="str">
        <v>→</v>
      </c>
    </row>
    <row r="59" spans="4:9" x14ac:dyDescent="0.3">
      <c r="D59" t="str">
        <v>ЩУОВ</v>
      </c>
      <c r="E59">
        <v>26</v>
      </c>
      <c r="F59" t="str">
        <v>OV.4.1.3</v>
      </c>
      <c r="G59" t="str">
        <v>Обогревл ливнестоков Кровля</v>
      </c>
      <c r="H59" s="4" t="str">
        <v>потери 6,7 % &gt; 4 %</v>
      </c>
      <c r="I59" t="str">
        <v>→</v>
      </c>
    </row>
    <row r="60" spans="4:9" x14ac:dyDescent="0.3">
      <c r="D60" t="str">
        <v>ЩУОВ</v>
      </c>
      <c r="E60">
        <v>27</v>
      </c>
      <c r="F60" t="str">
        <v>OV.4.1.4</v>
      </c>
      <c r="G60" t="str">
        <v>Обогревл ливнестоков Кровля</v>
      </c>
      <c r="H60" s="4" t="str">
        <v>потери 8,0 % &gt; 4 %</v>
      </c>
      <c r="I60" t="str">
        <v>→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5C09A-E39D-42FC-9740-403F6281E536}">
  <sheetPr>
    <tabColor rgb="FFFFF2CC"/>
  </sheetPr>
  <dimension ref="B1:N36"/>
  <sheetViews>
    <sheetView workbookViewId="0"/>
  </sheetViews>
  <sheetFormatPr defaultRowHeight="14.4" x14ac:dyDescent="0.3"/>
  <cols>
    <col min="2" max="2" width="42.77734375" customWidth="1"/>
    <col min="3" max="3" width="18.77734375" customWidth="1"/>
    <col min="4" max="4" width="60.77734375" customWidth="1"/>
    <col min="6" max="6" width="16.77734375" customWidth="1"/>
    <col min="7" max="7" width="20.77734375" customWidth="1"/>
  </cols>
  <sheetData>
    <row r="1" spans="2:7" ht="18" x14ac:dyDescent="0.35">
      <c r="B1" s="113" t="s">
        <v>934</v>
      </c>
    </row>
    <row r="2" spans="2:7" x14ac:dyDescent="0.3">
      <c r="F2" s="36" t="s">
        <v>950</v>
      </c>
      <c r="G2" s="36" t="s">
        <v>951</v>
      </c>
    </row>
    <row r="3" spans="2:7" x14ac:dyDescent="0.3">
      <c r="B3" t="s">
        <v>935</v>
      </c>
      <c r="C3" s="114"/>
      <c r="D3" t="s">
        <v>936</v>
      </c>
      <c r="F3" s="114">
        <v>1</v>
      </c>
      <c r="G3" s="114">
        <v>1</v>
      </c>
    </row>
    <row r="4" spans="2:7" x14ac:dyDescent="0.3">
      <c r="B4" t="s">
        <v>937</v>
      </c>
      <c r="C4" s="114">
        <v>2.63E-2</v>
      </c>
      <c r="D4" t="s">
        <v>938</v>
      </c>
      <c r="F4" s="114">
        <v>2</v>
      </c>
      <c r="G4" s="114">
        <v>1</v>
      </c>
    </row>
    <row r="5" spans="2:7" x14ac:dyDescent="0.3">
      <c r="B5" t="s">
        <v>939</v>
      </c>
      <c r="C5" s="114">
        <v>4.2000000000000003E-2</v>
      </c>
      <c r="D5" t="s">
        <v>814</v>
      </c>
      <c r="F5" s="114">
        <v>3</v>
      </c>
      <c r="G5" s="114">
        <v>0.9</v>
      </c>
    </row>
    <row r="6" spans="2:7" x14ac:dyDescent="0.3">
      <c r="B6" t="s">
        <v>940</v>
      </c>
      <c r="C6" s="114">
        <v>1.4999999999999999E-2</v>
      </c>
      <c r="D6" t="s">
        <v>941</v>
      </c>
      <c r="F6" s="114">
        <v>5</v>
      </c>
      <c r="G6" s="114">
        <v>0.8</v>
      </c>
    </row>
    <row r="7" spans="2:7" x14ac:dyDescent="0.3">
      <c r="B7" t="s">
        <v>942</v>
      </c>
      <c r="C7" s="114">
        <v>0.95</v>
      </c>
      <c r="D7" t="s">
        <v>943</v>
      </c>
      <c r="F7" s="114">
        <v>8</v>
      </c>
      <c r="G7" s="114">
        <v>0.75</v>
      </c>
    </row>
    <row r="8" spans="2:7" x14ac:dyDescent="0.3">
      <c r="B8" t="s">
        <v>944</v>
      </c>
      <c r="C8" s="114" t="s">
        <v>945</v>
      </c>
      <c r="D8" t="s">
        <v>946</v>
      </c>
      <c r="F8" s="114">
        <v>10</v>
      </c>
      <c r="G8" s="114">
        <v>0.7</v>
      </c>
    </row>
    <row r="9" spans="2:7" x14ac:dyDescent="0.3">
      <c r="B9" t="s">
        <v>947</v>
      </c>
      <c r="C9" s="114">
        <v>1</v>
      </c>
      <c r="D9" t="s">
        <v>948</v>
      </c>
      <c r="F9" s="114">
        <v>15</v>
      </c>
      <c r="G9" s="114">
        <v>0.65</v>
      </c>
    </row>
    <row r="10" spans="2:7" x14ac:dyDescent="0.3">
      <c r="F10" s="114">
        <v>20</v>
      </c>
      <c r="G10" s="114">
        <v>0.65</v>
      </c>
    </row>
    <row r="11" spans="2:7" x14ac:dyDescent="0.3">
      <c r="B11" t="s">
        <v>949</v>
      </c>
      <c r="F11" s="114">
        <v>30</v>
      </c>
      <c r="G11" s="114">
        <v>0.6</v>
      </c>
    </row>
    <row r="12" spans="2:7" x14ac:dyDescent="0.3">
      <c r="F12" s="114">
        <v>50</v>
      </c>
      <c r="G12" s="114">
        <v>0.55000000000000004</v>
      </c>
    </row>
    <row r="13" spans="2:7" x14ac:dyDescent="0.3">
      <c r="F13" s="114">
        <v>100</v>
      </c>
      <c r="G13" s="114">
        <v>0.55000000000000004</v>
      </c>
    </row>
    <row r="14" spans="2:7" x14ac:dyDescent="0.3">
      <c r="B14" s="36" t="s">
        <v>1695</v>
      </c>
      <c r="F14" s="114">
        <v>200</v>
      </c>
      <c r="G14" s="114">
        <v>0.5</v>
      </c>
    </row>
    <row r="15" spans="2:7" x14ac:dyDescent="0.3">
      <c r="B15" t="s">
        <v>869</v>
      </c>
      <c r="C15" s="114">
        <v>0.75</v>
      </c>
    </row>
    <row r="16" spans="2:7" x14ac:dyDescent="0.3">
      <c r="B16" t="s">
        <v>1696</v>
      </c>
      <c r="C16" s="114">
        <v>0.9</v>
      </c>
    </row>
    <row r="17" spans="2:14" x14ac:dyDescent="0.3">
      <c r="B17" t="s">
        <v>1697</v>
      </c>
      <c r="C17" s="114">
        <v>15</v>
      </c>
      <c r="D17" t="s">
        <v>871</v>
      </c>
    </row>
    <row r="18" spans="2:14" x14ac:dyDescent="0.3">
      <c r="B18" t="s">
        <v>1698</v>
      </c>
      <c r="C18" s="114">
        <v>240</v>
      </c>
      <c r="D18" t="s">
        <v>155</v>
      </c>
    </row>
    <row r="19" spans="2:14" x14ac:dyDescent="0.3">
      <c r="B19" t="s">
        <v>872</v>
      </c>
      <c r="C19" s="114">
        <v>0.95</v>
      </c>
    </row>
    <row r="20" spans="2:14" x14ac:dyDescent="0.3">
      <c r="B20" t="s">
        <v>1699</v>
      </c>
      <c r="C20" s="114">
        <v>0.8</v>
      </c>
    </row>
    <row r="21" spans="2:14" x14ac:dyDescent="0.3">
      <c r="B21" t="s">
        <v>1700</v>
      </c>
      <c r="C21" s="114">
        <v>0.1</v>
      </c>
    </row>
    <row r="22" spans="2:14" x14ac:dyDescent="0.3">
      <c r="B22" t="s">
        <v>1701</v>
      </c>
      <c r="C22" s="114">
        <v>0.95</v>
      </c>
    </row>
    <row r="24" spans="2:14" x14ac:dyDescent="0.3">
      <c r="B24" t="s">
        <v>1702</v>
      </c>
      <c r="C24" s="114">
        <v>6</v>
      </c>
      <c r="D24" s="114">
        <v>10</v>
      </c>
      <c r="E24" s="114">
        <v>15</v>
      </c>
      <c r="F24" s="114">
        <v>20</v>
      </c>
      <c r="G24" s="114">
        <v>30</v>
      </c>
      <c r="H24" s="114">
        <v>40</v>
      </c>
      <c r="I24" s="114">
        <v>60</v>
      </c>
      <c r="J24" s="114">
        <v>80</v>
      </c>
      <c r="K24" s="114">
        <v>100</v>
      </c>
      <c r="L24" s="114">
        <v>120</v>
      </c>
      <c r="M24" s="114">
        <v>160</v>
      </c>
      <c r="N24" s="114">
        <v>200</v>
      </c>
    </row>
    <row r="28" spans="2:14" ht="15.6" x14ac:dyDescent="0.3">
      <c r="B28" s="138" t="s">
        <v>2379</v>
      </c>
      <c r="C28" s="139"/>
      <c r="D28" s="139"/>
    </row>
    <row r="29" spans="2:14" ht="15" customHeight="1" x14ac:dyDescent="0.3">
      <c r="B29" s="140" t="s">
        <v>2380</v>
      </c>
      <c r="C29" s="140"/>
      <c r="D29" s="140"/>
    </row>
    <row r="30" spans="2:14" ht="15" customHeight="1" x14ac:dyDescent="0.3">
      <c r="B30" s="140" t="s">
        <v>2381</v>
      </c>
      <c r="C30" s="140"/>
      <c r="D30" s="140"/>
    </row>
    <row r="31" spans="2:14" ht="30" customHeight="1" x14ac:dyDescent="0.3">
      <c r="B31" s="140" t="s">
        <v>2382</v>
      </c>
      <c r="C31" s="140"/>
      <c r="D31" s="140"/>
    </row>
    <row r="32" spans="2:14" ht="30" customHeight="1" x14ac:dyDescent="0.3">
      <c r="B32" s="140" t="s">
        <v>2383</v>
      </c>
      <c r="C32" s="140"/>
      <c r="D32" s="140"/>
    </row>
    <row r="33" spans="2:4" ht="15" customHeight="1" x14ac:dyDescent="0.3">
      <c r="B33" s="140" t="s">
        <v>2384</v>
      </c>
      <c r="C33" s="140"/>
      <c r="D33" s="140"/>
    </row>
    <row r="34" spans="2:4" ht="30" customHeight="1" x14ac:dyDescent="0.3">
      <c r="B34" s="140" t="s">
        <v>2385</v>
      </c>
      <c r="C34" s="140"/>
      <c r="D34" s="140"/>
    </row>
    <row r="35" spans="2:4" ht="30" customHeight="1" x14ac:dyDescent="0.3">
      <c r="B35" s="140" t="s">
        <v>2386</v>
      </c>
      <c r="C35" s="140"/>
      <c r="D35" s="140"/>
    </row>
    <row r="36" spans="2:4" ht="15" customHeight="1" x14ac:dyDescent="0.3">
      <c r="B36" s="140" t="s">
        <v>2387</v>
      </c>
      <c r="C36" s="140"/>
      <c r="D36" s="140"/>
    </row>
  </sheetData>
  <mergeCells count="8">
    <mergeCell ref="B35:D35"/>
    <mergeCell ref="B36:D36"/>
    <mergeCell ref="B29:D29"/>
    <mergeCell ref="B30:D30"/>
    <mergeCell ref="B31:D31"/>
    <mergeCell ref="B32:D32"/>
    <mergeCell ref="B33:D33"/>
    <mergeCell ref="B34:D34"/>
  </mergeCells>
  <dataValidations count="1">
    <dataValidation type="list" allowBlank="1" showInputMessage="1" showErrorMessage="1" sqref="C8" xr:uid="{B4E7DD60-7916-4EEA-A681-58E9E832E947}">
      <formula1>"v3.12,нормы 2026"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67A23-8DCB-4065-AF62-35AD86AE87DB}">
  <sheetPr>
    <tabColor rgb="FF00B0F0"/>
  </sheetPr>
  <dimension ref="A1:AB95"/>
  <sheetViews>
    <sheetView workbookViewId="0"/>
  </sheetViews>
  <sheetFormatPr defaultColWidth="12.77734375" defaultRowHeight="14.4" x14ac:dyDescent="0.3"/>
  <cols>
    <col min="2" max="2" width="30.77734375" customWidth="1"/>
  </cols>
  <sheetData>
    <row r="1" spans="1:28" x14ac:dyDescent="0.3">
      <c r="A1" s="36" t="s">
        <v>952</v>
      </c>
    </row>
    <row r="3" spans="1:28" ht="45" customHeight="1" x14ac:dyDescent="0.3">
      <c r="A3" s="4" t="s">
        <v>953</v>
      </c>
      <c r="B3" s="4" t="s">
        <v>6</v>
      </c>
      <c r="C3" s="4" t="s">
        <v>954</v>
      </c>
      <c r="D3" s="4" t="s">
        <v>42</v>
      </c>
      <c r="E3" s="4" t="s">
        <v>955</v>
      </c>
      <c r="F3" s="4" t="s">
        <v>520</v>
      </c>
      <c r="G3" s="4" t="s">
        <v>956</v>
      </c>
      <c r="H3" s="4" t="s">
        <v>190</v>
      </c>
      <c r="I3" s="4" t="s">
        <v>957</v>
      </c>
      <c r="J3" s="4" t="s">
        <v>3</v>
      </c>
      <c r="K3" s="4" t="s">
        <v>958</v>
      </c>
      <c r="L3" s="4" t="s">
        <v>539</v>
      </c>
      <c r="M3" s="4" t="s">
        <v>854</v>
      </c>
      <c r="O3" s="4" t="s">
        <v>1070</v>
      </c>
      <c r="P3" s="4" t="s">
        <v>486</v>
      </c>
      <c r="Q3" s="4" t="s">
        <v>1071</v>
      </c>
      <c r="R3" s="4" t="s">
        <v>523</v>
      </c>
      <c r="S3" s="4" t="s">
        <v>1072</v>
      </c>
      <c r="U3" s="4" t="s">
        <v>35</v>
      </c>
      <c r="V3" s="4" t="s">
        <v>1073</v>
      </c>
      <c r="W3" s="4" t="s">
        <v>1074</v>
      </c>
      <c r="X3" s="4" t="s">
        <v>1075</v>
      </c>
      <c r="Z3" s="4" t="s">
        <v>1081</v>
      </c>
      <c r="AA3" s="4" t="s">
        <v>9</v>
      </c>
      <c r="AB3" s="4" t="s">
        <v>1082</v>
      </c>
    </row>
    <row r="4" spans="1:28" x14ac:dyDescent="0.3">
      <c r="A4" t="s">
        <v>58</v>
      </c>
      <c r="B4" t="s">
        <v>959</v>
      </c>
      <c r="C4">
        <v>0</v>
      </c>
      <c r="D4">
        <v>2</v>
      </c>
      <c r="E4">
        <v>1</v>
      </c>
      <c r="M4" t="s">
        <v>488</v>
      </c>
      <c r="O4" t="s">
        <v>58</v>
      </c>
      <c r="U4" s="115" t="s">
        <v>38</v>
      </c>
      <c r="V4" t="s">
        <v>37</v>
      </c>
      <c r="Z4" t="s">
        <v>11</v>
      </c>
      <c r="AA4" t="s">
        <v>12</v>
      </c>
      <c r="AB4">
        <v>1</v>
      </c>
    </row>
    <row r="5" spans="1:28" x14ac:dyDescent="0.3">
      <c r="A5" t="s">
        <v>211</v>
      </c>
      <c r="B5" t="s">
        <v>213</v>
      </c>
      <c r="C5">
        <v>5</v>
      </c>
      <c r="D5">
        <v>1</v>
      </c>
      <c r="E5">
        <v>1</v>
      </c>
      <c r="L5" t="s">
        <v>551</v>
      </c>
      <c r="M5" t="s">
        <v>488</v>
      </c>
      <c r="O5" t="s">
        <v>211</v>
      </c>
      <c r="U5" s="115" t="s">
        <v>39</v>
      </c>
      <c r="V5" t="s">
        <v>1076</v>
      </c>
      <c r="Z5" t="s">
        <v>13</v>
      </c>
      <c r="AA5" t="s">
        <v>150</v>
      </c>
      <c r="AB5">
        <v>1</v>
      </c>
    </row>
    <row r="6" spans="1:28" x14ac:dyDescent="0.3">
      <c r="A6" t="s">
        <v>212</v>
      </c>
      <c r="B6" t="s">
        <v>214</v>
      </c>
      <c r="C6">
        <v>5</v>
      </c>
      <c r="D6">
        <v>1</v>
      </c>
      <c r="E6">
        <v>1</v>
      </c>
      <c r="L6" t="s">
        <v>551</v>
      </c>
      <c r="M6" t="s">
        <v>488</v>
      </c>
      <c r="O6" t="s">
        <v>212</v>
      </c>
      <c r="U6" s="115" t="s">
        <v>40</v>
      </c>
      <c r="V6" t="s">
        <v>1077</v>
      </c>
      <c r="Z6" t="s">
        <v>44</v>
      </c>
      <c r="AA6" t="s">
        <v>226</v>
      </c>
      <c r="AB6">
        <v>2</v>
      </c>
    </row>
    <row r="7" spans="1:28" x14ac:dyDescent="0.3">
      <c r="A7" t="s">
        <v>32</v>
      </c>
      <c r="B7" t="s">
        <v>33</v>
      </c>
      <c r="C7">
        <v>3</v>
      </c>
      <c r="D7">
        <v>1</v>
      </c>
      <c r="E7">
        <v>1</v>
      </c>
      <c r="K7" t="s">
        <v>565</v>
      </c>
      <c r="M7" t="s">
        <v>488</v>
      </c>
      <c r="O7" t="s">
        <v>32</v>
      </c>
      <c r="P7" t="s">
        <v>552</v>
      </c>
      <c r="Q7" t="s">
        <v>492</v>
      </c>
      <c r="R7">
        <v>16</v>
      </c>
      <c r="U7" s="115" t="s">
        <v>41</v>
      </c>
      <c r="V7" t="s">
        <v>36</v>
      </c>
      <c r="Z7" t="s">
        <v>60</v>
      </c>
      <c r="AA7" t="s">
        <v>174</v>
      </c>
      <c r="AB7">
        <v>1</v>
      </c>
    </row>
    <row r="8" spans="1:28" x14ac:dyDescent="0.3">
      <c r="A8" t="s">
        <v>34</v>
      </c>
      <c r="B8" t="s">
        <v>960</v>
      </c>
      <c r="C8">
        <v>1</v>
      </c>
      <c r="D8">
        <v>1</v>
      </c>
      <c r="E8">
        <v>3</v>
      </c>
      <c r="K8" t="s">
        <v>559</v>
      </c>
      <c r="M8" t="s">
        <v>488</v>
      </c>
      <c r="O8" t="s">
        <v>34</v>
      </c>
      <c r="P8" t="s">
        <v>560</v>
      </c>
      <c r="Q8" t="s">
        <v>488</v>
      </c>
      <c r="R8">
        <v>10</v>
      </c>
      <c r="U8" s="115" t="s">
        <v>1078</v>
      </c>
      <c r="V8" t="s">
        <v>1079</v>
      </c>
      <c r="Z8" t="s">
        <v>138</v>
      </c>
      <c r="AA8" t="s">
        <v>139</v>
      </c>
      <c r="AB8">
        <v>1</v>
      </c>
    </row>
    <row r="9" spans="1:28" x14ac:dyDescent="0.3">
      <c r="A9" t="s">
        <v>215</v>
      </c>
      <c r="B9" t="s">
        <v>216</v>
      </c>
      <c r="C9">
        <v>1</v>
      </c>
      <c r="D9">
        <v>1</v>
      </c>
      <c r="E9">
        <v>1</v>
      </c>
      <c r="K9" t="s">
        <v>559</v>
      </c>
      <c r="L9" t="s">
        <v>566</v>
      </c>
      <c r="M9" t="s">
        <v>488</v>
      </c>
      <c r="O9" t="s">
        <v>215</v>
      </c>
      <c r="P9" t="s">
        <v>560</v>
      </c>
      <c r="Q9" t="s">
        <v>488</v>
      </c>
      <c r="R9">
        <v>10</v>
      </c>
      <c r="U9" s="115" t="s">
        <v>881</v>
      </c>
      <c r="V9" t="s">
        <v>1080</v>
      </c>
      <c r="Z9" t="s">
        <v>143</v>
      </c>
      <c r="AA9" t="s">
        <v>141</v>
      </c>
      <c r="AB9">
        <v>1</v>
      </c>
    </row>
    <row r="10" spans="1:28" x14ac:dyDescent="0.3">
      <c r="A10" t="s">
        <v>217</v>
      </c>
      <c r="B10" t="s">
        <v>218</v>
      </c>
      <c r="C10">
        <v>2</v>
      </c>
      <c r="D10">
        <v>1</v>
      </c>
      <c r="E10">
        <v>1</v>
      </c>
      <c r="K10" t="s">
        <v>576</v>
      </c>
      <c r="L10" t="s">
        <v>577</v>
      </c>
      <c r="M10" t="s">
        <v>488</v>
      </c>
      <c r="O10" t="s">
        <v>217</v>
      </c>
      <c r="P10" t="s">
        <v>552</v>
      </c>
      <c r="Q10" t="s">
        <v>488</v>
      </c>
      <c r="R10">
        <v>16</v>
      </c>
      <c r="Z10" t="s">
        <v>142</v>
      </c>
      <c r="AA10" t="s">
        <v>144</v>
      </c>
      <c r="AB10">
        <v>2</v>
      </c>
    </row>
    <row r="11" spans="1:28" x14ac:dyDescent="0.3">
      <c r="A11" t="s">
        <v>219</v>
      </c>
      <c r="B11" t="s">
        <v>220</v>
      </c>
      <c r="C11">
        <v>2</v>
      </c>
      <c r="D11">
        <v>1</v>
      </c>
      <c r="E11">
        <v>1</v>
      </c>
      <c r="K11" t="s">
        <v>581</v>
      </c>
      <c r="L11" t="s">
        <v>577</v>
      </c>
      <c r="M11" t="s">
        <v>488</v>
      </c>
      <c r="O11" t="s">
        <v>219</v>
      </c>
      <c r="P11" t="s">
        <v>552</v>
      </c>
      <c r="Q11" t="s">
        <v>488</v>
      </c>
      <c r="R11">
        <v>16</v>
      </c>
      <c r="Z11" t="s">
        <v>146</v>
      </c>
      <c r="AA11" t="s">
        <v>147</v>
      </c>
      <c r="AB11">
        <v>1</v>
      </c>
    </row>
    <row r="12" spans="1:28" x14ac:dyDescent="0.3">
      <c r="A12" t="s">
        <v>204</v>
      </c>
      <c r="B12" t="s">
        <v>221</v>
      </c>
      <c r="C12">
        <v>1</v>
      </c>
      <c r="D12">
        <v>1</v>
      </c>
      <c r="E12">
        <v>1</v>
      </c>
      <c r="K12" t="s">
        <v>576</v>
      </c>
      <c r="L12" t="s">
        <v>577</v>
      </c>
      <c r="M12" t="s">
        <v>488</v>
      </c>
      <c r="O12" t="s">
        <v>204</v>
      </c>
      <c r="P12" t="s">
        <v>578</v>
      </c>
      <c r="Q12" t="s">
        <v>488</v>
      </c>
      <c r="Z12" t="s">
        <v>205</v>
      </c>
      <c r="AA12" t="s">
        <v>207</v>
      </c>
      <c r="AB12">
        <v>2</v>
      </c>
    </row>
    <row r="13" spans="1:28" x14ac:dyDescent="0.3">
      <c r="A13" t="s">
        <v>222</v>
      </c>
      <c r="B13" t="s">
        <v>223</v>
      </c>
      <c r="C13">
        <v>1</v>
      </c>
      <c r="D13">
        <v>1</v>
      </c>
      <c r="E13">
        <v>1</v>
      </c>
      <c r="K13" t="s">
        <v>576</v>
      </c>
      <c r="L13" t="s">
        <v>577</v>
      </c>
      <c r="M13" t="s">
        <v>488</v>
      </c>
      <c r="O13" t="s">
        <v>222</v>
      </c>
      <c r="Z13" t="s">
        <v>208</v>
      </c>
      <c r="AA13" t="s">
        <v>209</v>
      </c>
      <c r="AB13">
        <v>2</v>
      </c>
    </row>
    <row r="14" spans="1:28" x14ac:dyDescent="0.3">
      <c r="A14" t="s">
        <v>155</v>
      </c>
      <c r="B14" t="s">
        <v>961</v>
      </c>
      <c r="C14">
        <v>4</v>
      </c>
      <c r="D14">
        <v>2</v>
      </c>
      <c r="E14">
        <v>1</v>
      </c>
      <c r="K14" t="s">
        <v>584</v>
      </c>
      <c r="M14" t="s">
        <v>488</v>
      </c>
      <c r="O14" t="s">
        <v>155</v>
      </c>
      <c r="P14" t="s">
        <v>570</v>
      </c>
      <c r="Q14" t="s">
        <v>488</v>
      </c>
      <c r="Z14" t="s">
        <v>210</v>
      </c>
      <c r="AA14" t="s">
        <v>195</v>
      </c>
      <c r="AB14">
        <v>2</v>
      </c>
    </row>
    <row r="15" spans="1:28" x14ac:dyDescent="0.3">
      <c r="A15" t="s">
        <v>153</v>
      </c>
      <c r="B15" t="s">
        <v>246</v>
      </c>
      <c r="C15">
        <v>2</v>
      </c>
      <c r="D15">
        <v>1</v>
      </c>
      <c r="E15">
        <v>1</v>
      </c>
      <c r="K15" t="s">
        <v>572</v>
      </c>
      <c r="L15" t="s">
        <v>566</v>
      </c>
      <c r="M15" t="s">
        <v>488</v>
      </c>
      <c r="O15" t="s">
        <v>153</v>
      </c>
      <c r="P15" t="s">
        <v>573</v>
      </c>
      <c r="Q15" t="s">
        <v>492</v>
      </c>
      <c r="Z15" t="s">
        <v>228</v>
      </c>
      <c r="AA15" t="s">
        <v>227</v>
      </c>
    </row>
    <row r="16" spans="1:28" x14ac:dyDescent="0.3">
      <c r="A16" t="s">
        <v>250</v>
      </c>
      <c r="B16" t="s">
        <v>224</v>
      </c>
      <c r="C16">
        <v>1</v>
      </c>
      <c r="D16">
        <v>1</v>
      </c>
      <c r="E16">
        <v>1</v>
      </c>
      <c r="K16" t="s">
        <v>588</v>
      </c>
      <c r="L16" t="s">
        <v>577</v>
      </c>
      <c r="M16" t="s">
        <v>488</v>
      </c>
      <c r="O16" t="s">
        <v>250</v>
      </c>
      <c r="P16" t="s">
        <v>567</v>
      </c>
      <c r="Q16" t="s">
        <v>488</v>
      </c>
      <c r="Z16" t="s">
        <v>596</v>
      </c>
      <c r="AA16" t="s">
        <v>174</v>
      </c>
      <c r="AB16">
        <v>1</v>
      </c>
    </row>
    <row r="17" spans="1:28" x14ac:dyDescent="0.3">
      <c r="A17" t="s">
        <v>249</v>
      </c>
      <c r="B17" t="s">
        <v>225</v>
      </c>
      <c r="C17">
        <v>1</v>
      </c>
      <c r="D17">
        <v>1</v>
      </c>
      <c r="E17">
        <v>1</v>
      </c>
      <c r="K17" t="s">
        <v>576</v>
      </c>
      <c r="L17" t="s">
        <v>577</v>
      </c>
      <c r="M17" t="s">
        <v>488</v>
      </c>
      <c r="O17" t="s">
        <v>249</v>
      </c>
      <c r="Z17" t="s">
        <v>599</v>
      </c>
      <c r="AA17" t="s">
        <v>600</v>
      </c>
      <c r="AB17">
        <v>2</v>
      </c>
    </row>
    <row r="18" spans="1:28" x14ac:dyDescent="0.3">
      <c r="A18" t="s">
        <v>206</v>
      </c>
      <c r="B18" t="s">
        <v>962</v>
      </c>
      <c r="C18">
        <v>2</v>
      </c>
      <c r="D18">
        <v>1</v>
      </c>
      <c r="E18">
        <v>1</v>
      </c>
      <c r="M18" t="s">
        <v>488</v>
      </c>
      <c r="O18" t="s">
        <v>206</v>
      </c>
      <c r="P18" t="s">
        <v>570</v>
      </c>
      <c r="Q18" t="s">
        <v>488</v>
      </c>
      <c r="S18">
        <v>2</v>
      </c>
      <c r="Z18" t="s">
        <v>605</v>
      </c>
      <c r="AA18" t="s">
        <v>606</v>
      </c>
      <c r="AB18">
        <v>1</v>
      </c>
    </row>
    <row r="19" spans="1:28" x14ac:dyDescent="0.3">
      <c r="A19" t="s">
        <v>229</v>
      </c>
      <c r="B19" t="s">
        <v>230</v>
      </c>
      <c r="C19">
        <v>1</v>
      </c>
      <c r="D19">
        <v>2</v>
      </c>
      <c r="E19">
        <v>1</v>
      </c>
      <c r="K19" t="s">
        <v>559</v>
      </c>
      <c r="L19" t="s">
        <v>566</v>
      </c>
      <c r="M19" t="s">
        <v>488</v>
      </c>
      <c r="O19" t="s">
        <v>229</v>
      </c>
      <c r="P19" t="s">
        <v>560</v>
      </c>
      <c r="Q19" t="s">
        <v>488</v>
      </c>
      <c r="R19">
        <v>10</v>
      </c>
      <c r="Z19" t="s">
        <v>609</v>
      </c>
      <c r="AA19" t="s">
        <v>610</v>
      </c>
      <c r="AB19">
        <v>1</v>
      </c>
    </row>
    <row r="20" spans="1:28" x14ac:dyDescent="0.3">
      <c r="A20" t="s">
        <v>231</v>
      </c>
      <c r="B20" t="s">
        <v>232</v>
      </c>
      <c r="C20">
        <v>1</v>
      </c>
      <c r="D20">
        <v>1</v>
      </c>
      <c r="E20">
        <v>1</v>
      </c>
      <c r="K20" t="s">
        <v>581</v>
      </c>
      <c r="L20" t="s">
        <v>577</v>
      </c>
      <c r="M20" t="s">
        <v>488</v>
      </c>
      <c r="O20" t="s">
        <v>231</v>
      </c>
      <c r="Z20" t="s">
        <v>615</v>
      </c>
      <c r="AA20" t="s">
        <v>1083</v>
      </c>
      <c r="AB20">
        <v>1</v>
      </c>
    </row>
    <row r="21" spans="1:28" x14ac:dyDescent="0.3">
      <c r="A21" t="s">
        <v>251</v>
      </c>
      <c r="B21" t="s">
        <v>963</v>
      </c>
      <c r="C21">
        <v>2</v>
      </c>
      <c r="D21">
        <v>1</v>
      </c>
      <c r="E21">
        <v>1</v>
      </c>
      <c r="K21" t="s">
        <v>580</v>
      </c>
      <c r="M21" t="s">
        <v>488</v>
      </c>
      <c r="O21" t="s">
        <v>251</v>
      </c>
      <c r="Z21" t="s">
        <v>618</v>
      </c>
      <c r="AA21" t="s">
        <v>616</v>
      </c>
      <c r="AB21">
        <v>1</v>
      </c>
    </row>
    <row r="22" spans="1:28" x14ac:dyDescent="0.3">
      <c r="A22" t="s">
        <v>233</v>
      </c>
      <c r="B22" t="s">
        <v>234</v>
      </c>
      <c r="C22">
        <v>4</v>
      </c>
      <c r="D22">
        <v>2</v>
      </c>
      <c r="E22">
        <v>1</v>
      </c>
      <c r="K22" t="s">
        <v>584</v>
      </c>
      <c r="M22" t="s">
        <v>488</v>
      </c>
      <c r="O22" t="s">
        <v>233</v>
      </c>
      <c r="P22" t="s">
        <v>570</v>
      </c>
      <c r="Q22" t="s">
        <v>488</v>
      </c>
    </row>
    <row r="23" spans="1:28" x14ac:dyDescent="0.3">
      <c r="A23" t="s">
        <v>235</v>
      </c>
      <c r="B23" t="s">
        <v>236</v>
      </c>
      <c r="C23">
        <v>1</v>
      </c>
      <c r="D23">
        <v>1</v>
      </c>
      <c r="E23">
        <v>1</v>
      </c>
      <c r="K23" t="s">
        <v>580</v>
      </c>
      <c r="L23" t="s">
        <v>566</v>
      </c>
      <c r="M23" t="s">
        <v>488</v>
      </c>
      <c r="O23" t="s">
        <v>235</v>
      </c>
      <c r="P23" t="s">
        <v>570</v>
      </c>
      <c r="Q23" t="s">
        <v>488</v>
      </c>
    </row>
    <row r="24" spans="1:28" x14ac:dyDescent="0.3">
      <c r="A24" t="s">
        <v>237</v>
      </c>
      <c r="B24" t="s">
        <v>238</v>
      </c>
      <c r="C24">
        <v>1</v>
      </c>
      <c r="D24">
        <v>1</v>
      </c>
      <c r="E24">
        <v>1</v>
      </c>
      <c r="K24" t="s">
        <v>586</v>
      </c>
      <c r="L24" t="s">
        <v>566</v>
      </c>
      <c r="M24" t="s">
        <v>488</v>
      </c>
      <c r="O24" t="s">
        <v>237</v>
      </c>
      <c r="P24" t="s">
        <v>573</v>
      </c>
      <c r="Q24" t="s">
        <v>492</v>
      </c>
    </row>
    <row r="25" spans="1:28" x14ac:dyDescent="0.3">
      <c r="A25" t="s">
        <v>239</v>
      </c>
      <c r="B25" t="s">
        <v>240</v>
      </c>
      <c r="C25">
        <v>1</v>
      </c>
      <c r="D25">
        <v>1</v>
      </c>
      <c r="E25">
        <v>1</v>
      </c>
      <c r="M25" t="s">
        <v>488</v>
      </c>
      <c r="O25" t="s">
        <v>239</v>
      </c>
    </row>
    <row r="26" spans="1:28" x14ac:dyDescent="0.3">
      <c r="A26" t="s">
        <v>241</v>
      </c>
      <c r="B26" t="s">
        <v>964</v>
      </c>
      <c r="C26">
        <v>2</v>
      </c>
      <c r="D26">
        <v>1</v>
      </c>
      <c r="E26">
        <v>1</v>
      </c>
      <c r="M26" t="s">
        <v>488</v>
      </c>
      <c r="O26" t="s">
        <v>241</v>
      </c>
    </row>
    <row r="27" spans="1:28" x14ac:dyDescent="0.3">
      <c r="A27" t="s">
        <v>242</v>
      </c>
      <c r="B27" t="s">
        <v>243</v>
      </c>
      <c r="C27">
        <v>5</v>
      </c>
      <c r="D27">
        <v>1</v>
      </c>
      <c r="E27">
        <v>1</v>
      </c>
      <c r="M27" t="s">
        <v>488</v>
      </c>
      <c r="O27" t="s">
        <v>242</v>
      </c>
    </row>
    <row r="28" spans="1:28" x14ac:dyDescent="0.3">
      <c r="A28" t="s">
        <v>254</v>
      </c>
      <c r="B28" t="s">
        <v>965</v>
      </c>
      <c r="C28">
        <v>4</v>
      </c>
      <c r="D28">
        <v>1</v>
      </c>
      <c r="E28">
        <v>1</v>
      </c>
      <c r="M28" t="s">
        <v>488</v>
      </c>
      <c r="O28" t="s">
        <v>254</v>
      </c>
    </row>
    <row r="29" spans="1:28" x14ac:dyDescent="0.3">
      <c r="A29" t="s">
        <v>244</v>
      </c>
      <c r="B29" t="s">
        <v>245</v>
      </c>
      <c r="C29">
        <v>1</v>
      </c>
      <c r="D29">
        <v>1</v>
      </c>
      <c r="E29">
        <v>1</v>
      </c>
      <c r="K29" t="s">
        <v>581</v>
      </c>
      <c r="L29" t="s">
        <v>577</v>
      </c>
      <c r="M29" t="s">
        <v>488</v>
      </c>
      <c r="O29" t="s">
        <v>244</v>
      </c>
      <c r="P29" t="s">
        <v>552</v>
      </c>
      <c r="Q29" t="s">
        <v>488</v>
      </c>
      <c r="R29">
        <v>16</v>
      </c>
    </row>
    <row r="30" spans="1:28" x14ac:dyDescent="0.3">
      <c r="A30" t="s">
        <v>248</v>
      </c>
      <c r="B30" t="s">
        <v>247</v>
      </c>
      <c r="C30">
        <v>1</v>
      </c>
      <c r="D30">
        <v>1</v>
      </c>
      <c r="E30">
        <v>1</v>
      </c>
      <c r="K30" t="s">
        <v>576</v>
      </c>
      <c r="L30" t="s">
        <v>577</v>
      </c>
      <c r="M30" t="s">
        <v>488</v>
      </c>
      <c r="O30" t="s">
        <v>248</v>
      </c>
    </row>
    <row r="31" spans="1:28" x14ac:dyDescent="0.3">
      <c r="A31" t="s">
        <v>252</v>
      </c>
      <c r="B31" t="s">
        <v>253</v>
      </c>
      <c r="C31">
        <v>1</v>
      </c>
      <c r="D31">
        <v>1</v>
      </c>
      <c r="E31">
        <v>1</v>
      </c>
      <c r="K31" t="s">
        <v>584</v>
      </c>
      <c r="L31" t="s">
        <v>602</v>
      </c>
      <c r="M31" t="s">
        <v>488</v>
      </c>
      <c r="O31" t="s">
        <v>252</v>
      </c>
      <c r="P31" t="s">
        <v>570</v>
      </c>
      <c r="Q31" t="s">
        <v>488</v>
      </c>
    </row>
    <row r="32" spans="1:28" x14ac:dyDescent="0.3">
      <c r="A32" t="s">
        <v>368</v>
      </c>
      <c r="B32" t="s">
        <v>966</v>
      </c>
      <c r="C32">
        <v>3</v>
      </c>
      <c r="D32">
        <v>1</v>
      </c>
      <c r="E32">
        <v>3</v>
      </c>
      <c r="K32" t="s">
        <v>559</v>
      </c>
      <c r="M32" t="s">
        <v>488</v>
      </c>
      <c r="O32" t="s">
        <v>368</v>
      </c>
      <c r="P32" t="s">
        <v>560</v>
      </c>
      <c r="Q32" t="s">
        <v>488</v>
      </c>
      <c r="R32">
        <v>10</v>
      </c>
    </row>
    <row r="33" spans="1:18" x14ac:dyDescent="0.3">
      <c r="A33" t="s">
        <v>413</v>
      </c>
      <c r="B33" t="s">
        <v>414</v>
      </c>
      <c r="C33">
        <v>1</v>
      </c>
      <c r="D33">
        <v>1</v>
      </c>
      <c r="E33">
        <v>1</v>
      </c>
      <c r="K33" t="s">
        <v>575</v>
      </c>
      <c r="L33" t="s">
        <v>566</v>
      </c>
      <c r="M33" t="s">
        <v>488</v>
      </c>
      <c r="O33" t="s">
        <v>413</v>
      </c>
      <c r="P33" t="s">
        <v>573</v>
      </c>
      <c r="Q33" t="s">
        <v>488</v>
      </c>
    </row>
    <row r="34" spans="1:18" x14ac:dyDescent="0.3">
      <c r="A34" t="s">
        <v>967</v>
      </c>
      <c r="B34" t="s">
        <v>968</v>
      </c>
      <c r="C34">
        <v>7</v>
      </c>
      <c r="D34">
        <v>2</v>
      </c>
      <c r="E34">
        <v>1</v>
      </c>
      <c r="K34" t="s">
        <v>565</v>
      </c>
      <c r="M34" t="s">
        <v>488</v>
      </c>
      <c r="O34" t="s">
        <v>639</v>
      </c>
    </row>
    <row r="35" spans="1:18" x14ac:dyDescent="0.3">
      <c r="A35" t="s">
        <v>969</v>
      </c>
      <c r="B35" t="s">
        <v>970</v>
      </c>
      <c r="C35">
        <v>4</v>
      </c>
      <c r="D35">
        <v>2</v>
      </c>
      <c r="E35">
        <v>3</v>
      </c>
      <c r="K35" t="s">
        <v>564</v>
      </c>
      <c r="M35" t="s">
        <v>488</v>
      </c>
      <c r="O35" t="s">
        <v>504</v>
      </c>
      <c r="P35" t="s">
        <v>570</v>
      </c>
      <c r="Q35" t="s">
        <v>488</v>
      </c>
    </row>
    <row r="36" spans="1:18" x14ac:dyDescent="0.3">
      <c r="A36" t="s">
        <v>971</v>
      </c>
      <c r="B36" t="s">
        <v>972</v>
      </c>
      <c r="C36">
        <v>2</v>
      </c>
      <c r="D36">
        <v>1</v>
      </c>
      <c r="E36">
        <v>3</v>
      </c>
      <c r="K36" t="s">
        <v>559</v>
      </c>
      <c r="M36" t="s">
        <v>488</v>
      </c>
      <c r="O36" t="s">
        <v>508</v>
      </c>
      <c r="P36" t="s">
        <v>567</v>
      </c>
      <c r="Q36" t="s">
        <v>488</v>
      </c>
    </row>
    <row r="37" spans="1:18" x14ac:dyDescent="0.3">
      <c r="A37" t="s">
        <v>500</v>
      </c>
      <c r="B37" t="s">
        <v>973</v>
      </c>
      <c r="C37">
        <v>2</v>
      </c>
      <c r="D37">
        <v>2</v>
      </c>
      <c r="E37">
        <v>1</v>
      </c>
      <c r="K37" t="s">
        <v>559</v>
      </c>
      <c r="M37" t="s">
        <v>488</v>
      </c>
      <c r="O37" t="s">
        <v>509</v>
      </c>
      <c r="P37" t="s">
        <v>562</v>
      </c>
      <c r="Q37" t="s">
        <v>488</v>
      </c>
    </row>
    <row r="38" spans="1:18" x14ac:dyDescent="0.3">
      <c r="A38" t="s">
        <v>974</v>
      </c>
      <c r="B38" t="s">
        <v>975</v>
      </c>
      <c r="C38">
        <v>2</v>
      </c>
      <c r="D38">
        <v>2</v>
      </c>
      <c r="E38">
        <v>1</v>
      </c>
      <c r="K38" t="s">
        <v>613</v>
      </c>
      <c r="M38" t="s">
        <v>488</v>
      </c>
      <c r="O38" t="s">
        <v>511</v>
      </c>
      <c r="P38" t="s">
        <v>562</v>
      </c>
      <c r="Q38" t="s">
        <v>488</v>
      </c>
    </row>
    <row r="39" spans="1:18" x14ac:dyDescent="0.3">
      <c r="A39" t="s">
        <v>976</v>
      </c>
      <c r="B39" t="s">
        <v>59</v>
      </c>
      <c r="C39">
        <v>2</v>
      </c>
      <c r="D39">
        <v>1</v>
      </c>
      <c r="E39">
        <v>1</v>
      </c>
      <c r="K39" t="s">
        <v>584</v>
      </c>
      <c r="M39" t="s">
        <v>488</v>
      </c>
      <c r="O39" t="s">
        <v>967</v>
      </c>
      <c r="P39" t="s">
        <v>552</v>
      </c>
      <c r="Q39" t="s">
        <v>492</v>
      </c>
      <c r="R39">
        <v>16</v>
      </c>
    </row>
    <row r="40" spans="1:18" x14ac:dyDescent="0.3">
      <c r="A40" t="s">
        <v>977</v>
      </c>
      <c r="B40" t="s">
        <v>253</v>
      </c>
      <c r="C40">
        <v>4</v>
      </c>
      <c r="D40">
        <v>2</v>
      </c>
      <c r="E40">
        <v>1</v>
      </c>
      <c r="K40" t="s">
        <v>584</v>
      </c>
      <c r="M40" t="s">
        <v>488</v>
      </c>
      <c r="O40" t="s">
        <v>969</v>
      </c>
      <c r="P40" t="s">
        <v>560</v>
      </c>
      <c r="Q40" t="s">
        <v>488</v>
      </c>
      <c r="R40">
        <v>10</v>
      </c>
    </row>
    <row r="41" spans="1:18" x14ac:dyDescent="0.3">
      <c r="A41" t="s">
        <v>978</v>
      </c>
      <c r="B41" t="s">
        <v>979</v>
      </c>
      <c r="C41">
        <v>4</v>
      </c>
      <c r="D41">
        <v>2</v>
      </c>
      <c r="E41">
        <v>1</v>
      </c>
      <c r="K41" t="s">
        <v>580</v>
      </c>
      <c r="M41" t="s">
        <v>488</v>
      </c>
      <c r="O41" t="s">
        <v>971</v>
      </c>
      <c r="P41" t="s">
        <v>560</v>
      </c>
      <c r="Q41" t="s">
        <v>488</v>
      </c>
      <c r="R41">
        <v>10</v>
      </c>
    </row>
    <row r="42" spans="1:18" x14ac:dyDescent="0.3">
      <c r="A42" t="s">
        <v>980</v>
      </c>
      <c r="B42" t="s">
        <v>236</v>
      </c>
      <c r="C42">
        <v>3</v>
      </c>
      <c r="D42">
        <v>2</v>
      </c>
      <c r="E42">
        <v>1</v>
      </c>
      <c r="K42" t="s">
        <v>580</v>
      </c>
      <c r="M42" t="s">
        <v>488</v>
      </c>
      <c r="O42" t="s">
        <v>500</v>
      </c>
      <c r="P42" t="s">
        <v>560</v>
      </c>
      <c r="Q42" t="s">
        <v>488</v>
      </c>
      <c r="R42">
        <v>10</v>
      </c>
    </row>
    <row r="43" spans="1:18" x14ac:dyDescent="0.3">
      <c r="A43" t="s">
        <v>981</v>
      </c>
      <c r="B43" t="s">
        <v>982</v>
      </c>
      <c r="C43">
        <v>3</v>
      </c>
      <c r="D43">
        <v>2</v>
      </c>
      <c r="E43">
        <v>1</v>
      </c>
      <c r="M43" t="s">
        <v>488</v>
      </c>
      <c r="O43" t="s">
        <v>974</v>
      </c>
      <c r="P43" t="s">
        <v>573</v>
      </c>
      <c r="Q43" t="s">
        <v>488</v>
      </c>
    </row>
    <row r="44" spans="1:18" x14ac:dyDescent="0.3">
      <c r="A44" t="s">
        <v>983</v>
      </c>
      <c r="B44" t="s">
        <v>984</v>
      </c>
      <c r="C44">
        <v>4</v>
      </c>
      <c r="D44">
        <v>2</v>
      </c>
      <c r="E44">
        <v>3</v>
      </c>
      <c r="K44" t="s">
        <v>564</v>
      </c>
      <c r="M44" t="s">
        <v>488</v>
      </c>
      <c r="O44" t="s">
        <v>976</v>
      </c>
      <c r="P44" t="s">
        <v>570</v>
      </c>
      <c r="Q44" t="s">
        <v>488</v>
      </c>
    </row>
    <row r="45" spans="1:18" x14ac:dyDescent="0.3">
      <c r="A45" t="s">
        <v>154</v>
      </c>
      <c r="B45" t="s">
        <v>985</v>
      </c>
      <c r="C45">
        <v>0</v>
      </c>
      <c r="D45">
        <v>2</v>
      </c>
      <c r="E45">
        <v>1</v>
      </c>
      <c r="M45" t="s">
        <v>488</v>
      </c>
      <c r="O45" t="s">
        <v>977</v>
      </c>
      <c r="P45" t="s">
        <v>570</v>
      </c>
      <c r="Q45" t="s">
        <v>488</v>
      </c>
    </row>
    <row r="46" spans="1:18" x14ac:dyDescent="0.3">
      <c r="A46" t="s">
        <v>986</v>
      </c>
      <c r="B46" t="s">
        <v>987</v>
      </c>
      <c r="C46">
        <v>2</v>
      </c>
      <c r="D46">
        <v>1</v>
      </c>
      <c r="E46">
        <v>1</v>
      </c>
      <c r="M46" t="s">
        <v>488</v>
      </c>
      <c r="O46" t="s">
        <v>978</v>
      </c>
      <c r="P46" t="s">
        <v>570</v>
      </c>
      <c r="Q46" t="s">
        <v>488</v>
      </c>
    </row>
    <row r="47" spans="1:18" x14ac:dyDescent="0.3">
      <c r="A47" t="s">
        <v>988</v>
      </c>
      <c r="B47" t="s">
        <v>989</v>
      </c>
      <c r="C47">
        <v>2</v>
      </c>
      <c r="D47">
        <v>1</v>
      </c>
      <c r="E47">
        <v>1</v>
      </c>
      <c r="M47" t="s">
        <v>488</v>
      </c>
      <c r="O47" t="s">
        <v>980</v>
      </c>
      <c r="P47" t="s">
        <v>570</v>
      </c>
      <c r="Q47" t="s">
        <v>488</v>
      </c>
    </row>
    <row r="48" spans="1:18" x14ac:dyDescent="0.3">
      <c r="A48" t="s">
        <v>508</v>
      </c>
      <c r="B48" t="s">
        <v>990</v>
      </c>
      <c r="C48">
        <v>2</v>
      </c>
      <c r="D48">
        <v>1</v>
      </c>
      <c r="E48">
        <v>1</v>
      </c>
      <c r="M48" t="s">
        <v>488</v>
      </c>
      <c r="O48" t="s">
        <v>981</v>
      </c>
      <c r="P48" t="s">
        <v>567</v>
      </c>
      <c r="Q48" t="s">
        <v>488</v>
      </c>
    </row>
    <row r="49" spans="1:18" x14ac:dyDescent="0.3">
      <c r="A49" t="s">
        <v>991</v>
      </c>
      <c r="B49" t="s">
        <v>992</v>
      </c>
      <c r="C49">
        <v>2</v>
      </c>
      <c r="D49">
        <v>2</v>
      </c>
      <c r="E49">
        <v>1</v>
      </c>
      <c r="K49" t="s">
        <v>604</v>
      </c>
      <c r="M49" t="s">
        <v>488</v>
      </c>
      <c r="O49" t="s">
        <v>983</v>
      </c>
      <c r="P49" t="s">
        <v>560</v>
      </c>
      <c r="Q49" t="s">
        <v>488</v>
      </c>
      <c r="R49">
        <v>10</v>
      </c>
    </row>
    <row r="50" spans="1:18" x14ac:dyDescent="0.3">
      <c r="A50" t="s">
        <v>993</v>
      </c>
      <c r="B50" t="s">
        <v>994</v>
      </c>
      <c r="C50">
        <v>2</v>
      </c>
      <c r="D50">
        <v>2</v>
      </c>
      <c r="E50">
        <v>1</v>
      </c>
      <c r="K50" t="s">
        <v>604</v>
      </c>
      <c r="M50" t="s">
        <v>488</v>
      </c>
      <c r="O50" t="s">
        <v>154</v>
      </c>
    </row>
    <row r="51" spans="1:18" x14ac:dyDescent="0.3">
      <c r="A51" t="s">
        <v>995</v>
      </c>
      <c r="B51" t="s">
        <v>996</v>
      </c>
      <c r="C51">
        <v>2</v>
      </c>
      <c r="D51">
        <v>2</v>
      </c>
      <c r="E51">
        <v>1</v>
      </c>
      <c r="K51" t="s">
        <v>604</v>
      </c>
      <c r="M51" t="s">
        <v>488</v>
      </c>
      <c r="O51" t="s">
        <v>986</v>
      </c>
    </row>
    <row r="52" spans="1:18" x14ac:dyDescent="0.3">
      <c r="A52" t="s">
        <v>997</v>
      </c>
      <c r="B52" t="s">
        <v>998</v>
      </c>
      <c r="C52">
        <v>2</v>
      </c>
      <c r="D52">
        <v>2</v>
      </c>
      <c r="E52">
        <v>1</v>
      </c>
      <c r="K52" t="s">
        <v>604</v>
      </c>
      <c r="M52" t="s">
        <v>488</v>
      </c>
      <c r="O52" t="s">
        <v>988</v>
      </c>
    </row>
    <row r="53" spans="1:18" x14ac:dyDescent="0.3">
      <c r="A53" t="s">
        <v>999</v>
      </c>
      <c r="B53" t="s">
        <v>1000</v>
      </c>
      <c r="C53">
        <v>2</v>
      </c>
      <c r="D53">
        <v>2</v>
      </c>
      <c r="E53">
        <v>1</v>
      </c>
      <c r="K53" t="s">
        <v>604</v>
      </c>
      <c r="M53" t="s">
        <v>488</v>
      </c>
      <c r="O53" t="s">
        <v>991</v>
      </c>
    </row>
    <row r="54" spans="1:18" x14ac:dyDescent="0.3">
      <c r="A54" t="s">
        <v>1001</v>
      </c>
      <c r="B54" t="s">
        <v>1002</v>
      </c>
      <c r="C54">
        <v>2</v>
      </c>
      <c r="D54">
        <v>2</v>
      </c>
      <c r="E54">
        <v>1</v>
      </c>
      <c r="K54" t="s">
        <v>604</v>
      </c>
      <c r="M54" t="s">
        <v>488</v>
      </c>
      <c r="O54" t="s">
        <v>993</v>
      </c>
    </row>
    <row r="55" spans="1:18" x14ac:dyDescent="0.3">
      <c r="A55" t="s">
        <v>1003</v>
      </c>
      <c r="B55" t="s">
        <v>1004</v>
      </c>
      <c r="C55">
        <v>2</v>
      </c>
      <c r="D55">
        <v>2</v>
      </c>
      <c r="E55">
        <v>1</v>
      </c>
      <c r="K55" t="s">
        <v>604</v>
      </c>
      <c r="M55" t="s">
        <v>488</v>
      </c>
      <c r="O55" t="s">
        <v>995</v>
      </c>
    </row>
    <row r="56" spans="1:18" x14ac:dyDescent="0.3">
      <c r="A56" t="s">
        <v>1005</v>
      </c>
      <c r="B56" t="s">
        <v>1006</v>
      </c>
      <c r="C56">
        <v>0</v>
      </c>
      <c r="D56">
        <v>2</v>
      </c>
      <c r="E56">
        <v>1</v>
      </c>
      <c r="M56" t="s">
        <v>488</v>
      </c>
      <c r="O56" t="s">
        <v>997</v>
      </c>
    </row>
    <row r="57" spans="1:18" x14ac:dyDescent="0.3">
      <c r="A57" t="s">
        <v>1007</v>
      </c>
      <c r="B57" t="s">
        <v>1008</v>
      </c>
      <c r="C57">
        <v>2</v>
      </c>
      <c r="D57">
        <v>1</v>
      </c>
      <c r="E57">
        <v>1</v>
      </c>
      <c r="K57" t="s">
        <v>576</v>
      </c>
      <c r="M57" t="s">
        <v>488</v>
      </c>
      <c r="O57" t="s">
        <v>999</v>
      </c>
    </row>
    <row r="58" spans="1:18" x14ac:dyDescent="0.3">
      <c r="A58" t="s">
        <v>1009</v>
      </c>
      <c r="B58" t="s">
        <v>1010</v>
      </c>
      <c r="C58">
        <v>3</v>
      </c>
      <c r="D58">
        <v>1</v>
      </c>
      <c r="E58">
        <v>1</v>
      </c>
      <c r="M58" t="s">
        <v>488</v>
      </c>
      <c r="O58" t="s">
        <v>1001</v>
      </c>
    </row>
    <row r="59" spans="1:18" x14ac:dyDescent="0.3">
      <c r="A59" t="s">
        <v>1011</v>
      </c>
      <c r="B59" t="s">
        <v>1012</v>
      </c>
      <c r="C59">
        <v>3</v>
      </c>
      <c r="D59">
        <v>2</v>
      </c>
      <c r="E59">
        <v>1</v>
      </c>
      <c r="K59" t="s">
        <v>608</v>
      </c>
      <c r="M59" t="s">
        <v>488</v>
      </c>
      <c r="O59" t="s">
        <v>1003</v>
      </c>
    </row>
    <row r="60" spans="1:18" x14ac:dyDescent="0.3">
      <c r="A60" t="s">
        <v>1013</v>
      </c>
      <c r="B60" t="s">
        <v>1014</v>
      </c>
      <c r="C60">
        <v>3</v>
      </c>
      <c r="D60">
        <v>2</v>
      </c>
      <c r="E60">
        <v>1</v>
      </c>
      <c r="K60" t="s">
        <v>608</v>
      </c>
      <c r="M60" t="s">
        <v>488</v>
      </c>
      <c r="O60" t="s">
        <v>1005</v>
      </c>
    </row>
    <row r="61" spans="1:18" x14ac:dyDescent="0.3">
      <c r="A61" t="s">
        <v>1015</v>
      </c>
      <c r="B61" t="s">
        <v>1016</v>
      </c>
      <c r="C61">
        <v>3</v>
      </c>
      <c r="D61">
        <v>1</v>
      </c>
      <c r="E61">
        <v>1</v>
      </c>
      <c r="K61" t="s">
        <v>565</v>
      </c>
      <c r="M61" t="s">
        <v>488</v>
      </c>
      <c r="O61" t="s">
        <v>1007</v>
      </c>
    </row>
    <row r="62" spans="1:18" x14ac:dyDescent="0.3">
      <c r="A62" t="s">
        <v>1017</v>
      </c>
      <c r="B62" t="s">
        <v>1018</v>
      </c>
      <c r="C62">
        <v>3</v>
      </c>
      <c r="D62">
        <v>2</v>
      </c>
      <c r="E62">
        <v>1</v>
      </c>
      <c r="K62" t="s">
        <v>576</v>
      </c>
      <c r="M62" t="s">
        <v>488</v>
      </c>
      <c r="O62" t="s">
        <v>1009</v>
      </c>
    </row>
    <row r="63" spans="1:18" x14ac:dyDescent="0.3">
      <c r="A63" t="s">
        <v>1019</v>
      </c>
      <c r="B63" t="s">
        <v>1020</v>
      </c>
      <c r="C63">
        <v>3</v>
      </c>
      <c r="D63">
        <v>2</v>
      </c>
      <c r="E63">
        <v>1</v>
      </c>
      <c r="K63" t="s">
        <v>576</v>
      </c>
      <c r="M63" t="s">
        <v>488</v>
      </c>
      <c r="O63" t="s">
        <v>1011</v>
      </c>
      <c r="P63" t="s">
        <v>570</v>
      </c>
      <c r="Q63" t="s">
        <v>488</v>
      </c>
    </row>
    <row r="64" spans="1:18" x14ac:dyDescent="0.3">
      <c r="A64" t="s">
        <v>1021</v>
      </c>
      <c r="B64" t="s">
        <v>1022</v>
      </c>
      <c r="C64">
        <v>3</v>
      </c>
      <c r="D64">
        <v>2</v>
      </c>
      <c r="E64">
        <v>1</v>
      </c>
      <c r="K64" t="s">
        <v>576</v>
      </c>
      <c r="M64" t="s">
        <v>488</v>
      </c>
      <c r="O64" t="s">
        <v>1013</v>
      </c>
      <c r="P64" t="s">
        <v>570</v>
      </c>
      <c r="Q64" t="s">
        <v>488</v>
      </c>
    </row>
    <row r="65" spans="1:18" x14ac:dyDescent="0.3">
      <c r="A65" t="s">
        <v>1023</v>
      </c>
      <c r="B65" t="s">
        <v>1024</v>
      </c>
      <c r="C65">
        <v>3</v>
      </c>
      <c r="D65">
        <v>2</v>
      </c>
      <c r="E65">
        <v>1</v>
      </c>
      <c r="K65" t="s">
        <v>581</v>
      </c>
      <c r="M65" t="s">
        <v>488</v>
      </c>
      <c r="O65" t="s">
        <v>1015</v>
      </c>
      <c r="P65" t="s">
        <v>552</v>
      </c>
      <c r="Q65" t="s">
        <v>492</v>
      </c>
      <c r="R65">
        <v>16</v>
      </c>
    </row>
    <row r="66" spans="1:18" x14ac:dyDescent="0.3">
      <c r="A66" t="s">
        <v>1025</v>
      </c>
      <c r="B66" t="s">
        <v>1026</v>
      </c>
      <c r="C66">
        <v>3</v>
      </c>
      <c r="D66">
        <v>2</v>
      </c>
      <c r="E66">
        <v>1</v>
      </c>
      <c r="K66" t="s">
        <v>604</v>
      </c>
      <c r="M66" t="s">
        <v>488</v>
      </c>
      <c r="O66" t="s">
        <v>1017</v>
      </c>
    </row>
    <row r="67" spans="1:18" x14ac:dyDescent="0.3">
      <c r="A67" t="s">
        <v>1027</v>
      </c>
      <c r="B67" t="s">
        <v>1028</v>
      </c>
      <c r="C67">
        <v>3</v>
      </c>
      <c r="D67">
        <v>1</v>
      </c>
      <c r="E67">
        <v>1</v>
      </c>
      <c r="K67" t="s">
        <v>581</v>
      </c>
      <c r="M67" t="s">
        <v>488</v>
      </c>
      <c r="O67" t="s">
        <v>1019</v>
      </c>
    </row>
    <row r="68" spans="1:18" x14ac:dyDescent="0.3">
      <c r="A68" t="s">
        <v>1029</v>
      </c>
      <c r="B68" t="s">
        <v>1030</v>
      </c>
      <c r="C68">
        <v>3</v>
      </c>
      <c r="D68">
        <v>1</v>
      </c>
      <c r="E68">
        <v>1</v>
      </c>
      <c r="K68" t="s">
        <v>608</v>
      </c>
      <c r="M68" t="s">
        <v>488</v>
      </c>
      <c r="O68" t="s">
        <v>1021</v>
      </c>
    </row>
    <row r="69" spans="1:18" x14ac:dyDescent="0.3">
      <c r="A69" t="s">
        <v>1031</v>
      </c>
      <c r="B69" t="s">
        <v>1032</v>
      </c>
      <c r="C69">
        <v>3</v>
      </c>
      <c r="D69">
        <v>1</v>
      </c>
      <c r="E69">
        <v>1</v>
      </c>
      <c r="K69" t="s">
        <v>604</v>
      </c>
      <c r="M69" t="s">
        <v>488</v>
      </c>
      <c r="O69" t="s">
        <v>1023</v>
      </c>
    </row>
    <row r="70" spans="1:18" x14ac:dyDescent="0.3">
      <c r="A70" t="s">
        <v>1033</v>
      </c>
      <c r="B70" t="s">
        <v>965</v>
      </c>
      <c r="C70">
        <v>4</v>
      </c>
      <c r="D70">
        <v>1</v>
      </c>
      <c r="E70">
        <v>1</v>
      </c>
      <c r="M70" t="s">
        <v>488</v>
      </c>
      <c r="O70" t="s">
        <v>1025</v>
      </c>
    </row>
    <row r="71" spans="1:18" x14ac:dyDescent="0.3">
      <c r="A71" t="s">
        <v>504</v>
      </c>
      <c r="B71" t="s">
        <v>963</v>
      </c>
      <c r="C71">
        <v>2</v>
      </c>
      <c r="D71">
        <v>1</v>
      </c>
      <c r="E71">
        <v>1</v>
      </c>
      <c r="K71" t="s">
        <v>580</v>
      </c>
      <c r="M71" t="s">
        <v>488</v>
      </c>
      <c r="O71" t="s">
        <v>1027</v>
      </c>
    </row>
    <row r="72" spans="1:18" x14ac:dyDescent="0.3">
      <c r="A72" t="s">
        <v>1034</v>
      </c>
      <c r="B72" t="s">
        <v>1035</v>
      </c>
      <c r="C72">
        <v>2</v>
      </c>
      <c r="D72">
        <v>2</v>
      </c>
      <c r="E72">
        <v>1</v>
      </c>
      <c r="K72" t="s">
        <v>604</v>
      </c>
      <c r="M72" t="s">
        <v>488</v>
      </c>
      <c r="O72" t="s">
        <v>1029</v>
      </c>
    </row>
    <row r="73" spans="1:18" x14ac:dyDescent="0.3">
      <c r="A73" t="s">
        <v>1036</v>
      </c>
      <c r="B73" t="s">
        <v>1037</v>
      </c>
      <c r="C73">
        <v>2</v>
      </c>
      <c r="D73">
        <v>2</v>
      </c>
      <c r="E73">
        <v>1</v>
      </c>
      <c r="K73" t="s">
        <v>604</v>
      </c>
      <c r="M73" t="s">
        <v>488</v>
      </c>
      <c r="O73" t="s">
        <v>1031</v>
      </c>
    </row>
    <row r="74" spans="1:18" x14ac:dyDescent="0.3">
      <c r="A74" t="s">
        <v>1038</v>
      </c>
      <c r="B74" t="s">
        <v>1039</v>
      </c>
      <c r="C74">
        <v>2</v>
      </c>
      <c r="D74">
        <v>2</v>
      </c>
      <c r="E74">
        <v>1</v>
      </c>
      <c r="K74" t="s">
        <v>604</v>
      </c>
      <c r="M74" t="s">
        <v>488</v>
      </c>
      <c r="O74" t="s">
        <v>1033</v>
      </c>
    </row>
    <row r="75" spans="1:18" x14ac:dyDescent="0.3">
      <c r="A75" t="s">
        <v>766</v>
      </c>
      <c r="B75" t="s">
        <v>1040</v>
      </c>
      <c r="C75">
        <v>2</v>
      </c>
      <c r="D75">
        <v>2</v>
      </c>
      <c r="E75">
        <v>1</v>
      </c>
      <c r="K75" t="s">
        <v>604</v>
      </c>
      <c r="M75" t="s">
        <v>488</v>
      </c>
      <c r="O75" t="s">
        <v>1034</v>
      </c>
    </row>
    <row r="76" spans="1:18" x14ac:dyDescent="0.3">
      <c r="A76" t="s">
        <v>1041</v>
      </c>
      <c r="B76" t="s">
        <v>1024</v>
      </c>
      <c r="C76">
        <v>3</v>
      </c>
      <c r="D76">
        <v>2</v>
      </c>
      <c r="E76">
        <v>1</v>
      </c>
      <c r="K76" t="s">
        <v>581</v>
      </c>
      <c r="M76" t="s">
        <v>488</v>
      </c>
      <c r="O76" t="s">
        <v>1036</v>
      </c>
    </row>
    <row r="77" spans="1:18" x14ac:dyDescent="0.3">
      <c r="A77" t="s">
        <v>1042</v>
      </c>
      <c r="B77" t="s">
        <v>1043</v>
      </c>
      <c r="M77" t="s">
        <v>488</v>
      </c>
      <c r="O77" t="s">
        <v>1038</v>
      </c>
    </row>
    <row r="78" spans="1:18" x14ac:dyDescent="0.3">
      <c r="A78" t="s">
        <v>1044</v>
      </c>
      <c r="B78" t="s">
        <v>1045</v>
      </c>
      <c r="C78">
        <v>2</v>
      </c>
      <c r="D78">
        <v>2</v>
      </c>
      <c r="E78">
        <v>1</v>
      </c>
      <c r="M78" t="s">
        <v>488</v>
      </c>
      <c r="O78" t="s">
        <v>766</v>
      </c>
    </row>
    <row r="79" spans="1:18" x14ac:dyDescent="0.3">
      <c r="A79" t="s">
        <v>1046</v>
      </c>
      <c r="B79" t="s">
        <v>1047</v>
      </c>
      <c r="C79">
        <v>3</v>
      </c>
      <c r="D79">
        <v>1</v>
      </c>
      <c r="E79">
        <v>1</v>
      </c>
      <c r="K79" t="s">
        <v>608</v>
      </c>
      <c r="M79" t="s">
        <v>488</v>
      </c>
      <c r="O79" t="s">
        <v>1041</v>
      </c>
    </row>
    <row r="80" spans="1:18" x14ac:dyDescent="0.3">
      <c r="A80" t="s">
        <v>1048</v>
      </c>
      <c r="B80" t="s">
        <v>1049</v>
      </c>
      <c r="C80">
        <v>0</v>
      </c>
      <c r="D80">
        <v>2</v>
      </c>
      <c r="E80">
        <v>1</v>
      </c>
      <c r="M80" t="s">
        <v>488</v>
      </c>
      <c r="O80" t="s">
        <v>1042</v>
      </c>
    </row>
    <row r="81" spans="1:15" x14ac:dyDescent="0.3">
      <c r="A81" t="s">
        <v>1050</v>
      </c>
      <c r="B81" t="s">
        <v>1051</v>
      </c>
      <c r="C81">
        <v>0</v>
      </c>
      <c r="D81">
        <v>2</v>
      </c>
      <c r="E81">
        <v>1</v>
      </c>
      <c r="M81" t="s">
        <v>488</v>
      </c>
      <c r="O81" t="s">
        <v>1044</v>
      </c>
    </row>
    <row r="82" spans="1:15" x14ac:dyDescent="0.3">
      <c r="A82" t="s">
        <v>1052</v>
      </c>
      <c r="B82" t="s">
        <v>1053</v>
      </c>
      <c r="C82">
        <v>0</v>
      </c>
      <c r="D82">
        <v>2</v>
      </c>
      <c r="E82">
        <v>1</v>
      </c>
      <c r="K82" t="s">
        <v>576</v>
      </c>
      <c r="M82" t="s">
        <v>488</v>
      </c>
      <c r="O82" t="s">
        <v>1046</v>
      </c>
    </row>
    <row r="83" spans="1:15" x14ac:dyDescent="0.3">
      <c r="A83" t="s">
        <v>1054</v>
      </c>
      <c r="B83" t="s">
        <v>1055</v>
      </c>
      <c r="C83">
        <v>0</v>
      </c>
      <c r="D83">
        <v>2</v>
      </c>
      <c r="E83">
        <v>1</v>
      </c>
      <c r="M83" t="s">
        <v>488</v>
      </c>
      <c r="O83" t="s">
        <v>1048</v>
      </c>
    </row>
    <row r="84" spans="1:15" x14ac:dyDescent="0.3">
      <c r="A84" t="s">
        <v>1056</v>
      </c>
      <c r="B84" t="s">
        <v>1057</v>
      </c>
      <c r="C84">
        <v>0</v>
      </c>
      <c r="D84">
        <v>2</v>
      </c>
      <c r="E84">
        <v>1</v>
      </c>
      <c r="M84" t="s">
        <v>488</v>
      </c>
      <c r="O84" t="s">
        <v>1050</v>
      </c>
    </row>
    <row r="85" spans="1:15" x14ac:dyDescent="0.3">
      <c r="A85" t="s">
        <v>1058</v>
      </c>
      <c r="B85" t="s">
        <v>1059</v>
      </c>
      <c r="C85">
        <v>2</v>
      </c>
      <c r="D85">
        <v>1</v>
      </c>
      <c r="E85">
        <v>1</v>
      </c>
      <c r="K85" t="s">
        <v>584</v>
      </c>
      <c r="M85" t="s">
        <v>488</v>
      </c>
      <c r="O85" t="s">
        <v>1052</v>
      </c>
    </row>
    <row r="86" spans="1:15" x14ac:dyDescent="0.3">
      <c r="A86" t="s">
        <v>1060</v>
      </c>
      <c r="B86" t="s">
        <v>1061</v>
      </c>
      <c r="C86">
        <v>3</v>
      </c>
      <c r="D86">
        <v>1</v>
      </c>
      <c r="E86">
        <v>1</v>
      </c>
      <c r="K86" t="s">
        <v>584</v>
      </c>
      <c r="M86" t="s">
        <v>488</v>
      </c>
      <c r="O86" t="s">
        <v>1054</v>
      </c>
    </row>
    <row r="87" spans="1:15" x14ac:dyDescent="0.3">
      <c r="A87" t="s">
        <v>1062</v>
      </c>
      <c r="B87" t="s">
        <v>1061</v>
      </c>
      <c r="C87">
        <v>3</v>
      </c>
      <c r="D87">
        <v>1</v>
      </c>
      <c r="E87">
        <v>1</v>
      </c>
      <c r="K87" t="s">
        <v>584</v>
      </c>
      <c r="M87" t="s">
        <v>488</v>
      </c>
      <c r="O87" t="s">
        <v>1056</v>
      </c>
    </row>
    <row r="88" spans="1:15" x14ac:dyDescent="0.3">
      <c r="A88" t="s">
        <v>1063</v>
      </c>
      <c r="B88" t="s">
        <v>1061</v>
      </c>
      <c r="C88">
        <v>3</v>
      </c>
      <c r="D88">
        <v>1</v>
      </c>
      <c r="E88">
        <v>1</v>
      </c>
      <c r="K88" t="s">
        <v>584</v>
      </c>
      <c r="M88" t="s">
        <v>488</v>
      </c>
      <c r="O88" t="s">
        <v>1058</v>
      </c>
    </row>
    <row r="89" spans="1:15" x14ac:dyDescent="0.3">
      <c r="A89" t="s">
        <v>1064</v>
      </c>
      <c r="B89" t="s">
        <v>1065</v>
      </c>
      <c r="K89" t="s">
        <v>595</v>
      </c>
      <c r="M89" t="s">
        <v>492</v>
      </c>
      <c r="O89" t="s">
        <v>1060</v>
      </c>
    </row>
    <row r="90" spans="1:15" x14ac:dyDescent="0.3">
      <c r="A90" t="s">
        <v>1066</v>
      </c>
      <c r="B90" t="s">
        <v>1067</v>
      </c>
      <c r="K90" t="s">
        <v>595</v>
      </c>
      <c r="M90" t="s">
        <v>492</v>
      </c>
      <c r="O90" t="s">
        <v>1062</v>
      </c>
    </row>
    <row r="91" spans="1:15" x14ac:dyDescent="0.3">
      <c r="A91" t="s">
        <v>748</v>
      </c>
      <c r="B91" t="s">
        <v>1068</v>
      </c>
      <c r="C91">
        <v>0</v>
      </c>
      <c r="D91">
        <v>1</v>
      </c>
      <c r="E91">
        <v>1</v>
      </c>
      <c r="M91" t="s">
        <v>488</v>
      </c>
      <c r="O91" t="s">
        <v>1063</v>
      </c>
    </row>
    <row r="92" spans="1:15" x14ac:dyDescent="0.3">
      <c r="A92" t="s">
        <v>746</v>
      </c>
      <c r="B92" t="s">
        <v>1069</v>
      </c>
      <c r="C92">
        <v>0</v>
      </c>
      <c r="D92">
        <v>1</v>
      </c>
      <c r="E92">
        <v>1</v>
      </c>
      <c r="M92" t="s">
        <v>488</v>
      </c>
      <c r="O92" t="s">
        <v>1064</v>
      </c>
    </row>
    <row r="93" spans="1:15" x14ac:dyDescent="0.3">
      <c r="O93" t="s">
        <v>1066</v>
      </c>
    </row>
    <row r="94" spans="1:15" x14ac:dyDescent="0.3">
      <c r="O94" t="s">
        <v>748</v>
      </c>
    </row>
    <row r="95" spans="1:15" x14ac:dyDescent="0.3">
      <c r="O95" t="s">
        <v>746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F252F-6068-4837-978A-37995095CADE}">
  <sheetPr>
    <tabColor rgb="FFFFF2CC"/>
  </sheetPr>
  <dimension ref="A1:BX26"/>
  <sheetViews>
    <sheetView workbookViewId="0"/>
  </sheetViews>
  <sheetFormatPr defaultColWidth="11.77734375" defaultRowHeight="14.4" outlineLevelCol="1" x14ac:dyDescent="0.3"/>
  <cols>
    <col min="32" max="75" width="0" hidden="1" customWidth="1" outlineLevel="1"/>
    <col min="76" max="76" width="11.77734375" collapsed="1"/>
  </cols>
  <sheetData>
    <row r="1" spans="1:75" s="81" customFormat="1" ht="15.6" x14ac:dyDescent="0.3">
      <c r="B1" s="138" t="s">
        <v>2388</v>
      </c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</row>
    <row r="2" spans="1:75" s="81" customFormat="1" ht="15" customHeight="1" x14ac:dyDescent="0.3">
      <c r="B2" s="140" t="s">
        <v>2389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</row>
    <row r="3" spans="1:75" s="81" customFormat="1" ht="15" customHeight="1" x14ac:dyDescent="0.3">
      <c r="B3" s="140" t="s">
        <v>2390</v>
      </c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</row>
    <row r="4" spans="1:75" s="81" customFormat="1" ht="15" customHeight="1" x14ac:dyDescent="0.3">
      <c r="B4" s="140" t="s">
        <v>2391</v>
      </c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</row>
    <row r="5" spans="1:75" s="81" customFormat="1" ht="30" customHeight="1" x14ac:dyDescent="0.3">
      <c r="B5" s="140" t="s">
        <v>2392</v>
      </c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</row>
    <row r="6" spans="1:75" s="81" customFormat="1" ht="30" customHeight="1" x14ac:dyDescent="0.3">
      <c r="B6" s="140" t="s">
        <v>2393</v>
      </c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</row>
    <row r="7" spans="1:75" s="81" customFormat="1" x14ac:dyDescent="0.3"/>
    <row r="8" spans="1:75" x14ac:dyDescent="0.3">
      <c r="A8" s="132" t="s">
        <v>1784</v>
      </c>
      <c r="G8" s="132" t="s">
        <v>1785</v>
      </c>
      <c r="U8" s="132" t="s">
        <v>1786</v>
      </c>
    </row>
    <row r="9" spans="1:75" ht="60" customHeight="1" x14ac:dyDescent="0.3">
      <c r="A9" s="130" t="s">
        <v>4</v>
      </c>
      <c r="B9" s="130" t="s">
        <v>1084</v>
      </c>
      <c r="C9" s="130" t="s">
        <v>1085</v>
      </c>
      <c r="D9" s="130" t="s">
        <v>1086</v>
      </c>
      <c r="E9" s="130" t="s">
        <v>1087</v>
      </c>
      <c r="F9" s="130" t="s">
        <v>1088</v>
      </c>
      <c r="G9" s="130" t="s">
        <v>1089</v>
      </c>
      <c r="H9" s="130" t="s">
        <v>1090</v>
      </c>
      <c r="I9" s="130" t="s">
        <v>1091</v>
      </c>
      <c r="J9" s="130" t="s">
        <v>1092</v>
      </c>
      <c r="K9" s="130" t="s">
        <v>1093</v>
      </c>
      <c r="L9" s="130" t="s">
        <v>1094</v>
      </c>
      <c r="M9" s="130" t="s">
        <v>1095</v>
      </c>
      <c r="N9" s="130" t="s">
        <v>956</v>
      </c>
      <c r="O9" s="130" t="s">
        <v>805</v>
      </c>
      <c r="P9" s="130" t="s">
        <v>30</v>
      </c>
      <c r="Q9" s="130" t="s">
        <v>1096</v>
      </c>
      <c r="R9" s="130" t="s">
        <v>1097</v>
      </c>
      <c r="S9" s="130" t="s">
        <v>1098</v>
      </c>
      <c r="T9" s="130" t="s">
        <v>1099</v>
      </c>
      <c r="U9" s="131" t="s">
        <v>1100</v>
      </c>
      <c r="V9" s="131" t="s">
        <v>1101</v>
      </c>
      <c r="W9" s="131" t="s">
        <v>1102</v>
      </c>
      <c r="X9" s="131" t="s">
        <v>811</v>
      </c>
      <c r="Y9" s="131" t="s">
        <v>856</v>
      </c>
      <c r="Z9" s="131" t="s">
        <v>813</v>
      </c>
      <c r="AA9" s="131" t="s">
        <v>807</v>
      </c>
      <c r="AB9" s="131" t="s">
        <v>1103</v>
      </c>
      <c r="AC9" s="131" t="s">
        <v>1104</v>
      </c>
      <c r="AD9" s="131" t="s">
        <v>1105</v>
      </c>
      <c r="AE9" s="131" t="s">
        <v>1106</v>
      </c>
      <c r="AF9" s="131" t="s">
        <v>1107</v>
      </c>
      <c r="AG9" s="131" t="s">
        <v>1108</v>
      </c>
      <c r="AH9" s="131" t="s">
        <v>1109</v>
      </c>
      <c r="AI9" s="131" t="s">
        <v>1110</v>
      </c>
      <c r="AJ9" s="131" t="s">
        <v>1111</v>
      </c>
      <c r="AK9" s="131" t="s">
        <v>1112</v>
      </c>
      <c r="AL9" s="131" t="s">
        <v>1113</v>
      </c>
      <c r="AM9" s="131" t="s">
        <v>1114</v>
      </c>
      <c r="AN9" s="131" t="s">
        <v>1115</v>
      </c>
      <c r="AO9" s="131" t="s">
        <v>1116</v>
      </c>
      <c r="AP9" s="131" t="s">
        <v>1117</v>
      </c>
      <c r="AQ9" s="131" t="s">
        <v>1118</v>
      </c>
      <c r="AR9" s="131" t="s">
        <v>545</v>
      </c>
      <c r="AS9" s="131" t="s">
        <v>855</v>
      </c>
      <c r="AT9" s="131" t="s">
        <v>815</v>
      </c>
      <c r="AU9" s="131" t="s">
        <v>812</v>
      </c>
      <c r="AV9" s="131" t="s">
        <v>1119</v>
      </c>
      <c r="AW9" s="131" t="s">
        <v>1120</v>
      </c>
      <c r="AX9" s="131" t="s">
        <v>1121</v>
      </c>
      <c r="AY9" s="131" t="s">
        <v>1122</v>
      </c>
      <c r="AZ9" s="131" t="s">
        <v>1123</v>
      </c>
      <c r="BA9" s="131" t="s">
        <v>1124</v>
      </c>
      <c r="BB9" s="131" t="s">
        <v>1125</v>
      </c>
      <c r="BC9" s="131" t="s">
        <v>1126</v>
      </c>
      <c r="BD9" s="131" t="s">
        <v>1127</v>
      </c>
      <c r="BE9" s="131" t="s">
        <v>1128</v>
      </c>
      <c r="BF9" s="131" t="s">
        <v>1129</v>
      </c>
      <c r="BG9" s="131" t="s">
        <v>1130</v>
      </c>
      <c r="BH9" s="131" t="s">
        <v>1131</v>
      </c>
      <c r="BI9" s="131" t="s">
        <v>1132</v>
      </c>
      <c r="BJ9" s="131" t="s">
        <v>1133</v>
      </c>
      <c r="BK9" s="131" t="s">
        <v>1134</v>
      </c>
      <c r="BL9" s="131" t="s">
        <v>1135</v>
      </c>
      <c r="BM9" s="131" t="s">
        <v>1136</v>
      </c>
      <c r="BN9" s="131" t="s">
        <v>1137</v>
      </c>
      <c r="BO9" s="131" t="s">
        <v>1138</v>
      </c>
      <c r="BP9" s="131" t="s">
        <v>1139</v>
      </c>
      <c r="BQ9" s="131" t="s">
        <v>1140</v>
      </c>
      <c r="BR9" s="131" t="s">
        <v>1141</v>
      </c>
      <c r="BS9" s="131" t="s">
        <v>1142</v>
      </c>
      <c r="BT9" s="131" t="s">
        <v>1143</v>
      </c>
      <c r="BU9" s="131" t="s">
        <v>1144</v>
      </c>
      <c r="BV9" s="131" t="s">
        <v>1145</v>
      </c>
      <c r="BW9" s="131" t="s">
        <v>864</v>
      </c>
    </row>
    <row r="10" spans="1:75" x14ac:dyDescent="0.3">
      <c r="A10" t="s">
        <v>788</v>
      </c>
      <c r="C10">
        <v>2</v>
      </c>
      <c r="D10" t="s">
        <v>492</v>
      </c>
      <c r="E10" t="s">
        <v>845</v>
      </c>
      <c r="F10">
        <v>1</v>
      </c>
      <c r="U10" t="str" cm="1">
        <f t="array" ref="U10">IF(Щиты[[#This Row],[Питается от]]&lt;&gt;"",Щиты[[#This Row],[Питается от]],IFERROR(INDEX(Линии[Щит],Щиты[[#This Row],[_строка фидера]]),""))</f>
        <v/>
      </c>
      <c r="V10" t="str">
        <f>_xlfn.TEXTJOIN("; ",TRUE,IF(AND(Щиты[[#This Row],[Питается от (итог)]]="",Щиты[[#This Row],[Zпетли на шинах, Ом]]=""),"нет данных сети для ТКЗ: введите Iкз от сетевой организации или трансформатор",""),IF(AND(Щиты[[#This Row],[Категория фидера]]&lt;&gt;"",IFERROR(MATCH(Щиты[[#This Row],[Категория фидера]],{"III","II","I","I особая"},0),1)&lt;IFERROR(MATCH(Щиты[[#This Row],[Высшая категория нагрузки]],{"III","II","I","I особая"},0),1)),"фидер "&amp;Щиты[[#This Row],[Категория фидера]]&amp;" ниже нагрузки "&amp;Щиты[[#This Row],[Высшая категория нагрузки]],""),IF(Щиты[[#This Row],[Не обеспечено, линий]]&gt;0,"не обеспечена категория у "&amp;Щиты[[#This Row],[Не обеспечено, линий]]&amp;" линий",""),IF(AND(Щиты[[#This Row],[Питается от]]&lt;&gt;"",Щиты[[#This Row],[_строка фидера]]=""),"нет линии-фидера в «Линиях»: номер линии = имя щита или столбец «Питает щит»",""),IF(AND(ISNUMBER(Щиты[[#This Row],[ΔU до шин, %]]),Щиты[[#This Row],[ΔU до шин, %]]&gt;4),"ΔU до шин "&amp;FIXED(Щиты[[#This Row],[ΔU до шин, %]],2)&amp;" % &gt; 4 %",""))</f>
        <v>нет данных сети для ТКЗ: введите Iкз от сетевой организации или трансформатор</v>
      </c>
      <c r="W10" t="str" cm="1">
        <f t="array" ref="W10">IF(Щиты[[#This Row],[_строка фидера]]="","",INDEX(Линии[Номер линии],Щиты[[#This Row],[_строка фидера]]))</f>
        <v/>
      </c>
      <c r="X10">
        <f>SUMIFS(Щиты[_Руст собств],Щиты[Путь],"*|"&amp;Щиты[[#This Row],[Щит]]&amp;"|*")</f>
        <v>526.28100000000018</v>
      </c>
      <c r="Y10">
        <f>k_пк*Щиты[[#This Row],[Руст быт, кВт]]*Щиты[[#This Row],[Кс быт]]+Щиты[[#This Row],[Ко]]*Щиты[[#This Row],[Рр сил, кВт]]+Щиты[[#This Row],[Руст пост, кВт]]+Щиты[[#This Row],[Р отопления, кВт]]+Щиты[[#This Row],[Рр ВНГ, кВт]]</f>
        <v>276.45185120000008</v>
      </c>
      <c r="Z10">
        <f>IFERROR(MAX(MAX(Щиты[[#This Row],[P L1, кВт]],Щиты[[#This Row],[P L2, кВт]],Щиты[[#This Row],[P L3, кВт]])*Щиты[[#This Row],[Кс итог]]/((Uн_лин*1000/SQRT(3))/1000*Щиты[[#This Row],[cos φ]]),Щиты[[#This Row],[Рр, кВт]]/(SQRT(3)*Uн_лин*Щиты[[#This Row],[cos φ]])),0)</f>
        <v>426.95264585217961</v>
      </c>
      <c r="AA10">
        <f>IFERROR(SUMIFS(Щиты[_Pcos собств],Щиты[Путь],"*|"&amp;Щиты[[#This Row],[Щит]]&amp;"|*")/SUMIFS(Щиты[_P собств],Щиты[Путь],"*|"&amp;Щиты[[#This Row],[Щит]]&amp;"|*"),0.95)</f>
        <v>0.94999999999999951</v>
      </c>
      <c r="AB10" cm="1">
        <f t="array" ref="AB10">SUMPRODUCT(--ISNUMBER(SEARCH("|"&amp;Щиты[Щит]&amp;"|",Щиты[[#This Row],[Путь]])),IFERROR(--Щиты[_ΔU фидера],0)+IFERROR(--Щиты[_ΔU источника],0))</f>
        <v>0</v>
      </c>
      <c r="AC10" t="str">
        <f>IF(ISNUMBER(Щиты[[#This Row],[Zпетли на шинах, Ом]]),c_min*(Uн_лин*1000/SQRT(3))/Щиты[[#This Row],[Zпетли на шинах, Ом]],"")</f>
        <v/>
      </c>
      <c r="AD10" t="str">
        <f>IF(ISNUMBER(Щиты[[#This Row],[Zmax на шинах, Ом]]),1.05*(Uн_лин*1000/SQRT(3))/Щиты[[#This Row],[Zmax на шинах, Ом]]/1000,"")</f>
        <v/>
      </c>
      <c r="AE10" t="str" cm="1">
        <f t="array" ref="AE10">_xlfn.LET(_xlpm.w,_xlfn.TEXTSPLIT(Щиты[[#This Row],[Путь]],"|"),_xlpm.names,_xlfn._xlws.FILTER(_xlpm.w,_xlpm.w&lt;&gt;""),_xlfn.REDUCE("",_xlpm.names,_xlfn.LAMBDA(_xlpm.acc,_xlpm.nm,_xlfn.LET(_xlpm.inp,N(_xlfn.XLOOKUP(_xlpm.nm,Щиты[Щит],Щиты[Вводов],1)),_xlpm.avr,LOWER(TRIM(_xlfn.XLOOKUP(_xlpm.nm,Щиты[Щит],Щиты[АВР],"нет")&amp;"")),_xlpm.own,IF(_xlpm.inp&gt;=2,IF(_xlpm.avr="да","I","II"),"III"),_xlpm.fr,_xlfn.XLOOKUP(_xlpm.nm,Щиты[Щит],Щиты[_строка фидера],""),_xlpm.bt,IF(_xlpm.fr="","",INDEX(Линии[Тип шины],_xlpm.fr)&amp;""),_xlpm.man,TRIM(_xlfn.XLOOKUP(_xlpm.nm,Щиты[Щит],Щиты[Кат. питающей линии (ручн.)],"")&amp;""),_xlpm.up,IF(_xlpm.acc="",_xlpm.man,IF(OR(_xlpm.bt="ИБП",_xlpm.bt="ДГУ"),"I особая",IF(_xlpm.bt="Одиночная","III",_xlpm.acc))),IF(_xlpm.own&lt;&gt;"III",_xlpm.own,IF(OR(_xlpm.up="I особая",_xlpm.up="I",_xlpm.up="II"),"II","III"))))))</f>
        <v>I</v>
      </c>
      <c r="AF10" t="str" cm="1">
        <f t="array" ref="AF10">_xlfn.LET(_xlpm.f,_xlfn.LAMBDA(_xlpm.x,IF(_xlpm.x="","",_xlfn.XLOOKUP(_xlpm.x,Щиты[Щит],Щиты[Питается от (итог)],"")&amp;"")),_xlpm.п0,Щиты[[#This Row],[Щит]],_xlpm.п1,_xlpm.f(_xlpm.п0),_xlpm.п2,_xlpm.f(_xlpm.п1),_xlpm.п3,_xlpm.f(_xlpm.п2),_xlpm.п4,_xlpm.f(_xlpm.п3),_xlpm.п5,_xlpm.f(_xlpm.п4),_xlpm.п6,_xlpm.f(_xlpm.п5),_xlpm.п7,_xlpm.f(_xlpm.п6),"|"&amp;_xlfn.TEXTJOIN("|",TRUE,_xlpm.п7,_xlpm.п6,_xlpm.п5,_xlpm.п4,_xlpm.п3,_xlpm.п2,_xlpm.п1,_xlpm.п0)&amp;"|")</f>
        <v>|ГРЩ-ЖД|</v>
      </c>
      <c r="AG10" t="str">
        <f>_xlfn.TEXTBEFORE(MID(Щиты[[#This Row],[Путь]],2,999),"|")</f>
        <v>ГРЩ-ЖД</v>
      </c>
      <c r="AH10">
        <f>LEN(Щиты[[#This Row],[Путь]])-LEN(SUBSTITUTE(Щиты[[#This Row],[Путь]],"|",""))-2</f>
        <v>0</v>
      </c>
      <c r="AI10" t="str">
        <f>IFERROR(_xlfn.XMATCH(Щиты[[#This Row],[Щит]],Линии[_фидер]),"")</f>
        <v/>
      </c>
      <c r="AJ10">
        <f>SUMIFS(Линии[_Руст (без Нет)],Линии[Щит],Щиты[[#This Row],[Щит]])</f>
        <v>147.25</v>
      </c>
      <c r="AK10">
        <f>SUMIFS(Линии[_Руст быт],Линии[Щит],Щиты[[#This Row],[Щит]])</f>
        <v>0</v>
      </c>
      <c r="AL10">
        <f>SUMIFS(Линии[_Рр сил],Линии[Щит],Щиты[[#This Row],[Щит]])</f>
        <v>89.965000000000003</v>
      </c>
      <c r="AM10">
        <f>SUMIFS(Линии[_Руст пост],Линии[Щит],Щиты[[#This Row],[Щит]])</f>
        <v>0.3</v>
      </c>
      <c r="AN10">
        <f>SUMIFS(Линии[_P для cos],Линии[Щит],Щиты[[#This Row],[Щит]])</f>
        <v>147.25</v>
      </c>
      <c r="AO10">
        <f>SUMIFS(Линии[_P·cos],Линии[Щит],Щиты[[#This Row],[Щит]])</f>
        <v>139.88749999999999</v>
      </c>
      <c r="AP10">
        <f>SUMIFS(Линии[_Р отопления],Линии[Щит],Щиты[[#This Row],[Щит]])</f>
        <v>0</v>
      </c>
      <c r="AQ10">
        <f>SUMIFS(Линии[_Рр ВНГ],Линии[Щит],Щиты[[#This Row],[Щит]])</f>
        <v>0</v>
      </c>
      <c r="AR10">
        <f>SUMIFS(Щиты[_быт собств],Щиты[Путь],"*|"&amp;Щиты[[#This Row],[Щит]]&amp;"|*")</f>
        <v>61.360000000000014</v>
      </c>
      <c r="AS10" cm="1">
        <f t="array" ref="AS10">_xlfn.LET(_xlpm.x,Щиты[[#This Row],[Руст быт, кВт]],_xlpm.m,MATCH(_xlpm.x,Кс_Р,1),IF(_xlpm.x&gt;=INDEX(Кс_Р,ROWS(Кс_Р)),INDEX(Кс_К,ROWS(Кс_К)),INDEX(Кс_К,_xlpm.m)+(_xlpm.x-INDEX(Кс_Р,_xlpm.m))*(INDEX(Кс_К,_xlpm.m+1)-INDEX(Кс_К,_xlpm.m))/(INDEX(Кс_Р,_xlpm.m+1)-INDEX(Кс_Р,_xlpm.m))))</f>
        <v>0.47591999999999995</v>
      </c>
      <c r="AT10">
        <f>SUMIFS(Щиты[_сил собств],Щиты[Путь],"*|"&amp;Щиты[[#This Row],[Щит]]&amp;"|*")</f>
        <v>230.31600000000003</v>
      </c>
      <c r="AU10">
        <f>SUMIFS(Щиты[_пост собств],Щиты[Путь],"*|"&amp;Щиты[[#This Row],[Щит]]&amp;"|*")</f>
        <v>39.965000000000003</v>
      </c>
      <c r="AV10">
        <f>SUMIFS(Щиты[_отоп собств],Щиты[Путь],"*|"&amp;Щиты[[#This Row],[Щит]]&amp;"|*")</f>
        <v>0</v>
      </c>
      <c r="AW10">
        <f>SUMIFS(Щиты[_внг собств],Щиты[Путь],"*|"&amp;Щиты[[#This Row],[Щит]]&amp;"|*")</f>
        <v>0</v>
      </c>
      <c r="AX10">
        <f>COUNTIFS(Линии[Щит],Щиты[[#This Row],[Щит]],Линии[Группа Кс (итог)],"Сил")</f>
        <v>3</v>
      </c>
      <c r="AY10" cm="1">
        <f t="array" ref="AY10">_xlfn.LET(_xlpm.n,Щиты[[#This Row],[_n силовых]],IF(_xlpm.n&lt;=1,1,IF(_xlpm.n&gt;=MAX(Кс75_n),INDEX(Кс75_k,ROWS(Кс75_k)),_xlfn.LET(_xlpm.m,MATCH(_xlpm.n,Кс75_n,1),INDEX(Кс75_k,_xlpm.m)+(_xlpm.n-INDEX(Кс75_n,_xlpm.m))*(INDEX(Кс75_k,_xlpm.m+1)-INDEX(Кс75_k,_xlpm.m))/(INDEX(Кс75_n,_xlpm.m+1)-INDEX(Кс75_n,_xlpm.m))))))</f>
        <v>0.9</v>
      </c>
      <c r="AZ10">
        <f>IF(Методика="нормы 2026",IF(AND(Щиты[[#This Row],[Руст быт, кВт]]&gt;0,Щиты[[#This Row],[Рр сил, кВт]]&gt;0),Ко_сил,1),Ко_сил)</f>
        <v>0.9</v>
      </c>
      <c r="BA10">
        <f>IF(Щиты[[#This Row],[Руст, кВт]]=0,0,Щиты[[#This Row],[Рр, кВт]]/Щиты[[#This Row],[Руст, кВт]])</f>
        <v>0.52529323916310866</v>
      </c>
      <c r="BB10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Row],[Щит]],Линии[Фаза],"L1",Линии[Группа Кс (итог)],"&lt;&gt;Нет")</f>
        <v>178.32033333333334</v>
      </c>
      <c r="BC10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Row],[Щит]],Линии[Фаза],"L2",Линии[Группа Кс (итог)],"&lt;&gt;Нет")</f>
        <v>176.58033333333333</v>
      </c>
      <c r="BD10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Row],[Щит]],Линии[Фаза],"L3",Линии[Группа Кс (итог)],"&lt;&gt;Нет")</f>
        <v>171.38033333333334</v>
      </c>
      <c r="BE10" t="str" cm="1">
        <f t="array" ref="BE10">IF(Щиты[[#This Row],[_строка фидера]]="","",INDEX(Линии[ΔU, %],Щиты[[#This Row],[_строка фидера]]))</f>
        <v/>
      </c>
      <c r="BF10">
        <f>IF(OR(N(Щиты[[#This Row],[Питающий кабель: S, мм²]])=0,N(Щиты[[#This Row],[Длина, м]])=0),0,(IF(Щиты[[#This Row],[Материал]]="алюминий",0.036,0.0225)*N(Щиты[[#This Row],[Длина, м]])/(N(Щиты[[#This Row],[Питающий кабель: S, мм²]])*MAX(1,N(Щиты[[#This Row],[Кабелей параллельно]])))*Щиты[[#This Row],[cos φ]]+0.00008*N(Щиты[[#This Row],[Длина, м]])/MAX(1,N(Щиты[[#This Row],[Кабелей параллельно]]))*SIN(ACOS(Щиты[[#This Row],[cos φ]])))*Щиты[[#This Row],[Iр, А]]/(Uн_лин*1000/SQRT(3))*100)</f>
        <v>0</v>
      </c>
      <c r="BG10">
        <f>IF(Щиты[[#This Row],[Питается от (итог)]]&lt;&gt;"",0,IF(LEFT(UPPER(TRIM(Щиты[[#This Row],[Питание: от (ТП / сеть)]])),2)="ТП",0,N(Щиты[[#This Row],[ΔU до питающего, %]])+Щиты[[#This Row],[_ΔU пит. линии]]))</f>
        <v>0</v>
      </c>
      <c r="BH10">
        <f>IF(N(Щиты[[#This Row],[Питающий кабель: S, мм²]])&gt;0,2*IF(Щиты[[#This Row],[Материал]]="алюминий",ρкз_Al,ρкз_Cu)*N(Щиты[[#This Row],[Длина, м]])/(N(Щиты[[#This Row],[Питающий кабель: S, мм²]])*MAX(1,N(Щиты[[#This Row],[Кабелей параллельно]]))),0)</f>
        <v>0</v>
      </c>
      <c r="BI10" t="str">
        <f>IF(Щиты[[#This Row],[Питается от (итог)]]&lt;&gt;"","",IF(N(Щиты[[#This Row],[Iкз min от сети, А]])&gt;0,c_min*(Uн_лин*1000/SQRT(3))/Щиты[[#This Row],[Iкз min от сети, А]],IF(AND(LEFT(UPPER(TRIM(Щиты[[#This Row],[Питание: от (ТП / сеть)]])),2)="ТП",N(Щиты[[#This Row],[Sтр, кВА]])&gt;0),0.055*Uн_лин^2/(Щиты[[#This Row],[Sтр, кВА]]/1000)*IF(Щиты[[#This Row],[Схема тр-ра]]="Y/Yн",3,1),"")))</f>
        <v/>
      </c>
      <c r="BJ10" t="str">
        <f>IF(Щиты[[#This Row],[_Zсети]]="","",Щиты[[#This Row],[_Zсети]]+Щиты[[#This Row],[_петля пит. кабеля]])</f>
        <v/>
      </c>
      <c r="BK10" t="str" cm="1">
        <f t="array" ref="BK10">IF(Щиты[[#This Row],[_строка фидера]]="","",INDEX(Линии[_Zкабеля],Щиты[[#This Row],[_строка фидера]]))</f>
        <v/>
      </c>
      <c r="BL10" t="str" cm="1">
        <f t="array" ref="BL10">IF(_xlfn.XLOOKUP(Щиты[[#This Row],[Корень]],Щиты[Щит],Щиты[_Zисточника],"")="","",SUMPRODUCT(--ISNUMBER(SEARCH("|"&amp;Щиты[Щит]&amp;"|",Щиты[[#This Row],[Путь]])),IFERROR(--Щиты[_Zисточника],0)+IFERROR(--Щиты[_Zфидера],0))+SUMPRODUCT(--ISNUMBER(SEARCH("|"&amp;Щиты[Щит]&amp;"|",Щиты[[#This Row],[Путь]])))*R_пер)</f>
        <v/>
      </c>
      <c r="BM10" t="str">
        <f>IF(Щиты[[#This Row],[Питается от (итог)]]&lt;&gt;"","",IF(N(Щиты[[#This Row],[Iкз max от сети, кА]])&gt;0,1.05*(Uн_лин*1000/SQRT(3))/(Щиты[[#This Row],[Iкз max от сети, кА]]*1000),IF(AND(LEFT(UPPER(TRIM(Щиты[[#This Row],[Питание: от (ТП / сеть)]])),2)="ТП",N(Щиты[[#This Row],[Sтр, кВА]])&gt;0),0.055*Uн_лин^2/(Щиты[[#This Row],[Sтр, кВА]]/1000),"")))</f>
        <v/>
      </c>
      <c r="BN10" t="str">
        <f>IF(Щиты[[#This Row],[_Zmax сети]]="","",Щиты[[#This Row],[_Zmax сети]]+IF(N(Щиты[[#This Row],[Питающий кабель: S, мм²]])&gt;0,IF(Щиты[[#This Row],[Материал]]="алюминий",0.028,0.0175)*N(Щиты[[#This Row],[Длина, м]])/(N(Щиты[[#This Row],[Питающий кабель: S, мм²]])*MAX(1,N(Щиты[[#This Row],[Кабелей параллельно]]))),0))</f>
        <v/>
      </c>
      <c r="BO10" t="str" cm="1">
        <f t="array" ref="BO10">IF(Щиты[[#This Row],[_строка фидера]]="","",INDEX(Линии[_Zmax кабеля],Щиты[[#This Row],[_строка фидера]]))</f>
        <v/>
      </c>
      <c r="BP10" t="str" cm="1">
        <f t="array" ref="BP10">IF(_xlfn.XLOOKUP(Щиты[[#This Row],[Корень]],Щиты[Щит],Щиты[_Zmax источника],"")="","",SUMPRODUCT(--ISNUMBER(SEARCH("|"&amp;Щиты[Щит]&amp;"|",Щиты[[#This Row],[Путь]])),IFERROR(--Щиты[_Zmax источника],0)+IFERROR(--Щиты[_Zmax фидера],0)))</f>
        <v/>
      </c>
      <c r="BQ10">
        <f>_xlfn.MAXIFS(Линии[_ранг для фидера],Линии[Щит],Щиты[[#This Row],[Щит]])</f>
        <v>3</v>
      </c>
      <c r="BR10" t="str" cm="1">
        <f t="array" ref="BR10">IFERROR(INDEX({"III","II","I","I особая"},MAX(1,_xlfn.MAXIFS(Щиты[_ранг собств],Щиты[Путь],"*|"&amp;Щиты[[#This Row],[Щит]]&amp;"|*"))),"III")</f>
        <v>I</v>
      </c>
      <c r="BS10" t="str" cm="1">
        <f t="array" ref="BS10">IF(Щиты[[#This Row],[_строка фидера]]="","",INDEX(Линии[Категория (итог)],Щиты[[#This Row],[_строка фидера]]))</f>
        <v/>
      </c>
      <c r="BT10">
        <f>_xlfn.MAXIFS(Линии[Iпуск, А],Линии[Щит],Щиты[[#This Row],[Щит]])</f>
        <v>0</v>
      </c>
      <c r="BU10" t="str" cm="1">
        <f t="array" ref="BU10">IF(Щиты[[#This Row],[_строка фидера]]="","",INDEX(Линии[Источник для режимов],Щиты[[#This Row],[_строка фидера]]))</f>
        <v/>
      </c>
      <c r="BV10" t="str" cm="1">
        <f t="array" ref="BV10">IF(Щиты[[#This Row],[_строка фидера]]="","",INDEX(Линии[Пожарная (итог)],Щиты[[#This Row],[_строка фидера]]))</f>
        <v/>
      </c>
      <c r="BW10">
        <f>COUNTIFS(Линии[Щит],Щиты[[#This Row],[Щит]],Линии[Категория: проверка],"НЕ ОБЕСПЕЧЕНА")</f>
        <v>0</v>
      </c>
    </row>
    <row r="11" spans="1:75" x14ac:dyDescent="0.3">
      <c r="A11" t="s">
        <v>787</v>
      </c>
      <c r="C11">
        <v>1</v>
      </c>
      <c r="D11" t="s">
        <v>488</v>
      </c>
      <c r="E11" t="s">
        <v>845</v>
      </c>
      <c r="F11">
        <v>8</v>
      </c>
      <c r="U11" t="str" cm="1">
        <f t="array" ref="U11">IF(Щиты[[#This Row],[Питается от]]&lt;&gt;"",Щиты[[#This Row],[Питается от]],IFERROR(INDEX(Линии[Щит],Щиты[[#This Row],[_строка фидера]]),""))</f>
        <v>ГРЩ-ЖД</v>
      </c>
      <c r="V11" t="str">
        <f>_xlfn.TEXTJOIN("; ",TRUE,IF(AND(Щиты[[#This Row],[Питается от (итог)]]="",Щиты[[#This Row],[Zпетли на шинах, Ом]]=""),"нет данных сети для ТКЗ: введите Iкз от сетевой организации или трансформатор",""),IF(AND(Щиты[[#This Row],[Категория фидера]]&lt;&gt;"",IFERROR(MATCH(Щиты[[#This Row],[Категория фидера]],{"III","II","I","I особая"},0),1)&lt;IFERROR(MATCH(Щиты[[#This Row],[Высшая категория нагрузки]],{"III","II","I","I особая"},0),1)),"фидер "&amp;Щиты[[#This Row],[Категория фидера]]&amp;" ниже нагрузки "&amp;Щиты[[#This Row],[Высшая категория нагрузки]],""),IF(Щиты[[#This Row],[Не обеспечено, линий]]&gt;0,"не обеспечена категория у "&amp;Щиты[[#This Row],[Не обеспечено, линий]]&amp;" линий",""),IF(AND(Щиты[[#This Row],[Питается от]]&lt;&gt;"",Щиты[[#This Row],[_строка фидера]]=""),"нет линии-фидера в «Линиях»: номер линии = имя щита или столбец «Питает щит»",""),IF(AND(ISNUMBER(Щиты[[#This Row],[ΔU до шин, %]]),Щиты[[#This Row],[ΔU до шин, %]]&gt;4),"ΔU до шин "&amp;FIXED(Щиты[[#This Row],[ΔU до шин, %]],2)&amp;" % &gt; 4 %",""))</f>
        <v>фидер III ниже нагрузки I</v>
      </c>
      <c r="W11" t="str" cm="1">
        <f t="array" ref="W11">IF(Щиты[[#This Row],[_строка фидера]]="","",INDEX(Линии[Номер линии],Щиты[[#This Row],[_строка фидера]]))</f>
        <v>ЩГП</v>
      </c>
      <c r="X11">
        <f>SUMIFS(Щиты[_Руст собств],Щиты[Путь],"*|"&amp;Щиты[[#This Row],[Щит]]&amp;"|*")</f>
        <v>1.9000000000000006</v>
      </c>
      <c r="Y11">
        <f>k_пк*Щиты[[#This Row],[Руст быт, кВт]]*Щиты[[#This Row],[Кс быт]]+Щиты[[#This Row],[Ко]]*Щиты[[#This Row],[Рр сил, кВт]]+Щиты[[#This Row],[Руст пост, кВт]]+Щиты[[#This Row],[Р отопления, кВт]]+Щиты[[#This Row],[Рр ВНГ, кВт]]</f>
        <v>1.5200000000000005</v>
      </c>
      <c r="Z11">
        <f>IFERROR(MAX(MAX(Щиты[[#This Row],[P L1, кВт]],Щиты[[#This Row],[P L2, кВт]],Щиты[[#This Row],[P L3, кВт]])*Щиты[[#This Row],[Кс итог]]/((Uн_лин*1000/SQRT(3))/1000*Щиты[[#This Row],[cos φ]]),Щиты[[#This Row],[Рр, кВт]]/(SQRT(3)*Uн_лин*Щиты[[#This Row],[cos φ]])),0)</f>
        <v>2.3094010767585051</v>
      </c>
      <c r="AA11">
        <f>IFERROR(SUMIFS(Щиты[_Pcos собств],Щиты[Путь],"*|"&amp;Щиты[[#This Row],[Щит]]&amp;"|*")/SUMIFS(Щиты[_P собств],Щиты[Путь],"*|"&amp;Щиты[[#This Row],[Щит]]&amp;"|*"),0.95)</f>
        <v>0.94999999999999951</v>
      </c>
      <c r="AB11" cm="1">
        <f t="array" ref="AB11">SUMPRODUCT(--ISNUMBER(SEARCH("|"&amp;Щиты[Щит]&amp;"|",Щиты[[#This Row],[Путь]])),IFERROR(--Щиты[_ΔU фидера],0)+IFERROR(--Щиты[_ΔU источника],0))</f>
        <v>0</v>
      </c>
      <c r="AC11" t="str">
        <f>IF(ISNUMBER(Щиты[[#This Row],[Zпетли на шинах, Ом]]),c_min*(Uн_лин*1000/SQRT(3))/Щиты[[#This Row],[Zпетли на шинах, Ом]],"")</f>
        <v/>
      </c>
      <c r="AD11" t="str">
        <f>IF(ISNUMBER(Щиты[[#This Row],[Zmax на шинах, Ом]]),1.05*(Uн_лин*1000/SQRT(3))/Щиты[[#This Row],[Zmax на шинах, Ом]]/1000,"")</f>
        <v/>
      </c>
      <c r="AE11" t="str" cm="1">
        <f t="array" ref="AE11">_xlfn.LET(_xlpm.w,_xlfn.TEXTSPLIT(Щиты[[#This Row],[Путь]],"|"),_xlpm.names,_xlfn._xlws.FILTER(_xlpm.w,_xlpm.w&lt;&gt;""),_xlfn.REDUCE("",_xlpm.names,_xlfn.LAMBDA(_xlpm.acc,_xlpm.nm,_xlfn.LET(_xlpm.inp,N(_xlfn.XLOOKUP(_xlpm.nm,Щиты[Щит],Щиты[Вводов],1)),_xlpm.avr,LOWER(TRIM(_xlfn.XLOOKUP(_xlpm.nm,Щиты[Щит],Щиты[АВР],"нет")&amp;"")),_xlpm.own,IF(_xlpm.inp&gt;=2,IF(_xlpm.avr="да","I","II"),"III"),_xlpm.fr,_xlfn.XLOOKUP(_xlpm.nm,Щиты[Щит],Щиты[_строка фидера],""),_xlpm.bt,IF(_xlpm.fr="","",INDEX(Линии[Тип шины],_xlpm.fr)&amp;""),_xlpm.man,TRIM(_xlfn.XLOOKUP(_xlpm.nm,Щиты[Щит],Щиты[Кат. питающей линии (ручн.)],"")&amp;""),_xlpm.up,IF(_xlpm.acc="",_xlpm.man,IF(OR(_xlpm.bt="ИБП",_xlpm.bt="ДГУ"),"I особая",IF(_xlpm.bt="Одиночная","III",_xlpm.acc))),IF(_xlpm.own&lt;&gt;"III",_xlpm.own,IF(OR(_xlpm.up="I особая",_xlpm.up="I",_xlpm.up="II"),"II","III"))))))</f>
        <v>II</v>
      </c>
      <c r="AF11" t="str" cm="1">
        <f t="array" ref="AF11">_xlfn.LET(_xlpm.f,_xlfn.LAMBDA(_xlpm.x,IF(_xlpm.x="","",_xlfn.XLOOKUP(_xlpm.x,Щиты[Щит],Щиты[Питается от (итог)],"")&amp;"")),_xlpm.п0,Щиты[[#This Row],[Щит]],_xlpm.п1,_xlpm.f(_xlpm.п0),_xlpm.п2,_xlpm.f(_xlpm.п1),_xlpm.п3,_xlpm.f(_xlpm.п2),_xlpm.п4,_xlpm.f(_xlpm.п3),_xlpm.п5,_xlpm.f(_xlpm.п4),_xlpm.п6,_xlpm.f(_xlpm.п5),_xlpm.п7,_xlpm.f(_xlpm.п6),"|"&amp;_xlfn.TEXTJOIN("|",TRUE,_xlpm.п7,_xlpm.п6,_xlpm.п5,_xlpm.п4,_xlpm.п3,_xlpm.п2,_xlpm.п1,_xlpm.п0)&amp;"|")</f>
        <v>|ГРЩ-ЖД|ЩГП|</v>
      </c>
      <c r="AG11" t="str">
        <f>_xlfn.TEXTBEFORE(MID(Щиты[[#This Row],[Путь]],2,999),"|")</f>
        <v>ГРЩ-ЖД</v>
      </c>
      <c r="AH11">
        <f>LEN(Щиты[[#This Row],[Путь]])-LEN(SUBSTITUTE(Щиты[[#This Row],[Путь]],"|",""))-2</f>
        <v>1</v>
      </c>
      <c r="AI11">
        <f>IFERROR(_xlfn.XMATCH(Щиты[[#This Row],[Щит]],Линии[_фидер]),"")</f>
        <v>23</v>
      </c>
      <c r="AJ11">
        <f>SUMIFS(Линии[_Руст (без Нет)],Линии[Щит],Щиты[[#This Row],[Щит]])</f>
        <v>0</v>
      </c>
      <c r="AK11">
        <f>SUMIFS(Линии[_Руст быт],Линии[Щит],Щиты[[#This Row],[Щит]])</f>
        <v>0</v>
      </c>
      <c r="AL11">
        <f>SUMIFS(Линии[_Рр сил],Линии[Щит],Щиты[[#This Row],[Щит]])</f>
        <v>0</v>
      </c>
      <c r="AM11">
        <f>SUMIFS(Линии[_Руст пост],Линии[Щит],Щиты[[#This Row],[Щит]])</f>
        <v>0</v>
      </c>
      <c r="AN11">
        <f>SUMIFS(Линии[_P для cos],Линии[Щит],Щиты[[#This Row],[Щит]])</f>
        <v>0</v>
      </c>
      <c r="AO11">
        <f>SUMIFS(Линии[_P·cos],Линии[Щит],Щиты[[#This Row],[Щит]])</f>
        <v>0</v>
      </c>
      <c r="AP11">
        <f>SUMIFS(Линии[_Р отопления],Линии[Щит],Щиты[[#This Row],[Щит]])</f>
        <v>0</v>
      </c>
      <c r="AQ11">
        <f>SUMIFS(Линии[_Рр ВНГ],Линии[Щит],Щиты[[#This Row],[Щит]])</f>
        <v>0</v>
      </c>
      <c r="AR11">
        <f>SUMIFS(Щиты[_быт собств],Щиты[Путь],"*|"&amp;Щиты[[#This Row],[Щит]]&amp;"|*")</f>
        <v>1.9000000000000006</v>
      </c>
      <c r="AS11" cm="1">
        <f t="array" ref="AS11">_xlfn.LET(_xlpm.x,Щиты[[#This Row],[Руст быт, кВт]],_xlpm.m,MATCH(_xlpm.x,Кс_Р,1),IF(_xlpm.x&gt;=INDEX(Кс_Р,ROWS(Кс_Р)),INDEX(Кс_К,ROWS(Кс_К)),INDEX(Кс_К,_xlpm.m)+(_xlpm.x-INDEX(Кс_Р,_xlpm.m))*(INDEX(Кс_К,_xlpm.m+1)-INDEX(Кс_К,_xlpm.m))/(INDEX(Кс_Р,_xlpm.m+1)-INDEX(Кс_Р,_xlpm.m))))</f>
        <v>0.8</v>
      </c>
      <c r="AT11">
        <f>SUMIFS(Щиты[_сил собств],Щиты[Путь],"*|"&amp;Щиты[[#This Row],[Щит]]&amp;"|*")</f>
        <v>0</v>
      </c>
      <c r="AU11">
        <f>SUMIFS(Щиты[_пост собств],Щиты[Путь],"*|"&amp;Щиты[[#This Row],[Щит]]&amp;"|*")</f>
        <v>0</v>
      </c>
      <c r="AV11">
        <f>SUMIFS(Щиты[_отоп собств],Щиты[Путь],"*|"&amp;Щиты[[#This Row],[Щит]]&amp;"|*")</f>
        <v>0</v>
      </c>
      <c r="AW11">
        <f>SUMIFS(Щиты[_внг собств],Щиты[Путь],"*|"&amp;Щиты[[#This Row],[Щит]]&amp;"|*")</f>
        <v>0</v>
      </c>
      <c r="AX11">
        <f>COUNTIFS(Линии[Щит],Щиты[[#This Row],[Щит]],Линии[Группа Кс (итог)],"Сил")</f>
        <v>0</v>
      </c>
      <c r="AY11" cm="1">
        <f t="array" ref="AY11">_xlfn.LET(_xlpm.n,Щиты[[#This Row],[_n силовых]],IF(_xlpm.n&lt;=1,1,IF(_xlpm.n&gt;=MAX(Кс75_n),INDEX(Кс75_k,ROWS(Кс75_k)),_xlfn.LET(_xlpm.m,MATCH(_xlpm.n,Кс75_n,1),INDEX(Кс75_k,_xlpm.m)+(_xlpm.n-INDEX(Кс75_n,_xlpm.m))*(INDEX(Кс75_k,_xlpm.m+1)-INDEX(Кс75_k,_xlpm.m))/(INDEX(Кс75_n,_xlpm.m+1)-INDEX(Кс75_n,_xlpm.m))))))</f>
        <v>1</v>
      </c>
      <c r="AZ11">
        <f>IF(Методика="нормы 2026",IF(AND(Щиты[[#This Row],[Руст быт, кВт]]&gt;0,Щиты[[#This Row],[Рр сил, кВт]]&gt;0),Ко_сил,1),Ко_сил)</f>
        <v>0.9</v>
      </c>
      <c r="BA11">
        <f>IF(Щиты[[#This Row],[Руст, кВт]]=0,0,Щиты[[#This Row],[Рр, кВт]]/Щиты[[#This Row],[Руст, кВт]])</f>
        <v>0.8</v>
      </c>
      <c r="BB11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Row],[Щит]],Линии[Фаза],"L1",Линии[Группа Кс (итог)],"&lt;&gt;Нет")</f>
        <v>0.63333333333333353</v>
      </c>
      <c r="BC11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Row],[Щит]],Линии[Фаза],"L2",Линии[Группа Кс (итог)],"&lt;&gt;Нет")</f>
        <v>0.63333333333333353</v>
      </c>
      <c r="BD11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Row],[Щит]],Линии[Фаза],"L3",Линии[Группа Кс (итог)],"&lt;&gt;Нет")</f>
        <v>0.63333333333333353</v>
      </c>
      <c r="BE11" t="str" cm="1">
        <f t="array" ref="BE11">IF(Щиты[[#This Row],[_строка фидера]]="","",INDEX(Линии[ΔU, %],Щиты[[#This Row],[_строка фидера]]))</f>
        <v/>
      </c>
      <c r="BF11">
        <f>IF(OR(N(Щиты[[#This Row],[Питающий кабель: S, мм²]])=0,N(Щиты[[#This Row],[Длина, м]])=0),0,(IF(Щиты[[#This Row],[Материал]]="алюминий",0.036,0.0225)*N(Щиты[[#This Row],[Длина, м]])/(N(Щиты[[#This Row],[Питающий кабель: S, мм²]])*MAX(1,N(Щиты[[#This Row],[Кабелей параллельно]])))*Щиты[[#This Row],[cos φ]]+0.00008*N(Щиты[[#This Row],[Длина, м]])/MAX(1,N(Щиты[[#This Row],[Кабелей параллельно]]))*SIN(ACOS(Щиты[[#This Row],[cos φ]])))*Щиты[[#This Row],[Iр, А]]/(Uн_лин*1000/SQRT(3))*100)</f>
        <v>0</v>
      </c>
      <c r="BG11">
        <f>IF(Щиты[[#This Row],[Питается от (итог)]]&lt;&gt;"",0,IF(LEFT(UPPER(TRIM(Щиты[[#This Row],[Питание: от (ТП / сеть)]])),2)="ТП",0,N(Щиты[[#This Row],[ΔU до питающего, %]])+Щиты[[#This Row],[_ΔU пит. линии]]))</f>
        <v>0</v>
      </c>
      <c r="BH11">
        <f>IF(N(Щиты[[#This Row],[Питающий кабель: S, мм²]])&gt;0,2*IF(Щиты[[#This Row],[Материал]]="алюминий",ρкз_Al,ρкз_Cu)*N(Щиты[[#This Row],[Длина, м]])/(N(Щиты[[#This Row],[Питающий кабель: S, мм²]])*MAX(1,N(Щиты[[#This Row],[Кабелей параллельно]]))),0)</f>
        <v>0</v>
      </c>
      <c r="BI11" t="str">
        <f>IF(Щиты[[#This Row],[Питается от (итог)]]&lt;&gt;"","",IF(N(Щиты[[#This Row],[Iкз min от сети, А]])&gt;0,c_min*(Uн_лин*1000/SQRT(3))/Щиты[[#This Row],[Iкз min от сети, А]],IF(AND(LEFT(UPPER(TRIM(Щиты[[#This Row],[Питание: от (ТП / сеть)]])),2)="ТП",N(Щиты[[#This Row],[Sтр, кВА]])&gt;0),0.055*Uн_лин^2/(Щиты[[#This Row],[Sтр, кВА]]/1000)*IF(Щиты[[#This Row],[Схема тр-ра]]="Y/Yн",3,1),"")))</f>
        <v/>
      </c>
      <c r="BJ11" t="str">
        <f>IF(Щиты[[#This Row],[_Zсети]]="","",Щиты[[#This Row],[_Zсети]]+Щиты[[#This Row],[_петля пит. кабеля]])</f>
        <v/>
      </c>
      <c r="BK11" t="str" cm="1">
        <f t="array" ref="BK11">IF(Щиты[[#This Row],[_строка фидера]]="","",INDEX(Линии[_Zкабеля],Щиты[[#This Row],[_строка фидера]]))</f>
        <v/>
      </c>
      <c r="BL11" t="str" cm="1">
        <f t="array" ref="BL11">IF(_xlfn.XLOOKUP(Щиты[[#This Row],[Корень]],Щиты[Щит],Щиты[_Zисточника],"")="","",SUMPRODUCT(--ISNUMBER(SEARCH("|"&amp;Щиты[Щит]&amp;"|",Щиты[[#This Row],[Путь]])),IFERROR(--Щиты[_Zисточника],0)+IFERROR(--Щиты[_Zфидера],0))+SUMPRODUCT(--ISNUMBER(SEARCH("|"&amp;Щиты[Щит]&amp;"|",Щиты[[#This Row],[Путь]])))*R_пер)</f>
        <v/>
      </c>
      <c r="BM11" t="str">
        <f>IF(Щиты[[#This Row],[Питается от (итог)]]&lt;&gt;"","",IF(N(Щиты[[#This Row],[Iкз max от сети, кА]])&gt;0,1.05*(Uн_лин*1000/SQRT(3))/(Щиты[[#This Row],[Iкз max от сети, кА]]*1000),IF(AND(LEFT(UPPER(TRIM(Щиты[[#This Row],[Питание: от (ТП / сеть)]])),2)="ТП",N(Щиты[[#This Row],[Sтр, кВА]])&gt;0),0.055*Uн_лин^2/(Щиты[[#This Row],[Sтр, кВА]]/1000),"")))</f>
        <v/>
      </c>
      <c r="BN11" t="str">
        <f>IF(Щиты[[#This Row],[_Zmax сети]]="","",Щиты[[#This Row],[_Zmax сети]]+IF(N(Щиты[[#This Row],[Питающий кабель: S, мм²]])&gt;0,IF(Щиты[[#This Row],[Материал]]="алюминий",0.028,0.0175)*N(Щиты[[#This Row],[Длина, м]])/(N(Щиты[[#This Row],[Питающий кабель: S, мм²]])*MAX(1,N(Щиты[[#This Row],[Кабелей параллельно]]))),0))</f>
        <v/>
      </c>
      <c r="BO11" cm="1">
        <f t="array" ref="BO11">IF(Щиты[[#This Row],[_строка фидера]]="","",INDEX(Линии[_Zmax кабеля],Щиты[[#This Row],[_строка фидера]]))</f>
        <v>0</v>
      </c>
      <c r="BP11" t="str" cm="1">
        <f t="array" ref="BP11">IF(_xlfn.XLOOKUP(Щиты[[#This Row],[Корень]],Щиты[Щит],Щиты[_Zmax источника],"")="","",SUMPRODUCT(--ISNUMBER(SEARCH("|"&amp;Щиты[Щит]&amp;"|",Щиты[[#This Row],[Путь]])),IFERROR(--Щиты[_Zmax источника],0)+IFERROR(--Щиты[_Zmax фидера],0)))</f>
        <v/>
      </c>
      <c r="BQ11">
        <f>_xlfn.MAXIFS(Линии[_ранг для фидера],Линии[Щит],Щиты[[#This Row],[Щит]])</f>
        <v>3</v>
      </c>
      <c r="BR11" t="str" cm="1">
        <f t="array" ref="BR11">IFERROR(INDEX({"III","II","I","I особая"},MAX(1,_xlfn.MAXIFS(Щиты[_ранг собств],Щиты[Путь],"*|"&amp;Щиты[[#This Row],[Щит]]&amp;"|*"))),"III")</f>
        <v>I</v>
      </c>
      <c r="BS11" t="str" cm="1">
        <f t="array" ref="BS11">IF(Щиты[[#This Row],[_строка фидера]]="","",INDEX(Линии[Категория (итог)],Щиты[[#This Row],[_строка фидера]]))</f>
        <v>III</v>
      </c>
      <c r="BT11">
        <f>_xlfn.MAXIFS(Линии[Iпуск, А],Линии[Щит],Щиты[[#This Row],[Щит]])</f>
        <v>0</v>
      </c>
      <c r="BU11" t="str" cm="1">
        <f t="array" ref="BU11">IF(Щиты[[#This Row],[_строка фидера]]="","",INDEX(Линии[Источник для режимов],Щиты[[#This Row],[_строка фидера]]))</f>
        <v>Ввод 1</v>
      </c>
      <c r="BV11" t="str" cm="1">
        <f t="array" ref="BV11">IF(Щиты[[#This Row],[_строка фидера]]="","",INDEX(Линии[Пожарная (итог)],Щиты[[#This Row],[_строка фидера]]))</f>
        <v>нет</v>
      </c>
      <c r="BW11">
        <f>COUNTIFS(Линии[Щит],Щиты[[#This Row],[Щит]],Линии[Категория: проверка],"НЕ ОБЕСПЕЧЕНА")</f>
        <v>0</v>
      </c>
    </row>
    <row r="12" spans="1:75" x14ac:dyDescent="0.3">
      <c r="A12" t="s">
        <v>1146</v>
      </c>
      <c r="C12">
        <v>1</v>
      </c>
      <c r="D12" t="s">
        <v>488</v>
      </c>
      <c r="E12" t="s">
        <v>845</v>
      </c>
      <c r="F12">
        <v>15</v>
      </c>
      <c r="U12" t="str" cm="1">
        <f t="array" ref="U12">IF(Щиты[[#This Row],[Питается от]]&lt;&gt;"",Щиты[[#This Row],[Питается от]],IFERROR(INDEX(Линии[Щит],Щиты[[#This Row],[_строка фидера]]),""))</f>
        <v>ЩГП</v>
      </c>
      <c r="V12" t="str">
        <f>_xlfn.TEXTJOIN("; ",TRUE,IF(AND(Щиты[[#This Row],[Питается от (итог)]]="",Щиты[[#This Row],[Zпетли на шинах, Ом]]=""),"нет данных сети для ТКЗ: введите Iкз от сетевой организации или трансформатор",""),IF(AND(Щиты[[#This Row],[Категория фидера]]&lt;&gt;"",IFERROR(MATCH(Щиты[[#This Row],[Категория фидера]],{"III","II","I","I особая"},0),1)&lt;IFERROR(MATCH(Щиты[[#This Row],[Высшая категория нагрузки]],{"III","II","I","I особая"},0),1)),"фидер "&amp;Щиты[[#This Row],[Категория фидера]]&amp;" ниже нагрузки "&amp;Щиты[[#This Row],[Высшая категория нагрузки]],""),IF(Щиты[[#This Row],[Не обеспечено, линий]]&gt;0,"не обеспечена категория у "&amp;Щиты[[#This Row],[Не обеспечено, линий]]&amp;" линий",""),IF(AND(Щиты[[#This Row],[Питается от]]&lt;&gt;"",Щиты[[#This Row],[_строка фидера]]=""),"нет линии-фидера в «Линиях»: номер линии = имя щита или столбец «Питает щит»",""),IF(AND(ISNUMBER(Щиты[[#This Row],[ΔU до шин, %]]),Щиты[[#This Row],[ΔU до шин, %]]&gt;4),"ΔU до шин "&amp;FIXED(Щиты[[#This Row],[ΔU до шин, %]],2)&amp;" % &gt; 4 %",""))</f>
        <v/>
      </c>
      <c r="W12" t="str" cm="1">
        <f t="array" ref="W12">IF(Щиты[[#This Row],[_строка фидера]]="","",INDEX(Линии[Номер линии],Щиты[[#This Row],[_строка фидера]]))</f>
        <v>ЩО-001</v>
      </c>
      <c r="X12">
        <f>SUMIFS(Щиты[_Руст собств],Щиты[Путь],"*|"&amp;Щиты[[#This Row],[Щит]]&amp;"|*")</f>
        <v>1.9000000000000006</v>
      </c>
      <c r="Y12">
        <f>k_пк*Щиты[[#This Row],[Руст быт, кВт]]*Щиты[[#This Row],[Кс быт]]+Щиты[[#This Row],[Ко]]*Щиты[[#This Row],[Рр сил, кВт]]+Щиты[[#This Row],[Руст пост, кВт]]+Щиты[[#This Row],[Р отопления, кВт]]+Щиты[[#This Row],[Рр ВНГ, кВт]]</f>
        <v>1.5200000000000005</v>
      </c>
      <c r="Z12">
        <f>IFERROR(MAX(MAX(Щиты[[#This Row],[P L1, кВт]],Щиты[[#This Row],[P L2, кВт]],Щиты[[#This Row],[P L3, кВт]])*Щиты[[#This Row],[Кс итог]]/((Uн_лин*1000/SQRT(3))/1000*Щиты[[#This Row],[cos φ]]),Щиты[[#This Row],[Рр, кВт]]/(SQRT(3)*Uн_лин*Щиты[[#This Row],[cos φ]])),0)</f>
        <v>2.5524959269436094</v>
      </c>
      <c r="AA12">
        <f>IFERROR(SUMIFS(Щиты[_Pcos собств],Щиты[Путь],"*|"&amp;Щиты[[#This Row],[Щит]]&amp;"|*")/SUMIFS(Щиты[_P собств],Щиты[Путь],"*|"&amp;Щиты[[#This Row],[Щит]]&amp;"|*"),0.95)</f>
        <v>0.94999999999999951</v>
      </c>
      <c r="AB12" cm="1">
        <f t="array" ref="AB12">SUMPRODUCT(--ISNUMBER(SEARCH("|"&amp;Щиты[Щит]&amp;"|",Щиты[[#This Row],[Путь]])),IFERROR(--Щиты[_ΔU фидера],0)+IFERROR(--Щиты[_ΔU источника],0))</f>
        <v>0.17</v>
      </c>
      <c r="AC12" t="str">
        <f>IF(ISNUMBER(Щиты[[#This Row],[Zпетли на шинах, Ом]]),c_min*(Uн_лин*1000/SQRT(3))/Щиты[[#This Row],[Zпетли на шинах, Ом]],"")</f>
        <v/>
      </c>
      <c r="AD12" t="str">
        <f>IF(ISNUMBER(Щиты[[#This Row],[Zmax на шинах, Ом]]),1.05*(Uн_лин*1000/SQRT(3))/Щиты[[#This Row],[Zmax на шинах, Ом]]/1000,"")</f>
        <v/>
      </c>
      <c r="AE12" t="str" cm="1">
        <f t="array" ref="AE12">_xlfn.LET(_xlpm.w,_xlfn.TEXTSPLIT(Щиты[[#This Row],[Путь]],"|"),_xlpm.names,_xlfn._xlws.FILTER(_xlpm.w,_xlpm.w&lt;&gt;""),_xlfn.REDUCE("",_xlpm.names,_xlfn.LAMBDA(_xlpm.acc,_xlpm.nm,_xlfn.LET(_xlpm.inp,N(_xlfn.XLOOKUP(_xlpm.nm,Щиты[Щит],Щиты[Вводов],1)),_xlpm.avr,LOWER(TRIM(_xlfn.XLOOKUP(_xlpm.nm,Щиты[Щит],Щиты[АВР],"нет")&amp;"")),_xlpm.own,IF(_xlpm.inp&gt;=2,IF(_xlpm.avr="да","I","II"),"III"),_xlpm.fr,_xlfn.XLOOKUP(_xlpm.nm,Щиты[Щит],Щиты[_строка фидера],""),_xlpm.bt,IF(_xlpm.fr="","",INDEX(Линии[Тип шины],_xlpm.fr)&amp;""),_xlpm.man,TRIM(_xlfn.XLOOKUP(_xlpm.nm,Щиты[Щит],Щиты[Кат. питающей линии (ручн.)],"")&amp;""),_xlpm.up,IF(_xlpm.acc="",_xlpm.man,IF(OR(_xlpm.bt="ИБП",_xlpm.bt="ДГУ"),"I особая",IF(_xlpm.bt="Одиночная","III",_xlpm.acc))),IF(_xlpm.own&lt;&gt;"III",_xlpm.own,IF(OR(_xlpm.up="I особая",_xlpm.up="I",_xlpm.up="II"),"II","III"))))))</f>
        <v>II</v>
      </c>
      <c r="AF12" t="str" cm="1">
        <f t="array" ref="AF12">_xlfn.LET(_xlpm.f,_xlfn.LAMBDA(_xlpm.x,IF(_xlpm.x="","",_xlfn.XLOOKUP(_xlpm.x,Щиты[Щит],Щиты[Питается от (итог)],"")&amp;"")),_xlpm.п0,Щиты[[#This Row],[Щит]],_xlpm.п1,_xlpm.f(_xlpm.п0),_xlpm.п2,_xlpm.f(_xlpm.п1),_xlpm.п3,_xlpm.f(_xlpm.п2),_xlpm.п4,_xlpm.f(_xlpm.п3),_xlpm.п5,_xlpm.f(_xlpm.п4),_xlpm.п6,_xlpm.f(_xlpm.п5),_xlpm.п7,_xlpm.f(_xlpm.п6),"|"&amp;_xlfn.TEXTJOIN("|",TRUE,_xlpm.п7,_xlpm.п6,_xlpm.п5,_xlpm.п4,_xlpm.п3,_xlpm.п2,_xlpm.п1,_xlpm.п0)&amp;"|")</f>
        <v>|ГРЩ-ЖД|ЩГП|ЩО-001|</v>
      </c>
      <c r="AG12" t="str">
        <f>_xlfn.TEXTBEFORE(MID(Щиты[[#This Row],[Путь]],2,999),"|")</f>
        <v>ГРЩ-ЖД</v>
      </c>
      <c r="AH12">
        <f>LEN(Щиты[[#This Row],[Путь]])-LEN(SUBSTITUTE(Щиты[[#This Row],[Путь]],"|",""))-2</f>
        <v>2</v>
      </c>
      <c r="AI12">
        <f>IFERROR(_xlfn.XMATCH(Щиты[[#This Row],[Щит]],Линии[_фидер]),"")</f>
        <v>27</v>
      </c>
      <c r="AJ12">
        <f>SUMIFS(Линии[_Руст (без Нет)],Линии[Щит],Щиты[[#This Row],[Щит]])</f>
        <v>1.9000000000000006</v>
      </c>
      <c r="AK12">
        <f>SUMIFS(Линии[_Руст быт],Линии[Щит],Щиты[[#This Row],[Щит]])</f>
        <v>1.9000000000000006</v>
      </c>
      <c r="AL12">
        <f>SUMIFS(Линии[_Рр сил],Линии[Щит],Щиты[[#This Row],[Щит]])</f>
        <v>0</v>
      </c>
      <c r="AM12">
        <f>SUMIFS(Линии[_Руст пост],Линии[Щит],Щиты[[#This Row],[Щит]])</f>
        <v>0</v>
      </c>
      <c r="AN12">
        <f>SUMIFS(Линии[_P для cos],Линии[Щит],Щиты[[#This Row],[Щит]])</f>
        <v>1.9000000000000006</v>
      </c>
      <c r="AO12">
        <f>SUMIFS(Линии[_P·cos],Линии[Щит],Щиты[[#This Row],[Щит]])</f>
        <v>1.8049999999999997</v>
      </c>
      <c r="AP12">
        <f>SUMIFS(Линии[_Р отопления],Линии[Щит],Щиты[[#This Row],[Щит]])</f>
        <v>0</v>
      </c>
      <c r="AQ12">
        <f>SUMIFS(Линии[_Рр ВНГ],Линии[Щит],Щиты[[#This Row],[Щит]])</f>
        <v>0</v>
      </c>
      <c r="AR12">
        <f>SUMIFS(Щиты[_быт собств],Щиты[Путь],"*|"&amp;Щиты[[#This Row],[Щит]]&amp;"|*")</f>
        <v>1.9000000000000006</v>
      </c>
      <c r="AS12" cm="1">
        <f t="array" ref="AS12">_xlfn.LET(_xlpm.x,Щиты[[#This Row],[Руст быт, кВт]],_xlpm.m,MATCH(_xlpm.x,Кс_Р,1),IF(_xlpm.x&gt;=INDEX(Кс_Р,ROWS(Кс_Р)),INDEX(Кс_К,ROWS(Кс_К)),INDEX(Кс_К,_xlpm.m)+(_xlpm.x-INDEX(Кс_Р,_xlpm.m))*(INDEX(Кс_К,_xlpm.m+1)-INDEX(Кс_К,_xlpm.m))/(INDEX(Кс_Р,_xlpm.m+1)-INDEX(Кс_Р,_xlpm.m))))</f>
        <v>0.8</v>
      </c>
      <c r="AT12">
        <f>SUMIFS(Щиты[_сил собств],Щиты[Путь],"*|"&amp;Щиты[[#This Row],[Щит]]&amp;"|*")</f>
        <v>0</v>
      </c>
      <c r="AU12">
        <f>SUMIFS(Щиты[_пост собств],Щиты[Путь],"*|"&amp;Щиты[[#This Row],[Щит]]&amp;"|*")</f>
        <v>0</v>
      </c>
      <c r="AV12">
        <f>SUMIFS(Щиты[_отоп собств],Щиты[Путь],"*|"&amp;Щиты[[#This Row],[Щит]]&amp;"|*")</f>
        <v>0</v>
      </c>
      <c r="AW12">
        <f>SUMIFS(Щиты[_внг собств],Щиты[Путь],"*|"&amp;Щиты[[#This Row],[Щит]]&amp;"|*")</f>
        <v>0</v>
      </c>
      <c r="AX12">
        <f>COUNTIFS(Линии[Щит],Щиты[[#This Row],[Щит]],Линии[Группа Кс (итог)],"Сил")</f>
        <v>0</v>
      </c>
      <c r="AY12" cm="1">
        <f t="array" ref="AY12">_xlfn.LET(_xlpm.n,Щиты[[#This Row],[_n силовых]],IF(_xlpm.n&lt;=1,1,IF(_xlpm.n&gt;=MAX(Кс75_n),INDEX(Кс75_k,ROWS(Кс75_k)),_xlfn.LET(_xlpm.m,MATCH(_xlpm.n,Кс75_n,1),INDEX(Кс75_k,_xlpm.m)+(_xlpm.n-INDEX(Кс75_n,_xlpm.m))*(INDEX(Кс75_k,_xlpm.m+1)-INDEX(Кс75_k,_xlpm.m))/(INDEX(Кс75_n,_xlpm.m+1)-INDEX(Кс75_n,_xlpm.m))))))</f>
        <v>1</v>
      </c>
      <c r="AZ12">
        <f>IF(Методика="нормы 2026",IF(AND(Щиты[[#This Row],[Руст быт, кВт]]&gt;0,Щиты[[#This Row],[Рр сил, кВт]]&gt;0),Ко_сил,1),Ко_сил)</f>
        <v>0.9</v>
      </c>
      <c r="BA12">
        <f>IF(Щиты[[#This Row],[Руст, кВт]]=0,0,Щиты[[#This Row],[Рр, кВт]]/Щиты[[#This Row],[Руст, кВт]])</f>
        <v>0.8</v>
      </c>
      <c r="BB12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Row],[Щит]],Линии[Фаза],"L1",Линии[Группа Кс (итог)],"&lt;&gt;Нет")</f>
        <v>0.6</v>
      </c>
      <c r="BC12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Row],[Щит]],Линии[Фаза],"L2",Линии[Группа Кс (итог)],"&lt;&gt;Нет")</f>
        <v>0.6</v>
      </c>
      <c r="BD12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Row],[Щит]],Линии[Фаза],"L3",Линии[Группа Кс (итог)],"&lt;&gt;Нет")</f>
        <v>0.7</v>
      </c>
      <c r="BE12" cm="1">
        <f t="array" ref="BE12">IF(Щиты[[#This Row],[_строка фидера]]="","",INDEX(Линии[ΔU, %],Щиты[[#This Row],[_строка фидера]]))</f>
        <v>0.17</v>
      </c>
      <c r="BF12">
        <f>IF(OR(N(Щиты[[#This Row],[Питающий кабель: S, мм²]])=0,N(Щиты[[#This Row],[Длина, м]])=0),0,(IF(Щиты[[#This Row],[Материал]]="алюминий",0.036,0.0225)*N(Щиты[[#This Row],[Длина, м]])/(N(Щиты[[#This Row],[Питающий кабель: S, мм²]])*MAX(1,N(Щиты[[#This Row],[Кабелей параллельно]])))*Щиты[[#This Row],[cos φ]]+0.00008*N(Щиты[[#This Row],[Длина, м]])/MAX(1,N(Щиты[[#This Row],[Кабелей параллельно]]))*SIN(ACOS(Щиты[[#This Row],[cos φ]])))*Щиты[[#This Row],[Iр, А]]/(Uн_лин*1000/SQRT(3))*100)</f>
        <v>0</v>
      </c>
      <c r="BG12">
        <f>IF(Щиты[[#This Row],[Питается от (итог)]]&lt;&gt;"",0,IF(LEFT(UPPER(TRIM(Щиты[[#This Row],[Питание: от (ТП / сеть)]])),2)="ТП",0,N(Щиты[[#This Row],[ΔU до питающего, %]])+Щиты[[#This Row],[_ΔU пит. линии]]))</f>
        <v>0</v>
      </c>
      <c r="BH12">
        <f>IF(N(Щиты[[#This Row],[Питающий кабель: S, мм²]])&gt;0,2*IF(Щиты[[#This Row],[Материал]]="алюминий",ρкз_Al,ρкз_Cu)*N(Щиты[[#This Row],[Длина, м]])/(N(Щиты[[#This Row],[Питающий кабель: S, мм²]])*MAX(1,N(Щиты[[#This Row],[Кабелей параллельно]]))),0)</f>
        <v>0</v>
      </c>
      <c r="BI12" t="str">
        <f>IF(Щиты[[#This Row],[Питается от (итог)]]&lt;&gt;"","",IF(N(Щиты[[#This Row],[Iкз min от сети, А]])&gt;0,c_min*(Uн_лин*1000/SQRT(3))/Щиты[[#This Row],[Iкз min от сети, А]],IF(AND(LEFT(UPPER(TRIM(Щиты[[#This Row],[Питание: от (ТП / сеть)]])),2)="ТП",N(Щиты[[#This Row],[Sтр, кВА]])&gt;0),0.055*Uн_лин^2/(Щиты[[#This Row],[Sтр, кВА]]/1000)*IF(Щиты[[#This Row],[Схема тр-ра]]="Y/Yн",3,1),"")))</f>
        <v/>
      </c>
      <c r="BJ12" t="str">
        <f>IF(Щиты[[#This Row],[_Zсети]]="","",Щиты[[#This Row],[_Zсети]]+Щиты[[#This Row],[_петля пит. кабеля]])</f>
        <v/>
      </c>
      <c r="BK12" cm="1">
        <f t="array" ref="BK12">IF(Щиты[[#This Row],[_строка фидера]]="","",INDEX(Линии[_Zкабеля],Щиты[[#This Row],[_строка фидера]]))</f>
        <v>0.35943333333333333</v>
      </c>
      <c r="BL12" t="str" cm="1">
        <f t="array" ref="BL12">IF(_xlfn.XLOOKUP(Щиты[[#This Row],[Корень]],Щиты[Щит],Щиты[_Zисточника],"")="","",SUMPRODUCT(--ISNUMBER(SEARCH("|"&amp;Щиты[Щит]&amp;"|",Щиты[[#This Row],[Путь]])),IFERROR(--Щиты[_Zисточника],0)+IFERROR(--Щиты[_Zфидера],0))+SUMPRODUCT(--ISNUMBER(SEARCH("|"&amp;Щиты[Щит]&amp;"|",Щиты[[#This Row],[Путь]])))*R_пер)</f>
        <v/>
      </c>
      <c r="BM12" t="str">
        <f>IF(Щиты[[#This Row],[Питается от (итог)]]&lt;&gt;"","",IF(N(Щиты[[#This Row],[Iкз max от сети, кА]])&gt;0,1.05*(Uн_лин*1000/SQRT(3))/(Щиты[[#This Row],[Iкз max от сети, кА]]*1000),IF(AND(LEFT(UPPER(TRIM(Щиты[[#This Row],[Питание: от (ТП / сеть)]])),2)="ТП",N(Щиты[[#This Row],[Sтр, кВА]])&gt;0),0.055*Uн_лин^2/(Щиты[[#This Row],[Sтр, кВА]]/1000),"")))</f>
        <v/>
      </c>
      <c r="BN12" t="str">
        <f>IF(Щиты[[#This Row],[_Zmax сети]]="","",Щиты[[#This Row],[_Zmax сети]]+IF(N(Щиты[[#This Row],[Питающий кабель: S, мм²]])&gt;0,IF(Щиты[[#This Row],[Материал]]="алюминий",0.028,0.0175)*N(Щиты[[#This Row],[Длина, м]])/(N(Щиты[[#This Row],[Питающий кабель: S, мм²]])*MAX(1,N(Щиты[[#This Row],[Кабелей параллельно]]))),0))</f>
        <v/>
      </c>
      <c r="BO12" cm="1">
        <f t="array" ref="BO12">IF(Щиты[[#This Row],[_строка фидера]]="","",INDEX(Линии[_Zmax кабеля],Щиты[[#This Row],[_строка фидера]]))</f>
        <v>0.11958333333333333</v>
      </c>
      <c r="BP12" t="str" cm="1">
        <f t="array" ref="BP12">IF(_xlfn.XLOOKUP(Щиты[[#This Row],[Корень]],Щиты[Щит],Щиты[_Zmax источника],"")="","",SUMPRODUCT(--ISNUMBER(SEARCH("|"&amp;Щиты[Щит]&amp;"|",Щиты[[#This Row],[Путь]])),IFERROR(--Щиты[_Zmax источника],0)+IFERROR(--Щиты[_Zmax фидера],0)))</f>
        <v/>
      </c>
      <c r="BQ12">
        <f>_xlfn.MAXIFS(Линии[_ранг для фидера],Линии[Щит],Щиты[[#This Row],[Щит]])</f>
        <v>1</v>
      </c>
      <c r="BR12" t="str" cm="1">
        <f t="array" ref="BR12">IFERROR(INDEX({"III","II","I","I особая"},MAX(1,_xlfn.MAXIFS(Щиты[_ранг собств],Щиты[Путь],"*|"&amp;Щиты[[#This Row],[Щит]]&amp;"|*"))),"III")</f>
        <v>III</v>
      </c>
      <c r="BS12" t="str" cm="1">
        <f t="array" ref="BS12">IF(Щиты[[#This Row],[_строка фидера]]="","",INDEX(Линии[Категория (итог)],Щиты[[#This Row],[_строка фидера]]))</f>
        <v>I</v>
      </c>
      <c r="BT12">
        <f>_xlfn.MAXIFS(Линии[Iпуск, А],Линии[Щит],Щиты[[#This Row],[Щит]])</f>
        <v>50</v>
      </c>
      <c r="BU12" t="str" cm="1">
        <f t="array" ref="BU12">IF(Щиты[[#This Row],[_строка фидера]]="","",INDEX(Линии[Источник для режимов],Щиты[[#This Row],[_строка фидера]]))</f>
        <v>ИБП</v>
      </c>
      <c r="BV12" t="str" cm="1">
        <f t="array" ref="BV12">IF(Щиты[[#This Row],[_строка фидера]]="","",INDEX(Линии[Пожарная (итог)],Щиты[[#This Row],[_строка фидера]]))</f>
        <v>нет</v>
      </c>
      <c r="BW12">
        <f>COUNTIFS(Линии[Щит],Щиты[[#This Row],[Щит]],Линии[Категория: проверка],"НЕ ОБЕСПЕЧЕНА")</f>
        <v>0</v>
      </c>
    </row>
    <row r="13" spans="1:75" x14ac:dyDescent="0.3">
      <c r="A13" t="s">
        <v>752</v>
      </c>
      <c r="C13">
        <v>1</v>
      </c>
      <c r="D13" t="s">
        <v>488</v>
      </c>
      <c r="E13" t="s">
        <v>845</v>
      </c>
      <c r="F13">
        <v>13</v>
      </c>
      <c r="U13" t="str" cm="1">
        <f t="array" ref="U13">IF(Щиты[[#This Row],[Питается от]]&lt;&gt;"",Щиты[[#This Row],[Питается от]],IFERROR(INDEX(Линии[Щит],Щиты[[#This Row],[_строка фидера]]),""))</f>
        <v>ГРЩ-ЖД</v>
      </c>
      <c r="V13" t="str">
        <f>_xlfn.TEXTJOIN("; ",TRUE,IF(AND(Щиты[[#This Row],[Питается от (итог)]]="",Щиты[[#This Row],[Zпетли на шинах, Ом]]=""),"нет данных сети для ТКЗ: введите Iкз от сетевой организации или трансформатор",""),IF(AND(Щиты[[#This Row],[Категория фидера]]&lt;&gt;"",IFERROR(MATCH(Щиты[[#This Row],[Категория фидера]],{"III","II","I","I особая"},0),1)&lt;IFERROR(MATCH(Щиты[[#This Row],[Высшая категория нагрузки]],{"III","II","I","I особая"},0),1)),"фидер "&amp;Щиты[[#This Row],[Категория фидера]]&amp;" ниже нагрузки "&amp;Щиты[[#This Row],[Высшая категория нагрузки]],""),IF(Щиты[[#This Row],[Не обеспечено, линий]]&gt;0,"не обеспечена категория у "&amp;Щиты[[#This Row],[Не обеспечено, линий]]&amp;" линий",""),IF(AND(Щиты[[#This Row],[Питается от]]&lt;&gt;"",Щиты[[#This Row],[_строка фидера]]=""),"нет линии-фидера в «Линиях»: номер линии = имя щита или столбец «Питает щит»",""),IF(AND(ISNUMBER(Щиты[[#This Row],[ΔU до шин, %]]),Щиты[[#This Row],[ΔU до шин, %]]&gt;4),"ΔU до шин "&amp;FIXED(Щиты[[#This Row],[ΔU до шин, %]],2)&amp;" % &gt; 4 %",""))</f>
        <v/>
      </c>
      <c r="W13" t="str" cm="1">
        <f t="array" ref="W13">IF(Щиты[[#This Row],[_строка фидера]]="","",INDEX(Линии[Номер линии],Щиты[[#This Row],[_строка фидера]]))</f>
        <v>ЩОВ-001</v>
      </c>
      <c r="X13">
        <f>SUMIFS(Щиты[_Руст собств],Щиты[Путь],"*|"&amp;Щиты[[#This Row],[Щит]]&amp;"|*")</f>
        <v>211.22</v>
      </c>
      <c r="Y13">
        <f>k_пк*Щиты[[#This Row],[Руст быт, кВт]]*Щиты[[#This Row],[Кс быт]]+Щиты[[#This Row],[Ко]]*Щиты[[#This Row],[Рр сил, кВт]]+Щиты[[#This Row],[Руст пост, кВт]]+Щиты[[#This Row],[Р отопления, кВт]]+Щиты[[#This Row],[Рр ВНГ, кВт]]</f>
        <v>95.049000000000007</v>
      </c>
      <c r="Z13">
        <f>IFERROR(MAX(MAX(Щиты[[#This Row],[P L1, кВт]],Щиты[[#This Row],[P L2, кВт]],Щиты[[#This Row],[P L3, кВт]])*Щиты[[#This Row],[Кс итог]]/((Uн_лин*1000/SQRT(3))/1000*Щиты[[#This Row],[cos φ]]),Щиты[[#This Row],[Рр, кВт]]/(SQRT(3)*Uн_лин*Щиты[[#This Row],[cos φ]])),0)</f>
        <v>146.36057225379065</v>
      </c>
      <c r="AA13">
        <f>IFERROR(SUMIFS(Щиты[_Pcos собств],Щиты[Путь],"*|"&amp;Щиты[[#This Row],[Щит]]&amp;"|*")/SUMIFS(Щиты[_P собств],Щиты[Путь],"*|"&amp;Щиты[[#This Row],[Щит]]&amp;"|*"),0.95)</f>
        <v>0.94999999999999984</v>
      </c>
      <c r="AB13" cm="1">
        <f t="array" ref="AB13">SUMPRODUCT(--ISNUMBER(SEARCH("|"&amp;Щиты[Щит]&amp;"|",Щиты[[#This Row],[Путь]])),IFERROR(--Щиты[_ΔU фидера],0)+IFERROR(--Щиты[_ΔU источника],0))</f>
        <v>0.5</v>
      </c>
      <c r="AC13" t="str">
        <f>IF(ISNUMBER(Щиты[[#This Row],[Zпетли на шинах, Ом]]),c_min*(Uн_лин*1000/SQRT(3))/Щиты[[#This Row],[Zпетли на шинах, Ом]],"")</f>
        <v/>
      </c>
      <c r="AD13" t="str">
        <f>IF(ISNUMBER(Щиты[[#This Row],[Zmax на шинах, Ом]]),1.05*(Uн_лин*1000/SQRT(3))/Щиты[[#This Row],[Zmax на шинах, Ом]]/1000,"")</f>
        <v/>
      </c>
      <c r="AE13" t="str" cm="1">
        <f t="array" ref="AE13">_xlfn.LET(_xlpm.w,_xlfn.TEXTSPLIT(Щиты[[#This Row],[Путь]],"|"),_xlpm.names,_xlfn._xlws.FILTER(_xlpm.w,_xlpm.w&lt;&gt;""),_xlfn.REDUCE("",_xlpm.names,_xlfn.LAMBDA(_xlpm.acc,_xlpm.nm,_xlfn.LET(_xlpm.inp,N(_xlfn.XLOOKUP(_xlpm.nm,Щиты[Щит],Щиты[Вводов],1)),_xlpm.avr,LOWER(TRIM(_xlfn.XLOOKUP(_xlpm.nm,Щиты[Щит],Щиты[АВР],"нет")&amp;"")),_xlpm.own,IF(_xlpm.inp&gt;=2,IF(_xlpm.avr="да","I","II"),"III"),_xlpm.fr,_xlfn.XLOOKUP(_xlpm.nm,Щиты[Щит],Щиты[_строка фидера],""),_xlpm.bt,IF(_xlpm.fr="","",INDEX(Линии[Тип шины],_xlpm.fr)&amp;""),_xlpm.man,TRIM(_xlfn.XLOOKUP(_xlpm.nm,Щиты[Щит],Щиты[Кат. питающей линии (ручн.)],"")&amp;""),_xlpm.up,IF(_xlpm.acc="",_xlpm.man,IF(OR(_xlpm.bt="ИБП",_xlpm.bt="ДГУ"),"I особая",IF(_xlpm.bt="Одиночная","III",_xlpm.acc))),IF(_xlpm.own&lt;&gt;"III",_xlpm.own,IF(OR(_xlpm.up="I особая",_xlpm.up="I",_xlpm.up="II"),"II","III"))))))</f>
        <v>II</v>
      </c>
      <c r="AF13" t="str" cm="1">
        <f t="array" ref="AF13">_xlfn.LET(_xlpm.f,_xlfn.LAMBDA(_xlpm.x,IF(_xlpm.x="","",_xlfn.XLOOKUP(_xlpm.x,Щиты[Щит],Щиты[Питается от (итог)],"")&amp;"")),_xlpm.п0,Щиты[[#This Row],[Щит]],_xlpm.п1,_xlpm.f(_xlpm.п0),_xlpm.п2,_xlpm.f(_xlpm.п1),_xlpm.п3,_xlpm.f(_xlpm.п2),_xlpm.п4,_xlpm.f(_xlpm.п3),_xlpm.п5,_xlpm.f(_xlpm.п4),_xlpm.п6,_xlpm.f(_xlpm.п5),_xlpm.п7,_xlpm.f(_xlpm.п6),"|"&amp;_xlfn.TEXTJOIN("|",TRUE,_xlpm.п7,_xlpm.п6,_xlpm.п5,_xlpm.п4,_xlpm.п3,_xlpm.п2,_xlpm.п1,_xlpm.п0)&amp;"|")</f>
        <v>|ГРЩ-ЖД|ЩОВ-001|</v>
      </c>
      <c r="AG13" t="str">
        <f>_xlfn.TEXTBEFORE(MID(Щиты[[#This Row],[Путь]],2,999),"|")</f>
        <v>ГРЩ-ЖД</v>
      </c>
      <c r="AH13">
        <f>LEN(Щиты[[#This Row],[Путь]])-LEN(SUBSTITUTE(Щиты[[#This Row],[Путь]],"|",""))-2</f>
        <v>1</v>
      </c>
      <c r="AI13">
        <f>IFERROR(_xlfn.XMATCH(Щиты[[#This Row],[Щит]],Линии[_фидер]),"")</f>
        <v>6</v>
      </c>
      <c r="AJ13">
        <f>SUMIFS(Линии[_Руст (без Нет)],Линии[Щит],Щиты[[#This Row],[Щит]])</f>
        <v>211.22</v>
      </c>
      <c r="AK13">
        <f>SUMIFS(Линии[_Руст быт],Линии[Щит],Щиты[[#This Row],[Щит]])</f>
        <v>0</v>
      </c>
      <c r="AL13">
        <f>SUMIFS(Линии[_Рр сил],Линии[Щит],Щиты[[#This Row],[Щит]])</f>
        <v>105.61</v>
      </c>
      <c r="AM13">
        <f>SUMIFS(Линии[_Руст пост],Линии[Щит],Щиты[[#This Row],[Щит]])</f>
        <v>0</v>
      </c>
      <c r="AN13">
        <f>SUMIFS(Линии[_P для cos],Линии[Щит],Щиты[[#This Row],[Щит]])</f>
        <v>211.22</v>
      </c>
      <c r="AO13">
        <f>SUMIFS(Линии[_P·cos],Линии[Щит],Щиты[[#This Row],[Щит]])</f>
        <v>200.65899999999996</v>
      </c>
      <c r="AP13">
        <f>SUMIFS(Линии[_Р отопления],Линии[Щит],Щиты[[#This Row],[Щит]])</f>
        <v>0</v>
      </c>
      <c r="AQ13">
        <f>SUMIFS(Линии[_Рр ВНГ],Линии[Щит],Щиты[[#This Row],[Щит]])</f>
        <v>0</v>
      </c>
      <c r="AR13">
        <f>SUMIFS(Щиты[_быт собств],Щиты[Путь],"*|"&amp;Щиты[[#This Row],[Щит]]&amp;"|*")</f>
        <v>0</v>
      </c>
      <c r="AS13" cm="1">
        <f t="array" ref="AS13">_xlfn.LET(_xlpm.x,Щиты[[#This Row],[Руст быт, кВт]],_xlpm.m,MATCH(_xlpm.x,Кс_Р,1),IF(_xlpm.x&gt;=INDEX(Кс_Р,ROWS(Кс_Р)),INDEX(Кс_К,ROWS(Кс_К)),INDEX(Кс_К,_xlpm.m)+(_xlpm.x-INDEX(Кс_Р,_xlpm.m))*(INDEX(Кс_К,_xlpm.m+1)-INDEX(Кс_К,_xlpm.m))/(INDEX(Кс_Р,_xlpm.m+1)-INDEX(Кс_Р,_xlpm.m))))</f>
        <v>0.8</v>
      </c>
      <c r="AT13">
        <f>SUMIFS(Щиты[_сил собств],Щиты[Путь],"*|"&amp;Щиты[[#This Row],[Щит]]&amp;"|*")</f>
        <v>105.61</v>
      </c>
      <c r="AU13">
        <f>SUMIFS(Щиты[_пост собств],Щиты[Путь],"*|"&amp;Щиты[[#This Row],[Щит]]&amp;"|*")</f>
        <v>0</v>
      </c>
      <c r="AV13">
        <f>SUMIFS(Щиты[_отоп собств],Щиты[Путь],"*|"&amp;Щиты[[#This Row],[Щит]]&amp;"|*")</f>
        <v>0</v>
      </c>
      <c r="AW13">
        <f>SUMIFS(Щиты[_внг собств],Щиты[Путь],"*|"&amp;Щиты[[#This Row],[Щит]]&amp;"|*")</f>
        <v>0</v>
      </c>
      <c r="AX13">
        <f>COUNTIFS(Линии[Щит],Щиты[[#This Row],[Щит]],Линии[Группа Кс (итог)],"Сил")</f>
        <v>34</v>
      </c>
      <c r="AY13" cm="1">
        <f t="array" ref="AY13">_xlfn.LET(_xlpm.n,Щиты[[#This Row],[_n силовых]],IF(_xlpm.n&lt;=1,1,IF(_xlpm.n&gt;=MAX(Кс75_n),INDEX(Кс75_k,ROWS(Кс75_k)),_xlfn.LET(_xlpm.m,MATCH(_xlpm.n,Кс75_n,1),INDEX(Кс75_k,_xlpm.m)+(_xlpm.n-INDEX(Кс75_n,_xlpm.m))*(INDEX(Кс75_k,_xlpm.m+1)-INDEX(Кс75_k,_xlpm.m))/(INDEX(Кс75_n,_xlpm.m+1)-INDEX(Кс75_n,_xlpm.m))))))</f>
        <v>0.59</v>
      </c>
      <c r="AZ13">
        <f>IF(Методика="нормы 2026",IF(AND(Щиты[[#This Row],[Руст быт, кВт]]&gt;0,Щиты[[#This Row],[Рр сил, кВт]]&gt;0),Ко_сил,1),Ко_сил)</f>
        <v>0.9</v>
      </c>
      <c r="BA13">
        <f>IF(Щиты[[#This Row],[Руст, кВт]]=0,0,Щиты[[#This Row],[Рр, кВт]]/Щиты[[#This Row],[Руст, кВт]])</f>
        <v>0.45</v>
      </c>
      <c r="BB13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Row],[Щит]],Линии[Фаза],"L1",Линии[Группа Кс (итог)],"&lt;&gt;Нет")</f>
        <v>69.926666666666662</v>
      </c>
      <c r="BC13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Row],[Щит]],Линии[Фаза],"L2",Линии[Группа Кс (итог)],"&lt;&gt;Нет")</f>
        <v>69.936666666666667</v>
      </c>
      <c r="BD13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Row],[Щит]],Линии[Фаза],"L3",Линии[Группа Кс (итог)],"&lt;&gt;Нет")</f>
        <v>71.356666666666669</v>
      </c>
      <c r="BE13" cm="1">
        <f t="array" ref="BE13">IF(Щиты[[#This Row],[_строка фидера]]="","",INDEX(Линии[ΔU, %],Щиты[[#This Row],[_строка фидера]]))</f>
        <v>0.5</v>
      </c>
      <c r="BF13">
        <f>IF(OR(N(Щиты[[#This Row],[Питающий кабель: S, мм²]])=0,N(Щиты[[#This Row],[Длина, м]])=0),0,(IF(Щиты[[#This Row],[Материал]]="алюминий",0.036,0.0225)*N(Щиты[[#This Row],[Длина, м]])/(N(Щиты[[#This Row],[Питающий кабель: S, мм²]])*MAX(1,N(Щиты[[#This Row],[Кабелей параллельно]])))*Щиты[[#This Row],[cos φ]]+0.00008*N(Щиты[[#This Row],[Длина, м]])/MAX(1,N(Щиты[[#This Row],[Кабелей параллельно]]))*SIN(ACOS(Щиты[[#This Row],[cos φ]])))*Щиты[[#This Row],[Iр, А]]/(Uн_лин*1000/SQRT(3))*100)</f>
        <v>0</v>
      </c>
      <c r="BG13">
        <f>IF(Щиты[[#This Row],[Питается от (итог)]]&lt;&gt;"",0,IF(LEFT(UPPER(TRIM(Щиты[[#This Row],[Питание: от (ТП / сеть)]])),2)="ТП",0,N(Щиты[[#This Row],[ΔU до питающего, %]])+Щиты[[#This Row],[_ΔU пит. линии]]))</f>
        <v>0</v>
      </c>
      <c r="BH13">
        <f>IF(N(Щиты[[#This Row],[Питающий кабель: S, мм²]])&gt;0,2*IF(Щиты[[#This Row],[Материал]]="алюминий",ρкз_Al,ρкз_Cu)*N(Щиты[[#This Row],[Длина, м]])/(N(Щиты[[#This Row],[Питающий кабель: S, мм²]])*MAX(1,N(Щиты[[#This Row],[Кабелей параллельно]]))),0)</f>
        <v>0</v>
      </c>
      <c r="BI13" t="str">
        <f>IF(Щиты[[#This Row],[Питается от (итог)]]&lt;&gt;"","",IF(N(Щиты[[#This Row],[Iкз min от сети, А]])&gt;0,c_min*(Uн_лин*1000/SQRT(3))/Щиты[[#This Row],[Iкз min от сети, А]],IF(AND(LEFT(UPPER(TRIM(Щиты[[#This Row],[Питание: от (ТП / сеть)]])),2)="ТП",N(Щиты[[#This Row],[Sтр, кВА]])&gt;0),0.055*Uн_лин^2/(Щиты[[#This Row],[Sтр, кВА]]/1000)*IF(Щиты[[#This Row],[Схема тр-ра]]="Y/Yн",3,1),"")))</f>
        <v/>
      </c>
      <c r="BJ13" t="str">
        <f>IF(Щиты[[#This Row],[_Zсети]]="","",Щиты[[#This Row],[_Zсети]]+Щиты[[#This Row],[_петля пит. кабеля]])</f>
        <v/>
      </c>
      <c r="BK13" cm="1">
        <f t="array" ref="BK13">IF(Щиты[[#This Row],[_строка фидера]]="","",INDEX(Линии[_Zкабеля],Щиты[[#This Row],[_строка фидера]]))</f>
        <v>1.6490810810810812E-2</v>
      </c>
      <c r="BL13" t="str" cm="1">
        <f t="array" ref="BL13">IF(_xlfn.XLOOKUP(Щиты[[#This Row],[Корень]],Щиты[Щит],Щиты[_Zисточника],"")="","",SUMPRODUCT(--ISNUMBER(SEARCH("|"&amp;Щиты[Щит]&amp;"|",Щиты[[#This Row],[Путь]])),IFERROR(--Щиты[_Zисточника],0)+IFERROR(--Щиты[_Zфидера],0))+SUMPRODUCT(--ISNUMBER(SEARCH("|"&amp;Щиты[Щит]&amp;"|",Щиты[[#This Row],[Путь]])))*R_пер)</f>
        <v/>
      </c>
      <c r="BM13" t="str">
        <f>IF(Щиты[[#This Row],[Питается от (итог)]]&lt;&gt;"","",IF(N(Щиты[[#This Row],[Iкз max от сети, кА]])&gt;0,1.05*(Uн_лин*1000/SQRT(3))/(Щиты[[#This Row],[Iкз max от сети, кА]]*1000),IF(AND(LEFT(UPPER(TRIM(Щиты[[#This Row],[Питание: от (ТП / сеть)]])),2)="ТП",N(Щиты[[#This Row],[Sтр, кВА]])&gt;0),0.055*Uн_лин^2/(Щиты[[#This Row],[Sтр, кВА]]/1000),"")))</f>
        <v/>
      </c>
      <c r="BN13" t="str">
        <f>IF(Щиты[[#This Row],[_Zmax сети]]="","",Щиты[[#This Row],[_Zmax сети]]+IF(N(Щиты[[#This Row],[Питающий кабель: S, мм²]])&gt;0,IF(Щиты[[#This Row],[Материал]]="алюминий",0.028,0.0175)*N(Щиты[[#This Row],[Длина, м]])/(N(Щиты[[#This Row],[Питающий кабель: S, мм²]])*MAX(1,N(Щиты[[#This Row],[Кабелей параллельно]]))),0))</f>
        <v/>
      </c>
      <c r="BO13" cm="1">
        <f t="array" ref="BO13">IF(Щиты[[#This Row],[_строка фидера]]="","",INDEX(Линии[_Zmax кабеля],Щиты[[#This Row],[_строка фидера]]))</f>
        <v>5.486486486486487E-3</v>
      </c>
      <c r="BP13" t="str" cm="1">
        <f t="array" ref="BP13">IF(_xlfn.XLOOKUP(Щиты[[#This Row],[Корень]],Щиты[Щит],Щиты[_Zmax источника],"")="","",SUMPRODUCT(--ISNUMBER(SEARCH("|"&amp;Щиты[Щит]&amp;"|",Щиты[[#This Row],[Путь]])),IFERROR(--Щиты[_Zmax источника],0)+IFERROR(--Щиты[_Zmax фидера],0)))</f>
        <v/>
      </c>
      <c r="BQ13">
        <f>_xlfn.MAXIFS(Линии[_ранг для фидера],Линии[Щит],Щиты[[#This Row],[Щит]])</f>
        <v>2</v>
      </c>
      <c r="BR13" t="str" cm="1">
        <f t="array" ref="BR13">IFERROR(INDEX({"III","II","I","I особая"},MAX(1,_xlfn.MAXIFS(Щиты[_ранг собств],Щиты[Путь],"*|"&amp;Щиты[[#This Row],[Щит]]&amp;"|*"))),"III")</f>
        <v>II</v>
      </c>
      <c r="BS13" t="str" cm="1">
        <f t="array" ref="BS13">IF(Щиты[[#This Row],[_строка фидера]]="","",INDEX(Линии[Категория (итог)],Щиты[[#This Row],[_строка фидера]]))</f>
        <v>II</v>
      </c>
      <c r="BT13">
        <f>_xlfn.MAXIFS(Линии[Iпуск, А],Линии[Щит],Щиты[[#This Row],[Щит]])</f>
        <v>0</v>
      </c>
      <c r="BU13" t="str" cm="1">
        <f t="array" ref="BU13">IF(Щиты[[#This Row],[_строка фидера]]="","",INDEX(Линии[Источник для режимов],Щиты[[#This Row],[_строка фидера]]))</f>
        <v>Ввод 2</v>
      </c>
      <c r="BV13" t="str" cm="1">
        <f t="array" ref="BV13">IF(Щиты[[#This Row],[_строка фидера]]="","",INDEX(Линии[Пожарная (итог)],Щиты[[#This Row],[_строка фидера]]))</f>
        <v>нет</v>
      </c>
      <c r="BW13">
        <f>COUNTIFS(Линии[Щит],Щиты[[#This Row],[Щит]],Линии[Категория: проверка],"НЕ ОБЕСПЕЧЕНА")</f>
        <v>0</v>
      </c>
    </row>
    <row r="14" spans="1:75" x14ac:dyDescent="0.3">
      <c r="A14" t="s">
        <v>754</v>
      </c>
      <c r="C14">
        <v>1</v>
      </c>
      <c r="D14" t="s">
        <v>488</v>
      </c>
      <c r="E14" t="s">
        <v>845</v>
      </c>
      <c r="F14">
        <v>18</v>
      </c>
      <c r="U14" t="str" cm="1">
        <f t="array" ref="U14">IF(Щиты[[#This Row],[Питается от]]&lt;&gt;"",Щиты[[#This Row],[Питается от]],IFERROR(INDEX(Линии[Щит],Щиты[[#This Row],[_строка фидера]]),""))</f>
        <v>ГРЩ-ЖД</v>
      </c>
      <c r="V14" t="str">
        <f>_xlfn.TEXTJOIN("; ",TRUE,IF(AND(Щиты[[#This Row],[Питается от (итог)]]="",Щиты[[#This Row],[Zпетли на шинах, Ом]]=""),"нет данных сети для ТКЗ: введите Iкз от сетевой организации или трансформатор",""),IF(AND(Щиты[[#This Row],[Категория фидера]]&lt;&gt;"",IFERROR(MATCH(Щиты[[#This Row],[Категория фидера]],{"III","II","I","I особая"},0),1)&lt;IFERROR(MATCH(Щиты[[#This Row],[Высшая категория нагрузки]],{"III","II","I","I особая"},0),1)),"фидер "&amp;Щиты[[#This Row],[Категория фидера]]&amp;" ниже нагрузки "&amp;Щиты[[#This Row],[Высшая категория нагрузки]],""),IF(Щиты[[#This Row],[Не обеспечено, линий]]&gt;0,"не обеспечена категория у "&amp;Щиты[[#This Row],[Не обеспечено, линий]]&amp;" линий",""),IF(AND(Щиты[[#This Row],[Питается от]]&lt;&gt;"",Щиты[[#This Row],[_строка фидера]]=""),"нет линии-фидера в «Линиях»: номер линии = имя щита или столбец «Питает щит»",""),IF(AND(ISNUMBER(Щиты[[#This Row],[ΔU до шин, %]]),Щиты[[#This Row],[ΔU до шин, %]]&gt;4),"ΔU до шин "&amp;FIXED(Щиты[[#This Row],[ΔU до шин, %]],2)&amp;" % &gt; 4 %",""))</f>
        <v/>
      </c>
      <c r="W14" t="str" cm="1">
        <f t="array" ref="W14">IF(Щиты[[#This Row],[_строка фидера]]="","",INDEX(Линии[Номер линии],Щиты[[#This Row],[_строка фидера]]))</f>
        <v>ЩОВ-002</v>
      </c>
      <c r="X14">
        <f>SUMIFS(Щиты[_Руст собств],Щиты[Путь],"*|"&amp;Щиты[[#This Row],[Щит]]&amp;"|*")</f>
        <v>6.99</v>
      </c>
      <c r="Y14">
        <f>k_пк*Щиты[[#This Row],[Руст быт, кВт]]*Щиты[[#This Row],[Кс быт]]+Щиты[[#This Row],[Ко]]*Щиты[[#This Row],[Рр сил, кВт]]+Щиты[[#This Row],[Руст пост, кВт]]+Щиты[[#This Row],[Р отопления, кВт]]+Щиты[[#This Row],[Рр ВНГ, кВт]]</f>
        <v>3.1455000000000002</v>
      </c>
      <c r="Z14">
        <f>IFERROR(MAX(MAX(Щиты[[#This Row],[P L1, кВт]],Щиты[[#This Row],[P L2, кВт]],Щиты[[#This Row],[P L3, кВт]])*Щиты[[#This Row],[Кс итог]]/((Uн_лин*1000/SQRT(3))/1000*Щиты[[#This Row],[cos φ]]),Щиты[[#This Row],[Рр, кВт]]/(SQRT(3)*Uн_лин*Щиты[[#This Row],[cos φ]])),0)</f>
        <v>6.1533383953104872</v>
      </c>
      <c r="AA14">
        <f>IFERROR(SUMIFS(Щиты[_Pcos собств],Щиты[Путь],"*|"&amp;Щиты[[#This Row],[Щит]]&amp;"|*")/SUMIFS(Щиты[_P собств],Щиты[Путь],"*|"&amp;Щиты[[#This Row],[Щит]]&amp;"|*"),0.95)</f>
        <v>0.94999999999999962</v>
      </c>
      <c r="AB14" cm="1">
        <f t="array" ref="AB14">SUMPRODUCT(--ISNUMBER(SEARCH("|"&amp;Щиты[Щит]&amp;"|",Щиты[[#This Row],[Путь]])),IFERROR(--Щиты[_ΔU фидера],0)+IFERROR(--Щиты[_ΔU источника],0))</f>
        <v>0.66</v>
      </c>
      <c r="AC14" t="str">
        <f>IF(ISNUMBER(Щиты[[#This Row],[Zпетли на шинах, Ом]]),c_min*(Uн_лин*1000/SQRT(3))/Щиты[[#This Row],[Zпетли на шинах, Ом]],"")</f>
        <v/>
      </c>
      <c r="AD14" t="str">
        <f>IF(ISNUMBER(Щиты[[#This Row],[Zmax на шинах, Ом]]),1.05*(Uн_лин*1000/SQRT(3))/Щиты[[#This Row],[Zmax на шинах, Ом]]/1000,"")</f>
        <v/>
      </c>
      <c r="AE14" t="str" cm="1">
        <f t="array" ref="AE14">_xlfn.LET(_xlpm.w,_xlfn.TEXTSPLIT(Щиты[[#This Row],[Путь]],"|"),_xlpm.names,_xlfn._xlws.FILTER(_xlpm.w,_xlpm.w&lt;&gt;""),_xlfn.REDUCE("",_xlpm.names,_xlfn.LAMBDA(_xlpm.acc,_xlpm.nm,_xlfn.LET(_xlpm.inp,N(_xlfn.XLOOKUP(_xlpm.nm,Щиты[Щит],Щиты[Вводов],1)),_xlpm.avr,LOWER(TRIM(_xlfn.XLOOKUP(_xlpm.nm,Щиты[Щит],Щиты[АВР],"нет")&amp;"")),_xlpm.own,IF(_xlpm.inp&gt;=2,IF(_xlpm.avr="да","I","II"),"III"),_xlpm.fr,_xlfn.XLOOKUP(_xlpm.nm,Щиты[Щит],Щиты[_строка фидера],""),_xlpm.bt,IF(_xlpm.fr="","",INDEX(Линии[Тип шины],_xlpm.fr)&amp;""),_xlpm.man,TRIM(_xlfn.XLOOKUP(_xlpm.nm,Щиты[Щит],Щиты[Кат. питающей линии (ручн.)],"")&amp;""),_xlpm.up,IF(_xlpm.acc="",_xlpm.man,IF(OR(_xlpm.bt="ИБП",_xlpm.bt="ДГУ"),"I особая",IF(_xlpm.bt="Одиночная","III",_xlpm.acc))),IF(_xlpm.own&lt;&gt;"III",_xlpm.own,IF(OR(_xlpm.up="I особая",_xlpm.up="I",_xlpm.up="II"),"II","III"))))))</f>
        <v>II</v>
      </c>
      <c r="AF14" t="str" cm="1">
        <f t="array" ref="AF14">_xlfn.LET(_xlpm.f,_xlfn.LAMBDA(_xlpm.x,IF(_xlpm.x="","",_xlfn.XLOOKUP(_xlpm.x,Щиты[Щит],Щиты[Питается от (итог)],"")&amp;"")),_xlpm.п0,Щиты[[#This Row],[Щит]],_xlpm.п1,_xlpm.f(_xlpm.п0),_xlpm.п2,_xlpm.f(_xlpm.п1),_xlpm.п3,_xlpm.f(_xlpm.п2),_xlpm.п4,_xlpm.f(_xlpm.п3),_xlpm.п5,_xlpm.f(_xlpm.п4),_xlpm.п6,_xlpm.f(_xlpm.п5),_xlpm.п7,_xlpm.f(_xlpm.п6),"|"&amp;_xlfn.TEXTJOIN("|",TRUE,_xlpm.п7,_xlpm.п6,_xlpm.п5,_xlpm.п4,_xlpm.п3,_xlpm.п2,_xlpm.п1,_xlpm.п0)&amp;"|")</f>
        <v>|ГРЩ-ЖД|ЩОВ-002|</v>
      </c>
      <c r="AG14" t="str">
        <f>_xlfn.TEXTBEFORE(MID(Щиты[[#This Row],[Путь]],2,999),"|")</f>
        <v>ГРЩ-ЖД</v>
      </c>
      <c r="AH14">
        <f>LEN(Щиты[[#This Row],[Путь]])-LEN(SUBSTITUTE(Щиты[[#This Row],[Путь]],"|",""))-2</f>
        <v>1</v>
      </c>
      <c r="AI14">
        <f>IFERROR(_xlfn.XMATCH(Щиты[[#This Row],[Щит]],Линии[_фидер]),"")</f>
        <v>7</v>
      </c>
      <c r="AJ14">
        <f>SUMIFS(Линии[_Руст (без Нет)],Линии[Щит],Щиты[[#This Row],[Щит]])</f>
        <v>6.99</v>
      </c>
      <c r="AK14">
        <f>SUMIFS(Линии[_Руст быт],Линии[Щит],Щиты[[#This Row],[Щит]])</f>
        <v>0</v>
      </c>
      <c r="AL14">
        <f>SUMIFS(Линии[_Рр сил],Линии[Щит],Щиты[[#This Row],[Щит]])</f>
        <v>3.4950000000000001</v>
      </c>
      <c r="AM14">
        <f>SUMIFS(Линии[_Руст пост],Линии[Щит],Щиты[[#This Row],[Щит]])</f>
        <v>0</v>
      </c>
      <c r="AN14">
        <f>SUMIFS(Линии[_P для cos],Линии[Щит],Щиты[[#This Row],[Щит]])</f>
        <v>6.99</v>
      </c>
      <c r="AO14">
        <f>SUMIFS(Линии[_P·cos],Линии[Щит],Щиты[[#This Row],[Щит]])</f>
        <v>6.6404999999999976</v>
      </c>
      <c r="AP14">
        <f>SUMIFS(Линии[_Р отопления],Линии[Щит],Щиты[[#This Row],[Щит]])</f>
        <v>0</v>
      </c>
      <c r="AQ14">
        <f>SUMIFS(Линии[_Рр ВНГ],Линии[Щит],Щиты[[#This Row],[Щит]])</f>
        <v>0</v>
      </c>
      <c r="AR14">
        <f>SUMIFS(Щиты[_быт собств],Щиты[Путь],"*|"&amp;Щиты[[#This Row],[Щит]]&amp;"|*")</f>
        <v>0</v>
      </c>
      <c r="AS14" cm="1">
        <f t="array" ref="AS14">_xlfn.LET(_xlpm.x,Щиты[[#This Row],[Руст быт, кВт]],_xlpm.m,MATCH(_xlpm.x,Кс_Р,1),IF(_xlpm.x&gt;=INDEX(Кс_Р,ROWS(Кс_Р)),INDEX(Кс_К,ROWS(Кс_К)),INDEX(Кс_К,_xlpm.m)+(_xlpm.x-INDEX(Кс_Р,_xlpm.m))*(INDEX(Кс_К,_xlpm.m+1)-INDEX(Кс_К,_xlpm.m))/(INDEX(Кс_Р,_xlpm.m+1)-INDEX(Кс_Р,_xlpm.m))))</f>
        <v>0.8</v>
      </c>
      <c r="AT14">
        <f>SUMIFS(Щиты[_сил собств],Щиты[Путь],"*|"&amp;Щиты[[#This Row],[Щит]]&amp;"|*")</f>
        <v>3.4950000000000001</v>
      </c>
      <c r="AU14">
        <f>SUMIFS(Щиты[_пост собств],Щиты[Путь],"*|"&amp;Щиты[[#This Row],[Щит]]&amp;"|*")</f>
        <v>0</v>
      </c>
      <c r="AV14">
        <f>SUMIFS(Щиты[_отоп собств],Щиты[Путь],"*|"&amp;Щиты[[#This Row],[Щит]]&amp;"|*")</f>
        <v>0</v>
      </c>
      <c r="AW14">
        <f>SUMIFS(Щиты[_внг собств],Щиты[Путь],"*|"&amp;Щиты[[#This Row],[Щит]]&amp;"|*")</f>
        <v>0</v>
      </c>
      <c r="AX14">
        <f>COUNTIFS(Линии[Щит],Щиты[[#This Row],[Щит]],Линии[Группа Кс (итог)],"Сил")</f>
        <v>13</v>
      </c>
      <c r="AY14" cm="1">
        <f t="array" ref="AY14">_xlfn.LET(_xlpm.n,Щиты[[#This Row],[_n силовых]],IF(_xlpm.n&lt;=1,1,IF(_xlpm.n&gt;=MAX(Кс75_n),INDEX(Кс75_k,ROWS(Кс75_k)),_xlfn.LET(_xlpm.m,MATCH(_xlpm.n,Кс75_n,1),INDEX(Кс75_k,_xlpm.m)+(_xlpm.n-INDEX(Кс75_n,_xlpm.m))*(INDEX(Кс75_k,_xlpm.m+1)-INDEX(Кс75_k,_xlpm.m))/(INDEX(Кс75_n,_xlpm.m+1)-INDEX(Кс75_n,_xlpm.m))))))</f>
        <v>0.67</v>
      </c>
      <c r="AZ14">
        <f>IF(Методика="нормы 2026",IF(AND(Щиты[[#This Row],[Руст быт, кВт]]&gt;0,Щиты[[#This Row],[Рр сил, кВт]]&gt;0),Ко_сил,1),Ко_сил)</f>
        <v>0.9</v>
      </c>
      <c r="BA14">
        <f>IF(Щиты[[#This Row],[Руст, кВт]]=0,0,Щиты[[#This Row],[Рр, кВт]]/Щиты[[#This Row],[Руст, кВт]])</f>
        <v>0.45</v>
      </c>
      <c r="BB14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Row],[Щит]],Линии[Фаза],"L1",Линии[Группа Кс (итог)],"&lt;&gt;Нет")</f>
        <v>1.8900000000000006</v>
      </c>
      <c r="BC14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Row],[Щит]],Линии[Фаза],"L2",Линии[Группа Кс (итог)],"&lt;&gt;Нет")</f>
        <v>2.1</v>
      </c>
      <c r="BD14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Row],[Щит]],Линии[Фаза],"L3",Линии[Группа Кс (итог)],"&lt;&gt;Нет")</f>
        <v>3</v>
      </c>
      <c r="BE14" cm="1">
        <f t="array" ref="BE14">IF(Щиты[[#This Row],[_строка фидера]]="","",INDEX(Линии[ΔU, %],Щиты[[#This Row],[_строка фидера]]))</f>
        <v>0.66</v>
      </c>
      <c r="BF14">
        <f>IF(OR(N(Щиты[[#This Row],[Питающий кабель: S, мм²]])=0,N(Щиты[[#This Row],[Длина, м]])=0),0,(IF(Щиты[[#This Row],[Материал]]="алюминий",0.036,0.0225)*N(Щиты[[#This Row],[Длина, м]])/(N(Щиты[[#This Row],[Питающий кабель: S, мм²]])*MAX(1,N(Щиты[[#This Row],[Кабелей параллельно]])))*Щиты[[#This Row],[cos φ]]+0.00008*N(Щиты[[#This Row],[Длина, м]])/MAX(1,N(Щиты[[#This Row],[Кабелей параллельно]]))*SIN(ACOS(Щиты[[#This Row],[cos φ]])))*Щиты[[#This Row],[Iр, А]]/(Uн_лин*1000/SQRT(3))*100)</f>
        <v>0</v>
      </c>
      <c r="BG14">
        <f>IF(Щиты[[#This Row],[Питается от (итог)]]&lt;&gt;"",0,IF(LEFT(UPPER(TRIM(Щиты[[#This Row],[Питание: от (ТП / сеть)]])),2)="ТП",0,N(Щиты[[#This Row],[ΔU до питающего, %]])+Щиты[[#This Row],[_ΔU пит. линии]]))</f>
        <v>0</v>
      </c>
      <c r="BH14">
        <f>IF(N(Щиты[[#This Row],[Питающий кабель: S, мм²]])&gt;0,2*IF(Щиты[[#This Row],[Материал]]="алюминий",ρкз_Al,ρкз_Cu)*N(Щиты[[#This Row],[Длина, м]])/(N(Щиты[[#This Row],[Питающий кабель: S, мм²]])*MAX(1,N(Щиты[[#This Row],[Кабелей параллельно]]))),0)</f>
        <v>0</v>
      </c>
      <c r="BI14" t="str">
        <f>IF(Щиты[[#This Row],[Питается от (итог)]]&lt;&gt;"","",IF(N(Щиты[[#This Row],[Iкз min от сети, А]])&gt;0,c_min*(Uн_лин*1000/SQRT(3))/Щиты[[#This Row],[Iкз min от сети, А]],IF(AND(LEFT(UPPER(TRIM(Щиты[[#This Row],[Питание: от (ТП / сеть)]])),2)="ТП",N(Щиты[[#This Row],[Sтр, кВА]])&gt;0),0.055*Uн_лин^2/(Щиты[[#This Row],[Sтр, кВА]]/1000)*IF(Щиты[[#This Row],[Схема тр-ра]]="Y/Yн",3,1),"")))</f>
        <v/>
      </c>
      <c r="BJ14" t="str">
        <f>IF(Щиты[[#This Row],[_Zсети]]="","",Щиты[[#This Row],[_Zсети]]+Щиты[[#This Row],[_петля пит. кабеля]])</f>
        <v/>
      </c>
      <c r="BK14" cm="1">
        <f t="array" ref="BK14">IF(Щиты[[#This Row],[_строка фидера]]="","",INDEX(Линии[_Zкабеля],Щиты[[#This Row],[_строка фидера]]))</f>
        <v>0.60489999999999999</v>
      </c>
      <c r="BL14" t="str" cm="1">
        <f t="array" ref="BL14">IF(_xlfn.XLOOKUP(Щиты[[#This Row],[Корень]],Щиты[Щит],Щиты[_Zисточника],"")="","",SUMPRODUCT(--ISNUMBER(SEARCH("|"&amp;Щиты[Щит]&amp;"|",Щиты[[#This Row],[Путь]])),IFERROR(--Щиты[_Zисточника],0)+IFERROR(--Щиты[_Zфидера],0))+SUMPRODUCT(--ISNUMBER(SEARCH("|"&amp;Щиты[Щит]&amp;"|",Щиты[[#This Row],[Путь]])))*R_пер)</f>
        <v/>
      </c>
      <c r="BM14" t="str">
        <f>IF(Щиты[[#This Row],[Питается от (итог)]]&lt;&gt;"","",IF(N(Щиты[[#This Row],[Iкз max от сети, кА]])&gt;0,1.05*(Uн_лин*1000/SQRT(3))/(Щиты[[#This Row],[Iкз max от сети, кА]]*1000),IF(AND(LEFT(UPPER(TRIM(Щиты[[#This Row],[Питание: от (ТП / сеть)]])),2)="ТП",N(Щиты[[#This Row],[Sтр, кВА]])&gt;0),0.055*Uн_лин^2/(Щиты[[#This Row],[Sтр, кВА]]/1000),"")))</f>
        <v/>
      </c>
      <c r="BN14" t="str">
        <f>IF(Щиты[[#This Row],[_Zmax сети]]="","",Щиты[[#This Row],[_Zmax сети]]+IF(N(Щиты[[#This Row],[Питающий кабель: S, мм²]])&gt;0,IF(Щиты[[#This Row],[Материал]]="алюминий",0.028,0.0175)*N(Щиты[[#This Row],[Длина, м]])/(N(Щиты[[#This Row],[Питающий кабель: S, мм²]])*MAX(1,N(Щиты[[#This Row],[Кабелей параллельно]]))),0))</f>
        <v/>
      </c>
      <c r="BO14" cm="1">
        <f t="array" ref="BO14">IF(Щиты[[#This Row],[_строка фидера]]="","",INDEX(Линии[_Zmax кабеля],Щиты[[#This Row],[_строка фидера]]))</f>
        <v>0.20125000000000001</v>
      </c>
      <c r="BP14" t="str" cm="1">
        <f t="array" ref="BP14">IF(_xlfn.XLOOKUP(Щиты[[#This Row],[Корень]],Щиты[Щит],Щиты[_Zmax источника],"")="","",SUMPRODUCT(--ISNUMBER(SEARCH("|"&amp;Щиты[Щит]&amp;"|",Щиты[[#This Row],[Путь]])),IFERROR(--Щиты[_Zmax источника],0)+IFERROR(--Щиты[_Zmax фидера],0)))</f>
        <v/>
      </c>
      <c r="BQ14">
        <f>_xlfn.MAXIFS(Линии[_ранг для фидера],Линии[Щит],Щиты[[#This Row],[Щит]])</f>
        <v>2</v>
      </c>
      <c r="BR14" t="str" cm="1">
        <f t="array" ref="BR14">IFERROR(INDEX({"III","II","I","I особая"},MAX(1,_xlfn.MAXIFS(Щиты[_ранг собств],Щиты[Путь],"*|"&amp;Щиты[[#This Row],[Щит]]&amp;"|*"))),"III")</f>
        <v>II</v>
      </c>
      <c r="BS14" t="str" cm="1">
        <f t="array" ref="BS14">IF(Щиты[[#This Row],[_строка фидера]]="","",INDEX(Линии[Категория (итог)],Щиты[[#This Row],[_строка фидера]]))</f>
        <v>II</v>
      </c>
      <c r="BT14">
        <f>_xlfn.MAXIFS(Линии[Iпуск, А],Линии[Щит],Щиты[[#This Row],[Щит]])</f>
        <v>0</v>
      </c>
      <c r="BU14" t="str" cm="1">
        <f t="array" ref="BU14">IF(Щиты[[#This Row],[_строка фидера]]="","",INDEX(Линии[Источник для режимов],Щиты[[#This Row],[_строка фидера]]))</f>
        <v>Ввод 1</v>
      </c>
      <c r="BV14" t="str" cm="1">
        <f t="array" ref="BV14">IF(Щиты[[#This Row],[_строка фидера]]="","",INDEX(Линии[Пожарная (итог)],Щиты[[#This Row],[_строка фидера]]))</f>
        <v>нет</v>
      </c>
      <c r="BW14">
        <f>COUNTIFS(Линии[Щит],Щиты[[#This Row],[Щит]],Линии[Категория: проверка],"НЕ ОБЕСПЕЧЕНА")</f>
        <v>0</v>
      </c>
    </row>
    <row r="15" spans="1:75" x14ac:dyDescent="0.3">
      <c r="A15" t="s">
        <v>750</v>
      </c>
      <c r="C15">
        <v>1</v>
      </c>
      <c r="D15" t="s">
        <v>488</v>
      </c>
      <c r="E15" t="s">
        <v>845</v>
      </c>
      <c r="F15">
        <v>12</v>
      </c>
      <c r="U15" t="str" cm="1">
        <f t="array" ref="U15">IF(Щиты[[#This Row],[Питается от]]&lt;&gt;"",Щиты[[#This Row],[Питается от]],IFERROR(INDEX(Линии[Щит],Щиты[[#This Row],[_строка фидера]]),""))</f>
        <v>ГРЩ-ЖД</v>
      </c>
      <c r="V15" t="str">
        <f>_xlfn.TEXTJOIN("; ",TRUE,IF(AND(Щиты[[#This Row],[Питается от (итог)]]="",Щиты[[#This Row],[Zпетли на шинах, Ом]]=""),"нет данных сети для ТКЗ: введите Iкз от сетевой организации или трансформатор",""),IF(AND(Щиты[[#This Row],[Категория фидера]]&lt;&gt;"",IFERROR(MATCH(Щиты[[#This Row],[Категория фидера]],{"III","II","I","I особая"},0),1)&lt;IFERROR(MATCH(Щиты[[#This Row],[Высшая категория нагрузки]],{"III","II","I","I особая"},0),1)),"фидер "&amp;Щиты[[#This Row],[Категория фидера]]&amp;" ниже нагрузки "&amp;Щиты[[#This Row],[Высшая категория нагрузки]],""),IF(Щиты[[#This Row],[Не обеспечено, линий]]&gt;0,"не обеспечена категория у "&amp;Щиты[[#This Row],[Не обеспечено, линий]]&amp;" линий",""),IF(AND(Щиты[[#This Row],[Питается от]]&lt;&gt;"",Щиты[[#This Row],[_строка фидера]]=""),"нет линии-фидера в «Линиях»: номер линии = имя щита или столбец «Питает щит»",""),IF(AND(ISNUMBER(Щиты[[#This Row],[ΔU до шин, %]]),Щиты[[#This Row],[ΔU до шин, %]]&gt;4),"ΔU до шин "&amp;FIXED(Щиты[[#This Row],[ΔU до шин, %]],2)&amp;" % &gt; 4 %",""))</f>
        <v/>
      </c>
      <c r="W15" t="str" cm="1">
        <f t="array" ref="W15">IF(Щиты[[#This Row],[_строка фидера]]="","",INDEX(Линии[Номер линии],Щиты[[#This Row],[_строка фидера]]))</f>
        <v>ЩОВ-01</v>
      </c>
      <c r="X15">
        <f>SUMIFS(Щиты[_Руст собств],Щиты[Путь],"*|"&amp;Щиты[[#This Row],[Щит]]&amp;"|*")</f>
        <v>13.172999999999996</v>
      </c>
      <c r="Y15">
        <f>k_пк*Щиты[[#This Row],[Руст быт, кВт]]*Щиты[[#This Row],[Кс быт]]+Щиты[[#This Row],[Ко]]*Щиты[[#This Row],[Рр сил, кВт]]+Щиты[[#This Row],[Руст пост, кВт]]+Щиты[[#This Row],[Р отопления, кВт]]+Щиты[[#This Row],[Рр ВНГ, кВт]]</f>
        <v>5.9278499999999985</v>
      </c>
      <c r="Z15">
        <f>IFERROR(MAX(MAX(Щиты[[#This Row],[P L1, кВт]],Щиты[[#This Row],[P L2, кВт]],Щиты[[#This Row],[P L3, кВт]])*Щиты[[#This Row],[Кс итог]]/((Uн_лин*1000/SQRT(3))/1000*Щиты[[#This Row],[cos φ]]),Щиты[[#This Row],[Рр, кВт]]/(SQRT(3)*Uн_лин*Щиты[[#This Row],[cos φ]])),0)</f>
        <v>9.9731941302660019</v>
      </c>
      <c r="AA15">
        <f>IFERROR(SUMIFS(Щиты[_Pcos собств],Щиты[Путь],"*|"&amp;Щиты[[#This Row],[Щит]]&amp;"|*")/SUMIFS(Щиты[_P собств],Щиты[Путь],"*|"&amp;Щиты[[#This Row],[Щит]]&amp;"|*"),0.95)</f>
        <v>0.9500000000000004</v>
      </c>
      <c r="AB15" cm="1">
        <f t="array" ref="AB15">SUMPRODUCT(--ISNUMBER(SEARCH("|"&amp;Щиты[Щит]&amp;"|",Щиты[[#This Row],[Путь]])),IFERROR(--Щиты[_ΔU фидера],0)+IFERROR(--Щиты[_ΔU источника],0))</f>
        <v>0.24000000000000002</v>
      </c>
      <c r="AC15" t="str">
        <f>IF(ISNUMBER(Щиты[[#This Row],[Zпетли на шинах, Ом]]),c_min*(Uн_лин*1000/SQRT(3))/Щиты[[#This Row],[Zпетли на шинах, Ом]],"")</f>
        <v/>
      </c>
      <c r="AD15" t="str">
        <f>IF(ISNUMBER(Щиты[[#This Row],[Zmax на шинах, Ом]]),1.05*(Uн_лин*1000/SQRT(3))/Щиты[[#This Row],[Zmax на шинах, Ом]]/1000,"")</f>
        <v/>
      </c>
      <c r="AE15" t="str" cm="1">
        <f t="array" ref="AE15">_xlfn.LET(_xlpm.w,_xlfn.TEXTSPLIT(Щиты[[#This Row],[Путь]],"|"),_xlpm.names,_xlfn._xlws.FILTER(_xlpm.w,_xlpm.w&lt;&gt;""),_xlfn.REDUCE("",_xlpm.names,_xlfn.LAMBDA(_xlpm.acc,_xlpm.nm,_xlfn.LET(_xlpm.inp,N(_xlfn.XLOOKUP(_xlpm.nm,Щиты[Щит],Щиты[Вводов],1)),_xlpm.avr,LOWER(TRIM(_xlfn.XLOOKUP(_xlpm.nm,Щиты[Щит],Щиты[АВР],"нет")&amp;"")),_xlpm.own,IF(_xlpm.inp&gt;=2,IF(_xlpm.avr="да","I","II"),"III"),_xlpm.fr,_xlfn.XLOOKUP(_xlpm.nm,Щиты[Щит],Щиты[_строка фидера],""),_xlpm.bt,IF(_xlpm.fr="","",INDEX(Линии[Тип шины],_xlpm.fr)&amp;""),_xlpm.man,TRIM(_xlfn.XLOOKUP(_xlpm.nm,Щиты[Щит],Щиты[Кат. питающей линии (ручн.)],"")&amp;""),_xlpm.up,IF(_xlpm.acc="",_xlpm.man,IF(OR(_xlpm.bt="ИБП",_xlpm.bt="ДГУ"),"I особая",IF(_xlpm.bt="Одиночная","III",_xlpm.acc))),IF(_xlpm.own&lt;&gt;"III",_xlpm.own,IF(OR(_xlpm.up="I особая",_xlpm.up="I",_xlpm.up="II"),"II","III"))))))</f>
        <v>II</v>
      </c>
      <c r="AF15" t="str" cm="1">
        <f t="array" ref="AF15">_xlfn.LET(_xlpm.f,_xlfn.LAMBDA(_xlpm.x,IF(_xlpm.x="","",_xlfn.XLOOKUP(_xlpm.x,Щиты[Щит],Щиты[Питается от (итог)],"")&amp;"")),_xlpm.п0,Щиты[[#This Row],[Щит]],_xlpm.п1,_xlpm.f(_xlpm.п0),_xlpm.п2,_xlpm.f(_xlpm.п1),_xlpm.п3,_xlpm.f(_xlpm.п2),_xlpm.п4,_xlpm.f(_xlpm.п3),_xlpm.п5,_xlpm.f(_xlpm.п4),_xlpm.п6,_xlpm.f(_xlpm.п5),_xlpm.п7,_xlpm.f(_xlpm.п6),"|"&amp;_xlfn.TEXTJOIN("|",TRUE,_xlpm.п7,_xlpm.п6,_xlpm.п5,_xlpm.п4,_xlpm.п3,_xlpm.п2,_xlpm.п1,_xlpm.п0)&amp;"|")</f>
        <v>|ГРЩ-ЖД|ЩОВ-01|</v>
      </c>
      <c r="AG15" t="str">
        <f>_xlfn.TEXTBEFORE(MID(Щиты[[#This Row],[Путь]],2,999),"|")</f>
        <v>ГРЩ-ЖД</v>
      </c>
      <c r="AH15">
        <f>LEN(Щиты[[#This Row],[Путь]])-LEN(SUBSTITUTE(Щиты[[#This Row],[Путь]],"|",""))-2</f>
        <v>1</v>
      </c>
      <c r="AI15">
        <f>IFERROR(_xlfn.XMATCH(Щиты[[#This Row],[Щит]],Линии[_фидер]),"")</f>
        <v>5</v>
      </c>
      <c r="AJ15">
        <f>SUMIFS(Линии[_Руст (без Нет)],Линии[Щит],Щиты[[#This Row],[Щит]])</f>
        <v>13.172999999999996</v>
      </c>
      <c r="AK15">
        <f>SUMIFS(Линии[_Руст быт],Линии[Щит],Щиты[[#This Row],[Щит]])</f>
        <v>0</v>
      </c>
      <c r="AL15">
        <f>SUMIFS(Линии[_Рр сил],Линии[Щит],Щиты[[#This Row],[Щит]])</f>
        <v>6.5864999999999982</v>
      </c>
      <c r="AM15">
        <f>SUMIFS(Линии[_Руст пост],Линии[Щит],Щиты[[#This Row],[Щит]])</f>
        <v>0</v>
      </c>
      <c r="AN15">
        <f>SUMIFS(Линии[_P для cos],Линии[Щит],Щиты[[#This Row],[Щит]])</f>
        <v>13.172999999999996</v>
      </c>
      <c r="AO15">
        <f>SUMIFS(Линии[_P·cos],Линии[Щит],Щиты[[#This Row],[Щит]])</f>
        <v>12.514350000000002</v>
      </c>
      <c r="AP15">
        <f>SUMIFS(Линии[_Р отопления],Линии[Щит],Щиты[[#This Row],[Щит]])</f>
        <v>0</v>
      </c>
      <c r="AQ15">
        <f>SUMIFS(Линии[_Рр ВНГ],Линии[Щит],Щиты[[#This Row],[Щит]])</f>
        <v>0</v>
      </c>
      <c r="AR15">
        <f>SUMIFS(Щиты[_быт собств],Щиты[Путь],"*|"&amp;Щиты[[#This Row],[Щит]]&amp;"|*")</f>
        <v>0</v>
      </c>
      <c r="AS15" cm="1">
        <f t="array" ref="AS15">_xlfn.LET(_xlpm.x,Щиты[[#This Row],[Руст быт, кВт]],_xlpm.m,MATCH(_xlpm.x,Кс_Р,1),IF(_xlpm.x&gt;=INDEX(Кс_Р,ROWS(Кс_Р)),INDEX(Кс_К,ROWS(Кс_К)),INDEX(Кс_К,_xlpm.m)+(_xlpm.x-INDEX(Кс_Р,_xlpm.m))*(INDEX(Кс_К,_xlpm.m+1)-INDEX(Кс_К,_xlpm.m))/(INDEX(Кс_Р,_xlpm.m+1)-INDEX(Кс_Р,_xlpm.m))))</f>
        <v>0.8</v>
      </c>
      <c r="AT15">
        <f>SUMIFS(Щиты[_сил собств],Щиты[Путь],"*|"&amp;Щиты[[#This Row],[Щит]]&amp;"|*")</f>
        <v>6.5864999999999982</v>
      </c>
      <c r="AU15">
        <f>SUMIFS(Щиты[_пост собств],Щиты[Путь],"*|"&amp;Щиты[[#This Row],[Щит]]&amp;"|*")</f>
        <v>0</v>
      </c>
      <c r="AV15">
        <f>SUMIFS(Щиты[_отоп собств],Щиты[Путь],"*|"&amp;Щиты[[#This Row],[Щит]]&amp;"|*")</f>
        <v>0</v>
      </c>
      <c r="AW15">
        <f>SUMIFS(Щиты[_внг собств],Щиты[Путь],"*|"&amp;Щиты[[#This Row],[Щит]]&amp;"|*")</f>
        <v>0</v>
      </c>
      <c r="AX15">
        <f>COUNTIFS(Линии[Щит],Щиты[[#This Row],[Щит]],Линии[Группа Кс (итог)],"Сил")</f>
        <v>27</v>
      </c>
      <c r="AY15" cm="1">
        <f t="array" ref="AY15">_xlfn.LET(_xlpm.n,Щиты[[#This Row],[_n силовых]],IF(_xlpm.n&lt;=1,1,IF(_xlpm.n&gt;=MAX(Кс75_n),INDEX(Кс75_k,ROWS(Кс75_k)),_xlfn.LET(_xlpm.m,MATCH(_xlpm.n,Кс75_n,1),INDEX(Кс75_k,_xlpm.m)+(_xlpm.n-INDEX(Кс75_n,_xlpm.m))*(INDEX(Кс75_k,_xlpm.m+1)-INDEX(Кс75_k,_xlpm.m))/(INDEX(Кс75_n,_xlpm.m+1)-INDEX(Кс75_n,_xlpm.m))))))</f>
        <v>0.61499999999999999</v>
      </c>
      <c r="AZ15">
        <f>IF(Методика="нормы 2026",IF(AND(Щиты[[#This Row],[Руст быт, кВт]]&gt;0,Щиты[[#This Row],[Рр сил, кВт]]&gt;0),Ко_сил,1),Ко_сил)</f>
        <v>0.9</v>
      </c>
      <c r="BA15">
        <f>IF(Щиты[[#This Row],[Руст, кВт]]=0,0,Щиты[[#This Row],[Рр, кВт]]/Щиты[[#This Row],[Руст, кВт]])</f>
        <v>0.45</v>
      </c>
      <c r="BB15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Row],[Щит]],Линии[Фаза],"L1",Линии[Группа Кс (итог)],"&lt;&gt;Нет")</f>
        <v>4.1003333333333334</v>
      </c>
      <c r="BC15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Row],[Щит]],Линии[Фаза],"L2",Линии[Группа Кс (итог)],"&lt;&gt;Нет")</f>
        <v>4.8623333333333338</v>
      </c>
      <c r="BD15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Row],[Щит]],Линии[Фаза],"L3",Линии[Группа Кс (итог)],"&lt;&gt;Нет")</f>
        <v>4.2103333333333337</v>
      </c>
      <c r="BE15" cm="1">
        <f t="array" ref="BE15">IF(Щиты[[#This Row],[_строка фидера]]="","",INDEX(Линии[ΔU, %],Щиты[[#This Row],[_строка фидера]]))</f>
        <v>0.24000000000000002</v>
      </c>
      <c r="BF15">
        <f>IF(OR(N(Щиты[[#This Row],[Питающий кабель: S, мм²]])=0,N(Щиты[[#This Row],[Длина, м]])=0),0,(IF(Щиты[[#This Row],[Материал]]="алюминий",0.036,0.0225)*N(Щиты[[#This Row],[Длина, м]])/(N(Щиты[[#This Row],[Питающий кабель: S, мм²]])*MAX(1,N(Щиты[[#This Row],[Кабелей параллельно]])))*Щиты[[#This Row],[cos φ]]+0.00008*N(Щиты[[#This Row],[Длина, м]])/MAX(1,N(Щиты[[#This Row],[Кабелей параллельно]]))*SIN(ACOS(Щиты[[#This Row],[cos φ]])))*Щиты[[#This Row],[Iр, А]]/(Uн_лин*1000/SQRT(3))*100)</f>
        <v>0</v>
      </c>
      <c r="BG15">
        <f>IF(Щиты[[#This Row],[Питается от (итог)]]&lt;&gt;"",0,IF(LEFT(UPPER(TRIM(Щиты[[#This Row],[Питание: от (ТП / сеть)]])),2)="ТП",0,N(Щиты[[#This Row],[ΔU до питающего, %]])+Щиты[[#This Row],[_ΔU пит. линии]]))</f>
        <v>0</v>
      </c>
      <c r="BH15">
        <f>IF(N(Щиты[[#This Row],[Питающий кабель: S, мм²]])&gt;0,2*IF(Щиты[[#This Row],[Материал]]="алюминий",ρкз_Al,ρкз_Cu)*N(Щиты[[#This Row],[Длина, м]])/(N(Щиты[[#This Row],[Питающий кабель: S, мм²]])*MAX(1,N(Щиты[[#This Row],[Кабелей параллельно]]))),0)</f>
        <v>0</v>
      </c>
      <c r="BI15" t="str">
        <f>IF(Щиты[[#This Row],[Питается от (итог)]]&lt;&gt;"","",IF(N(Щиты[[#This Row],[Iкз min от сети, А]])&gt;0,c_min*(Uн_лин*1000/SQRT(3))/Щиты[[#This Row],[Iкз min от сети, А]],IF(AND(LEFT(UPPER(TRIM(Щиты[[#This Row],[Питание: от (ТП / сеть)]])),2)="ТП",N(Щиты[[#This Row],[Sтр, кВА]])&gt;0),0.055*Uн_лин^2/(Щиты[[#This Row],[Sтр, кВА]]/1000)*IF(Щиты[[#This Row],[Схема тр-ра]]="Y/Yн",3,1),"")))</f>
        <v/>
      </c>
      <c r="BJ15" t="str">
        <f>IF(Щиты[[#This Row],[_Zсети]]="","",Щиты[[#This Row],[_Zсети]]+Щиты[[#This Row],[_петля пит. кабеля]])</f>
        <v/>
      </c>
      <c r="BK15" cm="1">
        <f t="array" ref="BK15">IF(Щиты[[#This Row],[_строка фидера]]="","",INDEX(Линии[_Zкабеля],Щиты[[#This Row],[_строка фидера]]))</f>
        <v>0.13150000000000001</v>
      </c>
      <c r="BL15" t="str" cm="1">
        <f t="array" ref="BL15">IF(_xlfn.XLOOKUP(Щиты[[#This Row],[Корень]],Щиты[Щит],Щиты[_Zисточника],"")="","",SUMPRODUCT(--ISNUMBER(SEARCH("|"&amp;Щиты[Щит]&amp;"|",Щиты[[#This Row],[Путь]])),IFERROR(--Щиты[_Zисточника],0)+IFERROR(--Щиты[_Zфидера],0))+SUMPRODUCT(--ISNUMBER(SEARCH("|"&amp;Щиты[Щит]&amp;"|",Щиты[[#This Row],[Путь]])))*R_пер)</f>
        <v/>
      </c>
      <c r="BM15" t="str">
        <f>IF(Щиты[[#This Row],[Питается от (итог)]]&lt;&gt;"","",IF(N(Щиты[[#This Row],[Iкз max от сети, кА]])&gt;0,1.05*(Uн_лин*1000/SQRT(3))/(Щиты[[#This Row],[Iкз max от сети, кА]]*1000),IF(AND(LEFT(UPPER(TRIM(Щиты[[#This Row],[Питание: от (ТП / сеть)]])),2)="ТП",N(Щиты[[#This Row],[Sтр, кВА]])&gt;0),0.055*Uн_лин^2/(Щиты[[#This Row],[Sтр, кВА]]/1000),"")))</f>
        <v/>
      </c>
      <c r="BN15" t="str">
        <f>IF(Щиты[[#This Row],[_Zmax сети]]="","",Щиты[[#This Row],[_Zmax сети]]+IF(N(Щиты[[#This Row],[Питающий кабель: S, мм²]])&gt;0,IF(Щиты[[#This Row],[Материал]]="алюминий",0.028,0.0175)*N(Щиты[[#This Row],[Длина, м]])/(N(Щиты[[#This Row],[Питающий кабель: S, мм²]])*MAX(1,N(Щиты[[#This Row],[Кабелей параллельно]]))),0))</f>
        <v/>
      </c>
      <c r="BO15" cm="1">
        <f t="array" ref="BO15">IF(Щиты[[#This Row],[_строка фидера]]="","",INDEX(Линии[_Zmax кабеля],Щиты[[#This Row],[_строка фидера]]))</f>
        <v>4.3750000000000004E-2</v>
      </c>
      <c r="BP15" t="str" cm="1">
        <f t="array" ref="BP15">IF(_xlfn.XLOOKUP(Щиты[[#This Row],[Корень]],Щиты[Щит],Щиты[_Zmax источника],"")="","",SUMPRODUCT(--ISNUMBER(SEARCH("|"&amp;Щиты[Щит]&amp;"|",Щиты[[#This Row],[Путь]])),IFERROR(--Щиты[_Zmax источника],0)+IFERROR(--Щиты[_Zmax фидера],0)))</f>
        <v/>
      </c>
      <c r="BQ15">
        <f>_xlfn.MAXIFS(Линии[_ранг для фидера],Линии[Щит],Щиты[[#This Row],[Щит]])</f>
        <v>2</v>
      </c>
      <c r="BR15" t="str" cm="1">
        <f t="array" ref="BR15">IFERROR(INDEX({"III","II","I","I особая"},MAX(1,_xlfn.MAXIFS(Щиты[_ранг собств],Щиты[Путь],"*|"&amp;Щиты[[#This Row],[Щит]]&amp;"|*"))),"III")</f>
        <v>II</v>
      </c>
      <c r="BS15" t="str" cm="1">
        <f t="array" ref="BS15">IF(Щиты[[#This Row],[_строка фидера]]="","",INDEX(Линии[Категория (итог)],Щиты[[#This Row],[_строка фидера]]))</f>
        <v>II</v>
      </c>
      <c r="BT15">
        <f>_xlfn.MAXIFS(Линии[Iпуск, А],Линии[Щит],Щиты[[#This Row],[Щит]])</f>
        <v>0</v>
      </c>
      <c r="BU15" t="str" cm="1">
        <f t="array" ref="BU15">IF(Щиты[[#This Row],[_строка фидера]]="","",INDEX(Линии[Источник для режимов],Щиты[[#This Row],[_строка фидера]]))</f>
        <v>Ввод 1</v>
      </c>
      <c r="BV15" t="str" cm="1">
        <f t="array" ref="BV15">IF(Щиты[[#This Row],[_строка фидера]]="","",INDEX(Линии[Пожарная (итог)],Щиты[[#This Row],[_строка фидера]]))</f>
        <v>нет</v>
      </c>
      <c r="BW15">
        <f>COUNTIFS(Линии[Щит],Щиты[[#This Row],[Щит]],Линии[Категория: проверка],"НЕ ОБЕСПЕЧЕНА")</f>
        <v>0</v>
      </c>
    </row>
    <row r="16" spans="1:75" x14ac:dyDescent="0.3">
      <c r="A16" t="s">
        <v>756</v>
      </c>
      <c r="C16">
        <v>1</v>
      </c>
      <c r="D16" t="s">
        <v>488</v>
      </c>
      <c r="E16" t="s">
        <v>845</v>
      </c>
      <c r="F16">
        <v>12</v>
      </c>
      <c r="U16" t="str" cm="1">
        <f t="array" ref="U16">IF(Щиты[[#This Row],[Питается от]]&lt;&gt;"",Щиты[[#This Row],[Питается от]],IFERROR(INDEX(Линии[Щит],Щиты[[#This Row],[_строка фидера]]),""))</f>
        <v>ГРЩ-ЖД</v>
      </c>
      <c r="V16" t="str">
        <f>_xlfn.TEXTJOIN("; ",TRUE,IF(AND(Щиты[[#This Row],[Питается от (итог)]]="",Щиты[[#This Row],[Zпетли на шинах, Ом]]=""),"нет данных сети для ТКЗ: введите Iкз от сетевой организации или трансформатор",""),IF(AND(Щиты[[#This Row],[Категория фидера]]&lt;&gt;"",IFERROR(MATCH(Щиты[[#This Row],[Категория фидера]],{"III","II","I","I особая"},0),1)&lt;IFERROR(MATCH(Щиты[[#This Row],[Высшая категория нагрузки]],{"III","II","I","I особая"},0),1)),"фидер "&amp;Щиты[[#This Row],[Категория фидера]]&amp;" ниже нагрузки "&amp;Щиты[[#This Row],[Высшая категория нагрузки]],""),IF(Щиты[[#This Row],[Не обеспечено, линий]]&gt;0,"не обеспечена категория у "&amp;Щиты[[#This Row],[Не обеспечено, линий]]&amp;" линий",""),IF(AND(Щиты[[#This Row],[Питается от]]&lt;&gt;"",Щиты[[#This Row],[_строка фидера]]=""),"нет линии-фидера в «Линиях»: номер линии = имя щита или столбец «Питает щит»",""),IF(AND(ISNUMBER(Щиты[[#This Row],[ΔU до шин, %]]),Щиты[[#This Row],[ΔU до шин, %]]&gt;4),"ΔU до шин "&amp;FIXED(Щиты[[#This Row],[ΔU до шин, %]],2)&amp;" % &gt; 4 %",""))</f>
        <v/>
      </c>
      <c r="W16" t="str" cm="1">
        <f t="array" ref="W16">IF(Щиты[[#This Row],[_строка фидера]]="","",INDEX(Линии[Номер линии],Щиты[[#This Row],[_строка фидера]]))</f>
        <v>ЩОВ-2</v>
      </c>
      <c r="X16">
        <f>SUMIFS(Щиты[_Руст собств],Щиты[Путь],"*|"&amp;Щиты[[#This Row],[Щит]]&amp;"|*")</f>
        <v>11.093000000000002</v>
      </c>
      <c r="Y16">
        <f>k_пк*Щиты[[#This Row],[Руст быт, кВт]]*Щиты[[#This Row],[Кс быт]]+Щиты[[#This Row],[Ко]]*Щиты[[#This Row],[Рр сил, кВт]]+Щиты[[#This Row],[Руст пост, кВт]]+Щиты[[#This Row],[Р отопления, кВт]]+Щиты[[#This Row],[Рр ВНГ, кВт]]</f>
        <v>4.9918500000000012</v>
      </c>
      <c r="Z16">
        <f>IFERROR(MAX(MAX(Щиты[[#This Row],[P L1, кВт]],Щиты[[#This Row],[P L2, кВт]],Щиты[[#This Row],[P L3, кВт]])*Щиты[[#This Row],[Кс итог]]/((Uн_лин*1000/SQRT(3))/1000*Щиты[[#This Row],[cos φ]]),Щиты[[#This Row],[Рр, кВт]]/(SQRT(3)*Uн_лин*Щиты[[#This Row],[cos φ]])),0)</f>
        <v>7.7942286340599516</v>
      </c>
      <c r="AA16">
        <f>IFERROR(SUMIFS(Щиты[_Pcos собств],Щиты[Путь],"*|"&amp;Щиты[[#This Row],[Щит]]&amp;"|*")/SUMIFS(Щиты[_P собств],Щиты[Путь],"*|"&amp;Щиты[[#This Row],[Щит]]&amp;"|*"),0.95)</f>
        <v>0.94999999999999962</v>
      </c>
      <c r="AB16" cm="1">
        <f t="array" ref="AB16">SUMPRODUCT(--ISNUMBER(SEARCH("|"&amp;Щиты[Щит]&amp;"|",Щиты[[#This Row],[Путь]])),IFERROR(--Щиты[_ΔU фидера],0)+IFERROR(--Щиты[_ΔU источника],0))</f>
        <v>1.02</v>
      </c>
      <c r="AC16" t="str">
        <f>IF(ISNUMBER(Щиты[[#This Row],[Zпетли на шинах, Ом]]),c_min*(Uн_лин*1000/SQRT(3))/Щиты[[#This Row],[Zпетли на шинах, Ом]],"")</f>
        <v/>
      </c>
      <c r="AD16" t="str">
        <f>IF(ISNUMBER(Щиты[[#This Row],[Zmax на шинах, Ом]]),1.05*(Uн_лин*1000/SQRT(3))/Щиты[[#This Row],[Zmax на шинах, Ом]]/1000,"")</f>
        <v/>
      </c>
      <c r="AE16" t="str" cm="1">
        <f t="array" ref="AE16">_xlfn.LET(_xlpm.w,_xlfn.TEXTSPLIT(Щиты[[#This Row],[Путь]],"|"),_xlpm.names,_xlfn._xlws.FILTER(_xlpm.w,_xlpm.w&lt;&gt;""),_xlfn.REDUCE("",_xlpm.names,_xlfn.LAMBDA(_xlpm.acc,_xlpm.nm,_xlfn.LET(_xlpm.inp,N(_xlfn.XLOOKUP(_xlpm.nm,Щиты[Щит],Щиты[Вводов],1)),_xlpm.avr,LOWER(TRIM(_xlfn.XLOOKUP(_xlpm.nm,Щиты[Щит],Щиты[АВР],"нет")&amp;"")),_xlpm.own,IF(_xlpm.inp&gt;=2,IF(_xlpm.avr="да","I","II"),"III"),_xlpm.fr,_xlfn.XLOOKUP(_xlpm.nm,Щиты[Щит],Щиты[_строка фидера],""),_xlpm.bt,IF(_xlpm.fr="","",INDEX(Линии[Тип шины],_xlpm.fr)&amp;""),_xlpm.man,TRIM(_xlfn.XLOOKUP(_xlpm.nm,Щиты[Щит],Щиты[Кат. питающей линии (ручн.)],"")&amp;""),_xlpm.up,IF(_xlpm.acc="",_xlpm.man,IF(OR(_xlpm.bt="ИБП",_xlpm.bt="ДГУ"),"I особая",IF(_xlpm.bt="Одиночная","III",_xlpm.acc))),IF(_xlpm.own&lt;&gt;"III",_xlpm.own,IF(OR(_xlpm.up="I особая",_xlpm.up="I",_xlpm.up="II"),"II","III"))))))</f>
        <v>II</v>
      </c>
      <c r="AF16" t="str" cm="1">
        <f t="array" ref="AF16">_xlfn.LET(_xlpm.f,_xlfn.LAMBDA(_xlpm.x,IF(_xlpm.x="","",_xlfn.XLOOKUP(_xlpm.x,Щиты[Щит],Щиты[Питается от (итог)],"")&amp;"")),_xlpm.п0,Щиты[[#This Row],[Щит]],_xlpm.п1,_xlpm.f(_xlpm.п0),_xlpm.п2,_xlpm.f(_xlpm.п1),_xlpm.п3,_xlpm.f(_xlpm.п2),_xlpm.п4,_xlpm.f(_xlpm.п3),_xlpm.п5,_xlpm.f(_xlpm.п4),_xlpm.п6,_xlpm.f(_xlpm.п5),_xlpm.п7,_xlpm.f(_xlpm.п6),"|"&amp;_xlfn.TEXTJOIN("|",TRUE,_xlpm.п7,_xlpm.п6,_xlpm.п5,_xlpm.п4,_xlpm.п3,_xlpm.п2,_xlpm.п1,_xlpm.п0)&amp;"|")</f>
        <v>|ГРЩ-ЖД|ЩОВ-2|</v>
      </c>
      <c r="AG16" t="str">
        <f>_xlfn.TEXTBEFORE(MID(Щиты[[#This Row],[Путь]],2,999),"|")</f>
        <v>ГРЩ-ЖД</v>
      </c>
      <c r="AH16">
        <f>LEN(Щиты[[#This Row],[Путь]])-LEN(SUBSTITUTE(Щиты[[#This Row],[Путь]],"|",""))-2</f>
        <v>1</v>
      </c>
      <c r="AI16">
        <f>IFERROR(_xlfn.XMATCH(Щиты[[#This Row],[Щит]],Линии[_фидер]),"")</f>
        <v>8</v>
      </c>
      <c r="AJ16">
        <f>SUMIFS(Линии[_Руст (без Нет)],Линии[Щит],Щиты[[#This Row],[Щит]])</f>
        <v>11.093000000000002</v>
      </c>
      <c r="AK16">
        <f>SUMIFS(Линии[_Руст быт],Линии[Щит],Щиты[[#This Row],[Щит]])</f>
        <v>0</v>
      </c>
      <c r="AL16">
        <f>SUMIFS(Линии[_Рр сил],Линии[Щит],Щиты[[#This Row],[Щит]])</f>
        <v>5.5465000000000009</v>
      </c>
      <c r="AM16">
        <f>SUMIFS(Линии[_Руст пост],Линии[Щит],Щиты[[#This Row],[Щит]])</f>
        <v>0</v>
      </c>
      <c r="AN16">
        <f>SUMIFS(Линии[_P для cos],Линии[Щит],Щиты[[#This Row],[Щит]])</f>
        <v>11.093000000000002</v>
      </c>
      <c r="AO16">
        <f>SUMIFS(Линии[_P·cos],Линии[Щит],Щиты[[#This Row],[Щит]])</f>
        <v>10.538349999999998</v>
      </c>
      <c r="AP16">
        <f>SUMIFS(Линии[_Р отопления],Линии[Щит],Щиты[[#This Row],[Щит]])</f>
        <v>0</v>
      </c>
      <c r="AQ16">
        <f>SUMIFS(Линии[_Рр ВНГ],Линии[Щит],Щиты[[#This Row],[Щит]])</f>
        <v>0</v>
      </c>
      <c r="AR16">
        <f>SUMIFS(Щиты[_быт собств],Щиты[Путь],"*|"&amp;Щиты[[#This Row],[Щит]]&amp;"|*")</f>
        <v>0</v>
      </c>
      <c r="AS16" cm="1">
        <f t="array" ref="AS16">_xlfn.LET(_xlpm.x,Щиты[[#This Row],[Руст быт, кВт]],_xlpm.m,MATCH(_xlpm.x,Кс_Р,1),IF(_xlpm.x&gt;=INDEX(Кс_Р,ROWS(Кс_Р)),INDEX(Кс_К,ROWS(Кс_К)),INDEX(Кс_К,_xlpm.m)+(_xlpm.x-INDEX(Кс_Р,_xlpm.m))*(INDEX(Кс_К,_xlpm.m+1)-INDEX(Кс_К,_xlpm.m))/(INDEX(Кс_Р,_xlpm.m+1)-INDEX(Кс_Р,_xlpm.m))))</f>
        <v>0.8</v>
      </c>
      <c r="AT16">
        <f>SUMIFS(Щиты[_сил собств],Щиты[Путь],"*|"&amp;Щиты[[#This Row],[Щит]]&amp;"|*")</f>
        <v>5.5465000000000009</v>
      </c>
      <c r="AU16">
        <f>SUMIFS(Щиты[_пост собств],Щиты[Путь],"*|"&amp;Щиты[[#This Row],[Щит]]&amp;"|*")</f>
        <v>0</v>
      </c>
      <c r="AV16">
        <f>SUMIFS(Щиты[_отоп собств],Щиты[Путь],"*|"&amp;Щиты[[#This Row],[Щит]]&amp;"|*")</f>
        <v>0</v>
      </c>
      <c r="AW16">
        <f>SUMIFS(Щиты[_внг собств],Щиты[Путь],"*|"&amp;Щиты[[#This Row],[Щит]]&amp;"|*")</f>
        <v>0</v>
      </c>
      <c r="AX16">
        <f>COUNTIFS(Линии[Щит],Щиты[[#This Row],[Щит]],Линии[Группа Кс (итог)],"Сил")</f>
        <v>23</v>
      </c>
      <c r="AY16" cm="1">
        <f t="array" ref="AY16">_xlfn.LET(_xlpm.n,Щиты[[#This Row],[_n силовых]],IF(_xlpm.n&lt;=1,1,IF(_xlpm.n&gt;=MAX(Кс75_n),INDEX(Кс75_k,ROWS(Кс75_k)),_xlfn.LET(_xlpm.m,MATCH(_xlpm.n,Кс75_n,1),INDEX(Кс75_k,_xlpm.m)+(_xlpm.n-INDEX(Кс75_n,_xlpm.m))*(INDEX(Кс75_k,_xlpm.m+1)-INDEX(Кс75_k,_xlpm.m))/(INDEX(Кс75_n,_xlpm.m+1)-INDEX(Кс75_n,_xlpm.m))))))</f>
        <v>0.63500000000000001</v>
      </c>
      <c r="AZ16">
        <f>IF(Методика="нормы 2026",IF(AND(Щиты[[#This Row],[Руст быт, кВт]]&gt;0,Щиты[[#This Row],[Рр сил, кВт]]&gt;0),Ко_сил,1),Ко_сил)</f>
        <v>0.9</v>
      </c>
      <c r="BA16">
        <f>IF(Щиты[[#This Row],[Руст, кВт]]=0,0,Щиты[[#This Row],[Рр, кВт]]/Щиты[[#This Row],[Руст, кВт]])</f>
        <v>0.45000000000000007</v>
      </c>
      <c r="BB1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Row],[Щит]],Линии[Фаза],"L1",Линии[Группа Кс (итог)],"&lt;&gt;Нет")</f>
        <v>3.6440000000000001</v>
      </c>
      <c r="BC1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Row],[Щит]],Линии[Фаза],"L2",Линии[Группа Кс (итог)],"&lt;&gt;Нет")</f>
        <v>3.649</v>
      </c>
      <c r="BD1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Row],[Щит]],Линии[Фаза],"L3",Линии[Группа Кс (итог)],"&lt;&gt;Нет")</f>
        <v>3.8</v>
      </c>
      <c r="BE16" cm="1">
        <f t="array" ref="BE16">IF(Щиты[[#This Row],[_строка фидера]]="","",INDEX(Линии[ΔU, %],Щиты[[#This Row],[_строка фидера]]))</f>
        <v>1.02</v>
      </c>
      <c r="BF16">
        <f>IF(OR(N(Щиты[[#This Row],[Питающий кабель: S, мм²]])=0,N(Щиты[[#This Row],[Длина, м]])=0),0,(IF(Щиты[[#This Row],[Материал]]="алюминий",0.036,0.0225)*N(Щиты[[#This Row],[Длина, м]])/(N(Щиты[[#This Row],[Питающий кабель: S, мм²]])*MAX(1,N(Щиты[[#This Row],[Кабелей параллельно]])))*Щиты[[#This Row],[cos φ]]+0.00008*N(Щиты[[#This Row],[Длина, м]])/MAX(1,N(Щиты[[#This Row],[Кабелей параллельно]]))*SIN(ACOS(Щиты[[#This Row],[cos φ]])))*Щиты[[#This Row],[Iр, А]]/(Uн_лин*1000/SQRT(3))*100)</f>
        <v>0</v>
      </c>
      <c r="BG16">
        <f>IF(Щиты[[#This Row],[Питается от (итог)]]&lt;&gt;"",0,IF(LEFT(UPPER(TRIM(Щиты[[#This Row],[Питание: от (ТП / сеть)]])),2)="ТП",0,N(Щиты[[#This Row],[ΔU до питающего, %]])+Щиты[[#This Row],[_ΔU пит. линии]]))</f>
        <v>0</v>
      </c>
      <c r="BH16">
        <f>IF(N(Щиты[[#This Row],[Питающий кабель: S, мм²]])&gt;0,2*IF(Щиты[[#This Row],[Материал]]="алюминий",ρкз_Al,ρкз_Cu)*N(Щиты[[#This Row],[Длина, м]])/(N(Щиты[[#This Row],[Питающий кабель: S, мм²]])*MAX(1,N(Щиты[[#This Row],[Кабелей параллельно]]))),0)</f>
        <v>0</v>
      </c>
      <c r="BI16" t="str">
        <f>IF(Щиты[[#This Row],[Питается от (итог)]]&lt;&gt;"","",IF(N(Щиты[[#This Row],[Iкз min от сети, А]])&gt;0,c_min*(Uн_лин*1000/SQRT(3))/Щиты[[#This Row],[Iкз min от сети, А]],IF(AND(LEFT(UPPER(TRIM(Щиты[[#This Row],[Питание: от (ТП / сеть)]])),2)="ТП",N(Щиты[[#This Row],[Sтр, кВА]])&gt;0),0.055*Uн_лин^2/(Щиты[[#This Row],[Sтр, кВА]]/1000)*IF(Щиты[[#This Row],[Схема тр-ра]]="Y/Yн",3,1),"")))</f>
        <v/>
      </c>
      <c r="BJ16" t="str">
        <f>IF(Щиты[[#This Row],[_Zсети]]="","",Щиты[[#This Row],[_Zсети]]+Щиты[[#This Row],[_петля пит. кабеля]])</f>
        <v/>
      </c>
      <c r="BK16" cm="1">
        <f t="array" ref="BK16">IF(Щиты[[#This Row],[_строка фидера]]="","",INDEX(Линии[_Zкабеля],Щиты[[#This Row],[_строка фидера]]))</f>
        <v>0.73640000000000005</v>
      </c>
      <c r="BL16" t="str" cm="1">
        <f t="array" ref="BL16">IF(_xlfn.XLOOKUP(Щиты[[#This Row],[Корень]],Щиты[Щит],Щиты[_Zисточника],"")="","",SUMPRODUCT(--ISNUMBER(SEARCH("|"&amp;Щиты[Щит]&amp;"|",Щиты[[#This Row],[Путь]])),IFERROR(--Щиты[_Zисточника],0)+IFERROR(--Щиты[_Zфидера],0))+SUMPRODUCT(--ISNUMBER(SEARCH("|"&amp;Щиты[Щит]&amp;"|",Щиты[[#This Row],[Путь]])))*R_пер)</f>
        <v/>
      </c>
      <c r="BM16" t="str">
        <f>IF(Щиты[[#This Row],[Питается от (итог)]]&lt;&gt;"","",IF(N(Щиты[[#This Row],[Iкз max от сети, кА]])&gt;0,1.05*(Uн_лин*1000/SQRT(3))/(Щиты[[#This Row],[Iкз max от сети, кА]]*1000),IF(AND(LEFT(UPPER(TRIM(Щиты[[#This Row],[Питание: от (ТП / сеть)]])),2)="ТП",N(Щиты[[#This Row],[Sтр, кВА]])&gt;0),0.055*Uн_лин^2/(Щиты[[#This Row],[Sтр, кВА]]/1000),"")))</f>
        <v/>
      </c>
      <c r="BN16" t="str">
        <f>IF(Щиты[[#This Row],[_Zmax сети]]="","",Щиты[[#This Row],[_Zmax сети]]+IF(N(Щиты[[#This Row],[Питающий кабель: S, мм²]])&gt;0,IF(Щиты[[#This Row],[Материал]]="алюминий",0.028,0.0175)*N(Щиты[[#This Row],[Длина, м]])/(N(Щиты[[#This Row],[Питающий кабель: S, мм²]])*MAX(1,N(Щиты[[#This Row],[Кабелей параллельно]]))),0))</f>
        <v/>
      </c>
      <c r="BO16" cm="1">
        <f t="array" ref="BO16">IF(Щиты[[#This Row],[_строка фидера]]="","",INDEX(Линии[_Zmax кабеля],Щиты[[#This Row],[_строка фидера]]))</f>
        <v>0.24500000000000002</v>
      </c>
      <c r="BP16" t="str" cm="1">
        <f t="array" ref="BP16">IF(_xlfn.XLOOKUP(Щиты[[#This Row],[Корень]],Щиты[Щит],Щиты[_Zmax источника],"")="","",SUMPRODUCT(--ISNUMBER(SEARCH("|"&amp;Щиты[Щит]&amp;"|",Щиты[[#This Row],[Путь]])),IFERROR(--Щиты[_Zmax источника],0)+IFERROR(--Щиты[_Zmax фидера],0)))</f>
        <v/>
      </c>
      <c r="BQ16">
        <f>_xlfn.MAXIFS(Линии[_ранг для фидера],Линии[Щит],Щиты[[#This Row],[Щит]])</f>
        <v>2</v>
      </c>
      <c r="BR16" t="str" cm="1">
        <f t="array" ref="BR16">IFERROR(INDEX({"III","II","I","I особая"},MAX(1,_xlfn.MAXIFS(Щиты[_ранг собств],Щиты[Путь],"*|"&amp;Щиты[[#This Row],[Щит]]&amp;"|*"))),"III")</f>
        <v>II</v>
      </c>
      <c r="BS16" t="str" cm="1">
        <f t="array" ref="BS16">IF(Щиты[[#This Row],[_строка фидера]]="","",INDEX(Линии[Категория (итог)],Щиты[[#This Row],[_строка фидера]]))</f>
        <v>II</v>
      </c>
      <c r="BT16">
        <f>_xlfn.MAXIFS(Линии[Iпуск, А],Линии[Щит],Щиты[[#This Row],[Щит]])</f>
        <v>0</v>
      </c>
      <c r="BU16" t="str" cm="1">
        <f t="array" ref="BU16">IF(Щиты[[#This Row],[_строка фидера]]="","",INDEX(Линии[Источник для режимов],Щиты[[#This Row],[_строка фидера]]))</f>
        <v>Ввод 1</v>
      </c>
      <c r="BV16" t="str" cm="1">
        <f t="array" ref="BV16">IF(Щиты[[#This Row],[_строка фидера]]="","",INDEX(Линии[Пожарная (итог)],Щиты[[#This Row],[_строка фидера]]))</f>
        <v>нет</v>
      </c>
      <c r="BW16">
        <f>COUNTIFS(Линии[Щит],Щиты[[#This Row],[Щит]],Линии[Категория: проверка],"НЕ ОБЕСПЕЧЕНА")</f>
        <v>0</v>
      </c>
    </row>
    <row r="17" spans="1:75" x14ac:dyDescent="0.3">
      <c r="A17" t="s">
        <v>758</v>
      </c>
      <c r="C17">
        <v>1</v>
      </c>
      <c r="D17" t="s">
        <v>488</v>
      </c>
      <c r="E17" t="s">
        <v>845</v>
      </c>
      <c r="F17">
        <v>7</v>
      </c>
      <c r="U17" t="str" cm="1">
        <f t="array" ref="U17">IF(Щиты[[#This Row],[Питается от]]&lt;&gt;"",Щиты[[#This Row],[Питается от]],IFERROR(INDEX(Линии[Щит],Щиты[[#This Row],[_строка фидера]]),""))</f>
        <v>ГРЩ-ЖД</v>
      </c>
      <c r="V17" t="str">
        <f>_xlfn.TEXTJOIN("; ",TRUE,IF(AND(Щиты[[#This Row],[Питается от (итог)]]="",Щиты[[#This Row],[Zпетли на шинах, Ом]]=""),"нет данных сети для ТКЗ: введите Iкз от сетевой организации или трансформатор",""),IF(AND(Щиты[[#This Row],[Категория фидера]]&lt;&gt;"",IFERROR(MATCH(Щиты[[#This Row],[Категория фидера]],{"III","II","I","I особая"},0),1)&lt;IFERROR(MATCH(Щиты[[#This Row],[Высшая категория нагрузки]],{"III","II","I","I особая"},0),1)),"фидер "&amp;Щиты[[#This Row],[Категория фидера]]&amp;" ниже нагрузки "&amp;Щиты[[#This Row],[Высшая категория нагрузки]],""),IF(Щиты[[#This Row],[Не обеспечено, линий]]&gt;0,"не обеспечена категория у "&amp;Щиты[[#This Row],[Не обеспечено, линий]]&amp;" линий",""),IF(AND(Щиты[[#This Row],[Питается от]]&lt;&gt;"",Щиты[[#This Row],[_строка фидера]]=""),"нет линии-фидера в «Линиях»: номер линии = имя щита или столбец «Питает щит»",""),IF(AND(ISNUMBER(Щиты[[#This Row],[ΔU до шин, %]]),Щиты[[#This Row],[ΔU до шин, %]]&gt;4),"ΔU до шин "&amp;FIXED(Щиты[[#This Row],[ΔU до шин, %]],2)&amp;" % &gt; 4 %",""))</f>
        <v/>
      </c>
      <c r="W17" t="str" cm="1">
        <f t="array" ref="W17">IF(Щиты[[#This Row],[_строка фидера]]="","",INDEX(Линии[Номер линии],Щиты[[#This Row],[_строка фидера]]))</f>
        <v>ЩР-001</v>
      </c>
      <c r="X17">
        <f>SUMIFS(Щиты[_Руст собств],Щиты[Путь],"*|"&amp;Щиты[[#This Row],[Щит]]&amp;"|*")</f>
        <v>11.860000000000001</v>
      </c>
      <c r="Y17">
        <f>k_пк*Щиты[[#This Row],[Руст быт, кВт]]*Щиты[[#This Row],[Кс быт]]+Щиты[[#This Row],[Ко]]*Щиты[[#This Row],[Рр сил, кВт]]+Щиты[[#This Row],[Руст пост, кВт]]+Щиты[[#This Row],[Р отопления, кВт]]+Щиты[[#This Row],[Рр ВНГ, кВт]]</f>
        <v>10.708000000000002</v>
      </c>
      <c r="Z17">
        <f>IFERROR(MAX(MAX(Щиты[[#This Row],[P L1, кВт]],Щиты[[#This Row],[P L2, кВт]],Щиты[[#This Row],[P L3, кВт]])*Щиты[[#This Row],[Кс итог]]/((Uн_лин*1000/SQRT(3))/1000*Щиты[[#This Row],[cos φ]]),Щиты[[#This Row],[Рр, кВт]]/(SQRT(3)*Uн_лин*Щиты[[#This Row],[cos φ]])),0)</f>
        <v>16.378863980838116</v>
      </c>
      <c r="AA17">
        <f>IFERROR(SUMIFS(Щиты[_Pcos собств],Щиты[Путь],"*|"&amp;Щиты[[#This Row],[Щит]]&amp;"|*")/SUMIFS(Щиты[_P собств],Щиты[Путь],"*|"&amp;Щиты[[#This Row],[Щит]]&amp;"|*"),0.95)</f>
        <v>0.94999999999999984</v>
      </c>
      <c r="AB17" cm="1">
        <f t="array" ref="AB17">SUMPRODUCT(--ISNUMBER(SEARCH("|"&amp;Щиты[Щит]&amp;"|",Щиты[[#This Row],[Путь]])),IFERROR(--Щиты[_ΔU фидера],0)+IFERROR(--Щиты[_ΔU источника],0))</f>
        <v>1.57</v>
      </c>
      <c r="AC17" t="str">
        <f>IF(ISNUMBER(Щиты[[#This Row],[Zпетли на шинах, Ом]]),c_min*(Uн_лин*1000/SQRT(3))/Щиты[[#This Row],[Zпетли на шинах, Ом]],"")</f>
        <v/>
      </c>
      <c r="AD17" t="str">
        <f>IF(ISNUMBER(Щиты[[#This Row],[Zmax на шинах, Ом]]),1.05*(Uн_лин*1000/SQRT(3))/Щиты[[#This Row],[Zmax на шинах, Ом]]/1000,"")</f>
        <v/>
      </c>
      <c r="AE17" t="str" cm="1">
        <f t="array" ref="AE17">_xlfn.LET(_xlpm.w,_xlfn.TEXTSPLIT(Щиты[[#This Row],[Путь]],"|"),_xlpm.names,_xlfn._xlws.FILTER(_xlpm.w,_xlpm.w&lt;&gt;""),_xlfn.REDUCE("",_xlpm.names,_xlfn.LAMBDA(_xlpm.acc,_xlpm.nm,_xlfn.LET(_xlpm.inp,N(_xlfn.XLOOKUP(_xlpm.nm,Щиты[Щит],Щиты[Вводов],1)),_xlpm.avr,LOWER(TRIM(_xlfn.XLOOKUP(_xlpm.nm,Щиты[Щит],Щиты[АВР],"нет")&amp;"")),_xlpm.own,IF(_xlpm.inp&gt;=2,IF(_xlpm.avr="да","I","II"),"III"),_xlpm.fr,_xlfn.XLOOKUP(_xlpm.nm,Щиты[Щит],Щиты[_строка фидера],""),_xlpm.bt,IF(_xlpm.fr="","",INDEX(Линии[Тип шины],_xlpm.fr)&amp;""),_xlpm.man,TRIM(_xlfn.XLOOKUP(_xlpm.nm,Щиты[Щит],Щиты[Кат. питающей линии (ручн.)],"")&amp;""),_xlpm.up,IF(_xlpm.acc="",_xlpm.man,IF(OR(_xlpm.bt="ИБП",_xlpm.bt="ДГУ"),"I особая",IF(_xlpm.bt="Одиночная","III",_xlpm.acc))),IF(_xlpm.own&lt;&gt;"III",_xlpm.own,IF(OR(_xlpm.up="I особая",_xlpm.up="I",_xlpm.up="II"),"II","III"))))))</f>
        <v>II</v>
      </c>
      <c r="AF17" t="str" cm="1">
        <f t="array" ref="AF17">_xlfn.LET(_xlpm.f,_xlfn.LAMBDA(_xlpm.x,IF(_xlpm.x="","",_xlfn.XLOOKUP(_xlpm.x,Щиты[Щит],Щиты[Питается от (итог)],"")&amp;"")),_xlpm.п0,Щиты[[#This Row],[Щит]],_xlpm.п1,_xlpm.f(_xlpm.п0),_xlpm.п2,_xlpm.f(_xlpm.п1),_xlpm.п3,_xlpm.f(_xlpm.п2),_xlpm.п4,_xlpm.f(_xlpm.п3),_xlpm.п5,_xlpm.f(_xlpm.п4),_xlpm.п6,_xlpm.f(_xlpm.п5),_xlpm.п7,_xlpm.f(_xlpm.п6),"|"&amp;_xlfn.TEXTJOIN("|",TRUE,_xlpm.п7,_xlpm.п6,_xlpm.п5,_xlpm.п4,_xlpm.п3,_xlpm.п2,_xlpm.п1,_xlpm.п0)&amp;"|")</f>
        <v>|ГРЩ-ЖД|ЩР-001|</v>
      </c>
      <c r="AG17" t="str">
        <f>_xlfn.TEXTBEFORE(MID(Щиты[[#This Row],[Путь]],2,999),"|")</f>
        <v>ГРЩ-ЖД</v>
      </c>
      <c r="AH17">
        <f>LEN(Щиты[[#This Row],[Путь]])-LEN(SUBSTITUTE(Щиты[[#This Row],[Путь]],"|",""))-2</f>
        <v>1</v>
      </c>
      <c r="AI17">
        <f>IFERROR(_xlfn.XMATCH(Щиты[[#This Row],[Щит]],Линии[_фидер]),"")</f>
        <v>10</v>
      </c>
      <c r="AJ17">
        <f>SUMIFS(Линии[_Руст (без Нет)],Линии[Щит],Щиты[[#This Row],[Щит]])</f>
        <v>11.860000000000001</v>
      </c>
      <c r="AK17">
        <f>SUMIFS(Линии[_Руст быт],Линии[Щит],Щиты[[#This Row],[Щит]])</f>
        <v>5.7600000000000007</v>
      </c>
      <c r="AL17">
        <f>SUMIFS(Линии[_Рр сил],Линии[Щит],Щиты[[#This Row],[Щит]])</f>
        <v>0</v>
      </c>
      <c r="AM17">
        <f>SUMIFS(Линии[_Руст пост],Линии[Щит],Щиты[[#This Row],[Щит]])</f>
        <v>6.1000000000000005</v>
      </c>
      <c r="AN17">
        <f>SUMIFS(Линии[_P для cos],Линии[Щит],Щиты[[#This Row],[Щит]])</f>
        <v>11.860000000000001</v>
      </c>
      <c r="AO17">
        <f>SUMIFS(Линии[_P·cos],Линии[Щит],Щиты[[#This Row],[Щит]])</f>
        <v>11.266999999999999</v>
      </c>
      <c r="AP17">
        <f>SUMIFS(Линии[_Р отопления],Линии[Щит],Щиты[[#This Row],[Щит]])</f>
        <v>0</v>
      </c>
      <c r="AQ17">
        <f>SUMIFS(Линии[_Рр ВНГ],Линии[Щит],Щиты[[#This Row],[Щит]])</f>
        <v>0</v>
      </c>
      <c r="AR17">
        <f>SUMIFS(Щиты[_быт собств],Щиты[Путь],"*|"&amp;Щиты[[#This Row],[Щит]]&amp;"|*")</f>
        <v>5.7600000000000007</v>
      </c>
      <c r="AS17" cm="1">
        <f t="array" ref="AS17">_xlfn.LET(_xlpm.x,Щиты[[#This Row],[Руст быт, кВт]],_xlpm.m,MATCH(_xlpm.x,Кс_Р,1),IF(_xlpm.x&gt;=INDEX(Кс_Р,ROWS(Кс_Р)),INDEX(Кс_К,ROWS(Кс_К)),INDEX(Кс_К,_xlpm.m)+(_xlpm.x-INDEX(Кс_Р,_xlpm.m))*(INDEX(Кс_К,_xlpm.m+1)-INDEX(Кс_К,_xlpm.m))/(INDEX(Кс_Р,_xlpm.m+1)-INDEX(Кс_Р,_xlpm.m))))</f>
        <v>0.8</v>
      </c>
      <c r="AT17">
        <f>SUMIFS(Щиты[_сил собств],Щиты[Путь],"*|"&amp;Щиты[[#This Row],[Щит]]&amp;"|*")</f>
        <v>0</v>
      </c>
      <c r="AU17">
        <f>SUMIFS(Щиты[_пост собств],Щиты[Путь],"*|"&amp;Щиты[[#This Row],[Щит]]&amp;"|*")</f>
        <v>6.1000000000000005</v>
      </c>
      <c r="AV17">
        <f>SUMIFS(Щиты[_отоп собств],Щиты[Путь],"*|"&amp;Щиты[[#This Row],[Щит]]&amp;"|*")</f>
        <v>0</v>
      </c>
      <c r="AW17">
        <f>SUMIFS(Щиты[_внг собств],Щиты[Путь],"*|"&amp;Щиты[[#This Row],[Щит]]&amp;"|*")</f>
        <v>0</v>
      </c>
      <c r="AX17">
        <f>COUNTIFS(Линии[Щит],Щиты[[#This Row],[Щит]],Линии[Группа Кс (итог)],"Сил")</f>
        <v>0</v>
      </c>
      <c r="AY17" cm="1">
        <f t="array" ref="AY17">_xlfn.LET(_xlpm.n,Щиты[[#This Row],[_n силовых]],IF(_xlpm.n&lt;=1,1,IF(_xlpm.n&gt;=MAX(Кс75_n),INDEX(Кс75_k,ROWS(Кс75_k)),_xlfn.LET(_xlpm.m,MATCH(_xlpm.n,Кс75_n,1),INDEX(Кс75_k,_xlpm.m)+(_xlpm.n-INDEX(Кс75_n,_xlpm.m))*(INDEX(Кс75_k,_xlpm.m+1)-INDEX(Кс75_k,_xlpm.m))/(INDEX(Кс75_n,_xlpm.m+1)-INDEX(Кс75_n,_xlpm.m))))))</f>
        <v>1</v>
      </c>
      <c r="AZ17">
        <f>IF(Методика="нормы 2026",IF(AND(Щиты[[#This Row],[Руст быт, кВт]]&gt;0,Щиты[[#This Row],[Рр сил, кВт]]&gt;0),Ко_сил,1),Ко_сил)</f>
        <v>0.9</v>
      </c>
      <c r="BA17">
        <f>IF(Щиты[[#This Row],[Руст, кВт]]=0,0,Щиты[[#This Row],[Рр, кВт]]/Щиты[[#This Row],[Руст, кВт]])</f>
        <v>0.90286677908937618</v>
      </c>
      <c r="BB17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Row],[Щит]],Линии[Фаза],"L1",Линии[Группа Кс (итог)],"&lt;&gt;Нет")</f>
        <v>3.9600000000000004</v>
      </c>
      <c r="BC17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Row],[Щит]],Линии[Фаза],"L2",Линии[Группа Кс (итог)],"&lt;&gt;Нет")</f>
        <v>3.92</v>
      </c>
      <c r="BD17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Row],[Щит]],Линии[Фаза],"L3",Линии[Группа Кс (итог)],"&lt;&gt;Нет")</f>
        <v>3.98</v>
      </c>
      <c r="BE17" cm="1">
        <f t="array" ref="BE17">IF(Щиты[[#This Row],[_строка фидера]]="","",INDEX(Линии[ΔU, %],Щиты[[#This Row],[_строка фидера]]))</f>
        <v>1.57</v>
      </c>
      <c r="BF17">
        <f>IF(OR(N(Щиты[[#This Row],[Питающий кабель: S, мм²]])=0,N(Щиты[[#This Row],[Длина, м]])=0),0,(IF(Щиты[[#This Row],[Материал]]="алюминий",0.036,0.0225)*N(Щиты[[#This Row],[Длина, м]])/(N(Щиты[[#This Row],[Питающий кабель: S, мм²]])*MAX(1,N(Щиты[[#This Row],[Кабелей параллельно]])))*Щиты[[#This Row],[cos φ]]+0.00008*N(Щиты[[#This Row],[Длина, м]])/MAX(1,N(Щиты[[#This Row],[Кабелей параллельно]]))*SIN(ACOS(Щиты[[#This Row],[cos φ]])))*Щиты[[#This Row],[Iр, А]]/(Uн_лин*1000/SQRT(3))*100)</f>
        <v>0</v>
      </c>
      <c r="BG17">
        <f>IF(Щиты[[#This Row],[Питается от (итог)]]&lt;&gt;"",0,IF(LEFT(UPPER(TRIM(Щиты[[#This Row],[Питание: от (ТП / сеть)]])),2)="ТП",0,N(Щиты[[#This Row],[ΔU до питающего, %]])+Щиты[[#This Row],[_ΔU пит. линии]]))</f>
        <v>0</v>
      </c>
      <c r="BH17">
        <f>IF(N(Щиты[[#This Row],[Питающий кабель: S, мм²]])&gt;0,2*IF(Щиты[[#This Row],[Материал]]="алюминий",ρкз_Al,ρкз_Cu)*N(Щиты[[#This Row],[Длина, м]])/(N(Щиты[[#This Row],[Питающий кабель: S, мм²]])*MAX(1,N(Щиты[[#This Row],[Кабелей параллельно]]))),0)</f>
        <v>0</v>
      </c>
      <c r="BI17" t="str">
        <f>IF(Щиты[[#This Row],[Питается от (итог)]]&lt;&gt;"","",IF(N(Щиты[[#This Row],[Iкз min от сети, А]])&gt;0,c_min*(Uн_лин*1000/SQRT(3))/Щиты[[#This Row],[Iкз min от сети, А]],IF(AND(LEFT(UPPER(TRIM(Щиты[[#This Row],[Питание: от (ТП / сеть)]])),2)="ТП",N(Щиты[[#This Row],[Sтр, кВА]])&gt;0),0.055*Uн_лин^2/(Щиты[[#This Row],[Sтр, кВА]]/1000)*IF(Щиты[[#This Row],[Схема тр-ра]]="Y/Yн",3,1),"")))</f>
        <v/>
      </c>
      <c r="BJ17" t="str">
        <f>IF(Щиты[[#This Row],[_Zсети]]="","",Щиты[[#This Row],[_Zсети]]+Щиты[[#This Row],[_петля пит. кабеля]])</f>
        <v/>
      </c>
      <c r="BK17" cm="1">
        <f t="array" ref="BK17">IF(Щиты[[#This Row],[_строка фидера]]="","",INDEX(Линии[_Zкабеля],Щиты[[#This Row],[_строка фидера]]))</f>
        <v>0.53915000000000002</v>
      </c>
      <c r="BL17" t="str" cm="1">
        <f t="array" ref="BL17">IF(_xlfn.XLOOKUP(Щиты[[#This Row],[Корень]],Щиты[Щит],Щиты[_Zисточника],"")="","",SUMPRODUCT(--ISNUMBER(SEARCH("|"&amp;Щиты[Щит]&amp;"|",Щиты[[#This Row],[Путь]])),IFERROR(--Щиты[_Zисточника],0)+IFERROR(--Щиты[_Zфидера],0))+SUMPRODUCT(--ISNUMBER(SEARCH("|"&amp;Щиты[Щит]&amp;"|",Щиты[[#This Row],[Путь]])))*R_пер)</f>
        <v/>
      </c>
      <c r="BM17" t="str">
        <f>IF(Щиты[[#This Row],[Питается от (итог)]]&lt;&gt;"","",IF(N(Щиты[[#This Row],[Iкз max от сети, кА]])&gt;0,1.05*(Uн_лин*1000/SQRT(3))/(Щиты[[#This Row],[Iкз max от сети, кА]]*1000),IF(AND(LEFT(UPPER(TRIM(Щиты[[#This Row],[Питание: от (ТП / сеть)]])),2)="ТП",N(Щиты[[#This Row],[Sтр, кВА]])&gt;0),0.055*Uн_лин^2/(Щиты[[#This Row],[Sтр, кВА]]/1000),"")))</f>
        <v/>
      </c>
      <c r="BN17" t="str">
        <f>IF(Щиты[[#This Row],[_Zmax сети]]="","",Щиты[[#This Row],[_Zmax сети]]+IF(N(Щиты[[#This Row],[Питающий кабель: S, мм²]])&gt;0,IF(Щиты[[#This Row],[Материал]]="алюминий",0.028,0.0175)*N(Щиты[[#This Row],[Длина, м]])/(N(Щиты[[#This Row],[Питающий кабель: S, мм²]])*MAX(1,N(Щиты[[#This Row],[Кабелей параллельно]]))),0))</f>
        <v/>
      </c>
      <c r="BO17" cm="1">
        <f t="array" ref="BO17">IF(Щиты[[#This Row],[_строка фидера]]="","",INDEX(Линии[_Zmax кабеля],Щиты[[#This Row],[_строка фидера]]))</f>
        <v>0.17937500000000001</v>
      </c>
      <c r="BP17" t="str" cm="1">
        <f t="array" ref="BP17">IF(_xlfn.XLOOKUP(Щиты[[#This Row],[Корень]],Щиты[Щит],Щиты[_Zmax источника],"")="","",SUMPRODUCT(--ISNUMBER(SEARCH("|"&amp;Щиты[Щит]&amp;"|",Щиты[[#This Row],[Путь]])),IFERROR(--Щиты[_Zmax источника],0)+IFERROR(--Щиты[_Zmax фидера],0)))</f>
        <v/>
      </c>
      <c r="BQ17">
        <f>_xlfn.MAXIFS(Линии[_ранг для фидера],Линии[Щит],Щиты[[#This Row],[Щит]])</f>
        <v>2</v>
      </c>
      <c r="BR17" t="str" cm="1">
        <f t="array" ref="BR17">IFERROR(INDEX({"III","II","I","I особая"},MAX(1,_xlfn.MAXIFS(Щиты[_ранг собств],Щиты[Путь],"*|"&amp;Щиты[[#This Row],[Щит]]&amp;"|*"))),"III")</f>
        <v>II</v>
      </c>
      <c r="BS17" t="str" cm="1">
        <f t="array" ref="BS17">IF(Щиты[[#This Row],[_строка фидера]]="","",INDEX(Линии[Категория (итог)],Щиты[[#This Row],[_строка фидера]]))</f>
        <v>II</v>
      </c>
      <c r="BT17">
        <f>_xlfn.MAXIFS(Линии[Iпуск, А],Линии[Щит],Щиты[[#This Row],[Щит]])</f>
        <v>0</v>
      </c>
      <c r="BU17" t="str" cm="1">
        <f t="array" ref="BU17">IF(Щиты[[#This Row],[_строка фидера]]="","",INDEX(Линии[Источник для режимов],Щиты[[#This Row],[_строка фидера]]))</f>
        <v>Ввод 1</v>
      </c>
      <c r="BV17" t="str" cm="1">
        <f t="array" ref="BV17">IF(Щиты[[#This Row],[_строка фидера]]="","",INDEX(Линии[Пожарная (итог)],Щиты[[#This Row],[_строка фидера]]))</f>
        <v>нет</v>
      </c>
      <c r="BW17">
        <f>COUNTIFS(Линии[Щит],Щиты[[#This Row],[Щит]],Линии[Категория: проверка],"НЕ ОБЕСПЕЧЕНА")</f>
        <v>0</v>
      </c>
    </row>
    <row r="18" spans="1:75" x14ac:dyDescent="0.3">
      <c r="A18" t="s">
        <v>760</v>
      </c>
      <c r="C18">
        <v>1</v>
      </c>
      <c r="D18" t="s">
        <v>488</v>
      </c>
      <c r="E18" t="s">
        <v>845</v>
      </c>
      <c r="F18">
        <v>8</v>
      </c>
      <c r="U18" t="str" cm="1">
        <f t="array" ref="U18">IF(Щиты[[#This Row],[Питается от]]&lt;&gt;"",Щиты[[#This Row],[Питается от]],IFERROR(INDEX(Линии[Щит],Щиты[[#This Row],[_строка фидера]]),""))</f>
        <v>ГРЩ-ЖД</v>
      </c>
      <c r="V18" t="str">
        <f>_xlfn.TEXTJOIN("; ",TRUE,IF(AND(Щиты[[#This Row],[Питается от (итог)]]="",Щиты[[#This Row],[Zпетли на шинах, Ом]]=""),"нет данных сети для ТКЗ: введите Iкз от сетевой организации или трансформатор",""),IF(AND(Щиты[[#This Row],[Категория фидера]]&lt;&gt;"",IFERROR(MATCH(Щиты[[#This Row],[Категория фидера]],{"III","II","I","I особая"},0),1)&lt;IFERROR(MATCH(Щиты[[#This Row],[Высшая категория нагрузки]],{"III","II","I","I особая"},0),1)),"фидер "&amp;Щиты[[#This Row],[Категория фидера]]&amp;" ниже нагрузки "&amp;Щиты[[#This Row],[Высшая категория нагрузки]],""),IF(Щиты[[#This Row],[Не обеспечено, линий]]&gt;0,"не обеспечена категория у "&amp;Щиты[[#This Row],[Не обеспечено, линий]]&amp;" линий",""),IF(AND(Щиты[[#This Row],[Питается от]]&lt;&gt;"",Щиты[[#This Row],[_строка фидера]]=""),"нет линии-фидера в «Линиях»: номер линии = имя щита или столбец «Питает щит»",""),IF(AND(ISNUMBER(Щиты[[#This Row],[ΔU до шин, %]]),Щиты[[#This Row],[ΔU до шин, %]]&gt;4),"ΔU до шин "&amp;FIXED(Щиты[[#This Row],[ΔU до шин, %]],2)&amp;" % &gt; 4 %",""))</f>
        <v/>
      </c>
      <c r="W18" t="str" cm="1">
        <f t="array" ref="W18">IF(Щиты[[#This Row],[_строка фидера]]="","",INDEX(Линии[Номер линии],Щиты[[#This Row],[_строка фидера]]))</f>
        <v>ЩР-01</v>
      </c>
      <c r="X18">
        <f>SUMIFS(Щиты[_Руст собств],Щиты[Путь],"*|"&amp;Щиты[[#This Row],[Щит]]&amp;"|*")</f>
        <v>24.405000000000005</v>
      </c>
      <c r="Y18">
        <f>k_пк*Щиты[[#This Row],[Руст быт, кВт]]*Щиты[[#This Row],[Кс быт]]+Щиты[[#This Row],[Ко]]*Щиты[[#This Row],[Рр сил, кВт]]+Щиты[[#This Row],[Руст пост, кВт]]+Щиты[[#This Row],[Р отопления, кВт]]+Щиты[[#This Row],[Рр ВНГ, кВт]]</f>
        <v>21.560840000000002</v>
      </c>
      <c r="Z18">
        <f>IFERROR(MAX(MAX(Щиты[[#This Row],[P L1, кВт]],Щиты[[#This Row],[P L2, кВт]],Щиты[[#This Row],[P L3, кВт]])*Щиты[[#This Row],[Кс итог]]/((Uн_лин*1000/SQRT(3))/1000*Щиты[[#This Row],[cos φ]]),Щиты[[#This Row],[Рр, кВт]]/(SQRT(3)*Uн_лин*Щиты[[#This Row],[cos φ]])),0)</f>
        <v>32.798575666043085</v>
      </c>
      <c r="AA18">
        <f>IFERROR(SUMIFS(Щиты[_Pcos собств],Щиты[Путь],"*|"&amp;Щиты[[#This Row],[Щит]]&amp;"|*")/SUMIFS(Щиты[_P собств],Щиты[Путь],"*|"&amp;Щиты[[#This Row],[Щит]]&amp;"|*"),0.95)</f>
        <v>0.95000000000000018</v>
      </c>
      <c r="AB18" cm="1">
        <f t="array" ref="AB18">SUMPRODUCT(--ISNUMBER(SEARCH("|"&amp;Щиты[Щит]&amp;"|",Щиты[[#This Row],[Путь]])),IFERROR(--Щиты[_ΔU фидера],0)+IFERROR(--Щиты[_ΔU источника],0))</f>
        <v>0.43</v>
      </c>
      <c r="AC18" t="str">
        <f>IF(ISNUMBER(Щиты[[#This Row],[Zпетли на шинах, Ом]]),c_min*(Uн_лин*1000/SQRT(3))/Щиты[[#This Row],[Zпетли на шинах, Ом]],"")</f>
        <v/>
      </c>
      <c r="AD18" t="str">
        <f>IF(ISNUMBER(Щиты[[#This Row],[Zmax на шинах, Ом]]),1.05*(Uн_лин*1000/SQRT(3))/Щиты[[#This Row],[Zmax на шинах, Ом]]/1000,"")</f>
        <v/>
      </c>
      <c r="AE18" t="str" cm="1">
        <f t="array" ref="AE18">_xlfn.LET(_xlpm.w,_xlfn.TEXTSPLIT(Щиты[[#This Row],[Путь]],"|"),_xlpm.names,_xlfn._xlws.FILTER(_xlpm.w,_xlpm.w&lt;&gt;""),_xlfn.REDUCE("",_xlpm.names,_xlfn.LAMBDA(_xlpm.acc,_xlpm.nm,_xlfn.LET(_xlpm.inp,N(_xlfn.XLOOKUP(_xlpm.nm,Щиты[Щит],Щиты[Вводов],1)),_xlpm.avr,LOWER(TRIM(_xlfn.XLOOKUP(_xlpm.nm,Щиты[Щит],Щиты[АВР],"нет")&amp;"")),_xlpm.own,IF(_xlpm.inp&gt;=2,IF(_xlpm.avr="да","I","II"),"III"),_xlpm.fr,_xlfn.XLOOKUP(_xlpm.nm,Щиты[Щит],Щиты[_строка фидера],""),_xlpm.bt,IF(_xlpm.fr="","",INDEX(Линии[Тип шины],_xlpm.fr)&amp;""),_xlpm.man,TRIM(_xlfn.XLOOKUP(_xlpm.nm,Щиты[Щит],Щиты[Кат. питающей линии (ручн.)],"")&amp;""),_xlpm.up,IF(_xlpm.acc="",_xlpm.man,IF(OR(_xlpm.bt="ИБП",_xlpm.bt="ДГУ"),"I особая",IF(_xlpm.bt="Одиночная","III",_xlpm.acc))),IF(_xlpm.own&lt;&gt;"III",_xlpm.own,IF(OR(_xlpm.up="I особая",_xlpm.up="I",_xlpm.up="II"),"II","III"))))))</f>
        <v>II</v>
      </c>
      <c r="AF18" t="str" cm="1">
        <f t="array" ref="AF18">_xlfn.LET(_xlpm.f,_xlfn.LAMBDA(_xlpm.x,IF(_xlpm.x="","",_xlfn.XLOOKUP(_xlpm.x,Щиты[Щит],Щиты[Питается от (итог)],"")&amp;"")),_xlpm.п0,Щиты[[#This Row],[Щит]],_xlpm.п1,_xlpm.f(_xlpm.п0),_xlpm.п2,_xlpm.f(_xlpm.п1),_xlpm.п3,_xlpm.f(_xlpm.п2),_xlpm.п4,_xlpm.f(_xlpm.п3),_xlpm.п5,_xlpm.f(_xlpm.п4),_xlpm.п6,_xlpm.f(_xlpm.п5),_xlpm.п7,_xlpm.f(_xlpm.п6),"|"&amp;_xlfn.TEXTJOIN("|",TRUE,_xlpm.п7,_xlpm.п6,_xlpm.п5,_xlpm.п4,_xlpm.п3,_xlpm.п2,_xlpm.п1,_xlpm.п0)&amp;"|")</f>
        <v>|ГРЩ-ЖД|ЩР-01|</v>
      </c>
      <c r="AG18" t="str">
        <f>_xlfn.TEXTBEFORE(MID(Щиты[[#This Row],[Путь]],2,999),"|")</f>
        <v>ГРЩ-ЖД</v>
      </c>
      <c r="AH18">
        <f>LEN(Щиты[[#This Row],[Путь]])-LEN(SUBSTITUTE(Щиты[[#This Row],[Путь]],"|",""))-2</f>
        <v>1</v>
      </c>
      <c r="AI18">
        <f>IFERROR(_xlfn.XMATCH(Щиты[[#This Row],[Щит]],Линии[_фидер]),"")</f>
        <v>11</v>
      </c>
      <c r="AJ18">
        <f>SUMIFS(Линии[_Руст (без Нет)],Линии[Щит],Щиты[[#This Row],[Щит]])</f>
        <v>24.405000000000005</v>
      </c>
      <c r="AK18">
        <f>SUMIFS(Линии[_Руст быт],Линии[Щит],Щиты[[#This Row],[Щит]])</f>
        <v>14.080000000000004</v>
      </c>
      <c r="AL18">
        <f>SUMIFS(Линии[_Рр сил],Линии[Щит],Щиты[[#This Row],[Щит]])</f>
        <v>0</v>
      </c>
      <c r="AM18">
        <f>SUMIFS(Линии[_Руст пост],Линии[Щит],Щиты[[#This Row],[Щит]])</f>
        <v>10.325000000000001</v>
      </c>
      <c r="AN18">
        <f>SUMIFS(Линии[_P для cos],Линии[Щит],Щиты[[#This Row],[Щит]])</f>
        <v>24.405000000000005</v>
      </c>
      <c r="AO18">
        <f>SUMIFS(Линии[_P·cos],Линии[Щит],Щиты[[#This Row],[Щит]])</f>
        <v>23.184750000000008</v>
      </c>
      <c r="AP18">
        <f>SUMIFS(Линии[_Р отопления],Линии[Щит],Щиты[[#This Row],[Щит]])</f>
        <v>0</v>
      </c>
      <c r="AQ18">
        <f>SUMIFS(Линии[_Рр ВНГ],Линии[Щит],Щиты[[#This Row],[Щит]])</f>
        <v>0</v>
      </c>
      <c r="AR18">
        <f>SUMIFS(Щиты[_быт собств],Щиты[Путь],"*|"&amp;Щиты[[#This Row],[Щит]]&amp;"|*")</f>
        <v>14.080000000000004</v>
      </c>
      <c r="AS18" cm="1">
        <f t="array" ref="AS18">_xlfn.LET(_xlpm.x,Щиты[[#This Row],[Руст быт, кВт]],_xlpm.m,MATCH(_xlpm.x,Кс_Р,1),IF(_xlpm.x&gt;=INDEX(Кс_Р,ROWS(Кс_Р)),INDEX(Кс_К,ROWS(Кс_К)),INDEX(Кс_К,_xlpm.m)+(_xlpm.x-INDEX(Кс_Р,_xlpm.m))*(INDEX(Кс_К,_xlpm.m+1)-INDEX(Кс_К,_xlpm.m))/(INDEX(Кс_Р,_xlpm.m+1)-INDEX(Кс_Р,_xlpm.m))))</f>
        <v>0.79799999999999993</v>
      </c>
      <c r="AT18">
        <f>SUMIFS(Щиты[_сил собств],Щиты[Путь],"*|"&amp;Щиты[[#This Row],[Щит]]&amp;"|*")</f>
        <v>0</v>
      </c>
      <c r="AU18">
        <f>SUMIFS(Щиты[_пост собств],Щиты[Путь],"*|"&amp;Щиты[[#This Row],[Щит]]&amp;"|*")</f>
        <v>10.325000000000001</v>
      </c>
      <c r="AV18">
        <f>SUMIFS(Щиты[_отоп собств],Щиты[Путь],"*|"&amp;Щиты[[#This Row],[Щит]]&amp;"|*")</f>
        <v>0</v>
      </c>
      <c r="AW18">
        <f>SUMIFS(Щиты[_внг собств],Щиты[Путь],"*|"&amp;Щиты[[#This Row],[Щит]]&amp;"|*")</f>
        <v>0</v>
      </c>
      <c r="AX18">
        <f>COUNTIFS(Линии[Щит],Щиты[[#This Row],[Щит]],Линии[Группа Кс (итог)],"Сил")</f>
        <v>0</v>
      </c>
      <c r="AY18" cm="1">
        <f t="array" ref="AY18">_xlfn.LET(_xlpm.n,Щиты[[#This Row],[_n силовых]],IF(_xlpm.n&lt;=1,1,IF(_xlpm.n&gt;=MAX(Кс75_n),INDEX(Кс75_k,ROWS(Кс75_k)),_xlfn.LET(_xlpm.m,MATCH(_xlpm.n,Кс75_n,1),INDEX(Кс75_k,_xlpm.m)+(_xlpm.n-INDEX(Кс75_n,_xlpm.m))*(INDEX(Кс75_k,_xlpm.m+1)-INDEX(Кс75_k,_xlpm.m))/(INDEX(Кс75_n,_xlpm.m+1)-INDEX(Кс75_n,_xlpm.m))))))</f>
        <v>1</v>
      </c>
      <c r="AZ18">
        <f>IF(Методика="нормы 2026",IF(AND(Щиты[[#This Row],[Руст быт, кВт]]&gt;0,Щиты[[#This Row],[Рр сил, кВт]]&gt;0),Ко_сил,1),Ко_сил)</f>
        <v>0.9</v>
      </c>
      <c r="BA18">
        <f>IF(Щиты[[#This Row],[Руст, кВт]]=0,0,Щиты[[#This Row],[Рр, кВт]]/Щиты[[#This Row],[Руст, кВт]])</f>
        <v>0.88345994673222694</v>
      </c>
      <c r="BB18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Row],[Щит]],Линии[Фаза],"L1",Линии[Группа Кс (итог)],"&lt;&gt;Нет")</f>
        <v>8.1450000000000014</v>
      </c>
      <c r="BC18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Row],[Щит]],Линии[Фаза],"L2",Линии[Группа Кс (итог)],"&lt;&gt;Нет")</f>
        <v>8.120000000000001</v>
      </c>
      <c r="BD18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Row],[Щит]],Линии[Фаза],"L3",Линии[Группа Кс (итог)],"&lt;&gt;Нет")</f>
        <v>8.14</v>
      </c>
      <c r="BE18" cm="1">
        <f t="array" ref="BE18">IF(Щиты[[#This Row],[_строка фидера]]="","",INDEX(Линии[ΔU, %],Щиты[[#This Row],[_строка фидера]]))</f>
        <v>0.43</v>
      </c>
      <c r="BF18">
        <f>IF(OR(N(Щиты[[#This Row],[Питающий кабель: S, мм²]])=0,N(Щиты[[#This Row],[Длина, м]])=0),0,(IF(Щиты[[#This Row],[Материал]]="алюминий",0.036,0.0225)*N(Щиты[[#This Row],[Длина, м]])/(N(Щиты[[#This Row],[Питающий кабель: S, мм²]])*MAX(1,N(Щиты[[#This Row],[Кабелей параллельно]])))*Щиты[[#This Row],[cos φ]]+0.00008*N(Щиты[[#This Row],[Длина, м]])/MAX(1,N(Щиты[[#This Row],[Кабелей параллельно]]))*SIN(ACOS(Щиты[[#This Row],[cos φ]])))*Щиты[[#This Row],[Iр, А]]/(Uн_лин*1000/SQRT(3))*100)</f>
        <v>0</v>
      </c>
      <c r="BG18">
        <f>IF(Щиты[[#This Row],[Питается от (итог)]]&lt;&gt;"",0,IF(LEFT(UPPER(TRIM(Щиты[[#This Row],[Питание: от (ТП / сеть)]])),2)="ТП",0,N(Щиты[[#This Row],[ΔU до питающего, %]])+Щиты[[#This Row],[_ΔU пит. линии]]))</f>
        <v>0</v>
      </c>
      <c r="BH18">
        <f>IF(N(Щиты[[#This Row],[Питающий кабель: S, мм²]])&gt;0,2*IF(Щиты[[#This Row],[Материал]]="алюминий",ρкз_Al,ρкз_Cu)*N(Щиты[[#This Row],[Длина, м]])/(N(Щиты[[#This Row],[Питающий кабель: S, мм²]])*MAX(1,N(Щиты[[#This Row],[Кабелей параллельно]]))),0)</f>
        <v>0</v>
      </c>
      <c r="BI18" t="str">
        <f>IF(Щиты[[#This Row],[Питается от (итог)]]&lt;&gt;"","",IF(N(Щиты[[#This Row],[Iкз min от сети, А]])&gt;0,c_min*(Uн_лин*1000/SQRT(3))/Щиты[[#This Row],[Iкз min от сети, А]],IF(AND(LEFT(UPPER(TRIM(Щиты[[#This Row],[Питание: от (ТП / сеть)]])),2)="ТП",N(Щиты[[#This Row],[Sтр, кВА]])&gt;0),0.055*Uн_лин^2/(Щиты[[#This Row],[Sтр, кВА]]/1000)*IF(Щиты[[#This Row],[Схема тр-ра]]="Y/Yн",3,1),"")))</f>
        <v/>
      </c>
      <c r="BJ18" t="str">
        <f>IF(Щиты[[#This Row],[_Zсети]]="","",Щиты[[#This Row],[_Zсети]]+Щиты[[#This Row],[_петля пит. кабеля]])</f>
        <v/>
      </c>
      <c r="BK18" cm="1">
        <f t="array" ref="BK18">IF(Щиты[[#This Row],[_строка фидера]]="","",INDEX(Линии[_Zкабеля],Щиты[[#This Row],[_строка фидера]]))</f>
        <v>7.3640000000000011E-2</v>
      </c>
      <c r="BL18" t="str" cm="1">
        <f t="array" ref="BL18">IF(_xlfn.XLOOKUP(Щиты[[#This Row],[Корень]],Щиты[Щит],Щиты[_Zисточника],"")="","",SUMPRODUCT(--ISNUMBER(SEARCH("|"&amp;Щиты[Щит]&amp;"|",Щиты[[#This Row],[Путь]])),IFERROR(--Щиты[_Zисточника],0)+IFERROR(--Щиты[_Zфидера],0))+SUMPRODUCT(--ISNUMBER(SEARCH("|"&amp;Щиты[Щит]&amp;"|",Щиты[[#This Row],[Путь]])))*R_пер)</f>
        <v/>
      </c>
      <c r="BM18" t="str">
        <f>IF(Щиты[[#This Row],[Питается от (итог)]]&lt;&gt;"","",IF(N(Щиты[[#This Row],[Iкз max от сети, кА]])&gt;0,1.05*(Uн_лин*1000/SQRT(3))/(Щиты[[#This Row],[Iкз max от сети, кА]]*1000),IF(AND(LEFT(UPPER(TRIM(Щиты[[#This Row],[Питание: от (ТП / сеть)]])),2)="ТП",N(Щиты[[#This Row],[Sтр, кВА]])&gt;0),0.055*Uн_лин^2/(Щиты[[#This Row],[Sтр, кВА]]/1000),"")))</f>
        <v/>
      </c>
      <c r="BN18" t="str">
        <f>IF(Щиты[[#This Row],[_Zmax сети]]="","",Щиты[[#This Row],[_Zmax сети]]+IF(N(Щиты[[#This Row],[Питающий кабель: S, мм²]])&gt;0,IF(Щиты[[#This Row],[Материал]]="алюминий",0.028,0.0175)*N(Щиты[[#This Row],[Длина, м]])/(N(Щиты[[#This Row],[Питающий кабель: S, мм²]])*MAX(1,N(Щиты[[#This Row],[Кабелей параллельно]]))),0))</f>
        <v/>
      </c>
      <c r="BO18" cm="1">
        <f t="array" ref="BO18">IF(Щиты[[#This Row],[_строка фидера]]="","",INDEX(Линии[_Zmax кабеля],Щиты[[#This Row],[_строка фидера]]))</f>
        <v>2.4500000000000001E-2</v>
      </c>
      <c r="BP18" t="str" cm="1">
        <f t="array" ref="BP18">IF(_xlfn.XLOOKUP(Щиты[[#This Row],[Корень]],Щиты[Щит],Щиты[_Zmax источника],"")="","",SUMPRODUCT(--ISNUMBER(SEARCH("|"&amp;Щиты[Щит]&amp;"|",Щиты[[#This Row],[Путь]])),IFERROR(--Щиты[_Zmax источника],0)+IFERROR(--Щиты[_Zmax фидера],0)))</f>
        <v/>
      </c>
      <c r="BQ18">
        <f>_xlfn.MAXIFS(Линии[_ранг для фидера],Линии[Щит],Щиты[[#This Row],[Щит]])</f>
        <v>2</v>
      </c>
      <c r="BR18" t="str" cm="1">
        <f t="array" ref="BR18">IFERROR(INDEX({"III","II","I","I особая"},MAX(1,_xlfn.MAXIFS(Щиты[_ранг собств],Щиты[Путь],"*|"&amp;Щиты[[#This Row],[Щит]]&amp;"|*"))),"III")</f>
        <v>II</v>
      </c>
      <c r="BS18" t="str" cm="1">
        <f t="array" ref="BS18">IF(Щиты[[#This Row],[_строка фидера]]="","",INDEX(Линии[Категория (итог)],Щиты[[#This Row],[_строка фидера]]))</f>
        <v>II</v>
      </c>
      <c r="BT18">
        <f>_xlfn.MAXIFS(Линии[Iпуск, А],Линии[Щит],Щиты[[#This Row],[Щит]])</f>
        <v>0</v>
      </c>
      <c r="BU18" t="str" cm="1">
        <f t="array" ref="BU18">IF(Щиты[[#This Row],[_строка фидера]]="","",INDEX(Линии[Источник для режимов],Щиты[[#This Row],[_строка фидера]]))</f>
        <v>Ввод 1</v>
      </c>
      <c r="BV18" t="str" cm="1">
        <f t="array" ref="BV18">IF(Щиты[[#This Row],[_строка фидера]]="","",INDEX(Линии[Пожарная (итог)],Щиты[[#This Row],[_строка фидера]]))</f>
        <v>нет</v>
      </c>
      <c r="BW18">
        <f>COUNTIFS(Линии[Щит],Щиты[[#This Row],[Щит]],Линии[Категория: проверка],"НЕ ОБЕСПЕЧЕНА")</f>
        <v>0</v>
      </c>
    </row>
    <row r="19" spans="1:75" x14ac:dyDescent="0.3">
      <c r="A19" t="s">
        <v>762</v>
      </c>
      <c r="C19">
        <v>1</v>
      </c>
      <c r="D19" t="s">
        <v>488</v>
      </c>
      <c r="E19" t="s">
        <v>845</v>
      </c>
      <c r="F19">
        <v>8</v>
      </c>
      <c r="U19" t="str" cm="1">
        <f t="array" ref="U19">IF(Щиты[[#This Row],[Питается от]]&lt;&gt;"",Щиты[[#This Row],[Питается от]],IFERROR(INDEX(Линии[Щит],Щиты[[#This Row],[_строка фидера]]),""))</f>
        <v>ГРЩ-ЖД</v>
      </c>
      <c r="V19" t="str">
        <f>_xlfn.TEXTJOIN("; ",TRUE,IF(AND(Щиты[[#This Row],[Питается от (итог)]]="",Щиты[[#This Row],[Zпетли на шинах, Ом]]=""),"нет данных сети для ТКЗ: введите Iкз от сетевой организации или трансформатор",""),IF(AND(Щиты[[#This Row],[Категория фидера]]&lt;&gt;"",IFERROR(MATCH(Щиты[[#This Row],[Категория фидера]],{"III","II","I","I особая"},0),1)&lt;IFERROR(MATCH(Щиты[[#This Row],[Высшая категория нагрузки]],{"III","II","I","I особая"},0),1)),"фидер "&amp;Щиты[[#This Row],[Категория фидера]]&amp;" ниже нагрузки "&amp;Щиты[[#This Row],[Высшая категория нагрузки]],""),IF(Щиты[[#This Row],[Не обеспечено, линий]]&gt;0,"не обеспечена категория у "&amp;Щиты[[#This Row],[Не обеспечено, линий]]&amp;" линий",""),IF(AND(Щиты[[#This Row],[Питается от]]&lt;&gt;"",Щиты[[#This Row],[_строка фидера]]=""),"нет линии-фидера в «Линиях»: номер линии = имя щита или столбец «Питает щит»",""),IF(AND(ISNUMBER(Щиты[[#This Row],[ΔU до шин, %]]),Щиты[[#This Row],[ΔU до шин, %]]&gt;4),"ΔU до шин "&amp;FIXED(Щиты[[#This Row],[ΔU до шин, %]],2)&amp;" % &gt; 4 %",""))</f>
        <v/>
      </c>
      <c r="W19" t="str" cm="1">
        <f t="array" ref="W19">IF(Щиты[[#This Row],[_строка фидера]]="","",INDEX(Линии[Номер линии],Щиты[[#This Row],[_строка фидера]]))</f>
        <v>ЩР-1</v>
      </c>
      <c r="X19">
        <f>SUMIFS(Щиты[_Руст собств],Щиты[Путь],"*|"&amp;Щиты[[#This Row],[Щит]]&amp;"|*")</f>
        <v>34.840000000000003</v>
      </c>
      <c r="Y19">
        <f>k_пк*Щиты[[#This Row],[Руст быт, кВт]]*Щиты[[#This Row],[Кс быт]]+Щиты[[#This Row],[Ко]]*Щиты[[#This Row],[Рр сил, кВт]]+Щиты[[#This Row],[Руст пост, кВт]]+Щиты[[#This Row],[Р отопления, кВт]]+Щиты[[#This Row],[Рр ВНГ, кВт]]</f>
        <v>20.358822000000004</v>
      </c>
      <c r="Z19">
        <f>IFERROR(MAX(MAX(Щиты[[#This Row],[P L1, кВт]],Щиты[[#This Row],[P L2, кВт]],Щиты[[#This Row],[P L3, кВт]])*Щиты[[#This Row],[Кс итог]]/((Uн_лин*1000/SQRT(3))/1000*Щиты[[#This Row],[cos φ]]),Щиты[[#This Row],[Рр, кВт]]/(SQRT(3)*Uн_лин*Щиты[[#This Row],[cos φ]])),0)</f>
        <v>32.503490661511528</v>
      </c>
      <c r="AA19">
        <f>IFERROR(SUMIFS(Щиты[_Pcos собств],Щиты[Путь],"*|"&amp;Щиты[[#This Row],[Щит]]&amp;"|*")/SUMIFS(Щиты[_P собств],Щиты[Путь],"*|"&amp;Щиты[[#This Row],[Щит]]&amp;"|*"),0.95)</f>
        <v>0.94999999999999984</v>
      </c>
      <c r="AB19" cm="1">
        <f t="array" ref="AB19">SUMPRODUCT(--ISNUMBER(SEARCH("|"&amp;Щиты[Щит]&amp;"|",Щиты[[#This Row],[Путь]])),IFERROR(--Щиты[_ΔU фидера],0)+IFERROR(--Щиты[_ΔU источника],0))</f>
        <v>1.25</v>
      </c>
      <c r="AC19" t="str">
        <f>IF(ISNUMBER(Щиты[[#This Row],[Zпетли на шинах, Ом]]),c_min*(Uн_лин*1000/SQRT(3))/Щиты[[#This Row],[Zпетли на шинах, Ом]],"")</f>
        <v/>
      </c>
      <c r="AD19" t="str">
        <f>IF(ISNUMBER(Щиты[[#This Row],[Zmax на шинах, Ом]]),1.05*(Uн_лин*1000/SQRT(3))/Щиты[[#This Row],[Zmax на шинах, Ом]]/1000,"")</f>
        <v/>
      </c>
      <c r="AE19" t="str" cm="1">
        <f t="array" ref="AE19">_xlfn.LET(_xlpm.w,_xlfn.TEXTSPLIT(Щиты[[#This Row],[Путь]],"|"),_xlpm.names,_xlfn._xlws.FILTER(_xlpm.w,_xlpm.w&lt;&gt;""),_xlfn.REDUCE("",_xlpm.names,_xlfn.LAMBDA(_xlpm.acc,_xlpm.nm,_xlfn.LET(_xlpm.inp,N(_xlfn.XLOOKUP(_xlpm.nm,Щиты[Щит],Щиты[Вводов],1)),_xlpm.avr,LOWER(TRIM(_xlfn.XLOOKUP(_xlpm.nm,Щиты[Щит],Щиты[АВР],"нет")&amp;"")),_xlpm.own,IF(_xlpm.inp&gt;=2,IF(_xlpm.avr="да","I","II"),"III"),_xlpm.fr,_xlfn.XLOOKUP(_xlpm.nm,Щиты[Щит],Щиты[_строка фидера],""),_xlpm.bt,IF(_xlpm.fr="","",INDEX(Линии[Тип шины],_xlpm.fr)&amp;""),_xlpm.man,TRIM(_xlfn.XLOOKUP(_xlpm.nm,Щиты[Щит],Щиты[Кат. питающей линии (ручн.)],"")&amp;""),_xlpm.up,IF(_xlpm.acc="",_xlpm.man,IF(OR(_xlpm.bt="ИБП",_xlpm.bt="ДГУ"),"I особая",IF(_xlpm.bt="Одиночная","III",_xlpm.acc))),IF(_xlpm.own&lt;&gt;"III",_xlpm.own,IF(OR(_xlpm.up="I особая",_xlpm.up="I",_xlpm.up="II"),"II","III"))))))</f>
        <v>II</v>
      </c>
      <c r="AF19" t="str" cm="1">
        <f t="array" ref="AF19">_xlfn.LET(_xlpm.f,_xlfn.LAMBDA(_xlpm.x,IF(_xlpm.x="","",_xlfn.XLOOKUP(_xlpm.x,Щиты[Щит],Щиты[Питается от (итог)],"")&amp;"")),_xlpm.п0,Щиты[[#This Row],[Щит]],_xlpm.п1,_xlpm.f(_xlpm.п0),_xlpm.п2,_xlpm.f(_xlpm.п1),_xlpm.п3,_xlpm.f(_xlpm.п2),_xlpm.п4,_xlpm.f(_xlpm.п3),_xlpm.п5,_xlpm.f(_xlpm.п4),_xlpm.п6,_xlpm.f(_xlpm.п5),_xlpm.п7,_xlpm.f(_xlpm.п6),"|"&amp;_xlfn.TEXTJOIN("|",TRUE,_xlpm.п7,_xlpm.п6,_xlpm.п5,_xlpm.п4,_xlpm.п3,_xlpm.п2,_xlpm.п1,_xlpm.п0)&amp;"|")</f>
        <v>|ГРЩ-ЖД|ЩР-1|</v>
      </c>
      <c r="AG19" t="str">
        <f>_xlfn.TEXTBEFORE(MID(Щиты[[#This Row],[Путь]],2,999),"|")</f>
        <v>ГРЩ-ЖД</v>
      </c>
      <c r="AH19">
        <f>LEN(Щиты[[#This Row],[Путь]])-LEN(SUBSTITUTE(Щиты[[#This Row],[Путь]],"|",""))-2</f>
        <v>1</v>
      </c>
      <c r="AI19">
        <f>IFERROR(_xlfn.XMATCH(Щиты[[#This Row],[Щит]],Линии[_фидер]),"")</f>
        <v>12</v>
      </c>
      <c r="AJ19">
        <f>SUMIFS(Линии[_Руст (без Нет)],Линии[Щит],Щиты[[#This Row],[Щит]])</f>
        <v>34.840000000000003</v>
      </c>
      <c r="AK19">
        <f>SUMIFS(Линии[_Руст быт],Линии[Щит],Щиты[[#This Row],[Щит]])</f>
        <v>34.340000000000003</v>
      </c>
      <c r="AL19">
        <f>SUMIFS(Линии[_Рр сил],Линии[Щит],Щиты[[#This Row],[Щит]])</f>
        <v>0</v>
      </c>
      <c r="AM19">
        <f>SUMIFS(Линии[_Руст пост],Линии[Щит],Щиты[[#This Row],[Щит]])</f>
        <v>0.5</v>
      </c>
      <c r="AN19">
        <f>SUMIFS(Линии[_P для cos],Линии[Щит],Щиты[[#This Row],[Щит]])</f>
        <v>34.840000000000003</v>
      </c>
      <c r="AO19">
        <f>SUMIFS(Линии[_P·cos],Линии[Щит],Щиты[[#This Row],[Щит]])</f>
        <v>33.097999999999999</v>
      </c>
      <c r="AP19">
        <f>SUMIFS(Линии[_Р отопления],Линии[Щит],Щиты[[#This Row],[Щит]])</f>
        <v>0</v>
      </c>
      <c r="AQ19">
        <f>SUMIFS(Линии[_Рр ВНГ],Линии[Щит],Щиты[[#This Row],[Щит]])</f>
        <v>0</v>
      </c>
      <c r="AR19">
        <f>SUMIFS(Щиты[_быт собств],Щиты[Путь],"*|"&amp;Щиты[[#This Row],[Щит]]&amp;"|*")</f>
        <v>34.340000000000003</v>
      </c>
      <c r="AS19" cm="1">
        <f t="array" ref="AS19">_xlfn.LET(_xlpm.x,Щиты[[#This Row],[Руст быт, кВт]],_xlpm.m,MATCH(_xlpm.x,Кс_Р,1),IF(_xlpm.x&gt;=INDEX(Кс_Р,ROWS(Кс_Р)),INDEX(Кс_К,ROWS(Кс_К)),INDEX(Кс_К,_xlpm.m)+(_xlpm.x-INDEX(Кс_Р,_xlpm.m))*(INDEX(Кс_К,_xlpm.m+1)-INDEX(Кс_К,_xlpm.m))/(INDEX(Кс_Р,_xlpm.m+1)-INDEX(Кс_Р,_xlpm.m))))</f>
        <v>0.57830000000000004</v>
      </c>
      <c r="AT19">
        <f>SUMIFS(Щиты[_сил собств],Щиты[Путь],"*|"&amp;Щиты[[#This Row],[Щит]]&amp;"|*")</f>
        <v>0</v>
      </c>
      <c r="AU19">
        <f>SUMIFS(Щиты[_пост собств],Щиты[Путь],"*|"&amp;Щиты[[#This Row],[Щит]]&amp;"|*")</f>
        <v>0.5</v>
      </c>
      <c r="AV19">
        <f>SUMIFS(Щиты[_отоп собств],Щиты[Путь],"*|"&amp;Щиты[[#This Row],[Щит]]&amp;"|*")</f>
        <v>0</v>
      </c>
      <c r="AW19">
        <f>SUMIFS(Щиты[_внг собств],Щиты[Путь],"*|"&amp;Щиты[[#This Row],[Щит]]&amp;"|*")</f>
        <v>0</v>
      </c>
      <c r="AX19">
        <f>COUNTIFS(Линии[Щит],Щиты[[#This Row],[Щит]],Линии[Группа Кс (итог)],"Сил")</f>
        <v>0</v>
      </c>
      <c r="AY19" cm="1">
        <f t="array" ref="AY19">_xlfn.LET(_xlpm.n,Щиты[[#This Row],[_n силовых]],IF(_xlpm.n&lt;=1,1,IF(_xlpm.n&gt;=MAX(Кс75_n),INDEX(Кс75_k,ROWS(Кс75_k)),_xlfn.LET(_xlpm.m,MATCH(_xlpm.n,Кс75_n,1),INDEX(Кс75_k,_xlpm.m)+(_xlpm.n-INDEX(Кс75_n,_xlpm.m))*(INDEX(Кс75_k,_xlpm.m+1)-INDEX(Кс75_k,_xlpm.m))/(INDEX(Кс75_n,_xlpm.m+1)-INDEX(Кс75_n,_xlpm.m))))))</f>
        <v>1</v>
      </c>
      <c r="AZ19">
        <f>IF(Методика="нормы 2026",IF(AND(Щиты[[#This Row],[Руст быт, кВт]]&gt;0,Щиты[[#This Row],[Рр сил, кВт]]&gt;0),Ко_сил,1),Ко_сил)</f>
        <v>0.9</v>
      </c>
      <c r="BA19">
        <f>IF(Щиты[[#This Row],[Руст, кВт]]=0,0,Щиты[[#This Row],[Рр, кВт]]/Щиты[[#This Row],[Руст, кВт]])</f>
        <v>0.58435195177956378</v>
      </c>
      <c r="BB19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Row],[Щит]],Линии[Фаза],"L1",Линии[Группа Кс (итог)],"&lt;&gt;Нет")</f>
        <v>11.363333333333332</v>
      </c>
      <c r="BC19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Row],[Щит]],Линии[Фаза],"L2",Линии[Группа Кс (итог)],"&lt;&gt;Нет")</f>
        <v>11.273333333333332</v>
      </c>
      <c r="BD19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Row],[Щит]],Линии[Фаза],"L3",Линии[Группа Кс (итог)],"&lt;&gt;Нет")</f>
        <v>12.203333333333333</v>
      </c>
      <c r="BE19" cm="1">
        <f t="array" ref="BE19">IF(Щиты[[#This Row],[_строка фидера]]="","",INDEX(Линии[ΔU, %],Щиты[[#This Row],[_строка фидера]]))</f>
        <v>1.25</v>
      </c>
      <c r="BF19">
        <f>IF(OR(N(Щиты[[#This Row],[Питающий кабель: S, мм²]])=0,N(Щиты[[#This Row],[Длина, м]])=0),0,(IF(Щиты[[#This Row],[Материал]]="алюминий",0.036,0.0225)*N(Щиты[[#This Row],[Длина, м]])/(N(Щиты[[#This Row],[Питающий кабель: S, мм²]])*MAX(1,N(Щиты[[#This Row],[Кабелей параллельно]])))*Щиты[[#This Row],[cos φ]]+0.00008*N(Щиты[[#This Row],[Длина, м]])/MAX(1,N(Щиты[[#This Row],[Кабелей параллельно]]))*SIN(ACOS(Щиты[[#This Row],[cos φ]])))*Щиты[[#This Row],[Iр, А]]/(Uн_лин*1000/SQRT(3))*100)</f>
        <v>0</v>
      </c>
      <c r="BG19">
        <f>IF(Щиты[[#This Row],[Питается от (итог)]]&lt;&gt;"",0,IF(LEFT(UPPER(TRIM(Щиты[[#This Row],[Питание: от (ТП / сеть)]])),2)="ТП",0,N(Щиты[[#This Row],[ΔU до питающего, %]])+Щиты[[#This Row],[_ΔU пит. линии]]))</f>
        <v>0</v>
      </c>
      <c r="BH19">
        <f>IF(N(Щиты[[#This Row],[Питающий кабель: S, мм²]])&gt;0,2*IF(Щиты[[#This Row],[Материал]]="алюминий",ρкз_Al,ρкз_Cu)*N(Щиты[[#This Row],[Длина, м]])/(N(Щиты[[#This Row],[Питающий кабель: S, мм²]])*MAX(1,N(Щиты[[#This Row],[Кабелей параллельно]]))),0)</f>
        <v>0</v>
      </c>
      <c r="BI19" t="str">
        <f>IF(Щиты[[#This Row],[Питается от (итог)]]&lt;&gt;"","",IF(N(Щиты[[#This Row],[Iкз min от сети, А]])&gt;0,c_min*(Uн_лин*1000/SQRT(3))/Щиты[[#This Row],[Iкз min от сети, А]],IF(AND(LEFT(UPPER(TRIM(Щиты[[#This Row],[Питание: от (ТП / сеть)]])),2)="ТП",N(Щиты[[#This Row],[Sтр, кВА]])&gt;0),0.055*Uн_лин^2/(Щиты[[#This Row],[Sтр, кВА]]/1000)*IF(Щиты[[#This Row],[Схема тр-ра]]="Y/Yн",3,1),"")))</f>
        <v/>
      </c>
      <c r="BJ19" t="str">
        <f>IF(Щиты[[#This Row],[_Zсети]]="","",Щиты[[#This Row],[_Zсети]]+Щиты[[#This Row],[_петля пит. кабеля]])</f>
        <v/>
      </c>
      <c r="BK19" cm="1">
        <f t="array" ref="BK19">IF(Щиты[[#This Row],[_строка фидера]]="","",INDEX(Линии[_Zкабеля],Щиты[[#This Row],[_строка фидера]]))</f>
        <v>0.2136875</v>
      </c>
      <c r="BL19" t="str" cm="1">
        <f t="array" ref="BL19">IF(_xlfn.XLOOKUP(Щиты[[#This Row],[Корень]],Щиты[Щит],Щиты[_Zисточника],"")="","",SUMPRODUCT(--ISNUMBER(SEARCH("|"&amp;Щиты[Щит]&amp;"|",Щиты[[#This Row],[Путь]])),IFERROR(--Щиты[_Zисточника],0)+IFERROR(--Щиты[_Zфидера],0))+SUMPRODUCT(--ISNUMBER(SEARCH("|"&amp;Щиты[Щит]&amp;"|",Щиты[[#This Row],[Путь]])))*R_пер)</f>
        <v/>
      </c>
      <c r="BM19" t="str">
        <f>IF(Щиты[[#This Row],[Питается от (итог)]]&lt;&gt;"","",IF(N(Щиты[[#This Row],[Iкз max от сети, кА]])&gt;0,1.05*(Uн_лин*1000/SQRT(3))/(Щиты[[#This Row],[Iкз max от сети, кА]]*1000),IF(AND(LEFT(UPPER(TRIM(Щиты[[#This Row],[Питание: от (ТП / сеть)]])),2)="ТП",N(Щиты[[#This Row],[Sтр, кВА]])&gt;0),0.055*Uн_лин^2/(Щиты[[#This Row],[Sтр, кВА]]/1000),"")))</f>
        <v/>
      </c>
      <c r="BN19" t="str">
        <f>IF(Щиты[[#This Row],[_Zmax сети]]="","",Щиты[[#This Row],[_Zmax сети]]+IF(N(Щиты[[#This Row],[Питающий кабель: S, мм²]])&gt;0,IF(Щиты[[#This Row],[Материал]]="алюминий",0.028,0.0175)*N(Щиты[[#This Row],[Длина, м]])/(N(Щиты[[#This Row],[Питающий кабель: S, мм²]])*MAX(1,N(Щиты[[#This Row],[Кабелей параллельно]]))),0))</f>
        <v/>
      </c>
      <c r="BO19" cm="1">
        <f t="array" ref="BO19">IF(Щиты[[#This Row],[_строка фидера]]="","",INDEX(Линии[_Zmax кабеля],Щиты[[#This Row],[_строка фидера]]))</f>
        <v>7.1093750000000011E-2</v>
      </c>
      <c r="BP19" t="str" cm="1">
        <f t="array" ref="BP19">IF(_xlfn.XLOOKUP(Щиты[[#This Row],[Корень]],Щиты[Щит],Щиты[_Zmax источника],"")="","",SUMPRODUCT(--ISNUMBER(SEARCH("|"&amp;Щиты[Щит]&amp;"|",Щиты[[#This Row],[Путь]])),IFERROR(--Щиты[_Zmax источника],0)+IFERROR(--Щиты[_Zmax фидера],0)))</f>
        <v/>
      </c>
      <c r="BQ19">
        <f>_xlfn.MAXIFS(Линии[_ранг для фидера],Линии[Щит],Щиты[[#This Row],[Щит]])</f>
        <v>2</v>
      </c>
      <c r="BR19" t="str" cm="1">
        <f t="array" ref="BR19">IFERROR(INDEX({"III","II","I","I особая"},MAX(1,_xlfn.MAXIFS(Щиты[_ранг собств],Щиты[Путь],"*|"&amp;Щиты[[#This Row],[Щит]]&amp;"|*"))),"III")</f>
        <v>II</v>
      </c>
      <c r="BS19" t="str" cm="1">
        <f t="array" ref="BS19">IF(Щиты[[#This Row],[_строка фидера]]="","",INDEX(Линии[Категория (итог)],Щиты[[#This Row],[_строка фидера]]))</f>
        <v>II</v>
      </c>
      <c r="BT19">
        <f>_xlfn.MAXIFS(Линии[Iпуск, А],Линии[Щит],Щиты[[#This Row],[Щит]])</f>
        <v>0</v>
      </c>
      <c r="BU19" t="str" cm="1">
        <f t="array" ref="BU19">IF(Щиты[[#This Row],[_строка фидера]]="","",INDEX(Линии[Источник для режимов],Щиты[[#This Row],[_строка фидера]]))</f>
        <v>Ввод 2</v>
      </c>
      <c r="BV19" t="str" cm="1">
        <f t="array" ref="BV19">IF(Щиты[[#This Row],[_строка фидера]]="","",INDEX(Линии[Пожарная (итог)],Щиты[[#This Row],[_строка фидера]]))</f>
        <v>нет</v>
      </c>
      <c r="BW19">
        <f>COUNTIFS(Линии[Щит],Щиты[[#This Row],[Щит]],Линии[Категория: проверка],"НЕ ОБЕСПЕЧЕНА")</f>
        <v>0</v>
      </c>
    </row>
    <row r="20" spans="1:75" x14ac:dyDescent="0.3">
      <c r="A20" t="s">
        <v>764</v>
      </c>
      <c r="C20">
        <v>1</v>
      </c>
      <c r="D20" t="s">
        <v>488</v>
      </c>
      <c r="E20" t="s">
        <v>845</v>
      </c>
      <c r="F20">
        <v>8</v>
      </c>
      <c r="U20" t="str" cm="1">
        <f t="array" ref="U20">IF(Щиты[[#This Row],[Питается от]]&lt;&gt;"",Щиты[[#This Row],[Питается от]],IFERROR(INDEX(Линии[Щит],Щиты[[#This Row],[_строка фидера]]),""))</f>
        <v>ГРЩ-ЖД</v>
      </c>
      <c r="V20" t="str">
        <f>_xlfn.TEXTJOIN("; ",TRUE,IF(AND(Щиты[[#This Row],[Питается от (итог)]]="",Щиты[[#This Row],[Zпетли на шинах, Ом]]=""),"нет данных сети для ТКЗ: введите Iкз от сетевой организации или трансформатор",""),IF(AND(Щиты[[#This Row],[Категория фидера]]&lt;&gt;"",IFERROR(MATCH(Щиты[[#This Row],[Категория фидера]],{"III","II","I","I особая"},0),1)&lt;IFERROR(MATCH(Щиты[[#This Row],[Высшая категория нагрузки]],{"III","II","I","I особая"},0),1)),"фидер "&amp;Щиты[[#This Row],[Категория фидера]]&amp;" ниже нагрузки "&amp;Щиты[[#This Row],[Высшая категория нагрузки]],""),IF(Щиты[[#This Row],[Не обеспечено, линий]]&gt;0,"не обеспечена категория у "&amp;Щиты[[#This Row],[Не обеспечено, линий]]&amp;" линий",""),IF(AND(Щиты[[#This Row],[Питается от]]&lt;&gt;"",Щиты[[#This Row],[_строка фидера]]=""),"нет линии-фидера в «Линиях»: номер линии = имя щита или столбец «Питает щит»",""),IF(AND(ISNUMBER(Щиты[[#This Row],[ΔU до шин, %]]),Щиты[[#This Row],[ΔU до шин, %]]&gt;4),"ΔU до шин "&amp;FIXED(Щиты[[#This Row],[ΔU до шин, %]],2)&amp;" % &gt; 4 %",""))</f>
        <v/>
      </c>
      <c r="W20" t="str" cm="1">
        <f t="array" ref="W20">IF(Щиты[[#This Row],[_строка фидера]]="","",INDEX(Линии[Номер линии],Щиты[[#This Row],[_строка фидера]]))</f>
        <v>ЩР-2</v>
      </c>
      <c r="X20">
        <f>SUMIFS(Щиты[_Руст собств],Щиты[Путь],"*|"&amp;Щиты[[#This Row],[Щит]]&amp;"|*")</f>
        <v>9.98</v>
      </c>
      <c r="Y20">
        <f>k_пк*Щиты[[#This Row],[Руст быт, кВт]]*Щиты[[#This Row],[Кс быт]]+Щиты[[#This Row],[Ко]]*Щиты[[#This Row],[Рр сил, кВт]]+Щиты[[#This Row],[Руст пост, кВт]]+Щиты[[#This Row],[Р отопления, кВт]]+Щиты[[#This Row],[Рр ВНГ, кВт]]</f>
        <v>8.9239999999999995</v>
      </c>
      <c r="Z20">
        <f>IFERROR(MAX(MAX(Щиты[[#This Row],[P L1, кВт]],Щиты[[#This Row],[P L2, кВт]],Щиты[[#This Row],[P L3, кВт]])*Щиты[[#This Row],[Кс итог]]/((Uн_лин*1000/SQRT(3))/1000*Щиты[[#This Row],[cos φ]]),Щиты[[#This Row],[Рр, кВт]]/(SQRT(3)*Uн_лин*Щиты[[#This Row],[cos φ]])),0)</f>
        <v>13.694473137501861</v>
      </c>
      <c r="AA20">
        <f>IFERROR(SUMIFS(Щиты[_Pcos собств],Щиты[Путь],"*|"&amp;Щиты[[#This Row],[Щит]]&amp;"|*")/SUMIFS(Щиты[_P собств],Щиты[Путь],"*|"&amp;Щиты[[#This Row],[Щит]]&amp;"|*"),0.95)</f>
        <v>0.95</v>
      </c>
      <c r="AB20" cm="1">
        <f t="array" ref="AB20">SUMPRODUCT(--ISNUMBER(SEARCH("|"&amp;Щиты[Щит]&amp;"|",Щиты[[#This Row],[Путь]])),IFERROR(--Щиты[_ΔU фидера],0)+IFERROR(--Щиты[_ΔU источника],0))</f>
        <v>1.79</v>
      </c>
      <c r="AC20" t="str">
        <f>IF(ISNUMBER(Щиты[[#This Row],[Zпетли на шинах, Ом]]),c_min*(Uн_лин*1000/SQRT(3))/Щиты[[#This Row],[Zпетли на шинах, Ом]],"")</f>
        <v/>
      </c>
      <c r="AD20" t="str">
        <f>IF(ISNUMBER(Щиты[[#This Row],[Zmax на шинах, Ом]]),1.05*(Uн_лин*1000/SQRT(3))/Щиты[[#This Row],[Zmax на шинах, Ом]]/1000,"")</f>
        <v/>
      </c>
      <c r="AE20" t="str" cm="1">
        <f t="array" ref="AE20">_xlfn.LET(_xlpm.w,_xlfn.TEXTSPLIT(Щиты[[#This Row],[Путь]],"|"),_xlpm.names,_xlfn._xlws.FILTER(_xlpm.w,_xlpm.w&lt;&gt;""),_xlfn.REDUCE("",_xlpm.names,_xlfn.LAMBDA(_xlpm.acc,_xlpm.nm,_xlfn.LET(_xlpm.inp,N(_xlfn.XLOOKUP(_xlpm.nm,Щиты[Щит],Щиты[Вводов],1)),_xlpm.avr,LOWER(TRIM(_xlfn.XLOOKUP(_xlpm.nm,Щиты[Щит],Щиты[АВР],"нет")&amp;"")),_xlpm.own,IF(_xlpm.inp&gt;=2,IF(_xlpm.avr="да","I","II"),"III"),_xlpm.fr,_xlfn.XLOOKUP(_xlpm.nm,Щиты[Щит],Щиты[_строка фидера],""),_xlpm.bt,IF(_xlpm.fr="","",INDEX(Линии[Тип шины],_xlpm.fr)&amp;""),_xlpm.man,TRIM(_xlfn.XLOOKUP(_xlpm.nm,Щиты[Щит],Щиты[Кат. питающей линии (ручн.)],"")&amp;""),_xlpm.up,IF(_xlpm.acc="",_xlpm.man,IF(OR(_xlpm.bt="ИБП",_xlpm.bt="ДГУ"),"I особая",IF(_xlpm.bt="Одиночная","III",_xlpm.acc))),IF(_xlpm.own&lt;&gt;"III",_xlpm.own,IF(OR(_xlpm.up="I особая",_xlpm.up="I",_xlpm.up="II"),"II","III"))))))</f>
        <v>II</v>
      </c>
      <c r="AF20" t="str" cm="1">
        <f t="array" ref="AF20">_xlfn.LET(_xlpm.f,_xlfn.LAMBDA(_xlpm.x,IF(_xlpm.x="","",_xlfn.XLOOKUP(_xlpm.x,Щиты[Щит],Щиты[Питается от (итог)],"")&amp;"")),_xlpm.п0,Щиты[[#This Row],[Щит]],_xlpm.п1,_xlpm.f(_xlpm.п0),_xlpm.п2,_xlpm.f(_xlpm.п1),_xlpm.п3,_xlpm.f(_xlpm.п2),_xlpm.п4,_xlpm.f(_xlpm.п3),_xlpm.п5,_xlpm.f(_xlpm.п4),_xlpm.п6,_xlpm.f(_xlpm.п5),_xlpm.п7,_xlpm.f(_xlpm.п6),"|"&amp;_xlfn.TEXTJOIN("|",TRUE,_xlpm.п7,_xlpm.п6,_xlpm.п5,_xlpm.п4,_xlpm.п3,_xlpm.п2,_xlpm.п1,_xlpm.п0)&amp;"|")</f>
        <v>|ГРЩ-ЖД|ЩР-2|</v>
      </c>
      <c r="AG20" t="str">
        <f>_xlfn.TEXTBEFORE(MID(Щиты[[#This Row],[Путь]],2,999),"|")</f>
        <v>ГРЩ-ЖД</v>
      </c>
      <c r="AH20">
        <f>LEN(Щиты[[#This Row],[Путь]])-LEN(SUBSTITUTE(Щиты[[#This Row],[Путь]],"|",""))-2</f>
        <v>1</v>
      </c>
      <c r="AI20">
        <f>IFERROR(_xlfn.XMATCH(Щиты[[#This Row],[Щит]],Линии[_фидер]),"")</f>
        <v>13</v>
      </c>
      <c r="AJ20">
        <f>SUMIFS(Линии[_Руст (без Нет)],Линии[Щит],Щиты[[#This Row],[Щит]])</f>
        <v>9.98</v>
      </c>
      <c r="AK20">
        <f>SUMIFS(Линии[_Руст быт],Линии[Щит],Щиты[[#This Row],[Щит]])</f>
        <v>5.2799999999999994</v>
      </c>
      <c r="AL20">
        <f>SUMIFS(Линии[_Рр сил],Линии[Щит],Щиты[[#This Row],[Щит]])</f>
        <v>0</v>
      </c>
      <c r="AM20">
        <f>SUMIFS(Линии[_Руст пост],Линии[Щит],Щиты[[#This Row],[Щит]])</f>
        <v>4.7</v>
      </c>
      <c r="AN20">
        <f>SUMIFS(Линии[_P для cos],Линии[Щит],Щиты[[#This Row],[Щит]])</f>
        <v>9.98</v>
      </c>
      <c r="AO20">
        <f>SUMIFS(Линии[_P·cos],Линии[Щит],Щиты[[#This Row],[Щит]])</f>
        <v>9.4809999999999999</v>
      </c>
      <c r="AP20">
        <f>SUMIFS(Линии[_Р отопления],Линии[Щит],Щиты[[#This Row],[Щит]])</f>
        <v>0</v>
      </c>
      <c r="AQ20">
        <f>SUMIFS(Линии[_Рр ВНГ],Линии[Щит],Щиты[[#This Row],[Щит]])</f>
        <v>0</v>
      </c>
      <c r="AR20">
        <f>SUMIFS(Щиты[_быт собств],Щиты[Путь],"*|"&amp;Щиты[[#This Row],[Щит]]&amp;"|*")</f>
        <v>5.2799999999999994</v>
      </c>
      <c r="AS20" cm="1">
        <f t="array" ref="AS20">_xlfn.LET(_xlpm.x,Щиты[[#This Row],[Руст быт, кВт]],_xlpm.m,MATCH(_xlpm.x,Кс_Р,1),IF(_xlpm.x&gt;=INDEX(Кс_Р,ROWS(Кс_Р)),INDEX(Кс_К,ROWS(Кс_К)),INDEX(Кс_К,_xlpm.m)+(_xlpm.x-INDEX(Кс_Р,_xlpm.m))*(INDEX(Кс_К,_xlpm.m+1)-INDEX(Кс_К,_xlpm.m))/(INDEX(Кс_Р,_xlpm.m+1)-INDEX(Кс_Р,_xlpm.m))))</f>
        <v>0.8</v>
      </c>
      <c r="AT20">
        <f>SUMIFS(Щиты[_сил собств],Щиты[Путь],"*|"&amp;Щиты[[#This Row],[Щит]]&amp;"|*")</f>
        <v>0</v>
      </c>
      <c r="AU20">
        <f>SUMIFS(Щиты[_пост собств],Щиты[Путь],"*|"&amp;Щиты[[#This Row],[Щит]]&amp;"|*")</f>
        <v>4.7</v>
      </c>
      <c r="AV20">
        <f>SUMIFS(Щиты[_отоп собств],Щиты[Путь],"*|"&amp;Щиты[[#This Row],[Щит]]&amp;"|*")</f>
        <v>0</v>
      </c>
      <c r="AW20">
        <f>SUMIFS(Щиты[_внг собств],Щиты[Путь],"*|"&amp;Щиты[[#This Row],[Щит]]&amp;"|*")</f>
        <v>0</v>
      </c>
      <c r="AX20">
        <f>COUNTIFS(Линии[Щит],Щиты[[#This Row],[Щит]],Линии[Группа Кс (итог)],"Сил")</f>
        <v>0</v>
      </c>
      <c r="AY20" cm="1">
        <f t="array" ref="AY20">_xlfn.LET(_xlpm.n,Щиты[[#This Row],[_n силовых]],IF(_xlpm.n&lt;=1,1,IF(_xlpm.n&gt;=MAX(Кс75_n),INDEX(Кс75_k,ROWS(Кс75_k)),_xlfn.LET(_xlpm.m,MATCH(_xlpm.n,Кс75_n,1),INDEX(Кс75_k,_xlpm.m)+(_xlpm.n-INDEX(Кс75_n,_xlpm.m))*(INDEX(Кс75_k,_xlpm.m+1)-INDEX(Кс75_k,_xlpm.m))/(INDEX(Кс75_n,_xlpm.m+1)-INDEX(Кс75_n,_xlpm.m))))))</f>
        <v>1</v>
      </c>
      <c r="AZ20">
        <f>IF(Методика="нормы 2026",IF(AND(Щиты[[#This Row],[Руст быт, кВт]]&gt;0,Щиты[[#This Row],[Рр сил, кВт]]&gt;0),Ко_сил,1),Ко_сил)</f>
        <v>0.9</v>
      </c>
      <c r="BA20">
        <f>IF(Щиты[[#This Row],[Руст, кВт]]=0,0,Щиты[[#This Row],[Рр, кВт]]/Щиты[[#This Row],[Руст, кВт]])</f>
        <v>0.89418837675350693</v>
      </c>
      <c r="BB20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Row],[Щит]],Линии[Фаза],"L1",Линии[Группа Кс (итог)],"&lt;&gt;Нет")</f>
        <v>3.3600000000000003</v>
      </c>
      <c r="BC20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Row],[Щит]],Линии[Фаза],"L2",Линии[Группа Кс (итог)],"&lt;&gt;Нет")</f>
        <v>3.3</v>
      </c>
      <c r="BD20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Row],[Щит]],Линии[Фаза],"L3",Линии[Группа Кс (итог)],"&lt;&gt;Нет")</f>
        <v>3.3200000000000003</v>
      </c>
      <c r="BE20" cm="1">
        <f t="array" ref="BE20">IF(Щиты[[#This Row],[_строка фидера]]="","",INDEX(Линии[ΔU, %],Щиты[[#This Row],[_строка фидера]]))</f>
        <v>1.79</v>
      </c>
      <c r="BF20">
        <f>IF(OR(N(Щиты[[#This Row],[Питающий кабель: S, мм²]])=0,N(Щиты[[#This Row],[Длина, м]])=0),0,(IF(Щиты[[#This Row],[Материал]]="алюминий",0.036,0.0225)*N(Щиты[[#This Row],[Длина, м]])/(N(Щиты[[#This Row],[Питающий кабель: S, мм²]])*MAX(1,N(Щиты[[#This Row],[Кабелей параллельно]])))*Щиты[[#This Row],[cos φ]]+0.00008*N(Щиты[[#This Row],[Длина, м]])/MAX(1,N(Щиты[[#This Row],[Кабелей параллельно]]))*SIN(ACOS(Щиты[[#This Row],[cos φ]])))*Щиты[[#This Row],[Iр, А]]/(Uн_лин*1000/SQRT(3))*100)</f>
        <v>0</v>
      </c>
      <c r="BG20">
        <f>IF(Щиты[[#This Row],[Питается от (итог)]]&lt;&gt;"",0,IF(LEFT(UPPER(TRIM(Щиты[[#This Row],[Питание: от (ТП / сеть)]])),2)="ТП",0,N(Щиты[[#This Row],[ΔU до питающего, %]])+Щиты[[#This Row],[_ΔU пит. линии]]))</f>
        <v>0</v>
      </c>
      <c r="BH20">
        <f>IF(N(Щиты[[#This Row],[Питающий кабель: S, мм²]])&gt;0,2*IF(Щиты[[#This Row],[Материал]]="алюминий",ρкз_Al,ρкз_Cu)*N(Щиты[[#This Row],[Длина, м]])/(N(Щиты[[#This Row],[Питающий кабель: S, мм²]])*MAX(1,N(Щиты[[#This Row],[Кабелей параллельно]]))),0)</f>
        <v>0</v>
      </c>
      <c r="BI20" t="str">
        <f>IF(Щиты[[#This Row],[Питается от (итог)]]&lt;&gt;"","",IF(N(Щиты[[#This Row],[Iкз min от сети, А]])&gt;0,c_min*(Uн_лин*1000/SQRT(3))/Щиты[[#This Row],[Iкз min от сети, А]],IF(AND(LEFT(UPPER(TRIM(Щиты[[#This Row],[Питание: от (ТП / сеть)]])),2)="ТП",N(Щиты[[#This Row],[Sтр, кВА]])&gt;0),0.055*Uн_лин^2/(Щиты[[#This Row],[Sтр, кВА]]/1000)*IF(Щиты[[#This Row],[Схема тр-ра]]="Y/Yн",3,1),"")))</f>
        <v/>
      </c>
      <c r="BJ20" t="str">
        <f>IF(Щиты[[#This Row],[_Zсети]]="","",Щиты[[#This Row],[_Zсети]]+Щиты[[#This Row],[_петля пит. кабеля]])</f>
        <v/>
      </c>
      <c r="BK20" cm="1">
        <f t="array" ref="BK20">IF(Щиты[[#This Row],[_строка фидера]]="","",INDEX(Линии[_Zкабеля],Щиты[[#This Row],[_строка фидера]]))</f>
        <v>0.73640000000000005</v>
      </c>
      <c r="BL20" t="str" cm="1">
        <f t="array" ref="BL20">IF(_xlfn.XLOOKUP(Щиты[[#This Row],[Корень]],Щиты[Щит],Щиты[_Zисточника],"")="","",SUMPRODUCT(--ISNUMBER(SEARCH("|"&amp;Щиты[Щит]&amp;"|",Щиты[[#This Row],[Путь]])),IFERROR(--Щиты[_Zисточника],0)+IFERROR(--Щиты[_Zфидера],0))+SUMPRODUCT(--ISNUMBER(SEARCH("|"&amp;Щиты[Щит]&amp;"|",Щиты[[#This Row],[Путь]])))*R_пер)</f>
        <v/>
      </c>
      <c r="BM20" t="str">
        <f>IF(Щиты[[#This Row],[Питается от (итог)]]&lt;&gt;"","",IF(N(Щиты[[#This Row],[Iкз max от сети, кА]])&gt;0,1.05*(Uн_лин*1000/SQRT(3))/(Щиты[[#This Row],[Iкз max от сети, кА]]*1000),IF(AND(LEFT(UPPER(TRIM(Щиты[[#This Row],[Питание: от (ТП / сеть)]])),2)="ТП",N(Щиты[[#This Row],[Sтр, кВА]])&gt;0),0.055*Uн_лин^2/(Щиты[[#This Row],[Sтр, кВА]]/1000),"")))</f>
        <v/>
      </c>
      <c r="BN20" t="str">
        <f>IF(Щиты[[#This Row],[_Zmax сети]]="","",Щиты[[#This Row],[_Zmax сети]]+IF(N(Щиты[[#This Row],[Питающий кабель: S, мм²]])&gt;0,IF(Щиты[[#This Row],[Материал]]="алюминий",0.028,0.0175)*N(Щиты[[#This Row],[Длина, м]])/(N(Щиты[[#This Row],[Питающий кабель: S, мм²]])*MAX(1,N(Щиты[[#This Row],[Кабелей параллельно]]))),0))</f>
        <v/>
      </c>
      <c r="BO20" cm="1">
        <f t="array" ref="BO20">IF(Щиты[[#This Row],[_строка фидера]]="","",INDEX(Линии[_Zmax кабеля],Щиты[[#This Row],[_строка фидера]]))</f>
        <v>0.24500000000000002</v>
      </c>
      <c r="BP20" t="str" cm="1">
        <f t="array" ref="BP20">IF(_xlfn.XLOOKUP(Щиты[[#This Row],[Корень]],Щиты[Щит],Щиты[_Zmax источника],"")="","",SUMPRODUCT(--ISNUMBER(SEARCH("|"&amp;Щиты[Щит]&amp;"|",Щиты[[#This Row],[Путь]])),IFERROR(--Щиты[_Zmax источника],0)+IFERROR(--Щиты[_Zmax фидера],0)))</f>
        <v/>
      </c>
      <c r="BQ20">
        <f>_xlfn.MAXIFS(Линии[_ранг для фидера],Линии[Щит],Щиты[[#This Row],[Щит]])</f>
        <v>2</v>
      </c>
      <c r="BR20" t="str" cm="1">
        <f t="array" ref="BR20">IFERROR(INDEX({"III","II","I","I особая"},MAX(1,_xlfn.MAXIFS(Щиты[_ранг собств],Щиты[Путь],"*|"&amp;Щиты[[#This Row],[Щит]]&amp;"|*"))),"III")</f>
        <v>II</v>
      </c>
      <c r="BS20" t="str" cm="1">
        <f t="array" ref="BS20">IF(Щиты[[#This Row],[_строка фидера]]="","",INDEX(Линии[Категория (итог)],Щиты[[#This Row],[_строка фидера]]))</f>
        <v>II</v>
      </c>
      <c r="BT20">
        <f>_xlfn.MAXIFS(Линии[Iпуск, А],Линии[Щит],Щиты[[#This Row],[Щит]])</f>
        <v>0</v>
      </c>
      <c r="BU20" t="str" cm="1">
        <f t="array" ref="BU20">IF(Щиты[[#This Row],[_строка фидера]]="","",INDEX(Линии[Источник для режимов],Щиты[[#This Row],[_строка фидера]]))</f>
        <v>Ввод 1</v>
      </c>
      <c r="BV20" t="str" cm="1">
        <f t="array" ref="BV20">IF(Щиты[[#This Row],[_строка фидера]]="","",INDEX(Линии[Пожарная (итог)],Щиты[[#This Row],[_строка фидера]]))</f>
        <v>нет</v>
      </c>
      <c r="BW20">
        <f>COUNTIFS(Линии[Щит],Щиты[[#This Row],[Щит]],Линии[Категория: проверка],"НЕ ОБЕСПЕЧЕНА")</f>
        <v>0</v>
      </c>
    </row>
    <row r="21" spans="1:75" x14ac:dyDescent="0.3">
      <c r="A21" t="s">
        <v>766</v>
      </c>
      <c r="C21">
        <v>1</v>
      </c>
      <c r="D21" t="s">
        <v>488</v>
      </c>
      <c r="E21" t="s">
        <v>845</v>
      </c>
      <c r="F21">
        <v>11</v>
      </c>
      <c r="U21" t="str" cm="1">
        <f t="array" ref="U21">IF(Щиты[[#This Row],[Питается от]]&lt;&gt;"",Щиты[[#This Row],[Питается от]],IFERROR(INDEX(Линии[Щит],Щиты[[#This Row],[_строка фидера]]),""))</f>
        <v>ГРЩ-ЖД</v>
      </c>
      <c r="V21" t="str">
        <f>_xlfn.TEXTJOIN("; ",TRUE,IF(AND(Щиты[[#This Row],[Питается от (итог)]]="",Щиты[[#This Row],[Zпетли на шинах, Ом]]=""),"нет данных сети для ТКЗ: введите Iкз от сетевой организации или трансформатор",""),IF(AND(Щиты[[#This Row],[Категория фидера]]&lt;&gt;"",IFERROR(MATCH(Щиты[[#This Row],[Категория фидера]],{"III","II","I","I особая"},0),1)&lt;IFERROR(MATCH(Щиты[[#This Row],[Высшая категория нагрузки]],{"III","II","I","I особая"},0),1)),"фидер "&amp;Щиты[[#This Row],[Категория фидера]]&amp;" ниже нагрузки "&amp;Щиты[[#This Row],[Высшая категория нагрузки]],""),IF(Щиты[[#This Row],[Не обеспечено, линий]]&gt;0,"не обеспечена категория у "&amp;Щиты[[#This Row],[Не обеспечено, линий]]&amp;" линий",""),IF(AND(Щиты[[#This Row],[Питается от]]&lt;&gt;"",Щиты[[#This Row],[_строка фидера]]=""),"нет линии-фидера в «Линиях»: номер линии = имя щита или столбец «Питает щит»",""),IF(AND(ISNUMBER(Щиты[[#This Row],[ΔU до шин, %]]),Щиты[[#This Row],[ΔU до шин, %]]&gt;4),"ΔU до шин "&amp;FIXED(Щиты[[#This Row],[ΔU до шин, %]],2)&amp;" % &gt; 4 %",""))</f>
        <v/>
      </c>
      <c r="W21" t="str" cm="1">
        <f t="array" ref="W21">IF(Щиты[[#This Row],[_строка фидера]]="","",INDEX(Линии[Номер линии],Щиты[[#This Row],[_строка фидера]]))</f>
        <v>ЩС-Б</v>
      </c>
      <c r="X21">
        <f>SUMIFS(Щиты[_Руст собств],Щиты[Путь],"*|"&amp;Щиты[[#This Row],[Щит]]&amp;"|*")</f>
        <v>24.990000000000002</v>
      </c>
      <c r="Y21">
        <f>k_пк*Щиты[[#This Row],[Руст быт, кВт]]*Щиты[[#This Row],[Кс быт]]+Щиты[[#This Row],[Ко]]*Щиты[[#This Row],[Рр сил, кВт]]+Щиты[[#This Row],[Руст пост, кВт]]+Щиты[[#This Row],[Р отопления, кВт]]+Щиты[[#This Row],[Рр ВНГ, кВт]]</f>
        <v>11.245500000000002</v>
      </c>
      <c r="Z21">
        <f>IFERROR(MAX(MAX(Щиты[[#This Row],[P L1, кВт]],Щиты[[#This Row],[P L2, кВт]],Щиты[[#This Row],[P L3, кВт]])*Щиты[[#This Row],[Кс итог]]/((Uн_лин*1000/SQRT(3))/1000*Щиты[[#This Row],[cos φ]]),Щиты[[#This Row],[Рр, кВт]]/(SQRT(3)*Uн_лин*Щиты[[#This Row],[cos φ]])),0)</f>
        <v>17.085769610978783</v>
      </c>
      <c r="AA21">
        <f>IFERROR(SUMIFS(Щиты[_Pcos собств],Щиты[Путь],"*|"&amp;Щиты[[#This Row],[Щит]]&amp;"|*")/SUMIFS(Щиты[_P собств],Щиты[Путь],"*|"&amp;Щиты[[#This Row],[Щит]]&amp;"|*"),0.95)</f>
        <v>0.94999999999999984</v>
      </c>
      <c r="AB21" cm="1">
        <f t="array" ref="AB21">SUMPRODUCT(--ISNUMBER(SEARCH("|"&amp;Щиты[Щит]&amp;"|",Щиты[[#This Row],[Путь]])),IFERROR(--Щиты[_ΔU фидера],0)+IFERROR(--Щиты[_ΔU источника],0))</f>
        <v>0.85</v>
      </c>
      <c r="AC21" t="str">
        <f>IF(ISNUMBER(Щиты[[#This Row],[Zпетли на шинах, Ом]]),c_min*(Uн_лин*1000/SQRT(3))/Щиты[[#This Row],[Zпетли на шинах, Ом]],"")</f>
        <v/>
      </c>
      <c r="AD21" t="str">
        <f>IF(ISNUMBER(Щиты[[#This Row],[Zmax на шинах, Ом]]),1.05*(Uн_лин*1000/SQRT(3))/Щиты[[#This Row],[Zmax на шинах, Ом]]/1000,"")</f>
        <v/>
      </c>
      <c r="AE21" t="str" cm="1">
        <f t="array" ref="AE21">_xlfn.LET(_xlpm.w,_xlfn.TEXTSPLIT(Щиты[[#This Row],[Путь]],"|"),_xlpm.names,_xlfn._xlws.FILTER(_xlpm.w,_xlpm.w&lt;&gt;""),_xlfn.REDUCE("",_xlpm.names,_xlfn.LAMBDA(_xlpm.acc,_xlpm.nm,_xlfn.LET(_xlpm.inp,N(_xlfn.XLOOKUP(_xlpm.nm,Щиты[Щит],Щиты[Вводов],1)),_xlpm.avr,LOWER(TRIM(_xlfn.XLOOKUP(_xlpm.nm,Щиты[Щит],Щиты[АВР],"нет")&amp;"")),_xlpm.own,IF(_xlpm.inp&gt;=2,IF(_xlpm.avr="да","I","II"),"III"),_xlpm.fr,_xlfn.XLOOKUP(_xlpm.nm,Щиты[Щит],Щиты[_строка фидера],""),_xlpm.bt,IF(_xlpm.fr="","",INDEX(Линии[Тип шины],_xlpm.fr)&amp;""),_xlpm.man,TRIM(_xlfn.XLOOKUP(_xlpm.nm,Щиты[Щит],Щиты[Кат. питающей линии (ручн.)],"")&amp;""),_xlpm.up,IF(_xlpm.acc="",_xlpm.man,IF(OR(_xlpm.bt="ИБП",_xlpm.bt="ДГУ"),"I особая",IF(_xlpm.bt="Одиночная","III",_xlpm.acc))),IF(_xlpm.own&lt;&gt;"III",_xlpm.own,IF(OR(_xlpm.up="I особая",_xlpm.up="I",_xlpm.up="II"),"II","III"))))))</f>
        <v>II</v>
      </c>
      <c r="AF21" t="str" cm="1">
        <f t="array" ref="AF21">_xlfn.LET(_xlpm.f,_xlfn.LAMBDA(_xlpm.x,IF(_xlpm.x="","",_xlfn.XLOOKUP(_xlpm.x,Щиты[Щит],Щиты[Питается от (итог)],"")&amp;"")),_xlpm.п0,Щиты[[#This Row],[Щит]],_xlpm.п1,_xlpm.f(_xlpm.п0),_xlpm.п2,_xlpm.f(_xlpm.п1),_xlpm.п3,_xlpm.f(_xlpm.п2),_xlpm.п4,_xlpm.f(_xlpm.п3),_xlpm.п5,_xlpm.f(_xlpm.п4),_xlpm.п6,_xlpm.f(_xlpm.п5),_xlpm.п7,_xlpm.f(_xlpm.п6),"|"&amp;_xlfn.TEXTJOIN("|",TRUE,_xlpm.п7,_xlpm.п6,_xlpm.п5,_xlpm.п4,_xlpm.п3,_xlpm.п2,_xlpm.п1,_xlpm.п0)&amp;"|")</f>
        <v>|ГРЩ-ЖД|ЩС-Б|</v>
      </c>
      <c r="AG21" t="str">
        <f>_xlfn.TEXTBEFORE(MID(Щиты[[#This Row],[Путь]],2,999),"|")</f>
        <v>ГРЩ-ЖД</v>
      </c>
      <c r="AH21">
        <f>LEN(Щиты[[#This Row],[Путь]])-LEN(SUBSTITUTE(Щиты[[#This Row],[Путь]],"|",""))-2</f>
        <v>1</v>
      </c>
      <c r="AI21">
        <f>IFERROR(_xlfn.XMATCH(Щиты[[#This Row],[Щит]],Линии[_фидер]),"")</f>
        <v>14</v>
      </c>
      <c r="AJ21">
        <f>SUMIFS(Линии[_Руст (без Нет)],Линии[Щит],Щиты[[#This Row],[Щит]])</f>
        <v>24.990000000000002</v>
      </c>
      <c r="AK21">
        <f>SUMIFS(Линии[_Руст быт],Линии[Щит],Щиты[[#This Row],[Щит]])</f>
        <v>0</v>
      </c>
      <c r="AL21">
        <f>SUMIFS(Линии[_Рр сил],Линии[Щит],Щиты[[#This Row],[Щит]])</f>
        <v>12.495000000000001</v>
      </c>
      <c r="AM21">
        <f>SUMIFS(Линии[_Руст пост],Линии[Щит],Щиты[[#This Row],[Щит]])</f>
        <v>0</v>
      </c>
      <c r="AN21">
        <f>SUMIFS(Линии[_P для cos],Линии[Щит],Щиты[[#This Row],[Щит]])</f>
        <v>24.990000000000002</v>
      </c>
      <c r="AO21">
        <f>SUMIFS(Линии[_P·cos],Линии[Щит],Щиты[[#This Row],[Щит]])</f>
        <v>23.740499999999997</v>
      </c>
      <c r="AP21">
        <f>SUMIFS(Линии[_Р отопления],Линии[Щит],Щиты[[#This Row],[Щит]])</f>
        <v>0</v>
      </c>
      <c r="AQ21">
        <f>SUMIFS(Линии[_Рр ВНГ],Линии[Щит],Щиты[[#This Row],[Щит]])</f>
        <v>0</v>
      </c>
      <c r="AR21">
        <f>SUMIFS(Щиты[_быт собств],Щиты[Путь],"*|"&amp;Щиты[[#This Row],[Щит]]&amp;"|*")</f>
        <v>0</v>
      </c>
      <c r="AS21" cm="1">
        <f t="array" ref="AS21">_xlfn.LET(_xlpm.x,Щиты[[#This Row],[Руст быт, кВт]],_xlpm.m,MATCH(_xlpm.x,Кс_Р,1),IF(_xlpm.x&gt;=INDEX(Кс_Р,ROWS(Кс_Р)),INDEX(Кс_К,ROWS(Кс_К)),INDEX(Кс_К,_xlpm.m)+(_xlpm.x-INDEX(Кс_Р,_xlpm.m))*(INDEX(Кс_К,_xlpm.m+1)-INDEX(Кс_К,_xlpm.m))/(INDEX(Кс_Р,_xlpm.m+1)-INDEX(Кс_Р,_xlpm.m))))</f>
        <v>0.8</v>
      </c>
      <c r="AT21">
        <f>SUMIFS(Щиты[_сил собств],Щиты[Путь],"*|"&amp;Щиты[[#This Row],[Щит]]&amp;"|*")</f>
        <v>12.495000000000001</v>
      </c>
      <c r="AU21">
        <f>SUMIFS(Щиты[_пост собств],Щиты[Путь],"*|"&amp;Щиты[[#This Row],[Щит]]&amp;"|*")</f>
        <v>0</v>
      </c>
      <c r="AV21">
        <f>SUMIFS(Щиты[_отоп собств],Щиты[Путь],"*|"&amp;Щиты[[#This Row],[Щит]]&amp;"|*")</f>
        <v>0</v>
      </c>
      <c r="AW21">
        <f>SUMIFS(Щиты[_внг собств],Щиты[Путь],"*|"&amp;Щиты[[#This Row],[Щит]]&amp;"|*")</f>
        <v>0</v>
      </c>
      <c r="AX21">
        <f>COUNTIFS(Линии[Щит],Щиты[[#This Row],[Щит]],Линии[Группа Кс (итог)],"Сил")</f>
        <v>3</v>
      </c>
      <c r="AY21" cm="1">
        <f t="array" ref="AY21">_xlfn.LET(_xlpm.n,Щиты[[#This Row],[_n силовых]],IF(_xlpm.n&lt;=1,1,IF(_xlpm.n&gt;=MAX(Кс75_n),INDEX(Кс75_k,ROWS(Кс75_k)),_xlfn.LET(_xlpm.m,MATCH(_xlpm.n,Кс75_n,1),INDEX(Кс75_k,_xlpm.m)+(_xlpm.n-INDEX(Кс75_n,_xlpm.m))*(INDEX(Кс75_k,_xlpm.m+1)-INDEX(Кс75_k,_xlpm.m))/(INDEX(Кс75_n,_xlpm.m+1)-INDEX(Кс75_n,_xlpm.m))))))</f>
        <v>0.9</v>
      </c>
      <c r="AZ21">
        <f>IF(Методика="нормы 2026",IF(AND(Щиты[[#This Row],[Руст быт, кВт]]&gt;0,Щиты[[#This Row],[Рр сил, кВт]]&gt;0),Ко_сил,1),Ко_сил)</f>
        <v>0.9</v>
      </c>
      <c r="BA21">
        <f>IF(Щиты[[#This Row],[Руст, кВт]]=0,0,Щиты[[#This Row],[Рр, кВт]]/Щиты[[#This Row],[Руст, кВт]])</f>
        <v>0.45</v>
      </c>
      <c r="BB21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Row],[Щит]],Линии[Фаза],"L1",Линии[Группа Кс (итог)],"&lt;&gt;Нет")</f>
        <v>8.33</v>
      </c>
      <c r="BC21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Row],[Щит]],Линии[Фаза],"L2",Линии[Группа Кс (итог)],"&lt;&gt;Нет")</f>
        <v>8.33</v>
      </c>
      <c r="BD21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Row],[Щит]],Линии[Фаза],"L3",Линии[Группа Кс (итог)],"&lt;&gt;Нет")</f>
        <v>8.33</v>
      </c>
      <c r="BE21" cm="1">
        <f t="array" ref="BE21">IF(Щиты[[#This Row],[_строка фидера]]="","",INDEX(Линии[ΔU, %],Щиты[[#This Row],[_строка фидера]]))</f>
        <v>0.85</v>
      </c>
      <c r="BF21">
        <f>IF(OR(N(Щиты[[#This Row],[Питающий кабель: S, мм²]])=0,N(Щиты[[#This Row],[Длина, м]])=0),0,(IF(Щиты[[#This Row],[Материал]]="алюминий",0.036,0.0225)*N(Щиты[[#This Row],[Длина, м]])/(N(Щиты[[#This Row],[Питающий кабель: S, мм²]])*MAX(1,N(Щиты[[#This Row],[Кабелей параллельно]])))*Щиты[[#This Row],[cos φ]]+0.00008*N(Щиты[[#This Row],[Длина, м]])/MAX(1,N(Щиты[[#This Row],[Кабелей параллельно]]))*SIN(ACOS(Щиты[[#This Row],[cos φ]])))*Щиты[[#This Row],[Iр, А]]/(Uн_лин*1000/SQRT(3))*100)</f>
        <v>0</v>
      </c>
      <c r="BG21">
        <f>IF(Щиты[[#This Row],[Питается от (итог)]]&lt;&gt;"",0,IF(LEFT(UPPER(TRIM(Щиты[[#This Row],[Питание: от (ТП / сеть)]])),2)="ТП",0,N(Щиты[[#This Row],[ΔU до питающего, %]])+Щиты[[#This Row],[_ΔU пит. линии]]))</f>
        <v>0</v>
      </c>
      <c r="BH21">
        <f>IF(N(Щиты[[#This Row],[Питающий кабель: S, мм²]])&gt;0,2*IF(Щиты[[#This Row],[Материал]]="алюминий",ρкз_Al,ρкз_Cu)*N(Щиты[[#This Row],[Длина, м]])/(N(Щиты[[#This Row],[Питающий кабель: S, мм²]])*MAX(1,N(Щиты[[#This Row],[Кабелей параллельно]]))),0)</f>
        <v>0</v>
      </c>
      <c r="BI21" t="str">
        <f>IF(Щиты[[#This Row],[Питается от (итог)]]&lt;&gt;"","",IF(N(Щиты[[#This Row],[Iкз min от сети, А]])&gt;0,c_min*(Uн_лин*1000/SQRT(3))/Щиты[[#This Row],[Iкз min от сети, А]],IF(AND(LEFT(UPPER(TRIM(Щиты[[#This Row],[Питание: от (ТП / сеть)]])),2)="ТП",N(Щиты[[#This Row],[Sтр, кВА]])&gt;0),0.055*Uн_лин^2/(Щиты[[#This Row],[Sтр, кВА]]/1000)*IF(Щиты[[#This Row],[Схема тр-ра]]="Y/Yн",3,1),"")))</f>
        <v/>
      </c>
      <c r="BJ21" t="str">
        <f>IF(Щиты[[#This Row],[_Zсети]]="","",Щиты[[#This Row],[_Zсети]]+Щиты[[#This Row],[_петля пит. кабеля]])</f>
        <v/>
      </c>
      <c r="BK21" cm="1">
        <f t="array" ref="BK21">IF(Щиты[[#This Row],[_строка фидера]]="","",INDEX(Линии[_Zкабеля],Щиты[[#This Row],[_строка фидера]]))</f>
        <v>0.27877999999999997</v>
      </c>
      <c r="BL21" t="str" cm="1">
        <f t="array" ref="BL21">IF(_xlfn.XLOOKUP(Щиты[[#This Row],[Корень]],Щиты[Щит],Щиты[_Zисточника],"")="","",SUMPRODUCT(--ISNUMBER(SEARCH("|"&amp;Щиты[Щит]&amp;"|",Щиты[[#This Row],[Путь]])),IFERROR(--Щиты[_Zисточника],0)+IFERROR(--Щиты[_Zфидера],0))+SUMPRODUCT(--ISNUMBER(SEARCH("|"&amp;Щиты[Щит]&amp;"|",Щиты[[#This Row],[Путь]])))*R_пер)</f>
        <v/>
      </c>
      <c r="BM21" t="str">
        <f>IF(Щиты[[#This Row],[Питается от (итог)]]&lt;&gt;"","",IF(N(Щиты[[#This Row],[Iкз max от сети, кА]])&gt;0,1.05*(Uн_лин*1000/SQRT(3))/(Щиты[[#This Row],[Iкз max от сети, кА]]*1000),IF(AND(LEFT(UPPER(TRIM(Щиты[[#This Row],[Питание: от (ТП / сеть)]])),2)="ТП",N(Щиты[[#This Row],[Sтр, кВА]])&gt;0),0.055*Uн_лин^2/(Щиты[[#This Row],[Sтр, кВА]]/1000),"")))</f>
        <v/>
      </c>
      <c r="BN21" t="str">
        <f>IF(Щиты[[#This Row],[_Zmax сети]]="","",Щиты[[#This Row],[_Zmax сети]]+IF(N(Щиты[[#This Row],[Питающий кабель: S, мм²]])&gt;0,IF(Щиты[[#This Row],[Материал]]="алюминий",0.028,0.0175)*N(Щиты[[#This Row],[Длина, м]])/(N(Щиты[[#This Row],[Питающий кабель: S, мм²]])*MAX(1,N(Щиты[[#This Row],[Кабелей параллельно]]))),0))</f>
        <v/>
      </c>
      <c r="BO21" cm="1">
        <f t="array" ref="BO21">IF(Щиты[[#This Row],[_строка фидера]]="","",INDEX(Линии[_Zmax кабеля],Щиты[[#This Row],[_строка фидера]]))</f>
        <v>9.2750000000000013E-2</v>
      </c>
      <c r="BP21" t="str" cm="1">
        <f t="array" ref="BP21">IF(_xlfn.XLOOKUP(Щиты[[#This Row],[Корень]],Щиты[Щит],Щиты[_Zmax источника],"")="","",SUMPRODUCT(--ISNUMBER(SEARCH("|"&amp;Щиты[Щит]&amp;"|",Щиты[[#This Row],[Путь]])),IFERROR(--Щиты[_Zmax источника],0)+IFERROR(--Щиты[_Zmax фидера],0)))</f>
        <v/>
      </c>
      <c r="BQ21">
        <f>_xlfn.MAXIFS(Линии[_ранг для фидера],Линии[Щит],Щиты[[#This Row],[Щит]])</f>
        <v>1</v>
      </c>
      <c r="BR21" t="str" cm="1">
        <f t="array" ref="BR21">IFERROR(INDEX({"III","II","I","I особая"},MAX(1,_xlfn.MAXIFS(Щиты[_ранг собств],Щиты[Путь],"*|"&amp;Щиты[[#This Row],[Щит]]&amp;"|*"))),"III")</f>
        <v>III</v>
      </c>
      <c r="BS21" t="str" cm="1">
        <f t="array" ref="BS21">IF(Щиты[[#This Row],[_строка фидера]]="","",INDEX(Линии[Категория (итог)],Щиты[[#This Row],[_строка фидера]]))</f>
        <v>III</v>
      </c>
      <c r="BT21">
        <f>_xlfn.MAXIFS(Линии[Iпуск, А],Линии[Щит],Щиты[[#This Row],[Щит]])</f>
        <v>0</v>
      </c>
      <c r="BU21" t="str" cm="1">
        <f t="array" ref="BU21">IF(Щиты[[#This Row],[_строка фидера]]="","",INDEX(Линии[Источник для режимов],Щиты[[#This Row],[_строка фидера]]))</f>
        <v>Ввод 1</v>
      </c>
      <c r="BV21" t="str" cm="1">
        <f t="array" ref="BV21">IF(Щиты[[#This Row],[_строка фидера]]="","",INDEX(Линии[Пожарная (итог)],Щиты[[#This Row],[_строка фидера]]))</f>
        <v>нет</v>
      </c>
      <c r="BW21">
        <f>COUNTIFS(Линии[Щит],Щиты[[#This Row],[Щит]],Линии[Категория: проверка],"НЕ ОБЕСПЕЧЕНА")</f>
        <v>0</v>
      </c>
    </row>
    <row r="22" spans="1:75" x14ac:dyDescent="0.3">
      <c r="A22" t="s">
        <v>768</v>
      </c>
      <c r="C22">
        <v>1</v>
      </c>
      <c r="D22" t="s">
        <v>488</v>
      </c>
      <c r="E22" t="s">
        <v>845</v>
      </c>
      <c r="F22">
        <v>9</v>
      </c>
      <c r="U22" t="str" cm="1">
        <f t="array" ref="U22">IF(Щиты[[#This Row],[Питается от]]&lt;&gt;"",Щиты[[#This Row],[Питается от]],IFERROR(INDEX(Линии[Щит],Щиты[[#This Row],[_строка фидера]]),""))</f>
        <v>ГРЩ-ЖД</v>
      </c>
      <c r="V22" t="str">
        <f>_xlfn.TEXTJOIN("; ",TRUE,IF(AND(Щиты[[#This Row],[Питается от (итог)]]="",Щиты[[#This Row],[Zпетли на шинах, Ом]]=""),"нет данных сети для ТКЗ: введите Iкз от сетевой организации или трансформатор",""),IF(AND(Щиты[[#This Row],[Категория фидера]]&lt;&gt;"",IFERROR(MATCH(Щиты[[#This Row],[Категория фидера]],{"III","II","I","I особая"},0),1)&lt;IFERROR(MATCH(Щиты[[#This Row],[Высшая категория нагрузки]],{"III","II","I","I особая"},0),1)),"фидер "&amp;Щиты[[#This Row],[Категория фидера]]&amp;" ниже нагрузки "&amp;Щиты[[#This Row],[Высшая категория нагрузки]],""),IF(Щиты[[#This Row],[Не обеспечено, линий]]&gt;0,"не обеспечена категория у "&amp;Щиты[[#This Row],[Не обеспечено, линий]]&amp;" линий",""),IF(AND(Щиты[[#This Row],[Питается от]]&lt;&gt;"",Щиты[[#This Row],[_строка фидера]]=""),"нет линии-фидера в «Линиях»: номер линии = имя щита или столбец «Питает щит»",""),IF(AND(ISNUMBER(Щиты[[#This Row],[ΔU до шин, %]]),Щиты[[#This Row],[ΔU до шин, %]]&gt;4),"ΔU до шин "&amp;FIXED(Щиты[[#This Row],[ΔU до шин, %]],2)&amp;" % &gt; 4 %",""))</f>
        <v>не обеспечена категория у 7 линий</v>
      </c>
      <c r="W22" t="str" cm="1">
        <f t="array" ref="W22">IF(Щиты[[#This Row],[_строка фидера]]="","",INDEX(Линии[Номер линии],Щиты[[#This Row],[_строка фидера]]))</f>
        <v>ЩС-ВК.001</v>
      </c>
      <c r="X22">
        <f>SUMIFS(Щиты[_Руст собств],Щиты[Путь],"*|"&amp;Щиты[[#This Row],[Щит]]&amp;"|*")</f>
        <v>3.8000000000000003</v>
      </c>
      <c r="Y22">
        <f>k_пк*Щиты[[#This Row],[Руст быт, кВт]]*Щиты[[#This Row],[Кс быт]]+Щиты[[#This Row],[Ко]]*Щиты[[#This Row],[Рр сил, кВт]]+Щиты[[#This Row],[Руст пост, кВт]]+Щиты[[#This Row],[Р отопления, кВт]]+Щиты[[#This Row],[Рр ВНГ, кВт]]</f>
        <v>1.7100000000000002</v>
      </c>
      <c r="Z22">
        <f>IFERROR(MAX(MAX(Щиты[[#This Row],[P L1, кВт]],Щиты[[#This Row],[P L2, кВт]],Щиты[[#This Row],[P L3, кВт]])*Щиты[[#This Row],[Кс итог]]/((Uн_лин*1000/SQRT(3))/1000*Щиты[[#This Row],[cos φ]]),Щиты[[#This Row],[Рр, кВт]]/(SQRT(3)*Uн_лин*Щиты[[#This Row],[cos φ]])),0)</f>
        <v>7.7942286340599507</v>
      </c>
      <c r="AA22">
        <f>IFERROR(SUMIFS(Щиты[_Pcos собств],Щиты[Путь],"*|"&amp;Щиты[[#This Row],[Щит]]&amp;"|*")/SUMIFS(Щиты[_P собств],Щиты[Путь],"*|"&amp;Щиты[[#This Row],[Щит]]&amp;"|*"),0.95)</f>
        <v>0.94999999999999973</v>
      </c>
      <c r="AB22" cm="1">
        <f t="array" ref="AB22">SUMPRODUCT(--ISNUMBER(SEARCH("|"&amp;Щиты[Щит]&amp;"|",Щиты[[#This Row],[Путь]])),IFERROR(--Щиты[_ΔU фидера],0)+IFERROR(--Щиты[_ΔU источника],0))</f>
        <v>1.89</v>
      </c>
      <c r="AC22" t="str">
        <f>IF(ISNUMBER(Щиты[[#This Row],[Zпетли на шинах, Ом]]),c_min*(Uн_лин*1000/SQRT(3))/Щиты[[#This Row],[Zпетли на шинах, Ом]],"")</f>
        <v/>
      </c>
      <c r="AD22" t="str">
        <f>IF(ISNUMBER(Щиты[[#This Row],[Zmax на шинах, Ом]]),1.05*(Uн_лин*1000/SQRT(3))/Щиты[[#This Row],[Zmax на шинах, Ом]]/1000,"")</f>
        <v/>
      </c>
      <c r="AE22" t="str" cm="1">
        <f t="array" ref="AE22">_xlfn.LET(_xlpm.w,_xlfn.TEXTSPLIT(Щиты[[#This Row],[Путь]],"|"),_xlpm.names,_xlfn._xlws.FILTER(_xlpm.w,_xlpm.w&lt;&gt;""),_xlfn.REDUCE("",_xlpm.names,_xlfn.LAMBDA(_xlpm.acc,_xlpm.nm,_xlfn.LET(_xlpm.inp,N(_xlfn.XLOOKUP(_xlpm.nm,Щиты[Щит],Щиты[Вводов],1)),_xlpm.avr,LOWER(TRIM(_xlfn.XLOOKUP(_xlpm.nm,Щиты[Щит],Щиты[АВР],"нет")&amp;"")),_xlpm.own,IF(_xlpm.inp&gt;=2,IF(_xlpm.avr="да","I","II"),"III"),_xlpm.fr,_xlfn.XLOOKUP(_xlpm.nm,Щиты[Щит],Щиты[_строка фидера],""),_xlpm.bt,IF(_xlpm.fr="","",INDEX(Линии[Тип шины],_xlpm.fr)&amp;""),_xlpm.man,TRIM(_xlfn.XLOOKUP(_xlpm.nm,Щиты[Щит],Щиты[Кат. питающей линии (ручн.)],"")&amp;""),_xlpm.up,IF(_xlpm.acc="",_xlpm.man,IF(OR(_xlpm.bt="ИБП",_xlpm.bt="ДГУ"),"I особая",IF(_xlpm.bt="Одиночная","III",_xlpm.acc))),IF(_xlpm.own&lt;&gt;"III",_xlpm.own,IF(OR(_xlpm.up="I особая",_xlpm.up="I",_xlpm.up="II"),"II","III"))))))</f>
        <v>II</v>
      </c>
      <c r="AF22" t="str" cm="1">
        <f t="array" ref="AF22">_xlfn.LET(_xlpm.f,_xlfn.LAMBDA(_xlpm.x,IF(_xlpm.x="","",_xlfn.XLOOKUP(_xlpm.x,Щиты[Щит],Щиты[Питается от (итог)],"")&amp;"")),_xlpm.п0,Щиты[[#This Row],[Щит]],_xlpm.п1,_xlpm.f(_xlpm.п0),_xlpm.п2,_xlpm.f(_xlpm.п1),_xlpm.п3,_xlpm.f(_xlpm.п2),_xlpm.п4,_xlpm.f(_xlpm.п3),_xlpm.п5,_xlpm.f(_xlpm.п4),_xlpm.п6,_xlpm.f(_xlpm.п5),_xlpm.п7,_xlpm.f(_xlpm.п6),"|"&amp;_xlfn.TEXTJOIN("|",TRUE,_xlpm.п7,_xlpm.п6,_xlpm.п5,_xlpm.п4,_xlpm.п3,_xlpm.п2,_xlpm.п1,_xlpm.п0)&amp;"|")</f>
        <v>|ГРЩ-ЖД|ЩС-ВК.001|</v>
      </c>
      <c r="AG22" t="str">
        <f>_xlfn.TEXTBEFORE(MID(Щиты[[#This Row],[Путь]],2,999),"|")</f>
        <v>ГРЩ-ЖД</v>
      </c>
      <c r="AH22">
        <f>LEN(Щиты[[#This Row],[Путь]])-LEN(SUBSTITUTE(Щиты[[#This Row],[Путь]],"|",""))-2</f>
        <v>1</v>
      </c>
      <c r="AI22">
        <f>IFERROR(_xlfn.XMATCH(Щиты[[#This Row],[Щит]],Линии[_фидер]),"")</f>
        <v>15</v>
      </c>
      <c r="AJ22">
        <f>SUMIFS(Линии[_Руст (без Нет)],Линии[Щит],Щиты[[#This Row],[Щит]])</f>
        <v>3.8000000000000003</v>
      </c>
      <c r="AK22">
        <f>SUMIFS(Линии[_Руст быт],Линии[Щит],Щиты[[#This Row],[Щит]])</f>
        <v>0</v>
      </c>
      <c r="AL22">
        <f>SUMIFS(Линии[_Рр сил],Линии[Щит],Щиты[[#This Row],[Щит]])</f>
        <v>1.9000000000000001</v>
      </c>
      <c r="AM22">
        <f>SUMIFS(Линии[_Руст пост],Линии[Щит],Щиты[[#This Row],[Щит]])</f>
        <v>0</v>
      </c>
      <c r="AN22">
        <f>SUMIFS(Линии[_P для cos],Линии[Щит],Щиты[[#This Row],[Щит]])</f>
        <v>3.8000000000000003</v>
      </c>
      <c r="AO22">
        <f>SUMIFS(Линии[_P·cos],Линии[Щит],Щиты[[#This Row],[Щит]])</f>
        <v>3.6099999999999994</v>
      </c>
      <c r="AP22">
        <f>SUMIFS(Линии[_Р отопления],Линии[Щит],Щиты[[#This Row],[Щит]])</f>
        <v>0</v>
      </c>
      <c r="AQ22">
        <f>SUMIFS(Линии[_Рр ВНГ],Линии[Щит],Щиты[[#This Row],[Щит]])</f>
        <v>0</v>
      </c>
      <c r="AR22">
        <f>SUMIFS(Щиты[_быт собств],Щиты[Путь],"*|"&amp;Щиты[[#This Row],[Щит]]&amp;"|*")</f>
        <v>0</v>
      </c>
      <c r="AS22" cm="1">
        <f t="array" ref="AS22">_xlfn.LET(_xlpm.x,Щиты[[#This Row],[Руст быт, кВт]],_xlpm.m,MATCH(_xlpm.x,Кс_Р,1),IF(_xlpm.x&gt;=INDEX(Кс_Р,ROWS(Кс_Р)),INDEX(Кс_К,ROWS(Кс_К)),INDEX(Кс_К,_xlpm.m)+(_xlpm.x-INDEX(Кс_Р,_xlpm.m))*(INDEX(Кс_К,_xlpm.m+1)-INDEX(Кс_К,_xlpm.m))/(INDEX(Кс_Р,_xlpm.m+1)-INDEX(Кс_Р,_xlpm.m))))</f>
        <v>0.8</v>
      </c>
      <c r="AT22">
        <f>SUMIFS(Щиты[_сил собств],Щиты[Путь],"*|"&amp;Щиты[[#This Row],[Щит]]&amp;"|*")</f>
        <v>1.9000000000000001</v>
      </c>
      <c r="AU22">
        <f>SUMIFS(Щиты[_пост собств],Щиты[Путь],"*|"&amp;Щиты[[#This Row],[Щит]]&amp;"|*")</f>
        <v>0</v>
      </c>
      <c r="AV22">
        <f>SUMIFS(Щиты[_отоп собств],Щиты[Путь],"*|"&amp;Щиты[[#This Row],[Щит]]&amp;"|*")</f>
        <v>0</v>
      </c>
      <c r="AW22">
        <f>SUMIFS(Щиты[_внг собств],Щиты[Путь],"*|"&amp;Щиты[[#This Row],[Щит]]&amp;"|*")</f>
        <v>0</v>
      </c>
      <c r="AX22">
        <f>COUNTIFS(Линии[Щит],Щиты[[#This Row],[Щит]],Линии[Группа Кс (итог)],"Сил")</f>
        <v>7</v>
      </c>
      <c r="AY22" cm="1">
        <f t="array" ref="AY22">_xlfn.LET(_xlpm.n,Щиты[[#This Row],[_n силовых]],IF(_xlpm.n&lt;=1,1,IF(_xlpm.n&gt;=MAX(Кс75_n),INDEX(Кс75_k,ROWS(Кс75_k)),_xlfn.LET(_xlpm.m,MATCH(_xlpm.n,Кс75_n,1),INDEX(Кс75_k,_xlpm.m)+(_xlpm.n-INDEX(Кс75_n,_xlpm.m))*(INDEX(Кс75_k,_xlpm.m+1)-INDEX(Кс75_k,_xlpm.m))/(INDEX(Кс75_n,_xlpm.m+1)-INDEX(Кс75_n,_xlpm.m))))))</f>
        <v>0.76666666666666672</v>
      </c>
      <c r="AZ22">
        <f>IF(Методика="нормы 2026",IF(AND(Щиты[[#This Row],[Руст быт, кВт]]&gt;0,Щиты[[#This Row],[Рр сил, кВт]]&gt;0),Ко_сил,1),Ко_сил)</f>
        <v>0.9</v>
      </c>
      <c r="BA22">
        <f>IF(Щиты[[#This Row],[Руст, кВт]]=0,0,Щиты[[#This Row],[Рр, кВт]]/Щиты[[#This Row],[Руст, кВт]])</f>
        <v>0.45</v>
      </c>
      <c r="BB22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Row],[Щит]],Линии[Фаза],"L1",Линии[Группа Кс (итог)],"&lt;&gt;Нет")</f>
        <v>3.8000000000000003</v>
      </c>
      <c r="BC22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Row],[Щит]],Линии[Фаза],"L2",Линии[Группа Кс (итог)],"&lt;&gt;Нет")</f>
        <v>0</v>
      </c>
      <c r="BD22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Row],[Щит]],Линии[Фаза],"L3",Линии[Группа Кс (итог)],"&lt;&gt;Нет")</f>
        <v>0</v>
      </c>
      <c r="BE22" cm="1">
        <f t="array" ref="BE22">IF(Щиты[[#This Row],[_строка фидера]]="","",INDEX(Линии[ΔU, %],Щиты[[#This Row],[_строка фидера]]))</f>
        <v>1.89</v>
      </c>
      <c r="BF22">
        <f>IF(OR(N(Щиты[[#This Row],[Питающий кабель: S, мм²]])=0,N(Щиты[[#This Row],[Длина, м]])=0),0,(IF(Щиты[[#This Row],[Материал]]="алюминий",0.036,0.0225)*N(Щиты[[#This Row],[Длина, м]])/(N(Щиты[[#This Row],[Питающий кабель: S, мм²]])*MAX(1,N(Щиты[[#This Row],[Кабелей параллельно]])))*Щиты[[#This Row],[cos φ]]+0.00008*N(Щиты[[#This Row],[Длина, м]])/MAX(1,N(Щиты[[#This Row],[Кабелей параллельно]]))*SIN(ACOS(Щиты[[#This Row],[cos φ]])))*Щиты[[#This Row],[Iр, А]]/(Uн_лин*1000/SQRT(3))*100)</f>
        <v>0</v>
      </c>
      <c r="BG22">
        <f>IF(Щиты[[#This Row],[Питается от (итог)]]&lt;&gt;"",0,IF(LEFT(UPPER(TRIM(Щиты[[#This Row],[Питание: от (ТП / сеть)]])),2)="ТП",0,N(Щиты[[#This Row],[ΔU до питающего, %]])+Щиты[[#This Row],[_ΔU пит. линии]]))</f>
        <v>0</v>
      </c>
      <c r="BH22">
        <f>IF(N(Щиты[[#This Row],[Питающий кабель: S, мм²]])&gt;0,2*IF(Щиты[[#This Row],[Материал]]="алюминий",ρкз_Al,ρкз_Cu)*N(Щиты[[#This Row],[Длина, м]])/(N(Щиты[[#This Row],[Питающий кабель: S, мм²]])*MAX(1,N(Щиты[[#This Row],[Кабелей параллельно]]))),0)</f>
        <v>0</v>
      </c>
      <c r="BI22" t="str">
        <f>IF(Щиты[[#This Row],[Питается от (итог)]]&lt;&gt;"","",IF(N(Щиты[[#This Row],[Iкз min от сети, А]])&gt;0,c_min*(Uн_лин*1000/SQRT(3))/Щиты[[#This Row],[Iкз min от сети, А]],IF(AND(LEFT(UPPER(TRIM(Щиты[[#This Row],[Питание: от (ТП / сеть)]])),2)="ТП",N(Щиты[[#This Row],[Sтр, кВА]])&gt;0),0.055*Uн_лин^2/(Щиты[[#This Row],[Sтр, кВА]]/1000)*IF(Щиты[[#This Row],[Схема тр-ра]]="Y/Yн",3,1),"")))</f>
        <v/>
      </c>
      <c r="BJ22" t="str">
        <f>IF(Щиты[[#This Row],[_Zсети]]="","",Щиты[[#This Row],[_Zсети]]+Щиты[[#This Row],[_петля пит. кабеля]])</f>
        <v/>
      </c>
      <c r="BK22" cm="1">
        <f t="array" ref="BK22">IF(Щиты[[#This Row],[_строка фидера]]="","",INDEX(Линии[_Zкабеля],Щиты[[#This Row],[_строка фидера]]))</f>
        <v>0.68379999999999996</v>
      </c>
      <c r="BL22" t="str" cm="1">
        <f t="array" ref="BL22">IF(_xlfn.XLOOKUP(Щиты[[#This Row],[Корень]],Щиты[Щит],Щиты[_Zисточника],"")="","",SUMPRODUCT(--ISNUMBER(SEARCH("|"&amp;Щиты[Щит]&amp;"|",Щиты[[#This Row],[Путь]])),IFERROR(--Щиты[_Zисточника],0)+IFERROR(--Щиты[_Zфидера],0))+SUMPRODUCT(--ISNUMBER(SEARCH("|"&amp;Щиты[Щит]&amp;"|",Щиты[[#This Row],[Путь]])))*R_пер)</f>
        <v/>
      </c>
      <c r="BM22" t="str">
        <f>IF(Щиты[[#This Row],[Питается от (итог)]]&lt;&gt;"","",IF(N(Щиты[[#This Row],[Iкз max от сети, кА]])&gt;0,1.05*(Uн_лин*1000/SQRT(3))/(Щиты[[#This Row],[Iкз max от сети, кА]]*1000),IF(AND(LEFT(UPPER(TRIM(Щиты[[#This Row],[Питание: от (ТП / сеть)]])),2)="ТП",N(Щиты[[#This Row],[Sтр, кВА]])&gt;0),0.055*Uн_лин^2/(Щиты[[#This Row],[Sтр, кВА]]/1000),"")))</f>
        <v/>
      </c>
      <c r="BN22" t="str">
        <f>IF(Щиты[[#This Row],[_Zmax сети]]="","",Щиты[[#This Row],[_Zmax сети]]+IF(N(Щиты[[#This Row],[Питающий кабель: S, мм²]])&gt;0,IF(Щиты[[#This Row],[Материал]]="алюминий",0.028,0.0175)*N(Щиты[[#This Row],[Длина, м]])/(N(Щиты[[#This Row],[Питающий кабель: S, мм²]])*MAX(1,N(Щиты[[#This Row],[Кабелей параллельно]]))),0))</f>
        <v/>
      </c>
      <c r="BO22" cm="1">
        <f t="array" ref="BO22">IF(Щиты[[#This Row],[_строка фидера]]="","",INDEX(Линии[_Zmax кабеля],Щиты[[#This Row],[_строка фидера]]))</f>
        <v>0.22750000000000004</v>
      </c>
      <c r="BP22" t="str" cm="1">
        <f t="array" ref="BP22">IF(_xlfn.XLOOKUP(Щиты[[#This Row],[Корень]],Щиты[Щит],Щиты[_Zmax источника],"")="","",SUMPRODUCT(--ISNUMBER(SEARCH("|"&amp;Щиты[Щит]&amp;"|",Щиты[[#This Row],[Путь]])),IFERROR(--Щиты[_Zmax источника],0)+IFERROR(--Щиты[_Zmax фидера],0)))</f>
        <v/>
      </c>
      <c r="BQ22">
        <f>_xlfn.MAXIFS(Линии[_ранг для фидера],Линии[Щит],Щиты[[#This Row],[Щит]])</f>
        <v>3</v>
      </c>
      <c r="BR22" t="str" cm="1">
        <f t="array" ref="BR22">IFERROR(INDEX({"III","II","I","I особая"},MAX(1,_xlfn.MAXIFS(Щиты[_ранг собств],Щиты[Путь],"*|"&amp;Щиты[[#This Row],[Щит]]&amp;"|*"))),"III")</f>
        <v>I</v>
      </c>
      <c r="BS22" t="str" cm="1">
        <f t="array" ref="BS22">IF(Щиты[[#This Row],[_строка фидера]]="","",INDEX(Линии[Категория (итог)],Щиты[[#This Row],[_строка фидера]]))</f>
        <v>I</v>
      </c>
      <c r="BT22">
        <f>_xlfn.MAXIFS(Линии[Iпуск, А],Линии[Щит],Щиты[[#This Row],[Щит]])</f>
        <v>0</v>
      </c>
      <c r="BU22" t="str" cm="1">
        <f t="array" ref="BU22">IF(Щиты[[#This Row],[_строка фидера]]="","",INDEX(Линии[Источник для режимов],Щиты[[#This Row],[_строка фидера]]))</f>
        <v>Ввод 2</v>
      </c>
      <c r="BV22" t="str" cm="1">
        <f t="array" ref="BV22">IF(Щиты[[#This Row],[_строка фидера]]="","",INDEX(Линии[Пожарная (итог)],Щиты[[#This Row],[_строка фидера]]))</f>
        <v>нет</v>
      </c>
      <c r="BW22">
        <f>COUNTIFS(Линии[Щит],Щиты[[#This Row],[Щит]],Линии[Категория: проверка],"НЕ ОБЕСПЕЧЕНА")</f>
        <v>7</v>
      </c>
    </row>
    <row r="23" spans="1:75" x14ac:dyDescent="0.3">
      <c r="A23" t="s">
        <v>770</v>
      </c>
      <c r="C23">
        <v>1</v>
      </c>
      <c r="D23" t="s">
        <v>488</v>
      </c>
      <c r="E23" t="s">
        <v>845</v>
      </c>
      <c r="F23">
        <v>11</v>
      </c>
      <c r="U23" t="str" cm="1">
        <f t="array" ref="U23">IF(Щиты[[#This Row],[Питается от]]&lt;&gt;"",Щиты[[#This Row],[Питается от]],IFERROR(INDEX(Линии[Щит],Щиты[[#This Row],[_строка фидера]]),""))</f>
        <v>ГРЩ-ЖД</v>
      </c>
      <c r="V23" t="str">
        <f>_xlfn.TEXTJOIN("; ",TRUE,IF(AND(Щиты[[#This Row],[Питается от (итог)]]="",Щиты[[#This Row],[Zпетли на шинах, Ом]]=""),"нет данных сети для ТКЗ: введите Iкз от сетевой организации или трансформатор",""),IF(AND(Щиты[[#This Row],[Категория фидера]]&lt;&gt;"",IFERROR(MATCH(Щиты[[#This Row],[Категория фидера]],{"III","II","I","I особая"},0),1)&lt;IFERROR(MATCH(Щиты[[#This Row],[Высшая категория нагрузки]],{"III","II","I","I особая"},0),1)),"фидер "&amp;Щиты[[#This Row],[Категория фидера]]&amp;" ниже нагрузки "&amp;Щиты[[#This Row],[Высшая категория нагрузки]],""),IF(Щиты[[#This Row],[Не обеспечено, линий]]&gt;0,"не обеспечена категория у "&amp;Щиты[[#This Row],[Не обеспечено, линий]]&amp;" линий",""),IF(AND(Щиты[[#This Row],[Питается от]]&lt;&gt;"",Щиты[[#This Row],[_строка фидера]]=""),"нет линии-фидера в «Линиях»: номер линии = имя щита или столбец «Питает щит»",""),IF(AND(ISNUMBER(Щиты[[#This Row],[ΔU до шин, %]]),Щиты[[#This Row],[ΔU до шин, %]]&gt;4),"ΔU до шин "&amp;FIXED(Щиты[[#This Row],[ΔU до шин, %]],2)&amp;" % &gt; 4 %",""))</f>
        <v/>
      </c>
      <c r="W23" t="str" cm="1">
        <f t="array" ref="W23">IF(Щиты[[#This Row],[_строка фидера]]="","",INDEX(Линии[Номер линии],Щиты[[#This Row],[_строка фидера]]))</f>
        <v>ЩС-ВК.002</v>
      </c>
      <c r="X23">
        <f>SUMIFS(Щиты[_Руст собств],Щиты[Путь],"*|"&amp;Щиты[[#This Row],[Щит]]&amp;"|*")</f>
        <v>2.4</v>
      </c>
      <c r="Y23">
        <f>k_пк*Щиты[[#This Row],[Руст быт, кВт]]*Щиты[[#This Row],[Кс быт]]+Щиты[[#This Row],[Ко]]*Щиты[[#This Row],[Рр сил, кВт]]+Щиты[[#This Row],[Руст пост, кВт]]+Щиты[[#This Row],[Р отопления, кВт]]+Щиты[[#This Row],[Рр ВНГ, кВт]]</f>
        <v>1.512</v>
      </c>
      <c r="Z23">
        <f>IFERROR(MAX(MAX(Щиты[[#This Row],[P L1, кВт]],Щиты[[#This Row],[P L2, кВт]],Щиты[[#This Row],[P L3, кВт]])*Щиты[[#This Row],[Кс итог]]/((Uн_лин*1000/SQRT(3))/1000*Щиты[[#This Row],[cos φ]]),Щиты[[#This Row],[Рр, кВт]]/(SQRT(3)*Uн_лин*Щиты[[#This Row],[cos φ]])),0)</f>
        <v>6.8917390027477428</v>
      </c>
      <c r="AA23">
        <f>IFERROR(SUMIFS(Щиты[_Pcos собств],Щиты[Путь],"*|"&amp;Щиты[[#This Row],[Щит]]&amp;"|*")/SUMIFS(Щиты[_P собств],Щиты[Путь],"*|"&amp;Щиты[[#This Row],[Щит]]&amp;"|*"),0.95)</f>
        <v>0.95</v>
      </c>
      <c r="AB23" cm="1">
        <f t="array" ref="AB23">SUMPRODUCT(--ISNUMBER(SEARCH("|"&amp;Щиты[Щит]&amp;"|",Щиты[[#This Row],[Путь]])),IFERROR(--Щиты[_ΔU фидера],0)+IFERROR(--Щиты[_ΔU источника],0))</f>
        <v>1.64</v>
      </c>
      <c r="AC23" t="str">
        <f>IF(ISNUMBER(Щиты[[#This Row],[Zпетли на шинах, Ом]]),c_min*(Uн_лин*1000/SQRT(3))/Щиты[[#This Row],[Zпетли на шинах, Ом]],"")</f>
        <v/>
      </c>
      <c r="AD23" t="str">
        <f>IF(ISNUMBER(Щиты[[#This Row],[Zmax на шинах, Ом]]),1.05*(Uн_лин*1000/SQRT(3))/Щиты[[#This Row],[Zmax на шинах, Ом]]/1000,"")</f>
        <v/>
      </c>
      <c r="AE23" t="str" cm="1">
        <f t="array" ref="AE23">_xlfn.LET(_xlpm.w,_xlfn.TEXTSPLIT(Щиты[[#This Row],[Путь]],"|"),_xlpm.names,_xlfn._xlws.FILTER(_xlpm.w,_xlpm.w&lt;&gt;""),_xlfn.REDUCE("",_xlpm.names,_xlfn.LAMBDA(_xlpm.acc,_xlpm.nm,_xlfn.LET(_xlpm.inp,N(_xlfn.XLOOKUP(_xlpm.nm,Щиты[Щит],Щиты[Вводов],1)),_xlpm.avr,LOWER(TRIM(_xlfn.XLOOKUP(_xlpm.nm,Щиты[Щит],Щиты[АВР],"нет")&amp;"")),_xlpm.own,IF(_xlpm.inp&gt;=2,IF(_xlpm.avr="да","I","II"),"III"),_xlpm.fr,_xlfn.XLOOKUP(_xlpm.nm,Щиты[Щит],Щиты[_строка фидера],""),_xlpm.bt,IF(_xlpm.fr="","",INDEX(Линии[Тип шины],_xlpm.fr)&amp;""),_xlpm.man,TRIM(_xlfn.XLOOKUP(_xlpm.nm,Щиты[Щит],Щиты[Кат. питающей линии (ручн.)],"")&amp;""),_xlpm.up,IF(_xlpm.acc="",_xlpm.man,IF(OR(_xlpm.bt="ИБП",_xlpm.bt="ДГУ"),"I особая",IF(_xlpm.bt="Одиночная","III",_xlpm.acc))),IF(_xlpm.own&lt;&gt;"III",_xlpm.own,IF(OR(_xlpm.up="I особая",_xlpm.up="I",_xlpm.up="II"),"II","III"))))))</f>
        <v>II</v>
      </c>
      <c r="AF23" t="str" cm="1">
        <f t="array" ref="AF23">_xlfn.LET(_xlpm.f,_xlfn.LAMBDA(_xlpm.x,IF(_xlpm.x="","",_xlfn.XLOOKUP(_xlpm.x,Щиты[Щит],Щиты[Питается от (итог)],"")&amp;"")),_xlpm.п0,Щиты[[#This Row],[Щит]],_xlpm.п1,_xlpm.f(_xlpm.п0),_xlpm.п2,_xlpm.f(_xlpm.п1),_xlpm.п3,_xlpm.f(_xlpm.п2),_xlpm.п4,_xlpm.f(_xlpm.п3),_xlpm.п5,_xlpm.f(_xlpm.п4),_xlpm.п6,_xlpm.f(_xlpm.п5),_xlpm.п7,_xlpm.f(_xlpm.п6),"|"&amp;_xlfn.TEXTJOIN("|",TRUE,_xlpm.п7,_xlpm.п6,_xlpm.п5,_xlpm.п4,_xlpm.п3,_xlpm.п2,_xlpm.п1,_xlpm.п0)&amp;"|")</f>
        <v>|ГРЩ-ЖД|ЩС-ВК.002|</v>
      </c>
      <c r="AG23" t="str">
        <f>_xlfn.TEXTBEFORE(MID(Щиты[[#This Row],[Путь]],2,999),"|")</f>
        <v>ГРЩ-ЖД</v>
      </c>
      <c r="AH23">
        <f>LEN(Щиты[[#This Row],[Путь]])-LEN(SUBSTITUTE(Щиты[[#This Row],[Путь]],"|",""))-2</f>
        <v>1</v>
      </c>
      <c r="AI23">
        <f>IFERROR(_xlfn.XMATCH(Щиты[[#This Row],[Щит]],Линии[_фидер]),"")</f>
        <v>16</v>
      </c>
      <c r="AJ23">
        <f>SUMIFS(Линии[_Руст (без Нет)],Линии[Щит],Щиты[[#This Row],[Щит]])</f>
        <v>2.4</v>
      </c>
      <c r="AK23">
        <f>SUMIFS(Линии[_Руст быт],Линии[Щит],Щиты[[#This Row],[Щит]])</f>
        <v>0</v>
      </c>
      <c r="AL23">
        <f>SUMIFS(Линии[_Рр сил],Линии[Щит],Щиты[[#This Row],[Щит]])</f>
        <v>1.68</v>
      </c>
      <c r="AM23">
        <f>SUMIFS(Линии[_Руст пост],Линии[Щит],Щиты[[#This Row],[Щит]])</f>
        <v>0</v>
      </c>
      <c r="AN23">
        <f>SUMIFS(Линии[_P для cos],Линии[Щит],Щиты[[#This Row],[Щит]])</f>
        <v>2.4</v>
      </c>
      <c r="AO23">
        <f>SUMIFS(Линии[_P·cos],Линии[Щит],Щиты[[#This Row],[Щит]])</f>
        <v>2.2799999999999998</v>
      </c>
      <c r="AP23">
        <f>SUMIFS(Линии[_Р отопления],Линии[Щит],Щиты[[#This Row],[Щит]])</f>
        <v>0</v>
      </c>
      <c r="AQ23">
        <f>SUMIFS(Линии[_Рр ВНГ],Линии[Щит],Щиты[[#This Row],[Щит]])</f>
        <v>0</v>
      </c>
      <c r="AR23">
        <f>SUMIFS(Щиты[_быт собств],Щиты[Путь],"*|"&amp;Щиты[[#This Row],[Щит]]&amp;"|*")</f>
        <v>0</v>
      </c>
      <c r="AS23" cm="1">
        <f t="array" ref="AS23">_xlfn.LET(_xlpm.x,Щиты[[#This Row],[Руст быт, кВт]],_xlpm.m,MATCH(_xlpm.x,Кс_Р,1),IF(_xlpm.x&gt;=INDEX(Кс_Р,ROWS(Кс_Р)),INDEX(Кс_К,ROWS(Кс_К)),INDEX(Кс_К,_xlpm.m)+(_xlpm.x-INDEX(Кс_Р,_xlpm.m))*(INDEX(Кс_К,_xlpm.m+1)-INDEX(Кс_К,_xlpm.m))/(INDEX(Кс_Р,_xlpm.m+1)-INDEX(Кс_Р,_xlpm.m))))</f>
        <v>0.8</v>
      </c>
      <c r="AT23">
        <f>SUMIFS(Щиты[_сил собств],Щиты[Путь],"*|"&amp;Щиты[[#This Row],[Щит]]&amp;"|*")</f>
        <v>1.68</v>
      </c>
      <c r="AU23">
        <f>SUMIFS(Щиты[_пост собств],Щиты[Путь],"*|"&amp;Щиты[[#This Row],[Щит]]&amp;"|*")</f>
        <v>0</v>
      </c>
      <c r="AV23">
        <f>SUMIFS(Щиты[_отоп собств],Щиты[Путь],"*|"&amp;Щиты[[#This Row],[Щит]]&amp;"|*")</f>
        <v>0</v>
      </c>
      <c r="AW23">
        <f>SUMIFS(Щиты[_внг собств],Щиты[Путь],"*|"&amp;Щиты[[#This Row],[Щит]]&amp;"|*")</f>
        <v>0</v>
      </c>
      <c r="AX23">
        <f>COUNTIFS(Линии[Щит],Щиты[[#This Row],[Щит]],Линии[Группа Кс (итог)],"Сил")</f>
        <v>4</v>
      </c>
      <c r="AY23" cm="1">
        <f t="array" ref="AY23">_xlfn.LET(_xlpm.n,Щиты[[#This Row],[_n силовых]],IF(_xlpm.n&lt;=1,1,IF(_xlpm.n&gt;=MAX(Кс75_n),INDEX(Кс75_k,ROWS(Кс75_k)),_xlfn.LET(_xlpm.m,MATCH(_xlpm.n,Кс75_n,1),INDEX(Кс75_k,_xlpm.m)+(_xlpm.n-INDEX(Кс75_n,_xlpm.m))*(INDEX(Кс75_k,_xlpm.m+1)-INDEX(Кс75_k,_xlpm.m))/(INDEX(Кс75_n,_xlpm.m+1)-INDEX(Кс75_n,_xlpm.m))))))</f>
        <v>0.85000000000000009</v>
      </c>
      <c r="AZ23">
        <f>IF(Методика="нормы 2026",IF(AND(Щиты[[#This Row],[Руст быт, кВт]]&gt;0,Щиты[[#This Row],[Рр сил, кВт]]&gt;0),Ко_сил,1),Ко_сил)</f>
        <v>0.9</v>
      </c>
      <c r="BA23">
        <f>IF(Щиты[[#This Row],[Руст, кВт]]=0,0,Щиты[[#This Row],[Рр, кВт]]/Щиты[[#This Row],[Руст, кВт]])</f>
        <v>0.63</v>
      </c>
      <c r="BB23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Row],[Щит]],Линии[Фаза],"L1",Линии[Группа Кс (итог)],"&lt;&gt;Нет")</f>
        <v>2.4</v>
      </c>
      <c r="BC23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Row],[Щит]],Линии[Фаза],"L2",Линии[Группа Кс (итог)],"&lt;&gt;Нет")</f>
        <v>0</v>
      </c>
      <c r="BD23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Row],[Щит]],Линии[Фаза],"L3",Линии[Группа Кс (итог)],"&lt;&gt;Нет")</f>
        <v>0</v>
      </c>
      <c r="BE23" cm="1">
        <f t="array" ref="BE23">IF(Щиты[[#This Row],[_строка фидера]]="","",INDEX(Линии[ΔU, %],Щиты[[#This Row],[_строка фидера]]))</f>
        <v>1.64</v>
      </c>
      <c r="BF23">
        <f>IF(OR(N(Щиты[[#This Row],[Питающий кабель: S, мм²]])=0,N(Щиты[[#This Row],[Длина, м]])=0),0,(IF(Щиты[[#This Row],[Материал]]="алюминий",0.036,0.0225)*N(Щиты[[#This Row],[Длина, м]])/(N(Щиты[[#This Row],[Питающий кабель: S, мм²]])*MAX(1,N(Щиты[[#This Row],[Кабелей параллельно]])))*Щиты[[#This Row],[cos φ]]+0.00008*N(Щиты[[#This Row],[Длина, м]])/MAX(1,N(Щиты[[#This Row],[Кабелей параллельно]]))*SIN(ACOS(Щиты[[#This Row],[cos φ]])))*Щиты[[#This Row],[Iр, А]]/(Uн_лин*1000/SQRT(3))*100)</f>
        <v>0</v>
      </c>
      <c r="BG23">
        <f>IF(Щиты[[#This Row],[Питается от (итог)]]&lt;&gt;"",0,IF(LEFT(UPPER(TRIM(Щиты[[#This Row],[Питание: от (ТП / сеть)]])),2)="ТП",0,N(Щиты[[#This Row],[ΔU до питающего, %]])+Щиты[[#This Row],[_ΔU пит. линии]]))</f>
        <v>0</v>
      </c>
      <c r="BH23">
        <f>IF(N(Щиты[[#This Row],[Питающий кабель: S, мм²]])&gt;0,2*IF(Щиты[[#This Row],[Материал]]="алюминий",ρкз_Al,ρкз_Cu)*N(Щиты[[#This Row],[Длина, м]])/(N(Щиты[[#This Row],[Питающий кабель: S, мм²]])*MAX(1,N(Щиты[[#This Row],[Кабелей параллельно]]))),0)</f>
        <v>0</v>
      </c>
      <c r="BI23" t="str">
        <f>IF(Щиты[[#This Row],[Питается от (итог)]]&lt;&gt;"","",IF(N(Щиты[[#This Row],[Iкз min от сети, А]])&gt;0,c_min*(Uн_лин*1000/SQRT(3))/Щиты[[#This Row],[Iкз min от сети, А]],IF(AND(LEFT(UPPER(TRIM(Щиты[[#This Row],[Питание: от (ТП / сеть)]])),2)="ТП",N(Щиты[[#This Row],[Sтр, кВА]])&gt;0),0.055*Uн_лин^2/(Щиты[[#This Row],[Sтр, кВА]]/1000)*IF(Щиты[[#This Row],[Схема тр-ра]]="Y/Yн",3,1),"")))</f>
        <v/>
      </c>
      <c r="BJ23" t="str">
        <f>IF(Щиты[[#This Row],[_Zсети]]="","",Щиты[[#This Row],[_Zсети]]+Щиты[[#This Row],[_петля пит. кабеля]])</f>
        <v/>
      </c>
      <c r="BK23" cm="1">
        <f t="array" ref="BK23">IF(Щиты[[#This Row],[_строка фидера]]="","",INDEX(Линии[_Zкабеля],Щиты[[#This Row],[_строка фидера]]))</f>
        <v>0.67064999999999997</v>
      </c>
      <c r="BL23" t="str" cm="1">
        <f t="array" ref="BL23">IF(_xlfn.XLOOKUP(Щиты[[#This Row],[Корень]],Щиты[Щит],Щиты[_Zисточника],"")="","",SUMPRODUCT(--ISNUMBER(SEARCH("|"&amp;Щиты[Щит]&amp;"|",Щиты[[#This Row],[Путь]])),IFERROR(--Щиты[_Zисточника],0)+IFERROR(--Щиты[_Zфидера],0))+SUMPRODUCT(--ISNUMBER(SEARCH("|"&amp;Щиты[Щит]&amp;"|",Щиты[[#This Row],[Путь]])))*R_пер)</f>
        <v/>
      </c>
      <c r="BM23" t="str">
        <f>IF(Щиты[[#This Row],[Питается от (итог)]]&lt;&gt;"","",IF(N(Щиты[[#This Row],[Iкз max от сети, кА]])&gt;0,1.05*(Uн_лин*1000/SQRT(3))/(Щиты[[#This Row],[Iкз max от сети, кА]]*1000),IF(AND(LEFT(UPPER(TRIM(Щиты[[#This Row],[Питание: от (ТП / сеть)]])),2)="ТП",N(Щиты[[#This Row],[Sтр, кВА]])&gt;0),0.055*Uн_лин^2/(Щиты[[#This Row],[Sтр, кВА]]/1000),"")))</f>
        <v/>
      </c>
      <c r="BN23" t="str">
        <f>IF(Щиты[[#This Row],[_Zmax сети]]="","",Щиты[[#This Row],[_Zmax сети]]+IF(N(Щиты[[#This Row],[Питающий кабель: S, мм²]])&gt;0,IF(Щиты[[#This Row],[Материал]]="алюминий",0.028,0.0175)*N(Щиты[[#This Row],[Длина, м]])/(N(Щиты[[#This Row],[Питающий кабель: S, мм²]])*MAX(1,N(Щиты[[#This Row],[Кабелей параллельно]]))),0))</f>
        <v/>
      </c>
      <c r="BO23" cm="1">
        <f t="array" ref="BO23">IF(Щиты[[#This Row],[_строка фидера]]="","",INDEX(Линии[_Zmax кабеля],Щиты[[#This Row],[_строка фидера]]))</f>
        <v>0.22312500000000002</v>
      </c>
      <c r="BP23" t="str" cm="1">
        <f t="array" ref="BP23">IF(_xlfn.XLOOKUP(Щиты[[#This Row],[Корень]],Щиты[Щит],Щиты[_Zmax источника],"")="","",SUMPRODUCT(--ISNUMBER(SEARCH("|"&amp;Щиты[Щит]&amp;"|",Щиты[[#This Row],[Путь]])),IFERROR(--Щиты[_Zmax источника],0)+IFERROR(--Щиты[_Zmax фидера],0)))</f>
        <v/>
      </c>
      <c r="BQ23">
        <f>_xlfn.MAXIFS(Линии[_ранг для фидера],Линии[Щит],Щиты[[#This Row],[Щит]])</f>
        <v>2</v>
      </c>
      <c r="BR23" t="str" cm="1">
        <f t="array" ref="BR23">IFERROR(INDEX({"III","II","I","I особая"},MAX(1,_xlfn.MAXIFS(Щиты[_ранг собств],Щиты[Путь],"*|"&amp;Щиты[[#This Row],[Щит]]&amp;"|*"))),"III")</f>
        <v>II</v>
      </c>
      <c r="BS23" t="str" cm="1">
        <f t="array" ref="BS23">IF(Щиты[[#This Row],[_строка фидера]]="","",INDEX(Линии[Категория (итог)],Щиты[[#This Row],[_строка фидера]]))</f>
        <v>II</v>
      </c>
      <c r="BT23">
        <f>_xlfn.MAXIFS(Линии[Iпуск, А],Линии[Щит],Щиты[[#This Row],[Щит]])</f>
        <v>0</v>
      </c>
      <c r="BU23" t="str" cm="1">
        <f t="array" ref="BU23">IF(Щиты[[#This Row],[_строка фидера]]="","",INDEX(Линии[Источник для режимов],Щиты[[#This Row],[_строка фидера]]))</f>
        <v>Ввод 2</v>
      </c>
      <c r="BV23" t="str" cm="1">
        <f t="array" ref="BV23">IF(Щиты[[#This Row],[_строка фидера]]="","",INDEX(Линии[Пожарная (итог)],Щиты[[#This Row],[_строка фидера]]))</f>
        <v>нет</v>
      </c>
      <c r="BW23">
        <f>COUNTIFS(Линии[Щит],Щиты[[#This Row],[Щит]],Линии[Категория: проверка],"НЕ ОБЕСПЕЧЕНА")</f>
        <v>0</v>
      </c>
    </row>
    <row r="24" spans="1:75" x14ac:dyDescent="0.3">
      <c r="A24" t="s">
        <v>772</v>
      </c>
      <c r="C24">
        <v>1</v>
      </c>
      <c r="D24" t="s">
        <v>488</v>
      </c>
      <c r="E24" t="s">
        <v>845</v>
      </c>
      <c r="F24">
        <v>11</v>
      </c>
      <c r="U24" t="str" cm="1">
        <f t="array" ref="U24">IF(Щиты[[#This Row],[Питается от]]&lt;&gt;"",Щиты[[#This Row],[Питается от]],IFERROR(INDEX(Линии[Щит],Щиты[[#This Row],[_строка фидера]]),""))</f>
        <v>ГРЩ-ЖД</v>
      </c>
      <c r="V24" t="str">
        <f>_xlfn.TEXTJOIN("; ",TRUE,IF(AND(Щиты[[#This Row],[Питается от (итог)]]="",Щиты[[#This Row],[Zпетли на шинах, Ом]]=""),"нет данных сети для ТКЗ: введите Iкз от сетевой организации или трансформатор",""),IF(AND(Щиты[[#This Row],[Категория фидера]]&lt;&gt;"",IFERROR(MATCH(Щиты[[#This Row],[Категория фидера]],{"III","II","I","I особая"},0),1)&lt;IFERROR(MATCH(Щиты[[#This Row],[Высшая категория нагрузки]],{"III","II","I","I особая"},0),1)),"фидер "&amp;Щиты[[#This Row],[Категория фидера]]&amp;" ниже нагрузки "&amp;Щиты[[#This Row],[Высшая категория нагрузки]],""),IF(Щиты[[#This Row],[Не обеспечено, линий]]&gt;0,"не обеспечена категория у "&amp;Щиты[[#This Row],[Не обеспечено, линий]]&amp;" линий",""),IF(AND(Щиты[[#This Row],[Питается от]]&lt;&gt;"",Щиты[[#This Row],[_строка фидера]]=""),"нет линии-фидера в «Линиях»: номер линии = имя щита или столбец «Питает щит»",""),IF(AND(ISNUMBER(Щиты[[#This Row],[ΔU до шин, %]]),Щиты[[#This Row],[ΔU до шин, %]]&gt;4),"ΔU до шин "&amp;FIXED(Щиты[[#This Row],[ΔU до шин, %]],2)&amp;" % &gt; 4 %",""))</f>
        <v/>
      </c>
      <c r="W24" t="str" cm="1">
        <f t="array" ref="W24">IF(Щиты[[#This Row],[_строка фидера]]="","",INDEX(Линии[Номер линии],Щиты[[#This Row],[_строка фидера]]))</f>
        <v>ЩС-ВК.003</v>
      </c>
      <c r="X24">
        <f>SUMIFS(Щиты[_Руст собств],Щиты[Путь],"*|"&amp;Щиты[[#This Row],[Щит]]&amp;"|*")</f>
        <v>4.34</v>
      </c>
      <c r="Y24">
        <f>k_пк*Щиты[[#This Row],[Руст быт, кВт]]*Щиты[[#This Row],[Кс быт]]+Щиты[[#This Row],[Ко]]*Щиты[[#This Row],[Рр сил, кВт]]+Щиты[[#This Row],[Руст пост, кВт]]+Щиты[[#This Row],[Р отопления, кВт]]+Щиты[[#This Row],[Рр ВНГ, кВт]]</f>
        <v>2.7342</v>
      </c>
      <c r="Z24">
        <f>IFERROR(MAX(MAX(Щиты[[#This Row],[P L1, кВт]],Щиты[[#This Row],[P L2, кВт]],Щиты[[#This Row],[P L3, кВт]])*Щиты[[#This Row],[Кс итог]]/((Uн_лин*1000/SQRT(3))/1000*Щиты[[#This Row],[cos φ]]),Щиты[[#This Row],[Рр, кВт]]/(SQRT(3)*Uн_лин*Щиты[[#This Row],[cos φ]])),0)</f>
        <v>12.46256136330217</v>
      </c>
      <c r="AA24">
        <f>IFERROR(SUMIFS(Щиты[_Pcos собств],Щиты[Путь],"*|"&amp;Щиты[[#This Row],[Щит]]&amp;"|*")/SUMIFS(Щиты[_P собств],Щиты[Путь],"*|"&amp;Щиты[[#This Row],[Щит]]&amp;"|*"),0.95)</f>
        <v>0.94999999999999984</v>
      </c>
      <c r="AB24" cm="1">
        <f t="array" ref="AB24">SUMPRODUCT(--ISNUMBER(SEARCH("|"&amp;Щиты[Щит]&amp;"|",Щиты[[#This Row],[Путь]])),IFERROR(--Щиты[_ΔU фидера],0)+IFERROR(--Щиты[_ΔU источника],0))</f>
        <v>3.0799999999999996</v>
      </c>
      <c r="AC24" t="str">
        <f>IF(ISNUMBER(Щиты[[#This Row],[Zпетли на шинах, Ом]]),c_min*(Uн_лин*1000/SQRT(3))/Щиты[[#This Row],[Zпетли на шинах, Ом]],"")</f>
        <v/>
      </c>
      <c r="AD24" t="str">
        <f>IF(ISNUMBER(Щиты[[#This Row],[Zmax на шинах, Ом]]),1.05*(Uн_лин*1000/SQRT(3))/Щиты[[#This Row],[Zmax на шинах, Ом]]/1000,"")</f>
        <v/>
      </c>
      <c r="AE24" t="str" cm="1">
        <f t="array" ref="AE24">_xlfn.LET(_xlpm.w,_xlfn.TEXTSPLIT(Щиты[[#This Row],[Путь]],"|"),_xlpm.names,_xlfn._xlws.FILTER(_xlpm.w,_xlpm.w&lt;&gt;""),_xlfn.REDUCE("",_xlpm.names,_xlfn.LAMBDA(_xlpm.acc,_xlpm.nm,_xlfn.LET(_xlpm.inp,N(_xlfn.XLOOKUP(_xlpm.nm,Щиты[Щит],Щиты[Вводов],1)),_xlpm.avr,LOWER(TRIM(_xlfn.XLOOKUP(_xlpm.nm,Щиты[Щит],Щиты[АВР],"нет")&amp;"")),_xlpm.own,IF(_xlpm.inp&gt;=2,IF(_xlpm.avr="да","I","II"),"III"),_xlpm.fr,_xlfn.XLOOKUP(_xlpm.nm,Щиты[Щит],Щиты[_строка фидера],""),_xlpm.bt,IF(_xlpm.fr="","",INDEX(Линии[Тип шины],_xlpm.fr)&amp;""),_xlpm.man,TRIM(_xlfn.XLOOKUP(_xlpm.nm,Щиты[Щит],Щиты[Кат. питающей линии (ручн.)],"")&amp;""),_xlpm.up,IF(_xlpm.acc="",_xlpm.man,IF(OR(_xlpm.bt="ИБП",_xlpm.bt="ДГУ"),"I особая",IF(_xlpm.bt="Одиночная","III",_xlpm.acc))),IF(_xlpm.own&lt;&gt;"III",_xlpm.own,IF(OR(_xlpm.up="I особая",_xlpm.up="I",_xlpm.up="II"),"II","III"))))))</f>
        <v>II</v>
      </c>
      <c r="AF24" t="str" cm="1">
        <f t="array" ref="AF24">_xlfn.LET(_xlpm.f,_xlfn.LAMBDA(_xlpm.x,IF(_xlpm.x="","",_xlfn.XLOOKUP(_xlpm.x,Щиты[Щит],Щиты[Питается от (итог)],"")&amp;"")),_xlpm.п0,Щиты[[#This Row],[Щит]],_xlpm.п1,_xlpm.f(_xlpm.п0),_xlpm.п2,_xlpm.f(_xlpm.п1),_xlpm.п3,_xlpm.f(_xlpm.п2),_xlpm.п4,_xlpm.f(_xlpm.п3),_xlpm.п5,_xlpm.f(_xlpm.п4),_xlpm.п6,_xlpm.f(_xlpm.п5),_xlpm.п7,_xlpm.f(_xlpm.п6),"|"&amp;_xlfn.TEXTJOIN("|",TRUE,_xlpm.п7,_xlpm.п6,_xlpm.п5,_xlpm.п4,_xlpm.п3,_xlpm.п2,_xlpm.п1,_xlpm.п0)&amp;"|")</f>
        <v>|ГРЩ-ЖД|ЩС-ВК.003|</v>
      </c>
      <c r="AG24" t="str">
        <f>_xlfn.TEXTBEFORE(MID(Щиты[[#This Row],[Путь]],2,999),"|")</f>
        <v>ГРЩ-ЖД</v>
      </c>
      <c r="AH24">
        <f>LEN(Щиты[[#This Row],[Путь]])-LEN(SUBSTITUTE(Щиты[[#This Row],[Путь]],"|",""))-2</f>
        <v>1</v>
      </c>
      <c r="AI24">
        <f>IFERROR(_xlfn.XMATCH(Щиты[[#This Row],[Щит]],Линии[_фидер]),"")</f>
        <v>17</v>
      </c>
      <c r="AJ24">
        <f>SUMIFS(Линии[_Руст (без Нет)],Линии[Щит],Щиты[[#This Row],[Щит]])</f>
        <v>4.34</v>
      </c>
      <c r="AK24">
        <f>SUMIFS(Линии[_Руст быт],Линии[Щит],Щиты[[#This Row],[Щит]])</f>
        <v>0</v>
      </c>
      <c r="AL24">
        <f>SUMIFS(Линии[_Рр сил],Линии[Щит],Щиты[[#This Row],[Щит]])</f>
        <v>3.0379999999999998</v>
      </c>
      <c r="AM24">
        <f>SUMIFS(Линии[_Руст пост],Линии[Щит],Щиты[[#This Row],[Щит]])</f>
        <v>0</v>
      </c>
      <c r="AN24">
        <f>SUMIFS(Линии[_P для cos],Линии[Щит],Щиты[[#This Row],[Щит]])</f>
        <v>4.34</v>
      </c>
      <c r="AO24">
        <f>SUMIFS(Линии[_P·cos],Линии[Щит],Щиты[[#This Row],[Щит]])</f>
        <v>4.1229999999999993</v>
      </c>
      <c r="AP24">
        <f>SUMIFS(Линии[_Р отопления],Линии[Щит],Щиты[[#This Row],[Щит]])</f>
        <v>0</v>
      </c>
      <c r="AQ24">
        <f>SUMIFS(Линии[_Рр ВНГ],Линии[Щит],Щиты[[#This Row],[Щит]])</f>
        <v>0</v>
      </c>
      <c r="AR24">
        <f>SUMIFS(Щиты[_быт собств],Щиты[Путь],"*|"&amp;Щиты[[#This Row],[Щит]]&amp;"|*")</f>
        <v>0</v>
      </c>
      <c r="AS24" cm="1">
        <f t="array" ref="AS24">_xlfn.LET(_xlpm.x,Щиты[[#This Row],[Руст быт, кВт]],_xlpm.m,MATCH(_xlpm.x,Кс_Р,1),IF(_xlpm.x&gt;=INDEX(Кс_Р,ROWS(Кс_Р)),INDEX(Кс_К,ROWS(Кс_К)),INDEX(Кс_К,_xlpm.m)+(_xlpm.x-INDEX(Кс_Р,_xlpm.m))*(INDEX(Кс_К,_xlpm.m+1)-INDEX(Кс_К,_xlpm.m))/(INDEX(Кс_Р,_xlpm.m+1)-INDEX(Кс_Р,_xlpm.m))))</f>
        <v>0.8</v>
      </c>
      <c r="AT24">
        <f>SUMIFS(Щиты[_сил собств],Щиты[Путь],"*|"&amp;Щиты[[#This Row],[Щит]]&amp;"|*")</f>
        <v>3.0379999999999998</v>
      </c>
      <c r="AU24">
        <f>SUMIFS(Щиты[_пост собств],Щиты[Путь],"*|"&amp;Щиты[[#This Row],[Щит]]&amp;"|*")</f>
        <v>0</v>
      </c>
      <c r="AV24">
        <f>SUMIFS(Щиты[_отоп собств],Щиты[Путь],"*|"&amp;Щиты[[#This Row],[Щит]]&amp;"|*")</f>
        <v>0</v>
      </c>
      <c r="AW24">
        <f>SUMIFS(Щиты[_внг собств],Щиты[Путь],"*|"&amp;Щиты[[#This Row],[Щит]]&amp;"|*")</f>
        <v>0</v>
      </c>
      <c r="AX24">
        <f>COUNTIFS(Линии[Щит],Щиты[[#This Row],[Щит]],Линии[Группа Кс (итог)],"Сил")</f>
        <v>4</v>
      </c>
      <c r="AY24" cm="1">
        <f t="array" ref="AY24">_xlfn.LET(_xlpm.n,Щиты[[#This Row],[_n силовых]],IF(_xlpm.n&lt;=1,1,IF(_xlpm.n&gt;=MAX(Кс75_n),INDEX(Кс75_k,ROWS(Кс75_k)),_xlfn.LET(_xlpm.m,MATCH(_xlpm.n,Кс75_n,1),INDEX(Кс75_k,_xlpm.m)+(_xlpm.n-INDEX(Кс75_n,_xlpm.m))*(INDEX(Кс75_k,_xlpm.m+1)-INDEX(Кс75_k,_xlpm.m))/(INDEX(Кс75_n,_xlpm.m+1)-INDEX(Кс75_n,_xlpm.m))))))</f>
        <v>0.85000000000000009</v>
      </c>
      <c r="AZ24">
        <f>IF(Методика="нормы 2026",IF(AND(Щиты[[#This Row],[Руст быт, кВт]]&gt;0,Щиты[[#This Row],[Рр сил, кВт]]&gt;0),Ко_сил,1),Ко_сил)</f>
        <v>0.9</v>
      </c>
      <c r="BA24">
        <f>IF(Щиты[[#This Row],[Руст, кВт]]=0,0,Щиты[[#This Row],[Рр, кВт]]/Щиты[[#This Row],[Руст, кВт]])</f>
        <v>0.63</v>
      </c>
      <c r="BB24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Row],[Щит]],Линии[Фаза],"L1",Линии[Группа Кс (итог)],"&lt;&gt;Нет")</f>
        <v>0</v>
      </c>
      <c r="BC24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Row],[Щит]],Линии[Фаза],"L2",Линии[Группа Кс (итог)],"&lt;&gt;Нет")</f>
        <v>0</v>
      </c>
      <c r="BD24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Row],[Щит]],Линии[Фаза],"L3",Линии[Группа Кс (итог)],"&lt;&gt;Нет")</f>
        <v>4.34</v>
      </c>
      <c r="BE24" cm="1">
        <f t="array" ref="BE24">IF(Щиты[[#This Row],[_строка фидера]]="","",INDEX(Линии[ΔU, %],Щиты[[#This Row],[_строка фидера]]))</f>
        <v>3.0799999999999996</v>
      </c>
      <c r="BF24">
        <f>IF(OR(N(Щиты[[#This Row],[Питающий кабель: S, мм²]])=0,N(Щиты[[#This Row],[Длина, м]])=0),0,(IF(Щиты[[#This Row],[Материал]]="алюминий",0.036,0.0225)*N(Щиты[[#This Row],[Длина, м]])/(N(Щиты[[#This Row],[Питающий кабель: S, мм²]])*MAX(1,N(Щиты[[#This Row],[Кабелей параллельно]])))*Щиты[[#This Row],[cos φ]]+0.00008*N(Щиты[[#This Row],[Длина, м]])/MAX(1,N(Щиты[[#This Row],[Кабелей параллельно]]))*SIN(ACOS(Щиты[[#This Row],[cos φ]])))*Щиты[[#This Row],[Iр, А]]/(Uн_лин*1000/SQRT(3))*100)</f>
        <v>0</v>
      </c>
      <c r="BG24">
        <f>IF(Щиты[[#This Row],[Питается от (итог)]]&lt;&gt;"",0,IF(LEFT(UPPER(TRIM(Щиты[[#This Row],[Питание: от (ТП / сеть)]])),2)="ТП",0,N(Щиты[[#This Row],[ΔU до питающего, %]])+Щиты[[#This Row],[_ΔU пит. линии]]))</f>
        <v>0</v>
      </c>
      <c r="BH24">
        <f>IF(N(Щиты[[#This Row],[Питающий кабель: S, мм²]])&gt;0,2*IF(Щиты[[#This Row],[Материал]]="алюминий",ρкз_Al,ρкз_Cu)*N(Щиты[[#This Row],[Длина, м]])/(N(Щиты[[#This Row],[Питающий кабель: S, мм²]])*MAX(1,N(Щиты[[#This Row],[Кабелей параллельно]]))),0)</f>
        <v>0</v>
      </c>
      <c r="BI24" t="str">
        <f>IF(Щиты[[#This Row],[Питается от (итог)]]&lt;&gt;"","",IF(N(Щиты[[#This Row],[Iкз min от сети, А]])&gt;0,c_min*(Uн_лин*1000/SQRT(3))/Щиты[[#This Row],[Iкз min от сети, А]],IF(AND(LEFT(UPPER(TRIM(Щиты[[#This Row],[Питание: от (ТП / сеть)]])),2)="ТП",N(Щиты[[#This Row],[Sтр, кВА]])&gt;0),0.055*Uн_лин^2/(Щиты[[#This Row],[Sтр, кВА]]/1000)*IF(Щиты[[#This Row],[Схема тр-ра]]="Y/Yн",3,1),"")))</f>
        <v/>
      </c>
      <c r="BJ24" t="str">
        <f>IF(Щиты[[#This Row],[_Zсети]]="","",Щиты[[#This Row],[_Zсети]]+Щиты[[#This Row],[_петля пит. кабеля]])</f>
        <v/>
      </c>
      <c r="BK24" cm="1">
        <f t="array" ref="BK24">IF(Щиты[[#This Row],[_строка фидера]]="","",INDEX(Линии[_Zкабеля],Щиты[[#This Row],[_строка фидера]]))</f>
        <v>0.69694999999999996</v>
      </c>
      <c r="BL24" t="str" cm="1">
        <f t="array" ref="BL24">IF(_xlfn.XLOOKUP(Щиты[[#This Row],[Корень]],Щиты[Щит],Щиты[_Zисточника],"")="","",SUMPRODUCT(--ISNUMBER(SEARCH("|"&amp;Щиты[Щит]&amp;"|",Щиты[[#This Row],[Путь]])),IFERROR(--Щиты[_Zисточника],0)+IFERROR(--Щиты[_Zфидера],0))+SUMPRODUCT(--ISNUMBER(SEARCH("|"&amp;Щиты[Щит]&amp;"|",Щиты[[#This Row],[Путь]])))*R_пер)</f>
        <v/>
      </c>
      <c r="BM24" t="str">
        <f>IF(Щиты[[#This Row],[Питается от (итог)]]&lt;&gt;"","",IF(N(Щиты[[#This Row],[Iкз max от сети, кА]])&gt;0,1.05*(Uн_лин*1000/SQRT(3))/(Щиты[[#This Row],[Iкз max от сети, кА]]*1000),IF(AND(LEFT(UPPER(TRIM(Щиты[[#This Row],[Питание: от (ТП / сеть)]])),2)="ТП",N(Щиты[[#This Row],[Sтр, кВА]])&gt;0),0.055*Uн_лин^2/(Щиты[[#This Row],[Sтр, кВА]]/1000),"")))</f>
        <v/>
      </c>
      <c r="BN24" t="str">
        <f>IF(Щиты[[#This Row],[_Zmax сети]]="","",Щиты[[#This Row],[_Zmax сети]]+IF(N(Щиты[[#This Row],[Питающий кабель: S, мм²]])&gt;0,IF(Щиты[[#This Row],[Материал]]="алюминий",0.028,0.0175)*N(Щиты[[#This Row],[Длина, м]])/(N(Щиты[[#This Row],[Питающий кабель: S, мм²]])*MAX(1,N(Щиты[[#This Row],[Кабелей параллельно]]))),0))</f>
        <v/>
      </c>
      <c r="BO24" cm="1">
        <f t="array" ref="BO24">IF(Щиты[[#This Row],[_строка фидера]]="","",INDEX(Линии[_Zmax кабеля],Щиты[[#This Row],[_строка фидера]]))</f>
        <v>0.23187500000000003</v>
      </c>
      <c r="BP24" t="str" cm="1">
        <f t="array" ref="BP24">IF(_xlfn.XLOOKUP(Щиты[[#This Row],[Корень]],Щиты[Щит],Щиты[_Zmax источника],"")="","",SUMPRODUCT(--ISNUMBER(SEARCH("|"&amp;Щиты[Щит]&amp;"|",Щиты[[#This Row],[Путь]])),IFERROR(--Щиты[_Zmax источника],0)+IFERROR(--Щиты[_Zmax фидера],0)))</f>
        <v/>
      </c>
      <c r="BQ24">
        <f>_xlfn.MAXIFS(Линии[_ранг для фидера],Линии[Щит],Щиты[[#This Row],[Щит]])</f>
        <v>2</v>
      </c>
      <c r="BR24" t="str" cm="1">
        <f t="array" ref="BR24">IFERROR(INDEX({"III","II","I","I особая"},MAX(1,_xlfn.MAXIFS(Щиты[_ранг собств],Щиты[Путь],"*|"&amp;Щиты[[#This Row],[Щит]]&amp;"|*"))),"III")</f>
        <v>II</v>
      </c>
      <c r="BS24" t="str" cm="1">
        <f t="array" ref="BS24">IF(Щиты[[#This Row],[_строка фидера]]="","",INDEX(Линии[Категория (итог)],Щиты[[#This Row],[_строка фидера]]))</f>
        <v>II</v>
      </c>
      <c r="BT24">
        <f>_xlfn.MAXIFS(Линии[Iпуск, А],Линии[Щит],Щиты[[#This Row],[Щит]])</f>
        <v>0</v>
      </c>
      <c r="BU24" t="str" cm="1">
        <f t="array" ref="BU24">IF(Щиты[[#This Row],[_строка фидера]]="","",INDEX(Линии[Источник для режимов],Щиты[[#This Row],[_строка фидера]]))</f>
        <v>Ввод 2</v>
      </c>
      <c r="BV24" t="str" cm="1">
        <f t="array" ref="BV24">IF(Щиты[[#This Row],[_строка фидера]]="","",INDEX(Линии[Пожарная (итог)],Щиты[[#This Row],[_строка фидера]]))</f>
        <v>нет</v>
      </c>
      <c r="BW24">
        <f>COUNTIFS(Линии[Щит],Щиты[[#This Row],[Щит]],Линии[Категория: проверка],"НЕ ОБЕСПЕЧЕНА")</f>
        <v>0</v>
      </c>
    </row>
    <row r="25" spans="1:75" x14ac:dyDescent="0.3">
      <c r="A25" t="s">
        <v>1147</v>
      </c>
      <c r="C25">
        <v>2</v>
      </c>
      <c r="D25" t="s">
        <v>492</v>
      </c>
      <c r="E25" t="s">
        <v>845</v>
      </c>
      <c r="F25">
        <v>12</v>
      </c>
      <c r="U25" t="str" cm="1">
        <f t="array" ref="U25">IF(Щиты[[#This Row],[Питается от]]&lt;&gt;"",Щиты[[#This Row],[Питается от]],IFERROR(INDEX(Линии[Щит],Щиты[[#This Row],[_строка фидера]]),""))</f>
        <v>ГРЩ-ЖД</v>
      </c>
      <c r="V25" t="str">
        <f>_xlfn.TEXTJOIN("; ",TRUE,IF(AND(Щиты[[#This Row],[Питается от (итог)]]="",Щиты[[#This Row],[Zпетли на шинах, Ом]]=""),"нет данных сети для ТКЗ: введите Iкз от сетевой организации или трансформатор",""),IF(AND(Щиты[[#This Row],[Категория фидера]]&lt;&gt;"",IFERROR(MATCH(Щиты[[#This Row],[Категория фидера]],{"III","II","I","I особая"},0),1)&lt;IFERROR(MATCH(Щиты[[#This Row],[Высшая категория нагрузки]],{"III","II","I","I особая"},0),1)),"фидер "&amp;Щиты[[#This Row],[Категория фидера]]&amp;" ниже нагрузки "&amp;Щиты[[#This Row],[Высшая категория нагрузки]],""),IF(Щиты[[#This Row],[Не обеспечено, линий]]&gt;0,"не обеспечена категория у "&amp;Щиты[[#This Row],[Не обеспечено, линий]]&amp;" линий",""),IF(AND(Щиты[[#This Row],[Питается от]]&lt;&gt;"",Щиты[[#This Row],[_строка фидера]]=""),"нет линии-фидера в «Линиях»: номер линии = имя щита или столбец «Питает щит»",""),IF(AND(ISNUMBER(Щиты[[#This Row],[ΔU до шин, %]]),Щиты[[#This Row],[ΔU до шин, %]]&gt;4),"ΔU до шин "&amp;FIXED(Щиты[[#This Row],[ΔU до шин, %]],2)&amp;" % &gt; 4 %",""))</f>
        <v/>
      </c>
      <c r="W25" t="str" cm="1">
        <f t="array" ref="W25">IF(Щиты[[#This Row],[_строка фидера]]="","",INDEX(Линии[Номер линии],Щиты[[#This Row],[_строка фидера]]))</f>
        <v>ЩСПЗ-ЖД.1</v>
      </c>
      <c r="X25">
        <f>SUMIFS(Щиты[_Руст собств],Щиты[Путь],"*|"&amp;Щиты[[#This Row],[Щит]]&amp;"|*")</f>
        <v>1.6</v>
      </c>
      <c r="Y25">
        <f>k_пк*Щиты[[#This Row],[Руст быт, кВт]]*Щиты[[#This Row],[Кс быт]]+Щиты[[#This Row],[Ко]]*Щиты[[#This Row],[Рр сил, кВт]]+Щиты[[#This Row],[Руст пост, кВт]]+Щиты[[#This Row],[Р отопления, кВт]]+Щиты[[#This Row],[Рр ВНГ, кВт]]</f>
        <v>1.6</v>
      </c>
      <c r="Z25">
        <f>IFERROR(MAX(MAX(Щиты[[#This Row],[P L1, кВт]],Щиты[[#This Row],[P L2, кВт]],Щиты[[#This Row],[P L3, кВт]])*Щиты[[#This Row],[Кс итог]]/((Uн_лин*1000/SQRT(3))/1000*Щиты[[#This Row],[cos φ]]),Щиты[[#This Row],[Рр, кВт]]/(SQRT(3)*Uн_лин*Щиты[[#This Row],[cos φ]])),0)</f>
        <v>3.646422752776584</v>
      </c>
      <c r="AA25">
        <f>IFERROR(SUMIFS(Щиты[_Pcos собств],Щиты[Путь],"*|"&amp;Щиты[[#This Row],[Щит]]&amp;"|*")/SUMIFS(Щиты[_P собств],Щиты[Путь],"*|"&amp;Щиты[[#This Row],[Щит]]&amp;"|*"),0.95)</f>
        <v>0.95</v>
      </c>
      <c r="AB25" cm="1">
        <f t="array" ref="AB25">SUMPRODUCT(--ISNUMBER(SEARCH("|"&amp;Щиты[Щит]&amp;"|",Щиты[[#This Row],[Путь]])),IFERROR(--Щиты[_ΔU фидера],0)+IFERROR(--Щиты[_ΔU источника],0))</f>
        <v>0.41000000000000003</v>
      </c>
      <c r="AC25" t="str">
        <f>IF(ISNUMBER(Щиты[[#This Row],[Zпетли на шинах, Ом]]),c_min*(Uн_лин*1000/SQRT(3))/Щиты[[#This Row],[Zпетли на шинах, Ом]],"")</f>
        <v/>
      </c>
      <c r="AD25" t="str">
        <f>IF(ISNUMBER(Щиты[[#This Row],[Zmax на шинах, Ом]]),1.05*(Uн_лин*1000/SQRT(3))/Щиты[[#This Row],[Zmax на шинах, Ом]]/1000,"")</f>
        <v/>
      </c>
      <c r="AE25" t="str" cm="1">
        <f t="array" ref="AE25">_xlfn.LET(_xlpm.w,_xlfn.TEXTSPLIT(Щиты[[#This Row],[Путь]],"|"),_xlpm.names,_xlfn._xlws.FILTER(_xlpm.w,_xlpm.w&lt;&gt;""),_xlfn.REDUCE("",_xlpm.names,_xlfn.LAMBDA(_xlpm.acc,_xlpm.nm,_xlfn.LET(_xlpm.inp,N(_xlfn.XLOOKUP(_xlpm.nm,Щиты[Щит],Щиты[Вводов],1)),_xlpm.avr,LOWER(TRIM(_xlfn.XLOOKUP(_xlpm.nm,Щиты[Щит],Щиты[АВР],"нет")&amp;"")),_xlpm.own,IF(_xlpm.inp&gt;=2,IF(_xlpm.avr="да","I","II"),"III"),_xlpm.fr,_xlfn.XLOOKUP(_xlpm.nm,Щиты[Щит],Щиты[_строка фидера],""),_xlpm.bt,IF(_xlpm.fr="","",INDEX(Линии[Тип шины],_xlpm.fr)&amp;""),_xlpm.man,TRIM(_xlfn.XLOOKUP(_xlpm.nm,Щиты[Щит],Щиты[Кат. питающей линии (ручн.)],"")&amp;""),_xlpm.up,IF(_xlpm.acc="",_xlpm.man,IF(OR(_xlpm.bt="ИБП",_xlpm.bt="ДГУ"),"I особая",IF(_xlpm.bt="Одиночная","III",_xlpm.acc))),IF(_xlpm.own&lt;&gt;"III",_xlpm.own,IF(OR(_xlpm.up="I особая",_xlpm.up="I",_xlpm.up="II"),"II","III"))))))</f>
        <v>I</v>
      </c>
      <c r="AF25" t="str" cm="1">
        <f t="array" ref="AF25">_xlfn.LET(_xlpm.f,_xlfn.LAMBDA(_xlpm.x,IF(_xlpm.x="","",_xlfn.XLOOKUP(_xlpm.x,Щиты[Щит],Щиты[Питается от (итог)],"")&amp;"")),_xlpm.п0,Щиты[[#This Row],[Щит]],_xlpm.п1,_xlpm.f(_xlpm.п0),_xlpm.п2,_xlpm.f(_xlpm.п1),_xlpm.п3,_xlpm.f(_xlpm.п2),_xlpm.п4,_xlpm.f(_xlpm.п3),_xlpm.п5,_xlpm.f(_xlpm.п4),_xlpm.п6,_xlpm.f(_xlpm.п5),_xlpm.п7,_xlpm.f(_xlpm.п6),"|"&amp;_xlfn.TEXTJOIN("|",TRUE,_xlpm.п7,_xlpm.п6,_xlpm.п5,_xlpm.п4,_xlpm.п3,_xlpm.п2,_xlpm.п1,_xlpm.п0)&amp;"|")</f>
        <v>|ГРЩ-ЖД|ЩСПЗ-ЖД|</v>
      </c>
      <c r="AG25" t="str">
        <f>_xlfn.TEXTBEFORE(MID(Щиты[[#This Row],[Путь]],2,999),"|")</f>
        <v>ГРЩ-ЖД</v>
      </c>
      <c r="AH25">
        <f>LEN(Щиты[[#This Row],[Путь]])-LEN(SUBSTITUTE(Щиты[[#This Row],[Путь]],"|",""))-2</f>
        <v>1</v>
      </c>
      <c r="AI25">
        <f>IFERROR(_xlfn.XMATCH(Щиты[[#This Row],[Щит]],Линии[_фидер]),"")</f>
        <v>3</v>
      </c>
      <c r="AJ25">
        <f>SUMIFS(Линии[_Руст (без Нет)],Линии[Щит],Щиты[[#This Row],[Щит]])</f>
        <v>1.6</v>
      </c>
      <c r="AK25">
        <f>SUMIFS(Линии[_Руст быт],Линии[Щит],Щиты[[#This Row],[Щит]])</f>
        <v>0</v>
      </c>
      <c r="AL25">
        <f>SUMIFS(Линии[_Рр сил],Линии[Щит],Щиты[[#This Row],[Щит]])</f>
        <v>0</v>
      </c>
      <c r="AM25">
        <f>SUMIFS(Линии[_Руст пост],Линии[Щит],Щиты[[#This Row],[Щит]])</f>
        <v>1.6</v>
      </c>
      <c r="AN25">
        <f>SUMIFS(Линии[_P для cos],Линии[Щит],Щиты[[#This Row],[Щит]])</f>
        <v>1.6</v>
      </c>
      <c r="AO25">
        <f>SUMIFS(Линии[_P·cos],Линии[Щит],Щиты[[#This Row],[Щит]])</f>
        <v>1.52</v>
      </c>
      <c r="AP25">
        <f>SUMIFS(Линии[_Р отопления],Линии[Щит],Щиты[[#This Row],[Щит]])</f>
        <v>0</v>
      </c>
      <c r="AQ25">
        <f>SUMIFS(Линии[_Рр ВНГ],Линии[Щит],Щиты[[#This Row],[Щит]])</f>
        <v>0</v>
      </c>
      <c r="AR25">
        <f>SUMIFS(Щиты[_быт собств],Щиты[Путь],"*|"&amp;Щиты[[#This Row],[Щит]]&amp;"|*")</f>
        <v>0</v>
      </c>
      <c r="AS25" cm="1">
        <f t="array" ref="AS25">_xlfn.LET(_xlpm.x,Щиты[[#This Row],[Руст быт, кВт]],_xlpm.m,MATCH(_xlpm.x,Кс_Р,1),IF(_xlpm.x&gt;=INDEX(Кс_Р,ROWS(Кс_Р)),INDEX(Кс_К,ROWS(Кс_К)),INDEX(Кс_К,_xlpm.m)+(_xlpm.x-INDEX(Кс_Р,_xlpm.m))*(INDEX(Кс_К,_xlpm.m+1)-INDEX(Кс_К,_xlpm.m))/(INDEX(Кс_Р,_xlpm.m+1)-INDEX(Кс_Р,_xlpm.m))))</f>
        <v>0.8</v>
      </c>
      <c r="AT25">
        <f>SUMIFS(Щиты[_сил собств],Щиты[Путь],"*|"&amp;Щиты[[#This Row],[Щит]]&amp;"|*")</f>
        <v>0</v>
      </c>
      <c r="AU25">
        <f>SUMIFS(Щиты[_пост собств],Щиты[Путь],"*|"&amp;Щиты[[#This Row],[Щит]]&amp;"|*")</f>
        <v>1.6</v>
      </c>
      <c r="AV25">
        <f>SUMIFS(Щиты[_отоп собств],Щиты[Путь],"*|"&amp;Щиты[[#This Row],[Щит]]&amp;"|*")</f>
        <v>0</v>
      </c>
      <c r="AW25">
        <f>SUMIFS(Щиты[_внг собств],Щиты[Путь],"*|"&amp;Щиты[[#This Row],[Щит]]&amp;"|*")</f>
        <v>0</v>
      </c>
      <c r="AX25">
        <f>COUNTIFS(Линии[Щит],Щиты[[#This Row],[Щит]],Линии[Группа Кс (итог)],"Сил")</f>
        <v>0</v>
      </c>
      <c r="AY25" cm="1">
        <f t="array" ref="AY25">_xlfn.LET(_xlpm.n,Щиты[[#This Row],[_n силовых]],IF(_xlpm.n&lt;=1,1,IF(_xlpm.n&gt;=MAX(Кс75_n),INDEX(Кс75_k,ROWS(Кс75_k)),_xlfn.LET(_xlpm.m,MATCH(_xlpm.n,Кс75_n,1),INDEX(Кс75_k,_xlpm.m)+(_xlpm.n-INDEX(Кс75_n,_xlpm.m))*(INDEX(Кс75_k,_xlpm.m+1)-INDEX(Кс75_k,_xlpm.m))/(INDEX(Кс75_n,_xlpm.m+1)-INDEX(Кс75_n,_xlpm.m))))))</f>
        <v>1</v>
      </c>
      <c r="AZ25">
        <f>IF(Методика="нормы 2026",IF(AND(Щиты[[#This Row],[Руст быт, кВт]]&gt;0,Щиты[[#This Row],[Рр сил, кВт]]&gt;0),Ко_сил,1),Ко_сил)</f>
        <v>0.9</v>
      </c>
      <c r="BA25">
        <f>IF(Щиты[[#This Row],[Руст, кВт]]=0,0,Щиты[[#This Row],[Рр, кВт]]/Щиты[[#This Row],[Руст, кВт]])</f>
        <v>1</v>
      </c>
      <c r="BB25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Row],[Щит]],Линии[Фаза],"L1",Линии[Группа Кс (итог)],"&lt;&gt;Нет")</f>
        <v>0.4</v>
      </c>
      <c r="BC25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Row],[Щит]],Линии[Фаза],"L2",Линии[Группа Кс (итог)],"&lt;&gt;Нет")</f>
        <v>0.8</v>
      </c>
      <c r="BD25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Row],[Щит]],Линии[Фаза],"L3",Линии[Группа Кс (итог)],"&lt;&gt;Нет")</f>
        <v>0.4</v>
      </c>
      <c r="BE25" cm="1">
        <f t="array" ref="BE25">IF(Щиты[[#This Row],[_строка фидера]]="","",INDEX(Линии[ΔU, %],Щиты[[#This Row],[_строка фидера]]))</f>
        <v>0.41000000000000003</v>
      </c>
      <c r="BF25">
        <f>IF(OR(N(Щиты[[#This Row],[Питающий кабель: S, мм²]])=0,N(Щиты[[#This Row],[Длина, м]])=0),0,(IF(Щиты[[#This Row],[Материал]]="алюминий",0.036,0.0225)*N(Щиты[[#This Row],[Длина, м]])/(N(Щиты[[#This Row],[Питающий кабель: S, мм²]])*MAX(1,N(Щиты[[#This Row],[Кабелей параллельно]])))*Щиты[[#This Row],[cos φ]]+0.00008*N(Щиты[[#This Row],[Длина, м]])/MAX(1,N(Щиты[[#This Row],[Кабелей параллельно]]))*SIN(ACOS(Щиты[[#This Row],[cos φ]])))*Щиты[[#This Row],[Iр, А]]/(Uн_лин*1000/SQRT(3))*100)</f>
        <v>0</v>
      </c>
      <c r="BG25">
        <f>IF(Щиты[[#This Row],[Питается от (итог)]]&lt;&gt;"",0,IF(LEFT(UPPER(TRIM(Щиты[[#This Row],[Питание: от (ТП / сеть)]])),2)="ТП",0,N(Щиты[[#This Row],[ΔU до питающего, %]])+Щиты[[#This Row],[_ΔU пит. линии]]))</f>
        <v>0</v>
      </c>
      <c r="BH25">
        <f>IF(N(Щиты[[#This Row],[Питающий кабель: S, мм²]])&gt;0,2*IF(Щиты[[#This Row],[Материал]]="алюминий",ρкз_Al,ρкз_Cu)*N(Щиты[[#This Row],[Длина, м]])/(N(Щиты[[#This Row],[Питающий кабель: S, мм²]])*MAX(1,N(Щиты[[#This Row],[Кабелей параллельно]]))),0)</f>
        <v>0</v>
      </c>
      <c r="BI25" t="str">
        <f>IF(Щиты[[#This Row],[Питается от (итог)]]&lt;&gt;"","",IF(N(Щиты[[#This Row],[Iкз min от сети, А]])&gt;0,c_min*(Uн_лин*1000/SQRT(3))/Щиты[[#This Row],[Iкз min от сети, А]],IF(AND(LEFT(UPPER(TRIM(Щиты[[#This Row],[Питание: от (ТП / сеть)]])),2)="ТП",N(Щиты[[#This Row],[Sтр, кВА]])&gt;0),0.055*Uн_лин^2/(Щиты[[#This Row],[Sтр, кВА]]/1000)*IF(Щиты[[#This Row],[Схема тр-ра]]="Y/Yн",3,1),"")))</f>
        <v/>
      </c>
      <c r="BJ25" t="str">
        <f>IF(Щиты[[#This Row],[_Zсети]]="","",Щиты[[#This Row],[_Zсети]]+Щиты[[#This Row],[_петля пит. кабеля]])</f>
        <v/>
      </c>
      <c r="BK25" cm="1">
        <f t="array" ref="BK25">IF(Щиты[[#This Row],[_строка фидера]]="","",INDEX(Линии[_Zкабеля],Щиты[[#This Row],[_строка фидера]]))</f>
        <v>0.31559999999999999</v>
      </c>
      <c r="BL25" t="str" cm="1">
        <f t="array" ref="BL25">IF(_xlfn.XLOOKUP(Щиты[[#This Row],[Корень]],Щиты[Щит],Щиты[_Zисточника],"")="","",SUMPRODUCT(--ISNUMBER(SEARCH("|"&amp;Щиты[Щит]&amp;"|",Щиты[[#This Row],[Путь]])),IFERROR(--Щиты[_Zисточника],0)+IFERROR(--Щиты[_Zфидера],0))+SUMPRODUCT(--ISNUMBER(SEARCH("|"&amp;Щиты[Щит]&amp;"|",Щиты[[#This Row],[Путь]])))*R_пер)</f>
        <v/>
      </c>
      <c r="BM25" t="str">
        <f>IF(Щиты[[#This Row],[Питается от (итог)]]&lt;&gt;"","",IF(N(Щиты[[#This Row],[Iкз max от сети, кА]])&gt;0,1.05*(Uн_лин*1000/SQRT(3))/(Щиты[[#This Row],[Iкз max от сети, кА]]*1000),IF(AND(LEFT(UPPER(TRIM(Щиты[[#This Row],[Питание: от (ТП / сеть)]])),2)="ТП",N(Щиты[[#This Row],[Sтр, кВА]])&gt;0),0.055*Uн_лин^2/(Щиты[[#This Row],[Sтр, кВА]]/1000),"")))</f>
        <v/>
      </c>
      <c r="BN25" t="str">
        <f>IF(Щиты[[#This Row],[_Zmax сети]]="","",Щиты[[#This Row],[_Zmax сети]]+IF(N(Щиты[[#This Row],[Питающий кабель: S, мм²]])&gt;0,IF(Щиты[[#This Row],[Материал]]="алюминий",0.028,0.0175)*N(Щиты[[#This Row],[Длина, м]])/(N(Щиты[[#This Row],[Питающий кабель: S, мм²]])*MAX(1,N(Щиты[[#This Row],[Кабелей параллельно]]))),0))</f>
        <v/>
      </c>
      <c r="BO25" cm="1">
        <f t="array" ref="BO25">IF(Щиты[[#This Row],[_строка фидера]]="","",INDEX(Линии[_Zmax кабеля],Щиты[[#This Row],[_строка фидера]]))</f>
        <v>0.10500000000000001</v>
      </c>
      <c r="BP25" t="str" cm="1">
        <f t="array" ref="BP25">IF(_xlfn.XLOOKUP(Щиты[[#This Row],[Корень]],Щиты[Щит],Щиты[_Zmax источника],"")="","",SUMPRODUCT(--ISNUMBER(SEARCH("|"&amp;Щиты[Щит]&amp;"|",Щиты[[#This Row],[Путь]])),IFERROR(--Щиты[_Zmax источника],0)+IFERROR(--Щиты[_Zmax фидера],0)))</f>
        <v/>
      </c>
      <c r="BQ25">
        <f>_xlfn.MAXIFS(Линии[_ранг для фидера],Линии[Щит],Щиты[[#This Row],[Щит]])</f>
        <v>3</v>
      </c>
      <c r="BR25" t="str" cm="1">
        <f t="array" ref="BR25">IFERROR(INDEX({"III","II","I","I особая"},MAX(1,_xlfn.MAXIFS(Щиты[_ранг собств],Щиты[Путь],"*|"&amp;Щиты[[#This Row],[Щит]]&amp;"|*"))),"III")</f>
        <v>I</v>
      </c>
      <c r="BS25" t="str" cm="1">
        <f t="array" ref="BS25">IF(Щиты[[#This Row],[_строка фидера]]="","",INDEX(Линии[Категория (итог)],Щиты[[#This Row],[_строка фидера]]))</f>
        <v>I</v>
      </c>
      <c r="BT25">
        <f>_xlfn.MAXIFS(Линии[Iпуск, А],Линии[Щит],Щиты[[#This Row],[Щит]])</f>
        <v>0</v>
      </c>
      <c r="BU25" t="str" cm="1">
        <f t="array" ref="BU25">IF(Щиты[[#This Row],[_строка фидера]]="","",INDEX(Линии[Источник для режимов],Щиты[[#This Row],[_строка фидера]]))</f>
        <v>Ввод 1</v>
      </c>
      <c r="BV25" t="str" cm="1">
        <f t="array" ref="BV25">IF(Щиты[[#This Row],[_строка фидера]]="","",INDEX(Линии[Пожарная (итог)],Щиты[[#This Row],[_строка фидера]]))</f>
        <v>да</v>
      </c>
      <c r="BW25">
        <f>COUNTIFS(Линии[Щит],Щиты[[#This Row],[Щит]],Линии[Категория: проверка],"НЕ ОБЕСПЕЧЕНА")</f>
        <v>0</v>
      </c>
    </row>
    <row r="26" spans="1:75" x14ac:dyDescent="0.3">
      <c r="A26" t="s">
        <v>774</v>
      </c>
      <c r="C26">
        <v>1</v>
      </c>
      <c r="D26" t="s">
        <v>488</v>
      </c>
      <c r="E26" t="s">
        <v>845</v>
      </c>
      <c r="F26">
        <v>10</v>
      </c>
      <c r="U26" t="str" cm="1">
        <f t="array" ref="U26">IF(Щиты[[#This Row],[Питается от]]&lt;&gt;"",Щиты[[#This Row],[Питается от]],IFERROR(INDEX(Линии[Щит],Щиты[[#This Row],[_строка фидера]]),""))</f>
        <v>ГРЩ-ЖД</v>
      </c>
      <c r="V26" t="str">
        <f>_xlfn.TEXTJOIN("; ",TRUE,IF(AND(Щиты[[#This Row],[Питается от (итог)]]="",Щиты[[#This Row],[Zпетли на шинах, Ом]]=""),"нет данных сети для ТКЗ: введите Iкз от сетевой организации или трансформатор",""),IF(AND(Щиты[[#This Row],[Категория фидера]]&lt;&gt;"",IFERROR(MATCH(Щиты[[#This Row],[Категория фидера]],{"III","II","I","I особая"},0),1)&lt;IFERROR(MATCH(Щиты[[#This Row],[Высшая категория нагрузки]],{"III","II","I","I особая"},0),1)),"фидер "&amp;Щиты[[#This Row],[Категория фидера]]&amp;" ниже нагрузки "&amp;Щиты[[#This Row],[Высшая категория нагрузки]],""),IF(Щиты[[#This Row],[Не обеспечено, линий]]&gt;0,"не обеспечена категория у "&amp;Щиты[[#This Row],[Не обеспечено, линий]]&amp;" линий",""),IF(AND(Щиты[[#This Row],[Питается от]]&lt;&gt;"",Щиты[[#This Row],[_строка фидера]]=""),"нет линии-фидера в «Линиях»: номер линии = имя щита или столбец «Питает щит»",""),IF(AND(ISNUMBER(Щиты[[#This Row],[ΔU до шин, %]]),Щиты[[#This Row],[ΔU до шин, %]]&gt;4),"ΔU до шин "&amp;FIXED(Щиты[[#This Row],[ΔU до шин, %]],2)&amp;" % &gt; 4 %",""))</f>
        <v/>
      </c>
      <c r="W26" t="str" cm="1">
        <f t="array" ref="W26">IF(Щиты[[#This Row],[_строка фидера]]="","",INDEX(Линии[Номер линии],Щиты[[#This Row],[_строка фидера]]))</f>
        <v>ЩУОВ</v>
      </c>
      <c r="X26">
        <f>SUMIFS(Щиты[_Руст собств],Щиты[Путь],"*|"&amp;Щиты[[#This Row],[Щит]]&amp;"|*")</f>
        <v>16.439999999999998</v>
      </c>
      <c r="Y26">
        <f>k_пк*Щиты[[#This Row],[Руст быт, кВт]]*Щиты[[#This Row],[Кс быт]]+Щиты[[#This Row],[Ко]]*Щиты[[#This Row],[Рр сил, кВт]]+Щиты[[#This Row],[Руст пост, кВт]]+Щиты[[#This Row],[Р отопления, кВт]]+Щиты[[#This Row],[Рр ВНГ, кВт]]</f>
        <v>16.439999999999998</v>
      </c>
      <c r="Z26">
        <f>IFERROR(MAX(MAX(Щиты[[#This Row],[P L1, кВт]],Щиты[[#This Row],[P L2, кВт]],Щиты[[#This Row],[P L3, кВт]])*Щиты[[#This Row],[Кс итог]]/((Uн_лин*1000/SQRT(3))/1000*Щиты[[#This Row],[cos φ]]),Щиты[[#This Row],[Рр, кВт]]/(SQRT(3)*Uн_лин*Щиты[[#This Row],[cos φ]])),0)</f>
        <v>39.654847436445337</v>
      </c>
      <c r="AA26">
        <f>IFERROR(SUMIFS(Щиты[_Pcos собств],Щиты[Путь],"*|"&amp;Щиты[[#This Row],[Щит]]&amp;"|*")/SUMIFS(Щиты[_P собств],Щиты[Путь],"*|"&amp;Щиты[[#This Row],[Щит]]&amp;"|*"),0.95)</f>
        <v>0.95000000000000007</v>
      </c>
      <c r="AB26" cm="1">
        <f t="array" ref="AB26">SUMPRODUCT(--ISNUMBER(SEARCH("|"&amp;Щиты[Щит]&amp;"|",Щиты[[#This Row],[Путь]])),IFERROR(--Щиты[_ΔU фидера],0)+IFERROR(--Щиты[_ΔU источника],0))</f>
        <v>3.21</v>
      </c>
      <c r="AC26" t="str">
        <f>IF(ISNUMBER(Щиты[[#This Row],[Zпетли на шинах, Ом]]),c_min*(Uн_лин*1000/SQRT(3))/Щиты[[#This Row],[Zпетли на шинах, Ом]],"")</f>
        <v/>
      </c>
      <c r="AD26" t="str">
        <f>IF(ISNUMBER(Щиты[[#This Row],[Zmax на шинах, Ом]]),1.05*(Uн_лин*1000/SQRT(3))/Щиты[[#This Row],[Zmax на шинах, Ом]]/1000,"")</f>
        <v/>
      </c>
      <c r="AE26" t="str" cm="1">
        <f t="array" ref="AE26">_xlfn.LET(_xlpm.w,_xlfn.TEXTSPLIT(Щиты[[#This Row],[Путь]],"|"),_xlpm.names,_xlfn._xlws.FILTER(_xlpm.w,_xlpm.w&lt;&gt;""),_xlfn.REDUCE("",_xlpm.names,_xlfn.LAMBDA(_xlpm.acc,_xlpm.nm,_xlfn.LET(_xlpm.inp,N(_xlfn.XLOOKUP(_xlpm.nm,Щиты[Щит],Щиты[Вводов],1)),_xlpm.avr,LOWER(TRIM(_xlfn.XLOOKUP(_xlpm.nm,Щиты[Щит],Щиты[АВР],"нет")&amp;"")),_xlpm.own,IF(_xlpm.inp&gt;=2,IF(_xlpm.avr="да","I","II"),"III"),_xlpm.fr,_xlfn.XLOOKUP(_xlpm.nm,Щиты[Щит],Щиты[_строка фидера],""),_xlpm.bt,IF(_xlpm.fr="","",INDEX(Линии[Тип шины],_xlpm.fr)&amp;""),_xlpm.man,TRIM(_xlfn.XLOOKUP(_xlpm.nm,Щиты[Щит],Щиты[Кат. питающей линии (ручн.)],"")&amp;""),_xlpm.up,IF(_xlpm.acc="",_xlpm.man,IF(OR(_xlpm.bt="ИБП",_xlpm.bt="ДГУ"),"I особая",IF(_xlpm.bt="Одиночная","III",_xlpm.acc))),IF(_xlpm.own&lt;&gt;"III",_xlpm.own,IF(OR(_xlpm.up="I особая",_xlpm.up="I",_xlpm.up="II"),"II","III"))))))</f>
        <v>II</v>
      </c>
      <c r="AF26" t="str" cm="1">
        <f t="array" ref="AF26">_xlfn.LET(_xlpm.f,_xlfn.LAMBDA(_xlpm.x,IF(_xlpm.x="","",_xlfn.XLOOKUP(_xlpm.x,Щиты[Щит],Щиты[Питается от (итог)],"")&amp;"")),_xlpm.п0,Щиты[[#This Row],[Щит]],_xlpm.п1,_xlpm.f(_xlpm.п0),_xlpm.п2,_xlpm.f(_xlpm.п1),_xlpm.п3,_xlpm.f(_xlpm.п2),_xlpm.п4,_xlpm.f(_xlpm.п3),_xlpm.п5,_xlpm.f(_xlpm.п4),_xlpm.п6,_xlpm.f(_xlpm.п5),_xlpm.п7,_xlpm.f(_xlpm.п6),"|"&amp;_xlfn.TEXTJOIN("|",TRUE,_xlpm.п7,_xlpm.п6,_xlpm.п5,_xlpm.п4,_xlpm.п3,_xlpm.п2,_xlpm.п1,_xlpm.п0)&amp;"|")</f>
        <v>|ГРЩ-ЖД|ЩУОВ|</v>
      </c>
      <c r="AG26" t="str">
        <f>_xlfn.TEXTBEFORE(MID(Щиты[[#This Row],[Путь]],2,999),"|")</f>
        <v>ГРЩ-ЖД</v>
      </c>
      <c r="AH26">
        <f>LEN(Щиты[[#This Row],[Путь]])-LEN(SUBSTITUTE(Щиты[[#This Row],[Путь]],"|",""))-2</f>
        <v>1</v>
      </c>
      <c r="AI26">
        <f>IFERROR(_xlfn.XMATCH(Щиты[[#This Row],[Щит]],Линии[_фидер]),"")</f>
        <v>18</v>
      </c>
      <c r="AJ26">
        <f>SUMIFS(Линии[_Руст (без Нет)],Линии[Щит],Щиты[[#This Row],[Щит]])</f>
        <v>16.439999999999998</v>
      </c>
      <c r="AK26">
        <f>SUMIFS(Линии[_Руст быт],Линии[Щит],Щиты[[#This Row],[Щит]])</f>
        <v>0</v>
      </c>
      <c r="AL26">
        <f>SUMIFS(Линии[_Рр сил],Линии[Щит],Щиты[[#This Row],[Щит]])</f>
        <v>0</v>
      </c>
      <c r="AM26">
        <f>SUMIFS(Линии[_Руст пост],Линии[Щит],Щиты[[#This Row],[Щит]])</f>
        <v>16.439999999999998</v>
      </c>
      <c r="AN26">
        <f>SUMIFS(Линии[_P для cos],Линии[Щит],Щиты[[#This Row],[Щит]])</f>
        <v>16.439999999999998</v>
      </c>
      <c r="AO26">
        <f>SUMIFS(Линии[_P·cos],Линии[Щит],Щиты[[#This Row],[Щит]])</f>
        <v>15.617999999999999</v>
      </c>
      <c r="AP26">
        <f>SUMIFS(Линии[_Р отопления],Линии[Щит],Щиты[[#This Row],[Щит]])</f>
        <v>0</v>
      </c>
      <c r="AQ26">
        <f>SUMIFS(Линии[_Рр ВНГ],Линии[Щит],Щиты[[#This Row],[Щит]])</f>
        <v>0</v>
      </c>
      <c r="AR26">
        <f>SUMIFS(Щиты[_быт собств],Щиты[Путь],"*|"&amp;Щиты[[#This Row],[Щит]]&amp;"|*")</f>
        <v>0</v>
      </c>
      <c r="AS26" cm="1">
        <f t="array" ref="AS26">_xlfn.LET(_xlpm.x,Щиты[[#This Row],[Руст быт, кВт]],_xlpm.m,MATCH(_xlpm.x,Кс_Р,1),IF(_xlpm.x&gt;=INDEX(Кс_Р,ROWS(Кс_Р)),INDEX(Кс_К,ROWS(Кс_К)),INDEX(Кс_К,_xlpm.m)+(_xlpm.x-INDEX(Кс_Р,_xlpm.m))*(INDEX(Кс_К,_xlpm.m+1)-INDEX(Кс_К,_xlpm.m))/(INDEX(Кс_Р,_xlpm.m+1)-INDEX(Кс_Р,_xlpm.m))))</f>
        <v>0.8</v>
      </c>
      <c r="AT26">
        <f>SUMIFS(Щиты[_сил собств],Щиты[Путь],"*|"&amp;Щиты[[#This Row],[Щит]]&amp;"|*")</f>
        <v>0</v>
      </c>
      <c r="AU26">
        <f>SUMIFS(Щиты[_пост собств],Щиты[Путь],"*|"&amp;Щиты[[#This Row],[Щит]]&amp;"|*")</f>
        <v>16.439999999999998</v>
      </c>
      <c r="AV26">
        <f>SUMIFS(Щиты[_отоп собств],Щиты[Путь],"*|"&amp;Щиты[[#This Row],[Щит]]&amp;"|*")</f>
        <v>0</v>
      </c>
      <c r="AW26">
        <f>SUMIFS(Щиты[_внг собств],Щиты[Путь],"*|"&amp;Щиты[[#This Row],[Щит]]&amp;"|*")</f>
        <v>0</v>
      </c>
      <c r="AX26">
        <f>COUNTIFS(Линии[Щит],Щиты[[#This Row],[Щит]],Линии[Группа Кс (итог)],"Сил")</f>
        <v>0</v>
      </c>
      <c r="AY26" cm="1">
        <f t="array" ref="AY26">_xlfn.LET(_xlpm.n,Щиты[[#This Row],[_n силовых]],IF(_xlpm.n&lt;=1,1,IF(_xlpm.n&gt;=MAX(Кс75_n),INDEX(Кс75_k,ROWS(Кс75_k)),_xlfn.LET(_xlpm.m,MATCH(_xlpm.n,Кс75_n,1),INDEX(Кс75_k,_xlpm.m)+(_xlpm.n-INDEX(Кс75_n,_xlpm.m))*(INDEX(Кс75_k,_xlpm.m+1)-INDEX(Кс75_k,_xlpm.m))/(INDEX(Кс75_n,_xlpm.m+1)-INDEX(Кс75_n,_xlpm.m))))))</f>
        <v>1</v>
      </c>
      <c r="AZ26">
        <f>IF(Методика="нормы 2026",IF(AND(Щиты[[#This Row],[Руст быт, кВт]]&gt;0,Щиты[[#This Row],[Рр сил, кВт]]&gt;0),Ко_сил,1),Ко_сил)</f>
        <v>0.9</v>
      </c>
      <c r="BA26">
        <f>IF(Щиты[[#This Row],[Руст, кВт]]=0,0,Щиты[[#This Row],[Рр, кВт]]/Щиты[[#This Row],[Руст, кВт]])</f>
        <v>1</v>
      </c>
      <c r="BB2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Row],[Щит]],Линии[Фаза],"L1",Линии[Группа Кс (итог)],"&lt;&gt;Нет")</f>
        <v>8.6999999999999993</v>
      </c>
      <c r="BC2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Row],[Щит]],Линии[Фаза],"L2",Линии[Группа Кс (итог)],"&lt;&gt;Нет")</f>
        <v>3.12</v>
      </c>
      <c r="BD2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Row],[Щит]],Линии[Фаза],"L3",Линии[Группа Кс (итог)],"&lt;&gt;Нет")</f>
        <v>4.62</v>
      </c>
      <c r="BE26" cm="1">
        <f t="array" ref="BE26">IF(Щиты[[#This Row],[_строка фидера]]="","",INDEX(Линии[ΔU, %],Щиты[[#This Row],[_строка фидера]]))</f>
        <v>3.21</v>
      </c>
      <c r="BF26">
        <f>IF(OR(N(Щиты[[#This Row],[Питающий кабель: S, мм²]])=0,N(Щиты[[#This Row],[Длина, м]])=0),0,(IF(Щиты[[#This Row],[Материал]]="алюминий",0.036,0.0225)*N(Щиты[[#This Row],[Длина, м]])/(N(Щиты[[#This Row],[Питающий кабель: S, мм²]])*MAX(1,N(Щиты[[#This Row],[Кабелей параллельно]])))*Щиты[[#This Row],[cos φ]]+0.00008*N(Щиты[[#This Row],[Длина, м]])/MAX(1,N(Щиты[[#This Row],[Кабелей параллельно]]))*SIN(ACOS(Щиты[[#This Row],[cos φ]])))*Щиты[[#This Row],[Iр, А]]/(Uн_лин*1000/SQRT(3))*100)</f>
        <v>0</v>
      </c>
      <c r="BG26">
        <f>IF(Щиты[[#This Row],[Питается от (итог)]]&lt;&gt;"",0,IF(LEFT(UPPER(TRIM(Щиты[[#This Row],[Питание: от (ТП / сеть)]])),2)="ТП",0,N(Щиты[[#This Row],[ΔU до питающего, %]])+Щиты[[#This Row],[_ΔU пит. линии]]))</f>
        <v>0</v>
      </c>
      <c r="BH26">
        <f>IF(N(Щиты[[#This Row],[Питающий кабель: S, мм²]])&gt;0,2*IF(Щиты[[#This Row],[Материал]]="алюминий",ρкз_Al,ρкз_Cu)*N(Щиты[[#This Row],[Длина, м]])/(N(Щиты[[#This Row],[Питающий кабель: S, мм²]])*MAX(1,N(Щиты[[#This Row],[Кабелей параллельно]]))),0)</f>
        <v>0</v>
      </c>
      <c r="BI26" t="str">
        <f>IF(Щиты[[#This Row],[Питается от (итог)]]&lt;&gt;"","",IF(N(Щиты[[#This Row],[Iкз min от сети, А]])&gt;0,c_min*(Uн_лин*1000/SQRT(3))/Щиты[[#This Row],[Iкз min от сети, А]],IF(AND(LEFT(UPPER(TRIM(Щиты[[#This Row],[Питание: от (ТП / сеть)]])),2)="ТП",N(Щиты[[#This Row],[Sтр, кВА]])&gt;0),0.055*Uн_лин^2/(Щиты[[#This Row],[Sтр, кВА]]/1000)*IF(Щиты[[#This Row],[Схема тр-ра]]="Y/Yн",3,1),"")))</f>
        <v/>
      </c>
      <c r="BJ26" t="str">
        <f>IF(Щиты[[#This Row],[_Zсети]]="","",Щиты[[#This Row],[_Zсети]]+Щиты[[#This Row],[_петля пит. кабеля]])</f>
        <v/>
      </c>
      <c r="BK26" cm="1">
        <f t="array" ref="BK26">IF(Щиты[[#This Row],[_строка фидера]]="","",INDEX(Линии[_Zкабеля],Щиты[[#This Row],[_строка фидера]]))</f>
        <v>0.45586666666666664</v>
      </c>
      <c r="BL26" t="str" cm="1">
        <f t="array" ref="BL26">IF(_xlfn.XLOOKUP(Щиты[[#This Row],[Корень]],Щиты[Щит],Щиты[_Zисточника],"")="","",SUMPRODUCT(--ISNUMBER(SEARCH("|"&amp;Щиты[Щит]&amp;"|",Щиты[[#This Row],[Путь]])),IFERROR(--Щиты[_Zисточника],0)+IFERROR(--Щиты[_Zфидера],0))+SUMPRODUCT(--ISNUMBER(SEARCH("|"&amp;Щиты[Щит]&amp;"|",Щиты[[#This Row],[Путь]])))*R_пер)</f>
        <v/>
      </c>
      <c r="BM26" t="str">
        <f>IF(Щиты[[#This Row],[Питается от (итог)]]&lt;&gt;"","",IF(N(Щиты[[#This Row],[Iкз max от сети, кА]])&gt;0,1.05*(Uн_лин*1000/SQRT(3))/(Щиты[[#This Row],[Iкз max от сети, кА]]*1000),IF(AND(LEFT(UPPER(TRIM(Щиты[[#This Row],[Питание: от (ТП / сеть)]])),2)="ТП",N(Щиты[[#This Row],[Sтр, кВА]])&gt;0),0.055*Uн_лин^2/(Щиты[[#This Row],[Sтр, кВА]]/1000),"")))</f>
        <v/>
      </c>
      <c r="BN26" t="str">
        <f>IF(Щиты[[#This Row],[_Zmax сети]]="","",Щиты[[#This Row],[_Zmax сети]]+IF(N(Щиты[[#This Row],[Питающий кабель: S, мм²]])&gt;0,IF(Щиты[[#This Row],[Материал]]="алюминий",0.028,0.0175)*N(Щиты[[#This Row],[Длина, м]])/(N(Щиты[[#This Row],[Питающий кабель: S, мм²]])*MAX(1,N(Щиты[[#This Row],[Кабелей параллельно]]))),0))</f>
        <v/>
      </c>
      <c r="BO26" cm="1">
        <f t="array" ref="BO26">IF(Щиты[[#This Row],[_строка фидера]]="","",INDEX(Линии[_Zmax кабеля],Щиты[[#This Row],[_строка фидера]]))</f>
        <v>0.1516666666666667</v>
      </c>
      <c r="BP26" t="str" cm="1">
        <f t="array" ref="BP26">IF(_xlfn.XLOOKUP(Щиты[[#This Row],[Корень]],Щиты[Щит],Щиты[_Zmax источника],"")="","",SUMPRODUCT(--ISNUMBER(SEARCH("|"&amp;Щиты[Щит]&amp;"|",Щиты[[#This Row],[Путь]])),IFERROR(--Щиты[_Zmax источника],0)+IFERROR(--Щиты[_Zmax фидера],0)))</f>
        <v/>
      </c>
      <c r="BQ26">
        <f>_xlfn.MAXIFS(Линии[_ранг для фидера],Линии[Щит],Щиты[[#This Row],[Щит]])</f>
        <v>2</v>
      </c>
      <c r="BR26" t="str" cm="1">
        <f t="array" ref="BR26">IFERROR(INDEX({"III","II","I","I особая"},MAX(1,_xlfn.MAXIFS(Щиты[_ранг собств],Щиты[Путь],"*|"&amp;Щиты[[#This Row],[Щит]]&amp;"|*"))),"III")</f>
        <v>II</v>
      </c>
      <c r="BS26" t="str" cm="1">
        <f t="array" ref="BS26">IF(Щиты[[#This Row],[_строка фидера]]="","",INDEX(Линии[Категория (итог)],Щиты[[#This Row],[_строка фидера]]))</f>
        <v>II</v>
      </c>
      <c r="BT26">
        <f>_xlfn.MAXIFS(Линии[Iпуск, А],Линии[Щит],Щиты[[#This Row],[Щит]])</f>
        <v>0</v>
      </c>
      <c r="BU26" t="str" cm="1">
        <f t="array" ref="BU26">IF(Щиты[[#This Row],[_строка фидера]]="","",INDEX(Линии[Источник для режимов],Щиты[[#This Row],[_строка фидера]]))</f>
        <v>Ввод 1</v>
      </c>
      <c r="BV26" t="str" cm="1">
        <f t="array" ref="BV26">IF(Щиты[[#This Row],[_строка фидера]]="","",INDEX(Линии[Пожарная (итог)],Щиты[[#This Row],[_строка фидера]]))</f>
        <v>нет</v>
      </c>
      <c r="BW26">
        <f>COUNTIFS(Линии[Щит],Щиты[[#This Row],[Щит]],Линии[Категория: проверка],"НЕ ОБЕСПЕЧЕНА")</f>
        <v>0</v>
      </c>
    </row>
  </sheetData>
  <mergeCells count="5">
    <mergeCell ref="B2:M2"/>
    <mergeCell ref="B3:M3"/>
    <mergeCell ref="B4:M4"/>
    <mergeCell ref="B5:M5"/>
    <mergeCell ref="B6:M6"/>
  </mergeCells>
  <pageMargins left="0.7" right="0.7" top="0.75" bottom="0.75" header="0.3" footer="0.3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86BEB-BFBA-40DF-A946-984EDC468BE6}">
  <sheetPr>
    <tabColor rgb="FFED7D31"/>
  </sheetPr>
  <dimension ref="B1:S300"/>
  <sheetViews>
    <sheetView workbookViewId="0"/>
  </sheetViews>
  <sheetFormatPr defaultRowHeight="14.4" x14ac:dyDescent="0.3"/>
  <cols>
    <col min="2" max="2" width="34.77734375" customWidth="1"/>
    <col min="3" max="3" width="22.77734375" customWidth="1"/>
    <col min="4" max="4" width="6.77734375" customWidth="1"/>
    <col min="6" max="19" width="11.77734375" customWidth="1"/>
  </cols>
  <sheetData>
    <row r="1" spans="2:19" ht="18" x14ac:dyDescent="0.35">
      <c r="B1" s="113" t="s">
        <v>1751</v>
      </c>
    </row>
    <row r="3" spans="2:19" ht="28.8" x14ac:dyDescent="0.3">
      <c r="B3" t="s">
        <v>1705</v>
      </c>
      <c r="C3" s="114" t="s">
        <v>788</v>
      </c>
      <c r="F3" s="119" t="s">
        <v>4</v>
      </c>
      <c r="G3" s="119" t="s">
        <v>1084</v>
      </c>
      <c r="H3" s="119" t="s">
        <v>811</v>
      </c>
      <c r="I3" s="119" t="s">
        <v>1124</v>
      </c>
      <c r="J3" s="119" t="s">
        <v>856</v>
      </c>
      <c r="K3" s="119" t="s">
        <v>807</v>
      </c>
      <c r="L3" s="119" t="s">
        <v>813</v>
      </c>
      <c r="M3" s="119" t="s">
        <v>1125</v>
      </c>
      <c r="N3" s="119" t="s">
        <v>1126</v>
      </c>
      <c r="O3" s="119" t="s">
        <v>1127</v>
      </c>
      <c r="P3" s="119" t="s">
        <v>1103</v>
      </c>
      <c r="Q3" s="119" t="s">
        <v>1768</v>
      </c>
      <c r="R3" s="119" t="s">
        <v>1769</v>
      </c>
      <c r="S3" s="119" t="s">
        <v>821</v>
      </c>
    </row>
    <row r="4" spans="2:19" x14ac:dyDescent="0.3">
      <c r="B4" s="128" t="s">
        <v>1084</v>
      </c>
      <c r="C4" s="129" t="str">
        <f>_xlfn.XLOOKUP($C$3,Щиты[Щит],Щиты[Питается от (итог)],"")</f>
        <v/>
      </c>
      <c r="D4" s="128"/>
      <c r="F4" t="str" cm="1">
        <f t="array" ref="F4:S20">_xlfn.HSTACK(Щиты[Щит],Щиты[Питается от (итог)],Щиты[Руст, кВт],Щиты[Кс итог],Щиты[Рр, кВт],Щиты[cos φ],Щиты[Iр, А],Щиты[P L1, кВт],Щиты[P L2, кВт],Щиты[P L3, кВт],Щиты[ΔU до шин, %],Щиты[Iкз min на шинах, А],Щиты[Iкз max на шинах, кА],Щиты[Категория шины «Ввод»])</f>
        <v>ГРЩ-ЖД</v>
      </c>
      <c r="G4" t="str">
        <v/>
      </c>
      <c r="H4" s="6">
        <v>526.28100000000018</v>
      </c>
      <c r="I4" s="6">
        <v>0.52529323916310866</v>
      </c>
      <c r="J4" s="6">
        <v>276.45185120000008</v>
      </c>
      <c r="K4" s="6">
        <v>0.94999999999999951</v>
      </c>
      <c r="L4" s="6">
        <v>426.95264585217961</v>
      </c>
      <c r="M4" s="6">
        <v>178.32033333333334</v>
      </c>
      <c r="N4" s="6">
        <v>176.58033333333333</v>
      </c>
      <c r="O4" s="6">
        <v>171.38033333333334</v>
      </c>
      <c r="P4" s="6">
        <v>0</v>
      </c>
      <c r="Q4" s="6" t="str">
        <v/>
      </c>
      <c r="R4" s="6" t="str">
        <v/>
      </c>
      <c r="S4" t="str">
        <v>I</v>
      </c>
    </row>
    <row r="5" spans="2:19" x14ac:dyDescent="0.3">
      <c r="B5" s="128" t="s">
        <v>822</v>
      </c>
      <c r="C5" s="129">
        <f>_xlfn.XLOOKUP($C$3,Щиты[Щит],Щиты[Руст, кВт],"")</f>
        <v>526.28100000000018</v>
      </c>
      <c r="D5" s="128" t="s">
        <v>18</v>
      </c>
      <c r="F5" t="str">
        <v>ЩГП</v>
      </c>
      <c r="G5" t="str">
        <v>ГРЩ-ЖД</v>
      </c>
      <c r="H5" s="6">
        <v>1.9000000000000006</v>
      </c>
      <c r="I5" s="6">
        <v>0.8</v>
      </c>
      <c r="J5" s="6">
        <v>1.5200000000000005</v>
      </c>
      <c r="K5" s="6">
        <v>0.94999999999999951</v>
      </c>
      <c r="L5" s="6">
        <v>2.3094010767585051</v>
      </c>
      <c r="M5" s="6">
        <v>0.63333333333333353</v>
      </c>
      <c r="N5" s="6">
        <v>0.63333333333333353</v>
      </c>
      <c r="O5" s="6">
        <v>0.63333333333333353</v>
      </c>
      <c r="P5" s="6">
        <v>0</v>
      </c>
      <c r="Q5" s="6" t="str">
        <v/>
      </c>
      <c r="R5" s="6" t="str">
        <v/>
      </c>
      <c r="S5" t="str">
        <v>II</v>
      </c>
    </row>
    <row r="6" spans="2:19" x14ac:dyDescent="0.3">
      <c r="B6" s="128" t="s">
        <v>1752</v>
      </c>
      <c r="C6" s="129">
        <f>_xlfn.XLOOKUP($C$3,Щиты[Щит],Щиты[Руст быт, кВт],"")</f>
        <v>61.360000000000014</v>
      </c>
      <c r="D6" s="128" t="s">
        <v>18</v>
      </c>
      <c r="F6" t="str">
        <v>ЩО-001</v>
      </c>
      <c r="G6" t="str">
        <v>ЩГП</v>
      </c>
      <c r="H6" s="6">
        <v>1.9000000000000006</v>
      </c>
      <c r="I6" s="6">
        <v>0.8</v>
      </c>
      <c r="J6" s="6">
        <v>1.5200000000000005</v>
      </c>
      <c r="K6" s="6">
        <v>0.94999999999999951</v>
      </c>
      <c r="L6" s="6">
        <v>2.5524959269436094</v>
      </c>
      <c r="M6" s="6">
        <v>0.6</v>
      </c>
      <c r="N6" s="6">
        <v>0.6</v>
      </c>
      <c r="O6" s="6">
        <v>0.7</v>
      </c>
      <c r="P6" s="6">
        <v>0.17</v>
      </c>
      <c r="Q6" s="6" t="str">
        <v/>
      </c>
      <c r="R6" s="6" t="str">
        <v/>
      </c>
      <c r="S6" t="str">
        <v>II</v>
      </c>
    </row>
    <row r="7" spans="2:19" x14ac:dyDescent="0.3">
      <c r="B7" s="128" t="s">
        <v>1753</v>
      </c>
      <c r="C7" s="129">
        <f>_xlfn.XLOOKUP($C$3,Щиты[Щит],Щиты[Кс быт],"")</f>
        <v>0.47591999999999995</v>
      </c>
      <c r="D7" s="128"/>
      <c r="F7" t="str">
        <v>ЩОВ-001</v>
      </c>
      <c r="G7" t="str">
        <v>ГРЩ-ЖД</v>
      </c>
      <c r="H7" s="6">
        <v>211.22</v>
      </c>
      <c r="I7" s="6">
        <v>0.45</v>
      </c>
      <c r="J7" s="6">
        <v>95.049000000000007</v>
      </c>
      <c r="K7" s="6">
        <v>0.94999999999999984</v>
      </c>
      <c r="L7" s="6">
        <v>146.36057225379065</v>
      </c>
      <c r="M7" s="6">
        <v>69.926666666666662</v>
      </c>
      <c r="N7" s="6">
        <v>69.936666666666667</v>
      </c>
      <c r="O7" s="6">
        <v>71.356666666666669</v>
      </c>
      <c r="P7" s="6">
        <v>0.5</v>
      </c>
      <c r="Q7" s="6" t="str">
        <v/>
      </c>
      <c r="R7" s="6" t="str">
        <v/>
      </c>
      <c r="S7" t="str">
        <v>II</v>
      </c>
    </row>
    <row r="8" spans="2:19" x14ac:dyDescent="0.3">
      <c r="B8" s="128" t="s">
        <v>1754</v>
      </c>
      <c r="C8" s="129">
        <f>_xlfn.XLOOKUP($C$3,Щиты[Щит],Щиты[Рр сил, кВт],"")</f>
        <v>230.31600000000003</v>
      </c>
      <c r="D8" s="128" t="s">
        <v>18</v>
      </c>
      <c r="F8" t="str">
        <v>ЩОВ-002</v>
      </c>
      <c r="G8" t="str">
        <v>ГРЩ-ЖД</v>
      </c>
      <c r="H8" s="6">
        <v>6.99</v>
      </c>
      <c r="I8" s="6">
        <v>0.45</v>
      </c>
      <c r="J8" s="6">
        <v>3.1455000000000002</v>
      </c>
      <c r="K8" s="6">
        <v>0.94999999999999962</v>
      </c>
      <c r="L8" s="6">
        <v>6.1533383953104872</v>
      </c>
      <c r="M8" s="6">
        <v>1.8900000000000006</v>
      </c>
      <c r="N8" s="6">
        <v>2.1</v>
      </c>
      <c r="O8" s="6">
        <v>3</v>
      </c>
      <c r="P8" s="6">
        <v>0.66</v>
      </c>
      <c r="Q8" s="6" t="str">
        <v/>
      </c>
      <c r="R8" s="6" t="str">
        <v/>
      </c>
      <c r="S8" t="str">
        <v>II</v>
      </c>
    </row>
    <row r="9" spans="2:19" x14ac:dyDescent="0.3">
      <c r="B9" s="128" t="s">
        <v>1755</v>
      </c>
      <c r="C9" s="129">
        <f>_xlfn.XLOOKUP($C$3,Щиты[Щит],Щиты[Руст пост, кВт],"")</f>
        <v>39.965000000000003</v>
      </c>
      <c r="D9" s="128" t="s">
        <v>18</v>
      </c>
      <c r="F9" t="str">
        <v>ЩОВ-01</v>
      </c>
      <c r="G9" t="str">
        <v>ГРЩ-ЖД</v>
      </c>
      <c r="H9" s="6">
        <v>13.172999999999996</v>
      </c>
      <c r="I9" s="6">
        <v>0.45</v>
      </c>
      <c r="J9" s="6">
        <v>5.9278499999999985</v>
      </c>
      <c r="K9" s="6">
        <v>0.9500000000000004</v>
      </c>
      <c r="L9" s="6">
        <v>9.9731941302660019</v>
      </c>
      <c r="M9" s="6">
        <v>4.1003333333333334</v>
      </c>
      <c r="N9" s="6">
        <v>4.8623333333333338</v>
      </c>
      <c r="O9" s="6">
        <v>4.2103333333333337</v>
      </c>
      <c r="P9" s="6">
        <v>0.24000000000000002</v>
      </c>
      <c r="Q9" s="6" t="str">
        <v/>
      </c>
      <c r="R9" s="6" t="str">
        <v/>
      </c>
      <c r="S9" t="str">
        <v>II</v>
      </c>
    </row>
    <row r="10" spans="2:19" x14ac:dyDescent="0.3">
      <c r="B10" s="128" t="s">
        <v>1756</v>
      </c>
      <c r="C10" s="129">
        <f>_xlfn.XLOOKUP($C$3,Щиты[Щит],Щиты[Р отопления, кВт],"")</f>
        <v>0</v>
      </c>
      <c r="D10" s="128" t="s">
        <v>18</v>
      </c>
      <c r="F10" t="str">
        <v>ЩОВ-2</v>
      </c>
      <c r="G10" t="str">
        <v>ГРЩ-ЖД</v>
      </c>
      <c r="H10" s="6">
        <v>11.093000000000002</v>
      </c>
      <c r="I10" s="6">
        <v>0.45000000000000007</v>
      </c>
      <c r="J10" s="6">
        <v>4.9918500000000012</v>
      </c>
      <c r="K10" s="6">
        <v>0.94999999999999962</v>
      </c>
      <c r="L10" s="6">
        <v>7.7942286340599516</v>
      </c>
      <c r="M10" s="6">
        <v>3.6440000000000001</v>
      </c>
      <c r="N10" s="6">
        <v>3.649</v>
      </c>
      <c r="O10" s="6">
        <v>3.8</v>
      </c>
      <c r="P10" s="6">
        <v>1.02</v>
      </c>
      <c r="Q10" s="6" t="str">
        <v/>
      </c>
      <c r="R10" s="6" t="str">
        <v/>
      </c>
      <c r="S10" t="str">
        <v>II</v>
      </c>
    </row>
    <row r="11" spans="2:19" x14ac:dyDescent="0.3">
      <c r="B11" s="128" t="s">
        <v>1757</v>
      </c>
      <c r="C11" s="129">
        <f>_xlfn.XLOOKUP($C$3,Щиты[Щит],Щиты[Рр ВНГ, кВт],"")</f>
        <v>0</v>
      </c>
      <c r="D11" s="128" t="s">
        <v>18</v>
      </c>
      <c r="F11" t="str">
        <v>ЩР-001</v>
      </c>
      <c r="G11" t="str">
        <v>ГРЩ-ЖД</v>
      </c>
      <c r="H11" s="6">
        <v>11.860000000000001</v>
      </c>
      <c r="I11" s="6">
        <v>0.90286677908937618</v>
      </c>
      <c r="J11" s="6">
        <v>10.708000000000002</v>
      </c>
      <c r="K11" s="6">
        <v>0.94999999999999984</v>
      </c>
      <c r="L11" s="6">
        <v>16.378863980838116</v>
      </c>
      <c r="M11" s="6">
        <v>3.9600000000000004</v>
      </c>
      <c r="N11" s="6">
        <v>3.92</v>
      </c>
      <c r="O11" s="6">
        <v>3.98</v>
      </c>
      <c r="P11" s="6">
        <v>1.57</v>
      </c>
      <c r="Q11" s="6" t="str">
        <v/>
      </c>
      <c r="R11" s="6" t="str">
        <v/>
      </c>
      <c r="S11" t="str">
        <v>II</v>
      </c>
    </row>
    <row r="12" spans="2:19" x14ac:dyDescent="0.3">
      <c r="B12" s="128" t="s">
        <v>1123</v>
      </c>
      <c r="C12" s="129">
        <f>_xlfn.XLOOKUP($C$3,Щиты[Щит],Щиты[Ко],"")</f>
        <v>0.9</v>
      </c>
      <c r="D12" s="128"/>
      <c r="F12" t="str">
        <v>ЩР-01</v>
      </c>
      <c r="G12" t="str">
        <v>ГРЩ-ЖД</v>
      </c>
      <c r="H12" s="6">
        <v>24.405000000000005</v>
      </c>
      <c r="I12" s="6">
        <v>0.88345994673222694</v>
      </c>
      <c r="J12" s="6">
        <v>21.560840000000002</v>
      </c>
      <c r="K12" s="6">
        <v>0.95000000000000018</v>
      </c>
      <c r="L12" s="6">
        <v>32.798575666043085</v>
      </c>
      <c r="M12" s="6">
        <v>8.1450000000000014</v>
      </c>
      <c r="N12" s="6">
        <v>8.120000000000001</v>
      </c>
      <c r="O12" s="6">
        <v>8.14</v>
      </c>
      <c r="P12" s="6">
        <v>0.43</v>
      </c>
      <c r="Q12" s="6" t="str">
        <v/>
      </c>
      <c r="R12" s="6" t="str">
        <v/>
      </c>
      <c r="S12" t="str">
        <v>II</v>
      </c>
    </row>
    <row r="13" spans="2:19" x14ac:dyDescent="0.3">
      <c r="B13" s="128" t="s">
        <v>823</v>
      </c>
      <c r="C13" s="129">
        <f>_xlfn.XLOOKUP($C$3,Щиты[Щит],Щиты[Рр, кВт],"")</f>
        <v>276.45185120000008</v>
      </c>
      <c r="D13" s="128" t="s">
        <v>18</v>
      </c>
      <c r="F13" t="str">
        <v>ЩР-1</v>
      </c>
      <c r="G13" t="str">
        <v>ГРЩ-ЖД</v>
      </c>
      <c r="H13" s="6">
        <v>34.840000000000003</v>
      </c>
      <c r="I13" s="6">
        <v>0.58435195177956378</v>
      </c>
      <c r="J13" s="6">
        <v>20.358822000000004</v>
      </c>
      <c r="K13" s="6">
        <v>0.94999999999999984</v>
      </c>
      <c r="L13" s="6">
        <v>32.503490661511528</v>
      </c>
      <c r="M13" s="6">
        <v>11.363333333333332</v>
      </c>
      <c r="N13" s="6">
        <v>11.273333333333332</v>
      </c>
      <c r="O13" s="6">
        <v>12.203333333333333</v>
      </c>
      <c r="P13" s="6">
        <v>1.25</v>
      </c>
      <c r="Q13" s="6" t="str">
        <v/>
      </c>
      <c r="R13" s="6" t="str">
        <v/>
      </c>
      <c r="S13" t="str">
        <v>II</v>
      </c>
    </row>
    <row r="14" spans="2:19" x14ac:dyDescent="0.3">
      <c r="B14" s="128" t="s">
        <v>1758</v>
      </c>
      <c r="C14" s="129">
        <f>_xlfn.XLOOKUP($C$3,Щиты[Щит],Щиты[Кс итог],"")</f>
        <v>0.52529323916310866</v>
      </c>
      <c r="D14" s="128"/>
      <c r="F14" t="str">
        <v>ЩР-2</v>
      </c>
      <c r="G14" t="str">
        <v>ГРЩ-ЖД</v>
      </c>
      <c r="H14" s="6">
        <v>9.98</v>
      </c>
      <c r="I14" s="6">
        <v>0.89418837675350693</v>
      </c>
      <c r="J14" s="6">
        <v>8.9239999999999995</v>
      </c>
      <c r="K14" s="6">
        <v>0.95</v>
      </c>
      <c r="L14" s="6">
        <v>13.694473137501861</v>
      </c>
      <c r="M14" s="6">
        <v>3.3600000000000003</v>
      </c>
      <c r="N14" s="6">
        <v>3.3</v>
      </c>
      <c r="O14" s="6">
        <v>3.3200000000000003</v>
      </c>
      <c r="P14" s="6">
        <v>1.79</v>
      </c>
      <c r="Q14" s="6" t="str">
        <v/>
      </c>
      <c r="R14" s="6" t="str">
        <v/>
      </c>
      <c r="S14" t="str">
        <v>II</v>
      </c>
    </row>
    <row r="15" spans="2:19" x14ac:dyDescent="0.3">
      <c r="B15" s="128" t="s">
        <v>807</v>
      </c>
      <c r="C15" s="129">
        <f>_xlfn.XLOOKUP($C$3,Щиты[Щит],Щиты[cos φ],"")</f>
        <v>0.94999999999999951</v>
      </c>
      <c r="D15" s="128"/>
      <c r="F15" t="str">
        <v>ЩС-Б</v>
      </c>
      <c r="G15" t="str">
        <v>ГРЩ-ЖД</v>
      </c>
      <c r="H15" s="6">
        <v>24.990000000000002</v>
      </c>
      <c r="I15" s="6">
        <v>0.45</v>
      </c>
      <c r="J15" s="6">
        <v>11.245500000000002</v>
      </c>
      <c r="K15" s="6">
        <v>0.94999999999999984</v>
      </c>
      <c r="L15" s="6">
        <v>17.085769610978783</v>
      </c>
      <c r="M15" s="6">
        <v>8.33</v>
      </c>
      <c r="N15" s="6">
        <v>8.33</v>
      </c>
      <c r="O15" s="6">
        <v>8.33</v>
      </c>
      <c r="P15" s="6">
        <v>0.85</v>
      </c>
      <c r="Q15" s="6" t="str">
        <v/>
      </c>
      <c r="R15" s="6" t="str">
        <v/>
      </c>
      <c r="S15" t="str">
        <v>II</v>
      </c>
    </row>
    <row r="16" spans="2:19" x14ac:dyDescent="0.3">
      <c r="B16" s="128" t="s">
        <v>1759</v>
      </c>
      <c r="C16" s="129">
        <f>IFERROR(C13*TAN(ACOS(C15)),"")</f>
        <v>90.865329336712676</v>
      </c>
      <c r="D16" s="128" t="s">
        <v>1760</v>
      </c>
      <c r="F16" t="str">
        <v>ЩС-ВК.001</v>
      </c>
      <c r="G16" t="str">
        <v>ГРЩ-ЖД</v>
      </c>
      <c r="H16" s="6">
        <v>3.8000000000000003</v>
      </c>
      <c r="I16" s="6">
        <v>0.45</v>
      </c>
      <c r="J16" s="6">
        <v>1.7100000000000002</v>
      </c>
      <c r="K16" s="6">
        <v>0.94999999999999973</v>
      </c>
      <c r="L16" s="6">
        <v>7.7942286340599507</v>
      </c>
      <c r="M16" s="6">
        <v>3.8000000000000003</v>
      </c>
      <c r="N16" s="6">
        <v>0</v>
      </c>
      <c r="O16" s="6">
        <v>0</v>
      </c>
      <c r="P16" s="6">
        <v>1.89</v>
      </c>
      <c r="Q16" s="6" t="str">
        <v/>
      </c>
      <c r="R16" s="6" t="str">
        <v/>
      </c>
      <c r="S16" t="str">
        <v>II</v>
      </c>
    </row>
    <row r="17" spans="2:19" x14ac:dyDescent="0.3">
      <c r="B17" s="128" t="s">
        <v>1761</v>
      </c>
      <c r="C17" s="129">
        <f>IFERROR(SQRT(C13^2+C16^2),"")</f>
        <v>291.00194863157918</v>
      </c>
      <c r="D17" s="128" t="s">
        <v>804</v>
      </c>
      <c r="F17" t="str">
        <v>ЩС-ВК.002</v>
      </c>
      <c r="G17" t="str">
        <v>ГРЩ-ЖД</v>
      </c>
      <c r="H17" s="6">
        <v>2.4</v>
      </c>
      <c r="I17" s="6">
        <v>0.63</v>
      </c>
      <c r="J17" s="6">
        <v>1.512</v>
      </c>
      <c r="K17" s="6">
        <v>0.95</v>
      </c>
      <c r="L17" s="6">
        <v>6.8917390027477428</v>
      </c>
      <c r="M17" s="6">
        <v>2.4</v>
      </c>
      <c r="N17" s="6">
        <v>0</v>
      </c>
      <c r="O17" s="6">
        <v>0</v>
      </c>
      <c r="P17" s="6">
        <v>1.64</v>
      </c>
      <c r="Q17" s="6" t="str">
        <v/>
      </c>
      <c r="R17" s="6" t="str">
        <v/>
      </c>
      <c r="S17" t="str">
        <v>II</v>
      </c>
    </row>
    <row r="18" spans="2:19" x14ac:dyDescent="0.3">
      <c r="B18" s="128" t="s">
        <v>1762</v>
      </c>
      <c r="C18" s="129">
        <f>_xlfn.XLOOKUP($C$3,Щиты[Щит],Щиты[Iр, А],"")</f>
        <v>426.95264585217961</v>
      </c>
      <c r="D18" s="128" t="s">
        <v>20</v>
      </c>
      <c r="F18" t="str">
        <v>ЩС-ВК.003</v>
      </c>
      <c r="G18" t="str">
        <v>ГРЩ-ЖД</v>
      </c>
      <c r="H18" s="6">
        <v>4.34</v>
      </c>
      <c r="I18" s="6">
        <v>0.63</v>
      </c>
      <c r="J18" s="6">
        <v>2.7342</v>
      </c>
      <c r="K18" s="6">
        <v>0.94999999999999984</v>
      </c>
      <c r="L18" s="6">
        <v>12.46256136330217</v>
      </c>
      <c r="M18" s="6">
        <v>0</v>
      </c>
      <c r="N18" s="6">
        <v>0</v>
      </c>
      <c r="O18" s="6">
        <v>4.34</v>
      </c>
      <c r="P18" s="6">
        <v>3.0799999999999996</v>
      </c>
      <c r="Q18" s="6" t="str">
        <v/>
      </c>
      <c r="R18" s="6" t="str">
        <v/>
      </c>
      <c r="S18" t="str">
        <v>II</v>
      </c>
    </row>
    <row r="19" spans="2:19" x14ac:dyDescent="0.3">
      <c r="B19" s="128" t="s">
        <v>1763</v>
      </c>
      <c r="C19" s="129" t="str">
        <f>IFERROR(FIXED(_xlfn.XLOOKUP($C$3,Щиты[Щит],Щиты[P L1, кВт],""),2)&amp;" / "&amp;FIXED(_xlfn.XLOOKUP($C$3,Щиты[Щит],Щиты[P L2, кВт],""),2)&amp;" / "&amp;FIXED(_xlfn.XLOOKUP($C$3,Щиты[Щит],Щиты[P L3, кВт],""),2),"")</f>
        <v>178,32 / 176,58 / 171,38</v>
      </c>
      <c r="D19" s="128" t="s">
        <v>18</v>
      </c>
      <c r="F19" t="str">
        <v>ЩСПЗ-ЖД</v>
      </c>
      <c r="G19" t="str">
        <v>ГРЩ-ЖД</v>
      </c>
      <c r="H19" s="6">
        <v>1.6</v>
      </c>
      <c r="I19" s="6">
        <v>1</v>
      </c>
      <c r="J19" s="6">
        <v>1.6</v>
      </c>
      <c r="K19" s="6">
        <v>0.95</v>
      </c>
      <c r="L19" s="6">
        <v>3.646422752776584</v>
      </c>
      <c r="M19" s="6">
        <v>0.4</v>
      </c>
      <c r="N19" s="6">
        <v>0.8</v>
      </c>
      <c r="O19" s="6">
        <v>0.4</v>
      </c>
      <c r="P19" s="6">
        <v>0.41000000000000003</v>
      </c>
      <c r="Q19" s="6" t="str">
        <v/>
      </c>
      <c r="R19" s="6" t="str">
        <v/>
      </c>
      <c r="S19" t="str">
        <v>I</v>
      </c>
    </row>
    <row r="20" spans="2:19" x14ac:dyDescent="0.3">
      <c r="B20" s="128" t="s">
        <v>1764</v>
      </c>
      <c r="C20" s="129" t="str">
        <f>IFERROR(FIXED(_xlfn.XLOOKUP($C$3,Щиты[Щит],Щиты[P L1, кВт],"")*C14,2)&amp;" / "&amp;FIXED(_xlfn.XLOOKUP($C$3,Щиты[Щит],Щиты[P L2, кВт],"")*C14,2)&amp;" / "&amp;FIXED(_xlfn.XLOOKUP($C$3,Щиты[Щит],Щиты[P L3, кВт],"")*C14,2),"")</f>
        <v>93,67 / 92,76 / 90,02</v>
      </c>
      <c r="D20" s="128" t="s">
        <v>18</v>
      </c>
      <c r="F20" t="str">
        <v>ЩУОВ</v>
      </c>
      <c r="G20" t="str">
        <v>ГРЩ-ЖД</v>
      </c>
      <c r="H20" s="6">
        <v>16.439999999999998</v>
      </c>
      <c r="I20" s="6">
        <v>1</v>
      </c>
      <c r="J20" s="6">
        <v>16.439999999999998</v>
      </c>
      <c r="K20" s="6">
        <v>0.95000000000000007</v>
      </c>
      <c r="L20" s="6">
        <v>39.654847436445337</v>
      </c>
      <c r="M20" s="6">
        <v>8.6999999999999993</v>
      </c>
      <c r="N20" s="6">
        <v>3.12</v>
      </c>
      <c r="O20" s="6">
        <v>4.62</v>
      </c>
      <c r="P20" s="6">
        <v>3.21</v>
      </c>
      <c r="Q20" s="6" t="str">
        <v/>
      </c>
      <c r="R20" s="6" t="str">
        <v/>
      </c>
      <c r="S20" t="str">
        <v>II</v>
      </c>
    </row>
    <row r="21" spans="2:19" x14ac:dyDescent="0.3">
      <c r="B21" s="128" t="s">
        <v>1765</v>
      </c>
      <c r="C21" s="129">
        <f>IFERROR(_xlfn.LET(_xlpm.a,_xlfn.XLOOKUP($C$3,Щиты[Щит],Щиты[P L1, кВт],""),_xlpm.b,_xlfn.XLOOKUP($C$3,Щиты[Щит],Щиты[P L2, кВт],""),_xlpm.cc,_xlfn.XLOOKUP($C$3,Щиты[Щит],Щиты[P L3, кВт],""),(MAX(_xlpm.a,_xlpm.b,_xlpm.cc)-MIN(_xlpm.a,_xlpm.b,_xlpm.cc))/MAX(_xlpm.a,_xlpm.b,_xlpm.cc)*100),"")</f>
        <v>3.8918724916395759</v>
      </c>
      <c r="D21" s="128" t="s">
        <v>19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spans="2:19" x14ac:dyDescent="0.3">
      <c r="B22" s="128" t="s">
        <v>1766</v>
      </c>
      <c r="C22" s="129">
        <f>_xlfn.XLOOKUP($C$3,Щиты[Щит],Щиты[Iпуск max, А],"")</f>
        <v>0</v>
      </c>
      <c r="D22" s="128" t="s">
        <v>20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spans="2:19" x14ac:dyDescent="0.3">
      <c r="B23" s="128" t="s">
        <v>831</v>
      </c>
      <c r="C23" s="129" t="str">
        <f>IFERROR(IF((TAN(ACOS(C15))-0.35)*C13&lt;50,"не требуется (&lt; 50 квар, СП 256 п. 7.3)",FIXED((TAN(ACOS(C15))-0.35)*C13,1)&amp;" квар"),"")</f>
        <v>не требуется (&lt; 50 квар, СП 256 п. 7.3)</v>
      </c>
      <c r="D23" s="128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spans="2:19" x14ac:dyDescent="0.3">
      <c r="B24" s="128" t="s">
        <v>1767</v>
      </c>
      <c r="C24" s="129">
        <f>_xlfn.XLOOKUP($C$3,Щиты[Щит],Щиты[ΔU до шин, %],"")</f>
        <v>0</v>
      </c>
      <c r="D24" s="128" t="s">
        <v>19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spans="2:19" x14ac:dyDescent="0.3">
      <c r="B25" s="128" t="s">
        <v>809</v>
      </c>
      <c r="C25" s="129" t="str">
        <f>_xlfn.XLOOKUP($C$3,Щиты[Щит],Щиты[Iкз min на шинах, А],"")</f>
        <v/>
      </c>
      <c r="D25" s="128" t="s">
        <v>20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 spans="2:19" x14ac:dyDescent="0.3">
      <c r="B26" s="128" t="s">
        <v>810</v>
      </c>
      <c r="C26" s="129" t="str">
        <f>_xlfn.XLOOKUP($C$3,Щиты[Щит],Щиты[Iкз max на шинах, кА],"")</f>
        <v/>
      </c>
      <c r="D26" s="128" t="s">
        <v>803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 spans="2:19" x14ac:dyDescent="0.3">
      <c r="B27" s="128" t="s">
        <v>1106</v>
      </c>
      <c r="C27" s="129" t="str">
        <f>_xlfn.XLOOKUP($C$3,Щиты[Щит],Щиты[Категория шины «Ввод»],"")</f>
        <v>I</v>
      </c>
      <c r="D27" s="128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</row>
    <row r="28" spans="2:19" x14ac:dyDescent="0.3">
      <c r="C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 spans="2:19" x14ac:dyDescent="0.3">
      <c r="B29" s="116" t="s">
        <v>1770</v>
      </c>
      <c r="C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spans="2:19" x14ac:dyDescent="0.3">
      <c r="C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 spans="2:19" x14ac:dyDescent="0.3"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spans="2:19" x14ac:dyDescent="0.3"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spans="8:18" x14ac:dyDescent="0.3"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</row>
    <row r="34" spans="8:18" x14ac:dyDescent="0.3"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 spans="8:18" x14ac:dyDescent="0.3"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 spans="8:18" x14ac:dyDescent="0.3"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 spans="8:18" x14ac:dyDescent="0.3"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 spans="8:18" x14ac:dyDescent="0.3"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 spans="8:18" x14ac:dyDescent="0.3"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</row>
    <row r="40" spans="8:18" x14ac:dyDescent="0.3"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spans="8:18" x14ac:dyDescent="0.3"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spans="8:18" x14ac:dyDescent="0.3"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spans="8:18" x14ac:dyDescent="0.3"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spans="8:18" x14ac:dyDescent="0.3"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 spans="8:18" x14ac:dyDescent="0.3"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</row>
    <row r="46" spans="8:18" x14ac:dyDescent="0.3"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 spans="8:18" x14ac:dyDescent="0.3"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</row>
    <row r="48" spans="8:18" x14ac:dyDescent="0.3"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</row>
    <row r="49" spans="8:18" x14ac:dyDescent="0.3"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 spans="8:18" x14ac:dyDescent="0.3"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</row>
    <row r="51" spans="8:18" x14ac:dyDescent="0.3"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</row>
    <row r="52" spans="8:18" x14ac:dyDescent="0.3"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 spans="8:18" x14ac:dyDescent="0.3"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</row>
    <row r="54" spans="8:18" x14ac:dyDescent="0.3"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</row>
    <row r="55" spans="8:18" x14ac:dyDescent="0.3"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 spans="8:18" x14ac:dyDescent="0.3"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</row>
    <row r="57" spans="8:18" x14ac:dyDescent="0.3"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</row>
    <row r="58" spans="8:18" x14ac:dyDescent="0.3"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</row>
    <row r="59" spans="8:18" x14ac:dyDescent="0.3"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</row>
    <row r="60" spans="8:18" x14ac:dyDescent="0.3"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</row>
    <row r="61" spans="8:18" x14ac:dyDescent="0.3"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</row>
    <row r="62" spans="8:18" x14ac:dyDescent="0.3"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</row>
    <row r="63" spans="8:18" x14ac:dyDescent="0.3"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</row>
    <row r="64" spans="8:18" x14ac:dyDescent="0.3"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</row>
    <row r="65" spans="8:18" x14ac:dyDescent="0.3"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</row>
    <row r="66" spans="8:18" x14ac:dyDescent="0.3"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</row>
    <row r="67" spans="8:18" x14ac:dyDescent="0.3"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</row>
    <row r="68" spans="8:18" x14ac:dyDescent="0.3"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</row>
    <row r="69" spans="8:18" x14ac:dyDescent="0.3"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</row>
    <row r="70" spans="8:18" x14ac:dyDescent="0.3"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</row>
    <row r="71" spans="8:18" x14ac:dyDescent="0.3"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</row>
    <row r="72" spans="8:18" x14ac:dyDescent="0.3"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</row>
    <row r="73" spans="8:18" x14ac:dyDescent="0.3"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</row>
    <row r="74" spans="8:18" x14ac:dyDescent="0.3"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</row>
    <row r="75" spans="8:18" x14ac:dyDescent="0.3"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</row>
    <row r="76" spans="8:18" x14ac:dyDescent="0.3"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</row>
    <row r="77" spans="8:18" x14ac:dyDescent="0.3"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</row>
    <row r="78" spans="8:18" x14ac:dyDescent="0.3"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</row>
    <row r="79" spans="8:18" x14ac:dyDescent="0.3"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 spans="8:18" x14ac:dyDescent="0.3"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</row>
    <row r="81" spans="8:18" x14ac:dyDescent="0.3"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</row>
    <row r="82" spans="8:18" x14ac:dyDescent="0.3"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</row>
    <row r="83" spans="8:18" x14ac:dyDescent="0.3"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</row>
    <row r="84" spans="8:18" x14ac:dyDescent="0.3"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</row>
    <row r="85" spans="8:18" x14ac:dyDescent="0.3"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</row>
    <row r="86" spans="8:18" x14ac:dyDescent="0.3"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</row>
    <row r="87" spans="8:18" x14ac:dyDescent="0.3"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</row>
    <row r="88" spans="8:18" x14ac:dyDescent="0.3"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</row>
    <row r="89" spans="8:18" x14ac:dyDescent="0.3"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</row>
    <row r="90" spans="8:18" x14ac:dyDescent="0.3"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</row>
    <row r="91" spans="8:18" x14ac:dyDescent="0.3"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</row>
    <row r="92" spans="8:18" x14ac:dyDescent="0.3"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</row>
    <row r="93" spans="8:18" x14ac:dyDescent="0.3"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</row>
    <row r="94" spans="8:18" x14ac:dyDescent="0.3"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</row>
    <row r="95" spans="8:18" x14ac:dyDescent="0.3"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</row>
    <row r="96" spans="8:18" x14ac:dyDescent="0.3"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</row>
    <row r="97" spans="8:18" x14ac:dyDescent="0.3"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</row>
    <row r="98" spans="8:18" x14ac:dyDescent="0.3"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</row>
    <row r="99" spans="8:18" x14ac:dyDescent="0.3"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</row>
    <row r="100" spans="8:18" x14ac:dyDescent="0.3"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</row>
    <row r="101" spans="8:18" x14ac:dyDescent="0.3"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</row>
    <row r="102" spans="8:18" x14ac:dyDescent="0.3"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</row>
    <row r="103" spans="8:18" x14ac:dyDescent="0.3"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</row>
    <row r="104" spans="8:18" x14ac:dyDescent="0.3"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</row>
    <row r="105" spans="8:18" x14ac:dyDescent="0.3"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</row>
    <row r="106" spans="8:18" x14ac:dyDescent="0.3"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</row>
    <row r="107" spans="8:18" x14ac:dyDescent="0.3"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</row>
    <row r="108" spans="8:18" x14ac:dyDescent="0.3"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</row>
    <row r="109" spans="8:18" x14ac:dyDescent="0.3"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</row>
    <row r="110" spans="8:18" x14ac:dyDescent="0.3"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</row>
    <row r="111" spans="8:18" x14ac:dyDescent="0.3"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</row>
    <row r="112" spans="8:18" x14ac:dyDescent="0.3"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</row>
    <row r="113" spans="8:18" x14ac:dyDescent="0.3"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</row>
    <row r="114" spans="8:18" x14ac:dyDescent="0.3"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</row>
    <row r="115" spans="8:18" x14ac:dyDescent="0.3"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</row>
    <row r="116" spans="8:18" x14ac:dyDescent="0.3"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</row>
    <row r="117" spans="8:18" x14ac:dyDescent="0.3"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</row>
    <row r="118" spans="8:18" x14ac:dyDescent="0.3"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</row>
    <row r="119" spans="8:18" x14ac:dyDescent="0.3"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</row>
    <row r="120" spans="8:18" x14ac:dyDescent="0.3"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</row>
    <row r="121" spans="8:18" x14ac:dyDescent="0.3"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</row>
    <row r="122" spans="8:18" x14ac:dyDescent="0.3"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</row>
    <row r="123" spans="8:18" x14ac:dyDescent="0.3"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</row>
    <row r="124" spans="8:18" x14ac:dyDescent="0.3"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</row>
    <row r="125" spans="8:18" x14ac:dyDescent="0.3"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</row>
    <row r="126" spans="8:18" x14ac:dyDescent="0.3"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</row>
    <row r="127" spans="8:18" x14ac:dyDescent="0.3"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</row>
    <row r="128" spans="8:18" x14ac:dyDescent="0.3"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</row>
    <row r="129" spans="8:18" x14ac:dyDescent="0.3"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</row>
    <row r="130" spans="8:18" x14ac:dyDescent="0.3"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</row>
    <row r="131" spans="8:18" x14ac:dyDescent="0.3"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</row>
    <row r="132" spans="8:18" x14ac:dyDescent="0.3"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</row>
    <row r="133" spans="8:18" x14ac:dyDescent="0.3"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</row>
    <row r="134" spans="8:18" x14ac:dyDescent="0.3"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</row>
    <row r="135" spans="8:18" x14ac:dyDescent="0.3"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</row>
    <row r="136" spans="8:18" x14ac:dyDescent="0.3"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</row>
    <row r="137" spans="8:18" x14ac:dyDescent="0.3"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</row>
    <row r="138" spans="8:18" x14ac:dyDescent="0.3"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</row>
    <row r="139" spans="8:18" x14ac:dyDescent="0.3"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</row>
    <row r="140" spans="8:18" x14ac:dyDescent="0.3"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</row>
    <row r="141" spans="8:18" x14ac:dyDescent="0.3"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</row>
    <row r="142" spans="8:18" x14ac:dyDescent="0.3"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</row>
    <row r="143" spans="8:18" x14ac:dyDescent="0.3"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</row>
    <row r="144" spans="8:18" x14ac:dyDescent="0.3"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</row>
    <row r="145" spans="8:18" x14ac:dyDescent="0.3"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</row>
    <row r="146" spans="8:18" x14ac:dyDescent="0.3"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</row>
    <row r="147" spans="8:18" x14ac:dyDescent="0.3"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</row>
    <row r="148" spans="8:18" x14ac:dyDescent="0.3"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</row>
    <row r="149" spans="8:18" x14ac:dyDescent="0.3"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</row>
    <row r="150" spans="8:18" x14ac:dyDescent="0.3"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</row>
    <row r="151" spans="8:18" x14ac:dyDescent="0.3"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</row>
    <row r="152" spans="8:18" x14ac:dyDescent="0.3"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</row>
    <row r="153" spans="8:18" x14ac:dyDescent="0.3"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</row>
    <row r="154" spans="8:18" x14ac:dyDescent="0.3"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</row>
    <row r="155" spans="8:18" x14ac:dyDescent="0.3"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</row>
    <row r="156" spans="8:18" x14ac:dyDescent="0.3"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</row>
    <row r="157" spans="8:18" x14ac:dyDescent="0.3"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</row>
    <row r="158" spans="8:18" x14ac:dyDescent="0.3"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</row>
    <row r="159" spans="8:18" x14ac:dyDescent="0.3"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</row>
    <row r="160" spans="8:18" x14ac:dyDescent="0.3"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</row>
    <row r="161" spans="8:18" x14ac:dyDescent="0.3"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</row>
    <row r="162" spans="8:18" x14ac:dyDescent="0.3"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</row>
    <row r="163" spans="8:18" x14ac:dyDescent="0.3"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</row>
    <row r="164" spans="8:18" x14ac:dyDescent="0.3"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</row>
    <row r="165" spans="8:18" x14ac:dyDescent="0.3"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</row>
    <row r="166" spans="8:18" x14ac:dyDescent="0.3"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</row>
    <row r="167" spans="8:18" x14ac:dyDescent="0.3"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</row>
    <row r="168" spans="8:18" x14ac:dyDescent="0.3"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</row>
    <row r="169" spans="8:18" x14ac:dyDescent="0.3"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</row>
    <row r="170" spans="8:18" x14ac:dyDescent="0.3"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</row>
    <row r="171" spans="8:18" x14ac:dyDescent="0.3"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</row>
    <row r="172" spans="8:18" x14ac:dyDescent="0.3"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</row>
    <row r="173" spans="8:18" x14ac:dyDescent="0.3"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</row>
    <row r="174" spans="8:18" x14ac:dyDescent="0.3"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</row>
    <row r="175" spans="8:18" x14ac:dyDescent="0.3"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</row>
    <row r="176" spans="8:18" x14ac:dyDescent="0.3"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</row>
    <row r="177" spans="8:18" x14ac:dyDescent="0.3"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</row>
    <row r="178" spans="8:18" x14ac:dyDescent="0.3"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</row>
    <row r="179" spans="8:18" x14ac:dyDescent="0.3"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</row>
    <row r="180" spans="8:18" x14ac:dyDescent="0.3"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</row>
    <row r="181" spans="8:18" x14ac:dyDescent="0.3"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</row>
    <row r="182" spans="8:18" x14ac:dyDescent="0.3"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</row>
    <row r="183" spans="8:18" x14ac:dyDescent="0.3"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</row>
    <row r="184" spans="8:18" x14ac:dyDescent="0.3"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</row>
    <row r="185" spans="8:18" x14ac:dyDescent="0.3"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</row>
    <row r="186" spans="8:18" x14ac:dyDescent="0.3"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</row>
    <row r="187" spans="8:18" x14ac:dyDescent="0.3"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</row>
    <row r="188" spans="8:18" x14ac:dyDescent="0.3"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</row>
    <row r="189" spans="8:18" x14ac:dyDescent="0.3"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</row>
    <row r="190" spans="8:18" x14ac:dyDescent="0.3"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</row>
    <row r="191" spans="8:18" x14ac:dyDescent="0.3"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</row>
    <row r="192" spans="8:18" x14ac:dyDescent="0.3"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</row>
    <row r="193" spans="8:18" x14ac:dyDescent="0.3"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</row>
    <row r="194" spans="8:18" x14ac:dyDescent="0.3"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</row>
    <row r="195" spans="8:18" x14ac:dyDescent="0.3"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</row>
    <row r="196" spans="8:18" x14ac:dyDescent="0.3"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</row>
    <row r="197" spans="8:18" x14ac:dyDescent="0.3"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</row>
    <row r="198" spans="8:18" x14ac:dyDescent="0.3"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</row>
    <row r="199" spans="8:18" x14ac:dyDescent="0.3"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</row>
    <row r="200" spans="8:18" x14ac:dyDescent="0.3"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</row>
    <row r="201" spans="8:18" x14ac:dyDescent="0.3"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</row>
    <row r="202" spans="8:18" x14ac:dyDescent="0.3"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</row>
    <row r="203" spans="8:18" x14ac:dyDescent="0.3"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</row>
    <row r="204" spans="8:18" x14ac:dyDescent="0.3"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</row>
    <row r="205" spans="8:18" x14ac:dyDescent="0.3"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</row>
    <row r="206" spans="8:18" x14ac:dyDescent="0.3"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</row>
    <row r="207" spans="8:18" x14ac:dyDescent="0.3"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</row>
    <row r="208" spans="8:18" x14ac:dyDescent="0.3"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</row>
    <row r="209" spans="8:18" x14ac:dyDescent="0.3"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</row>
    <row r="210" spans="8:18" x14ac:dyDescent="0.3"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</row>
    <row r="211" spans="8:18" x14ac:dyDescent="0.3"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</row>
    <row r="212" spans="8:18" x14ac:dyDescent="0.3"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</row>
    <row r="213" spans="8:18" x14ac:dyDescent="0.3"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</row>
    <row r="214" spans="8:18" x14ac:dyDescent="0.3"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</row>
    <row r="215" spans="8:18" x14ac:dyDescent="0.3"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</row>
    <row r="216" spans="8:18" x14ac:dyDescent="0.3"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</row>
    <row r="217" spans="8:18" x14ac:dyDescent="0.3"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</row>
    <row r="218" spans="8:18" x14ac:dyDescent="0.3"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</row>
    <row r="219" spans="8:18" x14ac:dyDescent="0.3"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</row>
    <row r="220" spans="8:18" x14ac:dyDescent="0.3"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</row>
    <row r="221" spans="8:18" x14ac:dyDescent="0.3"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</row>
    <row r="222" spans="8:18" x14ac:dyDescent="0.3"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</row>
    <row r="223" spans="8:18" x14ac:dyDescent="0.3"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</row>
    <row r="224" spans="8:18" x14ac:dyDescent="0.3"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</row>
    <row r="225" spans="8:18" x14ac:dyDescent="0.3"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</row>
    <row r="226" spans="8:18" x14ac:dyDescent="0.3"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</row>
    <row r="227" spans="8:18" x14ac:dyDescent="0.3"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</row>
    <row r="228" spans="8:18" x14ac:dyDescent="0.3"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</row>
    <row r="229" spans="8:18" x14ac:dyDescent="0.3"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</row>
    <row r="230" spans="8:18" x14ac:dyDescent="0.3"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</row>
    <row r="231" spans="8:18" x14ac:dyDescent="0.3"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</row>
    <row r="232" spans="8:18" x14ac:dyDescent="0.3"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</row>
    <row r="233" spans="8:18" x14ac:dyDescent="0.3"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</row>
    <row r="234" spans="8:18" x14ac:dyDescent="0.3"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</row>
    <row r="235" spans="8:18" x14ac:dyDescent="0.3"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</row>
    <row r="236" spans="8:18" x14ac:dyDescent="0.3"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</row>
    <row r="237" spans="8:18" x14ac:dyDescent="0.3"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</row>
    <row r="238" spans="8:18" x14ac:dyDescent="0.3"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</row>
    <row r="239" spans="8:18" x14ac:dyDescent="0.3"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</row>
    <row r="240" spans="8:18" x14ac:dyDescent="0.3"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</row>
    <row r="241" spans="8:18" x14ac:dyDescent="0.3"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</row>
    <row r="242" spans="8:18" x14ac:dyDescent="0.3"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</row>
    <row r="243" spans="8:18" x14ac:dyDescent="0.3"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</row>
    <row r="244" spans="8:18" x14ac:dyDescent="0.3"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</row>
    <row r="245" spans="8:18" x14ac:dyDescent="0.3"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</row>
    <row r="246" spans="8:18" x14ac:dyDescent="0.3"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</row>
    <row r="247" spans="8:18" x14ac:dyDescent="0.3"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</row>
    <row r="248" spans="8:18" x14ac:dyDescent="0.3"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</row>
    <row r="249" spans="8:18" x14ac:dyDescent="0.3"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</row>
    <row r="250" spans="8:18" x14ac:dyDescent="0.3"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</row>
    <row r="251" spans="8:18" x14ac:dyDescent="0.3"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</row>
    <row r="252" spans="8:18" x14ac:dyDescent="0.3"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</row>
    <row r="253" spans="8:18" x14ac:dyDescent="0.3"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</row>
    <row r="254" spans="8:18" x14ac:dyDescent="0.3"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</row>
    <row r="255" spans="8:18" x14ac:dyDescent="0.3"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</row>
    <row r="256" spans="8:18" x14ac:dyDescent="0.3"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</row>
    <row r="257" spans="8:18" x14ac:dyDescent="0.3"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</row>
    <row r="258" spans="8:18" x14ac:dyDescent="0.3"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</row>
    <row r="259" spans="8:18" x14ac:dyDescent="0.3"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</row>
    <row r="260" spans="8:18" x14ac:dyDescent="0.3"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</row>
    <row r="261" spans="8:18" x14ac:dyDescent="0.3"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</row>
    <row r="262" spans="8:18" x14ac:dyDescent="0.3"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</row>
    <row r="263" spans="8:18" x14ac:dyDescent="0.3"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</row>
    <row r="264" spans="8:18" x14ac:dyDescent="0.3"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</row>
    <row r="265" spans="8:18" x14ac:dyDescent="0.3"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</row>
    <row r="266" spans="8:18" x14ac:dyDescent="0.3"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</row>
    <row r="267" spans="8:18" x14ac:dyDescent="0.3"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</row>
    <row r="268" spans="8:18" x14ac:dyDescent="0.3"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</row>
    <row r="269" spans="8:18" x14ac:dyDescent="0.3"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</row>
    <row r="270" spans="8:18" x14ac:dyDescent="0.3"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</row>
    <row r="271" spans="8:18" x14ac:dyDescent="0.3"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</row>
    <row r="272" spans="8:18" x14ac:dyDescent="0.3"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</row>
    <row r="273" spans="8:18" x14ac:dyDescent="0.3"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</row>
    <row r="274" spans="8:18" x14ac:dyDescent="0.3"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</row>
    <row r="275" spans="8:18" x14ac:dyDescent="0.3"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</row>
    <row r="276" spans="8:18" x14ac:dyDescent="0.3"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</row>
    <row r="277" spans="8:18" x14ac:dyDescent="0.3"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</row>
    <row r="278" spans="8:18" x14ac:dyDescent="0.3"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</row>
    <row r="279" spans="8:18" x14ac:dyDescent="0.3"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</row>
    <row r="280" spans="8:18" x14ac:dyDescent="0.3"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</row>
    <row r="281" spans="8:18" x14ac:dyDescent="0.3"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</row>
    <row r="282" spans="8:18" x14ac:dyDescent="0.3"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</row>
    <row r="283" spans="8:18" x14ac:dyDescent="0.3"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</row>
    <row r="284" spans="8:18" x14ac:dyDescent="0.3"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</row>
    <row r="285" spans="8:18" x14ac:dyDescent="0.3"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</row>
    <row r="286" spans="8:18" x14ac:dyDescent="0.3"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</row>
    <row r="287" spans="8:18" x14ac:dyDescent="0.3"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</row>
    <row r="288" spans="8:18" x14ac:dyDescent="0.3"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</row>
    <row r="289" spans="8:18" x14ac:dyDescent="0.3"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</row>
    <row r="290" spans="8:18" x14ac:dyDescent="0.3"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</row>
    <row r="291" spans="8:18" x14ac:dyDescent="0.3"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</row>
    <row r="292" spans="8:18" x14ac:dyDescent="0.3"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</row>
    <row r="293" spans="8:18" x14ac:dyDescent="0.3"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</row>
    <row r="294" spans="8:18" x14ac:dyDescent="0.3"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</row>
    <row r="295" spans="8:18" x14ac:dyDescent="0.3"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</row>
    <row r="296" spans="8:18" x14ac:dyDescent="0.3"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</row>
    <row r="297" spans="8:18" x14ac:dyDescent="0.3"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</row>
    <row r="298" spans="8:18" x14ac:dyDescent="0.3"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</row>
    <row r="299" spans="8:18" x14ac:dyDescent="0.3"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</row>
    <row r="300" spans="8:18" x14ac:dyDescent="0.3"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</row>
  </sheetData>
  <dataValidations count="1">
    <dataValidation type="list" allowBlank="1" showInputMessage="1" showErrorMessage="1" sqref="C3" xr:uid="{B977D758-68C8-4685-ACA3-F565CB9AB8C5}">
      <formula1>Список_щитов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08192-6531-4FCC-B53B-CB8EE1CDBCE4}">
  <sheetPr>
    <tabColor rgb="FFFFF2CC"/>
  </sheetPr>
  <dimension ref="A1:M8"/>
  <sheetViews>
    <sheetView workbookViewId="0"/>
  </sheetViews>
  <sheetFormatPr defaultRowHeight="14.4" x14ac:dyDescent="0.3"/>
  <cols>
    <col min="1" max="3" width="18.77734375" customWidth="1"/>
  </cols>
  <sheetData>
    <row r="1" spans="1:13" s="81" customFormat="1" ht="15.6" x14ac:dyDescent="0.3">
      <c r="B1" s="138" t="s">
        <v>2394</v>
      </c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</row>
    <row r="2" spans="1:13" s="81" customFormat="1" ht="15" customHeight="1" x14ac:dyDescent="0.3">
      <c r="B2" s="140" t="s">
        <v>2395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</row>
    <row r="3" spans="1:13" s="81" customFormat="1" ht="30" customHeight="1" x14ac:dyDescent="0.3">
      <c r="B3" s="140" t="s">
        <v>2396</v>
      </c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</row>
    <row r="4" spans="1:13" s="81" customFormat="1" ht="30" customHeight="1" x14ac:dyDescent="0.3">
      <c r="B4" s="140" t="s">
        <v>2397</v>
      </c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</row>
    <row r="5" spans="1:13" s="81" customFormat="1" ht="30" customHeight="1" x14ac:dyDescent="0.3">
      <c r="B5" s="140" t="s">
        <v>2398</v>
      </c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</row>
    <row r="6" spans="1:13" s="81" customFormat="1" x14ac:dyDescent="0.3"/>
    <row r="7" spans="1:13" x14ac:dyDescent="0.3">
      <c r="A7" s="36" t="s">
        <v>1148</v>
      </c>
    </row>
    <row r="8" spans="1:13" x14ac:dyDescent="0.3">
      <c r="A8" t="s">
        <v>868</v>
      </c>
      <c r="B8" t="s">
        <v>4</v>
      </c>
      <c r="C8" t="s">
        <v>1149</v>
      </c>
    </row>
  </sheetData>
  <mergeCells count="4">
    <mergeCell ref="B2:M2"/>
    <mergeCell ref="B3:M3"/>
    <mergeCell ref="B4:M4"/>
    <mergeCell ref="B5:M5"/>
  </mergeCells>
  <dataValidations count="1">
    <dataValidation type="list" allowBlank="1" showInputMessage="1" showErrorMessage="1" sqref="C9" xr:uid="{14107C4E-6578-4AE6-8D19-79A73EBDC16A}">
      <formula1>"Ввод 1,Ввод 2,Ввод 3,ИБП,ДГУ,Одиночная"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9B6F7-70E2-46CE-8CE7-645BE32A995F}">
  <sheetPr>
    <tabColor rgb="FFFFF2CC"/>
  </sheetPr>
  <dimension ref="A1:GZ352"/>
  <sheetViews>
    <sheetView workbookViewId="0">
      <pane xSplit="3" ySplit="2" topLeftCell="D3" activePane="bottomRight" state="frozenSplit"/>
      <selection pane="bottomLeft" activeCell="A3" sqref="A3"/>
      <selection pane="topRight" activeCell="D1" sqref="D1"/>
      <selection pane="bottomRight"/>
    </sheetView>
  </sheetViews>
  <sheetFormatPr defaultColWidth="11.77734375" defaultRowHeight="14.4" outlineLevelCol="1" x14ac:dyDescent="0.3"/>
  <cols>
    <col min="45" max="57" width="0" hidden="1" customWidth="1" outlineLevel="1"/>
    <col min="58" max="58" width="11.77734375" collapsed="1"/>
    <col min="59" max="59" width="0" hidden="1" customWidth="1" outlineLevel="1"/>
    <col min="60" max="60" width="11.77734375" collapsed="1"/>
    <col min="61" max="64" width="0" hidden="1" customWidth="1" outlineLevel="1"/>
    <col min="65" max="65" width="11.77734375" collapsed="1"/>
    <col min="68" max="70" width="0" hidden="1" customWidth="1" outlineLevel="1"/>
    <col min="71" max="71" width="11.77734375" collapsed="1"/>
    <col min="72" max="74" width="0" hidden="1" customWidth="1" outlineLevel="1"/>
    <col min="75" max="75" width="11.77734375" collapsed="1"/>
    <col min="76" max="80" width="0" hidden="1" customWidth="1" outlineLevel="1"/>
    <col min="81" max="81" width="11.77734375" collapsed="1"/>
    <col min="84" max="85" width="0" hidden="1" customWidth="1" outlineLevel="1"/>
    <col min="86" max="86" width="11.77734375" collapsed="1"/>
    <col min="87" max="88" width="0" hidden="1" customWidth="1" outlineLevel="1"/>
    <col min="89" max="89" width="11.77734375" collapsed="1"/>
    <col min="94" max="107" width="0" hidden="1" customWidth="1" outlineLevel="1"/>
    <col min="108" max="108" width="11.77734375" collapsed="1"/>
    <col min="111" max="111" width="0" hidden="1" customWidth="1" outlineLevel="1"/>
    <col min="112" max="112" width="11.77734375" collapsed="1"/>
    <col min="113" max="113" width="0" hidden="1" customWidth="1" outlineLevel="1"/>
    <col min="114" max="114" width="11.77734375" collapsed="1"/>
    <col min="117" max="118" width="0" hidden="1" customWidth="1" outlineLevel="1"/>
    <col min="119" max="119" width="11.77734375" collapsed="1"/>
    <col min="120" max="145" width="0" hidden="1" customWidth="1" outlineLevel="1"/>
    <col min="146" max="146" width="11.77734375" collapsed="1"/>
    <col min="147" max="155" width="0" hidden="1" customWidth="1" outlineLevel="1"/>
    <col min="156" max="156" width="11.77734375" collapsed="1"/>
    <col min="157" max="157" width="0" hidden="1" customWidth="1" outlineLevel="1"/>
    <col min="158" max="158" width="11.77734375" collapsed="1"/>
    <col min="159" max="163" width="0" hidden="1" customWidth="1" outlineLevel="1"/>
    <col min="164" max="164" width="11.77734375" collapsed="1"/>
    <col min="165" max="165" width="0" hidden="1" customWidth="1" outlineLevel="1"/>
    <col min="166" max="166" width="11.77734375" collapsed="1"/>
    <col min="168" max="168" width="0" hidden="1" customWidth="1" outlineLevel="1"/>
    <col min="169" max="169" width="11.77734375" collapsed="1"/>
    <col min="170" max="207" width="0" hidden="1" customWidth="1" outlineLevel="1"/>
    <col min="208" max="208" width="11.77734375" collapsed="1"/>
  </cols>
  <sheetData>
    <row r="1" spans="1:207" x14ac:dyDescent="0.3">
      <c r="A1" s="132" t="s">
        <v>1776</v>
      </c>
      <c r="P1" s="132" t="s">
        <v>1777</v>
      </c>
      <c r="Z1" s="132" t="s">
        <v>1778</v>
      </c>
      <c r="AC1" s="132" t="s">
        <v>1779</v>
      </c>
      <c r="AM1" s="132" t="s">
        <v>1780</v>
      </c>
      <c r="AR1" s="132" t="s">
        <v>1781</v>
      </c>
      <c r="DE1" s="132" t="s">
        <v>1782</v>
      </c>
      <c r="EP1" s="132" t="s">
        <v>1783</v>
      </c>
    </row>
    <row r="2" spans="1:207" ht="60" customHeight="1" x14ac:dyDescent="0.3">
      <c r="A2" s="130" t="s">
        <v>4</v>
      </c>
      <c r="B2" s="130" t="s">
        <v>1150</v>
      </c>
      <c r="C2" s="131" t="s">
        <v>1151</v>
      </c>
      <c r="D2" s="130" t="s">
        <v>0</v>
      </c>
      <c r="E2" s="130" t="s">
        <v>6</v>
      </c>
      <c r="F2" s="130" t="s">
        <v>1152</v>
      </c>
      <c r="G2" s="130" t="s">
        <v>1</v>
      </c>
      <c r="H2" s="130" t="s">
        <v>57</v>
      </c>
      <c r="I2" s="130" t="s">
        <v>2</v>
      </c>
      <c r="J2" s="130" t="s">
        <v>190</v>
      </c>
      <c r="K2" s="130" t="s">
        <v>1153</v>
      </c>
      <c r="L2" s="130" t="s">
        <v>737</v>
      </c>
      <c r="M2" s="130" t="s">
        <v>1154</v>
      </c>
      <c r="N2" s="130" t="s">
        <v>853</v>
      </c>
      <c r="O2" s="130" t="s">
        <v>1155</v>
      </c>
      <c r="P2" s="130" t="s">
        <v>43</v>
      </c>
      <c r="Q2" s="130" t="s">
        <v>192</v>
      </c>
      <c r="R2" s="130" t="s">
        <v>200</v>
      </c>
      <c r="S2" s="130" t="s">
        <v>199</v>
      </c>
      <c r="T2" s="130" t="s">
        <v>62</v>
      </c>
      <c r="U2" s="130" t="s">
        <v>520</v>
      </c>
      <c r="V2" s="130" t="s">
        <v>14</v>
      </c>
      <c r="W2" s="130" t="s">
        <v>16</v>
      </c>
      <c r="X2" s="130" t="s">
        <v>17</v>
      </c>
      <c r="Y2" s="130" t="s">
        <v>740</v>
      </c>
      <c r="Z2" s="130" t="s">
        <v>1156</v>
      </c>
      <c r="AA2" s="130" t="s">
        <v>847</v>
      </c>
      <c r="AB2" s="130" t="s">
        <v>1157</v>
      </c>
      <c r="AC2" s="130" t="s">
        <v>868</v>
      </c>
      <c r="AD2" s="130" t="s">
        <v>1158</v>
      </c>
      <c r="AE2" s="130" t="s">
        <v>1159</v>
      </c>
      <c r="AF2" s="130" t="s">
        <v>1160</v>
      </c>
      <c r="AG2" s="130" t="s">
        <v>433</v>
      </c>
      <c r="AH2" s="130" t="s">
        <v>434</v>
      </c>
      <c r="AI2" s="130" t="s">
        <v>436</v>
      </c>
      <c r="AJ2" s="130" t="s">
        <v>438</v>
      </c>
      <c r="AK2" s="130" t="s">
        <v>439</v>
      </c>
      <c r="AL2" s="130" t="s">
        <v>1161</v>
      </c>
      <c r="AM2" s="130" t="s">
        <v>513</v>
      </c>
      <c r="AN2" s="130" t="s">
        <v>514</v>
      </c>
      <c r="AO2" s="130" t="s">
        <v>515</v>
      </c>
      <c r="AP2" s="130" t="s">
        <v>516</v>
      </c>
      <c r="AQ2" s="130" t="s">
        <v>518</v>
      </c>
      <c r="AR2" s="131" t="s">
        <v>1162</v>
      </c>
      <c r="AS2" s="131" t="s">
        <v>1163</v>
      </c>
      <c r="AT2" s="131" t="s">
        <v>953</v>
      </c>
      <c r="AU2" s="131" t="s">
        <v>1164</v>
      </c>
      <c r="AV2" s="131" t="s">
        <v>56</v>
      </c>
      <c r="AW2" s="131" t="s">
        <v>1165</v>
      </c>
      <c r="AX2" s="131" t="s">
        <v>55</v>
      </c>
      <c r="AY2" s="131" t="s">
        <v>1166</v>
      </c>
      <c r="AZ2" s="131" t="s">
        <v>1167</v>
      </c>
      <c r="BA2" s="131" t="s">
        <v>1168</v>
      </c>
      <c r="BB2" s="131" t="s">
        <v>1169</v>
      </c>
      <c r="BC2" s="131" t="s">
        <v>1170</v>
      </c>
      <c r="BD2" s="131" t="s">
        <v>1171</v>
      </c>
      <c r="BE2" s="131" t="s">
        <v>1172</v>
      </c>
      <c r="BF2" s="131" t="s">
        <v>441</v>
      </c>
      <c r="BG2" s="131" t="s">
        <v>1173</v>
      </c>
      <c r="BH2" s="131" t="s">
        <v>957</v>
      </c>
      <c r="BI2" s="131" t="s">
        <v>1174</v>
      </c>
      <c r="BJ2" s="131" t="s">
        <v>956</v>
      </c>
      <c r="BK2" s="131" t="s">
        <v>1175</v>
      </c>
      <c r="BL2" s="131" t="s">
        <v>1176</v>
      </c>
      <c r="BM2" s="131" t="s">
        <v>807</v>
      </c>
      <c r="BN2" s="131" t="s">
        <v>442</v>
      </c>
      <c r="BO2" s="131" t="s">
        <v>7</v>
      </c>
      <c r="BP2" s="131" t="s">
        <v>1177</v>
      </c>
      <c r="BQ2" s="131" t="s">
        <v>1178</v>
      </c>
      <c r="BR2" s="131" t="s">
        <v>1179</v>
      </c>
      <c r="BS2" s="131" t="s">
        <v>3</v>
      </c>
      <c r="BT2" s="131" t="s">
        <v>1180</v>
      </c>
      <c r="BU2" s="131" t="s">
        <v>1181</v>
      </c>
      <c r="BV2" s="131" t="s">
        <v>1182</v>
      </c>
      <c r="BW2" s="131" t="s">
        <v>30</v>
      </c>
      <c r="BX2" s="131" t="s">
        <v>1183</v>
      </c>
      <c r="BY2" s="131" t="s">
        <v>1184</v>
      </c>
      <c r="BZ2" s="131" t="s">
        <v>1185</v>
      </c>
      <c r="CA2" s="131" t="s">
        <v>1186</v>
      </c>
      <c r="CB2" s="131" t="s">
        <v>1187</v>
      </c>
      <c r="CC2" s="131" t="s">
        <v>1188</v>
      </c>
      <c r="CD2" s="131" t="s">
        <v>739</v>
      </c>
      <c r="CE2" s="131" t="s">
        <v>1189</v>
      </c>
      <c r="CF2" s="131" t="s">
        <v>1190</v>
      </c>
      <c r="CG2" s="131" t="s">
        <v>1191</v>
      </c>
      <c r="CH2" s="131" t="s">
        <v>9</v>
      </c>
      <c r="CI2" s="131" t="s">
        <v>1192</v>
      </c>
      <c r="CJ2" s="131" t="s">
        <v>1193</v>
      </c>
      <c r="CK2" s="131" t="s">
        <v>743</v>
      </c>
      <c r="CL2" s="131" t="s">
        <v>741</v>
      </c>
      <c r="CM2" s="131" t="s">
        <v>744</v>
      </c>
      <c r="CN2" s="131" t="s">
        <v>738</v>
      </c>
      <c r="CO2" s="131" t="s">
        <v>533</v>
      </c>
      <c r="CP2" s="131" t="s">
        <v>816</v>
      </c>
      <c r="CQ2" s="131" t="s">
        <v>1194</v>
      </c>
      <c r="CR2" s="131" t="s">
        <v>1195</v>
      </c>
      <c r="CS2" s="131" t="s">
        <v>1196</v>
      </c>
      <c r="CT2" s="131" t="s">
        <v>1197</v>
      </c>
      <c r="CU2" s="131" t="s">
        <v>1198</v>
      </c>
      <c r="CV2" s="131" t="s">
        <v>1199</v>
      </c>
      <c r="CW2" s="131" t="s">
        <v>1200</v>
      </c>
      <c r="CX2" s="131" t="s">
        <v>1201</v>
      </c>
      <c r="CY2" s="131" t="s">
        <v>1202</v>
      </c>
      <c r="CZ2" s="131" t="s">
        <v>1203</v>
      </c>
      <c r="DA2" s="131" t="s">
        <v>1204</v>
      </c>
      <c r="DB2" s="131" t="s">
        <v>1205</v>
      </c>
      <c r="DC2" s="131" t="s">
        <v>1206</v>
      </c>
      <c r="DD2" s="131" t="s">
        <v>443</v>
      </c>
      <c r="DE2" s="131" t="s">
        <v>848</v>
      </c>
      <c r="DF2" s="131" t="s">
        <v>849</v>
      </c>
      <c r="DG2" s="131" t="s">
        <v>1207</v>
      </c>
      <c r="DH2" s="131" t="s">
        <v>1208</v>
      </c>
      <c r="DI2" s="131" t="s">
        <v>1209</v>
      </c>
      <c r="DJ2" s="131" t="s">
        <v>846</v>
      </c>
      <c r="DK2" s="131" t="s">
        <v>850</v>
      </c>
      <c r="DL2" s="131" t="s">
        <v>851</v>
      </c>
      <c r="DM2" s="131" t="s">
        <v>1210</v>
      </c>
      <c r="DN2" s="131" t="s">
        <v>1211</v>
      </c>
      <c r="DO2" s="131" t="s">
        <v>852</v>
      </c>
      <c r="DP2" s="131" t="s">
        <v>1212</v>
      </c>
      <c r="DQ2" s="131" t="s">
        <v>1213</v>
      </c>
      <c r="DR2" s="131" t="s">
        <v>1214</v>
      </c>
      <c r="DS2" s="131" t="s">
        <v>1215</v>
      </c>
      <c r="DT2" s="131" t="s">
        <v>1216</v>
      </c>
      <c r="DU2" s="131" t="s">
        <v>1217</v>
      </c>
      <c r="DV2" s="131" t="s">
        <v>1218</v>
      </c>
      <c r="DW2" s="131" t="s">
        <v>1219</v>
      </c>
      <c r="DX2" s="131" t="s">
        <v>1220</v>
      </c>
      <c r="DY2" s="131" t="s">
        <v>1221</v>
      </c>
      <c r="DZ2" s="131" t="s">
        <v>1222</v>
      </c>
      <c r="EA2" s="131" t="s">
        <v>1223</v>
      </c>
      <c r="EB2" s="131" t="s">
        <v>1224</v>
      </c>
      <c r="EC2" s="131" t="s">
        <v>1225</v>
      </c>
      <c r="ED2" s="131" t="s">
        <v>1226</v>
      </c>
      <c r="EE2" s="131" t="s">
        <v>1227</v>
      </c>
      <c r="EF2" s="131" t="s">
        <v>1228</v>
      </c>
      <c r="EG2" s="131" t="s">
        <v>1229</v>
      </c>
      <c r="EH2" s="131" t="s">
        <v>1230</v>
      </c>
      <c r="EI2" s="131" t="s">
        <v>1231</v>
      </c>
      <c r="EJ2" s="131" t="s">
        <v>1232</v>
      </c>
      <c r="EK2" s="131" t="s">
        <v>1233</v>
      </c>
      <c r="EL2" s="131" t="s">
        <v>1234</v>
      </c>
      <c r="EM2" s="131" t="s">
        <v>1235</v>
      </c>
      <c r="EN2" s="131" t="s">
        <v>1236</v>
      </c>
      <c r="EO2" s="131" t="s">
        <v>1237</v>
      </c>
      <c r="EP2" s="131" t="s">
        <v>1238</v>
      </c>
      <c r="EQ2" s="131" t="s">
        <v>1239</v>
      </c>
      <c r="ER2" s="131" t="s">
        <v>1240</v>
      </c>
      <c r="ES2" s="131" t="s">
        <v>1241</v>
      </c>
      <c r="ET2" s="131" t="s">
        <v>1242</v>
      </c>
      <c r="EU2" s="131" t="s">
        <v>1243</v>
      </c>
      <c r="EV2" s="131" t="s">
        <v>1244</v>
      </c>
      <c r="EW2" s="131" t="s">
        <v>1245</v>
      </c>
      <c r="EX2" s="131" t="s">
        <v>1246</v>
      </c>
      <c r="EY2" s="131" t="s">
        <v>1247</v>
      </c>
      <c r="EZ2" s="131" t="s">
        <v>431</v>
      </c>
      <c r="FA2" s="131" t="s">
        <v>1248</v>
      </c>
      <c r="FB2" s="131" t="s">
        <v>1249</v>
      </c>
      <c r="FC2" s="131" t="s">
        <v>1250</v>
      </c>
      <c r="FD2" s="131" t="s">
        <v>1251</v>
      </c>
      <c r="FE2" s="131" t="s">
        <v>1252</v>
      </c>
      <c r="FF2" s="131" t="s">
        <v>1253</v>
      </c>
      <c r="FG2" s="131" t="s">
        <v>1254</v>
      </c>
      <c r="FH2" s="131" t="s">
        <v>742</v>
      </c>
      <c r="FI2" s="131" t="s">
        <v>1255</v>
      </c>
      <c r="FJ2" s="131" t="s">
        <v>1256</v>
      </c>
      <c r="FK2" s="131" t="s">
        <v>1257</v>
      </c>
      <c r="FL2" s="131" t="s">
        <v>1258</v>
      </c>
      <c r="FM2" s="131" t="s">
        <v>1259</v>
      </c>
      <c r="FN2" s="131" t="s">
        <v>1260</v>
      </c>
      <c r="FO2" s="131" t="s">
        <v>1261</v>
      </c>
      <c r="FP2" s="131" t="s">
        <v>1262</v>
      </c>
      <c r="FQ2" s="131" t="s">
        <v>1263</v>
      </c>
      <c r="FR2" s="131" t="s">
        <v>1264</v>
      </c>
      <c r="FS2" s="131" t="s">
        <v>1265</v>
      </c>
      <c r="FT2" s="131" t="s">
        <v>1266</v>
      </c>
      <c r="FU2" s="131" t="s">
        <v>1267</v>
      </c>
      <c r="FV2" s="131" t="s">
        <v>1268</v>
      </c>
      <c r="FW2" s="131" t="s">
        <v>1269</v>
      </c>
      <c r="FX2" s="131" t="s">
        <v>1270</v>
      </c>
      <c r="FY2" s="131" t="s">
        <v>1271</v>
      </c>
      <c r="FZ2" s="131" t="s">
        <v>1272</v>
      </c>
      <c r="GA2" s="131" t="s">
        <v>1273</v>
      </c>
      <c r="GB2" s="131" t="s">
        <v>1274</v>
      </c>
      <c r="GC2" s="131" t="s">
        <v>1275</v>
      </c>
      <c r="GD2" s="131" t="s">
        <v>1276</v>
      </c>
      <c r="GE2" s="131" t="s">
        <v>1277</v>
      </c>
      <c r="GF2" s="131" t="s">
        <v>1278</v>
      </c>
      <c r="GG2" s="131" t="s">
        <v>1279</v>
      </c>
      <c r="GH2" s="131" t="s">
        <v>1280</v>
      </c>
      <c r="GI2" s="131" t="s">
        <v>1281</v>
      </c>
      <c r="GJ2" s="131" t="s">
        <v>1282</v>
      </c>
      <c r="GK2" s="131" t="s">
        <v>1283</v>
      </c>
      <c r="GL2" s="131" t="s">
        <v>1284</v>
      </c>
      <c r="GM2" s="131" t="s">
        <v>1285</v>
      </c>
      <c r="GN2" s="131" t="s">
        <v>1286</v>
      </c>
      <c r="GO2" s="131" t="s">
        <v>1287</v>
      </c>
      <c r="GP2" s="131" t="s">
        <v>1288</v>
      </c>
      <c r="GQ2" s="131" t="s">
        <v>1289</v>
      </c>
      <c r="GR2" s="131" t="s">
        <v>1290</v>
      </c>
      <c r="GS2" s="131" t="s">
        <v>1291</v>
      </c>
      <c r="GT2" s="131" t="s">
        <v>1292</v>
      </c>
      <c r="GU2" s="131" t="s">
        <v>1293</v>
      </c>
      <c r="GV2" s="131" t="s">
        <v>1294</v>
      </c>
      <c r="GW2" s="131" t="s">
        <v>1295</v>
      </c>
      <c r="GX2" s="131" t="s">
        <v>1296</v>
      </c>
      <c r="GY2" s="131" t="s">
        <v>1297</v>
      </c>
    </row>
    <row r="3" spans="1:207" x14ac:dyDescent="0.3">
      <c r="A3" t="s">
        <v>788</v>
      </c>
      <c r="B3">
        <v>2</v>
      </c>
      <c r="C3" t="str">
        <f>IF(BD3="","",IF(BE3="вводной узел","узел ","")&amp;"л."&amp;(INT((BD3-1)/Столбцов_на_лист)+1)&amp;" / "&amp;(MOD(BD3-1,Столбцов_на_лист)+1))</f>
        <v>л.1 / 2</v>
      </c>
      <c r="D3" t="s">
        <v>746</v>
      </c>
      <c r="E3" s="133" t="s">
        <v>745</v>
      </c>
      <c r="H3">
        <v>1</v>
      </c>
      <c r="I3">
        <v>3</v>
      </c>
      <c r="J3">
        <v>400</v>
      </c>
      <c r="K3" t="s">
        <v>551</v>
      </c>
      <c r="O3" t="s">
        <v>1298</v>
      </c>
      <c r="AR3" t="str">
        <f t="shared" ref="AR3:AR66" si="0">_xlfn.TEXTJOIN("; ",TRUE,FK3,IF(DO3="НЕ ОБЕСПЕЧЕНА","категория "&amp;DE3&amp;" не обеспечена (есть "&amp;DL3&amp;")",""),IF(LEFT(FM3,3)="Icu",FM3,""),IF(AND(D3&lt;&gt;"",BS3="Не исп"),"сечение не подобрано",""))</f>
        <v/>
      </c>
      <c r="AS3" cm="1">
        <f t="array" ref="AS3">ROW()-ROW(Линии[#Headers])</f>
        <v>1</v>
      </c>
      <c r="AT3" t="str">
        <f t="shared" ref="AT3:AT66" si="1">IF(D3="","",IFERROR(LEFT(D3,SEARCH(".",D3)-1),D3))</f>
        <v>Ввод</v>
      </c>
      <c r="AU3" t="str">
        <f t="shared" ref="AU3:AU66" si="2">IFERROR(RIGHT(D3,LEN(D3)-SEARCH(".",D3)),"")</f>
        <v>1</v>
      </c>
      <c r="AV3" t="str">
        <f t="shared" ref="AV3:AV66" si="3">IFERROR(LEFT(AU3,SEARCH(".",AU3)-1),AU3)</f>
        <v>1</v>
      </c>
      <c r="AW3" t="str">
        <f t="shared" ref="AW3:AW66" si="4">IFERROR(RIGHT(AU3,LEN(AU3)-SEARCH(".",AU3)),"")</f>
        <v/>
      </c>
      <c r="AX3" t="str">
        <f t="shared" ref="AX3:AX66" si="5">IFERROR(LEFT(AW3,SEARCH(".",AW3)-1),AW3)</f>
        <v/>
      </c>
      <c r="AY3" t="str">
        <f>IF(D3="","",IF(ISERROR(SEARCH(".",D3)),IFERROR(VLOOKUP(D3,Потребители_обозначение,2,FALSE)&amp;"",""),IFERROR(IF(VLOOKUP(AT3,Потребители_обозначение,4,FALSE)=1,VLOOKUP(AT3,Потребители_обозначение,2,FALSE)&amp;" "&amp;VLOOKUP(AV3,Этаж_обозначение,2,FALSE)&amp;" Пом. №"&amp;AX3,VLOOKUP(AT3,Потребители_обозначение,2,FALSE)&amp;" Шлейф №"&amp;AV3),IFERROR(VLOOKUP(D3,Потребители_обозначение,2,FALSE),""))))</f>
        <v>Вводной кабель Шлейф №1</v>
      </c>
      <c r="AZ3" t="str">
        <f t="shared" ref="AZ3:AZ66" si="6">IF(E3&lt;&gt;"",E3,AY3)</f>
        <v>Основной ввод в дом №1</v>
      </c>
      <c r="BA3" t="str">
        <f>IF(F3&lt;&gt;"",F3,IF(AND(D3&lt;&gt;"",D3&lt;&gt;A3,ISNUMBER(_xlfn.XMATCH(D3,Щиты[Щит]))),D3,""))</f>
        <v/>
      </c>
      <c r="BB3">
        <f>IFERROR(_xlfn.XMATCH(A3,Щиты[Щит]),0)</f>
        <v>1</v>
      </c>
      <c r="BC3">
        <f>IFERROR(N(_xlfn.XLOOKUP(A3,Щиты[Щит],Щиты[Мест под вводной узел])),15)</f>
        <v>1</v>
      </c>
      <c r="BD3">
        <f t="shared" ref="BD3:BD66" si="7">IF(B3="-","",IF(ISNUMBER(B3),B3,_xlfn.LET(_xlpm.prev,IF(OR(AS3=1,A3&lt;&gt;A2),0,N(IF(AS3=1,"",BD2))),_xlpm.nx,_xlpm.prev+1,IF(AND(AL3&lt;&gt;"вручную",_xlpm.nx&lt;=BC3),BC3+1,_xlpm.nx))))</f>
        <v>2</v>
      </c>
      <c r="BE3" t="str">
        <f t="shared" ref="BE3:BE66" si="8">IF(BD3="","",IF(BD3&lt;=BC3,"вводной узел","линии"))</f>
        <v>линии</v>
      </c>
      <c r="BF3">
        <f>IF(D3="","",IF(BA3&lt;&gt;"",IFERROR(_xlfn.XLOOKUP(BA3,Щиты[Щит],Щиты[Руст, кВт]),0),N(G3)))</f>
        <v>0</v>
      </c>
      <c r="BG3">
        <f>IF(J3&lt;&gt;"",J3,IF(D3="","",IFERROR(IF(VLOOKUP(AT3,Потребители_обозначение,8,FALSE)=0,"",VLOOKUP(AT3,Потребители_обозначение,8,FALSE)),"")))</f>
        <v>400</v>
      </c>
      <c r="BH3">
        <f>IF(I3&lt;&gt;"",I3,IF(D3="","",IFERROR(IF(VLOOKUP(AT3,Потребители_обозначение,9,FALSE)=0,"",VLOOKUP(AT3,Потребители_обозначение,9,FALSE)),"")))</f>
        <v>3</v>
      </c>
      <c r="BI3" t="str">
        <f>IF(U3&lt;&gt;"",U3,IF(D3="","",IFERROR(IF(VLOOKUP(AT3,Потребители_обозначение,6,FALSE)=0,"",VLOOKUP(AT3,Потребители_обозначение,6,FALSE)),"")))</f>
        <v/>
      </c>
      <c r="BJ3" t="str">
        <f>IF(V3&lt;&gt;"",V3,IF(D3="","",IFERROR(IF(VLOOKUP(AT3,Потребители_обозначение,7,FALSE)=0,"",VLOOKUP(AT3,Потребители_обозначение,7,FALSE)),"")))</f>
        <v/>
      </c>
      <c r="BK3" t="str">
        <f>IF(W3&lt;&gt;"",W3,IF(D3="","",IFERROR(IF(VLOOKUP(AT3,Потребители_обозначение,10,FALSE)=0,"",VLOOKUP(AT3,Потребители_обозначение,10,FALSE)),"")))</f>
        <v/>
      </c>
      <c r="BL3">
        <f>IFERROR(VLOOKUP(AT3,Потребители_обозначение,5,FALSE),0)</f>
        <v>1</v>
      </c>
      <c r="BM3" cm="1">
        <f t="array" ref="BM3">IF(D3="","",IF(BA3&lt;&gt;"",IFERROR(_xlfn.XLOOKUP(BA3,Щиты[Щит],Щиты[cos φ]),0.95),IF(ISNUMBER(M3),M3,IFERROR(IF(BL3=2,_xlfn.IFS(BH3=3,VLOOKUP(BF3,Справочная_двигатели,8,FALSE),BH3=1,VLOOKUP(BF3,Справочная_двигатели,10,TRUE)),IF(AND(Методика="нормы 2026",CN3="Сил"),0.8,0.95)),0.95))))</f>
        <v>0.95</v>
      </c>
      <c r="BN3" cm="1">
        <f t="array" ref="BN3">IF(D3="","",IF(BA3&lt;&gt;"",IFERROR(_xlfn.XLOOKUP(BA3,Щиты[Щит],Щиты[Iр, А]),""),IFERROR(_xlfn.IFS(BH3=1,BF3/((Uн_лин/SQRT(3))*BM3),BH3=3,BF3/(SQRT(3)*Uн_лин*BM3)),"")))</f>
        <v>0</v>
      </c>
      <c r="BO3">
        <f>IF(D3="","",IF(N(X3)=0,IFERROR(VLOOKUP(BN3,Автомат_номиналы,2,TRUE),""),X3))</f>
        <v>6</v>
      </c>
      <c r="BP3">
        <f t="shared" ref="BP3:BP66" si="9">IF(N(BJ3)=1,1,IF(BH3=1,1,IF(N(BJ3)&gt;=4,0.92,1)))</f>
        <v>1</v>
      </c>
      <c r="BQ3">
        <f>IF(ISNUMBER(Y3),Y3,К_прокл)</f>
        <v>1</v>
      </c>
      <c r="BR3">
        <f t="shared" ref="BR3:BR66" si="10">IF(N(BJ3)=1,1,IF(BH3=1,2,3))</f>
        <v>3</v>
      </c>
      <c r="BS3" cm="1">
        <f t="array" ref="BS3">IF(D3="","",IF(N(BK3)&lt;&gt;0,BK3,IFERROR(_xlfn.LET(_xlpm.need,BO3/(BP3*BQ3),_xlpm.t,CHOOSE(BR3,Iдоп_1ж,Iдоп_2ж,Iдоп_3ж),_xlpm.k,_xlfn.XMATCH(_xlpm.need,_xlpm.t,1),IF(ISNA(_xlpm.k),"Не исп",INDEX(Iдоп_S,_xlpm.k))),"Не исп")))</f>
        <v>1.5</v>
      </c>
      <c r="BT3">
        <f>IFERROR(VLOOKUP(BS3,Кабель_сопротивление,3,FALSE),"")</f>
        <v>2.2499999999999999E-2</v>
      </c>
      <c r="BU3">
        <f>IFERROR(VLOOKUP(BS3,Кабель_сопротивление,2,FALSE),"")</f>
        <v>0.11</v>
      </c>
      <c r="BV3" t="str">
        <f t="shared" ref="BV3:BV66" si="11">IF(P3&lt;&gt;"",P3,IF(COUNT(AM3,AN3)=0,"",ROUNDUP(SUM(AM3,AN3),0)))</f>
        <v/>
      </c>
      <c r="BW3" t="str">
        <f>IF(D3="","",IFERROR(IF(VLOOKUP(AT3,Потребители_обозначение,4,FALSE)=1,VLOOKUP(AT3,Потребители_обозначение,3,FALSE)*(H3*2-1)+BV3+VLOOKUP(AV3,Этаж_обозначение,3,FALSE)+VLOOKUP(AV3,Этаж_обозначение,4,FALSE),VLOOKUP(AT3,Потребители_обозначение,3,FALSE)*(H3*2-1)+BV3),BV3))</f>
        <v/>
      </c>
      <c r="BX3" t="str">
        <f t="shared" ref="BX3:BX66" si="12">IF(R3&lt;&gt;"",R3,IF(OR(BV3="",T3=""),"",IF(T3=1,MAX(0,BW3-ROUNDUP(N(AN3),0)-4),ROUNDUP(N(AM3),0))))</f>
        <v/>
      </c>
      <c r="BY3" t="str">
        <f t="shared" ref="BY3:BY66" si="13">IF(S3&lt;&gt;"",S3,IF(OR(BV3="",T3=""),"",IF(T3=2,MAX(0,BW3-ROUNDUP(N(AM3),0)-4),ROUNDUP(N(AN3),0))))</f>
        <v/>
      </c>
      <c r="BZ3">
        <f t="shared" ref="BZ3:BZ66" si="14">IF(BH3=1,2,IF(BH3=3,1,""))</f>
        <v>1</v>
      </c>
      <c r="CA3">
        <f t="shared" ref="CA3:CA66" si="15">IFERROR(ROUND(SIN(ACOS(BM3)),2),"")</f>
        <v>0.31</v>
      </c>
      <c r="CB3" t="str">
        <f t="shared" ref="CB3:CB66" si="16">IFERROR(BZ3*(BT3*BW3/BS3*BM3+BU3*BW3*CA3/1000)*BN3,"")</f>
        <v/>
      </c>
      <c r="CC3" t="str">
        <f>IFERROR(ROUNDUP(CB3/((Uн_лин/SQRT(3))*1000)*100,2),"")</f>
        <v/>
      </c>
      <c r="CD3" t="str">
        <f>IF(ISNUMBER(CC3),CC3+IFERROR(_xlfn.XLOOKUP(A3,Щиты[Щит],Щиты[ΔU до шин, %]),0),"")</f>
        <v/>
      </c>
      <c r="CE3">
        <f>IF(D3="","",IF(IFERROR(VLOOKUP(AT3,УГО_спр,2,FALSE),"")="Светильник",3,4)+IF(Методика="нормы 2026",MIN(0.5,MAX(0,N(BW3)-100)*0.005),0))</f>
        <v>4</v>
      </c>
      <c r="CF3" t="str">
        <f>IFERROR(VLOOKUP(BI3,Кабель_обозначение,2,FALSE),"")</f>
        <v/>
      </c>
      <c r="CG3" t="str">
        <f>IFERROR(IF(VLOOKUP(BI3,Кабель_обозначение,3,FALSE)=1,CF3&amp;" ("&amp;BJ3&amp;"х"&amp;BS3&amp;")",CF3),"")</f>
        <v/>
      </c>
      <c r="CH3" t="str">
        <f t="shared" ref="CH3:CH66" si="17">IF(OR(D3="",CF3="",AND(G3&lt;&gt;"",NOT(ISNUMBER(G3)))),"",IF(BS3=0,CF3,CG3&amp;CHAR(10)&amp;"L="&amp;BW3&amp;"-"&amp;CC3&amp;"%"))</f>
        <v/>
      </c>
      <c r="CI3" t="str">
        <f>IFERROR(2*ρкз_Cu*BW3/BS3,"")</f>
        <v/>
      </c>
      <c r="CJ3">
        <f t="shared" ref="CJ3:CJ66" si="18">IFERROR(0.0175*N(BW3)/BS3,"")</f>
        <v>0</v>
      </c>
      <c r="CK3" t="str">
        <f>IFERROR(IF(OR(D3="",NOT(ISNUMBER(BS3)),N(BW3)=0),"",_xlfn.XLOOKUP(A3,Щиты[Щит],Щиты[Zпетли на шинах, Ом])+CI3),"")</f>
        <v/>
      </c>
      <c r="CL3" t="str">
        <f>IF(ISNUMBER(CK3),c_min*(Uн_лин*1000/SQRT(3))/CK3,"")</f>
        <v/>
      </c>
      <c r="CM3" t="str">
        <f>IFERROR(IF(OR(D3="",NOT(ISNUMBER(BS3))),"",1.05*(Uн_лин*1000/SQRT(3))/(_xlfn.XLOOKUP(A3,Щиты[Щит],Щиты[Zmax на шинах, Ом])+CJ3)/1000),"")</f>
        <v/>
      </c>
      <c r="CN3" t="str">
        <f>IF(D3="","",IF(BA3&lt;&gt;"","Щит",IF(K3&lt;&gt;"",K3,IF(ISNUMBER(L3),"Сил",IF(IFERROR(_xlfn.XLOOKUP(AT3,Коды_код,Коды_группа)&amp;"","")="","Быт",_xlfn.XLOOKUP(AT3,Коды_код,Коды_группа)&amp;"")))))</f>
        <v>Нет</v>
      </c>
      <c r="CO3">
        <f>IF(CN3="Щит","щит",IF(CN3="","",IF(CN3="Быт",IFERROR(_xlfn.XLOOKUP(A3,Щиты[Щит],Щиты[Кс быт]),1),IF(CN3="Сил",IF(ISNUMBER(L3),L3,IF(Методика="нормы 2026",IFERROR(_xlfn.XLOOKUP(A3,Щиты[Щит],Щиты[Кс силовых (табл. 7.5)]),1),1)),IF(OR(CN3="Пост",CN3="Отоп"),1,IF(CN3="ВНГ",0.7,0))))))</f>
        <v>0</v>
      </c>
      <c r="CP3">
        <f t="shared" ref="CP3:CP66" si="19">IF(CN3="","",IFERROR(MIN(3,MAX(1,INT(--N3))),1))</f>
        <v>1</v>
      </c>
      <c r="CQ3">
        <f t="shared" ref="CQ3:CQ66" si="20">IF(OR(CN3="",CN3="Нет",CN3="Щит"),0,N(BF3))</f>
        <v>0</v>
      </c>
      <c r="CR3">
        <f t="shared" ref="CR3:CR66" si="21">IF(CN3="Быт",N(BF3),0)</f>
        <v>0</v>
      </c>
      <c r="CS3">
        <f t="shared" ref="CS3:CS66" si="22">IF(CN3="Сил",N(BF3)*N(CO3),0)</f>
        <v>0</v>
      </c>
      <c r="CT3">
        <f t="shared" ref="CT3:CT66" si="23">IF(CN3="Пост",N(BF3),0)</f>
        <v>0</v>
      </c>
      <c r="CU3">
        <f t="shared" ref="CU3:CU66" si="24">IF(CN3="Отоп",N(BF3),0)</f>
        <v>0</v>
      </c>
      <c r="CV3">
        <f t="shared" ref="CV3:CV66" si="25">IF(CN3="ВНГ",N(BF3)*0.7,0)</f>
        <v>0</v>
      </c>
      <c r="CW3">
        <f t="shared" ref="CW3:CW66" si="26">IF(OR(D3="",CN3="Щит"),0,N(BF3))</f>
        <v>0</v>
      </c>
      <c r="CX3">
        <f t="shared" ref="CX3:CX66" si="27">IF(OR(D3="",CN3="Щит"),0,N(BF3)*N(BM3))</f>
        <v>0</v>
      </c>
      <c r="CY3">
        <f t="shared" ref="CY3:CY66" si="28">_xlfn.LET(_xlpm.prev,IF(OR(OR(AS3=1,A3&lt;&gt;A2)),0,N(IF(AS3=1,"",CY2))),IF(OR(D3="",BH3=3),_xlpm.prev,IF(_xlpm.prev&gt;=3,1,_xlpm.prev+1)))</f>
        <v>0</v>
      </c>
      <c r="CZ3" t="str">
        <f t="shared" ref="CZ3:CZ66" si="29">IF(D3="","",IF(BH3=3,"L1,L2,L3","L"&amp;MAX(1,CY3)))</f>
        <v>L1,L2,L3</v>
      </c>
      <c r="DA3" cm="1">
        <f t="array" ref="DA3">IFERROR(IF(BL3=2,_xlfn.IFS(BH3=3,VLOOKUP(BF3,Справочная_двигатели,3,FALSE),BH3=1,VLOOKUP(BF3,Справочная_двигатели,5,TRUE)),0),0)</f>
        <v>0</v>
      </c>
      <c r="DB3">
        <f>IFERROR(IF(BL3=3,VLOOKUP(BF3,Справочная_ЛЭД,2,TRUE),0),0)</f>
        <v>0</v>
      </c>
      <c r="DC3">
        <f t="shared" ref="DC3:DC66" si="30">IF(D3="","",IF(DA3=0,DB3,DA3))</f>
        <v>0</v>
      </c>
      <c r="DD3" t="str">
        <f t="shared" ref="DD3:DD66" si="31">IF(D3="","",IF(O3="упр","",IF(O3="",CZ3,IF(O3&amp;""="1,2,3","L1,L2,L3","L"&amp;O3))))</f>
        <v>L1,L2,L3</v>
      </c>
      <c r="DE3" t="str" cm="1">
        <f t="array" ref="DE3">IF(D3="","",IFERROR(INDEX({"I особая","I","II","III"},MATCH(TRIM(AA3&amp;""),{"I особая","I","II","III"},0)),"III"))</f>
        <v>III</v>
      </c>
      <c r="DF3" t="str">
        <f>IF(D3="","",IF(TRIM(AB3&amp;"")&lt;&gt;"",IF(LOWER(TRIM(AB3&amp;""))="да","да","нет"),IF(IFERROR(_xlfn.XLOOKUP(AT3,Коды_код,Коды_пожарная),"")="да","да","нет")))</f>
        <v>нет</v>
      </c>
      <c r="DG3" t="str">
        <f t="shared" ref="DG3:DG66" si="32">IF(AC3&lt;&gt;"",AC3,IF(AD3&lt;&gt;"","",IF(EK3="","",IF(AS3=1,"",DG2))))</f>
        <v/>
      </c>
      <c r="DH3" t="str">
        <f t="shared" ref="DH3:DH66" si="33">IF(D3="","",IF(DG3="","основная",DG3))</f>
        <v>основная</v>
      </c>
      <c r="DI3">
        <f t="shared" ref="DI3:DI66" si="34">IFERROR(MIN(3,MAX(1,INT(--N3))),1)</f>
        <v>1</v>
      </c>
      <c r="DJ3" t="str" cm="1">
        <f t="array" ref="DJ3">IF(D3="","",_xlfn.LET(_xlpm.t,IFERROR(_xlfn.XLOOKUP(1,(Шины[Шина]=DH3)*(((Шины[Щит]=A3)+(Шины[Щит]=""))&gt;0),Шины[Тип]),"")&amp;"",IF(_xlpm.t&lt;&gt;"",_xlpm.t,IF(ISNUMBER(SEARCH("ИБП",DH3)),"ИБП",IF(ISNUMBER(SEARCH("ДГУ",DH3)),"ДГУ","Ввод "&amp;DI3)))))</f>
        <v>Ввод 1</v>
      </c>
      <c r="DK3" t="str">
        <f t="shared" ref="DK3:DK66" si="35">IF(D3="","",IF(OR(DJ3="ИБП",DJ3="ДГУ"),DJ3,IF(LEFT(DJ3,5)="Ввод ",DJ3,"Ввод "&amp;DI3)))</f>
        <v>Ввод 1</v>
      </c>
      <c r="DL3" t="str">
        <f>IF(D3="","",IF(OR(DJ3="ИБП",DJ3="ДГУ"),"I особая",IF(DJ3="Одиночная","III",_xlfn.XLOOKUP(A3,Щиты[Щит],Щиты[Категория шины «Ввод»],"III"))))</f>
        <v>I</v>
      </c>
      <c r="DM3">
        <f>IF(D3="",0,IFERROR(MATCH(DE3,{"III","II","I","I особая"},0),1))</f>
        <v>1</v>
      </c>
      <c r="DN3">
        <f t="shared" ref="DN3:DN66" si="36">IF(OR(DJ3="ИБП",DJ3="ДГУ"),MIN(DM3,3),DM3)</f>
        <v>1</v>
      </c>
      <c r="DO3" t="str">
        <f>IF(D3="","",IF(DM3&gt;IFERROR(MATCH(DL3,{"III","II","I","I особая"},0),1),"НЕ ОБЕСПЕЧЕНА","ОК"))</f>
        <v>ОК</v>
      </c>
      <c r="DP3" t="str">
        <f>IF(A3="","",_xlfn.XLOOKUP(A3,Щиты[Щит],Щиты[Путь],""))</f>
        <v>|ГРЩ-ЖД|</v>
      </c>
      <c r="DQ3" t="str">
        <f>IF(D3="","",IF(Z3&lt;&gt;"",Z3,IF(IFERROR(_xlfn.XLOOKUP(AT3,Коды_код,Коды_вид)&amp;"","")="","Прочее",_xlfn.XLOOKUP(AT3,Коды_код,Коды_вид)&amp;"")))</f>
        <v>Прочее</v>
      </c>
      <c r="DR3">
        <f>IF(BD3="","",INT((BD3-1)/Столбцов_на_лист)+1)</f>
        <v>1</v>
      </c>
      <c r="DS3" t="str">
        <f t="shared" ref="DS3:DS66" si="37">IF(D3="","",SUBSTITUTE(CH3,CHAR(10)," "))</f>
        <v/>
      </c>
      <c r="DT3">
        <f t="shared" ref="DT3:DT66" si="38">IF(D3="","",IFERROR(--BF3,""))</f>
        <v>0</v>
      </c>
      <c r="DU3">
        <f t="shared" ref="DU3:DU66" si="39">IF(D3="","",IFERROR(ROUNDUP(BN3,2),""))</f>
        <v>0</v>
      </c>
      <c r="DV3">
        <f t="shared" ref="DV3:DV66" si="40">IF(D3="","",IFERROR(--BH3,1))</f>
        <v>3</v>
      </c>
      <c r="DW3">
        <f>IF(AT3="",0,_xlfn.LET(_xlpm.v,IFERROR(VLOOKUP(D3,УГО_спр,3,FALSE),IFERROR(VLOOKUP(AT3,УГО_спр,3,FALSE),IFERROR(VLOOKUP(LEFT(AT3,2),УГО_спр,3,FALSE),""))),IF(_xlpm.v="да",30,IF(ISNUMBER(_xlpm.v),_xlpm.v,0))))</f>
        <v>0</v>
      </c>
      <c r="DX3">
        <f t="shared" ref="DX3:DX66" si="41">IF(OR(AJ3="+",AND(D3&lt;&gt;"",D3=IF(AS3=1,"",D2))),1,0)</f>
        <v>0</v>
      </c>
      <c r="DY3" t="str">
        <f>IF(BD3="","",IF(AD3&lt;&gt;"",COUNTIFS(A$3:A3,A3,AD$3:AD3,"?*"),IF(OR(OR(AS3=1,A3&lt;&gt;A2),AL3="вручную"),"",IF(AS3=1,"",DZ2))))</f>
        <v/>
      </c>
      <c r="DZ3" t="str">
        <f t="shared" ref="DZ3:DZ66" si="42">IF(BD3="",IF(OR(AS3=1,A3&lt;&gt;A2),"",IF(AS3=1,"",DZ2)),DY3)</f>
        <v/>
      </c>
      <c r="EA3">
        <f>IF(D3="",0,MAX(IFERROR(--X3,0),IFERROR(--VLOOKUP(D3,УГО_спр,4,FALSE),IFERROR(--VLOOKUP(AT3,УГО_спр,4,FALSE),IFERROR(--VLOOKUP(LEFT(AT3,2),УГО_спр,4,FALSE),0)))))</f>
        <v>0</v>
      </c>
      <c r="EB3">
        <f>IF(D3="","",IFERROR(LOOKUP(INDEX(CHOOSE(BR3,Iдоп_1ж,Iдоп_2ж,Iдоп_3ж),MATCH(BS3,Iдоп_S,0))*BP3*BQ3,{6,10,16,20,25,32,40,50,63,80,100,125,160,200,250,315,400,500,630}),""))</f>
        <v>16</v>
      </c>
      <c r="EC3" t="str">
        <f>IF(AD3="","",SUMIFS(Линии[_Ток схемы],Линии[_гр.],DY3,Линии[Щит],A3,Линии[_в кабель выше],0))</f>
        <v/>
      </c>
      <c r="ED3" t="str">
        <f>IF(AD3="","",IFERROR(VLOOKUP(EC3,Автомат_номиналы,2,TRUE),""))</f>
        <v/>
      </c>
      <c r="EE3" t="str">
        <f>IF(AD3="","",MAX(N(ED3),_xlfn.MAXIFS(Линии[_мин. по типу],Линии[_гр.],DY3,Линии[Щит],A3)))</f>
        <v/>
      </c>
      <c r="EF3" t="str">
        <f>IF(AD3="","",_xlfn.MINIFS(Линии[_макс. автомат по кабелю],Линии[_гр.],DY3,Линии[Щит],A3))</f>
        <v/>
      </c>
      <c r="EG3" t="str">
        <f>IF(AD3="","",MAX(1,_xlfn.MAXIFS(Линии[_фаз],Линии[_гр.],DY3,Линии[Щит],A3)))</f>
        <v/>
      </c>
      <c r="EH3" t="str">
        <f>IF(AD3="","",IF(AND(AD3&lt;&gt;"авто",AD3&lt;&gt;"+"),IF(ISNUMBER(SEARCH("мА",AD3)),IFERROR(--TRIM(RIGHT(SUBSTITUTE(LEFT(AD3,SEARCH("мА",AD3)-1)," ",REPT(" ",9)),6)),30),0),IF(AE3="нет",0,IF(ISNUMBER(AE3),AE3,IF(AE3="да",30,_xlfn.MINIFS(Линии[_дифзащита по коду, мА],Линии[_гр.],DY3,Линии[Щит],A3,Линии[_дифзащита по коду, мА],"&gt;0"))))))</f>
        <v/>
      </c>
      <c r="EI3" t="str">
        <f t="shared" ref="EI3:EI66" si="43">IF(AD3="","",IF(N(EH3)&gt;0,1,0))</f>
        <v/>
      </c>
      <c r="EJ3" t="str">
        <f t="shared" ref="EJ3:EJ66" si="44">IF(AD3="","",IF(EI3=1,"QFD","QF")&amp;DY3)</f>
        <v/>
      </c>
      <c r="EK3" t="str">
        <f t="shared" ref="EK3:EK66" si="45">IF(EJ3&lt;&gt;"",EJ3,IF(OR(OR(AS3=1,A3&lt;&gt;A2),AL3="вручную"),"",IF(AS3=1,"",EK2)))</f>
        <v/>
      </c>
      <c r="EL3" t="str">
        <f t="shared" ref="EL3:EL66" si="46">IF(EJ3&lt;&gt;"",_xlfn.TEXTJOIN(" → ",TRUE,AF3,AG3,AH3),IF(EK3="","",IF(AS3=1,"",EL2)))</f>
        <v/>
      </c>
      <c r="EM3">
        <f t="shared" ref="EM3:EM66" si="47">IF(EL3="",0,IF(OR(LEFT(EL3,2)="T ",LEFT(EL3,2)="Т ",ISNUMBER(SEARCH("→ T ",EL3)),ISNUMBER(SEARCH("→ Т ",EL3)),ISNUMBER(SEARCH("БП",EL3))),1,0))</f>
        <v>0</v>
      </c>
      <c r="EN3" t="str">
        <f>IF(AD3="","",IF(EM3=1,MAX(EE3,Мин_автомат_БП),EE3))</f>
        <v/>
      </c>
      <c r="EO3" t="str">
        <f t="shared" ref="EO3:EO66" si="48">IF(AD3="","",IF(EG3&gt;=3,IF(EI3=1,"4P","3P"),IF(EI3=1,"2P","1P")))</f>
        <v/>
      </c>
      <c r="EP3" t="str">
        <f t="shared" ref="EP3:EP66" si="49">IF(AD3="","",IF(AND(AD3&lt;&gt;"авто",AD3&lt;&gt;"+"),AD3,EO3&amp;" С"&amp;EN3&amp;"А"&amp;IF(EI3=1," "&amp;EH3&amp;"мА","")))</f>
        <v/>
      </c>
      <c r="EQ3" t="str">
        <f t="shared" ref="EQ3:EQ66" si="50">IF(EP3="","",_xlfn.LET(_xlpm.t,SUBSTITUTE(SUBSTITUTE(UPPER(EP3),"С","C"),"А","A"),_xlpm.c,FIND("C",_xlpm.t),IFERROR(--MID(_xlpm.t,_xlpm.c+1,FIND("A",_xlpm.t&amp;"A",_xlpm.c)-_xlpm.c-1),"")))</f>
        <v/>
      </c>
      <c r="ER3" t="str">
        <f>IF(OR(AI3="",AI3="-"),"",IFERROR(VLOOKUP(AI3,Модули_спр,2,FALSE),"R"))</f>
        <v/>
      </c>
      <c r="ES3" t="str">
        <f>IF(ER3="","",ER3&amp;"."&amp;COUNTIFS(A$3:A3,A3,ER$3:ER3,ER3))</f>
        <v/>
      </c>
      <c r="ET3" t="str">
        <f t="shared" ref="ET3:ET66" si="51">IF(AI3="-","",IF(ES3&lt;&gt;"",ES3,IF(OR(AS3=1,A3&lt;&gt;A2),"",IF(AS3=1,"",ET2))))</f>
        <v/>
      </c>
      <c r="EU3" t="str">
        <f t="shared" ref="EU3:EU66" si="52">IF(ET3="","",IF(AND(AI3&lt;&gt;"",AI3&lt;&gt;"-"),AI3,IF(AS3=1,"",EU2)))</f>
        <v/>
      </c>
      <c r="EV3" t="str">
        <f t="shared" ref="EV3:EV66" si="53">IF(AJ3="=",IF(AS3=1,"",EW2),IF(ISNUMBER(AJ3),AJ3,IF(ET3="","",IF(OR(D3&lt;&gt;"",AJ3="+",AJ3="р"),IF(OR(ES3&lt;&gt;"",IF(AS3=1,"",EW2)=""),1,IF(AS3=1,"",EW2)+1),""))))</f>
        <v/>
      </c>
      <c r="EW3" t="str">
        <f t="shared" ref="EW3:EW66" si="54">IF(EV3&lt;&gt;"",EV3,IF(OR(OR(AS3=1,A3&lt;&gt;A2),AI3="-",ES3&lt;&gt;""),"",IF(AS3=1,"",EW2)))</f>
        <v/>
      </c>
      <c r="EX3">
        <f t="shared" ref="EX3:EX66" si="55">IF(AJ3="б/к",0,IF(OR(ISNUMBER(SEARCH("L=",CH3)),AJ3="+",AJ3="="),1,0))</f>
        <v>0</v>
      </c>
      <c r="EY3" t="str">
        <f>IF(AK3="нет","",IF(AK3&lt;&gt;"",AK3,IF(EX3=1,"XT"&amp;COUNTIFS(A$3:A3,A3,EX$3:EX3,1),"")))</f>
        <v/>
      </c>
      <c r="EZ3" t="str">
        <f t="shared" ref="EZ3:EZ66" si="56">IF(OR(D3&lt;&gt;"",EV3&lt;&gt;"",EX3=1),EK3,"")</f>
        <v/>
      </c>
      <c r="FA3" t="str">
        <f t="shared" ref="FA3:FA66" si="57">IF(OR(EV3&lt;&gt;"",AND(AI3&lt;&gt;"",AI3&lt;&gt;"-")),ET3,"")</f>
        <v/>
      </c>
      <c r="FB3" t="str">
        <f t="shared" ref="FB3:FB66" si="58">IF(AD3="","",IF(NOT(ISNUMBER(EQ3)),"",IF(EC3&gt;EQ3,"ПЕРЕГРУЗ",IF(AND(EM3=0,EF3&gt;0,EQ3&gt;EF3),"КАБЕЛЬ НЕ ЗАЩИЩЁН","ok"))))</f>
        <v/>
      </c>
      <c r="FC3" t="str">
        <f>IF(OR(EV3="",ET3=""),"",IF(EV3&gt;IFERROR(VLOOKUP(EU3,Модули_спр,3,FALSE),99),"ЛИШНИЙ КАНАЛ",IF(AND(AJ3&lt;&gt;"=",COUNTIFS(Линии[_модуль гр.],ET3,Линии[Канал (итог)],EV3,Линии[Канал],"&lt;&gt;=",Линии[Щит],A3)&gt;1),"ДУБЛЬ КАНАЛА","")))</f>
        <v/>
      </c>
      <c r="FD3" t="str">
        <f t="shared" ref="FD3:FD66" si="59">IF(AD3&lt;&gt;"",EQ3,IF(EK3="","",IF(AS3=1,"",FD2)))</f>
        <v/>
      </c>
      <c r="FE3" t="str">
        <f t="shared" ref="FE3:FE66" si="60">IF(AD3&lt;&gt;"",EP3,IF(EK3="","",IF(AS3=1,"",FE2)))</f>
        <v/>
      </c>
      <c r="FF3" t="str">
        <f t="shared" ref="FF3:FF66" si="61">IF(AD3&lt;&gt;"",EI3,IF(EK3="","",IF(AS3=1,"",FF2)))</f>
        <v/>
      </c>
      <c r="FG3" t="str">
        <f t="shared" ref="FG3:FG66" si="62">IF(AD3&lt;&gt;"",EH3,IF(EK3="","",IF(AS3=1,"",FG2)))</f>
        <v/>
      </c>
      <c r="FH3" t="str">
        <f t="shared" ref="FH3:FH66" si="63">IFERROR(IF(ISNUMBER(CL3),CL3/IFERROR(--FD3,N(BO3)),""),"")</f>
        <v/>
      </c>
      <c r="FI3">
        <f t="shared" ref="FI3:FI66" si="64">IF(OR(ISNUMBER(SEARCH(" B"," "&amp;FE3)),ISNUMBER(SEARCH(" В"," "&amp;FE3))),5,IF(ISNUMBER(SEARCH(" D"," "&amp;FE3)),20,10))</f>
        <v>10</v>
      </c>
      <c r="FJ3" t="str">
        <f t="shared" ref="FJ3:FJ66" si="65">IF(NOT(ISNUMBER(FH3)),"",IF(FH3&gt;=FI3,"ok",IF(N(FF3)=1,"ok (дифзащита "&amp;FG3&amp;" мА)","мало: Iкз &lt; "&amp;FI3&amp;"·In")))</f>
        <v/>
      </c>
      <c r="FK3" t="str">
        <f>IF(AND(D3="",EZ3=""),"",_xlfn.TEXTJOIN("; ",TRUE,IF(AND(D3&lt;&gt;"",DD3=""),"нет фазы",""),IF(AND(D3&lt;&gt;"",N(DT3)=0,CN3&lt;&gt;"Нет"),"нет мощности",""),IF(AND(EY3&lt;&gt;"",COUNTIFS(Линии[Щит],A3,Линии[Клемма (итог)],EY3)&gt;1),"дубль клеммы "&amp;EY3,""),IF(AND(FB3&lt;&gt;"",FB3&lt;&gt;"ok"),FB3,""),IF(FC3&lt;&gt;"",FC3,""),IF(AND(ISNUMBER(SEARCH("(5х",DS3)),N(DV3)=1),"5 жил на 1 фазе",""),IF(AND(AT3="R",AD3&lt;&gt;"",OR(N(EH3)=0,N(EH3)&gt;30)),"розетка без дифзащиты до 30 мА",""),IFERROR(IF(AND(ISNUMBER(CD3),CD3&gt;CE3),"потери "&amp;FIXED(CD3,1)&amp;" % &gt; "&amp;CE3&amp;" %",""),""),IFERROR(IF(LEFT(FJ3,4)="мало","Iкз мало — отключение &gt; 0,4 с",""),""),IF(AND(D3&lt;&gt;"",BD3=""),"не на схеме","")))</f>
        <v/>
      </c>
      <c r="FL3" t="str">
        <f>IF(AD3="","",_xlfn.LET(_xlpm.t,IFERROR(_xlfn.XLOOKUP(EP3,Каталог!$U$4:$U$500,Каталог!$G$4:$G$500),""),_xlpm.k,SEARCH("кА",_xlpm.t),IFERROR(--TRIM(RIGHT(SUBSTITUTE(MID(_xlpm.t,MAX(1,_xlpm.k-4),_xlpm.k-MAX(1,_xlpm.k-4))," ",REPT(" ",9)),5)),"")))</f>
        <v/>
      </c>
      <c r="FM3" t="str">
        <f>IF(OR(FL3="",AD3=""),"",IF(_xlfn.XLOOKUP(A3,Щиты[Щит],Щиты[Iкз max на шинах, кА],"")="","",IF(FL3&lt;_xlfn.XLOOKUP(A3,Щиты[Щит],Щиты[Iкз max на шинах, кА]),"Icu "&amp;FL3&amp;" кА &lt; Iкз max","ok")))</f>
        <v/>
      </c>
      <c r="FN3" t="str">
        <f t="shared" ref="FN3:FN66" si="66">IF(OR(AL3="вручную",BD3="",AND(D3="",EY3="")),"",_xlfn.TEXTJOIN("|",TRUE,EK3,SUBSTITUTE(EL3," → ","|"),IF(ET3&lt;&gt;"",ET3&amp;IF(EV3&lt;&gt;""," к."&amp;EV3,""),""),EY3))</f>
        <v/>
      </c>
      <c r="FO3" t="str">
        <f t="shared" ref="FO3:FO66" si="67">IF(FN3="","",FN3&amp;IF(D3&lt;&gt;"","|кабель "&amp;CG3&amp;" → "&amp;AZ3,""))</f>
        <v/>
      </c>
      <c r="FP3" t="str" cm="1">
        <f t="array" ref="FP3">IF(FO3="","",_xlfn.LET(_xlpm.nd,_xlfn.TEXTSPLIT(FO3,"|"),IF(COLUMNS(_xlpm.nd)&gt;1,A3&amp;"¦"&amp;INDEX(_xlpm.nd,1)&amp;"¦"&amp;INDEX(_xlpm.nd,2),"")))</f>
        <v/>
      </c>
      <c r="FQ3" t="str">
        <f t="shared" ref="FQ3:FQ66" si="68">IF(FP3="","",D3&amp;"¦"&amp;AZ3)</f>
        <v/>
      </c>
      <c r="FR3" t="str" cm="1">
        <f t="array" ref="FR3">IF(FO3="","",_xlfn.LET(_xlpm.nd,_xlfn.TEXTSPLIT(FO3,"|"),IF(COLUMNS(_xlpm.nd)&gt;2,A3&amp;"¦"&amp;INDEX(_xlpm.nd,2)&amp;"¦"&amp;INDEX(_xlpm.nd,3),"")))</f>
        <v/>
      </c>
      <c r="FS3" t="str">
        <f t="shared" ref="FS3:FS66" si="69">IF(FR3="","",D3&amp;"¦"&amp;AZ3)</f>
        <v/>
      </c>
      <c r="FT3" t="str" cm="1">
        <f t="array" ref="FT3">IF(FO3="","",_xlfn.LET(_xlpm.nd,_xlfn.TEXTSPLIT(FO3,"|"),IF(COLUMNS(_xlpm.nd)&gt;3,A3&amp;"¦"&amp;INDEX(_xlpm.nd,3)&amp;"¦"&amp;INDEX(_xlpm.nd,4),"")))</f>
        <v/>
      </c>
      <c r="FU3" t="str">
        <f t="shared" ref="FU3:FU66" si="70">IF(FT3="","",D3&amp;"¦"&amp;AZ3)</f>
        <v/>
      </c>
      <c r="FV3" t="str" cm="1">
        <f t="array" ref="FV3">IF(FO3="","",_xlfn.LET(_xlpm.nd,_xlfn.TEXTSPLIT(FO3,"|"),IF(COLUMNS(_xlpm.nd)&gt;4,A3&amp;"¦"&amp;INDEX(_xlpm.nd,4)&amp;"¦"&amp;INDEX(_xlpm.nd,5),"")))</f>
        <v/>
      </c>
      <c r="FW3" t="str">
        <f t="shared" ref="FW3:FW66" si="71">IF(FV3="","",D3&amp;"¦"&amp;AZ3)</f>
        <v/>
      </c>
      <c r="FX3" t="str" cm="1">
        <f t="array" ref="FX3">IF(FO3="","",_xlfn.LET(_xlpm.nd,_xlfn.TEXTSPLIT(FO3,"|"),IF(COLUMNS(_xlpm.nd)&gt;5,A3&amp;"¦"&amp;INDEX(_xlpm.nd,5)&amp;"¦"&amp;INDEX(_xlpm.nd,6),"")))</f>
        <v/>
      </c>
      <c r="FY3" t="str">
        <f t="shared" ref="FY3:FY66" si="72">IF(FX3="","",D3&amp;"¦"&amp;AZ3)</f>
        <v/>
      </c>
      <c r="FZ3" t="str" cm="1">
        <f t="array" ref="FZ3">IF(FO3="","",_xlfn.LET(_xlpm.nd,_xlfn.TEXTSPLIT(FO3,"|"),IF(COLUMNS(_xlpm.nd)&gt;6,A3&amp;"¦"&amp;INDEX(_xlpm.nd,6)&amp;"¦"&amp;INDEX(_xlpm.nd,7),"")))</f>
        <v/>
      </c>
      <c r="GA3" t="str">
        <f t="shared" ref="GA3:GA66" si="73">IF(FZ3="","",D3&amp;"¦"&amp;AZ3)</f>
        <v/>
      </c>
      <c r="GB3" t="str">
        <f t="shared" ref="GB3:GB66" si="74">IF(FA3="","",EU3)</f>
        <v/>
      </c>
      <c r="GC3" t="str">
        <f t="shared" ref="GC3:GC66" si="75">IF(AND(D3="",EV3="",EY3=""),"",_xlfn.TEXTJOIN(" → ",TRUE,EK3,EL3,IF(ET3&lt;&gt;"",ET3&amp;IF(EV3&lt;&gt;""," к."&amp;EV3,""),IF(EV3&lt;&gt;"","к."&amp;EV3,"")),EY3,IF(DX3=1,"(в кабель выше)","")))</f>
        <v/>
      </c>
      <c r="GD3">
        <f t="shared" ref="GD3:GD66" si="76">IF(OR(BD3="",AL3="вручную",AND(BE3="вводной узел",AL3&lt;&gt;"рисовать")),0,1)</f>
        <v>1</v>
      </c>
      <c r="GE3">
        <f t="shared" ref="GE3:GE66" si="77">IF(AC3="",0,1)</f>
        <v>0</v>
      </c>
      <c r="GF3">
        <f t="shared" ref="GF3:GF66" si="78">IF(EJ3="",0,IF(LEFT(EJ3,3)="QFD",1,0))</f>
        <v>0</v>
      </c>
      <c r="GG3" t="str">
        <f t="shared" ref="GG3:GG66" si="79">IF(AJ3="=","=",IF(AJ3="+","+",IF(AJ3="р","R","")))</f>
        <v/>
      </c>
      <c r="GH3" t="str">
        <f t="shared" ref="GH3:GH66" si="80">IF(AF3="","",IF(OR(LEFT(AF3,1)="T",LEFT(AF3,1)="Т"),"T",IF(LEFT(UPPER(AF3),2)="БП","PS",IF(OR(LEFT(UPPER(AF3),2)="МК",LEFT(UPPER(AF3),2)="MK"),"MK",IF(OR(LEFT(UPPER(AF3),2)="КМ",LEFT(UPPER(AF3),2)="KM"),"KM","X")))))</f>
        <v/>
      </c>
      <c r="GI3" t="str">
        <f t="shared" ref="GI3:GI66" si="81">IF(AG3="","",IF(OR(LEFT(AG3,1)="T",LEFT(AG3,1)="Т"),"T",IF(LEFT(UPPER(AG3),2)="БП","PS",IF(OR(LEFT(UPPER(AG3),2)="МК",LEFT(UPPER(AG3),2)="MK"),"MK",IF(OR(LEFT(UPPER(AG3),2)="КМ",LEFT(UPPER(AG3),2)="KM"),"KM","X")))))</f>
        <v/>
      </c>
      <c r="GJ3" t="str">
        <f t="shared" ref="GJ3:GJ66" si="82">IF(AH3="","",IF(OR(LEFT(AH3,1)="T",LEFT(AH3,1)="Т"),"T",IF(LEFT(UPPER(AH3),2)="БП","PS",IF(OR(LEFT(UPPER(AH3),2)="МК",LEFT(UPPER(AH3),2)="MK"),"MK",IF(OR(LEFT(UPPER(AH3),2)="КМ",LEFT(UPPER(AH3),2)="KM"),"KM","X")))))</f>
        <v/>
      </c>
      <c r="GK3">
        <f>IF(D3="","",IFERROR(VLOOKUP(D3,УГО_спр,2,FALSE),IFERROR(VLOOKUP(AT3,УГО_спр,2,FALSE),IFERROR(VLOOKUP(LEFT(AT3,2),УГО_спр,2,FALSE),""))))</f>
        <v>0</v>
      </c>
      <c r="GL3" t="str">
        <f>IF(D3="","",IF(OR(GK3="",GK3=0),"BOX",IFERROR(IF(VLOOKUP(GK3,УГО_блоки,3,FALSE)&amp;""&lt;&gt;"",VLOOKUP(GK3,УГО_блоки,3,FALSE),VLOOKUP(GK3,УГО_блоки,2,FALSE)),GK3)))</f>
        <v>BOX</v>
      </c>
      <c r="GM3">
        <f t="shared" ref="GM3:GM66" si="83">IF(D3="",0,1)</f>
        <v>1</v>
      </c>
      <c r="GN3" t="str">
        <f>IF(EP3="","",IF(COUNTIF(EP$3:EP3,EP3)=1,MAX(GN$2:GN2)+1,""))</f>
        <v/>
      </c>
      <c r="GO3" t="str">
        <f>IF(AF3="","",IF(COUNTIF(AF$3:AF3,AF3)+COUNTIF(AG$2:AG2,AF3)+COUNTIF(AH$2:AH2,AF3)=1,MAX(GO$2:GQ2)+1,""))</f>
        <v/>
      </c>
      <c r="GP3" t="str">
        <f>IF(AG3="","",IF(COUNTIF(AF$3:AF3,AG3)+COUNTIF(AG$3:AG3,AG3)+COUNTIF(AH$2:AH2,AG3)=1,MAX(GO$2:GQ2,GO3)+1,""))</f>
        <v/>
      </c>
      <c r="GQ3" t="str">
        <f>IF(AH3="","",IF(COUNTIF(AF$3:AF3,AH3)+COUNTIF(AG$3:AG3,AH3)+COUNTIF(AH$3:AH3,AH3)=1,MAX(GO$2:GQ2,GO3,GP3)+1,""))</f>
        <v/>
      </c>
      <c r="GR3" t="str">
        <f t="shared" ref="GR3:GR66" si="84">IF(EX3=1,IFERROR(MID(DS3,FIND(" (",DS3)+2,FIND(")",DS3,FIND(" (",DS3))-FIND(" (",DS3)-2),"?"),"")</f>
        <v/>
      </c>
      <c r="GS3" t="str">
        <f>IF(GR3="","",IF(COUNTIF(GR$3:GR3,GR3)=1,MAX(GS$2:GS2)+1,""))</f>
        <v/>
      </c>
      <c r="GT3" t="str">
        <f>IF(ES3="","",COUNTIF(ES$3:ES3,"?*"))</f>
        <v/>
      </c>
      <c r="GU3" t="str">
        <f>IF(OR(ES3="",EU3=""),"",IF(COUNTIFS(ES$3:ES3,"?*",EU$3:EU3,EU3)=1,MAX(GU$2:GU2)+1,""))</f>
        <v/>
      </c>
      <c r="GV3">
        <f t="shared" ref="GV3:GV66" si="85">IF(FK3="",0,IF(OR(ISNUMBER(SEARCH("дубль",FK3)),ISNUMBER(SEARCH("ПЕРЕГРУЗ",FK3)),ISNUMBER(SEARCH("ЗАЩИЩ",FK3)),ISNUMBER(SEARCH("КАНАЛ",FK3)),ISNUMBER(SEARCH("без диф",FK3))),2,1))</f>
        <v>0</v>
      </c>
      <c r="GW3">
        <f>IF(D3="","",COUNTIF(D$3:D3,"?*"))</f>
        <v>1</v>
      </c>
      <c r="GX3">
        <f>IF(EX3&lt;&gt;1,0,_xlfn.LET(_xlpm.k,MAX(IFERROR(--VLOOKUP(D3,УГО_спр,5,FALSE),0),IFERROR(--VLOOKUP(AT3,УГО_спр,5,FALSE),0),IFERROR(--VLOOKUP(LEFT(AT3,2),УГО_спр,5,FALSE),0)),IF(_xlpm.k&gt;0,_xlpm.k,IF(IFERROR(--LEFT(SUBSTITUTE(GR3,"x","х"),FIND("х",SUBSTITUTE(GR3,"x","х"))-1),3)&gt;3,Каталог!$S$9,1))))</f>
        <v>0</v>
      </c>
      <c r="GY3">
        <f t="shared" ref="GY3:GY66" si="86">IF(EX3&lt;&gt;1,0,MAX(0,IFERROR(--LEFT(SUBSTITUTE(GR3,"x","х"),FIND("х",SUBSTITUTE(GR3,"x","х"))-1),3)-3*GX3))</f>
        <v>0</v>
      </c>
    </row>
    <row r="4" spans="1:207" x14ac:dyDescent="0.3">
      <c r="A4" t="s">
        <v>788</v>
      </c>
      <c r="B4">
        <v>4</v>
      </c>
      <c r="C4" t="str">
        <f>IF(BD4="","",IF(BE4="вводной узел","узел ","")&amp;"л."&amp;(INT((BD4-1)/Столбцов_на_лист)+1)&amp;" / "&amp;(MOD(BD4-1,Столбцов_на_лист)+1))</f>
        <v>л.1 / 4</v>
      </c>
      <c r="D4" t="s">
        <v>748</v>
      </c>
      <c r="E4" s="133" t="s">
        <v>747</v>
      </c>
      <c r="H4">
        <v>1</v>
      </c>
      <c r="I4">
        <v>3</v>
      </c>
      <c r="J4">
        <v>400</v>
      </c>
      <c r="K4" t="s">
        <v>551</v>
      </c>
      <c r="O4" t="s">
        <v>1298</v>
      </c>
      <c r="AR4" t="str">
        <f t="shared" si="0"/>
        <v/>
      </c>
      <c r="AS4" cm="1">
        <f t="array" ref="AS4">ROW()-ROW(Линии[#Headers])</f>
        <v>2</v>
      </c>
      <c r="AT4" t="str">
        <f t="shared" si="1"/>
        <v>Ввод</v>
      </c>
      <c r="AU4" t="str">
        <f t="shared" si="2"/>
        <v>2</v>
      </c>
      <c r="AV4" t="str">
        <f t="shared" si="3"/>
        <v>2</v>
      </c>
      <c r="AW4" t="str">
        <f t="shared" si="4"/>
        <v/>
      </c>
      <c r="AX4" t="str">
        <f t="shared" si="5"/>
        <v/>
      </c>
      <c r="AY4" t="str">
        <f>IF(D4="","",IF(ISERROR(SEARCH(".",D4)),IFERROR(VLOOKUP(D4,Потребители_обозначение,2,FALSE)&amp;"",""),IFERROR(IF(VLOOKUP(AT4,Потребители_обозначение,4,FALSE)=1,VLOOKUP(AT4,Потребители_обозначение,2,FALSE)&amp;" "&amp;VLOOKUP(AV4,Этаж_обозначение,2,FALSE)&amp;" Пом. №"&amp;AX4,VLOOKUP(AT4,Потребители_обозначение,2,FALSE)&amp;" Шлейф №"&amp;AV4),IFERROR(VLOOKUP(D4,Потребители_обозначение,2,FALSE),""))))</f>
        <v>Вводной кабель Шлейф №2</v>
      </c>
      <c r="AZ4" t="str">
        <f t="shared" si="6"/>
        <v>Основной ввод в дом №2</v>
      </c>
      <c r="BA4" t="str">
        <f>IF(F4&lt;&gt;"",F4,IF(AND(D4&lt;&gt;"",D4&lt;&gt;A4,ISNUMBER(_xlfn.XMATCH(D4,Щиты[Щит]))),D4,""))</f>
        <v/>
      </c>
      <c r="BB4">
        <f>IFERROR(_xlfn.XMATCH(A4,Щиты[Щит]),0)</f>
        <v>1</v>
      </c>
      <c r="BC4">
        <f>IFERROR(N(_xlfn.XLOOKUP(A4,Щиты[Щит],Щиты[Мест под вводной узел])),15)</f>
        <v>1</v>
      </c>
      <c r="BD4">
        <f t="shared" si="7"/>
        <v>4</v>
      </c>
      <c r="BE4" t="str">
        <f t="shared" si="8"/>
        <v>линии</v>
      </c>
      <c r="BF4">
        <f>IF(D4="","",IF(BA4&lt;&gt;"",IFERROR(_xlfn.XLOOKUP(BA4,Щиты[Щит],Щиты[Руст, кВт]),0),N(G4)))</f>
        <v>0</v>
      </c>
      <c r="BG4">
        <f>IF(J4&lt;&gt;"",J4,IF(D4="","",IFERROR(IF(VLOOKUP(AT4,Потребители_обозначение,8,FALSE)=0,"",VLOOKUP(AT4,Потребители_обозначение,8,FALSE)),"")))</f>
        <v>400</v>
      </c>
      <c r="BH4">
        <f>IF(I4&lt;&gt;"",I4,IF(D4="","",IFERROR(IF(VLOOKUP(AT4,Потребители_обозначение,9,FALSE)=0,"",VLOOKUP(AT4,Потребители_обозначение,9,FALSE)),"")))</f>
        <v>3</v>
      </c>
      <c r="BI4" t="str">
        <f>IF(U4&lt;&gt;"",U4,IF(D4="","",IFERROR(IF(VLOOKUP(AT4,Потребители_обозначение,6,FALSE)=0,"",VLOOKUP(AT4,Потребители_обозначение,6,FALSE)),"")))</f>
        <v/>
      </c>
      <c r="BJ4" t="str">
        <f>IF(V4&lt;&gt;"",V4,IF(D4="","",IFERROR(IF(VLOOKUP(AT4,Потребители_обозначение,7,FALSE)=0,"",VLOOKUP(AT4,Потребители_обозначение,7,FALSE)),"")))</f>
        <v/>
      </c>
      <c r="BK4" t="str">
        <f>IF(W4&lt;&gt;"",W4,IF(D4="","",IFERROR(IF(VLOOKUP(AT4,Потребители_обозначение,10,FALSE)=0,"",VLOOKUP(AT4,Потребители_обозначение,10,FALSE)),"")))</f>
        <v/>
      </c>
      <c r="BL4">
        <f>IFERROR(VLOOKUP(AT4,Потребители_обозначение,5,FALSE),0)</f>
        <v>1</v>
      </c>
      <c r="BM4" cm="1">
        <f t="array" ref="BM4">IF(D4="","",IF(BA4&lt;&gt;"",IFERROR(_xlfn.XLOOKUP(BA4,Щиты[Щит],Щиты[cos φ]),0.95),IF(ISNUMBER(M4),M4,IFERROR(IF(BL4=2,_xlfn.IFS(BH4=3,VLOOKUP(BF4,Справочная_двигатели,8,FALSE),BH4=1,VLOOKUP(BF4,Справочная_двигатели,10,TRUE)),IF(AND(Методика="нормы 2026",CN4="Сил"),0.8,0.95)),0.95))))</f>
        <v>0.95</v>
      </c>
      <c r="BN4" cm="1">
        <f t="array" ref="BN4">IF(D4="","",IF(BA4&lt;&gt;"",IFERROR(_xlfn.XLOOKUP(BA4,Щиты[Щит],Щиты[Iр, А]),""),IFERROR(_xlfn.IFS(BH4=1,BF4/((Uн_лин/SQRT(3))*BM4),BH4=3,BF4/(SQRT(3)*Uн_лин*BM4)),"")))</f>
        <v>0</v>
      </c>
      <c r="BO4">
        <f>IF(D4="","",IF(N(X4)=0,IFERROR(VLOOKUP(BN4,Автомат_номиналы,2,TRUE),""),X4))</f>
        <v>6</v>
      </c>
      <c r="BP4">
        <f t="shared" si="9"/>
        <v>1</v>
      </c>
      <c r="BQ4">
        <f>IF(ISNUMBER(Y4),Y4,К_прокл)</f>
        <v>1</v>
      </c>
      <c r="BR4">
        <f t="shared" si="10"/>
        <v>3</v>
      </c>
      <c r="BS4" cm="1">
        <f t="array" ref="BS4">IF(D4="","",IF(N(BK4)&lt;&gt;0,BK4,IFERROR(_xlfn.LET(_xlpm.need,BO4/(BP4*BQ4),_xlpm.t,CHOOSE(BR4,Iдоп_1ж,Iдоп_2ж,Iдоп_3ж),_xlpm.k,_xlfn.XMATCH(_xlpm.need,_xlpm.t,1),IF(ISNA(_xlpm.k),"Не исп",INDEX(Iдоп_S,_xlpm.k))),"Не исп")))</f>
        <v>1.5</v>
      </c>
      <c r="BT4">
        <f>IFERROR(VLOOKUP(BS4,Кабель_сопротивление,3,FALSE),"")</f>
        <v>2.2499999999999999E-2</v>
      </c>
      <c r="BU4">
        <f>IFERROR(VLOOKUP(BS4,Кабель_сопротивление,2,FALSE),"")</f>
        <v>0.11</v>
      </c>
      <c r="BV4" t="str">
        <f t="shared" si="11"/>
        <v/>
      </c>
      <c r="BW4" t="str">
        <f>IF(D4="","",IFERROR(IF(VLOOKUP(AT4,Потребители_обозначение,4,FALSE)=1,VLOOKUP(AT4,Потребители_обозначение,3,FALSE)*(H4*2-1)+BV4+VLOOKUP(AV4,Этаж_обозначение,3,FALSE)+VLOOKUP(AV4,Этаж_обозначение,4,FALSE),VLOOKUP(AT4,Потребители_обозначение,3,FALSE)*(H4*2-1)+BV4),BV4))</f>
        <v/>
      </c>
      <c r="BX4" t="str">
        <f t="shared" si="12"/>
        <v/>
      </c>
      <c r="BY4" t="str">
        <f t="shared" si="13"/>
        <v/>
      </c>
      <c r="BZ4">
        <f t="shared" si="14"/>
        <v>1</v>
      </c>
      <c r="CA4">
        <f t="shared" si="15"/>
        <v>0.31</v>
      </c>
      <c r="CB4" t="str">
        <f t="shared" si="16"/>
        <v/>
      </c>
      <c r="CC4" t="str">
        <f>IFERROR(ROUNDUP(CB4/((Uн_лин/SQRT(3))*1000)*100,2),"")</f>
        <v/>
      </c>
      <c r="CD4" t="str">
        <f>IF(ISNUMBER(CC4),CC4+IFERROR(_xlfn.XLOOKUP(A4,Щиты[Щит],Щиты[ΔU до шин, %]),0),"")</f>
        <v/>
      </c>
      <c r="CE4">
        <f>IF(D4="","",IF(IFERROR(VLOOKUP(AT4,УГО_спр,2,FALSE),"")="Светильник",3,4)+IF(Методика="нормы 2026",MIN(0.5,MAX(0,N(BW4)-100)*0.005),0))</f>
        <v>4</v>
      </c>
      <c r="CF4" t="str">
        <f>IFERROR(VLOOKUP(BI4,Кабель_обозначение,2,FALSE),"")</f>
        <v/>
      </c>
      <c r="CG4" t="str">
        <f>IFERROR(IF(VLOOKUP(BI4,Кабель_обозначение,3,FALSE)=1,CF4&amp;" ("&amp;BJ4&amp;"х"&amp;BS4&amp;")",CF4),"")</f>
        <v/>
      </c>
      <c r="CH4" t="str">
        <f t="shared" si="17"/>
        <v/>
      </c>
      <c r="CI4" t="str">
        <f>IFERROR(2*ρкз_Cu*BW4/BS4,"")</f>
        <v/>
      </c>
      <c r="CJ4">
        <f t="shared" si="18"/>
        <v>0</v>
      </c>
      <c r="CK4" t="str">
        <f>IFERROR(IF(OR(D4="",NOT(ISNUMBER(BS4)),N(BW4)=0),"",_xlfn.XLOOKUP(A4,Щиты[Щит],Щиты[Zпетли на шинах, Ом])+CI4),"")</f>
        <v/>
      </c>
      <c r="CL4" t="str">
        <f>IF(ISNUMBER(CK4),c_min*(Uн_лин*1000/SQRT(3))/CK4,"")</f>
        <v/>
      </c>
      <c r="CM4" t="str">
        <f>IFERROR(IF(OR(D4="",NOT(ISNUMBER(BS4))),"",1.05*(Uн_лин*1000/SQRT(3))/(_xlfn.XLOOKUP(A4,Щиты[Щит],Щиты[Zmax на шинах, Ом])+CJ4)/1000),"")</f>
        <v/>
      </c>
      <c r="CN4" t="str">
        <f>IF(D4="","",IF(BA4&lt;&gt;"","Щит",IF(K4&lt;&gt;"",K4,IF(ISNUMBER(L4),"Сил",IF(IFERROR(_xlfn.XLOOKUP(AT4,Коды_код,Коды_группа)&amp;"","")="","Быт",_xlfn.XLOOKUP(AT4,Коды_код,Коды_группа)&amp;"")))))</f>
        <v>Нет</v>
      </c>
      <c r="CO4">
        <f>IF(CN4="Щит","щит",IF(CN4="","",IF(CN4="Быт",IFERROR(_xlfn.XLOOKUP(A4,Щиты[Щит],Щиты[Кс быт]),1),IF(CN4="Сил",IF(ISNUMBER(L4),L4,IF(Методика="нормы 2026",IFERROR(_xlfn.XLOOKUP(A4,Щиты[Щит],Щиты[Кс силовых (табл. 7.5)]),1),1)),IF(OR(CN4="Пост",CN4="Отоп"),1,IF(CN4="ВНГ",0.7,0))))))</f>
        <v>0</v>
      </c>
      <c r="CP4">
        <f t="shared" si="19"/>
        <v>1</v>
      </c>
      <c r="CQ4">
        <f t="shared" si="20"/>
        <v>0</v>
      </c>
      <c r="CR4">
        <f t="shared" si="21"/>
        <v>0</v>
      </c>
      <c r="CS4">
        <f t="shared" si="22"/>
        <v>0</v>
      </c>
      <c r="CT4">
        <f t="shared" si="23"/>
        <v>0</v>
      </c>
      <c r="CU4">
        <f t="shared" si="24"/>
        <v>0</v>
      </c>
      <c r="CV4">
        <f t="shared" si="25"/>
        <v>0</v>
      </c>
      <c r="CW4">
        <f t="shared" si="26"/>
        <v>0</v>
      </c>
      <c r="CX4">
        <f t="shared" si="27"/>
        <v>0</v>
      </c>
      <c r="CY4">
        <f t="shared" si="28"/>
        <v>0</v>
      </c>
      <c r="CZ4" t="str">
        <f t="shared" si="29"/>
        <v>L1,L2,L3</v>
      </c>
      <c r="DA4" cm="1">
        <f t="array" ref="DA4">IFERROR(IF(BL4=2,_xlfn.IFS(BH4=3,VLOOKUP(BF4,Справочная_двигатели,3,FALSE),BH4=1,VLOOKUP(BF4,Справочная_двигатели,5,TRUE)),0),0)</f>
        <v>0</v>
      </c>
      <c r="DB4">
        <f>IFERROR(IF(BL4=3,VLOOKUP(BF4,Справочная_ЛЭД,2,TRUE),0),0)</f>
        <v>0</v>
      </c>
      <c r="DC4">
        <f t="shared" si="30"/>
        <v>0</v>
      </c>
      <c r="DD4" t="str">
        <f t="shared" si="31"/>
        <v>L1,L2,L3</v>
      </c>
      <c r="DE4" t="str" cm="1">
        <f t="array" ref="DE4">IF(D4="","",IFERROR(INDEX({"I особая","I","II","III"},MATCH(TRIM(AA4&amp;""),{"I особая","I","II","III"},0)),"III"))</f>
        <v>III</v>
      </c>
      <c r="DF4" t="str">
        <f>IF(D4="","",IF(TRIM(AB4&amp;"")&lt;&gt;"",IF(LOWER(TRIM(AB4&amp;""))="да","да","нет"),IF(IFERROR(_xlfn.XLOOKUP(AT4,Коды_код,Коды_пожарная),"")="да","да","нет")))</f>
        <v>нет</v>
      </c>
      <c r="DG4" t="str">
        <f t="shared" si="32"/>
        <v/>
      </c>
      <c r="DH4" t="str">
        <f t="shared" si="33"/>
        <v>основная</v>
      </c>
      <c r="DI4">
        <f t="shared" si="34"/>
        <v>1</v>
      </c>
      <c r="DJ4" t="str" cm="1">
        <f t="array" ref="DJ4">IF(D4="","",_xlfn.LET(_xlpm.t,IFERROR(_xlfn.XLOOKUP(1,(Шины[Шина]=DH4)*(((Шины[Щит]=A4)+(Шины[Щит]=""))&gt;0),Шины[Тип]),"")&amp;"",IF(_xlpm.t&lt;&gt;"",_xlpm.t,IF(ISNUMBER(SEARCH("ИБП",DH4)),"ИБП",IF(ISNUMBER(SEARCH("ДГУ",DH4)),"ДГУ","Ввод "&amp;DI4)))))</f>
        <v>Ввод 1</v>
      </c>
      <c r="DK4" t="str">
        <f t="shared" si="35"/>
        <v>Ввод 1</v>
      </c>
      <c r="DL4" t="str">
        <f>IF(D4="","",IF(OR(DJ4="ИБП",DJ4="ДГУ"),"I особая",IF(DJ4="Одиночная","III",_xlfn.XLOOKUP(A4,Щиты[Щит],Щиты[Категория шины «Ввод»],"III"))))</f>
        <v>I</v>
      </c>
      <c r="DM4">
        <f>IF(D4="",0,IFERROR(MATCH(DE4,{"III","II","I","I особая"},0),1))</f>
        <v>1</v>
      </c>
      <c r="DN4">
        <f t="shared" si="36"/>
        <v>1</v>
      </c>
      <c r="DO4" t="str">
        <f>IF(D4="","",IF(DM4&gt;IFERROR(MATCH(DL4,{"III","II","I","I особая"},0),1),"НЕ ОБЕСПЕЧЕНА","ОК"))</f>
        <v>ОК</v>
      </c>
      <c r="DP4" t="str">
        <f>IF(A4="","",_xlfn.XLOOKUP(A4,Щиты[Щит],Щиты[Путь],""))</f>
        <v>|ГРЩ-ЖД|</v>
      </c>
      <c r="DQ4" t="str">
        <f>IF(D4="","",IF(Z4&lt;&gt;"",Z4,IF(IFERROR(_xlfn.XLOOKUP(AT4,Коды_код,Коды_вид)&amp;"","")="","Прочее",_xlfn.XLOOKUP(AT4,Коды_код,Коды_вид)&amp;"")))</f>
        <v>Прочее</v>
      </c>
      <c r="DR4">
        <f>IF(BD4="","",INT((BD4-1)/Столбцов_на_лист)+1)</f>
        <v>1</v>
      </c>
      <c r="DS4" t="str">
        <f t="shared" si="37"/>
        <v/>
      </c>
      <c r="DT4">
        <f t="shared" si="38"/>
        <v>0</v>
      </c>
      <c r="DU4">
        <f t="shared" si="39"/>
        <v>0</v>
      </c>
      <c r="DV4">
        <f t="shared" si="40"/>
        <v>3</v>
      </c>
      <c r="DW4">
        <f>IF(AT4="",0,_xlfn.LET(_xlpm.v,IFERROR(VLOOKUP(D4,УГО_спр,3,FALSE),IFERROR(VLOOKUP(AT4,УГО_спр,3,FALSE),IFERROR(VLOOKUP(LEFT(AT4,2),УГО_спр,3,FALSE),""))),IF(_xlpm.v="да",30,IF(ISNUMBER(_xlpm.v),_xlpm.v,0))))</f>
        <v>0</v>
      </c>
      <c r="DX4">
        <f t="shared" si="41"/>
        <v>0</v>
      </c>
      <c r="DY4" t="str">
        <f>IF(BD4="","",IF(AD4&lt;&gt;"",COUNTIFS(A$3:A4,A4,AD$3:AD4,"?*"),IF(OR(OR(AS4=1,A4&lt;&gt;A3),AL4="вручную"),"",IF(AS4=1,"",DZ3))))</f>
        <v/>
      </c>
      <c r="DZ4" t="str">
        <f t="shared" si="42"/>
        <v/>
      </c>
      <c r="EA4">
        <f>IF(D4="",0,MAX(IFERROR(--X4,0),IFERROR(--VLOOKUP(D4,УГО_спр,4,FALSE),IFERROR(--VLOOKUP(AT4,УГО_спр,4,FALSE),IFERROR(--VLOOKUP(LEFT(AT4,2),УГО_спр,4,FALSE),0)))))</f>
        <v>0</v>
      </c>
      <c r="EB4">
        <f>IF(D4="","",IFERROR(LOOKUP(INDEX(CHOOSE(BR4,Iдоп_1ж,Iдоп_2ж,Iдоп_3ж),MATCH(BS4,Iдоп_S,0))*BP4*BQ4,{6,10,16,20,25,32,40,50,63,80,100,125,160,200,250,315,400,500,630}),""))</f>
        <v>16</v>
      </c>
      <c r="EC4" t="str">
        <f>IF(AD4="","",SUMIFS(Линии[_Ток схемы],Линии[_гр.],DY4,Линии[Щит],A4,Линии[_в кабель выше],0))</f>
        <v/>
      </c>
      <c r="ED4" t="str">
        <f>IF(AD4="","",IFERROR(VLOOKUP(EC4,Автомат_номиналы,2,TRUE),""))</f>
        <v/>
      </c>
      <c r="EE4" t="str">
        <f>IF(AD4="","",MAX(N(ED4),_xlfn.MAXIFS(Линии[_мин. по типу],Линии[_гр.],DY4,Линии[Щит],A4)))</f>
        <v/>
      </c>
      <c r="EF4" t="str">
        <f>IF(AD4="","",_xlfn.MINIFS(Линии[_макс. автомат по кабелю],Линии[_гр.],DY4,Линии[Щит],A4))</f>
        <v/>
      </c>
      <c r="EG4" t="str">
        <f>IF(AD4="","",MAX(1,_xlfn.MAXIFS(Линии[_фаз],Линии[_гр.],DY4,Линии[Щит],A4)))</f>
        <v/>
      </c>
      <c r="EH4" t="str">
        <f>IF(AD4="","",IF(AND(AD4&lt;&gt;"авто",AD4&lt;&gt;"+"),IF(ISNUMBER(SEARCH("мА",AD4)),IFERROR(--TRIM(RIGHT(SUBSTITUTE(LEFT(AD4,SEARCH("мА",AD4)-1)," ",REPT(" ",9)),6)),30),0),IF(AE4="нет",0,IF(ISNUMBER(AE4),AE4,IF(AE4="да",30,_xlfn.MINIFS(Линии[_дифзащита по коду, мА],Линии[_гр.],DY4,Линии[Щит],A4,Линии[_дифзащита по коду, мА],"&gt;0"))))))</f>
        <v/>
      </c>
      <c r="EI4" t="str">
        <f t="shared" si="43"/>
        <v/>
      </c>
      <c r="EJ4" t="str">
        <f t="shared" si="44"/>
        <v/>
      </c>
      <c r="EK4" t="str">
        <f t="shared" si="45"/>
        <v/>
      </c>
      <c r="EL4" t="str">
        <f t="shared" si="46"/>
        <v/>
      </c>
      <c r="EM4">
        <f t="shared" si="47"/>
        <v>0</v>
      </c>
      <c r="EN4" t="str">
        <f>IF(AD4="","",IF(EM4=1,MAX(EE4,Мин_автомат_БП),EE4))</f>
        <v/>
      </c>
      <c r="EO4" t="str">
        <f t="shared" si="48"/>
        <v/>
      </c>
      <c r="EP4" t="str">
        <f t="shared" si="49"/>
        <v/>
      </c>
      <c r="EQ4" t="str">
        <f t="shared" si="50"/>
        <v/>
      </c>
      <c r="ER4" t="str">
        <f>IF(OR(AI4="",AI4="-"),"",IFERROR(VLOOKUP(AI4,Модули_спр,2,FALSE),"R"))</f>
        <v/>
      </c>
      <c r="ES4" t="str">
        <f>IF(ER4="","",ER4&amp;"."&amp;COUNTIFS(A$3:A4,A4,ER$3:ER4,ER4))</f>
        <v/>
      </c>
      <c r="ET4" t="str">
        <f t="shared" si="51"/>
        <v/>
      </c>
      <c r="EU4" t="str">
        <f t="shared" si="52"/>
        <v/>
      </c>
      <c r="EV4" t="str">
        <f t="shared" si="53"/>
        <v/>
      </c>
      <c r="EW4" t="str">
        <f t="shared" si="54"/>
        <v/>
      </c>
      <c r="EX4">
        <f t="shared" si="55"/>
        <v>0</v>
      </c>
      <c r="EY4" t="str">
        <f>IF(AK4="нет","",IF(AK4&lt;&gt;"",AK4,IF(EX4=1,"XT"&amp;COUNTIFS(A$3:A4,A4,EX$3:EX4,1),"")))</f>
        <v/>
      </c>
      <c r="EZ4" t="str">
        <f t="shared" si="56"/>
        <v/>
      </c>
      <c r="FA4" t="str">
        <f t="shared" si="57"/>
        <v/>
      </c>
      <c r="FB4" t="str">
        <f t="shared" si="58"/>
        <v/>
      </c>
      <c r="FC4" t="str">
        <f>IF(OR(EV4="",ET4=""),"",IF(EV4&gt;IFERROR(VLOOKUP(EU4,Модули_спр,3,FALSE),99),"ЛИШНИЙ КАНАЛ",IF(AND(AJ4&lt;&gt;"=",COUNTIFS(Линии[_модуль гр.],ET4,Линии[Канал (итог)],EV4,Линии[Канал],"&lt;&gt;=",Линии[Щит],A4)&gt;1),"ДУБЛЬ КАНАЛА","")))</f>
        <v/>
      </c>
      <c r="FD4" t="str">
        <f t="shared" si="59"/>
        <v/>
      </c>
      <c r="FE4" t="str">
        <f t="shared" si="60"/>
        <v/>
      </c>
      <c r="FF4" t="str">
        <f t="shared" si="61"/>
        <v/>
      </c>
      <c r="FG4" t="str">
        <f t="shared" si="62"/>
        <v/>
      </c>
      <c r="FH4" t="str">
        <f t="shared" si="63"/>
        <v/>
      </c>
      <c r="FI4">
        <f t="shared" si="64"/>
        <v>10</v>
      </c>
      <c r="FJ4" t="str">
        <f t="shared" si="65"/>
        <v/>
      </c>
      <c r="FK4" t="str">
        <f>IF(AND(D4="",EZ4=""),"",_xlfn.TEXTJOIN("; ",TRUE,IF(AND(D4&lt;&gt;"",DD4=""),"нет фазы",""),IF(AND(D4&lt;&gt;"",N(DT4)=0,CN4&lt;&gt;"Нет"),"нет мощности",""),IF(AND(EY4&lt;&gt;"",COUNTIFS(Линии[Щит],A4,Линии[Клемма (итог)],EY4)&gt;1),"дубль клеммы "&amp;EY4,""),IF(AND(FB4&lt;&gt;"",FB4&lt;&gt;"ok"),FB4,""),IF(FC4&lt;&gt;"",FC4,""),IF(AND(ISNUMBER(SEARCH("(5х",DS4)),N(DV4)=1),"5 жил на 1 фазе",""),IF(AND(AT4="R",AD4&lt;&gt;"",OR(N(EH4)=0,N(EH4)&gt;30)),"розетка без дифзащиты до 30 мА",""),IFERROR(IF(AND(ISNUMBER(CD4),CD4&gt;CE4),"потери "&amp;FIXED(CD4,1)&amp;" % &gt; "&amp;CE4&amp;" %",""),""),IFERROR(IF(LEFT(FJ4,4)="мало","Iкз мало — отключение &gt; 0,4 с",""),""),IF(AND(D4&lt;&gt;"",BD4=""),"не на схеме","")))</f>
        <v/>
      </c>
      <c r="FL4" t="str">
        <f>IF(AD4="","",_xlfn.LET(_xlpm.t,IFERROR(_xlfn.XLOOKUP(EP4,Каталог!$U$4:$U$500,Каталог!$G$4:$G$500),""),_xlpm.k,SEARCH("кА",_xlpm.t),IFERROR(--TRIM(RIGHT(SUBSTITUTE(MID(_xlpm.t,MAX(1,_xlpm.k-4),_xlpm.k-MAX(1,_xlpm.k-4))," ",REPT(" ",9)),5)),"")))</f>
        <v/>
      </c>
      <c r="FM4" t="str">
        <f>IF(OR(FL4="",AD4=""),"",IF(_xlfn.XLOOKUP(A4,Щиты[Щит],Щиты[Iкз max на шинах, кА],"")="","",IF(FL4&lt;_xlfn.XLOOKUP(A4,Щиты[Щит],Щиты[Iкз max на шинах, кА]),"Icu "&amp;FL4&amp;" кА &lt; Iкз max","ok")))</f>
        <v/>
      </c>
      <c r="FN4" t="str">
        <f t="shared" si="66"/>
        <v/>
      </c>
      <c r="FO4" t="str">
        <f t="shared" si="67"/>
        <v/>
      </c>
      <c r="FP4" t="str" cm="1">
        <f t="array" ref="FP4">IF(FO4="","",_xlfn.LET(_xlpm.nd,_xlfn.TEXTSPLIT(FO4,"|"),IF(COLUMNS(_xlpm.nd)&gt;1,A4&amp;"¦"&amp;INDEX(_xlpm.nd,1)&amp;"¦"&amp;INDEX(_xlpm.nd,2),"")))</f>
        <v/>
      </c>
      <c r="FQ4" t="str">
        <f t="shared" si="68"/>
        <v/>
      </c>
      <c r="FR4" t="str" cm="1">
        <f t="array" ref="FR4">IF(FO4="","",_xlfn.LET(_xlpm.nd,_xlfn.TEXTSPLIT(FO4,"|"),IF(COLUMNS(_xlpm.nd)&gt;2,A4&amp;"¦"&amp;INDEX(_xlpm.nd,2)&amp;"¦"&amp;INDEX(_xlpm.nd,3),"")))</f>
        <v/>
      </c>
      <c r="FS4" t="str">
        <f t="shared" si="69"/>
        <v/>
      </c>
      <c r="FT4" t="str" cm="1">
        <f t="array" ref="FT4">IF(FO4="","",_xlfn.LET(_xlpm.nd,_xlfn.TEXTSPLIT(FO4,"|"),IF(COLUMNS(_xlpm.nd)&gt;3,A4&amp;"¦"&amp;INDEX(_xlpm.nd,3)&amp;"¦"&amp;INDEX(_xlpm.nd,4),"")))</f>
        <v/>
      </c>
      <c r="FU4" t="str">
        <f t="shared" si="70"/>
        <v/>
      </c>
      <c r="FV4" t="str" cm="1">
        <f t="array" ref="FV4">IF(FO4="","",_xlfn.LET(_xlpm.nd,_xlfn.TEXTSPLIT(FO4,"|"),IF(COLUMNS(_xlpm.nd)&gt;4,A4&amp;"¦"&amp;INDEX(_xlpm.nd,4)&amp;"¦"&amp;INDEX(_xlpm.nd,5),"")))</f>
        <v/>
      </c>
      <c r="FW4" t="str">
        <f t="shared" si="71"/>
        <v/>
      </c>
      <c r="FX4" t="str" cm="1">
        <f t="array" ref="FX4">IF(FO4="","",_xlfn.LET(_xlpm.nd,_xlfn.TEXTSPLIT(FO4,"|"),IF(COLUMNS(_xlpm.nd)&gt;5,A4&amp;"¦"&amp;INDEX(_xlpm.nd,5)&amp;"¦"&amp;INDEX(_xlpm.nd,6),"")))</f>
        <v/>
      </c>
      <c r="FY4" t="str">
        <f t="shared" si="72"/>
        <v/>
      </c>
      <c r="FZ4" t="str" cm="1">
        <f t="array" ref="FZ4">IF(FO4="","",_xlfn.LET(_xlpm.nd,_xlfn.TEXTSPLIT(FO4,"|"),IF(COLUMNS(_xlpm.nd)&gt;6,A4&amp;"¦"&amp;INDEX(_xlpm.nd,6)&amp;"¦"&amp;INDEX(_xlpm.nd,7),"")))</f>
        <v/>
      </c>
      <c r="GA4" t="str">
        <f t="shared" si="73"/>
        <v/>
      </c>
      <c r="GB4" t="str">
        <f t="shared" si="74"/>
        <v/>
      </c>
      <c r="GC4" t="str">
        <f t="shared" si="75"/>
        <v/>
      </c>
      <c r="GD4">
        <f t="shared" si="76"/>
        <v>1</v>
      </c>
      <c r="GE4">
        <f t="shared" si="77"/>
        <v>0</v>
      </c>
      <c r="GF4">
        <f t="shared" si="78"/>
        <v>0</v>
      </c>
      <c r="GG4" t="str">
        <f t="shared" si="79"/>
        <v/>
      </c>
      <c r="GH4" t="str">
        <f t="shared" si="80"/>
        <v/>
      </c>
      <c r="GI4" t="str">
        <f t="shared" si="81"/>
        <v/>
      </c>
      <c r="GJ4" t="str">
        <f t="shared" si="82"/>
        <v/>
      </c>
      <c r="GK4">
        <f>IF(D4="","",IFERROR(VLOOKUP(D4,УГО_спр,2,FALSE),IFERROR(VLOOKUP(AT4,УГО_спр,2,FALSE),IFERROR(VLOOKUP(LEFT(AT4,2),УГО_спр,2,FALSE),""))))</f>
        <v>0</v>
      </c>
      <c r="GL4" t="str">
        <f>IF(D4="","",IF(OR(GK4="",GK4=0),"BOX",IFERROR(IF(VLOOKUP(GK4,УГО_блоки,3,FALSE)&amp;""&lt;&gt;"",VLOOKUP(GK4,УГО_блоки,3,FALSE),VLOOKUP(GK4,УГО_блоки,2,FALSE)),GK4)))</f>
        <v>BOX</v>
      </c>
      <c r="GM4">
        <f t="shared" si="83"/>
        <v>1</v>
      </c>
      <c r="GN4" t="str">
        <f>IF(EP4="","",IF(COUNTIF(EP$3:EP4,EP4)=1,MAX(GN$2:GN3)+1,""))</f>
        <v/>
      </c>
      <c r="GO4" t="str">
        <f>IF(AF4="","",IF(COUNTIF(AF$3:AF4,AF4)+COUNTIF(AG$2:AG3,AF4)+COUNTIF(AH$2:AH3,AF4)=1,MAX(GO$2:GQ3)+1,""))</f>
        <v/>
      </c>
      <c r="GP4" t="str">
        <f>IF(AG4="","",IF(COUNTIF(AF$3:AF4,AG4)+COUNTIF(AG$3:AG4,AG4)+COUNTIF(AH$2:AH3,AG4)=1,MAX(GO$2:GQ3,GO4)+1,""))</f>
        <v/>
      </c>
      <c r="GQ4" t="str">
        <f>IF(AH4="","",IF(COUNTIF(AF$3:AF4,AH4)+COUNTIF(AG$3:AG4,AH4)+COUNTIF(AH$3:AH4,AH4)=1,MAX(GO$2:GQ3,GO4,GP4)+1,""))</f>
        <v/>
      </c>
      <c r="GR4" t="str">
        <f t="shared" si="84"/>
        <v/>
      </c>
      <c r="GS4" t="str">
        <f>IF(GR4="","",IF(COUNTIF(GR$3:GR4,GR4)=1,MAX(GS$2:GS3)+1,""))</f>
        <v/>
      </c>
      <c r="GT4" t="str">
        <f>IF(ES4="","",COUNTIF(ES$3:ES4,"?*"))</f>
        <v/>
      </c>
      <c r="GU4" t="str">
        <f>IF(OR(ES4="",EU4=""),"",IF(COUNTIFS(ES$3:ES4,"?*",EU$3:EU4,EU4)=1,MAX(GU$2:GU3)+1,""))</f>
        <v/>
      </c>
      <c r="GV4">
        <f t="shared" si="85"/>
        <v>0</v>
      </c>
      <c r="GW4">
        <f>IF(D4="","",COUNTIF(D$3:D4,"?*"))</f>
        <v>2</v>
      </c>
      <c r="GX4">
        <f>IF(EX4&lt;&gt;1,0,_xlfn.LET(_xlpm.k,MAX(IFERROR(--VLOOKUP(D4,УГО_спр,5,FALSE),0),IFERROR(--VLOOKUP(AT4,УГО_спр,5,FALSE),0),IFERROR(--VLOOKUP(LEFT(AT4,2),УГО_спр,5,FALSE),0)),IF(_xlpm.k&gt;0,_xlpm.k,IF(IFERROR(--LEFT(SUBSTITUTE(GR4,"x","х"),FIND("х",SUBSTITUTE(GR4,"x","х"))-1),3)&gt;3,Каталог!$S$9,1))))</f>
        <v>0</v>
      </c>
      <c r="GY4">
        <f t="shared" si="86"/>
        <v>0</v>
      </c>
    </row>
    <row r="5" spans="1:207" x14ac:dyDescent="0.3">
      <c r="A5" t="s">
        <v>788</v>
      </c>
      <c r="B5">
        <v>7</v>
      </c>
      <c r="C5" t="str">
        <f>IF(BD5="","",IF(BE5="вводной узел","узел ","")&amp;"л."&amp;(INT((BD5-1)/Столбцов_на_лист)+1)&amp;" / "&amp;(MOD(BD5-1,Столбцов_на_лист)+1))</f>
        <v>л.1 / 7</v>
      </c>
      <c r="D5" t="s">
        <v>784</v>
      </c>
      <c r="E5" s="133" t="s">
        <v>783</v>
      </c>
      <c r="F5" t="s">
        <v>1147</v>
      </c>
      <c r="G5">
        <v>1.6</v>
      </c>
      <c r="H5">
        <v>1</v>
      </c>
      <c r="I5">
        <v>1</v>
      </c>
      <c r="J5">
        <v>230</v>
      </c>
      <c r="K5" t="s">
        <v>577</v>
      </c>
      <c r="O5">
        <v>2</v>
      </c>
      <c r="P5">
        <v>15</v>
      </c>
      <c r="R5">
        <v>15</v>
      </c>
      <c r="U5" t="s">
        <v>13</v>
      </c>
      <c r="V5">
        <v>3</v>
      </c>
      <c r="W5">
        <v>2.5</v>
      </c>
      <c r="X5">
        <v>10</v>
      </c>
      <c r="Z5" t="s">
        <v>595</v>
      </c>
      <c r="AA5" t="s">
        <v>866</v>
      </c>
      <c r="AB5" t="s">
        <v>492</v>
      </c>
      <c r="AR5" t="str">
        <f t="shared" si="0"/>
        <v/>
      </c>
      <c r="AS5" cm="1">
        <f t="array" ref="AS5">ROW()-ROW(Линии[#Headers])</f>
        <v>3</v>
      </c>
      <c r="AT5" t="str">
        <f t="shared" si="1"/>
        <v>ЩСПЗ-ЖД</v>
      </c>
      <c r="AU5" t="str">
        <f t="shared" si="2"/>
        <v>1</v>
      </c>
      <c r="AV5" t="str">
        <f t="shared" si="3"/>
        <v>1</v>
      </c>
      <c r="AW5" t="str">
        <f t="shared" si="4"/>
        <v/>
      </c>
      <c r="AX5" t="str">
        <f t="shared" si="5"/>
        <v/>
      </c>
      <c r="AY5" t="str">
        <f>IF(D5="","",IF(ISERROR(SEARCH(".",D5)),IFERROR(VLOOKUP(D5,Потребители_обозначение,2,FALSE)&amp;"",""),IFERROR(IF(VLOOKUP(AT5,Потребители_обозначение,4,FALSE)=1,VLOOKUP(AT5,Потребители_обозначение,2,FALSE)&amp;" "&amp;VLOOKUP(AV5,Этаж_обозначение,2,FALSE)&amp;" Пом. №"&amp;AX5,VLOOKUP(AT5,Потребители_обозначение,2,FALSE)&amp;" Шлейф №"&amp;AV5),IFERROR(VLOOKUP(D5,Потребители_обозначение,2,FALSE),""))))</f>
        <v/>
      </c>
      <c r="AZ5" t="str">
        <f t="shared" si="6"/>
        <v>Щит системы противопожарной защиты Цокольный этаж этаж Пом. №001Т Ввод.1</v>
      </c>
      <c r="BA5" t="str">
        <f>IF(F5&lt;&gt;"",F5,IF(AND(D5&lt;&gt;"",D5&lt;&gt;A5,ISNUMBER(_xlfn.XMATCH(D5,Щиты[Щит]))),D5,""))</f>
        <v>ЩСПЗ-ЖД</v>
      </c>
      <c r="BB5">
        <f>IFERROR(_xlfn.XMATCH(A5,Щиты[Щит]),0)</f>
        <v>1</v>
      </c>
      <c r="BC5">
        <f>IFERROR(N(_xlfn.XLOOKUP(A5,Щиты[Щит],Щиты[Мест под вводной узел])),15)</f>
        <v>1</v>
      </c>
      <c r="BD5">
        <f t="shared" si="7"/>
        <v>7</v>
      </c>
      <c r="BE5" t="str">
        <f t="shared" si="8"/>
        <v>линии</v>
      </c>
      <c r="BF5">
        <f>IF(D5="","",IF(BA5&lt;&gt;"",IFERROR(_xlfn.XLOOKUP(BA5,Щиты[Щит],Щиты[Руст, кВт]),0),N(G5)))</f>
        <v>1.6</v>
      </c>
      <c r="BG5">
        <f>IF(J5&lt;&gt;"",J5,IF(D5="","",IFERROR(IF(VLOOKUP(AT5,Потребители_обозначение,8,FALSE)=0,"",VLOOKUP(AT5,Потребители_обозначение,8,FALSE)),"")))</f>
        <v>230</v>
      </c>
      <c r="BH5">
        <f>IF(I5&lt;&gt;"",I5,IF(D5="","",IFERROR(IF(VLOOKUP(AT5,Потребители_обозначение,9,FALSE)=0,"",VLOOKUP(AT5,Потребители_обозначение,9,FALSE)),"")))</f>
        <v>1</v>
      </c>
      <c r="BI5" t="str">
        <f>IF(U5&lt;&gt;"",U5,IF(D5="","",IFERROR(IF(VLOOKUP(AT5,Потребители_обозначение,6,FALSE)=0,"",VLOOKUP(AT5,Потребители_обозначение,6,FALSE)),"")))</f>
        <v>мфр</v>
      </c>
      <c r="BJ5">
        <f>IF(V5&lt;&gt;"",V5,IF(D5="","",IFERROR(IF(VLOOKUP(AT5,Потребители_обозначение,7,FALSE)=0,"",VLOOKUP(AT5,Потребители_обозначение,7,FALSE)),"")))</f>
        <v>3</v>
      </c>
      <c r="BK5">
        <f>IF(W5&lt;&gt;"",W5,IF(D5="","",IFERROR(IF(VLOOKUP(AT5,Потребители_обозначение,10,FALSE)=0,"",VLOOKUP(AT5,Потребители_обозначение,10,FALSE)),"")))</f>
        <v>2.5</v>
      </c>
      <c r="BL5">
        <f>IFERROR(VLOOKUP(AT5,Потребители_обозначение,5,FALSE),0)</f>
        <v>0</v>
      </c>
      <c r="BM5" cm="1">
        <f t="array" ref="BM5">IF(D5="","",IF(BA5&lt;&gt;"",IFERROR(_xlfn.XLOOKUP(BA5,Щиты[Щит],Щиты[cos φ]),0.95),IF(ISNUMBER(M5),M5,IFERROR(IF(BL5=2,_xlfn.IFS(BH5=3,VLOOKUP(BF5,Справочная_двигатели,8,FALSE),BH5=1,VLOOKUP(BF5,Справочная_двигатели,10,TRUE)),IF(AND(Методика="нормы 2026",CN5="Сил"),0.8,0.95)),0.95))))</f>
        <v>0.95</v>
      </c>
      <c r="BN5" cm="1">
        <f t="array" ref="BN5">IF(D5="","",IF(BA5&lt;&gt;"",IFERROR(_xlfn.XLOOKUP(BA5,Щиты[Щит],Щиты[Iр, А]),""),IFERROR(_xlfn.IFS(BH5=1,BF5/((Uн_лин/SQRT(3))*BM5),BH5=3,BF5/(SQRT(3)*Uн_лин*BM5)),"")))</f>
        <v>3.646422752776584</v>
      </c>
      <c r="BO5">
        <f>IF(D5="","",IF(N(X5)=0,IFERROR(VLOOKUP(BN5,Автомат_номиналы,2,TRUE),""),X5))</f>
        <v>10</v>
      </c>
      <c r="BP5">
        <f t="shared" si="9"/>
        <v>1</v>
      </c>
      <c r="BQ5">
        <f>IF(ISNUMBER(Y5),Y5,К_прокл)</f>
        <v>1</v>
      </c>
      <c r="BR5">
        <f t="shared" si="10"/>
        <v>2</v>
      </c>
      <c r="BS5" cm="1">
        <f t="array" ref="BS5">IF(D5="","",IF(N(BK5)&lt;&gt;0,BK5,IFERROR(_xlfn.LET(_xlpm.need,BO5/(BP5*BQ5),_xlpm.t,CHOOSE(BR5,Iдоп_1ж,Iдоп_2ж,Iдоп_3ж),_xlpm.k,_xlfn.XMATCH(_xlpm.need,_xlpm.t,1),IF(ISNA(_xlpm.k),"Не исп",INDEX(Iдоп_S,_xlpm.k))),"Не исп")))</f>
        <v>2.5</v>
      </c>
      <c r="BT5">
        <f>IFERROR(VLOOKUP(BS5,Кабель_сопротивление,3,FALSE),"")</f>
        <v>2.2499999999999999E-2</v>
      </c>
      <c r="BU5">
        <f>IFERROR(VLOOKUP(BS5,Кабель_сопротивление,2,FALSE),"")</f>
        <v>0.1</v>
      </c>
      <c r="BV5">
        <f t="shared" si="11"/>
        <v>15</v>
      </c>
      <c r="BW5">
        <f>IF(D5="","",IFERROR(IF(VLOOKUP(AT5,Потребители_обозначение,4,FALSE)=1,VLOOKUP(AT5,Потребители_обозначение,3,FALSE)*(H5*2-1)+BV5+VLOOKUP(AV5,Этаж_обозначение,3,FALSE)+VLOOKUP(AV5,Этаж_обозначение,4,FALSE),VLOOKUP(AT5,Потребители_обозначение,3,FALSE)*(H5*2-1)+BV5),BV5))</f>
        <v>15</v>
      </c>
      <c r="BX5">
        <f t="shared" si="12"/>
        <v>15</v>
      </c>
      <c r="BY5" t="str">
        <f t="shared" si="13"/>
        <v/>
      </c>
      <c r="BZ5">
        <f t="shared" si="14"/>
        <v>2</v>
      </c>
      <c r="CA5">
        <f t="shared" si="15"/>
        <v>0.31</v>
      </c>
      <c r="CB5">
        <f t="shared" si="16"/>
        <v>0.93869860924727577</v>
      </c>
      <c r="CC5">
        <f>IFERROR(ROUNDUP(CB5/((Uн_лин/SQRT(3))*1000)*100,2),"")</f>
        <v>0.41000000000000003</v>
      </c>
      <c r="CD5">
        <f>IF(ISNUMBER(CC5),CC5+IFERROR(_xlfn.XLOOKUP(A5,Щиты[Щит],Щиты[ΔU до шин, %]),0),"")</f>
        <v>0.41000000000000003</v>
      </c>
      <c r="CE5">
        <f>IF(D5="","",IF(IFERROR(VLOOKUP(AT5,УГО_спр,2,FALSE),"")="Светильник",3,4)+IF(Методика="нормы 2026",MIN(0.5,MAX(0,N(BW5)-100)*0.005),0))</f>
        <v>4</v>
      </c>
      <c r="CF5" t="str">
        <f>IFERROR(VLOOKUP(BI5,Кабель_обозначение,2,FALSE),"")</f>
        <v>ВВГнг(А)-FRLS</v>
      </c>
      <c r="CG5" t="str">
        <f>IFERROR(IF(VLOOKUP(BI5,Кабель_обозначение,3,FALSE)=1,CF5&amp;" ("&amp;BJ5&amp;"х"&amp;BS5&amp;")",CF5),"")</f>
        <v>ВВГнг(А)-FRLS (3х2,5)</v>
      </c>
      <c r="CH5" t="str">
        <f t="shared" si="17"/>
        <v>ВВГнг(А)-FRLS (3х2,5)
L=15-0,41%</v>
      </c>
      <c r="CI5">
        <f>IFERROR(2*ρкз_Cu*BW5/BS5,"")</f>
        <v>0.31559999999999999</v>
      </c>
      <c r="CJ5">
        <f t="shared" si="18"/>
        <v>0.10500000000000001</v>
      </c>
      <c r="CK5" t="str">
        <f>IFERROR(IF(OR(D5="",NOT(ISNUMBER(BS5)),N(BW5)=0),"",_xlfn.XLOOKUP(A5,Щиты[Щит],Щиты[Zпетли на шинах, Ом])+CI5),"")</f>
        <v/>
      </c>
      <c r="CL5" t="str">
        <f>IF(ISNUMBER(CK5),c_min*(Uн_лин*1000/SQRT(3))/CK5,"")</f>
        <v/>
      </c>
      <c r="CM5" t="str">
        <f>IFERROR(IF(OR(D5="",NOT(ISNUMBER(BS5))),"",1.05*(Uн_лин*1000/SQRT(3))/(_xlfn.XLOOKUP(A5,Щиты[Щит],Щиты[Zmax на шинах, Ом])+CJ5)/1000),"")</f>
        <v/>
      </c>
      <c r="CN5" t="str">
        <f>IF(D5="","",IF(BA5&lt;&gt;"","Щит",IF(K5&lt;&gt;"",K5,IF(ISNUMBER(L5),"Сил",IF(IFERROR(_xlfn.XLOOKUP(AT5,Коды_код,Коды_группа)&amp;"","")="","Быт",_xlfn.XLOOKUP(AT5,Коды_код,Коды_группа)&amp;"")))))</f>
        <v>Щит</v>
      </c>
      <c r="CO5" t="str">
        <f>IF(CN5="Щит","щит",IF(CN5="","",IF(CN5="Быт",IFERROR(_xlfn.XLOOKUP(A5,Щиты[Щит],Щиты[Кс быт]),1),IF(CN5="Сил",IF(ISNUMBER(L5),L5,IF(Методика="нормы 2026",IFERROR(_xlfn.XLOOKUP(A5,Щиты[Щит],Щиты[Кс силовых (табл. 7.5)]),1),1)),IF(OR(CN5="Пост",CN5="Отоп"),1,IF(CN5="ВНГ",0.7,0))))))</f>
        <v>щит</v>
      </c>
      <c r="CP5">
        <f t="shared" si="19"/>
        <v>1</v>
      </c>
      <c r="CQ5">
        <f t="shared" si="20"/>
        <v>0</v>
      </c>
      <c r="CR5">
        <f t="shared" si="21"/>
        <v>0</v>
      </c>
      <c r="CS5">
        <f t="shared" si="22"/>
        <v>0</v>
      </c>
      <c r="CT5">
        <f t="shared" si="23"/>
        <v>0</v>
      </c>
      <c r="CU5">
        <f t="shared" si="24"/>
        <v>0</v>
      </c>
      <c r="CV5">
        <f t="shared" si="25"/>
        <v>0</v>
      </c>
      <c r="CW5">
        <f t="shared" si="26"/>
        <v>0</v>
      </c>
      <c r="CX5">
        <f t="shared" si="27"/>
        <v>0</v>
      </c>
      <c r="CY5">
        <f t="shared" si="28"/>
        <v>1</v>
      </c>
      <c r="CZ5" t="str">
        <f t="shared" si="29"/>
        <v>L1</v>
      </c>
      <c r="DA5" cm="1">
        <f t="array" ref="DA5">IFERROR(IF(BL5=2,_xlfn.IFS(BH5=3,VLOOKUP(BF5,Справочная_двигатели,3,FALSE),BH5=1,VLOOKUP(BF5,Справочная_двигатели,5,TRUE)),0),0)</f>
        <v>0</v>
      </c>
      <c r="DB5">
        <f>IFERROR(IF(BL5=3,VLOOKUP(BF5,Справочная_ЛЭД,2,TRUE),0),0)</f>
        <v>0</v>
      </c>
      <c r="DC5">
        <f t="shared" si="30"/>
        <v>0</v>
      </c>
      <c r="DD5" t="str">
        <f t="shared" si="31"/>
        <v>L2</v>
      </c>
      <c r="DE5" t="str" cm="1">
        <f t="array" ref="DE5">IF(D5="","",IFERROR(INDEX({"I особая","I","II","III"},MATCH(TRIM(AA5&amp;""),{"I особая","I","II","III"},0)),"III"))</f>
        <v>I</v>
      </c>
      <c r="DF5" t="str">
        <f>IF(D5="","",IF(TRIM(AB5&amp;"")&lt;&gt;"",IF(LOWER(TRIM(AB5&amp;""))="да","да","нет"),IF(IFERROR(_xlfn.XLOOKUP(AT5,Коды_код,Коды_пожарная),"")="да","да","нет")))</f>
        <v>да</v>
      </c>
      <c r="DG5" t="str">
        <f t="shared" si="32"/>
        <v/>
      </c>
      <c r="DH5" t="str">
        <f t="shared" si="33"/>
        <v>основная</v>
      </c>
      <c r="DI5">
        <f t="shared" si="34"/>
        <v>1</v>
      </c>
      <c r="DJ5" t="str" cm="1">
        <f t="array" ref="DJ5">IF(D5="","",_xlfn.LET(_xlpm.t,IFERROR(_xlfn.XLOOKUP(1,(Шины[Шина]=DH5)*(((Шины[Щит]=A5)+(Шины[Щит]=""))&gt;0),Шины[Тип]),"")&amp;"",IF(_xlpm.t&lt;&gt;"",_xlpm.t,IF(ISNUMBER(SEARCH("ИБП",DH5)),"ИБП",IF(ISNUMBER(SEARCH("ДГУ",DH5)),"ДГУ","Ввод "&amp;DI5)))))</f>
        <v>Ввод 1</v>
      </c>
      <c r="DK5" t="str">
        <f t="shared" si="35"/>
        <v>Ввод 1</v>
      </c>
      <c r="DL5" t="str">
        <f>IF(D5="","",IF(OR(DJ5="ИБП",DJ5="ДГУ"),"I особая",IF(DJ5="Одиночная","III",_xlfn.XLOOKUP(A5,Щиты[Щит],Щиты[Категория шины «Ввод»],"III"))))</f>
        <v>I</v>
      </c>
      <c r="DM5">
        <f>IF(D5="",0,IFERROR(MATCH(DE5,{"III","II","I","I особая"},0),1))</f>
        <v>3</v>
      </c>
      <c r="DN5">
        <f t="shared" si="36"/>
        <v>3</v>
      </c>
      <c r="DO5" t="str">
        <f>IF(D5="","",IF(DM5&gt;IFERROR(MATCH(DL5,{"III","II","I","I особая"},0),1),"НЕ ОБЕСПЕЧЕНА","ОК"))</f>
        <v>ОК</v>
      </c>
      <c r="DP5" t="str">
        <f>IF(A5="","",_xlfn.XLOOKUP(A5,Щиты[Щит],Щиты[Путь],""))</f>
        <v>|ГРЩ-ЖД|</v>
      </c>
      <c r="DQ5" t="str">
        <f>IF(D5="","",IF(Z5&lt;&gt;"",Z5,IF(IFERROR(_xlfn.XLOOKUP(AT5,Коды_код,Коды_вид)&amp;"","")="","Прочее",_xlfn.XLOOKUP(AT5,Коды_код,Коды_вид)&amp;"")))</f>
        <v>Системы противопожарной защиты</v>
      </c>
      <c r="DR5">
        <f>IF(BD5="","",INT((BD5-1)/Столбцов_на_лист)+1)</f>
        <v>1</v>
      </c>
      <c r="DS5" t="str">
        <f t="shared" si="37"/>
        <v>ВВГнг(А)-FRLS (3х2,5) L=15-0,41%</v>
      </c>
      <c r="DT5">
        <f t="shared" si="38"/>
        <v>1.6</v>
      </c>
      <c r="DU5">
        <f t="shared" si="39"/>
        <v>3.65</v>
      </c>
      <c r="DV5">
        <f t="shared" si="40"/>
        <v>1</v>
      </c>
      <c r="DW5">
        <f>IF(AT5="",0,_xlfn.LET(_xlpm.v,IFERROR(VLOOKUP(D5,УГО_спр,3,FALSE),IFERROR(VLOOKUP(AT5,УГО_спр,3,FALSE),IFERROR(VLOOKUP(LEFT(AT5,2),УГО_спр,3,FALSE),""))),IF(_xlpm.v="да",30,IF(ISNUMBER(_xlpm.v),_xlpm.v,0))))</f>
        <v>0</v>
      </c>
      <c r="DX5">
        <f t="shared" si="41"/>
        <v>0</v>
      </c>
      <c r="DY5" t="str">
        <f>IF(BD5="","",IF(AD5&lt;&gt;"",COUNTIFS(A$3:A5,A5,AD$3:AD5,"?*"),IF(OR(OR(AS5=1,A5&lt;&gt;A4),AL5="вручную"),"",IF(AS5=1,"",DZ4))))</f>
        <v/>
      </c>
      <c r="DZ5" t="str">
        <f t="shared" si="42"/>
        <v/>
      </c>
      <c r="EA5">
        <f>IF(D5="",0,MAX(IFERROR(--X5,0),IFERROR(--VLOOKUP(D5,УГО_спр,4,FALSE),IFERROR(--VLOOKUP(AT5,УГО_спр,4,FALSE),IFERROR(--VLOOKUP(LEFT(AT5,2),УГО_спр,4,FALSE),0)))))</f>
        <v>10</v>
      </c>
      <c r="EB5">
        <f>IF(D5="","",IFERROR(LOOKUP(INDEX(CHOOSE(BR5,Iдоп_1ж,Iдоп_2ж,Iдоп_3ж),MATCH(BS5,Iдоп_S,0))*BP5*BQ5,{6,10,16,20,25,32,40,50,63,80,100,125,160,200,250,315,400,500,630}),""))</f>
        <v>25</v>
      </c>
      <c r="EC5" t="str">
        <f>IF(AD5="","",SUMIFS(Линии[_Ток схемы],Линии[_гр.],DY5,Линии[Щит],A5,Линии[_в кабель выше],0))</f>
        <v/>
      </c>
      <c r="ED5" t="str">
        <f>IF(AD5="","",IFERROR(VLOOKUP(EC5,Автомат_номиналы,2,TRUE),""))</f>
        <v/>
      </c>
      <c r="EE5" t="str">
        <f>IF(AD5="","",MAX(N(ED5),_xlfn.MAXIFS(Линии[_мин. по типу],Линии[_гр.],DY5,Линии[Щит],A5)))</f>
        <v/>
      </c>
      <c r="EF5" t="str">
        <f>IF(AD5="","",_xlfn.MINIFS(Линии[_макс. автомат по кабелю],Линии[_гр.],DY5,Линии[Щит],A5))</f>
        <v/>
      </c>
      <c r="EG5" t="str">
        <f>IF(AD5="","",MAX(1,_xlfn.MAXIFS(Линии[_фаз],Линии[_гр.],DY5,Линии[Щит],A5)))</f>
        <v/>
      </c>
      <c r="EH5" t="str">
        <f>IF(AD5="","",IF(AND(AD5&lt;&gt;"авто",AD5&lt;&gt;"+"),IF(ISNUMBER(SEARCH("мА",AD5)),IFERROR(--TRIM(RIGHT(SUBSTITUTE(LEFT(AD5,SEARCH("мА",AD5)-1)," ",REPT(" ",9)),6)),30),0),IF(AE5="нет",0,IF(ISNUMBER(AE5),AE5,IF(AE5="да",30,_xlfn.MINIFS(Линии[_дифзащита по коду, мА],Линии[_гр.],DY5,Линии[Щит],A5,Линии[_дифзащита по коду, мА],"&gt;0"))))))</f>
        <v/>
      </c>
      <c r="EI5" t="str">
        <f t="shared" si="43"/>
        <v/>
      </c>
      <c r="EJ5" t="str">
        <f t="shared" si="44"/>
        <v/>
      </c>
      <c r="EK5" t="str">
        <f t="shared" si="45"/>
        <v/>
      </c>
      <c r="EL5" t="str">
        <f t="shared" si="46"/>
        <v/>
      </c>
      <c r="EM5">
        <f t="shared" si="47"/>
        <v>0</v>
      </c>
      <c r="EN5" t="str">
        <f>IF(AD5="","",IF(EM5=1,MAX(EE5,Мин_автомат_БП),EE5))</f>
        <v/>
      </c>
      <c r="EO5" t="str">
        <f t="shared" si="48"/>
        <v/>
      </c>
      <c r="EP5" t="str">
        <f t="shared" si="49"/>
        <v/>
      </c>
      <c r="EQ5" t="str">
        <f t="shared" si="50"/>
        <v/>
      </c>
      <c r="ER5" t="str">
        <f>IF(OR(AI5="",AI5="-"),"",IFERROR(VLOOKUP(AI5,Модули_спр,2,FALSE),"R"))</f>
        <v/>
      </c>
      <c r="ES5" t="str">
        <f>IF(ER5="","",ER5&amp;"."&amp;COUNTIFS(A$3:A5,A5,ER$3:ER5,ER5))</f>
        <v/>
      </c>
      <c r="ET5" t="str">
        <f t="shared" si="51"/>
        <v/>
      </c>
      <c r="EU5" t="str">
        <f t="shared" si="52"/>
        <v/>
      </c>
      <c r="EV5" t="str">
        <f t="shared" si="53"/>
        <v/>
      </c>
      <c r="EW5" t="str">
        <f t="shared" si="54"/>
        <v/>
      </c>
      <c r="EX5">
        <f t="shared" si="55"/>
        <v>1</v>
      </c>
      <c r="EY5" t="str">
        <f>IF(AK5="нет","",IF(AK5&lt;&gt;"",AK5,IF(EX5=1,"XT"&amp;COUNTIFS(A$3:A5,A5,EX$3:EX5,1),"")))</f>
        <v>XT1</v>
      </c>
      <c r="EZ5" t="str">
        <f t="shared" si="56"/>
        <v/>
      </c>
      <c r="FA5" t="str">
        <f t="shared" si="57"/>
        <v/>
      </c>
      <c r="FB5" t="str">
        <f t="shared" si="58"/>
        <v/>
      </c>
      <c r="FC5" t="str">
        <f>IF(OR(EV5="",ET5=""),"",IF(EV5&gt;IFERROR(VLOOKUP(EU5,Модули_спр,3,FALSE),99),"ЛИШНИЙ КАНАЛ",IF(AND(AJ5&lt;&gt;"=",COUNTIFS(Линии[_модуль гр.],ET5,Линии[Канал (итог)],EV5,Линии[Канал],"&lt;&gt;=",Линии[Щит],A5)&gt;1),"ДУБЛЬ КАНАЛА","")))</f>
        <v/>
      </c>
      <c r="FD5" t="str">
        <f t="shared" si="59"/>
        <v/>
      </c>
      <c r="FE5" t="str">
        <f t="shared" si="60"/>
        <v/>
      </c>
      <c r="FF5" t="str">
        <f t="shared" si="61"/>
        <v/>
      </c>
      <c r="FG5" t="str">
        <f t="shared" si="62"/>
        <v/>
      </c>
      <c r="FH5" t="str">
        <f t="shared" si="63"/>
        <v/>
      </c>
      <c r="FI5">
        <f t="shared" si="64"/>
        <v>10</v>
      </c>
      <c r="FJ5" t="str">
        <f t="shared" si="65"/>
        <v/>
      </c>
      <c r="FK5" t="str">
        <f>IF(AND(D5="",EZ5=""),"",_xlfn.TEXTJOIN("; ",TRUE,IF(AND(D5&lt;&gt;"",DD5=""),"нет фазы",""),IF(AND(D5&lt;&gt;"",N(DT5)=0,CN5&lt;&gt;"Нет"),"нет мощности",""),IF(AND(EY5&lt;&gt;"",COUNTIFS(Линии[Щит],A5,Линии[Клемма (итог)],EY5)&gt;1),"дубль клеммы "&amp;EY5,""),IF(AND(FB5&lt;&gt;"",FB5&lt;&gt;"ok"),FB5,""),IF(FC5&lt;&gt;"",FC5,""),IF(AND(ISNUMBER(SEARCH("(5х",DS5)),N(DV5)=1),"5 жил на 1 фазе",""),IF(AND(AT5="R",AD5&lt;&gt;"",OR(N(EH5)=0,N(EH5)&gt;30)),"розетка без дифзащиты до 30 мА",""),IFERROR(IF(AND(ISNUMBER(CD5),CD5&gt;CE5),"потери "&amp;FIXED(CD5,1)&amp;" % &gt; "&amp;CE5&amp;" %",""),""),IFERROR(IF(LEFT(FJ5,4)="мало","Iкз мало — отключение &gt; 0,4 с",""),""),IF(AND(D5&lt;&gt;"",BD5=""),"не на схеме","")))</f>
        <v/>
      </c>
      <c r="FL5" t="str">
        <f>IF(AD5="","",_xlfn.LET(_xlpm.t,IFERROR(_xlfn.XLOOKUP(EP5,Каталог!$U$4:$U$500,Каталог!$G$4:$G$500),""),_xlpm.k,SEARCH("кА",_xlpm.t),IFERROR(--TRIM(RIGHT(SUBSTITUTE(MID(_xlpm.t,MAX(1,_xlpm.k-4),_xlpm.k-MAX(1,_xlpm.k-4))," ",REPT(" ",9)),5)),"")))</f>
        <v/>
      </c>
      <c r="FM5" t="str">
        <f>IF(OR(FL5="",AD5=""),"",IF(_xlfn.XLOOKUP(A5,Щиты[Щит],Щиты[Iкз max на шинах, кА],"")="","",IF(FL5&lt;_xlfn.XLOOKUP(A5,Щиты[Щит],Щиты[Iкз max на шинах, кА]),"Icu "&amp;FL5&amp;" кА &lt; Iкз max","ok")))</f>
        <v/>
      </c>
      <c r="FN5" t="str">
        <f t="shared" si="66"/>
        <v>XT1</v>
      </c>
      <c r="FO5" t="str">
        <f t="shared" si="67"/>
        <v>XT1|кабель ВВГнг(А)-FRLS (3х2,5) → Щит системы противопожарной защиты Цокольный этаж этаж Пом. №001Т Ввод.1</v>
      </c>
      <c r="FP5" t="str" cm="1">
        <f t="array" ref="FP5">IF(FO5="","",_xlfn.LET(_xlpm.nd,_xlfn.TEXTSPLIT(FO5,"|"),IF(COLUMNS(_xlpm.nd)&gt;1,A5&amp;"¦"&amp;INDEX(_xlpm.nd,1)&amp;"¦"&amp;INDEX(_xlpm.nd,2),"")))</f>
        <v>ГРЩ-ЖД¦XT1¦кабель ВВГнг(А)-FRLS (3х2,5) → Щит системы противопожарной защиты Цокольный этаж этаж Пом. №001Т Ввод.1</v>
      </c>
      <c r="FQ5" t="str">
        <f t="shared" si="68"/>
        <v>ЩСПЗ-ЖД.1¦Щит системы противопожарной защиты Цокольный этаж этаж Пом. №001Т Ввод.1</v>
      </c>
      <c r="FR5" t="str" cm="1">
        <f t="array" ref="FR5">IF(FO5="","",_xlfn.LET(_xlpm.nd,_xlfn.TEXTSPLIT(FO5,"|"),IF(COLUMNS(_xlpm.nd)&gt;2,A5&amp;"¦"&amp;INDEX(_xlpm.nd,2)&amp;"¦"&amp;INDEX(_xlpm.nd,3),"")))</f>
        <v/>
      </c>
      <c r="FS5" t="str">
        <f t="shared" si="69"/>
        <v/>
      </c>
      <c r="FT5" t="str" cm="1">
        <f t="array" ref="FT5">IF(FO5="","",_xlfn.LET(_xlpm.nd,_xlfn.TEXTSPLIT(FO5,"|"),IF(COLUMNS(_xlpm.nd)&gt;3,A5&amp;"¦"&amp;INDEX(_xlpm.nd,3)&amp;"¦"&amp;INDEX(_xlpm.nd,4),"")))</f>
        <v/>
      </c>
      <c r="FU5" t="str">
        <f t="shared" si="70"/>
        <v/>
      </c>
      <c r="FV5" t="str" cm="1">
        <f t="array" ref="FV5">IF(FO5="","",_xlfn.LET(_xlpm.nd,_xlfn.TEXTSPLIT(FO5,"|"),IF(COLUMNS(_xlpm.nd)&gt;4,A5&amp;"¦"&amp;INDEX(_xlpm.nd,4)&amp;"¦"&amp;INDEX(_xlpm.nd,5),"")))</f>
        <v/>
      </c>
      <c r="FW5" t="str">
        <f t="shared" si="71"/>
        <v/>
      </c>
      <c r="FX5" t="str" cm="1">
        <f t="array" ref="FX5">IF(FO5="","",_xlfn.LET(_xlpm.nd,_xlfn.TEXTSPLIT(FO5,"|"),IF(COLUMNS(_xlpm.nd)&gt;5,A5&amp;"¦"&amp;INDEX(_xlpm.nd,5)&amp;"¦"&amp;INDEX(_xlpm.nd,6),"")))</f>
        <v/>
      </c>
      <c r="FY5" t="str">
        <f t="shared" si="72"/>
        <v/>
      </c>
      <c r="FZ5" t="str" cm="1">
        <f t="array" ref="FZ5">IF(FO5="","",_xlfn.LET(_xlpm.nd,_xlfn.TEXTSPLIT(FO5,"|"),IF(COLUMNS(_xlpm.nd)&gt;6,A5&amp;"¦"&amp;INDEX(_xlpm.nd,6)&amp;"¦"&amp;INDEX(_xlpm.nd,7),"")))</f>
        <v/>
      </c>
      <c r="GA5" t="str">
        <f t="shared" si="73"/>
        <v/>
      </c>
      <c r="GB5" t="str">
        <f t="shared" si="74"/>
        <v/>
      </c>
      <c r="GC5" t="str">
        <f t="shared" si="75"/>
        <v>XT1</v>
      </c>
      <c r="GD5">
        <f t="shared" si="76"/>
        <v>1</v>
      </c>
      <c r="GE5">
        <f t="shared" si="77"/>
        <v>0</v>
      </c>
      <c r="GF5">
        <f t="shared" si="78"/>
        <v>0</v>
      </c>
      <c r="GG5" t="str">
        <f t="shared" si="79"/>
        <v/>
      </c>
      <c r="GH5" t="str">
        <f t="shared" si="80"/>
        <v/>
      </c>
      <c r="GI5" t="str">
        <f t="shared" si="81"/>
        <v/>
      </c>
      <c r="GJ5" t="str">
        <f t="shared" si="82"/>
        <v/>
      </c>
      <c r="GK5">
        <f>IF(D5="","",IFERROR(VLOOKUP(D5,УГО_спр,2,FALSE),IFERROR(VLOOKUP(AT5,УГО_спр,2,FALSE),IFERROR(VLOOKUP(LEFT(AT5,2),УГО_спр,2,FALSE),""))))</f>
        <v>0</v>
      </c>
      <c r="GL5" t="str">
        <f>IF(D5="","",IF(OR(GK5="",GK5=0),"BOX",IFERROR(IF(VLOOKUP(GK5,УГО_блоки,3,FALSE)&amp;""&lt;&gt;"",VLOOKUP(GK5,УГО_блоки,3,FALSE),VLOOKUP(GK5,УГО_блоки,2,FALSE)),GK5)))</f>
        <v>BOX</v>
      </c>
      <c r="GM5">
        <f t="shared" si="83"/>
        <v>1</v>
      </c>
      <c r="GN5" t="str">
        <f>IF(EP5="","",IF(COUNTIF(EP$3:EP5,EP5)=1,MAX(GN$2:GN4)+1,""))</f>
        <v/>
      </c>
      <c r="GO5" t="str">
        <f>IF(AF5="","",IF(COUNTIF(AF$3:AF5,AF5)+COUNTIF(AG$2:AG4,AF5)+COUNTIF(AH$2:AH4,AF5)=1,MAX(GO$2:GQ4)+1,""))</f>
        <v/>
      </c>
      <c r="GP5" t="str">
        <f>IF(AG5="","",IF(COUNTIF(AF$3:AF5,AG5)+COUNTIF(AG$3:AG5,AG5)+COUNTIF(AH$2:AH4,AG5)=1,MAX(GO$2:GQ4,GO5)+1,""))</f>
        <v/>
      </c>
      <c r="GQ5" t="str">
        <f>IF(AH5="","",IF(COUNTIF(AF$3:AF5,AH5)+COUNTIF(AG$3:AG5,AH5)+COUNTIF(AH$3:AH5,AH5)=1,MAX(GO$2:GQ4,GO5,GP5)+1,""))</f>
        <v/>
      </c>
      <c r="GR5" t="str">
        <f t="shared" si="84"/>
        <v>3х2,5</v>
      </c>
      <c r="GS5">
        <f>IF(GR5="","",IF(COUNTIF(GR$3:GR5,GR5)=1,MAX(GS$2:GS4)+1,""))</f>
        <v>1</v>
      </c>
      <c r="GT5" t="str">
        <f>IF(ES5="","",COUNTIF(ES$3:ES5,"?*"))</f>
        <v/>
      </c>
      <c r="GU5" t="str">
        <f>IF(OR(ES5="",EU5=""),"",IF(COUNTIFS(ES$3:ES5,"?*",EU$3:EU5,EU5)=1,MAX(GU$2:GU4)+1,""))</f>
        <v/>
      </c>
      <c r="GV5">
        <f t="shared" si="85"/>
        <v>0</v>
      </c>
      <c r="GW5">
        <f>IF(D5="","",COUNTIF(D$3:D5,"?*"))</f>
        <v>3</v>
      </c>
      <c r="GX5">
        <f>IF(EX5&lt;&gt;1,0,_xlfn.LET(_xlpm.k,MAX(IFERROR(--VLOOKUP(D5,УГО_спр,5,FALSE),0),IFERROR(--VLOOKUP(AT5,УГО_спр,5,FALSE),0),IFERROR(--VLOOKUP(LEFT(AT5,2),УГО_спр,5,FALSE),0)),IF(_xlpm.k&gt;0,_xlpm.k,IF(IFERROR(--LEFT(SUBSTITUTE(GR5,"x","х"),FIND("х",SUBSTITUTE(GR5,"x","х"))-1),3)&gt;3,Каталог!$S$9,1))))</f>
        <v>1</v>
      </c>
      <c r="GY5">
        <f t="shared" si="86"/>
        <v>0</v>
      </c>
    </row>
    <row r="6" spans="1:207" x14ac:dyDescent="0.3">
      <c r="A6" t="s">
        <v>788</v>
      </c>
      <c r="B6">
        <v>8</v>
      </c>
      <c r="C6" t="str">
        <f>IF(BD6="","",IF(BE6="вводной узел","узел ","")&amp;"л."&amp;(INT((BD6-1)/Столбцов_на_лист)+1)&amp;" / "&amp;(MOD(BD6-1,Столбцов_на_лист)+1))</f>
        <v>л.1 / 8</v>
      </c>
      <c r="D6" t="s">
        <v>786</v>
      </c>
      <c r="E6" s="133" t="s">
        <v>785</v>
      </c>
      <c r="G6">
        <v>0</v>
      </c>
      <c r="H6">
        <v>1</v>
      </c>
      <c r="I6">
        <v>1</v>
      </c>
      <c r="J6">
        <v>230</v>
      </c>
      <c r="K6" t="s">
        <v>577</v>
      </c>
      <c r="N6">
        <v>2</v>
      </c>
      <c r="O6">
        <v>3</v>
      </c>
      <c r="P6">
        <v>15</v>
      </c>
      <c r="R6">
        <v>15</v>
      </c>
      <c r="U6" t="s">
        <v>13</v>
      </c>
      <c r="V6">
        <v>3</v>
      </c>
      <c r="W6">
        <v>2.5</v>
      </c>
      <c r="X6">
        <v>10</v>
      </c>
      <c r="Z6" t="s">
        <v>595</v>
      </c>
      <c r="AA6" t="s">
        <v>866</v>
      </c>
      <c r="AB6" t="s">
        <v>492</v>
      </c>
      <c r="AR6" t="str">
        <f t="shared" si="0"/>
        <v>нет мощности</v>
      </c>
      <c r="AS6" cm="1">
        <f t="array" ref="AS6">ROW()-ROW(Линии[#Headers])</f>
        <v>4</v>
      </c>
      <c r="AT6" t="str">
        <f t="shared" si="1"/>
        <v>ЩСПЗ-ЖД</v>
      </c>
      <c r="AU6" t="str">
        <f t="shared" si="2"/>
        <v>2</v>
      </c>
      <c r="AV6" t="str">
        <f t="shared" si="3"/>
        <v>2</v>
      </c>
      <c r="AW6" t="str">
        <f t="shared" si="4"/>
        <v/>
      </c>
      <c r="AX6" t="str">
        <f t="shared" si="5"/>
        <v/>
      </c>
      <c r="AY6" t="str">
        <f>IF(D6="","",IF(ISERROR(SEARCH(".",D6)),IFERROR(VLOOKUP(D6,Потребители_обозначение,2,FALSE)&amp;"",""),IFERROR(IF(VLOOKUP(AT6,Потребители_обозначение,4,FALSE)=1,VLOOKUP(AT6,Потребители_обозначение,2,FALSE)&amp;" "&amp;VLOOKUP(AV6,Этаж_обозначение,2,FALSE)&amp;" Пом. №"&amp;AX6,VLOOKUP(AT6,Потребители_обозначение,2,FALSE)&amp;" Шлейф №"&amp;AV6),IFERROR(VLOOKUP(D6,Потребители_обозначение,2,FALSE),""))))</f>
        <v/>
      </c>
      <c r="AZ6" t="str">
        <f t="shared" si="6"/>
        <v>Щит системы противопожарной защиты Цокольный этаж этаж Пом. №001Т Ввод.2</v>
      </c>
      <c r="BA6" t="str">
        <f>IF(F6&lt;&gt;"",F6,IF(AND(D6&lt;&gt;"",D6&lt;&gt;A6,ISNUMBER(_xlfn.XMATCH(D6,Щиты[Щит]))),D6,""))</f>
        <v/>
      </c>
      <c r="BB6">
        <f>IFERROR(_xlfn.XMATCH(A6,Щиты[Щит]),0)</f>
        <v>1</v>
      </c>
      <c r="BC6">
        <f>IFERROR(N(_xlfn.XLOOKUP(A6,Щиты[Щит],Щиты[Мест под вводной узел])),15)</f>
        <v>1</v>
      </c>
      <c r="BD6">
        <f t="shared" si="7"/>
        <v>8</v>
      </c>
      <c r="BE6" t="str">
        <f t="shared" si="8"/>
        <v>линии</v>
      </c>
      <c r="BF6">
        <f>IF(D6="","",IF(BA6&lt;&gt;"",IFERROR(_xlfn.XLOOKUP(BA6,Щиты[Щит],Щиты[Руст, кВт]),0),N(G6)))</f>
        <v>0</v>
      </c>
      <c r="BG6">
        <f>IF(J6&lt;&gt;"",J6,IF(D6="","",IFERROR(IF(VLOOKUP(AT6,Потребители_обозначение,8,FALSE)=0,"",VLOOKUP(AT6,Потребители_обозначение,8,FALSE)),"")))</f>
        <v>230</v>
      </c>
      <c r="BH6">
        <f>IF(I6&lt;&gt;"",I6,IF(D6="","",IFERROR(IF(VLOOKUP(AT6,Потребители_обозначение,9,FALSE)=0,"",VLOOKUP(AT6,Потребители_обозначение,9,FALSE)),"")))</f>
        <v>1</v>
      </c>
      <c r="BI6" t="str">
        <f>IF(U6&lt;&gt;"",U6,IF(D6="","",IFERROR(IF(VLOOKUP(AT6,Потребители_обозначение,6,FALSE)=0,"",VLOOKUP(AT6,Потребители_обозначение,6,FALSE)),"")))</f>
        <v>мфр</v>
      </c>
      <c r="BJ6">
        <f>IF(V6&lt;&gt;"",V6,IF(D6="","",IFERROR(IF(VLOOKUP(AT6,Потребители_обозначение,7,FALSE)=0,"",VLOOKUP(AT6,Потребители_обозначение,7,FALSE)),"")))</f>
        <v>3</v>
      </c>
      <c r="BK6">
        <f>IF(W6&lt;&gt;"",W6,IF(D6="","",IFERROR(IF(VLOOKUP(AT6,Потребители_обозначение,10,FALSE)=0,"",VLOOKUP(AT6,Потребители_обозначение,10,FALSE)),"")))</f>
        <v>2.5</v>
      </c>
      <c r="BL6">
        <f>IFERROR(VLOOKUP(AT6,Потребители_обозначение,5,FALSE),0)</f>
        <v>0</v>
      </c>
      <c r="BM6" cm="1">
        <f t="array" ref="BM6">IF(D6="","",IF(BA6&lt;&gt;"",IFERROR(_xlfn.XLOOKUP(BA6,Щиты[Щит],Щиты[cos φ]),0.95),IF(ISNUMBER(M6),M6,IFERROR(IF(BL6=2,_xlfn.IFS(BH6=3,VLOOKUP(BF6,Справочная_двигатели,8,FALSE),BH6=1,VLOOKUP(BF6,Справочная_двигатели,10,TRUE)),IF(AND(Методика="нормы 2026",CN6="Сил"),0.8,0.95)),0.95))))</f>
        <v>0.95</v>
      </c>
      <c r="BN6" cm="1">
        <f t="array" ref="BN6">IF(D6="","",IF(BA6&lt;&gt;"",IFERROR(_xlfn.XLOOKUP(BA6,Щиты[Щит],Щиты[Iр, А]),""),IFERROR(_xlfn.IFS(BH6=1,BF6/((Uн_лин/SQRT(3))*BM6),BH6=3,BF6/(SQRT(3)*Uн_лин*BM6)),"")))</f>
        <v>0</v>
      </c>
      <c r="BO6">
        <f>IF(D6="","",IF(N(X6)=0,IFERROR(VLOOKUP(BN6,Автомат_номиналы,2,TRUE),""),X6))</f>
        <v>10</v>
      </c>
      <c r="BP6">
        <f t="shared" si="9"/>
        <v>1</v>
      </c>
      <c r="BQ6">
        <f>IF(ISNUMBER(Y6),Y6,К_прокл)</f>
        <v>1</v>
      </c>
      <c r="BR6">
        <f t="shared" si="10"/>
        <v>2</v>
      </c>
      <c r="BS6" cm="1">
        <f t="array" ref="BS6">IF(D6="","",IF(N(BK6)&lt;&gt;0,BK6,IFERROR(_xlfn.LET(_xlpm.need,BO6/(BP6*BQ6),_xlpm.t,CHOOSE(BR6,Iдоп_1ж,Iдоп_2ж,Iдоп_3ж),_xlpm.k,_xlfn.XMATCH(_xlpm.need,_xlpm.t,1),IF(ISNA(_xlpm.k),"Не исп",INDEX(Iдоп_S,_xlpm.k))),"Не исп")))</f>
        <v>2.5</v>
      </c>
      <c r="BT6">
        <f>IFERROR(VLOOKUP(BS6,Кабель_сопротивление,3,FALSE),"")</f>
        <v>2.2499999999999999E-2</v>
      </c>
      <c r="BU6">
        <f>IFERROR(VLOOKUP(BS6,Кабель_сопротивление,2,FALSE),"")</f>
        <v>0.1</v>
      </c>
      <c r="BV6">
        <f t="shared" si="11"/>
        <v>15</v>
      </c>
      <c r="BW6">
        <f>IF(D6="","",IFERROR(IF(VLOOKUP(AT6,Потребители_обозначение,4,FALSE)=1,VLOOKUP(AT6,Потребители_обозначение,3,FALSE)*(H6*2-1)+BV6+VLOOKUP(AV6,Этаж_обозначение,3,FALSE)+VLOOKUP(AV6,Этаж_обозначение,4,FALSE),VLOOKUP(AT6,Потребители_обозначение,3,FALSE)*(H6*2-1)+BV6),BV6))</f>
        <v>15</v>
      </c>
      <c r="BX6">
        <f t="shared" si="12"/>
        <v>15</v>
      </c>
      <c r="BY6" t="str">
        <f t="shared" si="13"/>
        <v/>
      </c>
      <c r="BZ6">
        <f t="shared" si="14"/>
        <v>2</v>
      </c>
      <c r="CA6">
        <f t="shared" si="15"/>
        <v>0.31</v>
      </c>
      <c r="CB6">
        <f t="shared" si="16"/>
        <v>0</v>
      </c>
      <c r="CC6">
        <f>IFERROR(ROUNDUP(CB6/((Uн_лин/SQRT(3))*1000)*100,2),"")</f>
        <v>0</v>
      </c>
      <c r="CD6">
        <f>IF(ISNUMBER(CC6),CC6+IFERROR(_xlfn.XLOOKUP(A6,Щиты[Щит],Щиты[ΔU до шин, %]),0),"")</f>
        <v>0</v>
      </c>
      <c r="CE6">
        <f>IF(D6="","",IF(IFERROR(VLOOKUP(AT6,УГО_спр,2,FALSE),"")="Светильник",3,4)+IF(Методика="нормы 2026",MIN(0.5,MAX(0,N(BW6)-100)*0.005),0))</f>
        <v>4</v>
      </c>
      <c r="CF6" t="str">
        <f>IFERROR(VLOOKUP(BI6,Кабель_обозначение,2,FALSE),"")</f>
        <v>ВВГнг(А)-FRLS</v>
      </c>
      <c r="CG6" t="str">
        <f>IFERROR(IF(VLOOKUP(BI6,Кабель_обозначение,3,FALSE)=1,CF6&amp;" ("&amp;BJ6&amp;"х"&amp;BS6&amp;")",CF6),"")</f>
        <v>ВВГнг(А)-FRLS (3х2,5)</v>
      </c>
      <c r="CH6" t="str">
        <f t="shared" si="17"/>
        <v>ВВГнг(А)-FRLS (3х2,5)
L=15-0%</v>
      </c>
      <c r="CI6">
        <f>IFERROR(2*ρкз_Cu*BW6/BS6,"")</f>
        <v>0.31559999999999999</v>
      </c>
      <c r="CJ6">
        <f t="shared" si="18"/>
        <v>0.10500000000000001</v>
      </c>
      <c r="CK6" t="str">
        <f>IFERROR(IF(OR(D6="",NOT(ISNUMBER(BS6)),N(BW6)=0),"",_xlfn.XLOOKUP(A6,Щиты[Щит],Щиты[Zпетли на шинах, Ом])+CI6),"")</f>
        <v/>
      </c>
      <c r="CL6" t="str">
        <f>IF(ISNUMBER(CK6),c_min*(Uн_лин*1000/SQRT(3))/CK6,"")</f>
        <v/>
      </c>
      <c r="CM6" t="str">
        <f>IFERROR(IF(OR(D6="",NOT(ISNUMBER(BS6))),"",1.05*(Uн_лин*1000/SQRT(3))/(_xlfn.XLOOKUP(A6,Щиты[Щит],Щиты[Zmax на шинах, Ом])+CJ6)/1000),"")</f>
        <v/>
      </c>
      <c r="CN6" t="str">
        <f>IF(D6="","",IF(BA6&lt;&gt;"","Щит",IF(K6&lt;&gt;"",K6,IF(ISNUMBER(L6),"Сил",IF(IFERROR(_xlfn.XLOOKUP(AT6,Коды_код,Коды_группа)&amp;"","")="","Быт",_xlfn.XLOOKUP(AT6,Коды_код,Коды_группа)&amp;"")))))</f>
        <v>Пост</v>
      </c>
      <c r="CO6">
        <f>IF(CN6="Щит","щит",IF(CN6="","",IF(CN6="Быт",IFERROR(_xlfn.XLOOKUP(A6,Щиты[Щит],Щиты[Кс быт]),1),IF(CN6="Сил",IF(ISNUMBER(L6),L6,IF(Методика="нормы 2026",IFERROR(_xlfn.XLOOKUP(A6,Щиты[Щит],Щиты[Кс силовых (табл. 7.5)]),1),1)),IF(OR(CN6="Пост",CN6="Отоп"),1,IF(CN6="ВНГ",0.7,0))))))</f>
        <v>1</v>
      </c>
      <c r="CP6">
        <f t="shared" si="19"/>
        <v>2</v>
      </c>
      <c r="CQ6">
        <f t="shared" si="20"/>
        <v>0</v>
      </c>
      <c r="CR6">
        <f t="shared" si="21"/>
        <v>0</v>
      </c>
      <c r="CS6">
        <f t="shared" si="22"/>
        <v>0</v>
      </c>
      <c r="CT6">
        <f t="shared" si="23"/>
        <v>0</v>
      </c>
      <c r="CU6">
        <f t="shared" si="24"/>
        <v>0</v>
      </c>
      <c r="CV6">
        <f t="shared" si="25"/>
        <v>0</v>
      </c>
      <c r="CW6">
        <f t="shared" si="26"/>
        <v>0</v>
      </c>
      <c r="CX6">
        <f t="shared" si="27"/>
        <v>0</v>
      </c>
      <c r="CY6">
        <f t="shared" si="28"/>
        <v>2</v>
      </c>
      <c r="CZ6" t="str">
        <f t="shared" si="29"/>
        <v>L2</v>
      </c>
      <c r="DA6" cm="1">
        <f t="array" ref="DA6">IFERROR(IF(BL6=2,_xlfn.IFS(BH6=3,VLOOKUP(BF6,Справочная_двигатели,3,FALSE),BH6=1,VLOOKUP(BF6,Справочная_двигатели,5,TRUE)),0),0)</f>
        <v>0</v>
      </c>
      <c r="DB6">
        <f>IFERROR(IF(BL6=3,VLOOKUP(BF6,Справочная_ЛЭД,2,TRUE),0),0)</f>
        <v>0</v>
      </c>
      <c r="DC6">
        <f t="shared" si="30"/>
        <v>0</v>
      </c>
      <c r="DD6" t="str">
        <f t="shared" si="31"/>
        <v>L3</v>
      </c>
      <c r="DE6" t="str" cm="1">
        <f t="array" ref="DE6">IF(D6="","",IFERROR(INDEX({"I особая","I","II","III"},MATCH(TRIM(AA6&amp;""),{"I особая","I","II","III"},0)),"III"))</f>
        <v>I</v>
      </c>
      <c r="DF6" t="str">
        <f>IF(D6="","",IF(TRIM(AB6&amp;"")&lt;&gt;"",IF(LOWER(TRIM(AB6&amp;""))="да","да","нет"),IF(IFERROR(_xlfn.XLOOKUP(AT6,Коды_код,Коды_пожарная),"")="да","да","нет")))</f>
        <v>да</v>
      </c>
      <c r="DG6" t="str">
        <f t="shared" si="32"/>
        <v/>
      </c>
      <c r="DH6" t="str">
        <f t="shared" si="33"/>
        <v>основная</v>
      </c>
      <c r="DI6">
        <f t="shared" si="34"/>
        <v>2</v>
      </c>
      <c r="DJ6" t="str" cm="1">
        <f t="array" ref="DJ6">IF(D6="","",_xlfn.LET(_xlpm.t,IFERROR(_xlfn.XLOOKUP(1,(Шины[Шина]=DH6)*(((Шины[Щит]=A6)+(Шины[Щит]=""))&gt;0),Шины[Тип]),"")&amp;"",IF(_xlpm.t&lt;&gt;"",_xlpm.t,IF(ISNUMBER(SEARCH("ИБП",DH6)),"ИБП",IF(ISNUMBER(SEARCH("ДГУ",DH6)),"ДГУ","Ввод "&amp;DI6)))))</f>
        <v>Ввод 2</v>
      </c>
      <c r="DK6" t="str">
        <f t="shared" si="35"/>
        <v>Ввод 2</v>
      </c>
      <c r="DL6" t="str">
        <f>IF(D6="","",IF(OR(DJ6="ИБП",DJ6="ДГУ"),"I особая",IF(DJ6="Одиночная","III",_xlfn.XLOOKUP(A6,Щиты[Щит],Щиты[Категория шины «Ввод»],"III"))))</f>
        <v>I</v>
      </c>
      <c r="DM6">
        <f>IF(D6="",0,IFERROR(MATCH(DE6,{"III","II","I","I особая"},0),1))</f>
        <v>3</v>
      </c>
      <c r="DN6">
        <f t="shared" si="36"/>
        <v>3</v>
      </c>
      <c r="DO6" t="str">
        <f>IF(D6="","",IF(DM6&gt;IFERROR(MATCH(DL6,{"III","II","I","I особая"},0),1),"НЕ ОБЕСПЕЧЕНА","ОК"))</f>
        <v>ОК</v>
      </c>
      <c r="DP6" t="str">
        <f>IF(A6="","",_xlfn.XLOOKUP(A6,Щиты[Щит],Щиты[Путь],""))</f>
        <v>|ГРЩ-ЖД|</v>
      </c>
      <c r="DQ6" t="str">
        <f>IF(D6="","",IF(Z6&lt;&gt;"",Z6,IF(IFERROR(_xlfn.XLOOKUP(AT6,Коды_код,Коды_вид)&amp;"","")="","Прочее",_xlfn.XLOOKUP(AT6,Коды_код,Коды_вид)&amp;"")))</f>
        <v>Системы противопожарной защиты</v>
      </c>
      <c r="DR6">
        <f>IF(BD6="","",INT((BD6-1)/Столбцов_на_лист)+1)</f>
        <v>1</v>
      </c>
      <c r="DS6" t="str">
        <f t="shared" si="37"/>
        <v>ВВГнг(А)-FRLS (3х2,5) L=15-0%</v>
      </c>
      <c r="DT6">
        <f t="shared" si="38"/>
        <v>0</v>
      </c>
      <c r="DU6">
        <f t="shared" si="39"/>
        <v>0</v>
      </c>
      <c r="DV6">
        <f t="shared" si="40"/>
        <v>1</v>
      </c>
      <c r="DW6">
        <f>IF(AT6="",0,_xlfn.LET(_xlpm.v,IFERROR(VLOOKUP(D6,УГО_спр,3,FALSE),IFERROR(VLOOKUP(AT6,УГО_спр,3,FALSE),IFERROR(VLOOKUP(LEFT(AT6,2),УГО_спр,3,FALSE),""))),IF(_xlpm.v="да",30,IF(ISNUMBER(_xlpm.v),_xlpm.v,0))))</f>
        <v>0</v>
      </c>
      <c r="DX6">
        <f t="shared" si="41"/>
        <v>0</v>
      </c>
      <c r="DY6" t="str">
        <f>IF(BD6="","",IF(AD6&lt;&gt;"",COUNTIFS(A$3:A6,A6,AD$3:AD6,"?*"),IF(OR(OR(AS6=1,A6&lt;&gt;A5),AL6="вручную"),"",IF(AS6=1,"",DZ5))))</f>
        <v/>
      </c>
      <c r="DZ6" t="str">
        <f t="shared" si="42"/>
        <v/>
      </c>
      <c r="EA6">
        <f>IF(D6="",0,MAX(IFERROR(--X6,0),IFERROR(--VLOOKUP(D6,УГО_спр,4,FALSE),IFERROR(--VLOOKUP(AT6,УГО_спр,4,FALSE),IFERROR(--VLOOKUP(LEFT(AT6,2),УГО_спр,4,FALSE),0)))))</f>
        <v>10</v>
      </c>
      <c r="EB6">
        <f>IF(D6="","",IFERROR(LOOKUP(INDEX(CHOOSE(BR6,Iдоп_1ж,Iдоп_2ж,Iдоп_3ж),MATCH(BS6,Iдоп_S,0))*BP6*BQ6,{6,10,16,20,25,32,40,50,63,80,100,125,160,200,250,315,400,500,630}),""))</f>
        <v>25</v>
      </c>
      <c r="EC6" t="str">
        <f>IF(AD6="","",SUMIFS(Линии[_Ток схемы],Линии[_гр.],DY6,Линии[Щит],A6,Линии[_в кабель выше],0))</f>
        <v/>
      </c>
      <c r="ED6" t="str">
        <f>IF(AD6="","",IFERROR(VLOOKUP(EC6,Автомат_номиналы,2,TRUE),""))</f>
        <v/>
      </c>
      <c r="EE6" t="str">
        <f>IF(AD6="","",MAX(N(ED6),_xlfn.MAXIFS(Линии[_мин. по типу],Линии[_гр.],DY6,Линии[Щит],A6)))</f>
        <v/>
      </c>
      <c r="EF6" t="str">
        <f>IF(AD6="","",_xlfn.MINIFS(Линии[_макс. автомат по кабелю],Линии[_гр.],DY6,Линии[Щит],A6))</f>
        <v/>
      </c>
      <c r="EG6" t="str">
        <f>IF(AD6="","",MAX(1,_xlfn.MAXIFS(Линии[_фаз],Линии[_гр.],DY6,Линии[Щит],A6)))</f>
        <v/>
      </c>
      <c r="EH6" t="str">
        <f>IF(AD6="","",IF(AND(AD6&lt;&gt;"авто",AD6&lt;&gt;"+"),IF(ISNUMBER(SEARCH("мА",AD6)),IFERROR(--TRIM(RIGHT(SUBSTITUTE(LEFT(AD6,SEARCH("мА",AD6)-1)," ",REPT(" ",9)),6)),30),0),IF(AE6="нет",0,IF(ISNUMBER(AE6),AE6,IF(AE6="да",30,_xlfn.MINIFS(Линии[_дифзащита по коду, мА],Линии[_гр.],DY6,Линии[Щит],A6,Линии[_дифзащита по коду, мА],"&gt;0"))))))</f>
        <v/>
      </c>
      <c r="EI6" t="str">
        <f t="shared" si="43"/>
        <v/>
      </c>
      <c r="EJ6" t="str">
        <f t="shared" si="44"/>
        <v/>
      </c>
      <c r="EK6" t="str">
        <f t="shared" si="45"/>
        <v/>
      </c>
      <c r="EL6" t="str">
        <f t="shared" si="46"/>
        <v/>
      </c>
      <c r="EM6">
        <f t="shared" si="47"/>
        <v>0</v>
      </c>
      <c r="EN6" t="str">
        <f>IF(AD6="","",IF(EM6=1,MAX(EE6,Мин_автомат_БП),EE6))</f>
        <v/>
      </c>
      <c r="EO6" t="str">
        <f t="shared" si="48"/>
        <v/>
      </c>
      <c r="EP6" t="str">
        <f t="shared" si="49"/>
        <v/>
      </c>
      <c r="EQ6" t="str">
        <f t="shared" si="50"/>
        <v/>
      </c>
      <c r="ER6" t="str">
        <f>IF(OR(AI6="",AI6="-"),"",IFERROR(VLOOKUP(AI6,Модули_спр,2,FALSE),"R"))</f>
        <v/>
      </c>
      <c r="ES6" t="str">
        <f>IF(ER6="","",ER6&amp;"."&amp;COUNTIFS(A$3:A6,A6,ER$3:ER6,ER6))</f>
        <v/>
      </c>
      <c r="ET6" t="str">
        <f t="shared" si="51"/>
        <v/>
      </c>
      <c r="EU6" t="str">
        <f t="shared" si="52"/>
        <v/>
      </c>
      <c r="EV6" t="str">
        <f t="shared" si="53"/>
        <v/>
      </c>
      <c r="EW6" t="str">
        <f t="shared" si="54"/>
        <v/>
      </c>
      <c r="EX6">
        <f t="shared" si="55"/>
        <v>1</v>
      </c>
      <c r="EY6" t="str">
        <f>IF(AK6="нет","",IF(AK6&lt;&gt;"",AK6,IF(EX6=1,"XT"&amp;COUNTIFS(A$3:A6,A6,EX$3:EX6,1),"")))</f>
        <v>XT2</v>
      </c>
      <c r="EZ6" t="str">
        <f t="shared" si="56"/>
        <v/>
      </c>
      <c r="FA6" t="str">
        <f t="shared" si="57"/>
        <v/>
      </c>
      <c r="FB6" t="str">
        <f t="shared" si="58"/>
        <v/>
      </c>
      <c r="FC6" t="str">
        <f>IF(OR(EV6="",ET6=""),"",IF(EV6&gt;IFERROR(VLOOKUP(EU6,Модули_спр,3,FALSE),99),"ЛИШНИЙ КАНАЛ",IF(AND(AJ6&lt;&gt;"=",COUNTIFS(Линии[_модуль гр.],ET6,Линии[Канал (итог)],EV6,Линии[Канал],"&lt;&gt;=",Линии[Щит],A6)&gt;1),"ДУБЛЬ КАНАЛА","")))</f>
        <v/>
      </c>
      <c r="FD6" t="str">
        <f t="shared" si="59"/>
        <v/>
      </c>
      <c r="FE6" t="str">
        <f t="shared" si="60"/>
        <v/>
      </c>
      <c r="FF6" t="str">
        <f t="shared" si="61"/>
        <v/>
      </c>
      <c r="FG6" t="str">
        <f t="shared" si="62"/>
        <v/>
      </c>
      <c r="FH6" t="str">
        <f t="shared" si="63"/>
        <v/>
      </c>
      <c r="FI6">
        <f t="shared" si="64"/>
        <v>10</v>
      </c>
      <c r="FJ6" t="str">
        <f t="shared" si="65"/>
        <v/>
      </c>
      <c r="FK6" t="str">
        <f>IF(AND(D6="",EZ6=""),"",_xlfn.TEXTJOIN("; ",TRUE,IF(AND(D6&lt;&gt;"",DD6=""),"нет фазы",""),IF(AND(D6&lt;&gt;"",N(DT6)=0,CN6&lt;&gt;"Нет"),"нет мощности",""),IF(AND(EY6&lt;&gt;"",COUNTIFS(Линии[Щит],A6,Линии[Клемма (итог)],EY6)&gt;1),"дубль клеммы "&amp;EY6,""),IF(AND(FB6&lt;&gt;"",FB6&lt;&gt;"ok"),FB6,""),IF(FC6&lt;&gt;"",FC6,""),IF(AND(ISNUMBER(SEARCH("(5х",DS6)),N(DV6)=1),"5 жил на 1 фазе",""),IF(AND(AT6="R",AD6&lt;&gt;"",OR(N(EH6)=0,N(EH6)&gt;30)),"розетка без дифзащиты до 30 мА",""),IFERROR(IF(AND(ISNUMBER(CD6),CD6&gt;CE6),"потери "&amp;FIXED(CD6,1)&amp;" % &gt; "&amp;CE6&amp;" %",""),""),IFERROR(IF(LEFT(FJ6,4)="мало","Iкз мало — отключение &gt; 0,4 с",""),""),IF(AND(D6&lt;&gt;"",BD6=""),"не на схеме","")))</f>
        <v>нет мощности</v>
      </c>
      <c r="FL6" t="str">
        <f>IF(AD6="","",_xlfn.LET(_xlpm.t,IFERROR(_xlfn.XLOOKUP(EP6,Каталог!$U$4:$U$500,Каталог!$G$4:$G$500),""),_xlpm.k,SEARCH("кА",_xlpm.t),IFERROR(--TRIM(RIGHT(SUBSTITUTE(MID(_xlpm.t,MAX(1,_xlpm.k-4),_xlpm.k-MAX(1,_xlpm.k-4))," ",REPT(" ",9)),5)),"")))</f>
        <v/>
      </c>
      <c r="FM6" t="str">
        <f>IF(OR(FL6="",AD6=""),"",IF(_xlfn.XLOOKUP(A6,Щиты[Щит],Щиты[Iкз max на шинах, кА],"")="","",IF(FL6&lt;_xlfn.XLOOKUP(A6,Щиты[Щит],Щиты[Iкз max на шинах, кА]),"Icu "&amp;FL6&amp;" кА &lt; Iкз max","ok")))</f>
        <v/>
      </c>
      <c r="FN6" t="str">
        <f t="shared" si="66"/>
        <v>XT2</v>
      </c>
      <c r="FO6" t="str">
        <f t="shared" si="67"/>
        <v>XT2|кабель ВВГнг(А)-FRLS (3х2,5) → Щит системы противопожарной защиты Цокольный этаж этаж Пом. №001Т Ввод.2</v>
      </c>
      <c r="FP6" t="str" cm="1">
        <f t="array" ref="FP6">IF(FO6="","",_xlfn.LET(_xlpm.nd,_xlfn.TEXTSPLIT(FO6,"|"),IF(COLUMNS(_xlpm.nd)&gt;1,A6&amp;"¦"&amp;INDEX(_xlpm.nd,1)&amp;"¦"&amp;INDEX(_xlpm.nd,2),"")))</f>
        <v>ГРЩ-ЖД¦XT2¦кабель ВВГнг(А)-FRLS (3х2,5) → Щит системы противопожарной защиты Цокольный этаж этаж Пом. №001Т Ввод.2</v>
      </c>
      <c r="FQ6" t="str">
        <f t="shared" si="68"/>
        <v>ЩСПЗ-ЖД.2¦Щит системы противопожарной защиты Цокольный этаж этаж Пом. №001Т Ввод.2</v>
      </c>
      <c r="FR6" t="str" cm="1">
        <f t="array" ref="FR6">IF(FO6="","",_xlfn.LET(_xlpm.nd,_xlfn.TEXTSPLIT(FO6,"|"),IF(COLUMNS(_xlpm.nd)&gt;2,A6&amp;"¦"&amp;INDEX(_xlpm.nd,2)&amp;"¦"&amp;INDEX(_xlpm.nd,3),"")))</f>
        <v/>
      </c>
      <c r="FS6" t="str">
        <f t="shared" si="69"/>
        <v/>
      </c>
      <c r="FT6" t="str" cm="1">
        <f t="array" ref="FT6">IF(FO6="","",_xlfn.LET(_xlpm.nd,_xlfn.TEXTSPLIT(FO6,"|"),IF(COLUMNS(_xlpm.nd)&gt;3,A6&amp;"¦"&amp;INDEX(_xlpm.nd,3)&amp;"¦"&amp;INDEX(_xlpm.nd,4),"")))</f>
        <v/>
      </c>
      <c r="FU6" t="str">
        <f t="shared" si="70"/>
        <v/>
      </c>
      <c r="FV6" t="str" cm="1">
        <f t="array" ref="FV6">IF(FO6="","",_xlfn.LET(_xlpm.nd,_xlfn.TEXTSPLIT(FO6,"|"),IF(COLUMNS(_xlpm.nd)&gt;4,A6&amp;"¦"&amp;INDEX(_xlpm.nd,4)&amp;"¦"&amp;INDEX(_xlpm.nd,5),"")))</f>
        <v/>
      </c>
      <c r="FW6" t="str">
        <f t="shared" si="71"/>
        <v/>
      </c>
      <c r="FX6" t="str" cm="1">
        <f t="array" ref="FX6">IF(FO6="","",_xlfn.LET(_xlpm.nd,_xlfn.TEXTSPLIT(FO6,"|"),IF(COLUMNS(_xlpm.nd)&gt;5,A6&amp;"¦"&amp;INDEX(_xlpm.nd,5)&amp;"¦"&amp;INDEX(_xlpm.nd,6),"")))</f>
        <v/>
      </c>
      <c r="FY6" t="str">
        <f t="shared" si="72"/>
        <v/>
      </c>
      <c r="FZ6" t="str" cm="1">
        <f t="array" ref="FZ6">IF(FO6="","",_xlfn.LET(_xlpm.nd,_xlfn.TEXTSPLIT(FO6,"|"),IF(COLUMNS(_xlpm.nd)&gt;6,A6&amp;"¦"&amp;INDEX(_xlpm.nd,6)&amp;"¦"&amp;INDEX(_xlpm.nd,7),"")))</f>
        <v/>
      </c>
      <c r="GA6" t="str">
        <f t="shared" si="73"/>
        <v/>
      </c>
      <c r="GB6" t="str">
        <f t="shared" si="74"/>
        <v/>
      </c>
      <c r="GC6" t="str">
        <f t="shared" si="75"/>
        <v>XT2</v>
      </c>
      <c r="GD6">
        <f t="shared" si="76"/>
        <v>1</v>
      </c>
      <c r="GE6">
        <f t="shared" si="77"/>
        <v>0</v>
      </c>
      <c r="GF6">
        <f t="shared" si="78"/>
        <v>0</v>
      </c>
      <c r="GG6" t="str">
        <f t="shared" si="79"/>
        <v/>
      </c>
      <c r="GH6" t="str">
        <f t="shared" si="80"/>
        <v/>
      </c>
      <c r="GI6" t="str">
        <f t="shared" si="81"/>
        <v/>
      </c>
      <c r="GJ6" t="str">
        <f t="shared" si="82"/>
        <v/>
      </c>
      <c r="GK6">
        <f>IF(D6="","",IFERROR(VLOOKUP(D6,УГО_спр,2,FALSE),IFERROR(VLOOKUP(AT6,УГО_спр,2,FALSE),IFERROR(VLOOKUP(LEFT(AT6,2),УГО_спр,2,FALSE),""))))</f>
        <v>0</v>
      </c>
      <c r="GL6" t="str">
        <f>IF(D6="","",IF(OR(GK6="",GK6=0),"BOX",IFERROR(IF(VLOOKUP(GK6,УГО_блоки,3,FALSE)&amp;""&lt;&gt;"",VLOOKUP(GK6,УГО_блоки,3,FALSE),VLOOKUP(GK6,УГО_блоки,2,FALSE)),GK6)))</f>
        <v>BOX</v>
      </c>
      <c r="GM6">
        <f t="shared" si="83"/>
        <v>1</v>
      </c>
      <c r="GN6" t="str">
        <f>IF(EP6="","",IF(COUNTIF(EP$3:EP6,EP6)=1,MAX(GN$2:GN5)+1,""))</f>
        <v/>
      </c>
      <c r="GO6" t="str">
        <f>IF(AF6="","",IF(COUNTIF(AF$3:AF6,AF6)+COUNTIF(AG$2:AG5,AF6)+COUNTIF(AH$2:AH5,AF6)=1,MAX(GO$2:GQ5)+1,""))</f>
        <v/>
      </c>
      <c r="GP6" t="str">
        <f>IF(AG6="","",IF(COUNTIF(AF$3:AF6,AG6)+COUNTIF(AG$3:AG6,AG6)+COUNTIF(AH$2:AH5,AG6)=1,MAX(GO$2:GQ5,GO6)+1,""))</f>
        <v/>
      </c>
      <c r="GQ6" t="str">
        <f>IF(AH6="","",IF(COUNTIF(AF$3:AF6,AH6)+COUNTIF(AG$3:AG6,AH6)+COUNTIF(AH$3:AH6,AH6)=1,MAX(GO$2:GQ5,GO6,GP6)+1,""))</f>
        <v/>
      </c>
      <c r="GR6" t="str">
        <f t="shared" si="84"/>
        <v>3х2,5</v>
      </c>
      <c r="GS6" t="str">
        <f>IF(GR6="","",IF(COUNTIF(GR$3:GR6,GR6)=1,MAX(GS$2:GS5)+1,""))</f>
        <v/>
      </c>
      <c r="GT6" t="str">
        <f>IF(ES6="","",COUNTIF(ES$3:ES6,"?*"))</f>
        <v/>
      </c>
      <c r="GU6" t="str">
        <f>IF(OR(ES6="",EU6=""),"",IF(COUNTIFS(ES$3:ES6,"?*",EU$3:EU6,EU6)=1,MAX(GU$2:GU5)+1,""))</f>
        <v/>
      </c>
      <c r="GV6">
        <f t="shared" si="85"/>
        <v>1</v>
      </c>
      <c r="GW6">
        <f>IF(D6="","",COUNTIF(D$3:D6,"?*"))</f>
        <v>4</v>
      </c>
      <c r="GX6">
        <f>IF(EX6&lt;&gt;1,0,_xlfn.LET(_xlpm.k,MAX(IFERROR(--VLOOKUP(D6,УГО_спр,5,FALSE),0),IFERROR(--VLOOKUP(AT6,УГО_спр,5,FALSE),0),IFERROR(--VLOOKUP(LEFT(AT6,2),УГО_спр,5,FALSE),0)),IF(_xlpm.k&gt;0,_xlpm.k,IF(IFERROR(--LEFT(SUBSTITUTE(GR6,"x","х"),FIND("х",SUBSTITUTE(GR6,"x","х"))-1),3)&gt;3,Каталог!$S$9,1))))</f>
        <v>1</v>
      </c>
      <c r="GY6">
        <f t="shared" si="86"/>
        <v>0</v>
      </c>
    </row>
    <row r="7" spans="1:207" x14ac:dyDescent="0.3">
      <c r="A7" t="s">
        <v>788</v>
      </c>
      <c r="B7">
        <v>19</v>
      </c>
      <c r="C7" t="str">
        <f>IF(BD7="","",IF(BE7="вводной узел","узел ","")&amp;"л."&amp;(INT((BD7-1)/Столбцов_на_лист)+1)&amp;" / "&amp;(MOD(BD7-1,Столбцов_на_лист)+1))</f>
        <v>л.2 / 2</v>
      </c>
      <c r="D7" t="s">
        <v>750</v>
      </c>
      <c r="E7" s="133" t="s">
        <v>749</v>
      </c>
      <c r="G7">
        <v>13.06</v>
      </c>
      <c r="H7">
        <v>1</v>
      </c>
      <c r="I7">
        <v>3</v>
      </c>
      <c r="J7">
        <v>400</v>
      </c>
      <c r="K7" t="s">
        <v>602</v>
      </c>
      <c r="L7">
        <v>0.5</v>
      </c>
      <c r="N7">
        <v>1</v>
      </c>
      <c r="O7" t="s">
        <v>1298</v>
      </c>
      <c r="P7">
        <v>15</v>
      </c>
      <c r="Q7">
        <v>0</v>
      </c>
      <c r="R7">
        <v>15</v>
      </c>
      <c r="S7">
        <v>0</v>
      </c>
      <c r="U7" t="s">
        <v>11</v>
      </c>
      <c r="V7">
        <v>5</v>
      </c>
      <c r="W7">
        <v>6</v>
      </c>
      <c r="X7">
        <v>25</v>
      </c>
      <c r="Z7" t="s">
        <v>584</v>
      </c>
      <c r="AA7" t="s">
        <v>818</v>
      </c>
      <c r="AK7" t="s">
        <v>488</v>
      </c>
      <c r="AR7" t="str">
        <f t="shared" si="0"/>
        <v/>
      </c>
      <c r="AS7" cm="1">
        <f t="array" ref="AS7">ROW()-ROW(Линии[#Headers])</f>
        <v>5</v>
      </c>
      <c r="AT7" t="str">
        <f t="shared" si="1"/>
        <v>ЩОВ-01</v>
      </c>
      <c r="AU7" t="str">
        <f t="shared" si="2"/>
        <v/>
      </c>
      <c r="AV7" t="str">
        <f t="shared" si="3"/>
        <v/>
      </c>
      <c r="AW7" t="str">
        <f t="shared" si="4"/>
        <v/>
      </c>
      <c r="AX7" t="str">
        <f t="shared" si="5"/>
        <v/>
      </c>
      <c r="AY7" t="str">
        <f>IF(D7="","",IF(ISERROR(SEARCH(".",D7)),IFERROR(VLOOKUP(D7,Потребители_обозначение,2,FALSE)&amp;"",""),IFERROR(IF(VLOOKUP(AT7,Потребители_обозначение,4,FALSE)=1,VLOOKUP(AT7,Потребители_обозначение,2,FALSE)&amp;" "&amp;VLOOKUP(AV7,Этаж_обозначение,2,FALSE)&amp;" Пом. №"&amp;AX7,VLOOKUP(AT7,Потребители_обозначение,2,FALSE)&amp;" Шлейф №"&amp;AV7),IFERROR(VLOOKUP(D7,Потребители_обозначение,2,FALSE),""))))</f>
        <v/>
      </c>
      <c r="AZ7" t="str">
        <f t="shared" si="6"/>
        <v>Щит вентиляции ЩОВ-01 Цокольный этаж этаж Пом. №0.001Тб</v>
      </c>
      <c r="BA7" t="str">
        <f>IF(F7&lt;&gt;"",F7,IF(AND(D7&lt;&gt;"",D7&lt;&gt;A7,ISNUMBER(_xlfn.XMATCH(D7,Щиты[Щит]))),D7,""))</f>
        <v>ЩОВ-01</v>
      </c>
      <c r="BB7">
        <f>IFERROR(_xlfn.XMATCH(A7,Щиты[Щит]),0)</f>
        <v>1</v>
      </c>
      <c r="BC7">
        <f>IFERROR(N(_xlfn.XLOOKUP(A7,Щиты[Щит],Щиты[Мест под вводной узел])),15)</f>
        <v>1</v>
      </c>
      <c r="BD7">
        <f t="shared" si="7"/>
        <v>19</v>
      </c>
      <c r="BE7" t="str">
        <f t="shared" si="8"/>
        <v>линии</v>
      </c>
      <c r="BF7">
        <f>IF(D7="","",IF(BA7&lt;&gt;"",IFERROR(_xlfn.XLOOKUP(BA7,Щиты[Щит],Щиты[Руст, кВт]),0),N(G7)))</f>
        <v>13.172999999999996</v>
      </c>
      <c r="BG7">
        <f>IF(J7&lt;&gt;"",J7,IF(D7="","",IFERROR(IF(VLOOKUP(AT7,Потребители_обозначение,8,FALSE)=0,"",VLOOKUP(AT7,Потребители_обозначение,8,FALSE)),"")))</f>
        <v>400</v>
      </c>
      <c r="BH7">
        <f>IF(I7&lt;&gt;"",I7,IF(D7="","",IFERROR(IF(VLOOKUP(AT7,Потребители_обозначение,9,FALSE)=0,"",VLOOKUP(AT7,Потребители_обозначение,9,FALSE)),"")))</f>
        <v>3</v>
      </c>
      <c r="BI7" t="str">
        <f>IF(U7&lt;&gt;"",U7,IF(D7="","",IFERROR(IF(VLOOKUP(AT7,Потребители_обозначение,6,FALSE)=0,"",VLOOKUP(AT7,Потребители_обозначение,6,FALSE)),"")))</f>
        <v>мс</v>
      </c>
      <c r="BJ7">
        <f>IF(V7&lt;&gt;"",V7,IF(D7="","",IFERROR(IF(VLOOKUP(AT7,Потребители_обозначение,7,FALSE)=0,"",VLOOKUP(AT7,Потребители_обозначение,7,FALSE)),"")))</f>
        <v>5</v>
      </c>
      <c r="BK7">
        <f>IF(W7&lt;&gt;"",W7,IF(D7="","",IFERROR(IF(VLOOKUP(AT7,Потребители_обозначение,10,FALSE)=0,"",VLOOKUP(AT7,Потребители_обозначение,10,FALSE)),"")))</f>
        <v>6</v>
      </c>
      <c r="BL7">
        <f>IFERROR(VLOOKUP(AT7,Потребители_обозначение,5,FALSE),0)</f>
        <v>0</v>
      </c>
      <c r="BM7" cm="1">
        <f t="array" ref="BM7">IF(D7="","",IF(BA7&lt;&gt;"",IFERROR(_xlfn.XLOOKUP(BA7,Щиты[Щит],Щиты[cos φ]),0.95),IF(ISNUMBER(M7),M7,IFERROR(IF(BL7=2,_xlfn.IFS(BH7=3,VLOOKUP(BF7,Справочная_двигатели,8,FALSE),BH7=1,VLOOKUP(BF7,Справочная_двигатели,10,TRUE)),IF(AND(Методика="нормы 2026",CN7="Сил"),0.8,0.95)),0.95))))</f>
        <v>0.9500000000000004</v>
      </c>
      <c r="BN7" cm="1">
        <f t="array" ref="BN7">IF(D7="","",IF(BA7&lt;&gt;"",IFERROR(_xlfn.XLOOKUP(BA7,Щиты[Щит],Щиты[Iр, А]),""),IFERROR(_xlfn.IFS(BH7=1,BF7/((Uн_лин/SQRT(3))*BM7),BH7=3,BF7/(SQRT(3)*Uн_лин*BM7)),"")))</f>
        <v>9.9731941302660019</v>
      </c>
      <c r="BO7">
        <f>IF(D7="","",IF(N(X7)=0,IFERROR(VLOOKUP(BN7,Автомат_номиналы,2,TRUE),""),X7))</f>
        <v>25</v>
      </c>
      <c r="BP7">
        <f t="shared" si="9"/>
        <v>0.92</v>
      </c>
      <c r="BQ7">
        <f>IF(ISNUMBER(Y7),Y7,К_прокл)</f>
        <v>1</v>
      </c>
      <c r="BR7">
        <f t="shared" si="10"/>
        <v>3</v>
      </c>
      <c r="BS7" cm="1">
        <f t="array" ref="BS7">IF(D7="","",IF(N(BK7)&lt;&gt;0,BK7,IFERROR(_xlfn.LET(_xlpm.need,BO7/(BP7*BQ7),_xlpm.t,CHOOSE(BR7,Iдоп_1ж,Iдоп_2ж,Iдоп_3ж),_xlpm.k,_xlfn.XMATCH(_xlpm.need,_xlpm.t,1),IF(ISNA(_xlpm.k),"Не исп",INDEX(Iдоп_S,_xlpm.k))),"Не исп")))</f>
        <v>6</v>
      </c>
      <c r="BT7">
        <f>IFERROR(VLOOKUP(BS7,Кабель_сопротивление,3,FALSE),"")</f>
        <v>2.2499999999999999E-2</v>
      </c>
      <c r="BU7">
        <f>IFERROR(VLOOKUP(BS7,Кабель_сопротивление,2,FALSE),"")</f>
        <v>0.09</v>
      </c>
      <c r="BV7">
        <f t="shared" si="11"/>
        <v>15</v>
      </c>
      <c r="BW7">
        <f>IF(D7="","",IFERROR(IF(VLOOKUP(AT7,Потребители_обозначение,4,FALSE)=1,VLOOKUP(AT7,Потребители_обозначение,3,FALSE)*(H7*2-1)+BV7+VLOOKUP(AV7,Этаж_обозначение,3,FALSE)+VLOOKUP(AV7,Этаж_обозначение,4,FALSE),VLOOKUP(AT7,Потребители_обозначение,3,FALSE)*(H7*2-1)+BV7),BV7))</f>
        <v>15</v>
      </c>
      <c r="BX7">
        <f t="shared" si="12"/>
        <v>15</v>
      </c>
      <c r="BY7">
        <f t="shared" si="13"/>
        <v>0</v>
      </c>
      <c r="BZ7">
        <f t="shared" si="14"/>
        <v>1</v>
      </c>
      <c r="CA7">
        <f t="shared" si="15"/>
        <v>0.31</v>
      </c>
      <c r="CB7">
        <f t="shared" si="16"/>
        <v>0.53711634307960598</v>
      </c>
      <c r="CC7">
        <f>IFERROR(ROUNDUP(CB7/((Uн_лин/SQRT(3))*1000)*100,2),"")</f>
        <v>0.24000000000000002</v>
      </c>
      <c r="CD7">
        <f>IF(ISNUMBER(CC7),CC7+IFERROR(_xlfn.XLOOKUP(A7,Щиты[Щит],Щиты[ΔU до шин, %]),0),"")</f>
        <v>0.24000000000000002</v>
      </c>
      <c r="CE7">
        <f>IF(D7="","",IF(IFERROR(VLOOKUP(AT7,УГО_спр,2,FALSE),"")="Светильник",3,4)+IF(Методика="нормы 2026",MIN(0.5,MAX(0,N(BW7)-100)*0.005),0))</f>
        <v>4</v>
      </c>
      <c r="CF7" t="str">
        <f>IFERROR(VLOOKUP(BI7,Кабель_обозначение,2,FALSE),"")</f>
        <v>ВВГнг(А)-LS</v>
      </c>
      <c r="CG7" t="str">
        <f>IFERROR(IF(VLOOKUP(BI7,Кабель_обозначение,3,FALSE)=1,CF7&amp;" ("&amp;BJ7&amp;"х"&amp;BS7&amp;")",CF7),"")</f>
        <v>ВВГнг(А)-LS (5х6)</v>
      </c>
      <c r="CH7" t="str">
        <f t="shared" si="17"/>
        <v>ВВГнг(А)-LS (5х6)
L=15-0,24%</v>
      </c>
      <c r="CI7">
        <f>IFERROR(2*ρкз_Cu*BW7/BS7,"")</f>
        <v>0.13150000000000001</v>
      </c>
      <c r="CJ7">
        <f t="shared" si="18"/>
        <v>4.3750000000000004E-2</v>
      </c>
      <c r="CK7" t="str">
        <f>IFERROR(IF(OR(D7="",NOT(ISNUMBER(BS7)),N(BW7)=0),"",_xlfn.XLOOKUP(A7,Щиты[Щит],Щиты[Zпетли на шинах, Ом])+CI7),"")</f>
        <v/>
      </c>
      <c r="CL7" t="str">
        <f>IF(ISNUMBER(CK7),c_min*(Uн_лин*1000/SQRT(3))/CK7,"")</f>
        <v/>
      </c>
      <c r="CM7" t="str">
        <f>IFERROR(IF(OR(D7="",NOT(ISNUMBER(BS7))),"",1.05*(Uн_лин*1000/SQRT(3))/(_xlfn.XLOOKUP(A7,Щиты[Щит],Щиты[Zmax на шинах, Ом])+CJ7)/1000),"")</f>
        <v/>
      </c>
      <c r="CN7" t="str">
        <f>IF(D7="","",IF(BA7&lt;&gt;"","Щит",IF(K7&lt;&gt;"",K7,IF(ISNUMBER(L7),"Сил",IF(IFERROR(_xlfn.XLOOKUP(AT7,Коды_код,Коды_группа)&amp;"","")="","Быт",_xlfn.XLOOKUP(AT7,Коды_код,Коды_группа)&amp;"")))))</f>
        <v>Щит</v>
      </c>
      <c r="CO7" t="str">
        <f>IF(CN7="Щит","щит",IF(CN7="","",IF(CN7="Быт",IFERROR(_xlfn.XLOOKUP(A7,Щиты[Щит],Щиты[Кс быт]),1),IF(CN7="Сил",IF(ISNUMBER(L7),L7,IF(Методика="нормы 2026",IFERROR(_xlfn.XLOOKUP(A7,Щиты[Щит],Щиты[Кс силовых (табл. 7.5)]),1),1)),IF(OR(CN7="Пост",CN7="Отоп"),1,IF(CN7="ВНГ",0.7,0))))))</f>
        <v>щит</v>
      </c>
      <c r="CP7">
        <f t="shared" si="19"/>
        <v>1</v>
      </c>
      <c r="CQ7">
        <f t="shared" si="20"/>
        <v>0</v>
      </c>
      <c r="CR7">
        <f t="shared" si="21"/>
        <v>0</v>
      </c>
      <c r="CS7">
        <f t="shared" si="22"/>
        <v>0</v>
      </c>
      <c r="CT7">
        <f t="shared" si="23"/>
        <v>0</v>
      </c>
      <c r="CU7">
        <f t="shared" si="24"/>
        <v>0</v>
      </c>
      <c r="CV7">
        <f t="shared" si="25"/>
        <v>0</v>
      </c>
      <c r="CW7">
        <f t="shared" si="26"/>
        <v>0</v>
      </c>
      <c r="CX7">
        <f t="shared" si="27"/>
        <v>0</v>
      </c>
      <c r="CY7">
        <f t="shared" si="28"/>
        <v>2</v>
      </c>
      <c r="CZ7" t="str">
        <f t="shared" si="29"/>
        <v>L1,L2,L3</v>
      </c>
      <c r="DA7" cm="1">
        <f t="array" ref="DA7">IFERROR(IF(BL7=2,_xlfn.IFS(BH7=3,VLOOKUP(BF7,Справочная_двигатели,3,FALSE),BH7=1,VLOOKUP(BF7,Справочная_двигатели,5,TRUE)),0),0)</f>
        <v>0</v>
      </c>
      <c r="DB7">
        <f>IFERROR(IF(BL7=3,VLOOKUP(BF7,Справочная_ЛЭД,2,TRUE),0),0)</f>
        <v>0</v>
      </c>
      <c r="DC7">
        <f t="shared" si="30"/>
        <v>0</v>
      </c>
      <c r="DD7" t="str">
        <f t="shared" si="31"/>
        <v>L1,L2,L3</v>
      </c>
      <c r="DE7" t="str" cm="1">
        <f t="array" ref="DE7">IF(D7="","",IFERROR(INDEX({"I особая","I","II","III"},MATCH(TRIM(AA7&amp;""),{"I особая","I","II","III"},0)),"III"))</f>
        <v>II</v>
      </c>
      <c r="DF7" t="str">
        <f>IF(D7="","",IF(TRIM(AB7&amp;"")&lt;&gt;"",IF(LOWER(TRIM(AB7&amp;""))="да","да","нет"),IF(IFERROR(_xlfn.XLOOKUP(AT7,Коды_код,Коды_пожарная),"")="да","да","нет")))</f>
        <v>нет</v>
      </c>
      <c r="DG7" t="str">
        <f t="shared" si="32"/>
        <v/>
      </c>
      <c r="DH7" t="str">
        <f t="shared" si="33"/>
        <v>основная</v>
      </c>
      <c r="DI7">
        <f t="shared" si="34"/>
        <v>1</v>
      </c>
      <c r="DJ7" t="str" cm="1">
        <f t="array" ref="DJ7">IF(D7="","",_xlfn.LET(_xlpm.t,IFERROR(_xlfn.XLOOKUP(1,(Шины[Шина]=DH7)*(((Шины[Щит]=A7)+(Шины[Щит]=""))&gt;0),Шины[Тип]),"")&amp;"",IF(_xlpm.t&lt;&gt;"",_xlpm.t,IF(ISNUMBER(SEARCH("ИБП",DH7)),"ИБП",IF(ISNUMBER(SEARCH("ДГУ",DH7)),"ДГУ","Ввод "&amp;DI7)))))</f>
        <v>Ввод 1</v>
      </c>
      <c r="DK7" t="str">
        <f t="shared" si="35"/>
        <v>Ввод 1</v>
      </c>
      <c r="DL7" t="str">
        <f>IF(D7="","",IF(OR(DJ7="ИБП",DJ7="ДГУ"),"I особая",IF(DJ7="Одиночная","III",_xlfn.XLOOKUP(A7,Щиты[Щит],Щиты[Категория шины «Ввод»],"III"))))</f>
        <v>I</v>
      </c>
      <c r="DM7">
        <f>IF(D7="",0,IFERROR(MATCH(DE7,{"III","II","I","I особая"},0),1))</f>
        <v>2</v>
      </c>
      <c r="DN7">
        <f t="shared" si="36"/>
        <v>2</v>
      </c>
      <c r="DO7" t="str">
        <f>IF(D7="","",IF(DM7&gt;IFERROR(MATCH(DL7,{"III","II","I","I особая"},0),1),"НЕ ОБЕСПЕЧЕНА","ОК"))</f>
        <v>ОК</v>
      </c>
      <c r="DP7" t="str">
        <f>IF(A7="","",_xlfn.XLOOKUP(A7,Щиты[Щит],Щиты[Путь],""))</f>
        <v>|ГРЩ-ЖД|</v>
      </c>
      <c r="DQ7" t="str">
        <f>IF(D7="","",IF(Z7&lt;&gt;"",Z7,IF(IFERROR(_xlfn.XLOOKUP(AT7,Коды_код,Коды_вид)&amp;"","")="","Прочее",_xlfn.XLOOKUP(AT7,Коды_код,Коды_вид)&amp;"")))</f>
        <v>Вентиляция</v>
      </c>
      <c r="DR7">
        <f>IF(BD7="","",INT((BD7-1)/Столбцов_на_лист)+1)</f>
        <v>2</v>
      </c>
      <c r="DS7" t="str">
        <f t="shared" si="37"/>
        <v>ВВГнг(А)-LS (5х6) L=15-0,24%</v>
      </c>
      <c r="DT7">
        <f t="shared" si="38"/>
        <v>13.172999999999996</v>
      </c>
      <c r="DU7">
        <f t="shared" si="39"/>
        <v>9.98</v>
      </c>
      <c r="DV7">
        <f t="shared" si="40"/>
        <v>3</v>
      </c>
      <c r="DW7">
        <f>IF(AT7="",0,_xlfn.LET(_xlpm.v,IFERROR(VLOOKUP(D7,УГО_спр,3,FALSE),IFERROR(VLOOKUP(AT7,УГО_спр,3,FALSE),IFERROR(VLOOKUP(LEFT(AT7,2),УГО_спр,3,FALSE),""))),IF(_xlpm.v="да",30,IF(ISNUMBER(_xlpm.v),_xlpm.v,0))))</f>
        <v>0</v>
      </c>
      <c r="DX7">
        <f t="shared" si="41"/>
        <v>0</v>
      </c>
      <c r="DY7" t="str">
        <f>IF(BD7="","",IF(AD7&lt;&gt;"",COUNTIFS(A$3:A7,A7,AD$3:AD7,"?*"),IF(OR(OR(AS7=1,A7&lt;&gt;A6),AL7="вручную"),"",IF(AS7=1,"",DZ6))))</f>
        <v/>
      </c>
      <c r="DZ7" t="str">
        <f t="shared" si="42"/>
        <v/>
      </c>
      <c r="EA7">
        <f>IF(D7="",0,MAX(IFERROR(--X7,0),IFERROR(--VLOOKUP(D7,УГО_спр,4,FALSE),IFERROR(--VLOOKUP(AT7,УГО_спр,4,FALSE),IFERROR(--VLOOKUP(LEFT(AT7,2),УГО_спр,4,FALSE),0)))))</f>
        <v>25</v>
      </c>
      <c r="EB7">
        <f>IF(D7="","",IFERROR(LOOKUP(INDEX(CHOOSE(BR7,Iдоп_1ж,Iдоп_2ж,Iдоп_3ж),MATCH(BS7,Iдоп_S,0))*BP7*BQ7,{6,10,16,20,25,32,40,50,63,80,100,125,160,200,250,315,400,500,630}),""))</f>
        <v>32</v>
      </c>
      <c r="EC7" t="str">
        <f>IF(AD7="","",SUMIFS(Линии[_Ток схемы],Линии[_гр.],DY7,Линии[Щит],A7,Линии[_в кабель выше],0))</f>
        <v/>
      </c>
      <c r="ED7" t="str">
        <f>IF(AD7="","",IFERROR(VLOOKUP(EC7,Автомат_номиналы,2,TRUE),""))</f>
        <v/>
      </c>
      <c r="EE7" t="str">
        <f>IF(AD7="","",MAX(N(ED7),_xlfn.MAXIFS(Линии[_мин. по типу],Линии[_гр.],DY7,Линии[Щит],A7)))</f>
        <v/>
      </c>
      <c r="EF7" t="str">
        <f>IF(AD7="","",_xlfn.MINIFS(Линии[_макс. автомат по кабелю],Линии[_гр.],DY7,Линии[Щит],A7))</f>
        <v/>
      </c>
      <c r="EG7" t="str">
        <f>IF(AD7="","",MAX(1,_xlfn.MAXIFS(Линии[_фаз],Линии[_гр.],DY7,Линии[Щит],A7)))</f>
        <v/>
      </c>
      <c r="EH7" t="str">
        <f>IF(AD7="","",IF(AND(AD7&lt;&gt;"авто",AD7&lt;&gt;"+"),IF(ISNUMBER(SEARCH("мА",AD7)),IFERROR(--TRIM(RIGHT(SUBSTITUTE(LEFT(AD7,SEARCH("мА",AD7)-1)," ",REPT(" ",9)),6)),30),0),IF(AE7="нет",0,IF(ISNUMBER(AE7),AE7,IF(AE7="да",30,_xlfn.MINIFS(Линии[_дифзащита по коду, мА],Линии[_гр.],DY7,Линии[Щит],A7,Линии[_дифзащита по коду, мА],"&gt;0"))))))</f>
        <v/>
      </c>
      <c r="EI7" t="str">
        <f t="shared" si="43"/>
        <v/>
      </c>
      <c r="EJ7" t="str">
        <f t="shared" si="44"/>
        <v/>
      </c>
      <c r="EK7" t="str">
        <f t="shared" si="45"/>
        <v/>
      </c>
      <c r="EL7" t="str">
        <f t="shared" si="46"/>
        <v/>
      </c>
      <c r="EM7">
        <f t="shared" si="47"/>
        <v>0</v>
      </c>
      <c r="EN7" t="str">
        <f>IF(AD7="","",IF(EM7=1,MAX(EE7,Мин_автомат_БП),EE7))</f>
        <v/>
      </c>
      <c r="EO7" t="str">
        <f t="shared" si="48"/>
        <v/>
      </c>
      <c r="EP7" t="str">
        <f t="shared" si="49"/>
        <v/>
      </c>
      <c r="EQ7" t="str">
        <f t="shared" si="50"/>
        <v/>
      </c>
      <c r="ER7" t="str">
        <f>IF(OR(AI7="",AI7="-"),"",IFERROR(VLOOKUP(AI7,Модули_спр,2,FALSE),"R"))</f>
        <v/>
      </c>
      <c r="ES7" t="str">
        <f>IF(ER7="","",ER7&amp;"."&amp;COUNTIFS(A$3:A7,A7,ER$3:ER7,ER7))</f>
        <v/>
      </c>
      <c r="ET7" t="str">
        <f t="shared" si="51"/>
        <v/>
      </c>
      <c r="EU7" t="str">
        <f t="shared" si="52"/>
        <v/>
      </c>
      <c r="EV7" t="str">
        <f t="shared" si="53"/>
        <v/>
      </c>
      <c r="EW7" t="str">
        <f t="shared" si="54"/>
        <v/>
      </c>
      <c r="EX7">
        <f t="shared" si="55"/>
        <v>1</v>
      </c>
      <c r="EY7" t="str">
        <f>IF(AK7="нет","",IF(AK7&lt;&gt;"",AK7,IF(EX7=1,"XT"&amp;COUNTIFS(A$3:A7,A7,EX$3:EX7,1),"")))</f>
        <v/>
      </c>
      <c r="EZ7" t="str">
        <f t="shared" si="56"/>
        <v/>
      </c>
      <c r="FA7" t="str">
        <f t="shared" si="57"/>
        <v/>
      </c>
      <c r="FB7" t="str">
        <f t="shared" si="58"/>
        <v/>
      </c>
      <c r="FC7" t="str">
        <f>IF(OR(EV7="",ET7=""),"",IF(EV7&gt;IFERROR(VLOOKUP(EU7,Модули_спр,3,FALSE),99),"ЛИШНИЙ КАНАЛ",IF(AND(AJ7&lt;&gt;"=",COUNTIFS(Линии[_модуль гр.],ET7,Линии[Канал (итог)],EV7,Линии[Канал],"&lt;&gt;=",Линии[Щит],A7)&gt;1),"ДУБЛЬ КАНАЛА","")))</f>
        <v/>
      </c>
      <c r="FD7" t="str">
        <f t="shared" si="59"/>
        <v/>
      </c>
      <c r="FE7" t="str">
        <f t="shared" si="60"/>
        <v/>
      </c>
      <c r="FF7" t="str">
        <f t="shared" si="61"/>
        <v/>
      </c>
      <c r="FG7" t="str">
        <f t="shared" si="62"/>
        <v/>
      </c>
      <c r="FH7" t="str">
        <f t="shared" si="63"/>
        <v/>
      </c>
      <c r="FI7">
        <f t="shared" si="64"/>
        <v>10</v>
      </c>
      <c r="FJ7" t="str">
        <f t="shared" si="65"/>
        <v/>
      </c>
      <c r="FK7" t="str">
        <f>IF(AND(D7="",EZ7=""),"",_xlfn.TEXTJOIN("; ",TRUE,IF(AND(D7&lt;&gt;"",DD7=""),"нет фазы",""),IF(AND(D7&lt;&gt;"",N(DT7)=0,CN7&lt;&gt;"Нет"),"нет мощности",""),IF(AND(EY7&lt;&gt;"",COUNTIFS(Линии[Щит],A7,Линии[Клемма (итог)],EY7)&gt;1),"дубль клеммы "&amp;EY7,""),IF(AND(FB7&lt;&gt;"",FB7&lt;&gt;"ok"),FB7,""),IF(FC7&lt;&gt;"",FC7,""),IF(AND(ISNUMBER(SEARCH("(5х",DS7)),N(DV7)=1),"5 жил на 1 фазе",""),IF(AND(AT7="R",AD7&lt;&gt;"",OR(N(EH7)=0,N(EH7)&gt;30)),"розетка без дифзащиты до 30 мА",""),IFERROR(IF(AND(ISNUMBER(CD7),CD7&gt;CE7),"потери "&amp;FIXED(CD7,1)&amp;" % &gt; "&amp;CE7&amp;" %",""),""),IFERROR(IF(LEFT(FJ7,4)="мало","Iкз мало — отключение &gt; 0,4 с",""),""),IF(AND(D7&lt;&gt;"",BD7=""),"не на схеме","")))</f>
        <v/>
      </c>
      <c r="FL7" t="str">
        <f>IF(AD7="","",_xlfn.LET(_xlpm.t,IFERROR(_xlfn.XLOOKUP(EP7,Каталог!$U$4:$U$500,Каталог!$G$4:$G$500),""),_xlpm.k,SEARCH("кА",_xlpm.t),IFERROR(--TRIM(RIGHT(SUBSTITUTE(MID(_xlpm.t,MAX(1,_xlpm.k-4),_xlpm.k-MAX(1,_xlpm.k-4))," ",REPT(" ",9)),5)),"")))</f>
        <v/>
      </c>
      <c r="FM7" t="str">
        <f>IF(OR(FL7="",AD7=""),"",IF(_xlfn.XLOOKUP(A7,Щиты[Щит],Щиты[Iкз max на шинах, кА],"")="","",IF(FL7&lt;_xlfn.XLOOKUP(A7,Щиты[Щит],Щиты[Iкз max на шинах, кА]),"Icu "&amp;FL7&amp;" кА &lt; Iкз max","ok")))</f>
        <v/>
      </c>
      <c r="FN7" t="str">
        <f t="shared" si="66"/>
        <v/>
      </c>
      <c r="FO7" t="str">
        <f t="shared" si="67"/>
        <v/>
      </c>
      <c r="FP7" t="str" cm="1">
        <f t="array" ref="FP7">IF(FO7="","",_xlfn.LET(_xlpm.nd,_xlfn.TEXTSPLIT(FO7,"|"),IF(COLUMNS(_xlpm.nd)&gt;1,A7&amp;"¦"&amp;INDEX(_xlpm.nd,1)&amp;"¦"&amp;INDEX(_xlpm.nd,2),"")))</f>
        <v/>
      </c>
      <c r="FQ7" t="str">
        <f t="shared" si="68"/>
        <v/>
      </c>
      <c r="FR7" t="str" cm="1">
        <f t="array" ref="FR7">IF(FO7="","",_xlfn.LET(_xlpm.nd,_xlfn.TEXTSPLIT(FO7,"|"),IF(COLUMNS(_xlpm.nd)&gt;2,A7&amp;"¦"&amp;INDEX(_xlpm.nd,2)&amp;"¦"&amp;INDEX(_xlpm.nd,3),"")))</f>
        <v/>
      </c>
      <c r="FS7" t="str">
        <f t="shared" si="69"/>
        <v/>
      </c>
      <c r="FT7" t="str" cm="1">
        <f t="array" ref="FT7">IF(FO7="","",_xlfn.LET(_xlpm.nd,_xlfn.TEXTSPLIT(FO7,"|"),IF(COLUMNS(_xlpm.nd)&gt;3,A7&amp;"¦"&amp;INDEX(_xlpm.nd,3)&amp;"¦"&amp;INDEX(_xlpm.nd,4),"")))</f>
        <v/>
      </c>
      <c r="FU7" t="str">
        <f t="shared" si="70"/>
        <v/>
      </c>
      <c r="FV7" t="str" cm="1">
        <f t="array" ref="FV7">IF(FO7="","",_xlfn.LET(_xlpm.nd,_xlfn.TEXTSPLIT(FO7,"|"),IF(COLUMNS(_xlpm.nd)&gt;4,A7&amp;"¦"&amp;INDEX(_xlpm.nd,4)&amp;"¦"&amp;INDEX(_xlpm.nd,5),"")))</f>
        <v/>
      </c>
      <c r="FW7" t="str">
        <f t="shared" si="71"/>
        <v/>
      </c>
      <c r="FX7" t="str" cm="1">
        <f t="array" ref="FX7">IF(FO7="","",_xlfn.LET(_xlpm.nd,_xlfn.TEXTSPLIT(FO7,"|"),IF(COLUMNS(_xlpm.nd)&gt;5,A7&amp;"¦"&amp;INDEX(_xlpm.nd,5)&amp;"¦"&amp;INDEX(_xlpm.nd,6),"")))</f>
        <v/>
      </c>
      <c r="FY7" t="str">
        <f t="shared" si="72"/>
        <v/>
      </c>
      <c r="FZ7" t="str" cm="1">
        <f t="array" ref="FZ7">IF(FO7="","",_xlfn.LET(_xlpm.nd,_xlfn.TEXTSPLIT(FO7,"|"),IF(COLUMNS(_xlpm.nd)&gt;6,A7&amp;"¦"&amp;INDEX(_xlpm.nd,6)&amp;"¦"&amp;INDEX(_xlpm.nd,7),"")))</f>
        <v/>
      </c>
      <c r="GA7" t="str">
        <f t="shared" si="73"/>
        <v/>
      </c>
      <c r="GB7" t="str">
        <f t="shared" si="74"/>
        <v/>
      </c>
      <c r="GC7" t="str">
        <f t="shared" si="75"/>
        <v/>
      </c>
      <c r="GD7">
        <f t="shared" si="76"/>
        <v>1</v>
      </c>
      <c r="GE7">
        <f t="shared" si="77"/>
        <v>0</v>
      </c>
      <c r="GF7">
        <f t="shared" si="78"/>
        <v>0</v>
      </c>
      <c r="GG7" t="str">
        <f t="shared" si="79"/>
        <v/>
      </c>
      <c r="GH7" t="str">
        <f t="shared" si="80"/>
        <v/>
      </c>
      <c r="GI7" t="str">
        <f t="shared" si="81"/>
        <v/>
      </c>
      <c r="GJ7" t="str">
        <f t="shared" si="82"/>
        <v/>
      </c>
      <c r="GK7" t="str">
        <f>IF(D7="","",IFERROR(VLOOKUP(D7,УГО_спр,2,FALSE),IFERROR(VLOOKUP(AT7,УГО_спр,2,FALSE),IFERROR(VLOOKUP(LEFT(AT7,2),УГО_спр,2,FALSE),""))))</f>
        <v/>
      </c>
      <c r="GL7" t="str">
        <f>IF(D7="","",IF(OR(GK7="",GK7=0),"BOX",IFERROR(IF(VLOOKUP(GK7,УГО_блоки,3,FALSE)&amp;""&lt;&gt;"",VLOOKUP(GK7,УГО_блоки,3,FALSE),VLOOKUP(GK7,УГО_блоки,2,FALSE)),GK7)))</f>
        <v>BOX</v>
      </c>
      <c r="GM7">
        <f t="shared" si="83"/>
        <v>1</v>
      </c>
      <c r="GN7" t="str">
        <f>IF(EP7="","",IF(COUNTIF(EP$3:EP7,EP7)=1,MAX(GN$2:GN6)+1,""))</f>
        <v/>
      </c>
      <c r="GO7" t="str">
        <f>IF(AF7="","",IF(COUNTIF(AF$3:AF7,AF7)+COUNTIF(AG$2:AG6,AF7)+COUNTIF(AH$2:AH6,AF7)=1,MAX(GO$2:GQ6)+1,""))</f>
        <v/>
      </c>
      <c r="GP7" t="str">
        <f>IF(AG7="","",IF(COUNTIF(AF$3:AF7,AG7)+COUNTIF(AG$3:AG7,AG7)+COUNTIF(AH$2:AH6,AG7)=1,MAX(GO$2:GQ6,GO7)+1,""))</f>
        <v/>
      </c>
      <c r="GQ7" t="str">
        <f>IF(AH7="","",IF(COUNTIF(AF$3:AF7,AH7)+COUNTIF(AG$3:AG7,AH7)+COUNTIF(AH$3:AH7,AH7)=1,MAX(GO$2:GQ6,GO7,GP7)+1,""))</f>
        <v/>
      </c>
      <c r="GR7" t="str">
        <f t="shared" si="84"/>
        <v>5х6</v>
      </c>
      <c r="GS7">
        <f>IF(GR7="","",IF(COUNTIF(GR$3:GR7,GR7)=1,MAX(GS$2:GS6)+1,""))</f>
        <v>2</v>
      </c>
      <c r="GT7" t="str">
        <f>IF(ES7="","",COUNTIF(ES$3:ES7,"?*"))</f>
        <v/>
      </c>
      <c r="GU7" t="str">
        <f>IF(OR(ES7="",EU7=""),"",IF(COUNTIFS(ES$3:ES7,"?*",EU$3:EU7,EU7)=1,MAX(GU$2:GU6)+1,""))</f>
        <v/>
      </c>
      <c r="GV7">
        <f t="shared" si="85"/>
        <v>0</v>
      </c>
      <c r="GW7">
        <f>IF(D7="","",COUNTIF(D$3:D7,"?*"))</f>
        <v>5</v>
      </c>
      <c r="GX7">
        <f>IF(EX7&lt;&gt;1,0,_xlfn.LET(_xlpm.k,MAX(IFERROR(--VLOOKUP(D7,УГО_спр,5,FALSE),0),IFERROR(--VLOOKUP(AT7,УГО_спр,5,FALSE),0),IFERROR(--VLOOKUP(LEFT(AT7,2),УГО_спр,5,FALSE),0)),IF(_xlpm.k&gt;0,_xlpm.k,IF(IFERROR(--LEFT(SUBSTITUTE(GR7,"x","х"),FIND("х",SUBSTITUTE(GR7,"x","х"))-1),3)&gt;3,Каталог!$S$9,1))))</f>
        <v>1</v>
      </c>
      <c r="GY7">
        <f t="shared" si="86"/>
        <v>2</v>
      </c>
    </row>
    <row r="8" spans="1:207" x14ac:dyDescent="0.3">
      <c r="A8" t="s">
        <v>788</v>
      </c>
      <c r="B8">
        <v>20</v>
      </c>
      <c r="C8" t="str">
        <f>IF(BD8="","",IF(BE8="вводной узел","узел ","")&amp;"л."&amp;(INT((BD8-1)/Столбцов_на_лист)+1)&amp;" / "&amp;(MOD(BD8-1,Столбцов_на_лист)+1))</f>
        <v>л.2 / 3</v>
      </c>
      <c r="D8" t="s">
        <v>752</v>
      </c>
      <c r="E8" s="133" t="s">
        <v>751</v>
      </c>
      <c r="G8">
        <v>211.22</v>
      </c>
      <c r="H8">
        <v>1</v>
      </c>
      <c r="I8">
        <v>3</v>
      </c>
      <c r="J8">
        <v>400</v>
      </c>
      <c r="K8" t="s">
        <v>602</v>
      </c>
      <c r="L8">
        <v>0.5</v>
      </c>
      <c r="N8">
        <v>2</v>
      </c>
      <c r="O8" t="s">
        <v>1298</v>
      </c>
      <c r="P8">
        <v>58</v>
      </c>
      <c r="Q8">
        <v>39</v>
      </c>
      <c r="R8">
        <v>11</v>
      </c>
      <c r="S8">
        <v>0</v>
      </c>
      <c r="U8" t="s">
        <v>618</v>
      </c>
      <c r="V8">
        <v>1</v>
      </c>
      <c r="W8">
        <v>185</v>
      </c>
      <c r="X8">
        <v>400</v>
      </c>
      <c r="Z8" t="s">
        <v>584</v>
      </c>
      <c r="AA8" t="s">
        <v>818</v>
      </c>
      <c r="AR8" t="str">
        <f t="shared" si="0"/>
        <v/>
      </c>
      <c r="AS8" cm="1">
        <f t="array" ref="AS8">ROW()-ROW(Линии[#Headers])</f>
        <v>6</v>
      </c>
      <c r="AT8" t="str">
        <f t="shared" si="1"/>
        <v>ЩОВ-001</v>
      </c>
      <c r="AU8" t="str">
        <f t="shared" si="2"/>
        <v/>
      </c>
      <c r="AV8" t="str">
        <f t="shared" si="3"/>
        <v/>
      </c>
      <c r="AW8" t="str">
        <f t="shared" si="4"/>
        <v/>
      </c>
      <c r="AX8" t="str">
        <f t="shared" si="5"/>
        <v/>
      </c>
      <c r="AY8" t="str">
        <f>IF(D8="","",IF(ISERROR(SEARCH(".",D8)),IFERROR(VLOOKUP(D8,Потребители_обозначение,2,FALSE)&amp;"",""),IFERROR(IF(VLOOKUP(AT8,Потребители_обозначение,4,FALSE)=1,VLOOKUP(AT8,Потребители_обозначение,2,FALSE)&amp;" "&amp;VLOOKUP(AV8,Этаж_обозначение,2,FALSE)&amp;" Пом. №"&amp;AX8,VLOOKUP(AT8,Потребители_обозначение,2,FALSE)&amp;" Шлейф №"&amp;AV8),IFERROR(VLOOKUP(D8,Потребители_обозначение,2,FALSE),""))))</f>
        <v/>
      </c>
      <c r="AZ8" t="str">
        <f t="shared" si="6"/>
        <v>Щит вентиляции ЩОВ-001 Подвальный этаж этаж Пом. №00.006Т</v>
      </c>
      <c r="BA8" t="str">
        <f>IF(F8&lt;&gt;"",F8,IF(AND(D8&lt;&gt;"",D8&lt;&gt;A8,ISNUMBER(_xlfn.XMATCH(D8,Щиты[Щит]))),D8,""))</f>
        <v>ЩОВ-001</v>
      </c>
      <c r="BB8">
        <f>IFERROR(_xlfn.XMATCH(A8,Щиты[Щит]),0)</f>
        <v>1</v>
      </c>
      <c r="BC8">
        <f>IFERROR(N(_xlfn.XLOOKUP(A8,Щиты[Щит],Щиты[Мест под вводной узел])),15)</f>
        <v>1</v>
      </c>
      <c r="BD8">
        <f t="shared" si="7"/>
        <v>20</v>
      </c>
      <c r="BE8" t="str">
        <f t="shared" si="8"/>
        <v>линии</v>
      </c>
      <c r="BF8">
        <f>IF(D8="","",IF(BA8&lt;&gt;"",IFERROR(_xlfn.XLOOKUP(BA8,Щиты[Щит],Щиты[Руст, кВт]),0),N(G8)))</f>
        <v>211.22</v>
      </c>
      <c r="BG8">
        <f>IF(J8&lt;&gt;"",J8,IF(D8="","",IFERROR(IF(VLOOKUP(AT8,Потребители_обозначение,8,FALSE)=0,"",VLOOKUP(AT8,Потребители_обозначение,8,FALSE)),"")))</f>
        <v>400</v>
      </c>
      <c r="BH8">
        <f>IF(I8&lt;&gt;"",I8,IF(D8="","",IFERROR(IF(VLOOKUP(AT8,Потребители_обозначение,9,FALSE)=0,"",VLOOKUP(AT8,Потребители_обозначение,9,FALSE)),"")))</f>
        <v>3</v>
      </c>
      <c r="BI8" t="str">
        <f>IF(U8&lt;&gt;"",U8,IF(D8="","",IFERROR(IF(VLOOKUP(AT8,Потребители_обозначение,6,FALSE)=0,"",VLOOKUP(AT8,Потребители_обозначение,6,FALSE)),"")))</f>
        <v>5мс2</v>
      </c>
      <c r="BJ8">
        <f>IF(V8&lt;&gt;"",V8,IF(D8="","",IFERROR(IF(VLOOKUP(AT8,Потребители_обозначение,7,FALSE)=0,"",VLOOKUP(AT8,Потребители_обозначение,7,FALSE)),"")))</f>
        <v>1</v>
      </c>
      <c r="BK8">
        <f>IF(W8&lt;&gt;"",W8,IF(D8="","",IFERROR(IF(VLOOKUP(AT8,Потребители_обозначение,10,FALSE)=0,"",VLOOKUP(AT8,Потребители_обозначение,10,FALSE)),"")))</f>
        <v>185</v>
      </c>
      <c r="BL8">
        <f>IFERROR(VLOOKUP(AT8,Потребители_обозначение,5,FALSE),0)</f>
        <v>0</v>
      </c>
      <c r="BM8" cm="1">
        <f t="array" ref="BM8">IF(D8="","",IF(BA8&lt;&gt;"",IFERROR(_xlfn.XLOOKUP(BA8,Щиты[Щит],Щиты[cos φ]),0.95),IF(ISNUMBER(M8),M8,IFERROR(IF(BL8=2,_xlfn.IFS(BH8=3,VLOOKUP(BF8,Справочная_двигатели,8,FALSE),BH8=1,VLOOKUP(BF8,Справочная_двигатели,10,TRUE)),IF(AND(Методика="нормы 2026",CN8="Сил"),0.8,0.95)),0.95))))</f>
        <v>0.94999999999999984</v>
      </c>
      <c r="BN8" cm="1">
        <f t="array" ref="BN8">IF(D8="","",IF(BA8&lt;&gt;"",IFERROR(_xlfn.XLOOKUP(BA8,Щиты[Щит],Щиты[Iр, А]),""),IFERROR(_xlfn.IFS(BH8=1,BF8/((Uн_лин/SQRT(3))*BM8),BH8=3,BF8/(SQRT(3)*Uн_лин*BM8)),"")))</f>
        <v>146.36057225379065</v>
      </c>
      <c r="BO8">
        <f>IF(D8="","",IF(N(X8)=0,IFERROR(VLOOKUP(BN8,Автомат_номиналы,2,TRUE),""),X8))</f>
        <v>400</v>
      </c>
      <c r="BP8">
        <f t="shared" si="9"/>
        <v>1</v>
      </c>
      <c r="BQ8">
        <f>IF(ISNUMBER(Y8),Y8,К_прокл)</f>
        <v>1</v>
      </c>
      <c r="BR8">
        <f t="shared" si="10"/>
        <v>1</v>
      </c>
      <c r="BS8" cm="1">
        <f t="array" ref="BS8">IF(D8="","",IF(N(BK8)&lt;&gt;0,BK8,IFERROR(_xlfn.LET(_xlpm.need,BO8/(BP8*BQ8),_xlpm.t,CHOOSE(BR8,Iдоп_1ж,Iдоп_2ж,Iдоп_3ж),_xlpm.k,_xlfn.XMATCH(_xlpm.need,_xlpm.t,1),IF(ISNA(_xlpm.k),"Не исп",INDEX(Iдоп_S,_xlpm.k))),"Не исп")))</f>
        <v>185</v>
      </c>
      <c r="BT8">
        <f>IFERROR(VLOOKUP(BS8,Кабель_сопротивление,3,FALSE),"")</f>
        <v>2.2499999999999999E-2</v>
      </c>
      <c r="BU8">
        <f>IFERROR(VLOOKUP(BS8,Кабель_сопротивление,2,FALSE),"")</f>
        <v>5.96E-2</v>
      </c>
      <c r="BV8">
        <f t="shared" si="11"/>
        <v>58</v>
      </c>
      <c r="BW8">
        <f>IF(D8="","",IFERROR(IF(VLOOKUP(AT8,Потребители_обозначение,4,FALSE)=1,VLOOKUP(AT8,Потребители_обозначение,3,FALSE)*(H8*2-1)+BV8+VLOOKUP(AV8,Этаж_обозначение,3,FALSE)+VLOOKUP(AV8,Этаж_обозначение,4,FALSE),VLOOKUP(AT8,Потребители_обозначение,3,FALSE)*(H8*2-1)+BV8),BV8))</f>
        <v>58</v>
      </c>
      <c r="BX8">
        <f t="shared" si="12"/>
        <v>11</v>
      </c>
      <c r="BY8">
        <f t="shared" si="13"/>
        <v>0</v>
      </c>
      <c r="BZ8">
        <f t="shared" si="14"/>
        <v>1</v>
      </c>
      <c r="CA8">
        <f t="shared" si="15"/>
        <v>0.31</v>
      </c>
      <c r="CB8">
        <f t="shared" si="16"/>
        <v>1.1376547787692368</v>
      </c>
      <c r="CC8">
        <f>IFERROR(ROUNDUP(CB8/((Uн_лин/SQRT(3))*1000)*100,2),"")</f>
        <v>0.5</v>
      </c>
      <c r="CD8">
        <f>IF(ISNUMBER(CC8),CC8+IFERROR(_xlfn.XLOOKUP(A8,Щиты[Щит],Щиты[ΔU до шин, %]),0),"")</f>
        <v>0.5</v>
      </c>
      <c r="CE8">
        <f>IF(D8="","",IF(IFERROR(VLOOKUP(AT8,УГО_спр,2,FALSE),"")="Светильник",3,4)+IF(Методика="нормы 2026",MIN(0.5,MAX(0,N(BW8)-100)*0.005),0))</f>
        <v>4</v>
      </c>
      <c r="CF8" t="str">
        <f>IFERROR(VLOOKUP(BI8,Кабель_обозначение,2,FALSE),"")</f>
        <v xml:space="preserve">5хВВГнг(А)-LS </v>
      </c>
      <c r="CG8" t="str">
        <f>IFERROR(IF(VLOOKUP(BI8,Кабель_обозначение,3,FALSE)=1,CF8&amp;" ("&amp;BJ8&amp;"х"&amp;BS8&amp;")",CF8),"")</f>
        <v>5хВВГнг(А)-LS  (1х185)</v>
      </c>
      <c r="CH8" t="str">
        <f t="shared" si="17"/>
        <v>5хВВГнг(А)-LS  (1х185)
L=58-0,5%</v>
      </c>
      <c r="CI8">
        <f>IFERROR(2*ρкз_Cu*BW8/BS8,"")</f>
        <v>1.6490810810810812E-2</v>
      </c>
      <c r="CJ8">
        <f t="shared" si="18"/>
        <v>5.486486486486487E-3</v>
      </c>
      <c r="CK8" t="str">
        <f>IFERROR(IF(OR(D8="",NOT(ISNUMBER(BS8)),N(BW8)=0),"",_xlfn.XLOOKUP(A8,Щиты[Щит],Щиты[Zпетли на шинах, Ом])+CI8),"")</f>
        <v/>
      </c>
      <c r="CL8" t="str">
        <f>IF(ISNUMBER(CK8),c_min*(Uн_лин*1000/SQRT(3))/CK8,"")</f>
        <v/>
      </c>
      <c r="CM8" t="str">
        <f>IFERROR(IF(OR(D8="",NOT(ISNUMBER(BS8))),"",1.05*(Uн_лин*1000/SQRT(3))/(_xlfn.XLOOKUP(A8,Щиты[Щит],Щиты[Zmax на шинах, Ом])+CJ8)/1000),"")</f>
        <v/>
      </c>
      <c r="CN8" t="str">
        <f>IF(D8="","",IF(BA8&lt;&gt;"","Щит",IF(K8&lt;&gt;"",K8,IF(ISNUMBER(L8),"Сил",IF(IFERROR(_xlfn.XLOOKUP(AT8,Коды_код,Коды_группа)&amp;"","")="","Быт",_xlfn.XLOOKUP(AT8,Коды_код,Коды_группа)&amp;"")))))</f>
        <v>Щит</v>
      </c>
      <c r="CO8" t="str">
        <f>IF(CN8="Щит","щит",IF(CN8="","",IF(CN8="Быт",IFERROR(_xlfn.XLOOKUP(A8,Щиты[Щит],Щиты[Кс быт]),1),IF(CN8="Сил",IF(ISNUMBER(L8),L8,IF(Методика="нормы 2026",IFERROR(_xlfn.XLOOKUP(A8,Щиты[Щит],Щиты[Кс силовых (табл. 7.5)]),1),1)),IF(OR(CN8="Пост",CN8="Отоп"),1,IF(CN8="ВНГ",0.7,0))))))</f>
        <v>щит</v>
      </c>
      <c r="CP8">
        <f t="shared" si="19"/>
        <v>2</v>
      </c>
      <c r="CQ8">
        <f t="shared" si="20"/>
        <v>0</v>
      </c>
      <c r="CR8">
        <f t="shared" si="21"/>
        <v>0</v>
      </c>
      <c r="CS8">
        <f t="shared" si="22"/>
        <v>0</v>
      </c>
      <c r="CT8">
        <f t="shared" si="23"/>
        <v>0</v>
      </c>
      <c r="CU8">
        <f t="shared" si="24"/>
        <v>0</v>
      </c>
      <c r="CV8">
        <f t="shared" si="25"/>
        <v>0</v>
      </c>
      <c r="CW8">
        <f t="shared" si="26"/>
        <v>0</v>
      </c>
      <c r="CX8">
        <f t="shared" si="27"/>
        <v>0</v>
      </c>
      <c r="CY8">
        <f t="shared" si="28"/>
        <v>2</v>
      </c>
      <c r="CZ8" t="str">
        <f t="shared" si="29"/>
        <v>L1,L2,L3</v>
      </c>
      <c r="DA8" cm="1">
        <f t="array" ref="DA8">IFERROR(IF(BL8=2,_xlfn.IFS(BH8=3,VLOOKUP(BF8,Справочная_двигатели,3,FALSE),BH8=1,VLOOKUP(BF8,Справочная_двигатели,5,TRUE)),0),0)</f>
        <v>0</v>
      </c>
      <c r="DB8">
        <f>IFERROR(IF(BL8=3,VLOOKUP(BF8,Справочная_ЛЭД,2,TRUE),0),0)</f>
        <v>0</v>
      </c>
      <c r="DC8">
        <f t="shared" si="30"/>
        <v>0</v>
      </c>
      <c r="DD8" t="str">
        <f t="shared" si="31"/>
        <v>L1,L2,L3</v>
      </c>
      <c r="DE8" t="str" cm="1">
        <f t="array" ref="DE8">IF(D8="","",IFERROR(INDEX({"I особая","I","II","III"},MATCH(TRIM(AA8&amp;""),{"I особая","I","II","III"},0)),"III"))</f>
        <v>II</v>
      </c>
      <c r="DF8" t="str">
        <f>IF(D8="","",IF(TRIM(AB8&amp;"")&lt;&gt;"",IF(LOWER(TRIM(AB8&amp;""))="да","да","нет"),IF(IFERROR(_xlfn.XLOOKUP(AT8,Коды_код,Коды_пожарная),"")="да","да","нет")))</f>
        <v>нет</v>
      </c>
      <c r="DG8" t="str">
        <f t="shared" si="32"/>
        <v/>
      </c>
      <c r="DH8" t="str">
        <f t="shared" si="33"/>
        <v>основная</v>
      </c>
      <c r="DI8">
        <f t="shared" si="34"/>
        <v>2</v>
      </c>
      <c r="DJ8" t="str" cm="1">
        <f t="array" ref="DJ8">IF(D8="","",_xlfn.LET(_xlpm.t,IFERROR(_xlfn.XLOOKUP(1,(Шины[Шина]=DH8)*(((Шины[Щит]=A8)+(Шины[Щит]=""))&gt;0),Шины[Тип]),"")&amp;"",IF(_xlpm.t&lt;&gt;"",_xlpm.t,IF(ISNUMBER(SEARCH("ИБП",DH8)),"ИБП",IF(ISNUMBER(SEARCH("ДГУ",DH8)),"ДГУ","Ввод "&amp;DI8)))))</f>
        <v>Ввод 2</v>
      </c>
      <c r="DK8" t="str">
        <f t="shared" si="35"/>
        <v>Ввод 2</v>
      </c>
      <c r="DL8" t="str">
        <f>IF(D8="","",IF(OR(DJ8="ИБП",DJ8="ДГУ"),"I особая",IF(DJ8="Одиночная","III",_xlfn.XLOOKUP(A8,Щиты[Щит],Щиты[Категория шины «Ввод»],"III"))))</f>
        <v>I</v>
      </c>
      <c r="DM8">
        <f>IF(D8="",0,IFERROR(MATCH(DE8,{"III","II","I","I особая"},0),1))</f>
        <v>2</v>
      </c>
      <c r="DN8">
        <f t="shared" si="36"/>
        <v>2</v>
      </c>
      <c r="DO8" t="str">
        <f>IF(D8="","",IF(DM8&gt;IFERROR(MATCH(DL8,{"III","II","I","I особая"},0),1),"НЕ ОБЕСПЕЧЕНА","ОК"))</f>
        <v>ОК</v>
      </c>
      <c r="DP8" t="str">
        <f>IF(A8="","",_xlfn.XLOOKUP(A8,Щиты[Щит],Щиты[Путь],""))</f>
        <v>|ГРЩ-ЖД|</v>
      </c>
      <c r="DQ8" t="str">
        <f>IF(D8="","",IF(Z8&lt;&gt;"",Z8,IF(IFERROR(_xlfn.XLOOKUP(AT8,Коды_код,Коды_вид)&amp;"","")="","Прочее",_xlfn.XLOOKUP(AT8,Коды_код,Коды_вид)&amp;"")))</f>
        <v>Вентиляция</v>
      </c>
      <c r="DR8">
        <f>IF(BD8="","",INT((BD8-1)/Столбцов_на_лист)+1)</f>
        <v>2</v>
      </c>
      <c r="DS8" t="str">
        <f t="shared" si="37"/>
        <v>5хВВГнг(А)-LS  (1х185) L=58-0,5%</v>
      </c>
      <c r="DT8">
        <f t="shared" si="38"/>
        <v>211.22</v>
      </c>
      <c r="DU8">
        <f t="shared" si="39"/>
        <v>146.37</v>
      </c>
      <c r="DV8">
        <f t="shared" si="40"/>
        <v>3</v>
      </c>
      <c r="DW8">
        <f>IF(AT8="",0,_xlfn.LET(_xlpm.v,IFERROR(VLOOKUP(D8,УГО_спр,3,FALSE),IFERROR(VLOOKUP(AT8,УГО_спр,3,FALSE),IFERROR(VLOOKUP(LEFT(AT8,2),УГО_спр,3,FALSE),""))),IF(_xlpm.v="да",30,IF(ISNUMBER(_xlpm.v),_xlpm.v,0))))</f>
        <v>0</v>
      </c>
      <c r="DX8">
        <f t="shared" si="41"/>
        <v>0</v>
      </c>
      <c r="DY8" t="str">
        <f>IF(BD8="","",IF(AD8&lt;&gt;"",COUNTIFS(A$3:A8,A8,AD$3:AD8,"?*"),IF(OR(OR(AS8=1,A8&lt;&gt;A7),AL8="вручную"),"",IF(AS8=1,"",DZ7))))</f>
        <v/>
      </c>
      <c r="DZ8" t="str">
        <f t="shared" si="42"/>
        <v/>
      </c>
      <c r="EA8">
        <f>IF(D8="",0,MAX(IFERROR(--X8,0),IFERROR(--VLOOKUP(D8,УГО_спр,4,FALSE),IFERROR(--VLOOKUP(AT8,УГО_спр,4,FALSE),IFERROR(--VLOOKUP(LEFT(AT8,2),УГО_спр,4,FALSE),0)))))</f>
        <v>400</v>
      </c>
      <c r="EB8">
        <f>IF(D8="","",IFERROR(LOOKUP(INDEX(CHOOSE(BR8,Iдоп_1ж,Iдоп_2ж,Iдоп_3ж),MATCH(BS8,Iдоп_S,0))*BP8*BQ8,{6,10,16,20,25,32,40,50,63,80,100,125,160,200,250,315,400,500,630}),""))</f>
        <v>500</v>
      </c>
      <c r="EC8" t="str">
        <f>IF(AD8="","",SUMIFS(Линии[_Ток схемы],Линии[_гр.],DY8,Линии[Щит],A8,Линии[_в кабель выше],0))</f>
        <v/>
      </c>
      <c r="ED8" t="str">
        <f>IF(AD8="","",IFERROR(VLOOKUP(EC8,Автомат_номиналы,2,TRUE),""))</f>
        <v/>
      </c>
      <c r="EE8" t="str">
        <f>IF(AD8="","",MAX(N(ED8),_xlfn.MAXIFS(Линии[_мин. по типу],Линии[_гр.],DY8,Линии[Щит],A8)))</f>
        <v/>
      </c>
      <c r="EF8" t="str">
        <f>IF(AD8="","",_xlfn.MINIFS(Линии[_макс. автомат по кабелю],Линии[_гр.],DY8,Линии[Щит],A8))</f>
        <v/>
      </c>
      <c r="EG8" t="str">
        <f>IF(AD8="","",MAX(1,_xlfn.MAXIFS(Линии[_фаз],Линии[_гр.],DY8,Линии[Щит],A8)))</f>
        <v/>
      </c>
      <c r="EH8" t="str">
        <f>IF(AD8="","",IF(AND(AD8&lt;&gt;"авто",AD8&lt;&gt;"+"),IF(ISNUMBER(SEARCH("мА",AD8)),IFERROR(--TRIM(RIGHT(SUBSTITUTE(LEFT(AD8,SEARCH("мА",AD8)-1)," ",REPT(" ",9)),6)),30),0),IF(AE8="нет",0,IF(ISNUMBER(AE8),AE8,IF(AE8="да",30,_xlfn.MINIFS(Линии[_дифзащита по коду, мА],Линии[_гр.],DY8,Линии[Щит],A8,Линии[_дифзащита по коду, мА],"&gt;0"))))))</f>
        <v/>
      </c>
      <c r="EI8" t="str">
        <f t="shared" si="43"/>
        <v/>
      </c>
      <c r="EJ8" t="str">
        <f t="shared" si="44"/>
        <v/>
      </c>
      <c r="EK8" t="str">
        <f t="shared" si="45"/>
        <v/>
      </c>
      <c r="EL8" t="str">
        <f t="shared" si="46"/>
        <v/>
      </c>
      <c r="EM8">
        <f t="shared" si="47"/>
        <v>0</v>
      </c>
      <c r="EN8" t="str">
        <f>IF(AD8="","",IF(EM8=1,MAX(EE8,Мин_автомат_БП),EE8))</f>
        <v/>
      </c>
      <c r="EO8" t="str">
        <f t="shared" si="48"/>
        <v/>
      </c>
      <c r="EP8" t="str">
        <f t="shared" si="49"/>
        <v/>
      </c>
      <c r="EQ8" t="str">
        <f t="shared" si="50"/>
        <v/>
      </c>
      <c r="ER8" t="str">
        <f>IF(OR(AI8="",AI8="-"),"",IFERROR(VLOOKUP(AI8,Модули_спр,2,FALSE),"R"))</f>
        <v/>
      </c>
      <c r="ES8" t="str">
        <f>IF(ER8="","",ER8&amp;"."&amp;COUNTIFS(A$3:A8,A8,ER$3:ER8,ER8))</f>
        <v/>
      </c>
      <c r="ET8" t="str">
        <f t="shared" si="51"/>
        <v/>
      </c>
      <c r="EU8" t="str">
        <f t="shared" si="52"/>
        <v/>
      </c>
      <c r="EV8" t="str">
        <f t="shared" si="53"/>
        <v/>
      </c>
      <c r="EW8" t="str">
        <f t="shared" si="54"/>
        <v/>
      </c>
      <c r="EX8">
        <f t="shared" si="55"/>
        <v>1</v>
      </c>
      <c r="EY8" t="str">
        <f>IF(AK8="нет","",IF(AK8&lt;&gt;"",AK8,IF(EX8=1,"XT"&amp;COUNTIFS(A$3:A8,A8,EX$3:EX8,1),"")))</f>
        <v>XT4</v>
      </c>
      <c r="EZ8" t="str">
        <f t="shared" si="56"/>
        <v/>
      </c>
      <c r="FA8" t="str">
        <f t="shared" si="57"/>
        <v/>
      </c>
      <c r="FB8" t="str">
        <f t="shared" si="58"/>
        <v/>
      </c>
      <c r="FC8" t="str">
        <f>IF(OR(EV8="",ET8=""),"",IF(EV8&gt;IFERROR(VLOOKUP(EU8,Модули_спр,3,FALSE),99),"ЛИШНИЙ КАНАЛ",IF(AND(AJ8&lt;&gt;"=",COUNTIFS(Линии[_модуль гр.],ET8,Линии[Канал (итог)],EV8,Линии[Канал],"&lt;&gt;=",Линии[Щит],A8)&gt;1),"ДУБЛЬ КАНАЛА","")))</f>
        <v/>
      </c>
      <c r="FD8" t="str">
        <f t="shared" si="59"/>
        <v/>
      </c>
      <c r="FE8" t="str">
        <f t="shared" si="60"/>
        <v/>
      </c>
      <c r="FF8" t="str">
        <f t="shared" si="61"/>
        <v/>
      </c>
      <c r="FG8" t="str">
        <f t="shared" si="62"/>
        <v/>
      </c>
      <c r="FH8" t="str">
        <f t="shared" si="63"/>
        <v/>
      </c>
      <c r="FI8">
        <f t="shared" si="64"/>
        <v>10</v>
      </c>
      <c r="FJ8" t="str">
        <f t="shared" si="65"/>
        <v/>
      </c>
      <c r="FK8" t="str">
        <f>IF(AND(D8="",EZ8=""),"",_xlfn.TEXTJOIN("; ",TRUE,IF(AND(D8&lt;&gt;"",DD8=""),"нет фазы",""),IF(AND(D8&lt;&gt;"",N(DT8)=0,CN8&lt;&gt;"Нет"),"нет мощности",""),IF(AND(EY8&lt;&gt;"",COUNTIFS(Линии[Щит],A8,Линии[Клемма (итог)],EY8)&gt;1),"дубль клеммы "&amp;EY8,""),IF(AND(FB8&lt;&gt;"",FB8&lt;&gt;"ok"),FB8,""),IF(FC8&lt;&gt;"",FC8,""),IF(AND(ISNUMBER(SEARCH("(5х",DS8)),N(DV8)=1),"5 жил на 1 фазе",""),IF(AND(AT8="R",AD8&lt;&gt;"",OR(N(EH8)=0,N(EH8)&gt;30)),"розетка без дифзащиты до 30 мА",""),IFERROR(IF(AND(ISNUMBER(CD8),CD8&gt;CE8),"потери "&amp;FIXED(CD8,1)&amp;" % &gt; "&amp;CE8&amp;" %",""),""),IFERROR(IF(LEFT(FJ8,4)="мало","Iкз мало — отключение &gt; 0,4 с",""),""),IF(AND(D8&lt;&gt;"",BD8=""),"не на схеме","")))</f>
        <v/>
      </c>
      <c r="FL8" t="str">
        <f>IF(AD8="","",_xlfn.LET(_xlpm.t,IFERROR(_xlfn.XLOOKUP(EP8,Каталог!$U$4:$U$500,Каталог!$G$4:$G$500),""),_xlpm.k,SEARCH("кА",_xlpm.t),IFERROR(--TRIM(RIGHT(SUBSTITUTE(MID(_xlpm.t,MAX(1,_xlpm.k-4),_xlpm.k-MAX(1,_xlpm.k-4))," ",REPT(" ",9)),5)),"")))</f>
        <v/>
      </c>
      <c r="FM8" t="str">
        <f>IF(OR(FL8="",AD8=""),"",IF(_xlfn.XLOOKUP(A8,Щиты[Щит],Щиты[Iкз max на шинах, кА],"")="","",IF(FL8&lt;_xlfn.XLOOKUP(A8,Щиты[Щит],Щиты[Iкз max на шинах, кА]),"Icu "&amp;FL8&amp;" кА &lt; Iкз max","ok")))</f>
        <v/>
      </c>
      <c r="FN8" t="str">
        <f t="shared" si="66"/>
        <v>XT4</v>
      </c>
      <c r="FO8" t="str">
        <f t="shared" si="67"/>
        <v>XT4|кабель 5хВВГнг(А)-LS  (1х185) → Щит вентиляции ЩОВ-001 Подвальный этаж этаж Пом. №00.006Т</v>
      </c>
      <c r="FP8" t="str" cm="1">
        <f t="array" ref="FP8">IF(FO8="","",_xlfn.LET(_xlpm.nd,_xlfn.TEXTSPLIT(FO8,"|"),IF(COLUMNS(_xlpm.nd)&gt;1,A8&amp;"¦"&amp;INDEX(_xlpm.nd,1)&amp;"¦"&amp;INDEX(_xlpm.nd,2),"")))</f>
        <v>ГРЩ-ЖД¦XT4¦кабель 5хВВГнг(А)-LS  (1х185) → Щит вентиляции ЩОВ-001 Подвальный этаж этаж Пом. №00.006Т</v>
      </c>
      <c r="FQ8" t="str">
        <f t="shared" si="68"/>
        <v>ЩОВ-001¦Щит вентиляции ЩОВ-001 Подвальный этаж этаж Пом. №00.006Т</v>
      </c>
      <c r="FR8" t="str" cm="1">
        <f t="array" ref="FR8">IF(FO8="","",_xlfn.LET(_xlpm.nd,_xlfn.TEXTSPLIT(FO8,"|"),IF(COLUMNS(_xlpm.nd)&gt;2,A8&amp;"¦"&amp;INDEX(_xlpm.nd,2)&amp;"¦"&amp;INDEX(_xlpm.nd,3),"")))</f>
        <v/>
      </c>
      <c r="FS8" t="str">
        <f t="shared" si="69"/>
        <v/>
      </c>
      <c r="FT8" t="str" cm="1">
        <f t="array" ref="FT8">IF(FO8="","",_xlfn.LET(_xlpm.nd,_xlfn.TEXTSPLIT(FO8,"|"),IF(COLUMNS(_xlpm.nd)&gt;3,A8&amp;"¦"&amp;INDEX(_xlpm.nd,3)&amp;"¦"&amp;INDEX(_xlpm.nd,4),"")))</f>
        <v/>
      </c>
      <c r="FU8" t="str">
        <f t="shared" si="70"/>
        <v/>
      </c>
      <c r="FV8" t="str" cm="1">
        <f t="array" ref="FV8">IF(FO8="","",_xlfn.LET(_xlpm.nd,_xlfn.TEXTSPLIT(FO8,"|"),IF(COLUMNS(_xlpm.nd)&gt;4,A8&amp;"¦"&amp;INDEX(_xlpm.nd,4)&amp;"¦"&amp;INDEX(_xlpm.nd,5),"")))</f>
        <v/>
      </c>
      <c r="FW8" t="str">
        <f t="shared" si="71"/>
        <v/>
      </c>
      <c r="FX8" t="str" cm="1">
        <f t="array" ref="FX8">IF(FO8="","",_xlfn.LET(_xlpm.nd,_xlfn.TEXTSPLIT(FO8,"|"),IF(COLUMNS(_xlpm.nd)&gt;5,A8&amp;"¦"&amp;INDEX(_xlpm.nd,5)&amp;"¦"&amp;INDEX(_xlpm.nd,6),"")))</f>
        <v/>
      </c>
      <c r="FY8" t="str">
        <f t="shared" si="72"/>
        <v/>
      </c>
      <c r="FZ8" t="str" cm="1">
        <f t="array" ref="FZ8">IF(FO8="","",_xlfn.LET(_xlpm.nd,_xlfn.TEXTSPLIT(FO8,"|"),IF(COLUMNS(_xlpm.nd)&gt;6,A8&amp;"¦"&amp;INDEX(_xlpm.nd,6)&amp;"¦"&amp;INDEX(_xlpm.nd,7),"")))</f>
        <v/>
      </c>
      <c r="GA8" t="str">
        <f t="shared" si="73"/>
        <v/>
      </c>
      <c r="GB8" t="str">
        <f t="shared" si="74"/>
        <v/>
      </c>
      <c r="GC8" t="str">
        <f t="shared" si="75"/>
        <v>XT4</v>
      </c>
      <c r="GD8">
        <f t="shared" si="76"/>
        <v>1</v>
      </c>
      <c r="GE8">
        <f t="shared" si="77"/>
        <v>0</v>
      </c>
      <c r="GF8">
        <f t="shared" si="78"/>
        <v>0</v>
      </c>
      <c r="GG8" t="str">
        <f t="shared" si="79"/>
        <v/>
      </c>
      <c r="GH8" t="str">
        <f t="shared" si="80"/>
        <v/>
      </c>
      <c r="GI8" t="str">
        <f t="shared" si="81"/>
        <v/>
      </c>
      <c r="GJ8" t="str">
        <f t="shared" si="82"/>
        <v/>
      </c>
      <c r="GK8" t="str">
        <f>IF(D8="","",IFERROR(VLOOKUP(D8,УГО_спр,2,FALSE),IFERROR(VLOOKUP(AT8,УГО_спр,2,FALSE),IFERROR(VLOOKUP(LEFT(AT8,2),УГО_спр,2,FALSE),""))))</f>
        <v/>
      </c>
      <c r="GL8" t="str">
        <f>IF(D8="","",IF(OR(GK8="",GK8=0),"BOX",IFERROR(IF(VLOOKUP(GK8,УГО_блоки,3,FALSE)&amp;""&lt;&gt;"",VLOOKUP(GK8,УГО_блоки,3,FALSE),VLOOKUP(GK8,УГО_блоки,2,FALSE)),GK8)))</f>
        <v>BOX</v>
      </c>
      <c r="GM8">
        <f t="shared" si="83"/>
        <v>1</v>
      </c>
      <c r="GN8" t="str">
        <f>IF(EP8="","",IF(COUNTIF(EP$3:EP8,EP8)=1,MAX(GN$2:GN7)+1,""))</f>
        <v/>
      </c>
      <c r="GO8" t="str">
        <f>IF(AF8="","",IF(COUNTIF(AF$3:AF8,AF8)+COUNTIF(AG$2:AG7,AF8)+COUNTIF(AH$2:AH7,AF8)=1,MAX(GO$2:GQ7)+1,""))</f>
        <v/>
      </c>
      <c r="GP8" t="str">
        <f>IF(AG8="","",IF(COUNTIF(AF$3:AF8,AG8)+COUNTIF(AG$3:AG8,AG8)+COUNTIF(AH$2:AH7,AG8)=1,MAX(GO$2:GQ7,GO8)+1,""))</f>
        <v/>
      </c>
      <c r="GQ8" t="str">
        <f>IF(AH8="","",IF(COUNTIF(AF$3:AF8,AH8)+COUNTIF(AG$3:AG8,AH8)+COUNTIF(AH$3:AH8,AH8)=1,MAX(GO$2:GQ7,GO8,GP8)+1,""))</f>
        <v/>
      </c>
      <c r="GR8" t="str">
        <f t="shared" si="84"/>
        <v>1х185</v>
      </c>
      <c r="GS8">
        <f>IF(GR8="","",IF(COUNTIF(GR$3:GR8,GR8)=1,MAX(GS$2:GS7)+1,""))</f>
        <v>3</v>
      </c>
      <c r="GT8" t="str">
        <f>IF(ES8="","",COUNTIF(ES$3:ES8,"?*"))</f>
        <v/>
      </c>
      <c r="GU8" t="str">
        <f>IF(OR(ES8="",EU8=""),"",IF(COUNTIFS(ES$3:ES8,"?*",EU$3:EU8,EU8)=1,MAX(GU$2:GU7)+1,""))</f>
        <v/>
      </c>
      <c r="GV8">
        <f t="shared" si="85"/>
        <v>0</v>
      </c>
      <c r="GW8">
        <f>IF(D8="","",COUNTIF(D$3:D8,"?*"))</f>
        <v>6</v>
      </c>
      <c r="GX8">
        <f>IF(EX8&lt;&gt;1,0,_xlfn.LET(_xlpm.k,MAX(IFERROR(--VLOOKUP(D8,УГО_спр,5,FALSE),0),IFERROR(--VLOOKUP(AT8,УГО_спр,5,FALSE),0),IFERROR(--VLOOKUP(LEFT(AT8,2),УГО_спр,5,FALSE),0)),IF(_xlpm.k&gt;0,_xlpm.k,IF(IFERROR(--LEFT(SUBSTITUTE(GR8,"x","х"),FIND("х",SUBSTITUTE(GR8,"x","х"))-1),3)&gt;3,Каталог!$S$9,1))))</f>
        <v>1</v>
      </c>
      <c r="GY8">
        <f t="shared" si="86"/>
        <v>0</v>
      </c>
    </row>
    <row r="9" spans="1:207" x14ac:dyDescent="0.3">
      <c r="A9" t="s">
        <v>788</v>
      </c>
      <c r="B9">
        <v>21</v>
      </c>
      <c r="C9" t="str">
        <f>IF(BD9="","",IF(BE9="вводной узел","узел ","")&amp;"л."&amp;(INT((BD9-1)/Столбцов_на_лист)+1)&amp;" / "&amp;(MOD(BD9-1,Столбцов_на_лист)+1))</f>
        <v>л.2 / 4</v>
      </c>
      <c r="D9" t="s">
        <v>754</v>
      </c>
      <c r="E9" s="133" t="s">
        <v>753</v>
      </c>
      <c r="G9">
        <v>6.99</v>
      </c>
      <c r="H9">
        <v>1</v>
      </c>
      <c r="I9">
        <v>3</v>
      </c>
      <c r="J9">
        <v>400</v>
      </c>
      <c r="K9" t="s">
        <v>602</v>
      </c>
      <c r="L9">
        <v>0.5</v>
      </c>
      <c r="N9">
        <v>1</v>
      </c>
      <c r="O9" t="s">
        <v>1298</v>
      </c>
      <c r="P9">
        <v>46</v>
      </c>
      <c r="Q9">
        <v>29</v>
      </c>
      <c r="R9">
        <v>12</v>
      </c>
      <c r="S9">
        <v>0</v>
      </c>
      <c r="U9" t="s">
        <v>11</v>
      </c>
      <c r="V9">
        <v>5</v>
      </c>
      <c r="W9">
        <v>4</v>
      </c>
      <c r="X9">
        <v>16</v>
      </c>
      <c r="Z9" t="s">
        <v>584</v>
      </c>
      <c r="AA9" t="s">
        <v>818</v>
      </c>
      <c r="AK9" t="s">
        <v>488</v>
      </c>
      <c r="AR9" t="str">
        <f t="shared" si="0"/>
        <v/>
      </c>
      <c r="AS9" cm="1">
        <f t="array" ref="AS9">ROW()-ROW(Линии[#Headers])</f>
        <v>7</v>
      </c>
      <c r="AT9" t="str">
        <f t="shared" si="1"/>
        <v>ЩОВ-002</v>
      </c>
      <c r="AU9" t="str">
        <f t="shared" si="2"/>
        <v/>
      </c>
      <c r="AV9" t="str">
        <f t="shared" si="3"/>
        <v/>
      </c>
      <c r="AW9" t="str">
        <f t="shared" si="4"/>
        <v/>
      </c>
      <c r="AX9" t="str">
        <f t="shared" si="5"/>
        <v/>
      </c>
      <c r="AY9" t="str">
        <f>IF(D9="","",IF(ISERROR(SEARCH(".",D9)),IFERROR(VLOOKUP(D9,Потребители_обозначение,2,FALSE)&amp;"",""),IFERROR(IF(VLOOKUP(AT9,Потребители_обозначение,4,FALSE)=1,VLOOKUP(AT9,Потребители_обозначение,2,FALSE)&amp;" "&amp;VLOOKUP(AV9,Этаж_обозначение,2,FALSE)&amp;" Пом. №"&amp;AX9,VLOOKUP(AT9,Потребители_обозначение,2,FALSE)&amp;" Шлейф №"&amp;AV9),IFERROR(VLOOKUP(D9,Потребители_обозначение,2,FALSE),""))))</f>
        <v/>
      </c>
      <c r="AZ9" t="str">
        <f t="shared" si="6"/>
        <v>Щит вентиляции ЩОВ-002 Подвальный этаж этаж Пом. №00.003Т</v>
      </c>
      <c r="BA9" t="str">
        <f>IF(F9&lt;&gt;"",F9,IF(AND(D9&lt;&gt;"",D9&lt;&gt;A9,ISNUMBER(_xlfn.XMATCH(D9,Щиты[Щит]))),D9,""))</f>
        <v>ЩОВ-002</v>
      </c>
      <c r="BB9">
        <f>IFERROR(_xlfn.XMATCH(A9,Щиты[Щит]),0)</f>
        <v>1</v>
      </c>
      <c r="BC9">
        <f>IFERROR(N(_xlfn.XLOOKUP(A9,Щиты[Щит],Щиты[Мест под вводной узел])),15)</f>
        <v>1</v>
      </c>
      <c r="BD9">
        <f t="shared" si="7"/>
        <v>21</v>
      </c>
      <c r="BE9" t="str">
        <f t="shared" si="8"/>
        <v>линии</v>
      </c>
      <c r="BF9">
        <f>IF(D9="","",IF(BA9&lt;&gt;"",IFERROR(_xlfn.XLOOKUP(BA9,Щиты[Щит],Щиты[Руст, кВт]),0),N(G9)))</f>
        <v>6.99</v>
      </c>
      <c r="BG9">
        <f>IF(J9&lt;&gt;"",J9,IF(D9="","",IFERROR(IF(VLOOKUP(AT9,Потребители_обозначение,8,FALSE)=0,"",VLOOKUP(AT9,Потребители_обозначение,8,FALSE)),"")))</f>
        <v>400</v>
      </c>
      <c r="BH9">
        <f>IF(I9&lt;&gt;"",I9,IF(D9="","",IFERROR(IF(VLOOKUP(AT9,Потребители_обозначение,9,FALSE)=0,"",VLOOKUP(AT9,Потребители_обозначение,9,FALSE)),"")))</f>
        <v>3</v>
      </c>
      <c r="BI9" t="str">
        <f>IF(U9&lt;&gt;"",U9,IF(D9="","",IFERROR(IF(VLOOKUP(AT9,Потребители_обозначение,6,FALSE)=0,"",VLOOKUP(AT9,Потребители_обозначение,6,FALSE)),"")))</f>
        <v>мс</v>
      </c>
      <c r="BJ9">
        <f>IF(V9&lt;&gt;"",V9,IF(D9="","",IFERROR(IF(VLOOKUP(AT9,Потребители_обозначение,7,FALSE)=0,"",VLOOKUP(AT9,Потребители_обозначение,7,FALSE)),"")))</f>
        <v>5</v>
      </c>
      <c r="BK9">
        <f>IF(W9&lt;&gt;"",W9,IF(D9="","",IFERROR(IF(VLOOKUP(AT9,Потребители_обозначение,10,FALSE)=0,"",VLOOKUP(AT9,Потребители_обозначение,10,FALSE)),"")))</f>
        <v>4</v>
      </c>
      <c r="BL9">
        <f>IFERROR(VLOOKUP(AT9,Потребители_обозначение,5,FALSE),0)</f>
        <v>0</v>
      </c>
      <c r="BM9" cm="1">
        <f t="array" ref="BM9">IF(D9="","",IF(BA9&lt;&gt;"",IFERROR(_xlfn.XLOOKUP(BA9,Щиты[Щит],Щиты[cos φ]),0.95),IF(ISNUMBER(M9),M9,IFERROR(IF(BL9=2,_xlfn.IFS(BH9=3,VLOOKUP(BF9,Справочная_двигатели,8,FALSE),BH9=1,VLOOKUP(BF9,Справочная_двигатели,10,TRUE)),IF(AND(Методика="нормы 2026",CN9="Сил"),0.8,0.95)),0.95))))</f>
        <v>0.94999999999999962</v>
      </c>
      <c r="BN9" cm="1">
        <f t="array" ref="BN9">IF(D9="","",IF(BA9&lt;&gt;"",IFERROR(_xlfn.XLOOKUP(BA9,Щиты[Щит],Щиты[Iр, А]),""),IFERROR(_xlfn.IFS(BH9=1,BF9/((Uн_лин/SQRT(3))*BM9),BH9=3,BF9/(SQRT(3)*Uн_лин*BM9)),"")))</f>
        <v>6.1533383953104872</v>
      </c>
      <c r="BO9">
        <f>IF(D9="","",IF(N(X9)=0,IFERROR(VLOOKUP(BN9,Автомат_номиналы,2,TRUE),""),X9))</f>
        <v>16</v>
      </c>
      <c r="BP9">
        <f t="shared" si="9"/>
        <v>0.92</v>
      </c>
      <c r="BQ9">
        <f>IF(ISNUMBER(Y9),Y9,К_прокл)</f>
        <v>1</v>
      </c>
      <c r="BR9">
        <f t="shared" si="10"/>
        <v>3</v>
      </c>
      <c r="BS9" cm="1">
        <f t="array" ref="BS9">IF(D9="","",IF(N(BK9)&lt;&gt;0,BK9,IFERROR(_xlfn.LET(_xlpm.need,BO9/(BP9*BQ9),_xlpm.t,CHOOSE(BR9,Iдоп_1ж,Iдоп_2ж,Iдоп_3ж),_xlpm.k,_xlfn.XMATCH(_xlpm.need,_xlpm.t,1),IF(ISNA(_xlpm.k),"Не исп",INDEX(Iдоп_S,_xlpm.k))),"Не исп")))</f>
        <v>4</v>
      </c>
      <c r="BT9">
        <f>IFERROR(VLOOKUP(BS9,Кабель_сопротивление,3,FALSE),"")</f>
        <v>2.2499999999999999E-2</v>
      </c>
      <c r="BU9">
        <f>IFERROR(VLOOKUP(BS9,Кабель_сопротивление,2,FALSE),"")</f>
        <v>9.5000000000000001E-2</v>
      </c>
      <c r="BV9">
        <f t="shared" si="11"/>
        <v>46</v>
      </c>
      <c r="BW9">
        <f>IF(D9="","",IFERROR(IF(VLOOKUP(AT9,Потребители_обозначение,4,FALSE)=1,VLOOKUP(AT9,Потребители_обозначение,3,FALSE)*(H9*2-1)+BV9+VLOOKUP(AV9,Этаж_обозначение,3,FALSE)+VLOOKUP(AV9,Этаж_обозначение,4,FALSE),VLOOKUP(AT9,Потребители_обозначение,3,FALSE)*(H9*2-1)+BV9),BV9))</f>
        <v>46</v>
      </c>
      <c r="BX9">
        <f t="shared" si="12"/>
        <v>12</v>
      </c>
      <c r="BY9">
        <f t="shared" si="13"/>
        <v>0</v>
      </c>
      <c r="BZ9">
        <f t="shared" si="14"/>
        <v>1</v>
      </c>
      <c r="CA9">
        <f t="shared" si="15"/>
        <v>0.31</v>
      </c>
      <c r="CB9">
        <f t="shared" si="16"/>
        <v>1.5209034218213855</v>
      </c>
      <c r="CC9">
        <f>IFERROR(ROUNDUP(CB9/((Uн_лин/SQRT(3))*1000)*100,2),"")</f>
        <v>0.66</v>
      </c>
      <c r="CD9">
        <f>IF(ISNUMBER(CC9),CC9+IFERROR(_xlfn.XLOOKUP(A9,Щиты[Щит],Щиты[ΔU до шин, %]),0),"")</f>
        <v>0.66</v>
      </c>
      <c r="CE9">
        <f>IF(D9="","",IF(IFERROR(VLOOKUP(AT9,УГО_спр,2,FALSE),"")="Светильник",3,4)+IF(Методика="нормы 2026",MIN(0.5,MAX(0,N(BW9)-100)*0.005),0))</f>
        <v>4</v>
      </c>
      <c r="CF9" t="str">
        <f>IFERROR(VLOOKUP(BI9,Кабель_обозначение,2,FALSE),"")</f>
        <v>ВВГнг(А)-LS</v>
      </c>
      <c r="CG9" t="str">
        <f>IFERROR(IF(VLOOKUP(BI9,Кабель_обозначение,3,FALSE)=1,CF9&amp;" ("&amp;BJ9&amp;"х"&amp;BS9&amp;")",CF9),"")</f>
        <v>ВВГнг(А)-LS (5х4)</v>
      </c>
      <c r="CH9" t="str">
        <f t="shared" si="17"/>
        <v>ВВГнг(А)-LS (5х4)
L=46-0,66%</v>
      </c>
      <c r="CI9">
        <f>IFERROR(2*ρкз_Cu*BW9/BS9,"")</f>
        <v>0.60489999999999999</v>
      </c>
      <c r="CJ9">
        <f t="shared" si="18"/>
        <v>0.20125000000000001</v>
      </c>
      <c r="CK9" t="str">
        <f>IFERROR(IF(OR(D9="",NOT(ISNUMBER(BS9)),N(BW9)=0),"",_xlfn.XLOOKUP(A9,Щиты[Щит],Щиты[Zпетли на шинах, Ом])+CI9),"")</f>
        <v/>
      </c>
      <c r="CL9" t="str">
        <f>IF(ISNUMBER(CK9),c_min*(Uн_лин*1000/SQRT(3))/CK9,"")</f>
        <v/>
      </c>
      <c r="CM9" t="str">
        <f>IFERROR(IF(OR(D9="",NOT(ISNUMBER(BS9))),"",1.05*(Uн_лин*1000/SQRT(3))/(_xlfn.XLOOKUP(A9,Щиты[Щит],Щиты[Zmax на шинах, Ом])+CJ9)/1000),"")</f>
        <v/>
      </c>
      <c r="CN9" t="str">
        <f>IF(D9="","",IF(BA9&lt;&gt;"","Щит",IF(K9&lt;&gt;"",K9,IF(ISNUMBER(L9),"Сил",IF(IFERROR(_xlfn.XLOOKUP(AT9,Коды_код,Коды_группа)&amp;"","")="","Быт",_xlfn.XLOOKUP(AT9,Коды_код,Коды_группа)&amp;"")))))</f>
        <v>Щит</v>
      </c>
      <c r="CO9" t="str">
        <f>IF(CN9="Щит","щит",IF(CN9="","",IF(CN9="Быт",IFERROR(_xlfn.XLOOKUP(A9,Щиты[Щит],Щиты[Кс быт]),1),IF(CN9="Сил",IF(ISNUMBER(L9),L9,IF(Методика="нормы 2026",IFERROR(_xlfn.XLOOKUP(A9,Щиты[Щит],Щиты[Кс силовых (табл. 7.5)]),1),1)),IF(OR(CN9="Пост",CN9="Отоп"),1,IF(CN9="ВНГ",0.7,0))))))</f>
        <v>щит</v>
      </c>
      <c r="CP9">
        <f t="shared" si="19"/>
        <v>1</v>
      </c>
      <c r="CQ9">
        <f t="shared" si="20"/>
        <v>0</v>
      </c>
      <c r="CR9">
        <f t="shared" si="21"/>
        <v>0</v>
      </c>
      <c r="CS9">
        <f t="shared" si="22"/>
        <v>0</v>
      </c>
      <c r="CT9">
        <f t="shared" si="23"/>
        <v>0</v>
      </c>
      <c r="CU9">
        <f t="shared" si="24"/>
        <v>0</v>
      </c>
      <c r="CV9">
        <f t="shared" si="25"/>
        <v>0</v>
      </c>
      <c r="CW9">
        <f t="shared" si="26"/>
        <v>0</v>
      </c>
      <c r="CX9">
        <f t="shared" si="27"/>
        <v>0</v>
      </c>
      <c r="CY9">
        <f t="shared" si="28"/>
        <v>2</v>
      </c>
      <c r="CZ9" t="str">
        <f t="shared" si="29"/>
        <v>L1,L2,L3</v>
      </c>
      <c r="DA9" cm="1">
        <f t="array" ref="DA9">IFERROR(IF(BL9=2,_xlfn.IFS(BH9=3,VLOOKUP(BF9,Справочная_двигатели,3,FALSE),BH9=1,VLOOKUP(BF9,Справочная_двигатели,5,TRUE)),0),0)</f>
        <v>0</v>
      </c>
      <c r="DB9">
        <f>IFERROR(IF(BL9=3,VLOOKUP(BF9,Справочная_ЛЭД,2,TRUE),0),0)</f>
        <v>0</v>
      </c>
      <c r="DC9">
        <f t="shared" si="30"/>
        <v>0</v>
      </c>
      <c r="DD9" t="str">
        <f t="shared" si="31"/>
        <v>L1,L2,L3</v>
      </c>
      <c r="DE9" t="str" cm="1">
        <f t="array" ref="DE9">IF(D9="","",IFERROR(INDEX({"I особая","I","II","III"},MATCH(TRIM(AA9&amp;""),{"I особая","I","II","III"},0)),"III"))</f>
        <v>II</v>
      </c>
      <c r="DF9" t="str">
        <f>IF(D9="","",IF(TRIM(AB9&amp;"")&lt;&gt;"",IF(LOWER(TRIM(AB9&amp;""))="да","да","нет"),IF(IFERROR(_xlfn.XLOOKUP(AT9,Коды_код,Коды_пожарная),"")="да","да","нет")))</f>
        <v>нет</v>
      </c>
      <c r="DG9" t="str">
        <f t="shared" si="32"/>
        <v/>
      </c>
      <c r="DH9" t="str">
        <f t="shared" si="33"/>
        <v>основная</v>
      </c>
      <c r="DI9">
        <f t="shared" si="34"/>
        <v>1</v>
      </c>
      <c r="DJ9" t="str" cm="1">
        <f t="array" ref="DJ9">IF(D9="","",_xlfn.LET(_xlpm.t,IFERROR(_xlfn.XLOOKUP(1,(Шины[Шина]=DH9)*(((Шины[Щит]=A9)+(Шины[Щит]=""))&gt;0),Шины[Тип]),"")&amp;"",IF(_xlpm.t&lt;&gt;"",_xlpm.t,IF(ISNUMBER(SEARCH("ИБП",DH9)),"ИБП",IF(ISNUMBER(SEARCH("ДГУ",DH9)),"ДГУ","Ввод "&amp;DI9)))))</f>
        <v>Ввод 1</v>
      </c>
      <c r="DK9" t="str">
        <f t="shared" si="35"/>
        <v>Ввод 1</v>
      </c>
      <c r="DL9" t="str">
        <f>IF(D9="","",IF(OR(DJ9="ИБП",DJ9="ДГУ"),"I особая",IF(DJ9="Одиночная","III",_xlfn.XLOOKUP(A9,Щиты[Щит],Щиты[Категория шины «Ввод»],"III"))))</f>
        <v>I</v>
      </c>
      <c r="DM9">
        <f>IF(D9="",0,IFERROR(MATCH(DE9,{"III","II","I","I особая"},0),1))</f>
        <v>2</v>
      </c>
      <c r="DN9">
        <f t="shared" si="36"/>
        <v>2</v>
      </c>
      <c r="DO9" t="str">
        <f>IF(D9="","",IF(DM9&gt;IFERROR(MATCH(DL9,{"III","II","I","I особая"},0),1),"НЕ ОБЕСПЕЧЕНА","ОК"))</f>
        <v>ОК</v>
      </c>
      <c r="DP9" t="str">
        <f>IF(A9="","",_xlfn.XLOOKUP(A9,Щиты[Щит],Щиты[Путь],""))</f>
        <v>|ГРЩ-ЖД|</v>
      </c>
      <c r="DQ9" t="str">
        <f>IF(D9="","",IF(Z9&lt;&gt;"",Z9,IF(IFERROR(_xlfn.XLOOKUP(AT9,Коды_код,Коды_вид)&amp;"","")="","Прочее",_xlfn.XLOOKUP(AT9,Коды_код,Коды_вид)&amp;"")))</f>
        <v>Вентиляция</v>
      </c>
      <c r="DR9">
        <f>IF(BD9="","",INT((BD9-1)/Столбцов_на_лист)+1)</f>
        <v>2</v>
      </c>
      <c r="DS9" t="str">
        <f t="shared" si="37"/>
        <v>ВВГнг(А)-LS (5х4) L=46-0,66%</v>
      </c>
      <c r="DT9">
        <f t="shared" si="38"/>
        <v>6.99</v>
      </c>
      <c r="DU9">
        <f t="shared" si="39"/>
        <v>6.16</v>
      </c>
      <c r="DV9">
        <f t="shared" si="40"/>
        <v>3</v>
      </c>
      <c r="DW9">
        <f>IF(AT9="",0,_xlfn.LET(_xlpm.v,IFERROR(VLOOKUP(D9,УГО_спр,3,FALSE),IFERROR(VLOOKUP(AT9,УГО_спр,3,FALSE),IFERROR(VLOOKUP(LEFT(AT9,2),УГО_спр,3,FALSE),""))),IF(_xlpm.v="да",30,IF(ISNUMBER(_xlpm.v),_xlpm.v,0))))</f>
        <v>0</v>
      </c>
      <c r="DX9">
        <f t="shared" si="41"/>
        <v>0</v>
      </c>
      <c r="DY9" t="str">
        <f>IF(BD9="","",IF(AD9&lt;&gt;"",COUNTIFS(A$3:A9,A9,AD$3:AD9,"?*"),IF(OR(OR(AS9=1,A9&lt;&gt;A8),AL9="вручную"),"",IF(AS9=1,"",DZ8))))</f>
        <v/>
      </c>
      <c r="DZ9" t="str">
        <f t="shared" si="42"/>
        <v/>
      </c>
      <c r="EA9">
        <f>IF(D9="",0,MAX(IFERROR(--X9,0),IFERROR(--VLOOKUP(D9,УГО_спр,4,FALSE),IFERROR(--VLOOKUP(AT9,УГО_спр,4,FALSE),IFERROR(--VLOOKUP(LEFT(AT9,2),УГО_спр,4,FALSE),0)))))</f>
        <v>16</v>
      </c>
      <c r="EB9">
        <f>IF(D9="","",IFERROR(LOOKUP(INDEX(CHOOSE(BR9,Iдоп_1ж,Iдоп_2ж,Iдоп_3ж),MATCH(BS9,Iдоп_S,0))*BP9*BQ9,{6,10,16,20,25,32,40,50,63,80,100,125,160,200,250,315,400,500,630}),""))</f>
        <v>32</v>
      </c>
      <c r="EC9" t="str">
        <f>IF(AD9="","",SUMIFS(Линии[_Ток схемы],Линии[_гр.],DY9,Линии[Щит],A9,Линии[_в кабель выше],0))</f>
        <v/>
      </c>
      <c r="ED9" t="str">
        <f>IF(AD9="","",IFERROR(VLOOKUP(EC9,Автомат_номиналы,2,TRUE),""))</f>
        <v/>
      </c>
      <c r="EE9" t="str">
        <f>IF(AD9="","",MAX(N(ED9),_xlfn.MAXIFS(Линии[_мин. по типу],Линии[_гр.],DY9,Линии[Щит],A9)))</f>
        <v/>
      </c>
      <c r="EF9" t="str">
        <f>IF(AD9="","",_xlfn.MINIFS(Линии[_макс. автомат по кабелю],Линии[_гр.],DY9,Линии[Щит],A9))</f>
        <v/>
      </c>
      <c r="EG9" t="str">
        <f>IF(AD9="","",MAX(1,_xlfn.MAXIFS(Линии[_фаз],Линии[_гр.],DY9,Линии[Щит],A9)))</f>
        <v/>
      </c>
      <c r="EH9" t="str">
        <f>IF(AD9="","",IF(AND(AD9&lt;&gt;"авто",AD9&lt;&gt;"+"),IF(ISNUMBER(SEARCH("мА",AD9)),IFERROR(--TRIM(RIGHT(SUBSTITUTE(LEFT(AD9,SEARCH("мА",AD9)-1)," ",REPT(" ",9)),6)),30),0),IF(AE9="нет",0,IF(ISNUMBER(AE9),AE9,IF(AE9="да",30,_xlfn.MINIFS(Линии[_дифзащита по коду, мА],Линии[_гр.],DY9,Линии[Щит],A9,Линии[_дифзащита по коду, мА],"&gt;0"))))))</f>
        <v/>
      </c>
      <c r="EI9" t="str">
        <f t="shared" si="43"/>
        <v/>
      </c>
      <c r="EJ9" t="str">
        <f t="shared" si="44"/>
        <v/>
      </c>
      <c r="EK9" t="str">
        <f t="shared" si="45"/>
        <v/>
      </c>
      <c r="EL9" t="str">
        <f t="shared" si="46"/>
        <v/>
      </c>
      <c r="EM9">
        <f t="shared" si="47"/>
        <v>0</v>
      </c>
      <c r="EN9" t="str">
        <f>IF(AD9="","",IF(EM9=1,MAX(EE9,Мин_автомат_БП),EE9))</f>
        <v/>
      </c>
      <c r="EO9" t="str">
        <f t="shared" si="48"/>
        <v/>
      </c>
      <c r="EP9" t="str">
        <f t="shared" si="49"/>
        <v/>
      </c>
      <c r="EQ9" t="str">
        <f t="shared" si="50"/>
        <v/>
      </c>
      <c r="ER9" t="str">
        <f>IF(OR(AI9="",AI9="-"),"",IFERROR(VLOOKUP(AI9,Модули_спр,2,FALSE),"R"))</f>
        <v/>
      </c>
      <c r="ES9" t="str">
        <f>IF(ER9="","",ER9&amp;"."&amp;COUNTIFS(A$3:A9,A9,ER$3:ER9,ER9))</f>
        <v/>
      </c>
      <c r="ET9" t="str">
        <f t="shared" si="51"/>
        <v/>
      </c>
      <c r="EU9" t="str">
        <f t="shared" si="52"/>
        <v/>
      </c>
      <c r="EV9" t="str">
        <f t="shared" si="53"/>
        <v/>
      </c>
      <c r="EW9" t="str">
        <f t="shared" si="54"/>
        <v/>
      </c>
      <c r="EX9">
        <f t="shared" si="55"/>
        <v>1</v>
      </c>
      <c r="EY9" t="str">
        <f>IF(AK9="нет","",IF(AK9&lt;&gt;"",AK9,IF(EX9=1,"XT"&amp;COUNTIFS(A$3:A9,A9,EX$3:EX9,1),"")))</f>
        <v/>
      </c>
      <c r="EZ9" t="str">
        <f t="shared" si="56"/>
        <v/>
      </c>
      <c r="FA9" t="str">
        <f t="shared" si="57"/>
        <v/>
      </c>
      <c r="FB9" t="str">
        <f t="shared" si="58"/>
        <v/>
      </c>
      <c r="FC9" t="str">
        <f>IF(OR(EV9="",ET9=""),"",IF(EV9&gt;IFERROR(VLOOKUP(EU9,Модули_спр,3,FALSE),99),"ЛИШНИЙ КАНАЛ",IF(AND(AJ9&lt;&gt;"=",COUNTIFS(Линии[_модуль гр.],ET9,Линии[Канал (итог)],EV9,Линии[Канал],"&lt;&gt;=",Линии[Щит],A9)&gt;1),"ДУБЛЬ КАНАЛА","")))</f>
        <v/>
      </c>
      <c r="FD9" t="str">
        <f t="shared" si="59"/>
        <v/>
      </c>
      <c r="FE9" t="str">
        <f t="shared" si="60"/>
        <v/>
      </c>
      <c r="FF9" t="str">
        <f t="shared" si="61"/>
        <v/>
      </c>
      <c r="FG9" t="str">
        <f t="shared" si="62"/>
        <v/>
      </c>
      <c r="FH9" t="str">
        <f t="shared" si="63"/>
        <v/>
      </c>
      <c r="FI9">
        <f t="shared" si="64"/>
        <v>10</v>
      </c>
      <c r="FJ9" t="str">
        <f t="shared" si="65"/>
        <v/>
      </c>
      <c r="FK9" t="str">
        <f>IF(AND(D9="",EZ9=""),"",_xlfn.TEXTJOIN("; ",TRUE,IF(AND(D9&lt;&gt;"",DD9=""),"нет фазы",""),IF(AND(D9&lt;&gt;"",N(DT9)=0,CN9&lt;&gt;"Нет"),"нет мощности",""),IF(AND(EY9&lt;&gt;"",COUNTIFS(Линии[Щит],A9,Линии[Клемма (итог)],EY9)&gt;1),"дубль клеммы "&amp;EY9,""),IF(AND(FB9&lt;&gt;"",FB9&lt;&gt;"ok"),FB9,""),IF(FC9&lt;&gt;"",FC9,""),IF(AND(ISNUMBER(SEARCH("(5х",DS9)),N(DV9)=1),"5 жил на 1 фазе",""),IF(AND(AT9="R",AD9&lt;&gt;"",OR(N(EH9)=0,N(EH9)&gt;30)),"розетка без дифзащиты до 30 мА",""),IFERROR(IF(AND(ISNUMBER(CD9),CD9&gt;CE9),"потери "&amp;FIXED(CD9,1)&amp;" % &gt; "&amp;CE9&amp;" %",""),""),IFERROR(IF(LEFT(FJ9,4)="мало","Iкз мало — отключение &gt; 0,4 с",""),""),IF(AND(D9&lt;&gt;"",BD9=""),"не на схеме","")))</f>
        <v/>
      </c>
      <c r="FL9" t="str">
        <f>IF(AD9="","",_xlfn.LET(_xlpm.t,IFERROR(_xlfn.XLOOKUP(EP9,Каталог!$U$4:$U$500,Каталог!$G$4:$G$500),""),_xlpm.k,SEARCH("кА",_xlpm.t),IFERROR(--TRIM(RIGHT(SUBSTITUTE(MID(_xlpm.t,MAX(1,_xlpm.k-4),_xlpm.k-MAX(1,_xlpm.k-4))," ",REPT(" ",9)),5)),"")))</f>
        <v/>
      </c>
      <c r="FM9" t="str">
        <f>IF(OR(FL9="",AD9=""),"",IF(_xlfn.XLOOKUP(A9,Щиты[Щит],Щиты[Iкз max на шинах, кА],"")="","",IF(FL9&lt;_xlfn.XLOOKUP(A9,Щиты[Щит],Щиты[Iкз max на шинах, кА]),"Icu "&amp;FL9&amp;" кА &lt; Iкз max","ok")))</f>
        <v/>
      </c>
      <c r="FN9" t="str">
        <f t="shared" si="66"/>
        <v/>
      </c>
      <c r="FO9" t="str">
        <f t="shared" si="67"/>
        <v/>
      </c>
      <c r="FP9" t="str" cm="1">
        <f t="array" ref="FP9">IF(FO9="","",_xlfn.LET(_xlpm.nd,_xlfn.TEXTSPLIT(FO9,"|"),IF(COLUMNS(_xlpm.nd)&gt;1,A9&amp;"¦"&amp;INDEX(_xlpm.nd,1)&amp;"¦"&amp;INDEX(_xlpm.nd,2),"")))</f>
        <v/>
      </c>
      <c r="FQ9" t="str">
        <f t="shared" si="68"/>
        <v/>
      </c>
      <c r="FR9" t="str" cm="1">
        <f t="array" ref="FR9">IF(FO9="","",_xlfn.LET(_xlpm.nd,_xlfn.TEXTSPLIT(FO9,"|"),IF(COLUMNS(_xlpm.nd)&gt;2,A9&amp;"¦"&amp;INDEX(_xlpm.nd,2)&amp;"¦"&amp;INDEX(_xlpm.nd,3),"")))</f>
        <v/>
      </c>
      <c r="FS9" t="str">
        <f t="shared" si="69"/>
        <v/>
      </c>
      <c r="FT9" t="str" cm="1">
        <f t="array" ref="FT9">IF(FO9="","",_xlfn.LET(_xlpm.nd,_xlfn.TEXTSPLIT(FO9,"|"),IF(COLUMNS(_xlpm.nd)&gt;3,A9&amp;"¦"&amp;INDEX(_xlpm.nd,3)&amp;"¦"&amp;INDEX(_xlpm.nd,4),"")))</f>
        <v/>
      </c>
      <c r="FU9" t="str">
        <f t="shared" si="70"/>
        <v/>
      </c>
      <c r="FV9" t="str" cm="1">
        <f t="array" ref="FV9">IF(FO9="","",_xlfn.LET(_xlpm.nd,_xlfn.TEXTSPLIT(FO9,"|"),IF(COLUMNS(_xlpm.nd)&gt;4,A9&amp;"¦"&amp;INDEX(_xlpm.nd,4)&amp;"¦"&amp;INDEX(_xlpm.nd,5),"")))</f>
        <v/>
      </c>
      <c r="FW9" t="str">
        <f t="shared" si="71"/>
        <v/>
      </c>
      <c r="FX9" t="str" cm="1">
        <f t="array" ref="FX9">IF(FO9="","",_xlfn.LET(_xlpm.nd,_xlfn.TEXTSPLIT(FO9,"|"),IF(COLUMNS(_xlpm.nd)&gt;5,A9&amp;"¦"&amp;INDEX(_xlpm.nd,5)&amp;"¦"&amp;INDEX(_xlpm.nd,6),"")))</f>
        <v/>
      </c>
      <c r="FY9" t="str">
        <f t="shared" si="72"/>
        <v/>
      </c>
      <c r="FZ9" t="str" cm="1">
        <f t="array" ref="FZ9">IF(FO9="","",_xlfn.LET(_xlpm.nd,_xlfn.TEXTSPLIT(FO9,"|"),IF(COLUMNS(_xlpm.nd)&gt;6,A9&amp;"¦"&amp;INDEX(_xlpm.nd,6)&amp;"¦"&amp;INDEX(_xlpm.nd,7),"")))</f>
        <v/>
      </c>
      <c r="GA9" t="str">
        <f t="shared" si="73"/>
        <v/>
      </c>
      <c r="GB9" t="str">
        <f t="shared" si="74"/>
        <v/>
      </c>
      <c r="GC9" t="str">
        <f t="shared" si="75"/>
        <v/>
      </c>
      <c r="GD9">
        <f t="shared" si="76"/>
        <v>1</v>
      </c>
      <c r="GE9">
        <f t="shared" si="77"/>
        <v>0</v>
      </c>
      <c r="GF9">
        <f t="shared" si="78"/>
        <v>0</v>
      </c>
      <c r="GG9" t="str">
        <f t="shared" si="79"/>
        <v/>
      </c>
      <c r="GH9" t="str">
        <f t="shared" si="80"/>
        <v/>
      </c>
      <c r="GI9" t="str">
        <f t="shared" si="81"/>
        <v/>
      </c>
      <c r="GJ9" t="str">
        <f t="shared" si="82"/>
        <v/>
      </c>
      <c r="GK9" t="str">
        <f>IF(D9="","",IFERROR(VLOOKUP(D9,УГО_спр,2,FALSE),IFERROR(VLOOKUP(AT9,УГО_спр,2,FALSE),IFERROR(VLOOKUP(LEFT(AT9,2),УГО_спр,2,FALSE),""))))</f>
        <v/>
      </c>
      <c r="GL9" t="str">
        <f>IF(D9="","",IF(OR(GK9="",GK9=0),"BOX",IFERROR(IF(VLOOKUP(GK9,УГО_блоки,3,FALSE)&amp;""&lt;&gt;"",VLOOKUP(GK9,УГО_блоки,3,FALSE),VLOOKUP(GK9,УГО_блоки,2,FALSE)),GK9)))</f>
        <v>BOX</v>
      </c>
      <c r="GM9">
        <f t="shared" si="83"/>
        <v>1</v>
      </c>
      <c r="GN9" t="str">
        <f>IF(EP9="","",IF(COUNTIF(EP$3:EP9,EP9)=1,MAX(GN$2:GN8)+1,""))</f>
        <v/>
      </c>
      <c r="GO9" t="str">
        <f>IF(AF9="","",IF(COUNTIF(AF$3:AF9,AF9)+COUNTIF(AG$2:AG8,AF9)+COUNTIF(AH$2:AH8,AF9)=1,MAX(GO$2:GQ8)+1,""))</f>
        <v/>
      </c>
      <c r="GP9" t="str">
        <f>IF(AG9="","",IF(COUNTIF(AF$3:AF9,AG9)+COUNTIF(AG$3:AG9,AG9)+COUNTIF(AH$2:AH8,AG9)=1,MAX(GO$2:GQ8,GO9)+1,""))</f>
        <v/>
      </c>
      <c r="GQ9" t="str">
        <f>IF(AH9="","",IF(COUNTIF(AF$3:AF9,AH9)+COUNTIF(AG$3:AG9,AH9)+COUNTIF(AH$3:AH9,AH9)=1,MAX(GO$2:GQ8,GO9,GP9)+1,""))</f>
        <v/>
      </c>
      <c r="GR9" t="str">
        <f t="shared" si="84"/>
        <v>5х4</v>
      </c>
      <c r="GS9">
        <f>IF(GR9="","",IF(COUNTIF(GR$3:GR9,GR9)=1,MAX(GS$2:GS8)+1,""))</f>
        <v>4</v>
      </c>
      <c r="GT9" t="str">
        <f>IF(ES9="","",COUNTIF(ES$3:ES9,"?*"))</f>
        <v/>
      </c>
      <c r="GU9" t="str">
        <f>IF(OR(ES9="",EU9=""),"",IF(COUNTIFS(ES$3:ES9,"?*",EU$3:EU9,EU9)=1,MAX(GU$2:GU8)+1,""))</f>
        <v/>
      </c>
      <c r="GV9">
        <f t="shared" si="85"/>
        <v>0</v>
      </c>
      <c r="GW9">
        <f>IF(D9="","",COUNTIF(D$3:D9,"?*"))</f>
        <v>7</v>
      </c>
      <c r="GX9">
        <f>IF(EX9&lt;&gt;1,0,_xlfn.LET(_xlpm.k,MAX(IFERROR(--VLOOKUP(D9,УГО_спр,5,FALSE),0),IFERROR(--VLOOKUP(AT9,УГО_спр,5,FALSE),0),IFERROR(--VLOOKUP(LEFT(AT9,2),УГО_спр,5,FALSE),0)),IF(_xlpm.k&gt;0,_xlpm.k,IF(IFERROR(--LEFT(SUBSTITUTE(GR9,"x","х"),FIND("х",SUBSTITUTE(GR9,"x","х"))-1),3)&gt;3,Каталог!$S$9,1))))</f>
        <v>1</v>
      </c>
      <c r="GY9">
        <f t="shared" si="86"/>
        <v>2</v>
      </c>
    </row>
    <row r="10" spans="1:207" x14ac:dyDescent="0.3">
      <c r="A10" t="s">
        <v>788</v>
      </c>
      <c r="B10">
        <v>22</v>
      </c>
      <c r="C10" t="str">
        <f>IF(BD10="","",IF(BE10="вводной узел","узел ","")&amp;"л."&amp;(INT((BD10-1)/Столбцов_на_лист)+1)&amp;" / "&amp;(MOD(BD10-1,Столбцов_на_лист)+1))</f>
        <v>л.2 / 5</v>
      </c>
      <c r="D10" t="s">
        <v>756</v>
      </c>
      <c r="E10" s="133" t="s">
        <v>755</v>
      </c>
      <c r="G10">
        <v>11.09</v>
      </c>
      <c r="H10">
        <v>1</v>
      </c>
      <c r="I10">
        <v>3</v>
      </c>
      <c r="J10">
        <v>400</v>
      </c>
      <c r="K10" t="s">
        <v>602</v>
      </c>
      <c r="L10">
        <v>0.5</v>
      </c>
      <c r="N10">
        <v>1</v>
      </c>
      <c r="O10" t="s">
        <v>1298</v>
      </c>
      <c r="P10">
        <v>56</v>
      </c>
      <c r="Q10">
        <v>40</v>
      </c>
      <c r="R10">
        <v>11</v>
      </c>
      <c r="S10">
        <v>0</v>
      </c>
      <c r="U10" t="s">
        <v>11</v>
      </c>
      <c r="V10">
        <v>5</v>
      </c>
      <c r="W10">
        <v>4</v>
      </c>
      <c r="X10">
        <v>20</v>
      </c>
      <c r="Z10" t="s">
        <v>584</v>
      </c>
      <c r="AA10" t="s">
        <v>818</v>
      </c>
      <c r="AK10" t="s">
        <v>488</v>
      </c>
      <c r="AR10" t="str">
        <f t="shared" si="0"/>
        <v/>
      </c>
      <c r="AS10" cm="1">
        <f t="array" ref="AS10">ROW()-ROW(Линии[#Headers])</f>
        <v>8</v>
      </c>
      <c r="AT10" t="str">
        <f t="shared" si="1"/>
        <v>ЩОВ-2</v>
      </c>
      <c r="AU10" t="str">
        <f t="shared" si="2"/>
        <v/>
      </c>
      <c r="AV10" t="str">
        <f t="shared" si="3"/>
        <v/>
      </c>
      <c r="AW10" t="str">
        <f t="shared" si="4"/>
        <v/>
      </c>
      <c r="AX10" t="str">
        <f t="shared" si="5"/>
        <v/>
      </c>
      <c r="AY10" t="str">
        <f>IF(D10="","",IF(ISERROR(SEARCH(".",D10)),IFERROR(VLOOKUP(D10,Потребители_обозначение,2,FALSE)&amp;"",""),IFERROR(IF(VLOOKUP(AT10,Потребители_обозначение,4,FALSE)=1,VLOOKUP(AT10,Потребители_обозначение,2,FALSE)&amp;" "&amp;VLOOKUP(AV10,Этаж_обозначение,2,FALSE)&amp;" Пом. №"&amp;AX10,VLOOKUP(AT10,Потребители_обозначение,2,FALSE)&amp;" Шлейф №"&amp;AV10),IFERROR(VLOOKUP(D10,Потребители_обозначение,2,FALSE),""))))</f>
        <v/>
      </c>
      <c r="AZ10" t="str">
        <f t="shared" si="6"/>
        <v>Щит вентиляции ЩОВ-2 Техэтаж этаж Пом. №3.001Т</v>
      </c>
      <c r="BA10" t="str">
        <f>IF(F10&lt;&gt;"",F10,IF(AND(D10&lt;&gt;"",D10&lt;&gt;A10,ISNUMBER(_xlfn.XMATCH(D10,Щиты[Щит]))),D10,""))</f>
        <v>ЩОВ-2</v>
      </c>
      <c r="BB10">
        <f>IFERROR(_xlfn.XMATCH(A10,Щиты[Щит]),0)</f>
        <v>1</v>
      </c>
      <c r="BC10">
        <f>IFERROR(N(_xlfn.XLOOKUP(A10,Щиты[Щит],Щиты[Мест под вводной узел])),15)</f>
        <v>1</v>
      </c>
      <c r="BD10">
        <f t="shared" si="7"/>
        <v>22</v>
      </c>
      <c r="BE10" t="str">
        <f t="shared" si="8"/>
        <v>линии</v>
      </c>
      <c r="BF10">
        <f>IF(D10="","",IF(BA10&lt;&gt;"",IFERROR(_xlfn.XLOOKUP(BA10,Щиты[Щит],Щиты[Руст, кВт]),0),N(G10)))</f>
        <v>11.093000000000002</v>
      </c>
      <c r="BG10">
        <f>IF(J10&lt;&gt;"",J10,IF(D10="","",IFERROR(IF(VLOOKUP(AT10,Потребители_обозначение,8,FALSE)=0,"",VLOOKUP(AT10,Потребители_обозначение,8,FALSE)),"")))</f>
        <v>400</v>
      </c>
      <c r="BH10">
        <f>IF(I10&lt;&gt;"",I10,IF(D10="","",IFERROR(IF(VLOOKUP(AT10,Потребители_обозначение,9,FALSE)=0,"",VLOOKUP(AT10,Потребители_обозначение,9,FALSE)),"")))</f>
        <v>3</v>
      </c>
      <c r="BI10" t="str">
        <f>IF(U10&lt;&gt;"",U10,IF(D10="","",IFERROR(IF(VLOOKUP(AT10,Потребители_обозначение,6,FALSE)=0,"",VLOOKUP(AT10,Потребители_обозначение,6,FALSE)),"")))</f>
        <v>мс</v>
      </c>
      <c r="BJ10">
        <f>IF(V10&lt;&gt;"",V10,IF(D10="","",IFERROR(IF(VLOOKUP(AT10,Потребители_обозначение,7,FALSE)=0,"",VLOOKUP(AT10,Потребители_обозначение,7,FALSE)),"")))</f>
        <v>5</v>
      </c>
      <c r="BK10">
        <f>IF(W10&lt;&gt;"",W10,IF(D10="","",IFERROR(IF(VLOOKUP(AT10,Потребители_обозначение,10,FALSE)=0,"",VLOOKUP(AT10,Потребители_обозначение,10,FALSE)),"")))</f>
        <v>4</v>
      </c>
      <c r="BL10">
        <f>IFERROR(VLOOKUP(AT10,Потребители_обозначение,5,FALSE),0)</f>
        <v>0</v>
      </c>
      <c r="BM10" cm="1">
        <f t="array" ref="BM10">IF(D10="","",IF(BA10&lt;&gt;"",IFERROR(_xlfn.XLOOKUP(BA10,Щиты[Щит],Щиты[cos φ]),0.95),IF(ISNUMBER(M10),M10,IFERROR(IF(BL10=2,_xlfn.IFS(BH10=3,VLOOKUP(BF10,Справочная_двигатели,8,FALSE),BH10=1,VLOOKUP(BF10,Справочная_двигатели,10,TRUE)),IF(AND(Методика="нормы 2026",CN10="Сил"),0.8,0.95)),0.95))))</f>
        <v>0.94999999999999962</v>
      </c>
      <c r="BN10" cm="1">
        <f t="array" ref="BN10">IF(D10="","",IF(BA10&lt;&gt;"",IFERROR(_xlfn.XLOOKUP(BA10,Щиты[Щит],Щиты[Iр, А]),""),IFERROR(_xlfn.IFS(BH10=1,BF10/((Uн_лин/SQRT(3))*BM10),BH10=3,BF10/(SQRT(3)*Uн_лин*BM10)),"")))</f>
        <v>7.7942286340599516</v>
      </c>
      <c r="BO10">
        <f>IF(D10="","",IF(N(X10)=0,IFERROR(VLOOKUP(BN10,Автомат_номиналы,2,TRUE),""),X10))</f>
        <v>20</v>
      </c>
      <c r="BP10">
        <f t="shared" si="9"/>
        <v>0.92</v>
      </c>
      <c r="BQ10">
        <f>IF(ISNUMBER(Y10),Y10,К_прокл)</f>
        <v>1</v>
      </c>
      <c r="BR10">
        <f t="shared" si="10"/>
        <v>3</v>
      </c>
      <c r="BS10" cm="1">
        <f t="array" ref="BS10">IF(D10="","",IF(N(BK10)&lt;&gt;0,BK10,IFERROR(_xlfn.LET(_xlpm.need,BO10/(BP10*BQ10),_xlpm.t,CHOOSE(BR10,Iдоп_1ж,Iдоп_2ж,Iдоп_3ж),_xlpm.k,_xlfn.XMATCH(_xlpm.need,_xlpm.t,1),IF(ISNA(_xlpm.k),"Не исп",INDEX(Iдоп_S,_xlpm.k))),"Не исп")))</f>
        <v>4</v>
      </c>
      <c r="BT10">
        <f>IFERROR(VLOOKUP(BS10,Кабель_сопротивление,3,FALSE),"")</f>
        <v>2.2499999999999999E-2</v>
      </c>
      <c r="BU10">
        <f>IFERROR(VLOOKUP(BS10,Кабель_сопротивление,2,FALSE),"")</f>
        <v>9.5000000000000001E-2</v>
      </c>
      <c r="BV10">
        <f t="shared" si="11"/>
        <v>56</v>
      </c>
      <c r="BW10">
        <f>IF(D10="","",IFERROR(IF(VLOOKUP(AT10,Потребители_обозначение,4,FALSE)=1,VLOOKUP(AT10,Потребители_обозначение,3,FALSE)*(H10*2-1)+BV10+VLOOKUP(AV10,Этаж_обозначение,3,FALSE)+VLOOKUP(AV10,Этаж_обозначение,4,FALSE),VLOOKUP(AT10,Потребители_обозначение,3,FALSE)*(H10*2-1)+BV10),BV10))</f>
        <v>56</v>
      </c>
      <c r="BX10">
        <f t="shared" si="12"/>
        <v>11</v>
      </c>
      <c r="BY10">
        <f t="shared" si="13"/>
        <v>0</v>
      </c>
      <c r="BZ10">
        <f t="shared" si="14"/>
        <v>1</v>
      </c>
      <c r="CA10">
        <f t="shared" si="15"/>
        <v>0.31</v>
      </c>
      <c r="CB10">
        <f t="shared" si="16"/>
        <v>2.3452771606057317</v>
      </c>
      <c r="CC10">
        <f>IFERROR(ROUNDUP(CB10/((Uн_лин/SQRT(3))*1000)*100,2),"")</f>
        <v>1.02</v>
      </c>
      <c r="CD10">
        <f>IF(ISNUMBER(CC10),CC10+IFERROR(_xlfn.XLOOKUP(A10,Щиты[Щит],Щиты[ΔU до шин, %]),0),"")</f>
        <v>1.02</v>
      </c>
      <c r="CE10">
        <f>IF(D10="","",IF(IFERROR(VLOOKUP(AT10,УГО_спр,2,FALSE),"")="Светильник",3,4)+IF(Методика="нормы 2026",MIN(0.5,MAX(0,N(BW10)-100)*0.005),0))</f>
        <v>4</v>
      </c>
      <c r="CF10" t="str">
        <f>IFERROR(VLOOKUP(BI10,Кабель_обозначение,2,FALSE),"")</f>
        <v>ВВГнг(А)-LS</v>
      </c>
      <c r="CG10" t="str">
        <f>IFERROR(IF(VLOOKUP(BI10,Кабель_обозначение,3,FALSE)=1,CF10&amp;" ("&amp;BJ10&amp;"х"&amp;BS10&amp;")",CF10),"")</f>
        <v>ВВГнг(А)-LS (5х4)</v>
      </c>
      <c r="CH10" t="str">
        <f t="shared" si="17"/>
        <v>ВВГнг(А)-LS (5х4)
L=56-1,02%</v>
      </c>
      <c r="CI10">
        <f>IFERROR(2*ρкз_Cu*BW10/BS10,"")</f>
        <v>0.73640000000000005</v>
      </c>
      <c r="CJ10">
        <f t="shared" si="18"/>
        <v>0.24500000000000002</v>
      </c>
      <c r="CK10" t="str">
        <f>IFERROR(IF(OR(D10="",NOT(ISNUMBER(BS10)),N(BW10)=0),"",_xlfn.XLOOKUP(A10,Щиты[Щит],Щиты[Zпетли на шинах, Ом])+CI10),"")</f>
        <v/>
      </c>
      <c r="CL10" t="str">
        <f>IF(ISNUMBER(CK10),c_min*(Uн_лин*1000/SQRT(3))/CK10,"")</f>
        <v/>
      </c>
      <c r="CM10" t="str">
        <f>IFERROR(IF(OR(D10="",NOT(ISNUMBER(BS10))),"",1.05*(Uн_лин*1000/SQRT(3))/(_xlfn.XLOOKUP(A10,Щиты[Щит],Щиты[Zmax на шинах, Ом])+CJ10)/1000),"")</f>
        <v/>
      </c>
      <c r="CN10" t="str">
        <f>IF(D10="","",IF(BA10&lt;&gt;"","Щит",IF(K10&lt;&gt;"",K10,IF(ISNUMBER(L10),"Сил",IF(IFERROR(_xlfn.XLOOKUP(AT10,Коды_код,Коды_группа)&amp;"","")="","Быт",_xlfn.XLOOKUP(AT10,Коды_код,Коды_группа)&amp;"")))))</f>
        <v>Щит</v>
      </c>
      <c r="CO10" t="str">
        <f>IF(CN10="Щит","щит",IF(CN10="","",IF(CN10="Быт",IFERROR(_xlfn.XLOOKUP(A10,Щиты[Щит],Щиты[Кс быт]),1),IF(CN10="Сил",IF(ISNUMBER(L10),L10,IF(Методика="нормы 2026",IFERROR(_xlfn.XLOOKUP(A10,Щиты[Щит],Щиты[Кс силовых (табл. 7.5)]),1),1)),IF(OR(CN10="Пост",CN10="Отоп"),1,IF(CN10="ВНГ",0.7,0))))))</f>
        <v>щит</v>
      </c>
      <c r="CP10">
        <f t="shared" si="19"/>
        <v>1</v>
      </c>
      <c r="CQ10">
        <f t="shared" si="20"/>
        <v>0</v>
      </c>
      <c r="CR10">
        <f t="shared" si="21"/>
        <v>0</v>
      </c>
      <c r="CS10">
        <f t="shared" si="22"/>
        <v>0</v>
      </c>
      <c r="CT10">
        <f t="shared" si="23"/>
        <v>0</v>
      </c>
      <c r="CU10">
        <f t="shared" si="24"/>
        <v>0</v>
      </c>
      <c r="CV10">
        <f t="shared" si="25"/>
        <v>0</v>
      </c>
      <c r="CW10">
        <f t="shared" si="26"/>
        <v>0</v>
      </c>
      <c r="CX10">
        <f t="shared" si="27"/>
        <v>0</v>
      </c>
      <c r="CY10">
        <f t="shared" si="28"/>
        <v>2</v>
      </c>
      <c r="CZ10" t="str">
        <f t="shared" si="29"/>
        <v>L1,L2,L3</v>
      </c>
      <c r="DA10" cm="1">
        <f t="array" ref="DA10">IFERROR(IF(BL10=2,_xlfn.IFS(BH10=3,VLOOKUP(BF10,Справочная_двигатели,3,FALSE),BH10=1,VLOOKUP(BF10,Справочная_двигатели,5,TRUE)),0),0)</f>
        <v>0</v>
      </c>
      <c r="DB10">
        <f>IFERROR(IF(BL10=3,VLOOKUP(BF10,Справочная_ЛЭД,2,TRUE),0),0)</f>
        <v>0</v>
      </c>
      <c r="DC10">
        <f t="shared" si="30"/>
        <v>0</v>
      </c>
      <c r="DD10" t="str">
        <f t="shared" si="31"/>
        <v>L1,L2,L3</v>
      </c>
      <c r="DE10" t="str" cm="1">
        <f t="array" ref="DE10">IF(D10="","",IFERROR(INDEX({"I особая","I","II","III"},MATCH(TRIM(AA10&amp;""),{"I особая","I","II","III"},0)),"III"))</f>
        <v>II</v>
      </c>
      <c r="DF10" t="str">
        <f>IF(D10="","",IF(TRIM(AB10&amp;"")&lt;&gt;"",IF(LOWER(TRIM(AB10&amp;""))="да","да","нет"),IF(IFERROR(_xlfn.XLOOKUP(AT10,Коды_код,Коды_пожарная),"")="да","да","нет")))</f>
        <v>нет</v>
      </c>
      <c r="DG10" t="str">
        <f t="shared" si="32"/>
        <v/>
      </c>
      <c r="DH10" t="str">
        <f t="shared" si="33"/>
        <v>основная</v>
      </c>
      <c r="DI10">
        <f t="shared" si="34"/>
        <v>1</v>
      </c>
      <c r="DJ10" t="str" cm="1">
        <f t="array" ref="DJ10">IF(D10="","",_xlfn.LET(_xlpm.t,IFERROR(_xlfn.XLOOKUP(1,(Шины[Шина]=DH10)*(((Шины[Щит]=A10)+(Шины[Щит]=""))&gt;0),Шины[Тип]),"")&amp;"",IF(_xlpm.t&lt;&gt;"",_xlpm.t,IF(ISNUMBER(SEARCH("ИБП",DH10)),"ИБП",IF(ISNUMBER(SEARCH("ДГУ",DH10)),"ДГУ","Ввод "&amp;DI10)))))</f>
        <v>Ввод 1</v>
      </c>
      <c r="DK10" t="str">
        <f t="shared" si="35"/>
        <v>Ввод 1</v>
      </c>
      <c r="DL10" t="str">
        <f>IF(D10="","",IF(OR(DJ10="ИБП",DJ10="ДГУ"),"I особая",IF(DJ10="Одиночная","III",_xlfn.XLOOKUP(A10,Щиты[Щит],Щиты[Категория шины «Ввод»],"III"))))</f>
        <v>I</v>
      </c>
      <c r="DM10">
        <f>IF(D10="",0,IFERROR(MATCH(DE10,{"III","II","I","I особая"},0),1))</f>
        <v>2</v>
      </c>
      <c r="DN10">
        <f t="shared" si="36"/>
        <v>2</v>
      </c>
      <c r="DO10" t="str">
        <f>IF(D10="","",IF(DM10&gt;IFERROR(MATCH(DL10,{"III","II","I","I особая"},0),1),"НЕ ОБЕСПЕЧЕНА","ОК"))</f>
        <v>ОК</v>
      </c>
      <c r="DP10" t="str">
        <f>IF(A10="","",_xlfn.XLOOKUP(A10,Щиты[Щит],Щиты[Путь],""))</f>
        <v>|ГРЩ-ЖД|</v>
      </c>
      <c r="DQ10" t="str">
        <f>IF(D10="","",IF(Z10&lt;&gt;"",Z10,IF(IFERROR(_xlfn.XLOOKUP(AT10,Коды_код,Коды_вид)&amp;"","")="","Прочее",_xlfn.XLOOKUP(AT10,Коды_код,Коды_вид)&amp;"")))</f>
        <v>Вентиляция</v>
      </c>
      <c r="DR10">
        <f>IF(BD10="","",INT((BD10-1)/Столбцов_на_лист)+1)</f>
        <v>2</v>
      </c>
      <c r="DS10" t="str">
        <f t="shared" si="37"/>
        <v>ВВГнг(А)-LS (5х4) L=56-1,02%</v>
      </c>
      <c r="DT10">
        <f t="shared" si="38"/>
        <v>11.093000000000002</v>
      </c>
      <c r="DU10">
        <f t="shared" si="39"/>
        <v>7.8</v>
      </c>
      <c r="DV10">
        <f t="shared" si="40"/>
        <v>3</v>
      </c>
      <c r="DW10">
        <f>IF(AT10="",0,_xlfn.LET(_xlpm.v,IFERROR(VLOOKUP(D10,УГО_спр,3,FALSE),IFERROR(VLOOKUP(AT10,УГО_спр,3,FALSE),IFERROR(VLOOKUP(LEFT(AT10,2),УГО_спр,3,FALSE),""))),IF(_xlpm.v="да",30,IF(ISNUMBER(_xlpm.v),_xlpm.v,0))))</f>
        <v>0</v>
      </c>
      <c r="DX10">
        <f t="shared" si="41"/>
        <v>0</v>
      </c>
      <c r="DY10" t="str">
        <f>IF(BD10="","",IF(AD10&lt;&gt;"",COUNTIFS(A$3:A10,A10,AD$3:AD10,"?*"),IF(OR(OR(AS10=1,A10&lt;&gt;A9),AL10="вручную"),"",IF(AS10=1,"",DZ9))))</f>
        <v/>
      </c>
      <c r="DZ10" t="str">
        <f t="shared" si="42"/>
        <v/>
      </c>
      <c r="EA10">
        <f>IF(D10="",0,MAX(IFERROR(--X10,0),IFERROR(--VLOOKUP(D10,УГО_спр,4,FALSE),IFERROR(--VLOOKUP(AT10,УГО_спр,4,FALSE),IFERROR(--VLOOKUP(LEFT(AT10,2),УГО_спр,4,FALSE),0)))))</f>
        <v>20</v>
      </c>
      <c r="EB10">
        <f>IF(D10="","",IFERROR(LOOKUP(INDEX(CHOOSE(BR10,Iдоп_1ж,Iдоп_2ж,Iдоп_3ж),MATCH(BS10,Iдоп_S,0))*BP10*BQ10,{6,10,16,20,25,32,40,50,63,80,100,125,160,200,250,315,400,500,630}),""))</f>
        <v>32</v>
      </c>
      <c r="EC10" t="str">
        <f>IF(AD10="","",SUMIFS(Линии[_Ток схемы],Линии[_гр.],DY10,Линии[Щит],A10,Линии[_в кабель выше],0))</f>
        <v/>
      </c>
      <c r="ED10" t="str">
        <f>IF(AD10="","",IFERROR(VLOOKUP(EC10,Автомат_номиналы,2,TRUE),""))</f>
        <v/>
      </c>
      <c r="EE10" t="str">
        <f>IF(AD10="","",MAX(N(ED10),_xlfn.MAXIFS(Линии[_мин. по типу],Линии[_гр.],DY10,Линии[Щит],A10)))</f>
        <v/>
      </c>
      <c r="EF10" t="str">
        <f>IF(AD10="","",_xlfn.MINIFS(Линии[_макс. автомат по кабелю],Линии[_гр.],DY10,Линии[Щит],A10))</f>
        <v/>
      </c>
      <c r="EG10" t="str">
        <f>IF(AD10="","",MAX(1,_xlfn.MAXIFS(Линии[_фаз],Линии[_гр.],DY10,Линии[Щит],A10)))</f>
        <v/>
      </c>
      <c r="EH10" t="str">
        <f>IF(AD10="","",IF(AND(AD10&lt;&gt;"авто",AD10&lt;&gt;"+"),IF(ISNUMBER(SEARCH("мА",AD10)),IFERROR(--TRIM(RIGHT(SUBSTITUTE(LEFT(AD10,SEARCH("мА",AD10)-1)," ",REPT(" ",9)),6)),30),0),IF(AE10="нет",0,IF(ISNUMBER(AE10),AE10,IF(AE10="да",30,_xlfn.MINIFS(Линии[_дифзащита по коду, мА],Линии[_гр.],DY10,Линии[Щит],A10,Линии[_дифзащита по коду, мА],"&gt;0"))))))</f>
        <v/>
      </c>
      <c r="EI10" t="str">
        <f t="shared" si="43"/>
        <v/>
      </c>
      <c r="EJ10" t="str">
        <f t="shared" si="44"/>
        <v/>
      </c>
      <c r="EK10" t="str">
        <f t="shared" si="45"/>
        <v/>
      </c>
      <c r="EL10" t="str">
        <f t="shared" si="46"/>
        <v/>
      </c>
      <c r="EM10">
        <f t="shared" si="47"/>
        <v>0</v>
      </c>
      <c r="EN10" t="str">
        <f>IF(AD10="","",IF(EM10=1,MAX(EE10,Мин_автомат_БП),EE10))</f>
        <v/>
      </c>
      <c r="EO10" t="str">
        <f t="shared" si="48"/>
        <v/>
      </c>
      <c r="EP10" t="str">
        <f t="shared" si="49"/>
        <v/>
      </c>
      <c r="EQ10" t="str">
        <f t="shared" si="50"/>
        <v/>
      </c>
      <c r="ER10" t="str">
        <f>IF(OR(AI10="",AI10="-"),"",IFERROR(VLOOKUP(AI10,Модули_спр,2,FALSE),"R"))</f>
        <v/>
      </c>
      <c r="ES10" t="str">
        <f>IF(ER10="","",ER10&amp;"."&amp;COUNTIFS(A$3:A10,A10,ER$3:ER10,ER10))</f>
        <v/>
      </c>
      <c r="ET10" t="str">
        <f t="shared" si="51"/>
        <v/>
      </c>
      <c r="EU10" t="str">
        <f t="shared" si="52"/>
        <v/>
      </c>
      <c r="EV10" t="str">
        <f t="shared" si="53"/>
        <v/>
      </c>
      <c r="EW10" t="str">
        <f t="shared" si="54"/>
        <v/>
      </c>
      <c r="EX10">
        <f t="shared" si="55"/>
        <v>1</v>
      </c>
      <c r="EY10" t="str">
        <f>IF(AK10="нет","",IF(AK10&lt;&gt;"",AK10,IF(EX10=1,"XT"&amp;COUNTIFS(A$3:A10,A10,EX$3:EX10,1),"")))</f>
        <v/>
      </c>
      <c r="EZ10" t="str">
        <f t="shared" si="56"/>
        <v/>
      </c>
      <c r="FA10" t="str">
        <f t="shared" si="57"/>
        <v/>
      </c>
      <c r="FB10" t="str">
        <f t="shared" si="58"/>
        <v/>
      </c>
      <c r="FC10" t="str">
        <f>IF(OR(EV10="",ET10=""),"",IF(EV10&gt;IFERROR(VLOOKUP(EU10,Модули_спр,3,FALSE),99),"ЛИШНИЙ КАНАЛ",IF(AND(AJ10&lt;&gt;"=",COUNTIFS(Линии[_модуль гр.],ET10,Линии[Канал (итог)],EV10,Линии[Канал],"&lt;&gt;=",Линии[Щит],A10)&gt;1),"ДУБЛЬ КАНАЛА","")))</f>
        <v/>
      </c>
      <c r="FD10" t="str">
        <f t="shared" si="59"/>
        <v/>
      </c>
      <c r="FE10" t="str">
        <f t="shared" si="60"/>
        <v/>
      </c>
      <c r="FF10" t="str">
        <f t="shared" si="61"/>
        <v/>
      </c>
      <c r="FG10" t="str">
        <f t="shared" si="62"/>
        <v/>
      </c>
      <c r="FH10" t="str">
        <f t="shared" si="63"/>
        <v/>
      </c>
      <c r="FI10">
        <f t="shared" si="64"/>
        <v>10</v>
      </c>
      <c r="FJ10" t="str">
        <f t="shared" si="65"/>
        <v/>
      </c>
      <c r="FK10" t="str">
        <f>IF(AND(D10="",EZ10=""),"",_xlfn.TEXTJOIN("; ",TRUE,IF(AND(D10&lt;&gt;"",DD10=""),"нет фазы",""),IF(AND(D10&lt;&gt;"",N(DT10)=0,CN10&lt;&gt;"Нет"),"нет мощности",""),IF(AND(EY10&lt;&gt;"",COUNTIFS(Линии[Щит],A10,Линии[Клемма (итог)],EY10)&gt;1),"дубль клеммы "&amp;EY10,""),IF(AND(FB10&lt;&gt;"",FB10&lt;&gt;"ok"),FB10,""),IF(FC10&lt;&gt;"",FC10,""),IF(AND(ISNUMBER(SEARCH("(5х",DS10)),N(DV10)=1),"5 жил на 1 фазе",""),IF(AND(AT10="R",AD10&lt;&gt;"",OR(N(EH10)=0,N(EH10)&gt;30)),"розетка без дифзащиты до 30 мА",""),IFERROR(IF(AND(ISNUMBER(CD10),CD10&gt;CE10),"потери "&amp;FIXED(CD10,1)&amp;" % &gt; "&amp;CE10&amp;" %",""),""),IFERROR(IF(LEFT(FJ10,4)="мало","Iкз мало — отключение &gt; 0,4 с",""),""),IF(AND(D10&lt;&gt;"",BD10=""),"не на схеме","")))</f>
        <v/>
      </c>
      <c r="FL10" t="str">
        <f>IF(AD10="","",_xlfn.LET(_xlpm.t,IFERROR(_xlfn.XLOOKUP(EP10,Каталог!$U$4:$U$500,Каталог!$G$4:$G$500),""),_xlpm.k,SEARCH("кА",_xlpm.t),IFERROR(--TRIM(RIGHT(SUBSTITUTE(MID(_xlpm.t,MAX(1,_xlpm.k-4),_xlpm.k-MAX(1,_xlpm.k-4))," ",REPT(" ",9)),5)),"")))</f>
        <v/>
      </c>
      <c r="FM10" t="str">
        <f>IF(OR(FL10="",AD10=""),"",IF(_xlfn.XLOOKUP(A10,Щиты[Щит],Щиты[Iкз max на шинах, кА],"")="","",IF(FL10&lt;_xlfn.XLOOKUP(A10,Щиты[Щит],Щиты[Iкз max на шинах, кА]),"Icu "&amp;FL10&amp;" кА &lt; Iкз max","ok")))</f>
        <v/>
      </c>
      <c r="FN10" t="str">
        <f t="shared" si="66"/>
        <v/>
      </c>
      <c r="FO10" t="str">
        <f t="shared" si="67"/>
        <v/>
      </c>
      <c r="FP10" t="str" cm="1">
        <f t="array" ref="FP10">IF(FO10="","",_xlfn.LET(_xlpm.nd,_xlfn.TEXTSPLIT(FO10,"|"),IF(COLUMNS(_xlpm.nd)&gt;1,A10&amp;"¦"&amp;INDEX(_xlpm.nd,1)&amp;"¦"&amp;INDEX(_xlpm.nd,2),"")))</f>
        <v/>
      </c>
      <c r="FQ10" t="str">
        <f t="shared" si="68"/>
        <v/>
      </c>
      <c r="FR10" t="str" cm="1">
        <f t="array" ref="FR10">IF(FO10="","",_xlfn.LET(_xlpm.nd,_xlfn.TEXTSPLIT(FO10,"|"),IF(COLUMNS(_xlpm.nd)&gt;2,A10&amp;"¦"&amp;INDEX(_xlpm.nd,2)&amp;"¦"&amp;INDEX(_xlpm.nd,3),"")))</f>
        <v/>
      </c>
      <c r="FS10" t="str">
        <f t="shared" si="69"/>
        <v/>
      </c>
      <c r="FT10" t="str" cm="1">
        <f t="array" ref="FT10">IF(FO10="","",_xlfn.LET(_xlpm.nd,_xlfn.TEXTSPLIT(FO10,"|"),IF(COLUMNS(_xlpm.nd)&gt;3,A10&amp;"¦"&amp;INDEX(_xlpm.nd,3)&amp;"¦"&amp;INDEX(_xlpm.nd,4),"")))</f>
        <v/>
      </c>
      <c r="FU10" t="str">
        <f t="shared" si="70"/>
        <v/>
      </c>
      <c r="FV10" t="str" cm="1">
        <f t="array" ref="FV10">IF(FO10="","",_xlfn.LET(_xlpm.nd,_xlfn.TEXTSPLIT(FO10,"|"),IF(COLUMNS(_xlpm.nd)&gt;4,A10&amp;"¦"&amp;INDEX(_xlpm.nd,4)&amp;"¦"&amp;INDEX(_xlpm.nd,5),"")))</f>
        <v/>
      </c>
      <c r="FW10" t="str">
        <f t="shared" si="71"/>
        <v/>
      </c>
      <c r="FX10" t="str" cm="1">
        <f t="array" ref="FX10">IF(FO10="","",_xlfn.LET(_xlpm.nd,_xlfn.TEXTSPLIT(FO10,"|"),IF(COLUMNS(_xlpm.nd)&gt;5,A10&amp;"¦"&amp;INDEX(_xlpm.nd,5)&amp;"¦"&amp;INDEX(_xlpm.nd,6),"")))</f>
        <v/>
      </c>
      <c r="FY10" t="str">
        <f t="shared" si="72"/>
        <v/>
      </c>
      <c r="FZ10" t="str" cm="1">
        <f t="array" ref="FZ10">IF(FO10="","",_xlfn.LET(_xlpm.nd,_xlfn.TEXTSPLIT(FO10,"|"),IF(COLUMNS(_xlpm.nd)&gt;6,A10&amp;"¦"&amp;INDEX(_xlpm.nd,6)&amp;"¦"&amp;INDEX(_xlpm.nd,7),"")))</f>
        <v/>
      </c>
      <c r="GA10" t="str">
        <f t="shared" si="73"/>
        <v/>
      </c>
      <c r="GB10" t="str">
        <f t="shared" si="74"/>
        <v/>
      </c>
      <c r="GC10" t="str">
        <f t="shared" si="75"/>
        <v/>
      </c>
      <c r="GD10">
        <f t="shared" si="76"/>
        <v>1</v>
      </c>
      <c r="GE10">
        <f t="shared" si="77"/>
        <v>0</v>
      </c>
      <c r="GF10">
        <f t="shared" si="78"/>
        <v>0</v>
      </c>
      <c r="GG10" t="str">
        <f t="shared" si="79"/>
        <v/>
      </c>
      <c r="GH10" t="str">
        <f t="shared" si="80"/>
        <v/>
      </c>
      <c r="GI10" t="str">
        <f t="shared" si="81"/>
        <v/>
      </c>
      <c r="GJ10" t="str">
        <f t="shared" si="82"/>
        <v/>
      </c>
      <c r="GK10" t="str">
        <f>IF(D10="","",IFERROR(VLOOKUP(D10,УГО_спр,2,FALSE),IFERROR(VLOOKUP(AT10,УГО_спр,2,FALSE),IFERROR(VLOOKUP(LEFT(AT10,2),УГО_спр,2,FALSE),""))))</f>
        <v/>
      </c>
      <c r="GL10" t="str">
        <f>IF(D10="","",IF(OR(GK10="",GK10=0),"BOX",IFERROR(IF(VLOOKUP(GK10,УГО_блоки,3,FALSE)&amp;""&lt;&gt;"",VLOOKUP(GK10,УГО_блоки,3,FALSE),VLOOKUP(GK10,УГО_блоки,2,FALSE)),GK10)))</f>
        <v>BOX</v>
      </c>
      <c r="GM10">
        <f t="shared" si="83"/>
        <v>1</v>
      </c>
      <c r="GN10" t="str">
        <f>IF(EP10="","",IF(COUNTIF(EP$3:EP10,EP10)=1,MAX(GN$2:GN9)+1,""))</f>
        <v/>
      </c>
      <c r="GO10" t="str">
        <f>IF(AF10="","",IF(COUNTIF(AF$3:AF10,AF10)+COUNTIF(AG$2:AG9,AF10)+COUNTIF(AH$2:AH9,AF10)=1,MAX(GO$2:GQ9)+1,""))</f>
        <v/>
      </c>
      <c r="GP10" t="str">
        <f>IF(AG10="","",IF(COUNTIF(AF$3:AF10,AG10)+COUNTIF(AG$3:AG10,AG10)+COUNTIF(AH$2:AH9,AG10)=1,MAX(GO$2:GQ9,GO10)+1,""))</f>
        <v/>
      </c>
      <c r="GQ10" t="str">
        <f>IF(AH10="","",IF(COUNTIF(AF$3:AF10,AH10)+COUNTIF(AG$3:AG10,AH10)+COUNTIF(AH$3:AH10,AH10)=1,MAX(GO$2:GQ9,GO10,GP10)+1,""))</f>
        <v/>
      </c>
      <c r="GR10" t="str">
        <f t="shared" si="84"/>
        <v>5х4</v>
      </c>
      <c r="GS10" t="str">
        <f>IF(GR10="","",IF(COUNTIF(GR$3:GR10,GR10)=1,MAX(GS$2:GS9)+1,""))</f>
        <v/>
      </c>
      <c r="GT10" t="str">
        <f>IF(ES10="","",COUNTIF(ES$3:ES10,"?*"))</f>
        <v/>
      </c>
      <c r="GU10" t="str">
        <f>IF(OR(ES10="",EU10=""),"",IF(COUNTIFS(ES$3:ES10,"?*",EU$3:EU10,EU10)=1,MAX(GU$2:GU9)+1,""))</f>
        <v/>
      </c>
      <c r="GV10">
        <f t="shared" si="85"/>
        <v>0</v>
      </c>
      <c r="GW10">
        <f>IF(D10="","",COUNTIF(D$3:D10,"?*"))</f>
        <v>8</v>
      </c>
      <c r="GX10">
        <f>IF(EX10&lt;&gt;1,0,_xlfn.LET(_xlpm.k,MAX(IFERROR(--VLOOKUP(D10,УГО_спр,5,FALSE),0),IFERROR(--VLOOKUP(AT10,УГО_спр,5,FALSE),0),IFERROR(--VLOOKUP(LEFT(AT10,2),УГО_спр,5,FALSE),0)),IF(_xlpm.k&gt;0,_xlpm.k,IF(IFERROR(--LEFT(SUBSTITUTE(GR10,"x","х"),FIND("х",SUBSTITUTE(GR10,"x","х"))-1),3)&gt;3,Каталог!$S$9,1))))</f>
        <v>1</v>
      </c>
      <c r="GY10">
        <f t="shared" si="86"/>
        <v>2</v>
      </c>
    </row>
    <row r="11" spans="1:207" x14ac:dyDescent="0.3">
      <c r="A11" t="s">
        <v>788</v>
      </c>
      <c r="B11">
        <v>23</v>
      </c>
      <c r="C11" t="str">
        <f>IF(BD11="","",IF(BE11="вводной узел","узел ","")&amp;"л."&amp;(INT((BD11-1)/Столбцов_на_лист)+1)&amp;" / "&amp;(MOD(BD11-1,Столбцов_на_лист)+1))</f>
        <v>л.2 / 6</v>
      </c>
      <c r="D11" t="s">
        <v>778</v>
      </c>
      <c r="E11" s="133" t="s">
        <v>777</v>
      </c>
      <c r="H11">
        <v>1</v>
      </c>
      <c r="I11">
        <v>3</v>
      </c>
      <c r="J11">
        <v>400</v>
      </c>
      <c r="K11" t="s">
        <v>566</v>
      </c>
      <c r="N11">
        <v>2</v>
      </c>
      <c r="O11" t="s">
        <v>1298</v>
      </c>
      <c r="P11">
        <v>52</v>
      </c>
      <c r="Q11">
        <v>39</v>
      </c>
      <c r="R11">
        <v>8</v>
      </c>
      <c r="S11">
        <v>0</v>
      </c>
      <c r="Z11" t="s">
        <v>621</v>
      </c>
      <c r="AA11" t="s">
        <v>818</v>
      </c>
      <c r="AK11" t="s">
        <v>488</v>
      </c>
      <c r="AR11" t="str">
        <f t="shared" si="0"/>
        <v>нет мощности</v>
      </c>
      <c r="AS11" cm="1">
        <f t="array" ref="AS11">ROW()-ROW(Линии[#Headers])</f>
        <v>9</v>
      </c>
      <c r="AT11" t="str">
        <f t="shared" si="1"/>
        <v>ЩО-2</v>
      </c>
      <c r="AU11" t="str">
        <f t="shared" si="2"/>
        <v/>
      </c>
      <c r="AV11" t="str">
        <f t="shared" si="3"/>
        <v/>
      </c>
      <c r="AW11" t="str">
        <f t="shared" si="4"/>
        <v/>
      </c>
      <c r="AX11" t="str">
        <f t="shared" si="5"/>
        <v/>
      </c>
      <c r="AY11" t="str">
        <f>IF(D11="","",IF(ISERROR(SEARCH(".",D11)),IFERROR(VLOOKUP(D11,Потребители_обозначение,2,FALSE)&amp;"",""),IFERROR(IF(VLOOKUP(AT11,Потребители_обозначение,4,FALSE)=1,VLOOKUP(AT11,Потребители_обозначение,2,FALSE)&amp;" "&amp;VLOOKUP(AV11,Этаж_обозначение,2,FALSE)&amp;" Пом. №"&amp;AX11,VLOOKUP(AT11,Потребители_обозначение,2,FALSE)&amp;" Шлейф №"&amp;AV11),IFERROR(VLOOKUP(D11,Потребители_обозначение,2,FALSE),""))))</f>
        <v/>
      </c>
      <c r="AZ11" t="str">
        <f t="shared" si="6"/>
        <v>Щит освещения ЩО-2 Тех. этаж этаж Пом. №3.001</v>
      </c>
      <c r="BA11" t="str">
        <f>IF(F11&lt;&gt;"",F11,IF(AND(D11&lt;&gt;"",D11&lt;&gt;A11,ISNUMBER(_xlfn.XMATCH(D11,Щиты[Щит]))),D11,""))</f>
        <v/>
      </c>
      <c r="BB11">
        <f>IFERROR(_xlfn.XMATCH(A11,Щиты[Щит]),0)</f>
        <v>1</v>
      </c>
      <c r="BC11">
        <f>IFERROR(N(_xlfn.XLOOKUP(A11,Щиты[Щит],Щиты[Мест под вводной узел])),15)</f>
        <v>1</v>
      </c>
      <c r="BD11">
        <f t="shared" si="7"/>
        <v>23</v>
      </c>
      <c r="BE11" t="str">
        <f t="shared" si="8"/>
        <v>линии</v>
      </c>
      <c r="BF11">
        <f>IF(D11="","",IF(BA11&lt;&gt;"",IFERROR(_xlfn.XLOOKUP(BA11,Щиты[Щит],Щиты[Руст, кВт]),0),N(G11)))</f>
        <v>0</v>
      </c>
      <c r="BG11">
        <f>IF(J11&lt;&gt;"",J11,IF(D11="","",IFERROR(IF(VLOOKUP(AT11,Потребители_обозначение,8,FALSE)=0,"",VLOOKUP(AT11,Потребители_обозначение,8,FALSE)),"")))</f>
        <v>400</v>
      </c>
      <c r="BH11">
        <f>IF(I11&lt;&gt;"",I11,IF(D11="","",IFERROR(IF(VLOOKUP(AT11,Потребители_обозначение,9,FALSE)=0,"",VLOOKUP(AT11,Потребители_обозначение,9,FALSE)),"")))</f>
        <v>3</v>
      </c>
      <c r="BI11" t="str">
        <f>IF(U11&lt;&gt;"",U11,IF(D11="","",IFERROR(IF(VLOOKUP(AT11,Потребители_обозначение,6,FALSE)=0,"",VLOOKUP(AT11,Потребители_обозначение,6,FALSE)),"")))</f>
        <v/>
      </c>
      <c r="BJ11" t="str">
        <f>IF(V11&lt;&gt;"",V11,IF(D11="","",IFERROR(IF(VLOOKUP(AT11,Потребители_обозначение,7,FALSE)=0,"",VLOOKUP(AT11,Потребители_обозначение,7,FALSE)),"")))</f>
        <v/>
      </c>
      <c r="BK11" t="str">
        <f>IF(W11&lt;&gt;"",W11,IF(D11="","",IFERROR(IF(VLOOKUP(AT11,Потребители_обозначение,10,FALSE)=0,"",VLOOKUP(AT11,Потребители_обозначение,10,FALSE)),"")))</f>
        <v/>
      </c>
      <c r="BL11">
        <f>IFERROR(VLOOKUP(AT11,Потребители_обозначение,5,FALSE),0)</f>
        <v>0</v>
      </c>
      <c r="BM11" cm="1">
        <f t="array" ref="BM11">IF(D11="","",IF(BA11&lt;&gt;"",IFERROR(_xlfn.XLOOKUP(BA11,Щиты[Щит],Щиты[cos φ]),0.95),IF(ISNUMBER(M11),M11,IFERROR(IF(BL11=2,_xlfn.IFS(BH11=3,VLOOKUP(BF11,Справочная_двигатели,8,FALSE),BH11=1,VLOOKUP(BF11,Справочная_двигатели,10,TRUE)),IF(AND(Методика="нормы 2026",CN11="Сил"),0.8,0.95)),0.95))))</f>
        <v>0.95</v>
      </c>
      <c r="BN11" cm="1">
        <f t="array" ref="BN11">IF(D11="","",IF(BA11&lt;&gt;"",IFERROR(_xlfn.XLOOKUP(BA11,Щиты[Щит],Щиты[Iр, А]),""),IFERROR(_xlfn.IFS(BH11=1,BF11/((Uн_лин/SQRT(3))*BM11),BH11=3,BF11/(SQRT(3)*Uн_лин*BM11)),"")))</f>
        <v>0</v>
      </c>
      <c r="BO11">
        <f>IF(D11="","",IF(N(X11)=0,IFERROR(VLOOKUP(BN11,Автомат_номиналы,2,TRUE),""),X11))</f>
        <v>6</v>
      </c>
      <c r="BP11">
        <f t="shared" si="9"/>
        <v>1</v>
      </c>
      <c r="BQ11">
        <f>IF(ISNUMBER(Y11),Y11,К_прокл)</f>
        <v>1</v>
      </c>
      <c r="BR11">
        <f t="shared" si="10"/>
        <v>3</v>
      </c>
      <c r="BS11" cm="1">
        <f t="array" ref="BS11">IF(D11="","",IF(N(BK11)&lt;&gt;0,BK11,IFERROR(_xlfn.LET(_xlpm.need,BO11/(BP11*BQ11),_xlpm.t,CHOOSE(BR11,Iдоп_1ж,Iдоп_2ж,Iдоп_3ж),_xlpm.k,_xlfn.XMATCH(_xlpm.need,_xlpm.t,1),IF(ISNA(_xlpm.k),"Не исп",INDEX(Iдоп_S,_xlpm.k))),"Не исп")))</f>
        <v>1.5</v>
      </c>
      <c r="BT11">
        <f>IFERROR(VLOOKUP(BS11,Кабель_сопротивление,3,FALSE),"")</f>
        <v>2.2499999999999999E-2</v>
      </c>
      <c r="BU11">
        <f>IFERROR(VLOOKUP(BS11,Кабель_сопротивление,2,FALSE),"")</f>
        <v>0.11</v>
      </c>
      <c r="BV11">
        <f t="shared" si="11"/>
        <v>52</v>
      </c>
      <c r="BW11">
        <f>IF(D11="","",IFERROR(IF(VLOOKUP(AT11,Потребители_обозначение,4,FALSE)=1,VLOOKUP(AT11,Потребители_обозначение,3,FALSE)*(H11*2-1)+BV11+VLOOKUP(AV11,Этаж_обозначение,3,FALSE)+VLOOKUP(AV11,Этаж_обозначение,4,FALSE),VLOOKUP(AT11,Потребители_обозначение,3,FALSE)*(H11*2-1)+BV11),BV11))</f>
        <v>52</v>
      </c>
      <c r="BX11">
        <f t="shared" si="12"/>
        <v>8</v>
      </c>
      <c r="BY11">
        <f t="shared" si="13"/>
        <v>0</v>
      </c>
      <c r="BZ11">
        <f t="shared" si="14"/>
        <v>1</v>
      </c>
      <c r="CA11">
        <f t="shared" si="15"/>
        <v>0.31</v>
      </c>
      <c r="CB11">
        <f t="shared" si="16"/>
        <v>0</v>
      </c>
      <c r="CC11">
        <f>IFERROR(ROUNDUP(CB11/((Uн_лин/SQRT(3))*1000)*100,2),"")</f>
        <v>0</v>
      </c>
      <c r="CD11">
        <f>IF(ISNUMBER(CC11),CC11+IFERROR(_xlfn.XLOOKUP(A11,Щиты[Щит],Щиты[ΔU до шин, %]),0),"")</f>
        <v>0</v>
      </c>
      <c r="CE11">
        <f>IF(D11="","",IF(IFERROR(VLOOKUP(AT11,УГО_спр,2,FALSE),"")="Светильник",3,4)+IF(Методика="нормы 2026",MIN(0.5,MAX(0,N(BW11)-100)*0.005),0))</f>
        <v>4</v>
      </c>
      <c r="CF11" t="str">
        <f>IFERROR(VLOOKUP(BI11,Кабель_обозначение,2,FALSE),"")</f>
        <v/>
      </c>
      <c r="CG11" t="str">
        <f>IFERROR(IF(VLOOKUP(BI11,Кабель_обозначение,3,FALSE)=1,CF11&amp;" ("&amp;BJ11&amp;"х"&amp;BS11&amp;")",CF11),"")</f>
        <v/>
      </c>
      <c r="CH11" t="str">
        <f t="shared" si="17"/>
        <v/>
      </c>
      <c r="CI11">
        <f>IFERROR(2*ρкз_Cu*BW11/BS11,"")</f>
        <v>1.8234666666666666</v>
      </c>
      <c r="CJ11">
        <f t="shared" si="18"/>
        <v>0.6066666666666668</v>
      </c>
      <c r="CK11" t="str">
        <f>IFERROR(IF(OR(D11="",NOT(ISNUMBER(BS11)),N(BW11)=0),"",_xlfn.XLOOKUP(A11,Щиты[Щит],Щиты[Zпетли на шинах, Ом])+CI11),"")</f>
        <v/>
      </c>
      <c r="CL11" t="str">
        <f>IF(ISNUMBER(CK11),c_min*(Uн_лин*1000/SQRT(3))/CK11,"")</f>
        <v/>
      </c>
      <c r="CM11" t="str">
        <f>IFERROR(IF(OR(D11="",NOT(ISNUMBER(BS11))),"",1.05*(Uн_лин*1000/SQRT(3))/(_xlfn.XLOOKUP(A11,Щиты[Щит],Щиты[Zmax на шинах, Ом])+CJ11)/1000),"")</f>
        <v/>
      </c>
      <c r="CN11" t="str">
        <f>IF(D11="","",IF(BA11&lt;&gt;"","Щит",IF(K11&lt;&gt;"",K11,IF(ISNUMBER(L11),"Сил",IF(IFERROR(_xlfn.XLOOKUP(AT11,Коды_код,Коды_группа)&amp;"","")="","Быт",_xlfn.XLOOKUP(AT11,Коды_код,Коды_группа)&amp;"")))))</f>
        <v>Быт</v>
      </c>
      <c r="CO11">
        <f>IF(CN11="Щит","щит",IF(CN11="","",IF(CN11="Быт",IFERROR(_xlfn.XLOOKUP(A11,Щиты[Щит],Щиты[Кс быт]),1),IF(CN11="Сил",IF(ISNUMBER(L11),L11,IF(Методика="нормы 2026",IFERROR(_xlfn.XLOOKUP(A11,Щиты[Щит],Щиты[Кс силовых (табл. 7.5)]),1),1)),IF(OR(CN11="Пост",CN11="Отоп"),1,IF(CN11="ВНГ",0.7,0))))))</f>
        <v>0.47591999999999995</v>
      </c>
      <c r="CP11">
        <f t="shared" si="19"/>
        <v>2</v>
      </c>
      <c r="CQ11">
        <f t="shared" si="20"/>
        <v>0</v>
      </c>
      <c r="CR11">
        <f t="shared" si="21"/>
        <v>0</v>
      </c>
      <c r="CS11">
        <f t="shared" si="22"/>
        <v>0</v>
      </c>
      <c r="CT11">
        <f t="shared" si="23"/>
        <v>0</v>
      </c>
      <c r="CU11">
        <f t="shared" si="24"/>
        <v>0</v>
      </c>
      <c r="CV11">
        <f t="shared" si="25"/>
        <v>0</v>
      </c>
      <c r="CW11">
        <f t="shared" si="26"/>
        <v>0</v>
      </c>
      <c r="CX11">
        <f t="shared" si="27"/>
        <v>0</v>
      </c>
      <c r="CY11">
        <f t="shared" si="28"/>
        <v>2</v>
      </c>
      <c r="CZ11" t="str">
        <f t="shared" si="29"/>
        <v>L1,L2,L3</v>
      </c>
      <c r="DA11" cm="1">
        <f t="array" ref="DA11">IFERROR(IF(BL11=2,_xlfn.IFS(BH11=3,VLOOKUP(BF11,Справочная_двигатели,3,FALSE),BH11=1,VLOOKUP(BF11,Справочная_двигатели,5,TRUE)),0),0)</f>
        <v>0</v>
      </c>
      <c r="DB11">
        <f>IFERROR(IF(BL11=3,VLOOKUP(BF11,Справочная_ЛЭД,2,TRUE),0),0)</f>
        <v>0</v>
      </c>
      <c r="DC11">
        <f t="shared" si="30"/>
        <v>0</v>
      </c>
      <c r="DD11" t="str">
        <f t="shared" si="31"/>
        <v>L1,L2,L3</v>
      </c>
      <c r="DE11" t="str" cm="1">
        <f t="array" ref="DE11">IF(D11="","",IFERROR(INDEX({"I особая","I","II","III"},MATCH(TRIM(AA11&amp;""),{"I особая","I","II","III"},0)),"III"))</f>
        <v>II</v>
      </c>
      <c r="DF11" t="str">
        <f>IF(D11="","",IF(TRIM(AB11&amp;"")&lt;&gt;"",IF(LOWER(TRIM(AB11&amp;""))="да","да","нет"),IF(IFERROR(_xlfn.XLOOKUP(AT11,Коды_код,Коды_пожарная),"")="да","да","нет")))</f>
        <v>нет</v>
      </c>
      <c r="DG11" t="str">
        <f t="shared" si="32"/>
        <v/>
      </c>
      <c r="DH11" t="str">
        <f t="shared" si="33"/>
        <v>основная</v>
      </c>
      <c r="DI11">
        <f t="shared" si="34"/>
        <v>2</v>
      </c>
      <c r="DJ11" t="str" cm="1">
        <f t="array" ref="DJ11">IF(D11="","",_xlfn.LET(_xlpm.t,IFERROR(_xlfn.XLOOKUP(1,(Шины[Шина]=DH11)*(((Шины[Щит]=A11)+(Шины[Щит]=""))&gt;0),Шины[Тип]),"")&amp;"",IF(_xlpm.t&lt;&gt;"",_xlpm.t,IF(ISNUMBER(SEARCH("ИБП",DH11)),"ИБП",IF(ISNUMBER(SEARCH("ДГУ",DH11)),"ДГУ","Ввод "&amp;DI11)))))</f>
        <v>Ввод 2</v>
      </c>
      <c r="DK11" t="str">
        <f t="shared" si="35"/>
        <v>Ввод 2</v>
      </c>
      <c r="DL11" t="str">
        <f>IF(D11="","",IF(OR(DJ11="ИБП",DJ11="ДГУ"),"I особая",IF(DJ11="Одиночная","III",_xlfn.XLOOKUP(A11,Щиты[Щит],Щиты[Категория шины «Ввод»],"III"))))</f>
        <v>I</v>
      </c>
      <c r="DM11">
        <f>IF(D11="",0,IFERROR(MATCH(DE11,{"III","II","I","I особая"},0),1))</f>
        <v>2</v>
      </c>
      <c r="DN11">
        <f t="shared" si="36"/>
        <v>2</v>
      </c>
      <c r="DO11" t="str">
        <f>IF(D11="","",IF(DM11&gt;IFERROR(MATCH(DL11,{"III","II","I","I особая"},0),1),"НЕ ОБЕСПЕЧЕНА","ОК"))</f>
        <v>ОК</v>
      </c>
      <c r="DP11" t="str">
        <f>IF(A11="","",_xlfn.XLOOKUP(A11,Щиты[Щит],Щиты[Путь],""))</f>
        <v>|ГРЩ-ЖД|</v>
      </c>
      <c r="DQ11" t="str">
        <f>IF(D11="","",IF(Z11&lt;&gt;"",Z11,IF(IFERROR(_xlfn.XLOOKUP(AT11,Коды_код,Коды_вид)&amp;"","")="","Прочее",_xlfn.XLOOKUP(AT11,Коды_код,Коды_вид)&amp;"")))</f>
        <v>Распределительные щиты жилой части</v>
      </c>
      <c r="DR11">
        <f>IF(BD11="","",INT((BD11-1)/Столбцов_на_лист)+1)</f>
        <v>2</v>
      </c>
      <c r="DS11" t="str">
        <f t="shared" si="37"/>
        <v/>
      </c>
      <c r="DT11">
        <f t="shared" si="38"/>
        <v>0</v>
      </c>
      <c r="DU11">
        <f t="shared" si="39"/>
        <v>0</v>
      </c>
      <c r="DV11">
        <f t="shared" si="40"/>
        <v>3</v>
      </c>
      <c r="DW11">
        <f>IF(AT11="",0,_xlfn.LET(_xlpm.v,IFERROR(VLOOKUP(D11,УГО_спр,3,FALSE),IFERROR(VLOOKUP(AT11,УГО_спр,3,FALSE),IFERROR(VLOOKUP(LEFT(AT11,2),УГО_спр,3,FALSE),""))),IF(_xlpm.v="да",30,IF(ISNUMBER(_xlpm.v),_xlpm.v,0))))</f>
        <v>0</v>
      </c>
      <c r="DX11">
        <f t="shared" si="41"/>
        <v>0</v>
      </c>
      <c r="DY11" t="str">
        <f>IF(BD11="","",IF(AD11&lt;&gt;"",COUNTIFS(A$3:A11,A11,AD$3:AD11,"?*"),IF(OR(OR(AS11=1,A11&lt;&gt;A10),AL11="вручную"),"",IF(AS11=1,"",DZ10))))</f>
        <v/>
      </c>
      <c r="DZ11" t="str">
        <f t="shared" si="42"/>
        <v/>
      </c>
      <c r="EA11">
        <f>IF(D11="",0,MAX(IFERROR(--X11,0),IFERROR(--VLOOKUP(D11,УГО_спр,4,FALSE),IFERROR(--VLOOKUP(AT11,УГО_спр,4,FALSE),IFERROR(--VLOOKUP(LEFT(AT11,2),УГО_спр,4,FALSE),0)))))</f>
        <v>0</v>
      </c>
      <c r="EB11">
        <f>IF(D11="","",IFERROR(LOOKUP(INDEX(CHOOSE(BR11,Iдоп_1ж,Iдоп_2ж,Iдоп_3ж),MATCH(BS11,Iдоп_S,0))*BP11*BQ11,{6,10,16,20,25,32,40,50,63,80,100,125,160,200,250,315,400,500,630}),""))</f>
        <v>16</v>
      </c>
      <c r="EC11" t="str">
        <f>IF(AD11="","",SUMIFS(Линии[_Ток схемы],Линии[_гр.],DY11,Линии[Щит],A11,Линии[_в кабель выше],0))</f>
        <v/>
      </c>
      <c r="ED11" t="str">
        <f>IF(AD11="","",IFERROR(VLOOKUP(EC11,Автомат_номиналы,2,TRUE),""))</f>
        <v/>
      </c>
      <c r="EE11" t="str">
        <f>IF(AD11="","",MAX(N(ED11),_xlfn.MAXIFS(Линии[_мин. по типу],Линии[_гр.],DY11,Линии[Щит],A11)))</f>
        <v/>
      </c>
      <c r="EF11" t="str">
        <f>IF(AD11="","",_xlfn.MINIFS(Линии[_макс. автомат по кабелю],Линии[_гр.],DY11,Линии[Щит],A11))</f>
        <v/>
      </c>
      <c r="EG11" t="str">
        <f>IF(AD11="","",MAX(1,_xlfn.MAXIFS(Линии[_фаз],Линии[_гр.],DY11,Линии[Щит],A11)))</f>
        <v/>
      </c>
      <c r="EH11" t="str">
        <f>IF(AD11="","",IF(AND(AD11&lt;&gt;"авто",AD11&lt;&gt;"+"),IF(ISNUMBER(SEARCH("мА",AD11)),IFERROR(--TRIM(RIGHT(SUBSTITUTE(LEFT(AD11,SEARCH("мА",AD11)-1)," ",REPT(" ",9)),6)),30),0),IF(AE11="нет",0,IF(ISNUMBER(AE11),AE11,IF(AE11="да",30,_xlfn.MINIFS(Линии[_дифзащита по коду, мА],Линии[_гр.],DY11,Линии[Щит],A11,Линии[_дифзащита по коду, мА],"&gt;0"))))))</f>
        <v/>
      </c>
      <c r="EI11" t="str">
        <f t="shared" si="43"/>
        <v/>
      </c>
      <c r="EJ11" t="str">
        <f t="shared" si="44"/>
        <v/>
      </c>
      <c r="EK11" t="str">
        <f t="shared" si="45"/>
        <v/>
      </c>
      <c r="EL11" t="str">
        <f t="shared" si="46"/>
        <v/>
      </c>
      <c r="EM11">
        <f t="shared" si="47"/>
        <v>0</v>
      </c>
      <c r="EN11" t="str">
        <f>IF(AD11="","",IF(EM11=1,MAX(EE11,Мин_автомат_БП),EE11))</f>
        <v/>
      </c>
      <c r="EO11" t="str">
        <f t="shared" si="48"/>
        <v/>
      </c>
      <c r="EP11" t="str">
        <f t="shared" si="49"/>
        <v/>
      </c>
      <c r="EQ11" t="str">
        <f t="shared" si="50"/>
        <v/>
      </c>
      <c r="ER11" t="str">
        <f>IF(OR(AI11="",AI11="-"),"",IFERROR(VLOOKUP(AI11,Модули_спр,2,FALSE),"R"))</f>
        <v/>
      </c>
      <c r="ES11" t="str">
        <f>IF(ER11="","",ER11&amp;"."&amp;COUNTIFS(A$3:A11,A11,ER$3:ER11,ER11))</f>
        <v/>
      </c>
      <c r="ET11" t="str">
        <f t="shared" si="51"/>
        <v/>
      </c>
      <c r="EU11" t="str">
        <f t="shared" si="52"/>
        <v/>
      </c>
      <c r="EV11" t="str">
        <f t="shared" si="53"/>
        <v/>
      </c>
      <c r="EW11" t="str">
        <f t="shared" si="54"/>
        <v/>
      </c>
      <c r="EX11">
        <f t="shared" si="55"/>
        <v>0</v>
      </c>
      <c r="EY11" t="str">
        <f>IF(AK11="нет","",IF(AK11&lt;&gt;"",AK11,IF(EX11=1,"XT"&amp;COUNTIFS(A$3:A11,A11,EX$3:EX11,1),"")))</f>
        <v/>
      </c>
      <c r="EZ11" t="str">
        <f t="shared" si="56"/>
        <v/>
      </c>
      <c r="FA11" t="str">
        <f t="shared" si="57"/>
        <v/>
      </c>
      <c r="FB11" t="str">
        <f t="shared" si="58"/>
        <v/>
      </c>
      <c r="FC11" t="str">
        <f>IF(OR(EV11="",ET11=""),"",IF(EV11&gt;IFERROR(VLOOKUP(EU11,Модули_спр,3,FALSE),99),"ЛИШНИЙ КАНАЛ",IF(AND(AJ11&lt;&gt;"=",COUNTIFS(Линии[_модуль гр.],ET11,Линии[Канал (итог)],EV11,Линии[Канал],"&lt;&gt;=",Линии[Щит],A11)&gt;1),"ДУБЛЬ КАНАЛА","")))</f>
        <v/>
      </c>
      <c r="FD11" t="str">
        <f t="shared" si="59"/>
        <v/>
      </c>
      <c r="FE11" t="str">
        <f t="shared" si="60"/>
        <v/>
      </c>
      <c r="FF11" t="str">
        <f t="shared" si="61"/>
        <v/>
      </c>
      <c r="FG11" t="str">
        <f t="shared" si="62"/>
        <v/>
      </c>
      <c r="FH11" t="str">
        <f t="shared" si="63"/>
        <v/>
      </c>
      <c r="FI11">
        <f t="shared" si="64"/>
        <v>10</v>
      </c>
      <c r="FJ11" t="str">
        <f t="shared" si="65"/>
        <v/>
      </c>
      <c r="FK11" t="str">
        <f>IF(AND(D11="",EZ11=""),"",_xlfn.TEXTJOIN("; ",TRUE,IF(AND(D11&lt;&gt;"",DD11=""),"нет фазы",""),IF(AND(D11&lt;&gt;"",N(DT11)=0,CN11&lt;&gt;"Нет"),"нет мощности",""),IF(AND(EY11&lt;&gt;"",COUNTIFS(Линии[Щит],A11,Линии[Клемма (итог)],EY11)&gt;1),"дубль клеммы "&amp;EY11,""),IF(AND(FB11&lt;&gt;"",FB11&lt;&gt;"ok"),FB11,""),IF(FC11&lt;&gt;"",FC11,""),IF(AND(ISNUMBER(SEARCH("(5х",DS11)),N(DV11)=1),"5 жил на 1 фазе",""),IF(AND(AT11="R",AD11&lt;&gt;"",OR(N(EH11)=0,N(EH11)&gt;30)),"розетка без дифзащиты до 30 мА",""),IFERROR(IF(AND(ISNUMBER(CD11),CD11&gt;CE11),"потери "&amp;FIXED(CD11,1)&amp;" % &gt; "&amp;CE11&amp;" %",""),""),IFERROR(IF(LEFT(FJ11,4)="мало","Iкз мало — отключение &gt; 0,4 с",""),""),IF(AND(D11&lt;&gt;"",BD11=""),"не на схеме","")))</f>
        <v>нет мощности</v>
      </c>
      <c r="FL11" t="str">
        <f>IF(AD11="","",_xlfn.LET(_xlpm.t,IFERROR(_xlfn.XLOOKUP(EP11,Каталог!$U$4:$U$500,Каталог!$G$4:$G$500),""),_xlpm.k,SEARCH("кА",_xlpm.t),IFERROR(--TRIM(RIGHT(SUBSTITUTE(MID(_xlpm.t,MAX(1,_xlpm.k-4),_xlpm.k-MAX(1,_xlpm.k-4))," ",REPT(" ",9)),5)),"")))</f>
        <v/>
      </c>
      <c r="FM11" t="str">
        <f>IF(OR(FL11="",AD11=""),"",IF(_xlfn.XLOOKUP(A11,Щиты[Щит],Щиты[Iкз max на шинах, кА],"")="","",IF(FL11&lt;_xlfn.XLOOKUP(A11,Щиты[Щит],Щиты[Iкз max на шинах, кА]),"Icu "&amp;FL11&amp;" кА &lt; Iкз max","ok")))</f>
        <v/>
      </c>
      <c r="FN11" t="str">
        <f t="shared" si="66"/>
        <v/>
      </c>
      <c r="FO11" t="str">
        <f t="shared" si="67"/>
        <v/>
      </c>
      <c r="FP11" t="str" cm="1">
        <f t="array" ref="FP11">IF(FO11="","",_xlfn.LET(_xlpm.nd,_xlfn.TEXTSPLIT(FO11,"|"),IF(COLUMNS(_xlpm.nd)&gt;1,A11&amp;"¦"&amp;INDEX(_xlpm.nd,1)&amp;"¦"&amp;INDEX(_xlpm.nd,2),"")))</f>
        <v/>
      </c>
      <c r="FQ11" t="str">
        <f t="shared" si="68"/>
        <v/>
      </c>
      <c r="FR11" t="str" cm="1">
        <f t="array" ref="FR11">IF(FO11="","",_xlfn.LET(_xlpm.nd,_xlfn.TEXTSPLIT(FO11,"|"),IF(COLUMNS(_xlpm.nd)&gt;2,A11&amp;"¦"&amp;INDEX(_xlpm.nd,2)&amp;"¦"&amp;INDEX(_xlpm.nd,3),"")))</f>
        <v/>
      </c>
      <c r="FS11" t="str">
        <f t="shared" si="69"/>
        <v/>
      </c>
      <c r="FT11" t="str" cm="1">
        <f t="array" ref="FT11">IF(FO11="","",_xlfn.LET(_xlpm.nd,_xlfn.TEXTSPLIT(FO11,"|"),IF(COLUMNS(_xlpm.nd)&gt;3,A11&amp;"¦"&amp;INDEX(_xlpm.nd,3)&amp;"¦"&amp;INDEX(_xlpm.nd,4),"")))</f>
        <v/>
      </c>
      <c r="FU11" t="str">
        <f t="shared" si="70"/>
        <v/>
      </c>
      <c r="FV11" t="str" cm="1">
        <f t="array" ref="FV11">IF(FO11="","",_xlfn.LET(_xlpm.nd,_xlfn.TEXTSPLIT(FO11,"|"),IF(COLUMNS(_xlpm.nd)&gt;4,A11&amp;"¦"&amp;INDEX(_xlpm.nd,4)&amp;"¦"&amp;INDEX(_xlpm.nd,5),"")))</f>
        <v/>
      </c>
      <c r="FW11" t="str">
        <f t="shared" si="71"/>
        <v/>
      </c>
      <c r="FX11" t="str" cm="1">
        <f t="array" ref="FX11">IF(FO11="","",_xlfn.LET(_xlpm.nd,_xlfn.TEXTSPLIT(FO11,"|"),IF(COLUMNS(_xlpm.nd)&gt;5,A11&amp;"¦"&amp;INDEX(_xlpm.nd,5)&amp;"¦"&amp;INDEX(_xlpm.nd,6),"")))</f>
        <v/>
      </c>
      <c r="FY11" t="str">
        <f t="shared" si="72"/>
        <v/>
      </c>
      <c r="FZ11" t="str" cm="1">
        <f t="array" ref="FZ11">IF(FO11="","",_xlfn.LET(_xlpm.nd,_xlfn.TEXTSPLIT(FO11,"|"),IF(COLUMNS(_xlpm.nd)&gt;6,A11&amp;"¦"&amp;INDEX(_xlpm.nd,6)&amp;"¦"&amp;INDEX(_xlpm.nd,7),"")))</f>
        <v/>
      </c>
      <c r="GA11" t="str">
        <f t="shared" si="73"/>
        <v/>
      </c>
      <c r="GB11" t="str">
        <f t="shared" si="74"/>
        <v/>
      </c>
      <c r="GC11" t="str">
        <f t="shared" si="75"/>
        <v/>
      </c>
      <c r="GD11">
        <f t="shared" si="76"/>
        <v>1</v>
      </c>
      <c r="GE11">
        <f t="shared" si="77"/>
        <v>0</v>
      </c>
      <c r="GF11">
        <f t="shared" si="78"/>
        <v>0</v>
      </c>
      <c r="GG11" t="str">
        <f t="shared" si="79"/>
        <v/>
      </c>
      <c r="GH11" t="str">
        <f t="shared" si="80"/>
        <v/>
      </c>
      <c r="GI11" t="str">
        <f t="shared" si="81"/>
        <v/>
      </c>
      <c r="GJ11" t="str">
        <f t="shared" si="82"/>
        <v/>
      </c>
      <c r="GK11" t="str">
        <f>IF(D11="","",IFERROR(VLOOKUP(D11,УГО_спр,2,FALSE),IFERROR(VLOOKUP(AT11,УГО_спр,2,FALSE),IFERROR(VLOOKUP(LEFT(AT11,2),УГО_спр,2,FALSE),""))))</f>
        <v/>
      </c>
      <c r="GL11" t="str">
        <f>IF(D11="","",IF(OR(GK11="",GK11=0),"BOX",IFERROR(IF(VLOOKUP(GK11,УГО_блоки,3,FALSE)&amp;""&lt;&gt;"",VLOOKUP(GK11,УГО_блоки,3,FALSE),VLOOKUP(GK11,УГО_блоки,2,FALSE)),GK11)))</f>
        <v>BOX</v>
      </c>
      <c r="GM11">
        <f t="shared" si="83"/>
        <v>1</v>
      </c>
      <c r="GN11" t="str">
        <f>IF(EP11="","",IF(COUNTIF(EP$3:EP11,EP11)=1,MAX(GN$2:GN10)+1,""))</f>
        <v/>
      </c>
      <c r="GO11" t="str">
        <f>IF(AF11="","",IF(COUNTIF(AF$3:AF11,AF11)+COUNTIF(AG$2:AG10,AF11)+COUNTIF(AH$2:AH10,AF11)=1,MAX(GO$2:GQ10)+1,""))</f>
        <v/>
      </c>
      <c r="GP11" t="str">
        <f>IF(AG11="","",IF(COUNTIF(AF$3:AF11,AG11)+COUNTIF(AG$3:AG11,AG11)+COUNTIF(AH$2:AH10,AG11)=1,MAX(GO$2:GQ10,GO11)+1,""))</f>
        <v/>
      </c>
      <c r="GQ11" t="str">
        <f>IF(AH11="","",IF(COUNTIF(AF$3:AF11,AH11)+COUNTIF(AG$3:AG11,AH11)+COUNTIF(AH$3:AH11,AH11)=1,MAX(GO$2:GQ10,GO11,GP11)+1,""))</f>
        <v/>
      </c>
      <c r="GR11" t="str">
        <f t="shared" si="84"/>
        <v/>
      </c>
      <c r="GS11" t="str">
        <f>IF(GR11="","",IF(COUNTIF(GR$3:GR11,GR11)=1,MAX(GS$2:GS10)+1,""))</f>
        <v/>
      </c>
      <c r="GT11" t="str">
        <f>IF(ES11="","",COUNTIF(ES$3:ES11,"?*"))</f>
        <v/>
      </c>
      <c r="GU11" t="str">
        <f>IF(OR(ES11="",EU11=""),"",IF(COUNTIFS(ES$3:ES11,"?*",EU$3:EU11,EU11)=1,MAX(GU$2:GU10)+1,""))</f>
        <v/>
      </c>
      <c r="GV11">
        <f t="shared" si="85"/>
        <v>1</v>
      </c>
      <c r="GW11">
        <f>IF(D11="","",COUNTIF(D$3:D11,"?*"))</f>
        <v>9</v>
      </c>
      <c r="GX11">
        <f>IF(EX11&lt;&gt;1,0,_xlfn.LET(_xlpm.k,MAX(IFERROR(--VLOOKUP(D11,УГО_спр,5,FALSE),0),IFERROR(--VLOOKUP(AT11,УГО_спр,5,FALSE),0),IFERROR(--VLOOKUP(LEFT(AT11,2),УГО_спр,5,FALSE),0)),IF(_xlpm.k&gt;0,_xlpm.k,IF(IFERROR(--LEFT(SUBSTITUTE(GR11,"x","х"),FIND("х",SUBSTITUTE(GR11,"x","х"))-1),3)&gt;3,Каталог!$S$9,1))))</f>
        <v>0</v>
      </c>
      <c r="GY11">
        <f t="shared" si="86"/>
        <v>0</v>
      </c>
    </row>
    <row r="12" spans="1:207" x14ac:dyDescent="0.3">
      <c r="A12" t="s">
        <v>788</v>
      </c>
      <c r="B12">
        <v>24</v>
      </c>
      <c r="C12" t="str">
        <f>IF(BD12="","",IF(BE12="вводной узел","узел ","")&amp;"л."&amp;(INT((BD12-1)/Столбцов_на_лист)+1)&amp;" / "&amp;(MOD(BD12-1,Столбцов_на_лист)+1))</f>
        <v>л.2 / 7</v>
      </c>
      <c r="D12" t="s">
        <v>758</v>
      </c>
      <c r="E12" s="133" t="s">
        <v>757</v>
      </c>
      <c r="G12">
        <v>11.86</v>
      </c>
      <c r="H12">
        <v>1</v>
      </c>
      <c r="I12">
        <v>3</v>
      </c>
      <c r="J12">
        <v>400</v>
      </c>
      <c r="K12" t="s">
        <v>566</v>
      </c>
      <c r="N12">
        <v>1</v>
      </c>
      <c r="O12" t="s">
        <v>1298</v>
      </c>
      <c r="P12">
        <v>41</v>
      </c>
      <c r="Q12">
        <v>25</v>
      </c>
      <c r="R12">
        <v>11</v>
      </c>
      <c r="S12">
        <v>0</v>
      </c>
      <c r="U12" t="s">
        <v>11</v>
      </c>
      <c r="V12">
        <v>5</v>
      </c>
      <c r="W12">
        <v>4</v>
      </c>
      <c r="X12">
        <v>20</v>
      </c>
      <c r="Z12" t="s">
        <v>621</v>
      </c>
      <c r="AA12" t="s">
        <v>818</v>
      </c>
      <c r="AK12" t="s">
        <v>488</v>
      </c>
      <c r="AR12" t="str">
        <f t="shared" si="0"/>
        <v/>
      </c>
      <c r="AS12" cm="1">
        <f t="array" ref="AS12">ROW()-ROW(Линии[#Headers])</f>
        <v>10</v>
      </c>
      <c r="AT12" t="str">
        <f t="shared" si="1"/>
        <v>ЩР-001</v>
      </c>
      <c r="AU12" t="str">
        <f t="shared" si="2"/>
        <v/>
      </c>
      <c r="AV12" t="str">
        <f t="shared" si="3"/>
        <v/>
      </c>
      <c r="AW12" t="str">
        <f t="shared" si="4"/>
        <v/>
      </c>
      <c r="AX12" t="str">
        <f t="shared" si="5"/>
        <v/>
      </c>
      <c r="AY12" t="str">
        <f>IF(D12="","",IF(ISERROR(SEARCH(".",D12)),IFERROR(VLOOKUP(D12,Потребители_обозначение,2,FALSE)&amp;"",""),IFERROR(IF(VLOOKUP(AT12,Потребители_обозначение,4,FALSE)=1,VLOOKUP(AT12,Потребители_обозначение,2,FALSE)&amp;" "&amp;VLOOKUP(AV12,Этаж_обозначение,2,FALSE)&amp;" Пом. №"&amp;AX12,VLOOKUP(AT12,Потребители_обозначение,2,FALSE)&amp;" Шлейф №"&amp;AV12),IFERROR(VLOOKUP(D12,Потребители_обозначение,2,FALSE),""))))</f>
        <v/>
      </c>
      <c r="AZ12" t="str">
        <f t="shared" si="6"/>
        <v>Щит распределительный ЩР-001 Подвальный этаж этаж Пом. №00.004Т</v>
      </c>
      <c r="BA12" t="str">
        <f>IF(F12&lt;&gt;"",F12,IF(AND(D12&lt;&gt;"",D12&lt;&gt;A12,ISNUMBER(_xlfn.XMATCH(D12,Щиты[Щит]))),D12,""))</f>
        <v>ЩР-001</v>
      </c>
      <c r="BB12">
        <f>IFERROR(_xlfn.XMATCH(A12,Щиты[Щит]),0)</f>
        <v>1</v>
      </c>
      <c r="BC12">
        <f>IFERROR(N(_xlfn.XLOOKUP(A12,Щиты[Щит],Щиты[Мест под вводной узел])),15)</f>
        <v>1</v>
      </c>
      <c r="BD12">
        <f t="shared" si="7"/>
        <v>24</v>
      </c>
      <c r="BE12" t="str">
        <f t="shared" si="8"/>
        <v>линии</v>
      </c>
      <c r="BF12">
        <f>IF(D12="","",IF(BA12&lt;&gt;"",IFERROR(_xlfn.XLOOKUP(BA12,Щиты[Щит],Щиты[Руст, кВт]),0),N(G12)))</f>
        <v>11.860000000000001</v>
      </c>
      <c r="BG12">
        <f>IF(J12&lt;&gt;"",J12,IF(D12="","",IFERROR(IF(VLOOKUP(AT12,Потребители_обозначение,8,FALSE)=0,"",VLOOKUP(AT12,Потребители_обозначение,8,FALSE)),"")))</f>
        <v>400</v>
      </c>
      <c r="BH12">
        <f>IF(I12&lt;&gt;"",I12,IF(D12="","",IFERROR(IF(VLOOKUP(AT12,Потребители_обозначение,9,FALSE)=0,"",VLOOKUP(AT12,Потребители_обозначение,9,FALSE)),"")))</f>
        <v>3</v>
      </c>
      <c r="BI12" t="str">
        <f>IF(U12&lt;&gt;"",U12,IF(D12="","",IFERROR(IF(VLOOKUP(AT12,Потребители_обозначение,6,FALSE)=0,"",VLOOKUP(AT12,Потребители_обозначение,6,FALSE)),"")))</f>
        <v>мс</v>
      </c>
      <c r="BJ12">
        <f>IF(V12&lt;&gt;"",V12,IF(D12="","",IFERROR(IF(VLOOKUP(AT12,Потребители_обозначение,7,FALSE)=0,"",VLOOKUP(AT12,Потребители_обозначение,7,FALSE)),"")))</f>
        <v>5</v>
      </c>
      <c r="BK12">
        <f>IF(W12&lt;&gt;"",W12,IF(D12="","",IFERROR(IF(VLOOKUP(AT12,Потребители_обозначение,10,FALSE)=0,"",VLOOKUP(AT12,Потребители_обозначение,10,FALSE)),"")))</f>
        <v>4</v>
      </c>
      <c r="BL12">
        <f>IFERROR(VLOOKUP(AT12,Потребители_обозначение,5,FALSE),0)</f>
        <v>0</v>
      </c>
      <c r="BM12" cm="1">
        <f t="array" ref="BM12">IF(D12="","",IF(BA12&lt;&gt;"",IFERROR(_xlfn.XLOOKUP(BA12,Щиты[Щит],Щиты[cos φ]),0.95),IF(ISNUMBER(M12),M12,IFERROR(IF(BL12=2,_xlfn.IFS(BH12=3,VLOOKUP(BF12,Справочная_двигатели,8,FALSE),BH12=1,VLOOKUP(BF12,Справочная_двигатели,10,TRUE)),IF(AND(Методика="нормы 2026",CN12="Сил"),0.8,0.95)),0.95))))</f>
        <v>0.94999999999999984</v>
      </c>
      <c r="BN12" cm="1">
        <f t="array" ref="BN12">IF(D12="","",IF(BA12&lt;&gt;"",IFERROR(_xlfn.XLOOKUP(BA12,Щиты[Щит],Щиты[Iр, А]),""),IFERROR(_xlfn.IFS(BH12=1,BF12/((Uн_лин/SQRT(3))*BM12),BH12=3,BF12/(SQRT(3)*Uн_лин*BM12)),"")))</f>
        <v>16.378863980838116</v>
      </c>
      <c r="BO12">
        <f>IF(D12="","",IF(N(X12)=0,IFERROR(VLOOKUP(BN12,Автомат_номиналы,2,TRUE),""),X12))</f>
        <v>20</v>
      </c>
      <c r="BP12">
        <f t="shared" si="9"/>
        <v>0.92</v>
      </c>
      <c r="BQ12">
        <f>IF(ISNUMBER(Y12),Y12,К_прокл)</f>
        <v>1</v>
      </c>
      <c r="BR12">
        <f t="shared" si="10"/>
        <v>3</v>
      </c>
      <c r="BS12" cm="1">
        <f t="array" ref="BS12">IF(D12="","",IF(N(BK12)&lt;&gt;0,BK12,IFERROR(_xlfn.LET(_xlpm.need,BO12/(BP12*BQ12),_xlpm.t,CHOOSE(BR12,Iдоп_1ж,Iдоп_2ж,Iдоп_3ж),_xlpm.k,_xlfn.XMATCH(_xlpm.need,_xlpm.t,1),IF(ISNA(_xlpm.k),"Не исп",INDEX(Iдоп_S,_xlpm.k))),"Не исп")))</f>
        <v>4</v>
      </c>
      <c r="BT12">
        <f>IFERROR(VLOOKUP(BS12,Кабель_сопротивление,3,FALSE),"")</f>
        <v>2.2499999999999999E-2</v>
      </c>
      <c r="BU12">
        <f>IFERROR(VLOOKUP(BS12,Кабель_сопротивление,2,FALSE),"")</f>
        <v>9.5000000000000001E-2</v>
      </c>
      <c r="BV12">
        <f t="shared" si="11"/>
        <v>41</v>
      </c>
      <c r="BW12">
        <f>IF(D12="","",IFERROR(IF(VLOOKUP(AT12,Потребители_обозначение,4,FALSE)=1,VLOOKUP(AT12,Потребители_обозначение,3,FALSE)*(H12*2-1)+BV12+VLOOKUP(AV12,Этаж_обозначение,3,FALSE)+VLOOKUP(AV12,Этаж_обозначение,4,FALSE),VLOOKUP(AT12,Потребители_обозначение,3,FALSE)*(H12*2-1)+BV12),BV12))</f>
        <v>41</v>
      </c>
      <c r="BX12">
        <f t="shared" si="12"/>
        <v>11</v>
      </c>
      <c r="BY12">
        <f t="shared" si="13"/>
        <v>0</v>
      </c>
      <c r="BZ12">
        <f t="shared" si="14"/>
        <v>1</v>
      </c>
      <c r="CA12">
        <f t="shared" si="15"/>
        <v>0.31</v>
      </c>
      <c r="CB12">
        <f t="shared" si="16"/>
        <v>3.608283389615413</v>
      </c>
      <c r="CC12">
        <f>IFERROR(ROUNDUP(CB12/((Uн_лин/SQRT(3))*1000)*100,2),"")</f>
        <v>1.57</v>
      </c>
      <c r="CD12">
        <f>IF(ISNUMBER(CC12),CC12+IFERROR(_xlfn.XLOOKUP(A12,Щиты[Щит],Щиты[ΔU до шин, %]),0),"")</f>
        <v>1.57</v>
      </c>
      <c r="CE12">
        <f>IF(D12="","",IF(IFERROR(VLOOKUP(AT12,УГО_спр,2,FALSE),"")="Светильник",3,4)+IF(Методика="нормы 2026",MIN(0.5,MAX(0,N(BW12)-100)*0.005),0))</f>
        <v>4</v>
      </c>
      <c r="CF12" t="str">
        <f>IFERROR(VLOOKUP(BI12,Кабель_обозначение,2,FALSE),"")</f>
        <v>ВВГнг(А)-LS</v>
      </c>
      <c r="CG12" t="str">
        <f>IFERROR(IF(VLOOKUP(BI12,Кабель_обозначение,3,FALSE)=1,CF12&amp;" ("&amp;BJ12&amp;"х"&amp;BS12&amp;")",CF12),"")</f>
        <v>ВВГнг(А)-LS (5х4)</v>
      </c>
      <c r="CH12" t="str">
        <f t="shared" si="17"/>
        <v>ВВГнг(А)-LS (5х4)
L=41-1,57%</v>
      </c>
      <c r="CI12">
        <f>IFERROR(2*ρкз_Cu*BW12/BS12,"")</f>
        <v>0.53915000000000002</v>
      </c>
      <c r="CJ12">
        <f t="shared" si="18"/>
        <v>0.17937500000000001</v>
      </c>
      <c r="CK12" t="str">
        <f>IFERROR(IF(OR(D12="",NOT(ISNUMBER(BS12)),N(BW12)=0),"",_xlfn.XLOOKUP(A12,Щиты[Щит],Щиты[Zпетли на шинах, Ом])+CI12),"")</f>
        <v/>
      </c>
      <c r="CL12" t="str">
        <f>IF(ISNUMBER(CK12),c_min*(Uн_лин*1000/SQRT(3))/CK12,"")</f>
        <v/>
      </c>
      <c r="CM12" t="str">
        <f>IFERROR(IF(OR(D12="",NOT(ISNUMBER(BS12))),"",1.05*(Uн_лин*1000/SQRT(3))/(_xlfn.XLOOKUP(A12,Щиты[Щит],Щиты[Zmax на шинах, Ом])+CJ12)/1000),"")</f>
        <v/>
      </c>
      <c r="CN12" t="str">
        <f>IF(D12="","",IF(BA12&lt;&gt;"","Щит",IF(K12&lt;&gt;"",K12,IF(ISNUMBER(L12),"Сил",IF(IFERROR(_xlfn.XLOOKUP(AT12,Коды_код,Коды_группа)&amp;"","")="","Быт",_xlfn.XLOOKUP(AT12,Коды_код,Коды_группа)&amp;"")))))</f>
        <v>Щит</v>
      </c>
      <c r="CO12" t="str">
        <f>IF(CN12="Щит","щит",IF(CN12="","",IF(CN12="Быт",IFERROR(_xlfn.XLOOKUP(A12,Щиты[Щит],Щиты[Кс быт]),1),IF(CN12="Сил",IF(ISNUMBER(L12),L12,IF(Методика="нормы 2026",IFERROR(_xlfn.XLOOKUP(A12,Щиты[Щит],Щиты[Кс силовых (табл. 7.5)]),1),1)),IF(OR(CN12="Пост",CN12="Отоп"),1,IF(CN12="ВНГ",0.7,0))))))</f>
        <v>щит</v>
      </c>
      <c r="CP12">
        <f t="shared" si="19"/>
        <v>1</v>
      </c>
      <c r="CQ12">
        <f t="shared" si="20"/>
        <v>0</v>
      </c>
      <c r="CR12">
        <f t="shared" si="21"/>
        <v>0</v>
      </c>
      <c r="CS12">
        <f t="shared" si="22"/>
        <v>0</v>
      </c>
      <c r="CT12">
        <f t="shared" si="23"/>
        <v>0</v>
      </c>
      <c r="CU12">
        <f t="shared" si="24"/>
        <v>0</v>
      </c>
      <c r="CV12">
        <f t="shared" si="25"/>
        <v>0</v>
      </c>
      <c r="CW12">
        <f t="shared" si="26"/>
        <v>0</v>
      </c>
      <c r="CX12">
        <f t="shared" si="27"/>
        <v>0</v>
      </c>
      <c r="CY12">
        <f t="shared" si="28"/>
        <v>2</v>
      </c>
      <c r="CZ12" t="str">
        <f t="shared" si="29"/>
        <v>L1,L2,L3</v>
      </c>
      <c r="DA12" cm="1">
        <f t="array" ref="DA12">IFERROR(IF(BL12=2,_xlfn.IFS(BH12=3,VLOOKUP(BF12,Справочная_двигатели,3,FALSE),BH12=1,VLOOKUP(BF12,Справочная_двигатели,5,TRUE)),0),0)</f>
        <v>0</v>
      </c>
      <c r="DB12">
        <f>IFERROR(IF(BL12=3,VLOOKUP(BF12,Справочная_ЛЭД,2,TRUE),0),0)</f>
        <v>0</v>
      </c>
      <c r="DC12">
        <f t="shared" si="30"/>
        <v>0</v>
      </c>
      <c r="DD12" t="str">
        <f t="shared" si="31"/>
        <v>L1,L2,L3</v>
      </c>
      <c r="DE12" t="str" cm="1">
        <f t="array" ref="DE12">IF(D12="","",IFERROR(INDEX({"I особая","I","II","III"},MATCH(TRIM(AA12&amp;""),{"I особая","I","II","III"},0)),"III"))</f>
        <v>II</v>
      </c>
      <c r="DF12" t="str">
        <f>IF(D12="","",IF(TRIM(AB12&amp;"")&lt;&gt;"",IF(LOWER(TRIM(AB12&amp;""))="да","да","нет"),IF(IFERROR(_xlfn.XLOOKUP(AT12,Коды_код,Коды_пожарная),"")="да","да","нет")))</f>
        <v>нет</v>
      </c>
      <c r="DG12" t="str">
        <f t="shared" si="32"/>
        <v/>
      </c>
      <c r="DH12" t="str">
        <f t="shared" si="33"/>
        <v>основная</v>
      </c>
      <c r="DI12">
        <f t="shared" si="34"/>
        <v>1</v>
      </c>
      <c r="DJ12" t="str" cm="1">
        <f t="array" ref="DJ12">IF(D12="","",_xlfn.LET(_xlpm.t,IFERROR(_xlfn.XLOOKUP(1,(Шины[Шина]=DH12)*(((Шины[Щит]=A12)+(Шины[Щит]=""))&gt;0),Шины[Тип]),"")&amp;"",IF(_xlpm.t&lt;&gt;"",_xlpm.t,IF(ISNUMBER(SEARCH("ИБП",DH12)),"ИБП",IF(ISNUMBER(SEARCH("ДГУ",DH12)),"ДГУ","Ввод "&amp;DI12)))))</f>
        <v>Ввод 1</v>
      </c>
      <c r="DK12" t="str">
        <f t="shared" si="35"/>
        <v>Ввод 1</v>
      </c>
      <c r="DL12" t="str">
        <f>IF(D12="","",IF(OR(DJ12="ИБП",DJ12="ДГУ"),"I особая",IF(DJ12="Одиночная","III",_xlfn.XLOOKUP(A12,Щиты[Щит],Щиты[Категория шины «Ввод»],"III"))))</f>
        <v>I</v>
      </c>
      <c r="DM12">
        <f>IF(D12="",0,IFERROR(MATCH(DE12,{"III","II","I","I особая"},0),1))</f>
        <v>2</v>
      </c>
      <c r="DN12">
        <f t="shared" si="36"/>
        <v>2</v>
      </c>
      <c r="DO12" t="str">
        <f>IF(D12="","",IF(DM12&gt;IFERROR(MATCH(DL12,{"III","II","I","I особая"},0),1),"НЕ ОБЕСПЕЧЕНА","ОК"))</f>
        <v>ОК</v>
      </c>
      <c r="DP12" t="str">
        <f>IF(A12="","",_xlfn.XLOOKUP(A12,Щиты[Щит],Щиты[Путь],""))</f>
        <v>|ГРЩ-ЖД|</v>
      </c>
      <c r="DQ12" t="str">
        <f>IF(D12="","",IF(Z12&lt;&gt;"",Z12,IF(IFERROR(_xlfn.XLOOKUP(AT12,Коды_код,Коды_вид)&amp;"","")="","Прочее",_xlfn.XLOOKUP(AT12,Коды_код,Коды_вид)&amp;"")))</f>
        <v>Распределительные щиты жилой части</v>
      </c>
      <c r="DR12">
        <f>IF(BD12="","",INT((BD12-1)/Столбцов_на_лист)+1)</f>
        <v>2</v>
      </c>
      <c r="DS12" t="str">
        <f t="shared" si="37"/>
        <v>ВВГнг(А)-LS (5х4) L=41-1,57%</v>
      </c>
      <c r="DT12">
        <f t="shared" si="38"/>
        <v>11.860000000000001</v>
      </c>
      <c r="DU12">
        <f t="shared" si="39"/>
        <v>16.380000000000003</v>
      </c>
      <c r="DV12">
        <f t="shared" si="40"/>
        <v>3</v>
      </c>
      <c r="DW12">
        <f>IF(AT12="",0,_xlfn.LET(_xlpm.v,IFERROR(VLOOKUP(D12,УГО_спр,3,FALSE),IFERROR(VLOOKUP(AT12,УГО_спр,3,FALSE),IFERROR(VLOOKUP(LEFT(AT12,2),УГО_спр,3,FALSE),""))),IF(_xlpm.v="да",30,IF(ISNUMBER(_xlpm.v),_xlpm.v,0))))</f>
        <v>0</v>
      </c>
      <c r="DX12">
        <f t="shared" si="41"/>
        <v>0</v>
      </c>
      <c r="DY12" t="str">
        <f>IF(BD12="","",IF(AD12&lt;&gt;"",COUNTIFS(A$3:A12,A12,AD$3:AD12,"?*"),IF(OR(OR(AS12=1,A12&lt;&gt;A11),AL12="вручную"),"",IF(AS12=1,"",DZ11))))</f>
        <v/>
      </c>
      <c r="DZ12" t="str">
        <f t="shared" si="42"/>
        <v/>
      </c>
      <c r="EA12">
        <f>IF(D12="",0,MAX(IFERROR(--X12,0),IFERROR(--VLOOKUP(D12,УГО_спр,4,FALSE),IFERROR(--VLOOKUP(AT12,УГО_спр,4,FALSE),IFERROR(--VLOOKUP(LEFT(AT12,2),УГО_спр,4,FALSE),0)))))</f>
        <v>20</v>
      </c>
      <c r="EB12">
        <f>IF(D12="","",IFERROR(LOOKUP(INDEX(CHOOSE(BR12,Iдоп_1ж,Iдоп_2ж,Iдоп_3ж),MATCH(BS12,Iдоп_S,0))*BP12*BQ12,{6,10,16,20,25,32,40,50,63,80,100,125,160,200,250,315,400,500,630}),""))</f>
        <v>32</v>
      </c>
      <c r="EC12" t="str">
        <f>IF(AD12="","",SUMIFS(Линии[_Ток схемы],Линии[_гр.],DY12,Линии[Щит],A12,Линии[_в кабель выше],0))</f>
        <v/>
      </c>
      <c r="ED12" t="str">
        <f>IF(AD12="","",IFERROR(VLOOKUP(EC12,Автомат_номиналы,2,TRUE),""))</f>
        <v/>
      </c>
      <c r="EE12" t="str">
        <f>IF(AD12="","",MAX(N(ED12),_xlfn.MAXIFS(Линии[_мин. по типу],Линии[_гр.],DY12,Линии[Щит],A12)))</f>
        <v/>
      </c>
      <c r="EF12" t="str">
        <f>IF(AD12="","",_xlfn.MINIFS(Линии[_макс. автомат по кабелю],Линии[_гр.],DY12,Линии[Щит],A12))</f>
        <v/>
      </c>
      <c r="EG12" t="str">
        <f>IF(AD12="","",MAX(1,_xlfn.MAXIFS(Линии[_фаз],Линии[_гр.],DY12,Линии[Щит],A12)))</f>
        <v/>
      </c>
      <c r="EH12" t="str">
        <f>IF(AD12="","",IF(AND(AD12&lt;&gt;"авто",AD12&lt;&gt;"+"),IF(ISNUMBER(SEARCH("мА",AD12)),IFERROR(--TRIM(RIGHT(SUBSTITUTE(LEFT(AD12,SEARCH("мА",AD12)-1)," ",REPT(" ",9)),6)),30),0),IF(AE12="нет",0,IF(ISNUMBER(AE12),AE12,IF(AE12="да",30,_xlfn.MINIFS(Линии[_дифзащита по коду, мА],Линии[_гр.],DY12,Линии[Щит],A12,Линии[_дифзащита по коду, мА],"&gt;0"))))))</f>
        <v/>
      </c>
      <c r="EI12" t="str">
        <f t="shared" si="43"/>
        <v/>
      </c>
      <c r="EJ12" t="str">
        <f t="shared" si="44"/>
        <v/>
      </c>
      <c r="EK12" t="str">
        <f t="shared" si="45"/>
        <v/>
      </c>
      <c r="EL12" t="str">
        <f t="shared" si="46"/>
        <v/>
      </c>
      <c r="EM12">
        <f t="shared" si="47"/>
        <v>0</v>
      </c>
      <c r="EN12" t="str">
        <f>IF(AD12="","",IF(EM12=1,MAX(EE12,Мин_автомат_БП),EE12))</f>
        <v/>
      </c>
      <c r="EO12" t="str">
        <f t="shared" si="48"/>
        <v/>
      </c>
      <c r="EP12" t="str">
        <f t="shared" si="49"/>
        <v/>
      </c>
      <c r="EQ12" t="str">
        <f t="shared" si="50"/>
        <v/>
      </c>
      <c r="ER12" t="str">
        <f>IF(OR(AI12="",AI12="-"),"",IFERROR(VLOOKUP(AI12,Модули_спр,2,FALSE),"R"))</f>
        <v/>
      </c>
      <c r="ES12" t="str">
        <f>IF(ER12="","",ER12&amp;"."&amp;COUNTIFS(A$3:A12,A12,ER$3:ER12,ER12))</f>
        <v/>
      </c>
      <c r="ET12" t="str">
        <f t="shared" si="51"/>
        <v/>
      </c>
      <c r="EU12" t="str">
        <f t="shared" si="52"/>
        <v/>
      </c>
      <c r="EV12" t="str">
        <f t="shared" si="53"/>
        <v/>
      </c>
      <c r="EW12" t="str">
        <f t="shared" si="54"/>
        <v/>
      </c>
      <c r="EX12">
        <f t="shared" si="55"/>
        <v>1</v>
      </c>
      <c r="EY12" t="str">
        <f>IF(AK12="нет","",IF(AK12&lt;&gt;"",AK12,IF(EX12=1,"XT"&amp;COUNTIFS(A$3:A12,A12,EX$3:EX12,1),"")))</f>
        <v/>
      </c>
      <c r="EZ12" t="str">
        <f t="shared" si="56"/>
        <v/>
      </c>
      <c r="FA12" t="str">
        <f t="shared" si="57"/>
        <v/>
      </c>
      <c r="FB12" t="str">
        <f t="shared" si="58"/>
        <v/>
      </c>
      <c r="FC12" t="str">
        <f>IF(OR(EV12="",ET12=""),"",IF(EV12&gt;IFERROR(VLOOKUP(EU12,Модули_спр,3,FALSE),99),"ЛИШНИЙ КАНАЛ",IF(AND(AJ12&lt;&gt;"=",COUNTIFS(Линии[_модуль гр.],ET12,Линии[Канал (итог)],EV12,Линии[Канал],"&lt;&gt;=",Линии[Щит],A12)&gt;1),"ДУБЛЬ КАНАЛА","")))</f>
        <v/>
      </c>
      <c r="FD12" t="str">
        <f t="shared" si="59"/>
        <v/>
      </c>
      <c r="FE12" t="str">
        <f t="shared" si="60"/>
        <v/>
      </c>
      <c r="FF12" t="str">
        <f t="shared" si="61"/>
        <v/>
      </c>
      <c r="FG12" t="str">
        <f t="shared" si="62"/>
        <v/>
      </c>
      <c r="FH12" t="str">
        <f t="shared" si="63"/>
        <v/>
      </c>
      <c r="FI12">
        <f t="shared" si="64"/>
        <v>10</v>
      </c>
      <c r="FJ12" t="str">
        <f t="shared" si="65"/>
        <v/>
      </c>
      <c r="FK12" t="str">
        <f>IF(AND(D12="",EZ12=""),"",_xlfn.TEXTJOIN("; ",TRUE,IF(AND(D12&lt;&gt;"",DD12=""),"нет фазы",""),IF(AND(D12&lt;&gt;"",N(DT12)=0,CN12&lt;&gt;"Нет"),"нет мощности",""),IF(AND(EY12&lt;&gt;"",COUNTIFS(Линии[Щит],A12,Линии[Клемма (итог)],EY12)&gt;1),"дубль клеммы "&amp;EY12,""),IF(AND(FB12&lt;&gt;"",FB12&lt;&gt;"ok"),FB12,""),IF(FC12&lt;&gt;"",FC12,""),IF(AND(ISNUMBER(SEARCH("(5х",DS12)),N(DV12)=1),"5 жил на 1 фазе",""),IF(AND(AT12="R",AD12&lt;&gt;"",OR(N(EH12)=0,N(EH12)&gt;30)),"розетка без дифзащиты до 30 мА",""),IFERROR(IF(AND(ISNUMBER(CD12),CD12&gt;CE12),"потери "&amp;FIXED(CD12,1)&amp;" % &gt; "&amp;CE12&amp;" %",""),""),IFERROR(IF(LEFT(FJ12,4)="мало","Iкз мало — отключение &gt; 0,4 с",""),""),IF(AND(D12&lt;&gt;"",BD12=""),"не на схеме","")))</f>
        <v/>
      </c>
      <c r="FL12" t="str">
        <f>IF(AD12="","",_xlfn.LET(_xlpm.t,IFERROR(_xlfn.XLOOKUP(EP12,Каталог!$U$4:$U$500,Каталог!$G$4:$G$500),""),_xlpm.k,SEARCH("кА",_xlpm.t),IFERROR(--TRIM(RIGHT(SUBSTITUTE(MID(_xlpm.t,MAX(1,_xlpm.k-4),_xlpm.k-MAX(1,_xlpm.k-4))," ",REPT(" ",9)),5)),"")))</f>
        <v/>
      </c>
      <c r="FM12" t="str">
        <f>IF(OR(FL12="",AD12=""),"",IF(_xlfn.XLOOKUP(A12,Щиты[Щит],Щиты[Iкз max на шинах, кА],"")="","",IF(FL12&lt;_xlfn.XLOOKUP(A12,Щиты[Щит],Щиты[Iкз max на шинах, кА]),"Icu "&amp;FL12&amp;" кА &lt; Iкз max","ok")))</f>
        <v/>
      </c>
      <c r="FN12" t="str">
        <f t="shared" si="66"/>
        <v/>
      </c>
      <c r="FO12" t="str">
        <f t="shared" si="67"/>
        <v/>
      </c>
      <c r="FP12" t="str" cm="1">
        <f t="array" ref="FP12">IF(FO12="","",_xlfn.LET(_xlpm.nd,_xlfn.TEXTSPLIT(FO12,"|"),IF(COLUMNS(_xlpm.nd)&gt;1,A12&amp;"¦"&amp;INDEX(_xlpm.nd,1)&amp;"¦"&amp;INDEX(_xlpm.nd,2),"")))</f>
        <v/>
      </c>
      <c r="FQ12" t="str">
        <f t="shared" si="68"/>
        <v/>
      </c>
      <c r="FR12" t="str" cm="1">
        <f t="array" ref="FR12">IF(FO12="","",_xlfn.LET(_xlpm.nd,_xlfn.TEXTSPLIT(FO12,"|"),IF(COLUMNS(_xlpm.nd)&gt;2,A12&amp;"¦"&amp;INDEX(_xlpm.nd,2)&amp;"¦"&amp;INDEX(_xlpm.nd,3),"")))</f>
        <v/>
      </c>
      <c r="FS12" t="str">
        <f t="shared" si="69"/>
        <v/>
      </c>
      <c r="FT12" t="str" cm="1">
        <f t="array" ref="FT12">IF(FO12="","",_xlfn.LET(_xlpm.nd,_xlfn.TEXTSPLIT(FO12,"|"),IF(COLUMNS(_xlpm.nd)&gt;3,A12&amp;"¦"&amp;INDEX(_xlpm.nd,3)&amp;"¦"&amp;INDEX(_xlpm.nd,4),"")))</f>
        <v/>
      </c>
      <c r="FU12" t="str">
        <f t="shared" si="70"/>
        <v/>
      </c>
      <c r="FV12" t="str" cm="1">
        <f t="array" ref="FV12">IF(FO12="","",_xlfn.LET(_xlpm.nd,_xlfn.TEXTSPLIT(FO12,"|"),IF(COLUMNS(_xlpm.nd)&gt;4,A12&amp;"¦"&amp;INDEX(_xlpm.nd,4)&amp;"¦"&amp;INDEX(_xlpm.nd,5),"")))</f>
        <v/>
      </c>
      <c r="FW12" t="str">
        <f t="shared" si="71"/>
        <v/>
      </c>
      <c r="FX12" t="str" cm="1">
        <f t="array" ref="FX12">IF(FO12="","",_xlfn.LET(_xlpm.nd,_xlfn.TEXTSPLIT(FO12,"|"),IF(COLUMNS(_xlpm.nd)&gt;5,A12&amp;"¦"&amp;INDEX(_xlpm.nd,5)&amp;"¦"&amp;INDEX(_xlpm.nd,6),"")))</f>
        <v/>
      </c>
      <c r="FY12" t="str">
        <f t="shared" si="72"/>
        <v/>
      </c>
      <c r="FZ12" t="str" cm="1">
        <f t="array" ref="FZ12">IF(FO12="","",_xlfn.LET(_xlpm.nd,_xlfn.TEXTSPLIT(FO12,"|"),IF(COLUMNS(_xlpm.nd)&gt;6,A12&amp;"¦"&amp;INDEX(_xlpm.nd,6)&amp;"¦"&amp;INDEX(_xlpm.nd,7),"")))</f>
        <v/>
      </c>
      <c r="GA12" t="str">
        <f t="shared" si="73"/>
        <v/>
      </c>
      <c r="GB12" t="str">
        <f t="shared" si="74"/>
        <v/>
      </c>
      <c r="GC12" t="str">
        <f t="shared" si="75"/>
        <v/>
      </c>
      <c r="GD12">
        <f t="shared" si="76"/>
        <v>1</v>
      </c>
      <c r="GE12">
        <f t="shared" si="77"/>
        <v>0</v>
      </c>
      <c r="GF12">
        <f t="shared" si="78"/>
        <v>0</v>
      </c>
      <c r="GG12" t="str">
        <f t="shared" si="79"/>
        <v/>
      </c>
      <c r="GH12" t="str">
        <f t="shared" si="80"/>
        <v/>
      </c>
      <c r="GI12" t="str">
        <f t="shared" si="81"/>
        <v/>
      </c>
      <c r="GJ12" t="str">
        <f t="shared" si="82"/>
        <v/>
      </c>
      <c r="GK12">
        <f>IF(D12="","",IFERROR(VLOOKUP(D12,УГО_спр,2,FALSE),IFERROR(VLOOKUP(AT12,УГО_спр,2,FALSE),IFERROR(VLOOKUP(LEFT(AT12,2),УГО_спр,2,FALSE),""))))</f>
        <v>0</v>
      </c>
      <c r="GL12" t="str">
        <f>IF(D12="","",IF(OR(GK12="",GK12=0),"BOX",IFERROR(IF(VLOOKUP(GK12,УГО_блоки,3,FALSE)&amp;""&lt;&gt;"",VLOOKUP(GK12,УГО_блоки,3,FALSE),VLOOKUP(GK12,УГО_блоки,2,FALSE)),GK12)))</f>
        <v>BOX</v>
      </c>
      <c r="GM12">
        <f t="shared" si="83"/>
        <v>1</v>
      </c>
      <c r="GN12" t="str">
        <f>IF(EP12="","",IF(COUNTIF(EP$3:EP12,EP12)=1,MAX(GN$2:GN11)+1,""))</f>
        <v/>
      </c>
      <c r="GO12" t="str">
        <f>IF(AF12="","",IF(COUNTIF(AF$3:AF12,AF12)+COUNTIF(AG$2:AG11,AF12)+COUNTIF(AH$2:AH11,AF12)=1,MAX(GO$2:GQ11)+1,""))</f>
        <v/>
      </c>
      <c r="GP12" t="str">
        <f>IF(AG12="","",IF(COUNTIF(AF$3:AF12,AG12)+COUNTIF(AG$3:AG12,AG12)+COUNTIF(AH$2:AH11,AG12)=1,MAX(GO$2:GQ11,GO12)+1,""))</f>
        <v/>
      </c>
      <c r="GQ12" t="str">
        <f>IF(AH12="","",IF(COUNTIF(AF$3:AF12,AH12)+COUNTIF(AG$3:AG12,AH12)+COUNTIF(AH$3:AH12,AH12)=1,MAX(GO$2:GQ11,GO12,GP12)+1,""))</f>
        <v/>
      </c>
      <c r="GR12" t="str">
        <f t="shared" si="84"/>
        <v>5х4</v>
      </c>
      <c r="GS12" t="str">
        <f>IF(GR12="","",IF(COUNTIF(GR$3:GR12,GR12)=1,MAX(GS$2:GS11)+1,""))</f>
        <v/>
      </c>
      <c r="GT12" t="str">
        <f>IF(ES12="","",COUNTIF(ES$3:ES12,"?*"))</f>
        <v/>
      </c>
      <c r="GU12" t="str">
        <f>IF(OR(ES12="",EU12=""),"",IF(COUNTIFS(ES$3:ES12,"?*",EU$3:EU12,EU12)=1,MAX(GU$2:GU11)+1,""))</f>
        <v/>
      </c>
      <c r="GV12">
        <f t="shared" si="85"/>
        <v>0</v>
      </c>
      <c r="GW12">
        <f>IF(D12="","",COUNTIF(D$3:D12,"?*"))</f>
        <v>10</v>
      </c>
      <c r="GX12">
        <f>IF(EX12&lt;&gt;1,0,_xlfn.LET(_xlpm.k,MAX(IFERROR(--VLOOKUP(D12,УГО_спр,5,FALSE),0),IFERROR(--VLOOKUP(AT12,УГО_спр,5,FALSE),0),IFERROR(--VLOOKUP(LEFT(AT12,2),УГО_спр,5,FALSE),0)),IF(_xlpm.k&gt;0,_xlpm.k,IF(IFERROR(--LEFT(SUBSTITUTE(GR12,"x","х"),FIND("х",SUBSTITUTE(GR12,"x","х"))-1),3)&gt;3,Каталог!$S$9,1))))</f>
        <v>1</v>
      </c>
      <c r="GY12">
        <f t="shared" si="86"/>
        <v>2</v>
      </c>
    </row>
    <row r="13" spans="1:207" x14ac:dyDescent="0.3">
      <c r="A13" t="s">
        <v>788</v>
      </c>
      <c r="B13">
        <v>25</v>
      </c>
      <c r="C13" t="str">
        <f>IF(BD13="","",IF(BE13="вводной узел","узел ","")&amp;"л."&amp;(INT((BD13-1)/Столбцов_на_лист)+1)&amp;" / "&amp;(MOD(BD13-1,Столбцов_на_лист)+1))</f>
        <v>л.2 / 8</v>
      </c>
      <c r="D13" t="s">
        <v>760</v>
      </c>
      <c r="E13" s="133" t="s">
        <v>759</v>
      </c>
      <c r="G13">
        <v>24.41</v>
      </c>
      <c r="H13">
        <v>1</v>
      </c>
      <c r="I13">
        <v>3</v>
      </c>
      <c r="J13">
        <v>400</v>
      </c>
      <c r="K13" t="s">
        <v>566</v>
      </c>
      <c r="N13">
        <v>1</v>
      </c>
      <c r="O13" t="s">
        <v>1298</v>
      </c>
      <c r="P13">
        <v>14</v>
      </c>
      <c r="Q13">
        <v>0</v>
      </c>
      <c r="R13">
        <v>14</v>
      </c>
      <c r="S13">
        <v>0</v>
      </c>
      <c r="U13" t="s">
        <v>11</v>
      </c>
      <c r="V13">
        <v>5</v>
      </c>
      <c r="W13">
        <v>10</v>
      </c>
      <c r="X13">
        <v>40</v>
      </c>
      <c r="Z13" t="s">
        <v>621</v>
      </c>
      <c r="AA13" t="s">
        <v>818</v>
      </c>
      <c r="AK13" t="s">
        <v>488</v>
      </c>
      <c r="AR13" t="str">
        <f t="shared" si="0"/>
        <v/>
      </c>
      <c r="AS13" cm="1">
        <f t="array" ref="AS13">ROW()-ROW(Линии[#Headers])</f>
        <v>11</v>
      </c>
      <c r="AT13" t="str">
        <f t="shared" si="1"/>
        <v>ЩР-01</v>
      </c>
      <c r="AU13" t="str">
        <f t="shared" si="2"/>
        <v/>
      </c>
      <c r="AV13" t="str">
        <f t="shared" si="3"/>
        <v/>
      </c>
      <c r="AW13" t="str">
        <f t="shared" si="4"/>
        <v/>
      </c>
      <c r="AX13" t="str">
        <f t="shared" si="5"/>
        <v/>
      </c>
      <c r="AY13" t="str">
        <f>IF(D13="","",IF(ISERROR(SEARCH(".",D13)),IFERROR(VLOOKUP(D13,Потребители_обозначение,2,FALSE)&amp;"",""),IFERROR(IF(VLOOKUP(AT13,Потребители_обозначение,4,FALSE)=1,VLOOKUP(AT13,Потребители_обозначение,2,FALSE)&amp;" "&amp;VLOOKUP(AV13,Этаж_обозначение,2,FALSE)&amp;" Пом. №"&amp;AX13,VLOOKUP(AT13,Потребители_обозначение,2,FALSE)&amp;" Шлейф №"&amp;AV13),IFERROR(VLOOKUP(D13,Потребители_обозначение,2,FALSE),""))))</f>
        <v/>
      </c>
      <c r="AZ13" t="str">
        <f t="shared" si="6"/>
        <v>Щит распределительный ЩР-01 Цокольный этаж этаж Пом. №0.001Т</v>
      </c>
      <c r="BA13" t="str">
        <f>IF(F13&lt;&gt;"",F13,IF(AND(D13&lt;&gt;"",D13&lt;&gt;A13,ISNUMBER(_xlfn.XMATCH(D13,Щиты[Щит]))),D13,""))</f>
        <v>ЩР-01</v>
      </c>
      <c r="BB13">
        <f>IFERROR(_xlfn.XMATCH(A13,Щиты[Щит]),0)</f>
        <v>1</v>
      </c>
      <c r="BC13">
        <f>IFERROR(N(_xlfn.XLOOKUP(A13,Щиты[Щит],Щиты[Мест под вводной узел])),15)</f>
        <v>1</v>
      </c>
      <c r="BD13">
        <f t="shared" si="7"/>
        <v>25</v>
      </c>
      <c r="BE13" t="str">
        <f t="shared" si="8"/>
        <v>линии</v>
      </c>
      <c r="BF13">
        <f>IF(D13="","",IF(BA13&lt;&gt;"",IFERROR(_xlfn.XLOOKUP(BA13,Щиты[Щит],Щиты[Руст, кВт]),0),N(G13)))</f>
        <v>24.405000000000005</v>
      </c>
      <c r="BG13">
        <f>IF(J13&lt;&gt;"",J13,IF(D13="","",IFERROR(IF(VLOOKUP(AT13,Потребители_обозначение,8,FALSE)=0,"",VLOOKUP(AT13,Потребители_обозначение,8,FALSE)),"")))</f>
        <v>400</v>
      </c>
      <c r="BH13">
        <f>IF(I13&lt;&gt;"",I13,IF(D13="","",IFERROR(IF(VLOOKUP(AT13,Потребители_обозначение,9,FALSE)=0,"",VLOOKUP(AT13,Потребители_обозначение,9,FALSE)),"")))</f>
        <v>3</v>
      </c>
      <c r="BI13" t="str">
        <f>IF(U13&lt;&gt;"",U13,IF(D13="","",IFERROR(IF(VLOOKUP(AT13,Потребители_обозначение,6,FALSE)=0,"",VLOOKUP(AT13,Потребители_обозначение,6,FALSE)),"")))</f>
        <v>мс</v>
      </c>
      <c r="BJ13">
        <f>IF(V13&lt;&gt;"",V13,IF(D13="","",IFERROR(IF(VLOOKUP(AT13,Потребители_обозначение,7,FALSE)=0,"",VLOOKUP(AT13,Потребители_обозначение,7,FALSE)),"")))</f>
        <v>5</v>
      </c>
      <c r="BK13">
        <f>IF(W13&lt;&gt;"",W13,IF(D13="","",IFERROR(IF(VLOOKUP(AT13,Потребители_обозначение,10,FALSE)=0,"",VLOOKUP(AT13,Потребители_обозначение,10,FALSE)),"")))</f>
        <v>10</v>
      </c>
      <c r="BL13">
        <f>IFERROR(VLOOKUP(AT13,Потребители_обозначение,5,FALSE),0)</f>
        <v>0</v>
      </c>
      <c r="BM13" cm="1">
        <f t="array" ref="BM13">IF(D13="","",IF(BA13&lt;&gt;"",IFERROR(_xlfn.XLOOKUP(BA13,Щиты[Щит],Щиты[cos φ]),0.95),IF(ISNUMBER(M13),M13,IFERROR(IF(BL13=2,_xlfn.IFS(BH13=3,VLOOKUP(BF13,Справочная_двигатели,8,FALSE),BH13=1,VLOOKUP(BF13,Справочная_двигатели,10,TRUE)),IF(AND(Методика="нормы 2026",CN13="Сил"),0.8,0.95)),0.95))))</f>
        <v>0.95000000000000018</v>
      </c>
      <c r="BN13" cm="1">
        <f t="array" ref="BN13">IF(D13="","",IF(BA13&lt;&gt;"",IFERROR(_xlfn.XLOOKUP(BA13,Щиты[Щит],Щиты[Iр, А]),""),IFERROR(_xlfn.IFS(BH13=1,BF13/((Uн_лин/SQRT(3))*BM13),BH13=3,BF13/(SQRT(3)*Uн_лин*BM13)),"")))</f>
        <v>32.798575666043085</v>
      </c>
      <c r="BO13">
        <f>IF(D13="","",IF(N(X13)=0,IFERROR(VLOOKUP(BN13,Автомат_номиналы,2,TRUE),""),X13))</f>
        <v>40</v>
      </c>
      <c r="BP13">
        <f t="shared" si="9"/>
        <v>0.92</v>
      </c>
      <c r="BQ13">
        <f>IF(ISNUMBER(Y13),Y13,К_прокл)</f>
        <v>1</v>
      </c>
      <c r="BR13">
        <f t="shared" si="10"/>
        <v>3</v>
      </c>
      <c r="BS13" cm="1">
        <f t="array" ref="BS13">IF(D13="","",IF(N(BK13)&lt;&gt;0,BK13,IFERROR(_xlfn.LET(_xlpm.need,BO13/(BP13*BQ13),_xlpm.t,CHOOSE(BR13,Iдоп_1ж,Iдоп_2ж,Iдоп_3ж),_xlpm.k,_xlfn.XMATCH(_xlpm.need,_xlpm.t,1),IF(ISNA(_xlpm.k),"Не исп",INDEX(Iдоп_S,_xlpm.k))),"Не исп")))</f>
        <v>10</v>
      </c>
      <c r="BT13">
        <f>IFERROR(VLOOKUP(BS13,Кабель_сопротивление,3,FALSE),"")</f>
        <v>2.2499999999999999E-2</v>
      </c>
      <c r="BU13">
        <f>IFERROR(VLOOKUP(BS13,Кабель_сопротивление,2,FALSE),"")</f>
        <v>7.2999999999999995E-2</v>
      </c>
      <c r="BV13">
        <f t="shared" si="11"/>
        <v>14</v>
      </c>
      <c r="BW13">
        <f>IF(D13="","",IFERROR(IF(VLOOKUP(AT13,Потребители_обозначение,4,FALSE)=1,VLOOKUP(AT13,Потребители_обозначение,3,FALSE)*(H13*2-1)+BV13+VLOOKUP(AV13,Этаж_обозначение,3,FALSE)+VLOOKUP(AV13,Этаж_обозначение,4,FALSE),VLOOKUP(AT13,Потребители_обозначение,3,FALSE)*(H13*2-1)+BV13),BV13))</f>
        <v>14</v>
      </c>
      <c r="BX13">
        <f t="shared" si="12"/>
        <v>14</v>
      </c>
      <c r="BY13">
        <f t="shared" si="13"/>
        <v>0</v>
      </c>
      <c r="BZ13">
        <f t="shared" si="14"/>
        <v>1</v>
      </c>
      <c r="CA13">
        <f t="shared" si="15"/>
        <v>0.31</v>
      </c>
      <c r="CB13">
        <f t="shared" si="16"/>
        <v>0.99188862154885526</v>
      </c>
      <c r="CC13">
        <f>IFERROR(ROUNDUP(CB13/((Uн_лин/SQRT(3))*1000)*100,2),"")</f>
        <v>0.43</v>
      </c>
      <c r="CD13">
        <f>IF(ISNUMBER(CC13),CC13+IFERROR(_xlfn.XLOOKUP(A13,Щиты[Щит],Щиты[ΔU до шин, %]),0),"")</f>
        <v>0.43</v>
      </c>
      <c r="CE13">
        <f>IF(D13="","",IF(IFERROR(VLOOKUP(AT13,УГО_спр,2,FALSE),"")="Светильник",3,4)+IF(Методика="нормы 2026",MIN(0.5,MAX(0,N(BW13)-100)*0.005),0))</f>
        <v>4</v>
      </c>
      <c r="CF13" t="str">
        <f>IFERROR(VLOOKUP(BI13,Кабель_обозначение,2,FALSE),"")</f>
        <v>ВВГнг(А)-LS</v>
      </c>
      <c r="CG13" t="str">
        <f>IFERROR(IF(VLOOKUP(BI13,Кабель_обозначение,3,FALSE)=1,CF13&amp;" ("&amp;BJ13&amp;"х"&amp;BS13&amp;")",CF13),"")</f>
        <v>ВВГнг(А)-LS (5х10)</v>
      </c>
      <c r="CH13" t="str">
        <f t="shared" si="17"/>
        <v>ВВГнг(А)-LS (5х10)
L=14-0,43%</v>
      </c>
      <c r="CI13">
        <f>IFERROR(2*ρкз_Cu*BW13/BS13,"")</f>
        <v>7.3640000000000011E-2</v>
      </c>
      <c r="CJ13">
        <f t="shared" si="18"/>
        <v>2.4500000000000001E-2</v>
      </c>
      <c r="CK13" t="str">
        <f>IFERROR(IF(OR(D13="",NOT(ISNUMBER(BS13)),N(BW13)=0),"",_xlfn.XLOOKUP(A13,Щиты[Щит],Щиты[Zпетли на шинах, Ом])+CI13),"")</f>
        <v/>
      </c>
      <c r="CL13" t="str">
        <f>IF(ISNUMBER(CK13),c_min*(Uн_лин*1000/SQRT(3))/CK13,"")</f>
        <v/>
      </c>
      <c r="CM13" t="str">
        <f>IFERROR(IF(OR(D13="",NOT(ISNUMBER(BS13))),"",1.05*(Uн_лин*1000/SQRT(3))/(_xlfn.XLOOKUP(A13,Щиты[Щит],Щиты[Zmax на шинах, Ом])+CJ13)/1000),"")</f>
        <v/>
      </c>
      <c r="CN13" t="str">
        <f>IF(D13="","",IF(BA13&lt;&gt;"","Щит",IF(K13&lt;&gt;"",K13,IF(ISNUMBER(L13),"Сил",IF(IFERROR(_xlfn.XLOOKUP(AT13,Коды_код,Коды_группа)&amp;"","")="","Быт",_xlfn.XLOOKUP(AT13,Коды_код,Коды_группа)&amp;"")))))</f>
        <v>Щит</v>
      </c>
      <c r="CO13" t="str">
        <f>IF(CN13="Щит","щит",IF(CN13="","",IF(CN13="Быт",IFERROR(_xlfn.XLOOKUP(A13,Щиты[Щит],Щиты[Кс быт]),1),IF(CN13="Сил",IF(ISNUMBER(L13),L13,IF(Методика="нормы 2026",IFERROR(_xlfn.XLOOKUP(A13,Щиты[Щит],Щиты[Кс силовых (табл. 7.5)]),1),1)),IF(OR(CN13="Пост",CN13="Отоп"),1,IF(CN13="ВНГ",0.7,0))))))</f>
        <v>щит</v>
      </c>
      <c r="CP13">
        <f t="shared" si="19"/>
        <v>1</v>
      </c>
      <c r="CQ13">
        <f t="shared" si="20"/>
        <v>0</v>
      </c>
      <c r="CR13">
        <f t="shared" si="21"/>
        <v>0</v>
      </c>
      <c r="CS13">
        <f t="shared" si="22"/>
        <v>0</v>
      </c>
      <c r="CT13">
        <f t="shared" si="23"/>
        <v>0</v>
      </c>
      <c r="CU13">
        <f t="shared" si="24"/>
        <v>0</v>
      </c>
      <c r="CV13">
        <f t="shared" si="25"/>
        <v>0</v>
      </c>
      <c r="CW13">
        <f t="shared" si="26"/>
        <v>0</v>
      </c>
      <c r="CX13">
        <f t="shared" si="27"/>
        <v>0</v>
      </c>
      <c r="CY13">
        <f t="shared" si="28"/>
        <v>2</v>
      </c>
      <c r="CZ13" t="str">
        <f t="shared" si="29"/>
        <v>L1,L2,L3</v>
      </c>
      <c r="DA13" cm="1">
        <f t="array" ref="DA13">IFERROR(IF(BL13=2,_xlfn.IFS(BH13=3,VLOOKUP(BF13,Справочная_двигатели,3,FALSE),BH13=1,VLOOKUP(BF13,Справочная_двигатели,5,TRUE)),0),0)</f>
        <v>0</v>
      </c>
      <c r="DB13">
        <f>IFERROR(IF(BL13=3,VLOOKUP(BF13,Справочная_ЛЭД,2,TRUE),0),0)</f>
        <v>0</v>
      </c>
      <c r="DC13">
        <f t="shared" si="30"/>
        <v>0</v>
      </c>
      <c r="DD13" t="str">
        <f t="shared" si="31"/>
        <v>L1,L2,L3</v>
      </c>
      <c r="DE13" t="str" cm="1">
        <f t="array" ref="DE13">IF(D13="","",IFERROR(INDEX({"I особая","I","II","III"},MATCH(TRIM(AA13&amp;""),{"I особая","I","II","III"},0)),"III"))</f>
        <v>II</v>
      </c>
      <c r="DF13" t="str">
        <f>IF(D13="","",IF(TRIM(AB13&amp;"")&lt;&gt;"",IF(LOWER(TRIM(AB13&amp;""))="да","да","нет"),IF(IFERROR(_xlfn.XLOOKUP(AT13,Коды_код,Коды_пожарная),"")="да","да","нет")))</f>
        <v>нет</v>
      </c>
      <c r="DG13" t="str">
        <f t="shared" si="32"/>
        <v/>
      </c>
      <c r="DH13" t="str">
        <f t="shared" si="33"/>
        <v>основная</v>
      </c>
      <c r="DI13">
        <f t="shared" si="34"/>
        <v>1</v>
      </c>
      <c r="DJ13" t="str" cm="1">
        <f t="array" ref="DJ13">IF(D13="","",_xlfn.LET(_xlpm.t,IFERROR(_xlfn.XLOOKUP(1,(Шины[Шина]=DH13)*(((Шины[Щит]=A13)+(Шины[Щит]=""))&gt;0),Шины[Тип]),"")&amp;"",IF(_xlpm.t&lt;&gt;"",_xlpm.t,IF(ISNUMBER(SEARCH("ИБП",DH13)),"ИБП",IF(ISNUMBER(SEARCH("ДГУ",DH13)),"ДГУ","Ввод "&amp;DI13)))))</f>
        <v>Ввод 1</v>
      </c>
      <c r="DK13" t="str">
        <f t="shared" si="35"/>
        <v>Ввод 1</v>
      </c>
      <c r="DL13" t="str">
        <f>IF(D13="","",IF(OR(DJ13="ИБП",DJ13="ДГУ"),"I особая",IF(DJ13="Одиночная","III",_xlfn.XLOOKUP(A13,Щиты[Щит],Щиты[Категория шины «Ввод»],"III"))))</f>
        <v>I</v>
      </c>
      <c r="DM13">
        <f>IF(D13="",0,IFERROR(MATCH(DE13,{"III","II","I","I особая"},0),1))</f>
        <v>2</v>
      </c>
      <c r="DN13">
        <f t="shared" si="36"/>
        <v>2</v>
      </c>
      <c r="DO13" t="str">
        <f>IF(D13="","",IF(DM13&gt;IFERROR(MATCH(DL13,{"III","II","I","I особая"},0),1),"НЕ ОБЕСПЕЧЕНА","ОК"))</f>
        <v>ОК</v>
      </c>
      <c r="DP13" t="str">
        <f>IF(A13="","",_xlfn.XLOOKUP(A13,Щиты[Щит],Щиты[Путь],""))</f>
        <v>|ГРЩ-ЖД|</v>
      </c>
      <c r="DQ13" t="str">
        <f>IF(D13="","",IF(Z13&lt;&gt;"",Z13,IF(IFERROR(_xlfn.XLOOKUP(AT13,Коды_код,Коды_вид)&amp;"","")="","Прочее",_xlfn.XLOOKUP(AT13,Коды_код,Коды_вид)&amp;"")))</f>
        <v>Распределительные щиты жилой части</v>
      </c>
      <c r="DR13">
        <f>IF(BD13="","",INT((BD13-1)/Столбцов_на_лист)+1)</f>
        <v>2</v>
      </c>
      <c r="DS13" t="str">
        <f t="shared" si="37"/>
        <v>ВВГнг(А)-LS (5х10) L=14-0,43%</v>
      </c>
      <c r="DT13">
        <f t="shared" si="38"/>
        <v>24.405000000000005</v>
      </c>
      <c r="DU13">
        <f t="shared" si="39"/>
        <v>32.799999999999997</v>
      </c>
      <c r="DV13">
        <f t="shared" si="40"/>
        <v>3</v>
      </c>
      <c r="DW13">
        <f>IF(AT13="",0,_xlfn.LET(_xlpm.v,IFERROR(VLOOKUP(D13,УГО_спр,3,FALSE),IFERROR(VLOOKUP(AT13,УГО_спр,3,FALSE),IFERROR(VLOOKUP(LEFT(AT13,2),УГО_спр,3,FALSE),""))),IF(_xlpm.v="да",30,IF(ISNUMBER(_xlpm.v),_xlpm.v,0))))</f>
        <v>0</v>
      </c>
      <c r="DX13">
        <f t="shared" si="41"/>
        <v>0</v>
      </c>
      <c r="DY13" t="str">
        <f>IF(BD13="","",IF(AD13&lt;&gt;"",COUNTIFS(A$3:A13,A13,AD$3:AD13,"?*"),IF(OR(OR(AS13=1,A13&lt;&gt;A12),AL13="вручную"),"",IF(AS13=1,"",DZ12))))</f>
        <v/>
      </c>
      <c r="DZ13" t="str">
        <f t="shared" si="42"/>
        <v/>
      </c>
      <c r="EA13">
        <f>IF(D13="",0,MAX(IFERROR(--X13,0),IFERROR(--VLOOKUP(D13,УГО_спр,4,FALSE),IFERROR(--VLOOKUP(AT13,УГО_спр,4,FALSE),IFERROR(--VLOOKUP(LEFT(AT13,2),УГО_спр,4,FALSE),0)))))</f>
        <v>40</v>
      </c>
      <c r="EB13">
        <f>IF(D13="","",IFERROR(LOOKUP(INDEX(CHOOSE(BR13,Iдоп_1ж,Iдоп_2ж,Iдоп_3ж),MATCH(BS13,Iдоп_S,0))*BP13*BQ13,{6,10,16,20,25,32,40,50,63,80,100,125,160,200,250,315,400,500,630}),""))</f>
        <v>50</v>
      </c>
      <c r="EC13" t="str">
        <f>IF(AD13="","",SUMIFS(Линии[_Ток схемы],Линии[_гр.],DY13,Линии[Щит],A13,Линии[_в кабель выше],0))</f>
        <v/>
      </c>
      <c r="ED13" t="str">
        <f>IF(AD13="","",IFERROR(VLOOKUP(EC13,Автомат_номиналы,2,TRUE),""))</f>
        <v/>
      </c>
      <c r="EE13" t="str">
        <f>IF(AD13="","",MAX(N(ED13),_xlfn.MAXIFS(Линии[_мин. по типу],Линии[_гр.],DY13,Линии[Щит],A13)))</f>
        <v/>
      </c>
      <c r="EF13" t="str">
        <f>IF(AD13="","",_xlfn.MINIFS(Линии[_макс. автомат по кабелю],Линии[_гр.],DY13,Линии[Щит],A13))</f>
        <v/>
      </c>
      <c r="EG13" t="str">
        <f>IF(AD13="","",MAX(1,_xlfn.MAXIFS(Линии[_фаз],Линии[_гр.],DY13,Линии[Щит],A13)))</f>
        <v/>
      </c>
      <c r="EH13" t="str">
        <f>IF(AD13="","",IF(AND(AD13&lt;&gt;"авто",AD13&lt;&gt;"+"),IF(ISNUMBER(SEARCH("мА",AD13)),IFERROR(--TRIM(RIGHT(SUBSTITUTE(LEFT(AD13,SEARCH("мА",AD13)-1)," ",REPT(" ",9)),6)),30),0),IF(AE13="нет",0,IF(ISNUMBER(AE13),AE13,IF(AE13="да",30,_xlfn.MINIFS(Линии[_дифзащита по коду, мА],Линии[_гр.],DY13,Линии[Щит],A13,Линии[_дифзащита по коду, мА],"&gt;0"))))))</f>
        <v/>
      </c>
      <c r="EI13" t="str">
        <f t="shared" si="43"/>
        <v/>
      </c>
      <c r="EJ13" t="str">
        <f t="shared" si="44"/>
        <v/>
      </c>
      <c r="EK13" t="str">
        <f t="shared" si="45"/>
        <v/>
      </c>
      <c r="EL13" t="str">
        <f t="shared" si="46"/>
        <v/>
      </c>
      <c r="EM13">
        <f t="shared" si="47"/>
        <v>0</v>
      </c>
      <c r="EN13" t="str">
        <f>IF(AD13="","",IF(EM13=1,MAX(EE13,Мин_автомат_БП),EE13))</f>
        <v/>
      </c>
      <c r="EO13" t="str">
        <f t="shared" si="48"/>
        <v/>
      </c>
      <c r="EP13" t="str">
        <f t="shared" si="49"/>
        <v/>
      </c>
      <c r="EQ13" t="str">
        <f t="shared" si="50"/>
        <v/>
      </c>
      <c r="ER13" t="str">
        <f>IF(OR(AI13="",AI13="-"),"",IFERROR(VLOOKUP(AI13,Модули_спр,2,FALSE),"R"))</f>
        <v/>
      </c>
      <c r="ES13" t="str">
        <f>IF(ER13="","",ER13&amp;"."&amp;COUNTIFS(A$3:A13,A13,ER$3:ER13,ER13))</f>
        <v/>
      </c>
      <c r="ET13" t="str">
        <f t="shared" si="51"/>
        <v/>
      </c>
      <c r="EU13" t="str">
        <f t="shared" si="52"/>
        <v/>
      </c>
      <c r="EV13" t="str">
        <f t="shared" si="53"/>
        <v/>
      </c>
      <c r="EW13" t="str">
        <f t="shared" si="54"/>
        <v/>
      </c>
      <c r="EX13">
        <f t="shared" si="55"/>
        <v>1</v>
      </c>
      <c r="EY13" t="str">
        <f>IF(AK13="нет","",IF(AK13&lt;&gt;"",AK13,IF(EX13=1,"XT"&amp;COUNTIFS(A$3:A13,A13,EX$3:EX13,1),"")))</f>
        <v/>
      </c>
      <c r="EZ13" t="str">
        <f t="shared" si="56"/>
        <v/>
      </c>
      <c r="FA13" t="str">
        <f t="shared" si="57"/>
        <v/>
      </c>
      <c r="FB13" t="str">
        <f t="shared" si="58"/>
        <v/>
      </c>
      <c r="FC13" t="str">
        <f>IF(OR(EV13="",ET13=""),"",IF(EV13&gt;IFERROR(VLOOKUP(EU13,Модули_спр,3,FALSE),99),"ЛИШНИЙ КАНАЛ",IF(AND(AJ13&lt;&gt;"=",COUNTIFS(Линии[_модуль гр.],ET13,Линии[Канал (итог)],EV13,Линии[Канал],"&lt;&gt;=",Линии[Щит],A13)&gt;1),"ДУБЛЬ КАНАЛА","")))</f>
        <v/>
      </c>
      <c r="FD13" t="str">
        <f t="shared" si="59"/>
        <v/>
      </c>
      <c r="FE13" t="str">
        <f t="shared" si="60"/>
        <v/>
      </c>
      <c r="FF13" t="str">
        <f t="shared" si="61"/>
        <v/>
      </c>
      <c r="FG13" t="str">
        <f t="shared" si="62"/>
        <v/>
      </c>
      <c r="FH13" t="str">
        <f t="shared" si="63"/>
        <v/>
      </c>
      <c r="FI13">
        <f t="shared" si="64"/>
        <v>10</v>
      </c>
      <c r="FJ13" t="str">
        <f t="shared" si="65"/>
        <v/>
      </c>
      <c r="FK13" t="str">
        <f>IF(AND(D13="",EZ13=""),"",_xlfn.TEXTJOIN("; ",TRUE,IF(AND(D13&lt;&gt;"",DD13=""),"нет фазы",""),IF(AND(D13&lt;&gt;"",N(DT13)=0,CN13&lt;&gt;"Нет"),"нет мощности",""),IF(AND(EY13&lt;&gt;"",COUNTIFS(Линии[Щит],A13,Линии[Клемма (итог)],EY13)&gt;1),"дубль клеммы "&amp;EY13,""),IF(AND(FB13&lt;&gt;"",FB13&lt;&gt;"ok"),FB13,""),IF(FC13&lt;&gt;"",FC13,""),IF(AND(ISNUMBER(SEARCH("(5х",DS13)),N(DV13)=1),"5 жил на 1 фазе",""),IF(AND(AT13="R",AD13&lt;&gt;"",OR(N(EH13)=0,N(EH13)&gt;30)),"розетка без дифзащиты до 30 мА",""),IFERROR(IF(AND(ISNUMBER(CD13),CD13&gt;CE13),"потери "&amp;FIXED(CD13,1)&amp;" % &gt; "&amp;CE13&amp;" %",""),""),IFERROR(IF(LEFT(FJ13,4)="мало","Iкз мало — отключение &gt; 0,4 с",""),""),IF(AND(D13&lt;&gt;"",BD13=""),"не на схеме","")))</f>
        <v/>
      </c>
      <c r="FL13" t="str">
        <f>IF(AD13="","",_xlfn.LET(_xlpm.t,IFERROR(_xlfn.XLOOKUP(EP13,Каталог!$U$4:$U$500,Каталог!$G$4:$G$500),""),_xlpm.k,SEARCH("кА",_xlpm.t),IFERROR(--TRIM(RIGHT(SUBSTITUTE(MID(_xlpm.t,MAX(1,_xlpm.k-4),_xlpm.k-MAX(1,_xlpm.k-4))," ",REPT(" ",9)),5)),"")))</f>
        <v/>
      </c>
      <c r="FM13" t="str">
        <f>IF(OR(FL13="",AD13=""),"",IF(_xlfn.XLOOKUP(A13,Щиты[Щит],Щиты[Iкз max на шинах, кА],"")="","",IF(FL13&lt;_xlfn.XLOOKUP(A13,Щиты[Щит],Щиты[Iкз max на шинах, кА]),"Icu "&amp;FL13&amp;" кА &lt; Iкз max","ok")))</f>
        <v/>
      </c>
      <c r="FN13" t="str">
        <f t="shared" si="66"/>
        <v/>
      </c>
      <c r="FO13" t="str">
        <f t="shared" si="67"/>
        <v/>
      </c>
      <c r="FP13" t="str" cm="1">
        <f t="array" ref="FP13">IF(FO13="","",_xlfn.LET(_xlpm.nd,_xlfn.TEXTSPLIT(FO13,"|"),IF(COLUMNS(_xlpm.nd)&gt;1,A13&amp;"¦"&amp;INDEX(_xlpm.nd,1)&amp;"¦"&amp;INDEX(_xlpm.nd,2),"")))</f>
        <v/>
      </c>
      <c r="FQ13" t="str">
        <f t="shared" si="68"/>
        <v/>
      </c>
      <c r="FR13" t="str" cm="1">
        <f t="array" ref="FR13">IF(FO13="","",_xlfn.LET(_xlpm.nd,_xlfn.TEXTSPLIT(FO13,"|"),IF(COLUMNS(_xlpm.nd)&gt;2,A13&amp;"¦"&amp;INDEX(_xlpm.nd,2)&amp;"¦"&amp;INDEX(_xlpm.nd,3),"")))</f>
        <v/>
      </c>
      <c r="FS13" t="str">
        <f t="shared" si="69"/>
        <v/>
      </c>
      <c r="FT13" t="str" cm="1">
        <f t="array" ref="FT13">IF(FO13="","",_xlfn.LET(_xlpm.nd,_xlfn.TEXTSPLIT(FO13,"|"),IF(COLUMNS(_xlpm.nd)&gt;3,A13&amp;"¦"&amp;INDEX(_xlpm.nd,3)&amp;"¦"&amp;INDEX(_xlpm.nd,4),"")))</f>
        <v/>
      </c>
      <c r="FU13" t="str">
        <f t="shared" si="70"/>
        <v/>
      </c>
      <c r="FV13" t="str" cm="1">
        <f t="array" ref="FV13">IF(FO13="","",_xlfn.LET(_xlpm.nd,_xlfn.TEXTSPLIT(FO13,"|"),IF(COLUMNS(_xlpm.nd)&gt;4,A13&amp;"¦"&amp;INDEX(_xlpm.nd,4)&amp;"¦"&amp;INDEX(_xlpm.nd,5),"")))</f>
        <v/>
      </c>
      <c r="FW13" t="str">
        <f t="shared" si="71"/>
        <v/>
      </c>
      <c r="FX13" t="str" cm="1">
        <f t="array" ref="FX13">IF(FO13="","",_xlfn.LET(_xlpm.nd,_xlfn.TEXTSPLIT(FO13,"|"),IF(COLUMNS(_xlpm.nd)&gt;5,A13&amp;"¦"&amp;INDEX(_xlpm.nd,5)&amp;"¦"&amp;INDEX(_xlpm.nd,6),"")))</f>
        <v/>
      </c>
      <c r="FY13" t="str">
        <f t="shared" si="72"/>
        <v/>
      </c>
      <c r="FZ13" t="str" cm="1">
        <f t="array" ref="FZ13">IF(FO13="","",_xlfn.LET(_xlpm.nd,_xlfn.TEXTSPLIT(FO13,"|"),IF(COLUMNS(_xlpm.nd)&gt;6,A13&amp;"¦"&amp;INDEX(_xlpm.nd,6)&amp;"¦"&amp;INDEX(_xlpm.nd,7),"")))</f>
        <v/>
      </c>
      <c r="GA13" t="str">
        <f t="shared" si="73"/>
        <v/>
      </c>
      <c r="GB13" t="str">
        <f t="shared" si="74"/>
        <v/>
      </c>
      <c r="GC13" t="str">
        <f t="shared" si="75"/>
        <v/>
      </c>
      <c r="GD13">
        <f t="shared" si="76"/>
        <v>1</v>
      </c>
      <c r="GE13">
        <f t="shared" si="77"/>
        <v>0</v>
      </c>
      <c r="GF13">
        <f t="shared" si="78"/>
        <v>0</v>
      </c>
      <c r="GG13" t="str">
        <f t="shared" si="79"/>
        <v/>
      </c>
      <c r="GH13" t="str">
        <f t="shared" si="80"/>
        <v/>
      </c>
      <c r="GI13" t="str">
        <f t="shared" si="81"/>
        <v/>
      </c>
      <c r="GJ13" t="str">
        <f t="shared" si="82"/>
        <v/>
      </c>
      <c r="GK13">
        <f>IF(D13="","",IFERROR(VLOOKUP(D13,УГО_спр,2,FALSE),IFERROR(VLOOKUP(AT13,УГО_спр,2,FALSE),IFERROR(VLOOKUP(LEFT(AT13,2),УГО_спр,2,FALSE),""))))</f>
        <v>0</v>
      </c>
      <c r="GL13" t="str">
        <f>IF(D13="","",IF(OR(GK13="",GK13=0),"BOX",IFERROR(IF(VLOOKUP(GK13,УГО_блоки,3,FALSE)&amp;""&lt;&gt;"",VLOOKUP(GK13,УГО_блоки,3,FALSE),VLOOKUP(GK13,УГО_блоки,2,FALSE)),GK13)))</f>
        <v>BOX</v>
      </c>
      <c r="GM13">
        <f t="shared" si="83"/>
        <v>1</v>
      </c>
      <c r="GN13" t="str">
        <f>IF(EP13="","",IF(COUNTIF(EP$3:EP13,EP13)=1,MAX(GN$2:GN12)+1,""))</f>
        <v/>
      </c>
      <c r="GO13" t="str">
        <f>IF(AF13="","",IF(COUNTIF(AF$3:AF13,AF13)+COUNTIF(AG$2:AG12,AF13)+COUNTIF(AH$2:AH12,AF13)=1,MAX(GO$2:GQ12)+1,""))</f>
        <v/>
      </c>
      <c r="GP13" t="str">
        <f>IF(AG13="","",IF(COUNTIF(AF$3:AF13,AG13)+COUNTIF(AG$3:AG13,AG13)+COUNTIF(AH$2:AH12,AG13)=1,MAX(GO$2:GQ12,GO13)+1,""))</f>
        <v/>
      </c>
      <c r="GQ13" t="str">
        <f>IF(AH13="","",IF(COUNTIF(AF$3:AF13,AH13)+COUNTIF(AG$3:AG13,AH13)+COUNTIF(AH$3:AH13,AH13)=1,MAX(GO$2:GQ12,GO13,GP13)+1,""))</f>
        <v/>
      </c>
      <c r="GR13" t="str">
        <f t="shared" si="84"/>
        <v>5х10</v>
      </c>
      <c r="GS13">
        <f>IF(GR13="","",IF(COUNTIF(GR$3:GR13,GR13)=1,MAX(GS$2:GS12)+1,""))</f>
        <v>5</v>
      </c>
      <c r="GT13" t="str">
        <f>IF(ES13="","",COUNTIF(ES$3:ES13,"?*"))</f>
        <v/>
      </c>
      <c r="GU13" t="str">
        <f>IF(OR(ES13="",EU13=""),"",IF(COUNTIFS(ES$3:ES13,"?*",EU$3:EU13,EU13)=1,MAX(GU$2:GU12)+1,""))</f>
        <v/>
      </c>
      <c r="GV13">
        <f t="shared" si="85"/>
        <v>0</v>
      </c>
      <c r="GW13">
        <f>IF(D13="","",COUNTIF(D$3:D13,"?*"))</f>
        <v>11</v>
      </c>
      <c r="GX13">
        <f>IF(EX13&lt;&gt;1,0,_xlfn.LET(_xlpm.k,MAX(IFERROR(--VLOOKUP(D13,УГО_спр,5,FALSE),0),IFERROR(--VLOOKUP(AT13,УГО_спр,5,FALSE),0),IFERROR(--VLOOKUP(LEFT(AT13,2),УГО_спр,5,FALSE),0)),IF(_xlpm.k&gt;0,_xlpm.k,IF(IFERROR(--LEFT(SUBSTITUTE(GR13,"x","х"),FIND("х",SUBSTITUTE(GR13,"x","х"))-1),3)&gt;3,Каталог!$S$9,1))))</f>
        <v>1</v>
      </c>
      <c r="GY13">
        <f t="shared" si="86"/>
        <v>2</v>
      </c>
    </row>
    <row r="14" spans="1:207" x14ac:dyDescent="0.3">
      <c r="A14" t="s">
        <v>788</v>
      </c>
      <c r="B14">
        <v>26</v>
      </c>
      <c r="C14" t="str">
        <f>IF(BD14="","",IF(BE14="вводной узел","узел ","")&amp;"л."&amp;(INT((BD14-1)/Столбцов_на_лист)+1)&amp;" / "&amp;(MOD(BD14-1,Столбцов_на_лист)+1))</f>
        <v>л.2 / 9</v>
      </c>
      <c r="D14" t="s">
        <v>762</v>
      </c>
      <c r="E14" s="133" t="s">
        <v>761</v>
      </c>
      <c r="G14">
        <v>34.840000000000003</v>
      </c>
      <c r="H14">
        <v>1</v>
      </c>
      <c r="I14">
        <v>3</v>
      </c>
      <c r="J14">
        <v>400</v>
      </c>
      <c r="K14" t="s">
        <v>566</v>
      </c>
      <c r="N14">
        <v>2</v>
      </c>
      <c r="O14" t="s">
        <v>1298</v>
      </c>
      <c r="P14">
        <v>65</v>
      </c>
      <c r="Q14">
        <v>51</v>
      </c>
      <c r="R14">
        <v>9</v>
      </c>
      <c r="S14">
        <v>0</v>
      </c>
      <c r="U14" t="s">
        <v>11</v>
      </c>
      <c r="V14">
        <v>5</v>
      </c>
      <c r="W14">
        <v>16</v>
      </c>
      <c r="X14">
        <v>63</v>
      </c>
      <c r="Z14" t="s">
        <v>621</v>
      </c>
      <c r="AA14" t="s">
        <v>818</v>
      </c>
      <c r="AK14" t="s">
        <v>488</v>
      </c>
      <c r="AR14" t="str">
        <f t="shared" si="0"/>
        <v/>
      </c>
      <c r="AS14" cm="1">
        <f t="array" ref="AS14">ROW()-ROW(Линии[#Headers])</f>
        <v>12</v>
      </c>
      <c r="AT14" t="str">
        <f t="shared" si="1"/>
        <v>ЩР-1</v>
      </c>
      <c r="AU14" t="str">
        <f t="shared" si="2"/>
        <v/>
      </c>
      <c r="AV14" t="str">
        <f t="shared" si="3"/>
        <v/>
      </c>
      <c r="AW14" t="str">
        <f t="shared" si="4"/>
        <v/>
      </c>
      <c r="AX14" t="str">
        <f t="shared" si="5"/>
        <v/>
      </c>
      <c r="AY14" t="str">
        <f>IF(D14="","",IF(ISERROR(SEARCH(".",D14)),IFERROR(VLOOKUP(D14,Потребители_обозначение,2,FALSE)&amp;"",""),IFERROR(IF(VLOOKUP(AT14,Потребители_обозначение,4,FALSE)=1,VLOOKUP(AT14,Потребители_обозначение,2,FALSE)&amp;" "&amp;VLOOKUP(AV14,Этаж_обозначение,2,FALSE)&amp;" Пом. №"&amp;AX14,VLOOKUP(AT14,Потребители_обозначение,2,FALSE)&amp;" Шлейф №"&amp;AV14),IFERROR(VLOOKUP(D14,Потребители_обозначение,2,FALSE),""))))</f>
        <v/>
      </c>
      <c r="AZ14" t="str">
        <f t="shared" si="6"/>
        <v>Щит распределительный ЩР-1 Первый этаж этаж Пом. №1.003Б</v>
      </c>
      <c r="BA14" t="str">
        <f>IF(F14&lt;&gt;"",F14,IF(AND(D14&lt;&gt;"",D14&lt;&gt;A14,ISNUMBER(_xlfn.XMATCH(D14,Щиты[Щит]))),D14,""))</f>
        <v>ЩР-1</v>
      </c>
      <c r="BB14">
        <f>IFERROR(_xlfn.XMATCH(A14,Щиты[Щит]),0)</f>
        <v>1</v>
      </c>
      <c r="BC14">
        <f>IFERROR(N(_xlfn.XLOOKUP(A14,Щиты[Щит],Щиты[Мест под вводной узел])),15)</f>
        <v>1</v>
      </c>
      <c r="BD14">
        <f t="shared" si="7"/>
        <v>26</v>
      </c>
      <c r="BE14" t="str">
        <f t="shared" si="8"/>
        <v>линии</v>
      </c>
      <c r="BF14">
        <f>IF(D14="","",IF(BA14&lt;&gt;"",IFERROR(_xlfn.XLOOKUP(BA14,Щиты[Щит],Щиты[Руст, кВт]),0),N(G14)))</f>
        <v>34.840000000000003</v>
      </c>
      <c r="BG14">
        <f>IF(J14&lt;&gt;"",J14,IF(D14="","",IFERROR(IF(VLOOKUP(AT14,Потребители_обозначение,8,FALSE)=0,"",VLOOKUP(AT14,Потребители_обозначение,8,FALSE)),"")))</f>
        <v>400</v>
      </c>
      <c r="BH14">
        <f>IF(I14&lt;&gt;"",I14,IF(D14="","",IFERROR(IF(VLOOKUP(AT14,Потребители_обозначение,9,FALSE)=0,"",VLOOKUP(AT14,Потребители_обозначение,9,FALSE)),"")))</f>
        <v>3</v>
      </c>
      <c r="BI14" t="str">
        <f>IF(U14&lt;&gt;"",U14,IF(D14="","",IFERROR(IF(VLOOKUP(AT14,Потребители_обозначение,6,FALSE)=0,"",VLOOKUP(AT14,Потребители_обозначение,6,FALSE)),"")))</f>
        <v>мс</v>
      </c>
      <c r="BJ14">
        <f>IF(V14&lt;&gt;"",V14,IF(D14="","",IFERROR(IF(VLOOKUP(AT14,Потребители_обозначение,7,FALSE)=0,"",VLOOKUP(AT14,Потребители_обозначение,7,FALSE)),"")))</f>
        <v>5</v>
      </c>
      <c r="BK14">
        <f>IF(W14&lt;&gt;"",W14,IF(D14="","",IFERROR(IF(VLOOKUP(AT14,Потребители_обозначение,10,FALSE)=0,"",VLOOKUP(AT14,Потребители_обозначение,10,FALSE)),"")))</f>
        <v>16</v>
      </c>
      <c r="BL14">
        <f>IFERROR(VLOOKUP(AT14,Потребители_обозначение,5,FALSE),0)</f>
        <v>0</v>
      </c>
      <c r="BM14" cm="1">
        <f t="array" ref="BM14">IF(D14="","",IF(BA14&lt;&gt;"",IFERROR(_xlfn.XLOOKUP(BA14,Щиты[Щит],Щиты[cos φ]),0.95),IF(ISNUMBER(M14),M14,IFERROR(IF(BL14=2,_xlfn.IFS(BH14=3,VLOOKUP(BF14,Справочная_двигатели,8,FALSE),BH14=1,VLOOKUP(BF14,Справочная_двигатели,10,TRUE)),IF(AND(Методика="нормы 2026",CN14="Сил"),0.8,0.95)),0.95))))</f>
        <v>0.94999999999999984</v>
      </c>
      <c r="BN14" cm="1">
        <f t="array" ref="BN14">IF(D14="","",IF(BA14&lt;&gt;"",IFERROR(_xlfn.XLOOKUP(BA14,Щиты[Щит],Щиты[Iр, А]),""),IFERROR(_xlfn.IFS(BH14=1,BF14/((Uн_лин/SQRT(3))*BM14),BH14=3,BF14/(SQRT(3)*Uн_лин*BM14)),"")))</f>
        <v>32.503490661511528</v>
      </c>
      <c r="BO14">
        <f>IF(D14="","",IF(N(X14)=0,IFERROR(VLOOKUP(BN14,Автомат_номиналы,2,TRUE),""),X14))</f>
        <v>63</v>
      </c>
      <c r="BP14">
        <f t="shared" si="9"/>
        <v>0.92</v>
      </c>
      <c r="BQ14">
        <f>IF(ISNUMBER(Y14),Y14,К_прокл)</f>
        <v>1</v>
      </c>
      <c r="BR14">
        <f t="shared" si="10"/>
        <v>3</v>
      </c>
      <c r="BS14" cm="1">
        <f t="array" ref="BS14">IF(D14="","",IF(N(BK14)&lt;&gt;0,BK14,IFERROR(_xlfn.LET(_xlpm.need,BO14/(BP14*BQ14),_xlpm.t,CHOOSE(BR14,Iдоп_1ж,Iдоп_2ж,Iдоп_3ж),_xlpm.k,_xlfn.XMATCH(_xlpm.need,_xlpm.t,1),IF(ISNA(_xlpm.k),"Не исп",INDEX(Iдоп_S,_xlpm.k))),"Не исп")))</f>
        <v>16</v>
      </c>
      <c r="BT14">
        <f>IFERROR(VLOOKUP(BS14,Кабель_сопротивление,3,FALSE),"")</f>
        <v>2.2499999999999999E-2</v>
      </c>
      <c r="BU14">
        <f>IFERROR(VLOOKUP(BS14,Кабель_сопротивление,2,FALSE),"")</f>
        <v>6.7500000000000004E-2</v>
      </c>
      <c r="BV14">
        <f t="shared" si="11"/>
        <v>65</v>
      </c>
      <c r="BW14">
        <f>IF(D14="","",IFERROR(IF(VLOOKUP(AT14,Потребители_обозначение,4,FALSE)=1,VLOOKUP(AT14,Потребители_обозначение,3,FALSE)*(H14*2-1)+BV14+VLOOKUP(AV14,Этаж_обозначение,3,FALSE)+VLOOKUP(AV14,Этаж_обозначение,4,FALSE),VLOOKUP(AT14,Потребители_обозначение,3,FALSE)*(H14*2-1)+BV14),BV14))</f>
        <v>65</v>
      </c>
      <c r="BX14">
        <f t="shared" si="12"/>
        <v>9</v>
      </c>
      <c r="BY14">
        <f t="shared" si="13"/>
        <v>0</v>
      </c>
      <c r="BZ14">
        <f t="shared" si="14"/>
        <v>1</v>
      </c>
      <c r="CA14">
        <f t="shared" si="15"/>
        <v>0.31</v>
      </c>
      <c r="CB14">
        <f t="shared" si="16"/>
        <v>2.8666798938508364</v>
      </c>
      <c r="CC14">
        <f>IFERROR(ROUNDUP(CB14/((Uн_лин/SQRT(3))*1000)*100,2),"")</f>
        <v>1.25</v>
      </c>
      <c r="CD14">
        <f>IF(ISNUMBER(CC14),CC14+IFERROR(_xlfn.XLOOKUP(A14,Щиты[Щит],Щиты[ΔU до шин, %]),0),"")</f>
        <v>1.25</v>
      </c>
      <c r="CE14">
        <f>IF(D14="","",IF(IFERROR(VLOOKUP(AT14,УГО_спр,2,FALSE),"")="Светильник",3,4)+IF(Методика="нормы 2026",MIN(0.5,MAX(0,N(BW14)-100)*0.005),0))</f>
        <v>4</v>
      </c>
      <c r="CF14" t="str">
        <f>IFERROR(VLOOKUP(BI14,Кабель_обозначение,2,FALSE),"")</f>
        <v>ВВГнг(А)-LS</v>
      </c>
      <c r="CG14" t="str">
        <f>IFERROR(IF(VLOOKUP(BI14,Кабель_обозначение,3,FALSE)=1,CF14&amp;" ("&amp;BJ14&amp;"х"&amp;BS14&amp;")",CF14),"")</f>
        <v>ВВГнг(А)-LS (5х16)</v>
      </c>
      <c r="CH14" t="str">
        <f t="shared" si="17"/>
        <v>ВВГнг(А)-LS (5х16)
L=65-1,25%</v>
      </c>
      <c r="CI14">
        <f>IFERROR(2*ρкз_Cu*BW14/BS14,"")</f>
        <v>0.2136875</v>
      </c>
      <c r="CJ14">
        <f t="shared" si="18"/>
        <v>7.1093750000000011E-2</v>
      </c>
      <c r="CK14" t="str">
        <f>IFERROR(IF(OR(D14="",NOT(ISNUMBER(BS14)),N(BW14)=0),"",_xlfn.XLOOKUP(A14,Щиты[Щит],Щиты[Zпетли на шинах, Ом])+CI14),"")</f>
        <v/>
      </c>
      <c r="CL14" t="str">
        <f>IF(ISNUMBER(CK14),c_min*(Uн_лин*1000/SQRT(3))/CK14,"")</f>
        <v/>
      </c>
      <c r="CM14" t="str">
        <f>IFERROR(IF(OR(D14="",NOT(ISNUMBER(BS14))),"",1.05*(Uн_лин*1000/SQRT(3))/(_xlfn.XLOOKUP(A14,Щиты[Щит],Щиты[Zmax на шинах, Ом])+CJ14)/1000),"")</f>
        <v/>
      </c>
      <c r="CN14" t="str">
        <f>IF(D14="","",IF(BA14&lt;&gt;"","Щит",IF(K14&lt;&gt;"",K14,IF(ISNUMBER(L14),"Сил",IF(IFERROR(_xlfn.XLOOKUP(AT14,Коды_код,Коды_группа)&amp;"","")="","Быт",_xlfn.XLOOKUP(AT14,Коды_код,Коды_группа)&amp;"")))))</f>
        <v>Щит</v>
      </c>
      <c r="CO14" t="str">
        <f>IF(CN14="Щит","щит",IF(CN14="","",IF(CN14="Быт",IFERROR(_xlfn.XLOOKUP(A14,Щиты[Щит],Щиты[Кс быт]),1),IF(CN14="Сил",IF(ISNUMBER(L14),L14,IF(Методика="нормы 2026",IFERROR(_xlfn.XLOOKUP(A14,Щиты[Щит],Щиты[Кс силовых (табл. 7.5)]),1),1)),IF(OR(CN14="Пост",CN14="Отоп"),1,IF(CN14="ВНГ",0.7,0))))))</f>
        <v>щит</v>
      </c>
      <c r="CP14">
        <f t="shared" si="19"/>
        <v>2</v>
      </c>
      <c r="CQ14">
        <f t="shared" si="20"/>
        <v>0</v>
      </c>
      <c r="CR14">
        <f t="shared" si="21"/>
        <v>0</v>
      </c>
      <c r="CS14">
        <f t="shared" si="22"/>
        <v>0</v>
      </c>
      <c r="CT14">
        <f t="shared" si="23"/>
        <v>0</v>
      </c>
      <c r="CU14">
        <f t="shared" si="24"/>
        <v>0</v>
      </c>
      <c r="CV14">
        <f t="shared" si="25"/>
        <v>0</v>
      </c>
      <c r="CW14">
        <f t="shared" si="26"/>
        <v>0</v>
      </c>
      <c r="CX14">
        <f t="shared" si="27"/>
        <v>0</v>
      </c>
      <c r="CY14">
        <f t="shared" si="28"/>
        <v>2</v>
      </c>
      <c r="CZ14" t="str">
        <f t="shared" si="29"/>
        <v>L1,L2,L3</v>
      </c>
      <c r="DA14" cm="1">
        <f t="array" ref="DA14">IFERROR(IF(BL14=2,_xlfn.IFS(BH14=3,VLOOKUP(BF14,Справочная_двигатели,3,FALSE),BH14=1,VLOOKUP(BF14,Справочная_двигатели,5,TRUE)),0),0)</f>
        <v>0</v>
      </c>
      <c r="DB14">
        <f>IFERROR(IF(BL14=3,VLOOKUP(BF14,Справочная_ЛЭД,2,TRUE),0),0)</f>
        <v>0</v>
      </c>
      <c r="DC14">
        <f t="shared" si="30"/>
        <v>0</v>
      </c>
      <c r="DD14" t="str">
        <f t="shared" si="31"/>
        <v>L1,L2,L3</v>
      </c>
      <c r="DE14" t="str" cm="1">
        <f t="array" ref="DE14">IF(D14="","",IFERROR(INDEX({"I особая","I","II","III"},MATCH(TRIM(AA14&amp;""),{"I особая","I","II","III"},0)),"III"))</f>
        <v>II</v>
      </c>
      <c r="DF14" t="str">
        <f>IF(D14="","",IF(TRIM(AB14&amp;"")&lt;&gt;"",IF(LOWER(TRIM(AB14&amp;""))="да","да","нет"),IF(IFERROR(_xlfn.XLOOKUP(AT14,Коды_код,Коды_пожарная),"")="да","да","нет")))</f>
        <v>нет</v>
      </c>
      <c r="DG14" t="str">
        <f t="shared" si="32"/>
        <v/>
      </c>
      <c r="DH14" t="str">
        <f t="shared" si="33"/>
        <v>основная</v>
      </c>
      <c r="DI14">
        <f t="shared" si="34"/>
        <v>2</v>
      </c>
      <c r="DJ14" t="str" cm="1">
        <f t="array" ref="DJ14">IF(D14="","",_xlfn.LET(_xlpm.t,IFERROR(_xlfn.XLOOKUP(1,(Шины[Шина]=DH14)*(((Шины[Щит]=A14)+(Шины[Щит]=""))&gt;0),Шины[Тип]),"")&amp;"",IF(_xlpm.t&lt;&gt;"",_xlpm.t,IF(ISNUMBER(SEARCH("ИБП",DH14)),"ИБП",IF(ISNUMBER(SEARCH("ДГУ",DH14)),"ДГУ","Ввод "&amp;DI14)))))</f>
        <v>Ввод 2</v>
      </c>
      <c r="DK14" t="str">
        <f t="shared" si="35"/>
        <v>Ввод 2</v>
      </c>
      <c r="DL14" t="str">
        <f>IF(D14="","",IF(OR(DJ14="ИБП",DJ14="ДГУ"),"I особая",IF(DJ14="Одиночная","III",_xlfn.XLOOKUP(A14,Щиты[Щит],Щиты[Категория шины «Ввод»],"III"))))</f>
        <v>I</v>
      </c>
      <c r="DM14">
        <f>IF(D14="",0,IFERROR(MATCH(DE14,{"III","II","I","I особая"},0),1))</f>
        <v>2</v>
      </c>
      <c r="DN14">
        <f t="shared" si="36"/>
        <v>2</v>
      </c>
      <c r="DO14" t="str">
        <f>IF(D14="","",IF(DM14&gt;IFERROR(MATCH(DL14,{"III","II","I","I особая"},0),1),"НЕ ОБЕСПЕЧЕНА","ОК"))</f>
        <v>ОК</v>
      </c>
      <c r="DP14" t="str">
        <f>IF(A14="","",_xlfn.XLOOKUP(A14,Щиты[Щит],Щиты[Путь],""))</f>
        <v>|ГРЩ-ЖД|</v>
      </c>
      <c r="DQ14" t="str">
        <f>IF(D14="","",IF(Z14&lt;&gt;"",Z14,IF(IFERROR(_xlfn.XLOOKUP(AT14,Коды_код,Коды_вид)&amp;"","")="","Прочее",_xlfn.XLOOKUP(AT14,Коды_код,Коды_вид)&amp;"")))</f>
        <v>Распределительные щиты жилой части</v>
      </c>
      <c r="DR14">
        <f>IF(BD14="","",INT((BD14-1)/Столбцов_на_лист)+1)</f>
        <v>2</v>
      </c>
      <c r="DS14" t="str">
        <f t="shared" si="37"/>
        <v>ВВГнг(А)-LS (5х16) L=65-1,25%</v>
      </c>
      <c r="DT14">
        <f t="shared" si="38"/>
        <v>34.840000000000003</v>
      </c>
      <c r="DU14">
        <f t="shared" si="39"/>
        <v>32.51</v>
      </c>
      <c r="DV14">
        <f t="shared" si="40"/>
        <v>3</v>
      </c>
      <c r="DW14">
        <f>IF(AT14="",0,_xlfn.LET(_xlpm.v,IFERROR(VLOOKUP(D14,УГО_спр,3,FALSE),IFERROR(VLOOKUP(AT14,УГО_спр,3,FALSE),IFERROR(VLOOKUP(LEFT(AT14,2),УГО_спр,3,FALSE),""))),IF(_xlpm.v="да",30,IF(ISNUMBER(_xlpm.v),_xlpm.v,0))))</f>
        <v>0</v>
      </c>
      <c r="DX14">
        <f t="shared" si="41"/>
        <v>0</v>
      </c>
      <c r="DY14" t="str">
        <f>IF(BD14="","",IF(AD14&lt;&gt;"",COUNTIFS(A$3:A14,A14,AD$3:AD14,"?*"),IF(OR(OR(AS14=1,A14&lt;&gt;A13),AL14="вручную"),"",IF(AS14=1,"",DZ13))))</f>
        <v/>
      </c>
      <c r="DZ14" t="str">
        <f t="shared" si="42"/>
        <v/>
      </c>
      <c r="EA14">
        <f>IF(D14="",0,MAX(IFERROR(--X14,0),IFERROR(--VLOOKUP(D14,УГО_спр,4,FALSE),IFERROR(--VLOOKUP(AT14,УГО_спр,4,FALSE),IFERROR(--VLOOKUP(LEFT(AT14,2),УГО_спр,4,FALSE),0)))))</f>
        <v>63</v>
      </c>
      <c r="EB14">
        <f>IF(D14="","",IFERROR(LOOKUP(INDEX(CHOOSE(BR14,Iдоп_1ж,Iдоп_2ж,Iдоп_3ж),MATCH(BS14,Iдоп_S,0))*BP14*BQ14,{6,10,16,20,25,32,40,50,63,80,100,125,160,200,250,315,400,500,630}),""))</f>
        <v>63</v>
      </c>
      <c r="EC14" t="str">
        <f>IF(AD14="","",SUMIFS(Линии[_Ток схемы],Линии[_гр.],DY14,Линии[Щит],A14,Линии[_в кабель выше],0))</f>
        <v/>
      </c>
      <c r="ED14" t="str">
        <f>IF(AD14="","",IFERROR(VLOOKUP(EC14,Автомат_номиналы,2,TRUE),""))</f>
        <v/>
      </c>
      <c r="EE14" t="str">
        <f>IF(AD14="","",MAX(N(ED14),_xlfn.MAXIFS(Линии[_мин. по типу],Линии[_гр.],DY14,Линии[Щит],A14)))</f>
        <v/>
      </c>
      <c r="EF14" t="str">
        <f>IF(AD14="","",_xlfn.MINIFS(Линии[_макс. автомат по кабелю],Линии[_гр.],DY14,Линии[Щит],A14))</f>
        <v/>
      </c>
      <c r="EG14" t="str">
        <f>IF(AD14="","",MAX(1,_xlfn.MAXIFS(Линии[_фаз],Линии[_гр.],DY14,Линии[Щит],A14)))</f>
        <v/>
      </c>
      <c r="EH14" t="str">
        <f>IF(AD14="","",IF(AND(AD14&lt;&gt;"авто",AD14&lt;&gt;"+"),IF(ISNUMBER(SEARCH("мА",AD14)),IFERROR(--TRIM(RIGHT(SUBSTITUTE(LEFT(AD14,SEARCH("мА",AD14)-1)," ",REPT(" ",9)),6)),30),0),IF(AE14="нет",0,IF(ISNUMBER(AE14),AE14,IF(AE14="да",30,_xlfn.MINIFS(Линии[_дифзащита по коду, мА],Линии[_гр.],DY14,Линии[Щит],A14,Линии[_дифзащита по коду, мА],"&gt;0"))))))</f>
        <v/>
      </c>
      <c r="EI14" t="str">
        <f t="shared" si="43"/>
        <v/>
      </c>
      <c r="EJ14" t="str">
        <f t="shared" si="44"/>
        <v/>
      </c>
      <c r="EK14" t="str">
        <f t="shared" si="45"/>
        <v/>
      </c>
      <c r="EL14" t="str">
        <f t="shared" si="46"/>
        <v/>
      </c>
      <c r="EM14">
        <f t="shared" si="47"/>
        <v>0</v>
      </c>
      <c r="EN14" t="str">
        <f>IF(AD14="","",IF(EM14=1,MAX(EE14,Мин_автомат_БП),EE14))</f>
        <v/>
      </c>
      <c r="EO14" t="str">
        <f t="shared" si="48"/>
        <v/>
      </c>
      <c r="EP14" t="str">
        <f t="shared" si="49"/>
        <v/>
      </c>
      <c r="EQ14" t="str">
        <f t="shared" si="50"/>
        <v/>
      </c>
      <c r="ER14" t="str">
        <f>IF(OR(AI14="",AI14="-"),"",IFERROR(VLOOKUP(AI14,Модули_спр,2,FALSE),"R"))</f>
        <v/>
      </c>
      <c r="ES14" t="str">
        <f>IF(ER14="","",ER14&amp;"."&amp;COUNTIFS(A$3:A14,A14,ER$3:ER14,ER14))</f>
        <v/>
      </c>
      <c r="ET14" t="str">
        <f t="shared" si="51"/>
        <v/>
      </c>
      <c r="EU14" t="str">
        <f t="shared" si="52"/>
        <v/>
      </c>
      <c r="EV14" t="str">
        <f t="shared" si="53"/>
        <v/>
      </c>
      <c r="EW14" t="str">
        <f t="shared" si="54"/>
        <v/>
      </c>
      <c r="EX14">
        <f t="shared" si="55"/>
        <v>1</v>
      </c>
      <c r="EY14" t="str">
        <f>IF(AK14="нет","",IF(AK14&lt;&gt;"",AK14,IF(EX14=1,"XT"&amp;COUNTIFS(A$3:A14,A14,EX$3:EX14,1),"")))</f>
        <v/>
      </c>
      <c r="EZ14" t="str">
        <f t="shared" si="56"/>
        <v/>
      </c>
      <c r="FA14" t="str">
        <f t="shared" si="57"/>
        <v/>
      </c>
      <c r="FB14" t="str">
        <f t="shared" si="58"/>
        <v/>
      </c>
      <c r="FC14" t="str">
        <f>IF(OR(EV14="",ET14=""),"",IF(EV14&gt;IFERROR(VLOOKUP(EU14,Модули_спр,3,FALSE),99),"ЛИШНИЙ КАНАЛ",IF(AND(AJ14&lt;&gt;"=",COUNTIFS(Линии[_модуль гр.],ET14,Линии[Канал (итог)],EV14,Линии[Канал],"&lt;&gt;=",Линии[Щит],A14)&gt;1),"ДУБЛЬ КАНАЛА","")))</f>
        <v/>
      </c>
      <c r="FD14" t="str">
        <f t="shared" si="59"/>
        <v/>
      </c>
      <c r="FE14" t="str">
        <f t="shared" si="60"/>
        <v/>
      </c>
      <c r="FF14" t="str">
        <f t="shared" si="61"/>
        <v/>
      </c>
      <c r="FG14" t="str">
        <f t="shared" si="62"/>
        <v/>
      </c>
      <c r="FH14" t="str">
        <f t="shared" si="63"/>
        <v/>
      </c>
      <c r="FI14">
        <f t="shared" si="64"/>
        <v>10</v>
      </c>
      <c r="FJ14" t="str">
        <f t="shared" si="65"/>
        <v/>
      </c>
      <c r="FK14" t="str">
        <f>IF(AND(D14="",EZ14=""),"",_xlfn.TEXTJOIN("; ",TRUE,IF(AND(D14&lt;&gt;"",DD14=""),"нет фазы",""),IF(AND(D14&lt;&gt;"",N(DT14)=0,CN14&lt;&gt;"Нет"),"нет мощности",""),IF(AND(EY14&lt;&gt;"",COUNTIFS(Линии[Щит],A14,Линии[Клемма (итог)],EY14)&gt;1),"дубль клеммы "&amp;EY14,""),IF(AND(FB14&lt;&gt;"",FB14&lt;&gt;"ok"),FB14,""),IF(FC14&lt;&gt;"",FC14,""),IF(AND(ISNUMBER(SEARCH("(5х",DS14)),N(DV14)=1),"5 жил на 1 фазе",""),IF(AND(AT14="R",AD14&lt;&gt;"",OR(N(EH14)=0,N(EH14)&gt;30)),"розетка без дифзащиты до 30 мА",""),IFERROR(IF(AND(ISNUMBER(CD14),CD14&gt;CE14),"потери "&amp;FIXED(CD14,1)&amp;" % &gt; "&amp;CE14&amp;" %",""),""),IFERROR(IF(LEFT(FJ14,4)="мало","Iкз мало — отключение &gt; 0,4 с",""),""),IF(AND(D14&lt;&gt;"",BD14=""),"не на схеме","")))</f>
        <v/>
      </c>
      <c r="FL14" t="str">
        <f>IF(AD14="","",_xlfn.LET(_xlpm.t,IFERROR(_xlfn.XLOOKUP(EP14,Каталог!$U$4:$U$500,Каталог!$G$4:$G$500),""),_xlpm.k,SEARCH("кА",_xlpm.t),IFERROR(--TRIM(RIGHT(SUBSTITUTE(MID(_xlpm.t,MAX(1,_xlpm.k-4),_xlpm.k-MAX(1,_xlpm.k-4))," ",REPT(" ",9)),5)),"")))</f>
        <v/>
      </c>
      <c r="FM14" t="str">
        <f>IF(OR(FL14="",AD14=""),"",IF(_xlfn.XLOOKUP(A14,Щиты[Щит],Щиты[Iкз max на шинах, кА],"")="","",IF(FL14&lt;_xlfn.XLOOKUP(A14,Щиты[Щит],Щиты[Iкз max на шинах, кА]),"Icu "&amp;FL14&amp;" кА &lt; Iкз max","ok")))</f>
        <v/>
      </c>
      <c r="FN14" t="str">
        <f t="shared" si="66"/>
        <v/>
      </c>
      <c r="FO14" t="str">
        <f t="shared" si="67"/>
        <v/>
      </c>
      <c r="FP14" t="str" cm="1">
        <f t="array" ref="FP14">IF(FO14="","",_xlfn.LET(_xlpm.nd,_xlfn.TEXTSPLIT(FO14,"|"),IF(COLUMNS(_xlpm.nd)&gt;1,A14&amp;"¦"&amp;INDEX(_xlpm.nd,1)&amp;"¦"&amp;INDEX(_xlpm.nd,2),"")))</f>
        <v/>
      </c>
      <c r="FQ14" t="str">
        <f t="shared" si="68"/>
        <v/>
      </c>
      <c r="FR14" t="str" cm="1">
        <f t="array" ref="FR14">IF(FO14="","",_xlfn.LET(_xlpm.nd,_xlfn.TEXTSPLIT(FO14,"|"),IF(COLUMNS(_xlpm.nd)&gt;2,A14&amp;"¦"&amp;INDEX(_xlpm.nd,2)&amp;"¦"&amp;INDEX(_xlpm.nd,3),"")))</f>
        <v/>
      </c>
      <c r="FS14" t="str">
        <f t="shared" si="69"/>
        <v/>
      </c>
      <c r="FT14" t="str" cm="1">
        <f t="array" ref="FT14">IF(FO14="","",_xlfn.LET(_xlpm.nd,_xlfn.TEXTSPLIT(FO14,"|"),IF(COLUMNS(_xlpm.nd)&gt;3,A14&amp;"¦"&amp;INDEX(_xlpm.nd,3)&amp;"¦"&amp;INDEX(_xlpm.nd,4),"")))</f>
        <v/>
      </c>
      <c r="FU14" t="str">
        <f t="shared" si="70"/>
        <v/>
      </c>
      <c r="FV14" t="str" cm="1">
        <f t="array" ref="FV14">IF(FO14="","",_xlfn.LET(_xlpm.nd,_xlfn.TEXTSPLIT(FO14,"|"),IF(COLUMNS(_xlpm.nd)&gt;4,A14&amp;"¦"&amp;INDEX(_xlpm.nd,4)&amp;"¦"&amp;INDEX(_xlpm.nd,5),"")))</f>
        <v/>
      </c>
      <c r="FW14" t="str">
        <f t="shared" si="71"/>
        <v/>
      </c>
      <c r="FX14" t="str" cm="1">
        <f t="array" ref="FX14">IF(FO14="","",_xlfn.LET(_xlpm.nd,_xlfn.TEXTSPLIT(FO14,"|"),IF(COLUMNS(_xlpm.nd)&gt;5,A14&amp;"¦"&amp;INDEX(_xlpm.nd,5)&amp;"¦"&amp;INDEX(_xlpm.nd,6),"")))</f>
        <v/>
      </c>
      <c r="FY14" t="str">
        <f t="shared" si="72"/>
        <v/>
      </c>
      <c r="FZ14" t="str" cm="1">
        <f t="array" ref="FZ14">IF(FO14="","",_xlfn.LET(_xlpm.nd,_xlfn.TEXTSPLIT(FO14,"|"),IF(COLUMNS(_xlpm.nd)&gt;6,A14&amp;"¦"&amp;INDEX(_xlpm.nd,6)&amp;"¦"&amp;INDEX(_xlpm.nd,7),"")))</f>
        <v/>
      </c>
      <c r="GA14" t="str">
        <f t="shared" si="73"/>
        <v/>
      </c>
      <c r="GB14" t="str">
        <f t="shared" si="74"/>
        <v/>
      </c>
      <c r="GC14" t="str">
        <f t="shared" si="75"/>
        <v/>
      </c>
      <c r="GD14">
        <f t="shared" si="76"/>
        <v>1</v>
      </c>
      <c r="GE14">
        <f t="shared" si="77"/>
        <v>0</v>
      </c>
      <c r="GF14">
        <f t="shared" si="78"/>
        <v>0</v>
      </c>
      <c r="GG14" t="str">
        <f t="shared" si="79"/>
        <v/>
      </c>
      <c r="GH14" t="str">
        <f t="shared" si="80"/>
        <v/>
      </c>
      <c r="GI14" t="str">
        <f t="shared" si="81"/>
        <v/>
      </c>
      <c r="GJ14" t="str">
        <f t="shared" si="82"/>
        <v/>
      </c>
      <c r="GK14">
        <f>IF(D14="","",IFERROR(VLOOKUP(D14,УГО_спр,2,FALSE),IFERROR(VLOOKUP(AT14,УГО_спр,2,FALSE),IFERROR(VLOOKUP(LEFT(AT14,2),УГО_спр,2,FALSE),""))))</f>
        <v>0</v>
      </c>
      <c r="GL14" t="str">
        <f>IF(D14="","",IF(OR(GK14="",GK14=0),"BOX",IFERROR(IF(VLOOKUP(GK14,УГО_блоки,3,FALSE)&amp;""&lt;&gt;"",VLOOKUP(GK14,УГО_блоки,3,FALSE),VLOOKUP(GK14,УГО_блоки,2,FALSE)),GK14)))</f>
        <v>BOX</v>
      </c>
      <c r="GM14">
        <f t="shared" si="83"/>
        <v>1</v>
      </c>
      <c r="GN14" t="str">
        <f>IF(EP14="","",IF(COUNTIF(EP$3:EP14,EP14)=1,MAX(GN$2:GN13)+1,""))</f>
        <v/>
      </c>
      <c r="GO14" t="str">
        <f>IF(AF14="","",IF(COUNTIF(AF$3:AF14,AF14)+COUNTIF(AG$2:AG13,AF14)+COUNTIF(AH$2:AH13,AF14)=1,MAX(GO$2:GQ13)+1,""))</f>
        <v/>
      </c>
      <c r="GP14" t="str">
        <f>IF(AG14="","",IF(COUNTIF(AF$3:AF14,AG14)+COUNTIF(AG$3:AG14,AG14)+COUNTIF(AH$2:AH13,AG14)=1,MAX(GO$2:GQ13,GO14)+1,""))</f>
        <v/>
      </c>
      <c r="GQ14" t="str">
        <f>IF(AH14="","",IF(COUNTIF(AF$3:AF14,AH14)+COUNTIF(AG$3:AG14,AH14)+COUNTIF(AH$3:AH14,AH14)=1,MAX(GO$2:GQ13,GO14,GP14)+1,""))</f>
        <v/>
      </c>
      <c r="GR14" t="str">
        <f t="shared" si="84"/>
        <v>5х16</v>
      </c>
      <c r="GS14">
        <f>IF(GR14="","",IF(COUNTIF(GR$3:GR14,GR14)=1,MAX(GS$2:GS13)+1,""))</f>
        <v>6</v>
      </c>
      <c r="GT14" t="str">
        <f>IF(ES14="","",COUNTIF(ES$3:ES14,"?*"))</f>
        <v/>
      </c>
      <c r="GU14" t="str">
        <f>IF(OR(ES14="",EU14=""),"",IF(COUNTIFS(ES$3:ES14,"?*",EU$3:EU14,EU14)=1,MAX(GU$2:GU13)+1,""))</f>
        <v/>
      </c>
      <c r="GV14">
        <f t="shared" si="85"/>
        <v>0</v>
      </c>
      <c r="GW14">
        <f>IF(D14="","",COUNTIF(D$3:D14,"?*"))</f>
        <v>12</v>
      </c>
      <c r="GX14">
        <f>IF(EX14&lt;&gt;1,0,_xlfn.LET(_xlpm.k,MAX(IFERROR(--VLOOKUP(D14,УГО_спр,5,FALSE),0),IFERROR(--VLOOKUP(AT14,УГО_спр,5,FALSE),0),IFERROR(--VLOOKUP(LEFT(AT14,2),УГО_спр,5,FALSE),0)),IF(_xlpm.k&gt;0,_xlpm.k,IF(IFERROR(--LEFT(SUBSTITUTE(GR14,"x","х"),FIND("х",SUBSTITUTE(GR14,"x","х"))-1),3)&gt;3,Каталог!$S$9,1))))</f>
        <v>1</v>
      </c>
      <c r="GY14">
        <f t="shared" si="86"/>
        <v>2</v>
      </c>
    </row>
    <row r="15" spans="1:207" x14ac:dyDescent="0.3">
      <c r="A15" t="s">
        <v>788</v>
      </c>
      <c r="B15">
        <v>27</v>
      </c>
      <c r="C15" t="str">
        <f>IF(BD15="","",IF(BE15="вводной узел","узел ","")&amp;"л."&amp;(INT((BD15-1)/Столбцов_на_лист)+1)&amp;" / "&amp;(MOD(BD15-1,Столбцов_на_лист)+1))</f>
        <v>л.2 / 10</v>
      </c>
      <c r="D15" t="s">
        <v>764</v>
      </c>
      <c r="E15" s="133" t="s">
        <v>763</v>
      </c>
      <c r="G15">
        <v>9.98</v>
      </c>
      <c r="H15">
        <v>1</v>
      </c>
      <c r="I15">
        <v>3</v>
      </c>
      <c r="J15">
        <v>400</v>
      </c>
      <c r="K15" t="s">
        <v>566</v>
      </c>
      <c r="N15">
        <v>1</v>
      </c>
      <c r="O15" t="s">
        <v>1298</v>
      </c>
      <c r="P15">
        <v>56</v>
      </c>
      <c r="Q15">
        <v>40</v>
      </c>
      <c r="R15">
        <v>11</v>
      </c>
      <c r="S15">
        <v>0</v>
      </c>
      <c r="U15" t="s">
        <v>11</v>
      </c>
      <c r="V15">
        <v>5</v>
      </c>
      <c r="W15">
        <v>4</v>
      </c>
      <c r="X15">
        <v>16</v>
      </c>
      <c r="Z15" t="s">
        <v>621</v>
      </c>
      <c r="AA15" t="s">
        <v>818</v>
      </c>
      <c r="AK15" t="s">
        <v>488</v>
      </c>
      <c r="AR15" t="str">
        <f t="shared" si="0"/>
        <v/>
      </c>
      <c r="AS15" cm="1">
        <f t="array" ref="AS15">ROW()-ROW(Линии[#Headers])</f>
        <v>13</v>
      </c>
      <c r="AT15" t="str">
        <f t="shared" si="1"/>
        <v>ЩР-2</v>
      </c>
      <c r="AU15" t="str">
        <f t="shared" si="2"/>
        <v/>
      </c>
      <c r="AV15" t="str">
        <f t="shared" si="3"/>
        <v/>
      </c>
      <c r="AW15" t="str">
        <f t="shared" si="4"/>
        <v/>
      </c>
      <c r="AX15" t="str">
        <f t="shared" si="5"/>
        <v/>
      </c>
      <c r="AY15" t="str">
        <f>IF(D15="","",IF(ISERROR(SEARCH(".",D15)),IFERROR(VLOOKUP(D15,Потребители_обозначение,2,FALSE)&amp;"",""),IFERROR(IF(VLOOKUP(AT15,Потребители_обозначение,4,FALSE)=1,VLOOKUP(AT15,Потребители_обозначение,2,FALSE)&amp;" "&amp;VLOOKUP(AV15,Этаж_обозначение,2,FALSE)&amp;" Пом. №"&amp;AX15,VLOOKUP(AT15,Потребители_обозначение,2,FALSE)&amp;" Шлейф №"&amp;AV15),IFERROR(VLOOKUP(D15,Потребители_обозначение,2,FALSE),""))))</f>
        <v/>
      </c>
      <c r="AZ15" t="str">
        <f t="shared" si="6"/>
        <v>Щит распределительный ЩР-2 Техэтаж этаж Пом. №3.001Т</v>
      </c>
      <c r="BA15" t="str">
        <f>IF(F15&lt;&gt;"",F15,IF(AND(D15&lt;&gt;"",D15&lt;&gt;A15,ISNUMBER(_xlfn.XMATCH(D15,Щиты[Щит]))),D15,""))</f>
        <v>ЩР-2</v>
      </c>
      <c r="BB15">
        <f>IFERROR(_xlfn.XMATCH(A15,Щиты[Щит]),0)</f>
        <v>1</v>
      </c>
      <c r="BC15">
        <f>IFERROR(N(_xlfn.XLOOKUP(A15,Щиты[Щит],Щиты[Мест под вводной узел])),15)</f>
        <v>1</v>
      </c>
      <c r="BD15">
        <f t="shared" si="7"/>
        <v>27</v>
      </c>
      <c r="BE15" t="str">
        <f t="shared" si="8"/>
        <v>линии</v>
      </c>
      <c r="BF15">
        <f>IF(D15="","",IF(BA15&lt;&gt;"",IFERROR(_xlfn.XLOOKUP(BA15,Щиты[Щит],Щиты[Руст, кВт]),0),N(G15)))</f>
        <v>9.98</v>
      </c>
      <c r="BG15">
        <f>IF(J15&lt;&gt;"",J15,IF(D15="","",IFERROR(IF(VLOOKUP(AT15,Потребители_обозначение,8,FALSE)=0,"",VLOOKUP(AT15,Потребители_обозначение,8,FALSE)),"")))</f>
        <v>400</v>
      </c>
      <c r="BH15">
        <f>IF(I15&lt;&gt;"",I15,IF(D15="","",IFERROR(IF(VLOOKUP(AT15,Потребители_обозначение,9,FALSE)=0,"",VLOOKUP(AT15,Потребители_обозначение,9,FALSE)),"")))</f>
        <v>3</v>
      </c>
      <c r="BI15" t="str">
        <f>IF(U15&lt;&gt;"",U15,IF(D15="","",IFERROR(IF(VLOOKUP(AT15,Потребители_обозначение,6,FALSE)=0,"",VLOOKUP(AT15,Потребители_обозначение,6,FALSE)),"")))</f>
        <v>мс</v>
      </c>
      <c r="BJ15">
        <f>IF(V15&lt;&gt;"",V15,IF(D15="","",IFERROR(IF(VLOOKUP(AT15,Потребители_обозначение,7,FALSE)=0,"",VLOOKUP(AT15,Потребители_обозначение,7,FALSE)),"")))</f>
        <v>5</v>
      </c>
      <c r="BK15">
        <f>IF(W15&lt;&gt;"",W15,IF(D15="","",IFERROR(IF(VLOOKUP(AT15,Потребители_обозначение,10,FALSE)=0,"",VLOOKUP(AT15,Потребители_обозначение,10,FALSE)),"")))</f>
        <v>4</v>
      </c>
      <c r="BL15">
        <f>IFERROR(VLOOKUP(AT15,Потребители_обозначение,5,FALSE),0)</f>
        <v>0</v>
      </c>
      <c r="BM15" cm="1">
        <f t="array" ref="BM15">IF(D15="","",IF(BA15&lt;&gt;"",IFERROR(_xlfn.XLOOKUP(BA15,Щиты[Щит],Щиты[cos φ]),0.95),IF(ISNUMBER(M15),M15,IFERROR(IF(BL15=2,_xlfn.IFS(BH15=3,VLOOKUP(BF15,Справочная_двигатели,8,FALSE),BH15=1,VLOOKUP(BF15,Справочная_двигатели,10,TRUE)),IF(AND(Методика="нормы 2026",CN15="Сил"),0.8,0.95)),0.95))))</f>
        <v>0.95</v>
      </c>
      <c r="BN15" cm="1">
        <f t="array" ref="BN15">IF(D15="","",IF(BA15&lt;&gt;"",IFERROR(_xlfn.XLOOKUP(BA15,Щиты[Щит],Щиты[Iр, А]),""),IFERROR(_xlfn.IFS(BH15=1,BF15/((Uн_лин/SQRT(3))*BM15),BH15=3,BF15/(SQRT(3)*Uн_лин*BM15)),"")))</f>
        <v>13.694473137501861</v>
      </c>
      <c r="BO15">
        <f>IF(D15="","",IF(N(X15)=0,IFERROR(VLOOKUP(BN15,Автомат_номиналы,2,TRUE),""),X15))</f>
        <v>16</v>
      </c>
      <c r="BP15">
        <f t="shared" si="9"/>
        <v>0.92</v>
      </c>
      <c r="BQ15">
        <f>IF(ISNUMBER(Y15),Y15,К_прокл)</f>
        <v>1</v>
      </c>
      <c r="BR15">
        <f t="shared" si="10"/>
        <v>3</v>
      </c>
      <c r="BS15" cm="1">
        <f t="array" ref="BS15">IF(D15="","",IF(N(BK15)&lt;&gt;0,BK15,IFERROR(_xlfn.LET(_xlpm.need,BO15/(BP15*BQ15),_xlpm.t,CHOOSE(BR15,Iдоп_1ж,Iдоп_2ж,Iдоп_3ж),_xlpm.k,_xlfn.XMATCH(_xlpm.need,_xlpm.t,1),IF(ISNA(_xlpm.k),"Не исп",INDEX(Iдоп_S,_xlpm.k))),"Не исп")))</f>
        <v>4</v>
      </c>
      <c r="BT15">
        <f>IFERROR(VLOOKUP(BS15,Кабель_сопротивление,3,FALSE),"")</f>
        <v>2.2499999999999999E-2</v>
      </c>
      <c r="BU15">
        <f>IFERROR(VLOOKUP(BS15,Кабель_сопротивление,2,FALSE),"")</f>
        <v>9.5000000000000001E-2</v>
      </c>
      <c r="BV15">
        <f t="shared" si="11"/>
        <v>56</v>
      </c>
      <c r="BW15">
        <f>IF(D15="","",IFERROR(IF(VLOOKUP(AT15,Потребители_обозначение,4,FALSE)=1,VLOOKUP(AT15,Потребители_обозначение,3,FALSE)*(H15*2-1)+BV15+VLOOKUP(AV15,Этаж_обозначение,3,FALSE)+VLOOKUP(AV15,Этаж_обозначение,4,FALSE),VLOOKUP(AT15,Потребители_обозначение,3,FALSE)*(H15*2-1)+BV15),BV15))</f>
        <v>56</v>
      </c>
      <c r="BX15">
        <f t="shared" si="12"/>
        <v>11</v>
      </c>
      <c r="BY15">
        <f t="shared" si="13"/>
        <v>0</v>
      </c>
      <c r="BZ15">
        <f t="shared" si="14"/>
        <v>1</v>
      </c>
      <c r="CA15">
        <f t="shared" si="15"/>
        <v>0.31</v>
      </c>
      <c r="CB15">
        <f t="shared" si="16"/>
        <v>4.1206560114957993</v>
      </c>
      <c r="CC15">
        <f>IFERROR(ROUNDUP(CB15/((Uн_лин/SQRT(3))*1000)*100,2),"")</f>
        <v>1.79</v>
      </c>
      <c r="CD15">
        <f>IF(ISNUMBER(CC15),CC15+IFERROR(_xlfn.XLOOKUP(A15,Щиты[Щит],Щиты[ΔU до шин, %]),0),"")</f>
        <v>1.79</v>
      </c>
      <c r="CE15">
        <f>IF(D15="","",IF(IFERROR(VLOOKUP(AT15,УГО_спр,2,FALSE),"")="Светильник",3,4)+IF(Методика="нормы 2026",MIN(0.5,MAX(0,N(BW15)-100)*0.005),0))</f>
        <v>4</v>
      </c>
      <c r="CF15" t="str">
        <f>IFERROR(VLOOKUP(BI15,Кабель_обозначение,2,FALSE),"")</f>
        <v>ВВГнг(А)-LS</v>
      </c>
      <c r="CG15" t="str">
        <f>IFERROR(IF(VLOOKUP(BI15,Кабель_обозначение,3,FALSE)=1,CF15&amp;" ("&amp;BJ15&amp;"х"&amp;BS15&amp;")",CF15),"")</f>
        <v>ВВГнг(А)-LS (5х4)</v>
      </c>
      <c r="CH15" t="str">
        <f t="shared" si="17"/>
        <v>ВВГнг(А)-LS (5х4)
L=56-1,79%</v>
      </c>
      <c r="CI15">
        <f>IFERROR(2*ρкз_Cu*BW15/BS15,"")</f>
        <v>0.73640000000000005</v>
      </c>
      <c r="CJ15">
        <f t="shared" si="18"/>
        <v>0.24500000000000002</v>
      </c>
      <c r="CK15" t="str">
        <f>IFERROR(IF(OR(D15="",NOT(ISNUMBER(BS15)),N(BW15)=0),"",_xlfn.XLOOKUP(A15,Щиты[Щит],Щиты[Zпетли на шинах, Ом])+CI15),"")</f>
        <v/>
      </c>
      <c r="CL15" t="str">
        <f>IF(ISNUMBER(CK15),c_min*(Uн_лин*1000/SQRT(3))/CK15,"")</f>
        <v/>
      </c>
      <c r="CM15" t="str">
        <f>IFERROR(IF(OR(D15="",NOT(ISNUMBER(BS15))),"",1.05*(Uн_лин*1000/SQRT(3))/(_xlfn.XLOOKUP(A15,Щиты[Щит],Щиты[Zmax на шинах, Ом])+CJ15)/1000),"")</f>
        <v/>
      </c>
      <c r="CN15" t="str">
        <f>IF(D15="","",IF(BA15&lt;&gt;"","Щит",IF(K15&lt;&gt;"",K15,IF(ISNUMBER(L15),"Сил",IF(IFERROR(_xlfn.XLOOKUP(AT15,Коды_код,Коды_группа)&amp;"","")="","Быт",_xlfn.XLOOKUP(AT15,Коды_код,Коды_группа)&amp;"")))))</f>
        <v>Щит</v>
      </c>
      <c r="CO15" t="str">
        <f>IF(CN15="Щит","щит",IF(CN15="","",IF(CN15="Быт",IFERROR(_xlfn.XLOOKUP(A15,Щиты[Щит],Щиты[Кс быт]),1),IF(CN15="Сил",IF(ISNUMBER(L15),L15,IF(Методика="нормы 2026",IFERROR(_xlfn.XLOOKUP(A15,Щиты[Щит],Щиты[Кс силовых (табл. 7.5)]),1),1)),IF(OR(CN15="Пост",CN15="Отоп"),1,IF(CN15="ВНГ",0.7,0))))))</f>
        <v>щит</v>
      </c>
      <c r="CP15">
        <f t="shared" si="19"/>
        <v>1</v>
      </c>
      <c r="CQ15">
        <f t="shared" si="20"/>
        <v>0</v>
      </c>
      <c r="CR15">
        <f t="shared" si="21"/>
        <v>0</v>
      </c>
      <c r="CS15">
        <f t="shared" si="22"/>
        <v>0</v>
      </c>
      <c r="CT15">
        <f t="shared" si="23"/>
        <v>0</v>
      </c>
      <c r="CU15">
        <f t="shared" si="24"/>
        <v>0</v>
      </c>
      <c r="CV15">
        <f t="shared" si="25"/>
        <v>0</v>
      </c>
      <c r="CW15">
        <f t="shared" si="26"/>
        <v>0</v>
      </c>
      <c r="CX15">
        <f t="shared" si="27"/>
        <v>0</v>
      </c>
      <c r="CY15">
        <f t="shared" si="28"/>
        <v>2</v>
      </c>
      <c r="CZ15" t="str">
        <f t="shared" si="29"/>
        <v>L1,L2,L3</v>
      </c>
      <c r="DA15" cm="1">
        <f t="array" ref="DA15">IFERROR(IF(BL15=2,_xlfn.IFS(BH15=3,VLOOKUP(BF15,Справочная_двигатели,3,FALSE),BH15=1,VLOOKUP(BF15,Справочная_двигатели,5,TRUE)),0),0)</f>
        <v>0</v>
      </c>
      <c r="DB15">
        <f>IFERROR(IF(BL15=3,VLOOKUP(BF15,Справочная_ЛЭД,2,TRUE),0),0)</f>
        <v>0</v>
      </c>
      <c r="DC15">
        <f t="shared" si="30"/>
        <v>0</v>
      </c>
      <c r="DD15" t="str">
        <f t="shared" si="31"/>
        <v>L1,L2,L3</v>
      </c>
      <c r="DE15" t="str" cm="1">
        <f t="array" ref="DE15">IF(D15="","",IFERROR(INDEX({"I особая","I","II","III"},MATCH(TRIM(AA15&amp;""),{"I особая","I","II","III"},0)),"III"))</f>
        <v>II</v>
      </c>
      <c r="DF15" t="str">
        <f>IF(D15="","",IF(TRIM(AB15&amp;"")&lt;&gt;"",IF(LOWER(TRIM(AB15&amp;""))="да","да","нет"),IF(IFERROR(_xlfn.XLOOKUP(AT15,Коды_код,Коды_пожарная),"")="да","да","нет")))</f>
        <v>нет</v>
      </c>
      <c r="DG15" t="str">
        <f t="shared" si="32"/>
        <v/>
      </c>
      <c r="DH15" t="str">
        <f t="shared" si="33"/>
        <v>основная</v>
      </c>
      <c r="DI15">
        <f t="shared" si="34"/>
        <v>1</v>
      </c>
      <c r="DJ15" t="str" cm="1">
        <f t="array" ref="DJ15">IF(D15="","",_xlfn.LET(_xlpm.t,IFERROR(_xlfn.XLOOKUP(1,(Шины[Шина]=DH15)*(((Шины[Щит]=A15)+(Шины[Щит]=""))&gt;0),Шины[Тип]),"")&amp;"",IF(_xlpm.t&lt;&gt;"",_xlpm.t,IF(ISNUMBER(SEARCH("ИБП",DH15)),"ИБП",IF(ISNUMBER(SEARCH("ДГУ",DH15)),"ДГУ","Ввод "&amp;DI15)))))</f>
        <v>Ввод 1</v>
      </c>
      <c r="DK15" t="str">
        <f t="shared" si="35"/>
        <v>Ввод 1</v>
      </c>
      <c r="DL15" t="str">
        <f>IF(D15="","",IF(OR(DJ15="ИБП",DJ15="ДГУ"),"I особая",IF(DJ15="Одиночная","III",_xlfn.XLOOKUP(A15,Щиты[Щит],Щиты[Категория шины «Ввод»],"III"))))</f>
        <v>I</v>
      </c>
      <c r="DM15">
        <f>IF(D15="",0,IFERROR(MATCH(DE15,{"III","II","I","I особая"},0),1))</f>
        <v>2</v>
      </c>
      <c r="DN15">
        <f t="shared" si="36"/>
        <v>2</v>
      </c>
      <c r="DO15" t="str">
        <f>IF(D15="","",IF(DM15&gt;IFERROR(MATCH(DL15,{"III","II","I","I особая"},0),1),"НЕ ОБЕСПЕЧЕНА","ОК"))</f>
        <v>ОК</v>
      </c>
      <c r="DP15" t="str">
        <f>IF(A15="","",_xlfn.XLOOKUP(A15,Щиты[Щит],Щиты[Путь],""))</f>
        <v>|ГРЩ-ЖД|</v>
      </c>
      <c r="DQ15" t="str">
        <f>IF(D15="","",IF(Z15&lt;&gt;"",Z15,IF(IFERROR(_xlfn.XLOOKUP(AT15,Коды_код,Коды_вид)&amp;"","")="","Прочее",_xlfn.XLOOKUP(AT15,Коды_код,Коды_вид)&amp;"")))</f>
        <v>Распределительные щиты жилой части</v>
      </c>
      <c r="DR15">
        <f>IF(BD15="","",INT((BD15-1)/Столбцов_на_лист)+1)</f>
        <v>2</v>
      </c>
      <c r="DS15" t="str">
        <f t="shared" si="37"/>
        <v>ВВГнг(А)-LS (5х4) L=56-1,79%</v>
      </c>
      <c r="DT15">
        <f t="shared" si="38"/>
        <v>9.98</v>
      </c>
      <c r="DU15">
        <f t="shared" si="39"/>
        <v>13.7</v>
      </c>
      <c r="DV15">
        <f t="shared" si="40"/>
        <v>3</v>
      </c>
      <c r="DW15">
        <f>IF(AT15="",0,_xlfn.LET(_xlpm.v,IFERROR(VLOOKUP(D15,УГО_спр,3,FALSE),IFERROR(VLOOKUP(AT15,УГО_спр,3,FALSE),IFERROR(VLOOKUP(LEFT(AT15,2),УГО_спр,3,FALSE),""))),IF(_xlpm.v="да",30,IF(ISNUMBER(_xlpm.v),_xlpm.v,0))))</f>
        <v>0</v>
      </c>
      <c r="DX15">
        <f t="shared" si="41"/>
        <v>0</v>
      </c>
      <c r="DY15" t="str">
        <f>IF(BD15="","",IF(AD15&lt;&gt;"",COUNTIFS(A$3:A15,A15,AD$3:AD15,"?*"),IF(OR(OR(AS15=1,A15&lt;&gt;A14),AL15="вручную"),"",IF(AS15=1,"",DZ14))))</f>
        <v/>
      </c>
      <c r="DZ15" t="str">
        <f t="shared" si="42"/>
        <v/>
      </c>
      <c r="EA15">
        <f>IF(D15="",0,MAX(IFERROR(--X15,0),IFERROR(--VLOOKUP(D15,УГО_спр,4,FALSE),IFERROR(--VLOOKUP(AT15,УГО_спр,4,FALSE),IFERROR(--VLOOKUP(LEFT(AT15,2),УГО_спр,4,FALSE),0)))))</f>
        <v>16</v>
      </c>
      <c r="EB15">
        <f>IF(D15="","",IFERROR(LOOKUP(INDEX(CHOOSE(BR15,Iдоп_1ж,Iдоп_2ж,Iдоп_3ж),MATCH(BS15,Iдоп_S,0))*BP15*BQ15,{6,10,16,20,25,32,40,50,63,80,100,125,160,200,250,315,400,500,630}),""))</f>
        <v>32</v>
      </c>
      <c r="EC15" t="str">
        <f>IF(AD15="","",SUMIFS(Линии[_Ток схемы],Линии[_гр.],DY15,Линии[Щит],A15,Линии[_в кабель выше],0))</f>
        <v/>
      </c>
      <c r="ED15" t="str">
        <f>IF(AD15="","",IFERROR(VLOOKUP(EC15,Автомат_номиналы,2,TRUE),""))</f>
        <v/>
      </c>
      <c r="EE15" t="str">
        <f>IF(AD15="","",MAX(N(ED15),_xlfn.MAXIFS(Линии[_мин. по типу],Линии[_гр.],DY15,Линии[Щит],A15)))</f>
        <v/>
      </c>
      <c r="EF15" t="str">
        <f>IF(AD15="","",_xlfn.MINIFS(Линии[_макс. автомат по кабелю],Линии[_гр.],DY15,Линии[Щит],A15))</f>
        <v/>
      </c>
      <c r="EG15" t="str">
        <f>IF(AD15="","",MAX(1,_xlfn.MAXIFS(Линии[_фаз],Линии[_гр.],DY15,Линии[Щит],A15)))</f>
        <v/>
      </c>
      <c r="EH15" t="str">
        <f>IF(AD15="","",IF(AND(AD15&lt;&gt;"авто",AD15&lt;&gt;"+"),IF(ISNUMBER(SEARCH("мА",AD15)),IFERROR(--TRIM(RIGHT(SUBSTITUTE(LEFT(AD15,SEARCH("мА",AD15)-1)," ",REPT(" ",9)),6)),30),0),IF(AE15="нет",0,IF(ISNUMBER(AE15),AE15,IF(AE15="да",30,_xlfn.MINIFS(Линии[_дифзащита по коду, мА],Линии[_гр.],DY15,Линии[Щит],A15,Линии[_дифзащита по коду, мА],"&gt;0"))))))</f>
        <v/>
      </c>
      <c r="EI15" t="str">
        <f t="shared" si="43"/>
        <v/>
      </c>
      <c r="EJ15" t="str">
        <f t="shared" si="44"/>
        <v/>
      </c>
      <c r="EK15" t="str">
        <f t="shared" si="45"/>
        <v/>
      </c>
      <c r="EL15" t="str">
        <f t="shared" si="46"/>
        <v/>
      </c>
      <c r="EM15">
        <f t="shared" si="47"/>
        <v>0</v>
      </c>
      <c r="EN15" t="str">
        <f>IF(AD15="","",IF(EM15=1,MAX(EE15,Мин_автомат_БП),EE15))</f>
        <v/>
      </c>
      <c r="EO15" t="str">
        <f t="shared" si="48"/>
        <v/>
      </c>
      <c r="EP15" t="str">
        <f t="shared" si="49"/>
        <v/>
      </c>
      <c r="EQ15" t="str">
        <f t="shared" si="50"/>
        <v/>
      </c>
      <c r="ER15" t="str">
        <f>IF(OR(AI15="",AI15="-"),"",IFERROR(VLOOKUP(AI15,Модули_спр,2,FALSE),"R"))</f>
        <v/>
      </c>
      <c r="ES15" t="str">
        <f>IF(ER15="","",ER15&amp;"."&amp;COUNTIFS(A$3:A15,A15,ER$3:ER15,ER15))</f>
        <v/>
      </c>
      <c r="ET15" t="str">
        <f t="shared" si="51"/>
        <v/>
      </c>
      <c r="EU15" t="str">
        <f t="shared" si="52"/>
        <v/>
      </c>
      <c r="EV15" t="str">
        <f t="shared" si="53"/>
        <v/>
      </c>
      <c r="EW15" t="str">
        <f t="shared" si="54"/>
        <v/>
      </c>
      <c r="EX15">
        <f t="shared" si="55"/>
        <v>1</v>
      </c>
      <c r="EY15" t="str">
        <f>IF(AK15="нет","",IF(AK15&lt;&gt;"",AK15,IF(EX15=1,"XT"&amp;COUNTIFS(A$3:A15,A15,EX$3:EX15,1),"")))</f>
        <v/>
      </c>
      <c r="EZ15" t="str">
        <f t="shared" si="56"/>
        <v/>
      </c>
      <c r="FA15" t="str">
        <f t="shared" si="57"/>
        <v/>
      </c>
      <c r="FB15" t="str">
        <f t="shared" si="58"/>
        <v/>
      </c>
      <c r="FC15" t="str">
        <f>IF(OR(EV15="",ET15=""),"",IF(EV15&gt;IFERROR(VLOOKUP(EU15,Модули_спр,3,FALSE),99),"ЛИШНИЙ КАНАЛ",IF(AND(AJ15&lt;&gt;"=",COUNTIFS(Линии[_модуль гр.],ET15,Линии[Канал (итог)],EV15,Линии[Канал],"&lt;&gt;=",Линии[Щит],A15)&gt;1),"ДУБЛЬ КАНАЛА","")))</f>
        <v/>
      </c>
      <c r="FD15" t="str">
        <f t="shared" si="59"/>
        <v/>
      </c>
      <c r="FE15" t="str">
        <f t="shared" si="60"/>
        <v/>
      </c>
      <c r="FF15" t="str">
        <f t="shared" si="61"/>
        <v/>
      </c>
      <c r="FG15" t="str">
        <f t="shared" si="62"/>
        <v/>
      </c>
      <c r="FH15" t="str">
        <f t="shared" si="63"/>
        <v/>
      </c>
      <c r="FI15">
        <f t="shared" si="64"/>
        <v>10</v>
      </c>
      <c r="FJ15" t="str">
        <f t="shared" si="65"/>
        <v/>
      </c>
      <c r="FK15" t="str">
        <f>IF(AND(D15="",EZ15=""),"",_xlfn.TEXTJOIN("; ",TRUE,IF(AND(D15&lt;&gt;"",DD15=""),"нет фазы",""),IF(AND(D15&lt;&gt;"",N(DT15)=0,CN15&lt;&gt;"Нет"),"нет мощности",""),IF(AND(EY15&lt;&gt;"",COUNTIFS(Линии[Щит],A15,Линии[Клемма (итог)],EY15)&gt;1),"дубль клеммы "&amp;EY15,""),IF(AND(FB15&lt;&gt;"",FB15&lt;&gt;"ok"),FB15,""),IF(FC15&lt;&gt;"",FC15,""),IF(AND(ISNUMBER(SEARCH("(5х",DS15)),N(DV15)=1),"5 жил на 1 фазе",""),IF(AND(AT15="R",AD15&lt;&gt;"",OR(N(EH15)=0,N(EH15)&gt;30)),"розетка без дифзащиты до 30 мА",""),IFERROR(IF(AND(ISNUMBER(CD15),CD15&gt;CE15),"потери "&amp;FIXED(CD15,1)&amp;" % &gt; "&amp;CE15&amp;" %",""),""),IFERROR(IF(LEFT(FJ15,4)="мало","Iкз мало — отключение &gt; 0,4 с",""),""),IF(AND(D15&lt;&gt;"",BD15=""),"не на схеме","")))</f>
        <v/>
      </c>
      <c r="FL15" t="str">
        <f>IF(AD15="","",_xlfn.LET(_xlpm.t,IFERROR(_xlfn.XLOOKUP(EP15,Каталог!$U$4:$U$500,Каталог!$G$4:$G$500),""),_xlpm.k,SEARCH("кА",_xlpm.t),IFERROR(--TRIM(RIGHT(SUBSTITUTE(MID(_xlpm.t,MAX(1,_xlpm.k-4),_xlpm.k-MAX(1,_xlpm.k-4))," ",REPT(" ",9)),5)),"")))</f>
        <v/>
      </c>
      <c r="FM15" t="str">
        <f>IF(OR(FL15="",AD15=""),"",IF(_xlfn.XLOOKUP(A15,Щиты[Щит],Щиты[Iкз max на шинах, кА],"")="","",IF(FL15&lt;_xlfn.XLOOKUP(A15,Щиты[Щит],Щиты[Iкз max на шинах, кА]),"Icu "&amp;FL15&amp;" кА &lt; Iкз max","ok")))</f>
        <v/>
      </c>
      <c r="FN15" t="str">
        <f t="shared" si="66"/>
        <v/>
      </c>
      <c r="FO15" t="str">
        <f t="shared" si="67"/>
        <v/>
      </c>
      <c r="FP15" t="str" cm="1">
        <f t="array" ref="FP15">IF(FO15="","",_xlfn.LET(_xlpm.nd,_xlfn.TEXTSPLIT(FO15,"|"),IF(COLUMNS(_xlpm.nd)&gt;1,A15&amp;"¦"&amp;INDEX(_xlpm.nd,1)&amp;"¦"&amp;INDEX(_xlpm.nd,2),"")))</f>
        <v/>
      </c>
      <c r="FQ15" t="str">
        <f t="shared" si="68"/>
        <v/>
      </c>
      <c r="FR15" t="str" cm="1">
        <f t="array" ref="FR15">IF(FO15="","",_xlfn.LET(_xlpm.nd,_xlfn.TEXTSPLIT(FO15,"|"),IF(COLUMNS(_xlpm.nd)&gt;2,A15&amp;"¦"&amp;INDEX(_xlpm.nd,2)&amp;"¦"&amp;INDEX(_xlpm.nd,3),"")))</f>
        <v/>
      </c>
      <c r="FS15" t="str">
        <f t="shared" si="69"/>
        <v/>
      </c>
      <c r="FT15" t="str" cm="1">
        <f t="array" ref="FT15">IF(FO15="","",_xlfn.LET(_xlpm.nd,_xlfn.TEXTSPLIT(FO15,"|"),IF(COLUMNS(_xlpm.nd)&gt;3,A15&amp;"¦"&amp;INDEX(_xlpm.nd,3)&amp;"¦"&amp;INDEX(_xlpm.nd,4),"")))</f>
        <v/>
      </c>
      <c r="FU15" t="str">
        <f t="shared" si="70"/>
        <v/>
      </c>
      <c r="FV15" t="str" cm="1">
        <f t="array" ref="FV15">IF(FO15="","",_xlfn.LET(_xlpm.nd,_xlfn.TEXTSPLIT(FO15,"|"),IF(COLUMNS(_xlpm.nd)&gt;4,A15&amp;"¦"&amp;INDEX(_xlpm.nd,4)&amp;"¦"&amp;INDEX(_xlpm.nd,5),"")))</f>
        <v/>
      </c>
      <c r="FW15" t="str">
        <f t="shared" si="71"/>
        <v/>
      </c>
      <c r="FX15" t="str" cm="1">
        <f t="array" ref="FX15">IF(FO15="","",_xlfn.LET(_xlpm.nd,_xlfn.TEXTSPLIT(FO15,"|"),IF(COLUMNS(_xlpm.nd)&gt;5,A15&amp;"¦"&amp;INDEX(_xlpm.nd,5)&amp;"¦"&amp;INDEX(_xlpm.nd,6),"")))</f>
        <v/>
      </c>
      <c r="FY15" t="str">
        <f t="shared" si="72"/>
        <v/>
      </c>
      <c r="FZ15" t="str" cm="1">
        <f t="array" ref="FZ15">IF(FO15="","",_xlfn.LET(_xlpm.nd,_xlfn.TEXTSPLIT(FO15,"|"),IF(COLUMNS(_xlpm.nd)&gt;6,A15&amp;"¦"&amp;INDEX(_xlpm.nd,6)&amp;"¦"&amp;INDEX(_xlpm.nd,7),"")))</f>
        <v/>
      </c>
      <c r="GA15" t="str">
        <f t="shared" si="73"/>
        <v/>
      </c>
      <c r="GB15" t="str">
        <f t="shared" si="74"/>
        <v/>
      </c>
      <c r="GC15" t="str">
        <f t="shared" si="75"/>
        <v/>
      </c>
      <c r="GD15">
        <f t="shared" si="76"/>
        <v>1</v>
      </c>
      <c r="GE15">
        <f t="shared" si="77"/>
        <v>0</v>
      </c>
      <c r="GF15">
        <f t="shared" si="78"/>
        <v>0</v>
      </c>
      <c r="GG15" t="str">
        <f t="shared" si="79"/>
        <v/>
      </c>
      <c r="GH15" t="str">
        <f t="shared" si="80"/>
        <v/>
      </c>
      <c r="GI15" t="str">
        <f t="shared" si="81"/>
        <v/>
      </c>
      <c r="GJ15" t="str">
        <f t="shared" si="82"/>
        <v/>
      </c>
      <c r="GK15">
        <f>IF(D15="","",IFERROR(VLOOKUP(D15,УГО_спр,2,FALSE),IFERROR(VLOOKUP(AT15,УГО_спр,2,FALSE),IFERROR(VLOOKUP(LEFT(AT15,2),УГО_спр,2,FALSE),""))))</f>
        <v>0</v>
      </c>
      <c r="GL15" t="str">
        <f>IF(D15="","",IF(OR(GK15="",GK15=0),"BOX",IFERROR(IF(VLOOKUP(GK15,УГО_блоки,3,FALSE)&amp;""&lt;&gt;"",VLOOKUP(GK15,УГО_блоки,3,FALSE),VLOOKUP(GK15,УГО_блоки,2,FALSE)),GK15)))</f>
        <v>BOX</v>
      </c>
      <c r="GM15">
        <f t="shared" si="83"/>
        <v>1</v>
      </c>
      <c r="GN15" t="str">
        <f>IF(EP15="","",IF(COUNTIF(EP$3:EP15,EP15)=1,MAX(GN$2:GN14)+1,""))</f>
        <v/>
      </c>
      <c r="GO15" t="str">
        <f>IF(AF15="","",IF(COUNTIF(AF$3:AF15,AF15)+COUNTIF(AG$2:AG14,AF15)+COUNTIF(AH$2:AH14,AF15)=1,MAX(GO$2:GQ14)+1,""))</f>
        <v/>
      </c>
      <c r="GP15" t="str">
        <f>IF(AG15="","",IF(COUNTIF(AF$3:AF15,AG15)+COUNTIF(AG$3:AG15,AG15)+COUNTIF(AH$2:AH14,AG15)=1,MAX(GO$2:GQ14,GO15)+1,""))</f>
        <v/>
      </c>
      <c r="GQ15" t="str">
        <f>IF(AH15="","",IF(COUNTIF(AF$3:AF15,AH15)+COUNTIF(AG$3:AG15,AH15)+COUNTIF(AH$3:AH15,AH15)=1,MAX(GO$2:GQ14,GO15,GP15)+1,""))</f>
        <v/>
      </c>
      <c r="GR15" t="str">
        <f t="shared" si="84"/>
        <v>5х4</v>
      </c>
      <c r="GS15" t="str">
        <f>IF(GR15="","",IF(COUNTIF(GR$3:GR15,GR15)=1,MAX(GS$2:GS14)+1,""))</f>
        <v/>
      </c>
      <c r="GT15" t="str">
        <f>IF(ES15="","",COUNTIF(ES$3:ES15,"?*"))</f>
        <v/>
      </c>
      <c r="GU15" t="str">
        <f>IF(OR(ES15="",EU15=""),"",IF(COUNTIFS(ES$3:ES15,"?*",EU$3:EU15,EU15)=1,MAX(GU$2:GU14)+1,""))</f>
        <v/>
      </c>
      <c r="GV15">
        <f t="shared" si="85"/>
        <v>0</v>
      </c>
      <c r="GW15">
        <f>IF(D15="","",COUNTIF(D$3:D15,"?*"))</f>
        <v>13</v>
      </c>
      <c r="GX15">
        <f>IF(EX15&lt;&gt;1,0,_xlfn.LET(_xlpm.k,MAX(IFERROR(--VLOOKUP(D15,УГО_спр,5,FALSE),0),IFERROR(--VLOOKUP(AT15,УГО_спр,5,FALSE),0),IFERROR(--VLOOKUP(LEFT(AT15,2),УГО_спр,5,FALSE),0)),IF(_xlpm.k&gt;0,_xlpm.k,IF(IFERROR(--LEFT(SUBSTITUTE(GR15,"x","х"),FIND("х",SUBSTITUTE(GR15,"x","х"))-1),3)&gt;3,Каталог!$S$9,1))))</f>
        <v>1</v>
      </c>
      <c r="GY15">
        <f t="shared" si="86"/>
        <v>2</v>
      </c>
    </row>
    <row r="16" spans="1:207" x14ac:dyDescent="0.3">
      <c r="A16" t="s">
        <v>788</v>
      </c>
      <c r="B16">
        <v>28</v>
      </c>
      <c r="C16" t="str">
        <f>IF(BD16="","",IF(BE16="вводной узел","узел ","")&amp;"л."&amp;(INT((BD16-1)/Столбцов_на_лист)+1)&amp;" / "&amp;(MOD(BD16-1,Столбцов_на_лист)+1))</f>
        <v>л.2 / 11</v>
      </c>
      <c r="D16" t="s">
        <v>766</v>
      </c>
      <c r="E16" s="133" t="s">
        <v>765</v>
      </c>
      <c r="G16">
        <v>24.99</v>
      </c>
      <c r="H16">
        <v>1</v>
      </c>
      <c r="I16">
        <v>3</v>
      </c>
      <c r="J16">
        <v>400</v>
      </c>
      <c r="K16" t="s">
        <v>602</v>
      </c>
      <c r="L16">
        <v>0.5</v>
      </c>
      <c r="N16">
        <v>1</v>
      </c>
      <c r="O16" t="s">
        <v>1298</v>
      </c>
      <c r="P16">
        <v>51</v>
      </c>
      <c r="Q16">
        <v>35</v>
      </c>
      <c r="R16">
        <v>11</v>
      </c>
      <c r="S16">
        <v>0</v>
      </c>
      <c r="U16" t="s">
        <v>11</v>
      </c>
      <c r="V16">
        <v>5</v>
      </c>
      <c r="W16">
        <v>10</v>
      </c>
      <c r="X16">
        <v>40</v>
      </c>
      <c r="Z16" t="s">
        <v>604</v>
      </c>
      <c r="AA16" t="s">
        <v>867</v>
      </c>
      <c r="AK16" t="s">
        <v>488</v>
      </c>
      <c r="AR16" t="str">
        <f t="shared" si="0"/>
        <v/>
      </c>
      <c r="AS16" cm="1">
        <f t="array" ref="AS16">ROW()-ROW(Линии[#Headers])</f>
        <v>14</v>
      </c>
      <c r="AT16" t="str">
        <f t="shared" si="1"/>
        <v>ЩС-Б</v>
      </c>
      <c r="AU16" t="str">
        <f t="shared" si="2"/>
        <v/>
      </c>
      <c r="AV16" t="str">
        <f t="shared" si="3"/>
        <v/>
      </c>
      <c r="AW16" t="str">
        <f t="shared" si="4"/>
        <v/>
      </c>
      <c r="AX16" t="str">
        <f t="shared" si="5"/>
        <v/>
      </c>
      <c r="AY16" t="str">
        <f>IF(D16="","",IF(ISERROR(SEARCH(".",D16)),IFERROR(VLOOKUP(D16,Потребители_обозначение,2,FALSE)&amp;"",""),IFERROR(IF(VLOOKUP(AT16,Потребители_обозначение,4,FALSE)=1,VLOOKUP(AT16,Потребители_обозначение,2,FALSE)&amp;" "&amp;VLOOKUP(AV16,Этаж_обозначение,2,FALSE)&amp;" Пом. №"&amp;AX16,VLOOKUP(AT16,Потребители_обозначение,2,FALSE)&amp;" Шлейф №"&amp;AV16),IFERROR(VLOOKUP(D16,Потребители_обозначение,2,FALSE),""))))</f>
        <v>Щит бассейна</v>
      </c>
      <c r="AZ16" t="str">
        <f t="shared" si="6"/>
        <v>Щит бассейна ЩС-Б Подвальный этаж этаж Пом. №00.002Тб</v>
      </c>
      <c r="BA16" t="str">
        <f>IF(F16&lt;&gt;"",F16,IF(AND(D16&lt;&gt;"",D16&lt;&gt;A16,ISNUMBER(_xlfn.XMATCH(D16,Щиты[Щит]))),D16,""))</f>
        <v>ЩС-Б</v>
      </c>
      <c r="BB16">
        <f>IFERROR(_xlfn.XMATCH(A16,Щиты[Щит]),0)</f>
        <v>1</v>
      </c>
      <c r="BC16">
        <f>IFERROR(N(_xlfn.XLOOKUP(A16,Щиты[Щит],Щиты[Мест под вводной узел])),15)</f>
        <v>1</v>
      </c>
      <c r="BD16">
        <f t="shared" si="7"/>
        <v>28</v>
      </c>
      <c r="BE16" t="str">
        <f t="shared" si="8"/>
        <v>линии</v>
      </c>
      <c r="BF16">
        <f>IF(D16="","",IF(BA16&lt;&gt;"",IFERROR(_xlfn.XLOOKUP(BA16,Щиты[Щит],Щиты[Руст, кВт]),0),N(G16)))</f>
        <v>24.990000000000002</v>
      </c>
      <c r="BG16">
        <f>IF(J16&lt;&gt;"",J16,IF(D16="","",IFERROR(IF(VLOOKUP(AT16,Потребители_обозначение,8,FALSE)=0,"",VLOOKUP(AT16,Потребители_обозначение,8,FALSE)),"")))</f>
        <v>400</v>
      </c>
      <c r="BH16">
        <f>IF(I16&lt;&gt;"",I16,IF(D16="","",IFERROR(IF(VLOOKUP(AT16,Потребители_обозначение,9,FALSE)=0,"",VLOOKUP(AT16,Потребители_обозначение,9,FALSE)),"")))</f>
        <v>3</v>
      </c>
      <c r="BI16" t="str">
        <f>IF(U16&lt;&gt;"",U16,IF(D16="","",IFERROR(IF(VLOOKUP(AT16,Потребители_обозначение,6,FALSE)=0,"",VLOOKUP(AT16,Потребители_обозначение,6,FALSE)),"")))</f>
        <v>мс</v>
      </c>
      <c r="BJ16">
        <f>IF(V16&lt;&gt;"",V16,IF(D16="","",IFERROR(IF(VLOOKUP(AT16,Потребители_обозначение,7,FALSE)=0,"",VLOOKUP(AT16,Потребители_обозначение,7,FALSE)),"")))</f>
        <v>5</v>
      </c>
      <c r="BK16">
        <f>IF(W16&lt;&gt;"",W16,IF(D16="","",IFERROR(IF(VLOOKUP(AT16,Потребители_обозначение,10,FALSE)=0,"",VLOOKUP(AT16,Потребители_обозначение,10,FALSE)),"")))</f>
        <v>10</v>
      </c>
      <c r="BL16">
        <f>IFERROR(VLOOKUP(AT16,Потребители_обозначение,5,FALSE),0)</f>
        <v>1</v>
      </c>
      <c r="BM16" cm="1">
        <f t="array" ref="BM16">IF(D16="","",IF(BA16&lt;&gt;"",IFERROR(_xlfn.XLOOKUP(BA16,Щиты[Щит],Щиты[cos φ]),0.95),IF(ISNUMBER(M16),M16,IFERROR(IF(BL16=2,_xlfn.IFS(BH16=3,VLOOKUP(BF16,Справочная_двигатели,8,FALSE),BH16=1,VLOOKUP(BF16,Справочная_двигатели,10,TRUE)),IF(AND(Методика="нормы 2026",CN16="Сил"),0.8,0.95)),0.95))))</f>
        <v>0.94999999999999984</v>
      </c>
      <c r="BN16" cm="1">
        <f t="array" ref="BN16">IF(D16="","",IF(BA16&lt;&gt;"",IFERROR(_xlfn.XLOOKUP(BA16,Щиты[Щит],Щиты[Iр, А]),""),IFERROR(_xlfn.IFS(BH16=1,BF16/((Uн_лин/SQRT(3))*BM16),BH16=3,BF16/(SQRT(3)*Uн_лин*BM16)),"")))</f>
        <v>17.085769610978783</v>
      </c>
      <c r="BO16">
        <f>IF(D16="","",IF(N(X16)=0,IFERROR(VLOOKUP(BN16,Автомат_номиналы,2,TRUE),""),X16))</f>
        <v>40</v>
      </c>
      <c r="BP16">
        <f t="shared" si="9"/>
        <v>0.92</v>
      </c>
      <c r="BQ16">
        <f>IF(ISNUMBER(Y16),Y16,К_прокл)</f>
        <v>1</v>
      </c>
      <c r="BR16">
        <f t="shared" si="10"/>
        <v>3</v>
      </c>
      <c r="BS16" cm="1">
        <f t="array" ref="BS16">IF(D16="","",IF(N(BK16)&lt;&gt;0,BK16,IFERROR(_xlfn.LET(_xlpm.need,BO16/(BP16*BQ16),_xlpm.t,CHOOSE(BR16,Iдоп_1ж,Iдоп_2ж,Iдоп_3ж),_xlpm.k,_xlfn.XMATCH(_xlpm.need,_xlpm.t,1),IF(ISNA(_xlpm.k),"Не исп",INDEX(Iдоп_S,_xlpm.k))),"Не исп")))</f>
        <v>10</v>
      </c>
      <c r="BT16">
        <f>IFERROR(VLOOKUP(BS16,Кабель_сопротивление,3,FALSE),"")</f>
        <v>2.2499999999999999E-2</v>
      </c>
      <c r="BU16">
        <f>IFERROR(VLOOKUP(BS16,Кабель_сопротивление,2,FALSE),"")</f>
        <v>7.2999999999999995E-2</v>
      </c>
      <c r="BV16">
        <f t="shared" si="11"/>
        <v>51</v>
      </c>
      <c r="BW16">
        <f>IF(D16="","",IFERROR(IF(VLOOKUP(AT16,Потребители_обозначение,4,FALSE)=1,VLOOKUP(AT16,Потребители_обозначение,3,FALSE)*(H16*2-1)+BV16+VLOOKUP(AV16,Этаж_обозначение,3,FALSE)+VLOOKUP(AV16,Этаж_обозначение,4,FALSE),VLOOKUP(AT16,Потребители_обозначение,3,FALSE)*(H16*2-1)+BV16),BV16))</f>
        <v>53</v>
      </c>
      <c r="BX16">
        <f t="shared" si="12"/>
        <v>11</v>
      </c>
      <c r="BY16">
        <f t="shared" si="13"/>
        <v>0</v>
      </c>
      <c r="BZ16">
        <f t="shared" si="14"/>
        <v>1</v>
      </c>
      <c r="CA16">
        <f t="shared" si="15"/>
        <v>0.31</v>
      </c>
      <c r="CB16">
        <f t="shared" si="16"/>
        <v>1.9560966260174701</v>
      </c>
      <c r="CC16">
        <f>IFERROR(ROUNDUP(CB16/((Uн_лин/SQRT(3))*1000)*100,2),"")</f>
        <v>0.85</v>
      </c>
      <c r="CD16">
        <f>IF(ISNUMBER(CC16),CC16+IFERROR(_xlfn.XLOOKUP(A16,Щиты[Щит],Щиты[ΔU до шин, %]),0),"")</f>
        <v>0.85</v>
      </c>
      <c r="CE16">
        <f>IF(D16="","",IF(IFERROR(VLOOKUP(AT16,УГО_спр,2,FALSE),"")="Светильник",3,4)+IF(Методика="нормы 2026",MIN(0.5,MAX(0,N(BW16)-100)*0.005),0))</f>
        <v>4</v>
      </c>
      <c r="CF16" t="str">
        <f>IFERROR(VLOOKUP(BI16,Кабель_обозначение,2,FALSE),"")</f>
        <v>ВВГнг(А)-LS</v>
      </c>
      <c r="CG16" t="str">
        <f>IFERROR(IF(VLOOKUP(BI16,Кабель_обозначение,3,FALSE)=1,CF16&amp;" ("&amp;BJ16&amp;"х"&amp;BS16&amp;")",CF16),"")</f>
        <v>ВВГнг(А)-LS (5х10)</v>
      </c>
      <c r="CH16" t="str">
        <f t="shared" si="17"/>
        <v>ВВГнг(А)-LS (5х10)
L=53-0,85%</v>
      </c>
      <c r="CI16">
        <f>IFERROR(2*ρкз_Cu*BW16/BS16,"")</f>
        <v>0.27877999999999997</v>
      </c>
      <c r="CJ16">
        <f t="shared" si="18"/>
        <v>9.2750000000000013E-2</v>
      </c>
      <c r="CK16" t="str">
        <f>IFERROR(IF(OR(D16="",NOT(ISNUMBER(BS16)),N(BW16)=0),"",_xlfn.XLOOKUP(A16,Щиты[Щит],Щиты[Zпетли на шинах, Ом])+CI16),"")</f>
        <v/>
      </c>
      <c r="CL16" t="str">
        <f>IF(ISNUMBER(CK16),c_min*(Uн_лин*1000/SQRT(3))/CK16,"")</f>
        <v/>
      </c>
      <c r="CM16" t="str">
        <f>IFERROR(IF(OR(D16="",NOT(ISNUMBER(BS16))),"",1.05*(Uн_лин*1000/SQRT(3))/(_xlfn.XLOOKUP(A16,Щиты[Щит],Щиты[Zmax на шинах, Ом])+CJ16)/1000),"")</f>
        <v/>
      </c>
      <c r="CN16" t="str">
        <f>IF(D16="","",IF(BA16&lt;&gt;"","Щит",IF(K16&lt;&gt;"",K16,IF(ISNUMBER(L16),"Сил",IF(IFERROR(_xlfn.XLOOKUP(AT16,Коды_код,Коды_группа)&amp;"","")="","Быт",_xlfn.XLOOKUP(AT16,Коды_код,Коды_группа)&amp;"")))))</f>
        <v>Щит</v>
      </c>
      <c r="CO16" t="str">
        <f>IF(CN16="Щит","щит",IF(CN16="","",IF(CN16="Быт",IFERROR(_xlfn.XLOOKUP(A16,Щиты[Щит],Щиты[Кс быт]),1),IF(CN16="Сил",IF(ISNUMBER(L16),L16,IF(Методика="нормы 2026",IFERROR(_xlfn.XLOOKUP(A16,Щиты[Щит],Щиты[Кс силовых (табл. 7.5)]),1),1)),IF(OR(CN16="Пост",CN16="Отоп"),1,IF(CN16="ВНГ",0.7,0))))))</f>
        <v>щит</v>
      </c>
      <c r="CP16">
        <f t="shared" si="19"/>
        <v>1</v>
      </c>
      <c r="CQ16">
        <f t="shared" si="20"/>
        <v>0</v>
      </c>
      <c r="CR16">
        <f t="shared" si="21"/>
        <v>0</v>
      </c>
      <c r="CS16">
        <f t="shared" si="22"/>
        <v>0</v>
      </c>
      <c r="CT16">
        <f t="shared" si="23"/>
        <v>0</v>
      </c>
      <c r="CU16">
        <f t="shared" si="24"/>
        <v>0</v>
      </c>
      <c r="CV16">
        <f t="shared" si="25"/>
        <v>0</v>
      </c>
      <c r="CW16">
        <f t="shared" si="26"/>
        <v>0</v>
      </c>
      <c r="CX16">
        <f t="shared" si="27"/>
        <v>0</v>
      </c>
      <c r="CY16">
        <f t="shared" si="28"/>
        <v>2</v>
      </c>
      <c r="CZ16" t="str">
        <f t="shared" si="29"/>
        <v>L1,L2,L3</v>
      </c>
      <c r="DA16" cm="1">
        <f t="array" ref="DA16">IFERROR(IF(BL16=2,_xlfn.IFS(BH16=3,VLOOKUP(BF16,Справочная_двигатели,3,FALSE),BH16=1,VLOOKUP(BF16,Справочная_двигатели,5,TRUE)),0),0)</f>
        <v>0</v>
      </c>
      <c r="DB16">
        <f>IFERROR(IF(BL16=3,VLOOKUP(BF16,Справочная_ЛЭД,2,TRUE),0),0)</f>
        <v>0</v>
      </c>
      <c r="DC16">
        <f t="shared" si="30"/>
        <v>0</v>
      </c>
      <c r="DD16" t="str">
        <f t="shared" si="31"/>
        <v>L1,L2,L3</v>
      </c>
      <c r="DE16" t="str" cm="1">
        <f t="array" ref="DE16">IF(D16="","",IFERROR(INDEX({"I особая","I","II","III"},MATCH(TRIM(AA16&amp;""),{"I особая","I","II","III"},0)),"III"))</f>
        <v>III</v>
      </c>
      <c r="DF16" t="str">
        <f>IF(D16="","",IF(TRIM(AB16&amp;"")&lt;&gt;"",IF(LOWER(TRIM(AB16&amp;""))="да","да","нет"),IF(IFERROR(_xlfn.XLOOKUP(AT16,Коды_код,Коды_пожарная),"")="да","да","нет")))</f>
        <v>нет</v>
      </c>
      <c r="DG16" t="str">
        <f t="shared" si="32"/>
        <v/>
      </c>
      <c r="DH16" t="str">
        <f t="shared" si="33"/>
        <v>основная</v>
      </c>
      <c r="DI16">
        <f t="shared" si="34"/>
        <v>1</v>
      </c>
      <c r="DJ16" t="str" cm="1">
        <f t="array" ref="DJ16">IF(D16="","",_xlfn.LET(_xlpm.t,IFERROR(_xlfn.XLOOKUP(1,(Шины[Шина]=DH16)*(((Шины[Щит]=A16)+(Шины[Щит]=""))&gt;0),Шины[Тип]),"")&amp;"",IF(_xlpm.t&lt;&gt;"",_xlpm.t,IF(ISNUMBER(SEARCH("ИБП",DH16)),"ИБП",IF(ISNUMBER(SEARCH("ДГУ",DH16)),"ДГУ","Ввод "&amp;DI16)))))</f>
        <v>Ввод 1</v>
      </c>
      <c r="DK16" t="str">
        <f t="shared" si="35"/>
        <v>Ввод 1</v>
      </c>
      <c r="DL16" t="str">
        <f>IF(D16="","",IF(OR(DJ16="ИБП",DJ16="ДГУ"),"I особая",IF(DJ16="Одиночная","III",_xlfn.XLOOKUP(A16,Щиты[Щит],Щиты[Категория шины «Ввод»],"III"))))</f>
        <v>I</v>
      </c>
      <c r="DM16">
        <f>IF(D16="",0,IFERROR(MATCH(DE16,{"III","II","I","I особая"},0),1))</f>
        <v>1</v>
      </c>
      <c r="DN16">
        <f t="shared" si="36"/>
        <v>1</v>
      </c>
      <c r="DO16" t="str">
        <f>IF(D16="","",IF(DM16&gt;IFERROR(MATCH(DL16,{"III","II","I","I особая"},0),1),"НЕ ОБЕСПЕЧЕНА","ОК"))</f>
        <v>ОК</v>
      </c>
      <c r="DP16" t="str">
        <f>IF(A16="","",_xlfn.XLOOKUP(A16,Щиты[Щит],Щиты[Путь],""))</f>
        <v>|ГРЩ-ЖД|</v>
      </c>
      <c r="DQ16" t="str">
        <f>IF(D16="","",IF(Z16&lt;&gt;"",Z16,IF(IFERROR(_xlfn.XLOOKUP(AT16,Коды_код,Коды_вид)&amp;"","")="","Прочее",_xlfn.XLOOKUP(AT16,Коды_код,Коды_вид)&amp;"")))</f>
        <v>Бассейн, SPA, хаммам</v>
      </c>
      <c r="DR16">
        <f>IF(BD16="","",INT((BD16-1)/Столбцов_на_лист)+1)</f>
        <v>2</v>
      </c>
      <c r="DS16" t="str">
        <f t="shared" si="37"/>
        <v>ВВГнг(А)-LS (5х10) L=53-0,85%</v>
      </c>
      <c r="DT16">
        <f t="shared" si="38"/>
        <v>24.990000000000002</v>
      </c>
      <c r="DU16">
        <f t="shared" si="39"/>
        <v>17.09</v>
      </c>
      <c r="DV16">
        <f t="shared" si="40"/>
        <v>3</v>
      </c>
      <c r="DW16">
        <f>IF(AT16="",0,_xlfn.LET(_xlpm.v,IFERROR(VLOOKUP(D16,УГО_спр,3,FALSE),IFERROR(VLOOKUP(AT16,УГО_спр,3,FALSE),IFERROR(VLOOKUP(LEFT(AT16,2),УГО_спр,3,FALSE),""))),IF(_xlpm.v="да",30,IF(ISNUMBER(_xlpm.v),_xlpm.v,0))))</f>
        <v>0</v>
      </c>
      <c r="DX16">
        <f t="shared" si="41"/>
        <v>0</v>
      </c>
      <c r="DY16" t="str">
        <f>IF(BD16="","",IF(AD16&lt;&gt;"",COUNTIFS(A$3:A16,A16,AD$3:AD16,"?*"),IF(OR(OR(AS16=1,A16&lt;&gt;A15),AL16="вручную"),"",IF(AS16=1,"",DZ15))))</f>
        <v/>
      </c>
      <c r="DZ16" t="str">
        <f t="shared" si="42"/>
        <v/>
      </c>
      <c r="EA16">
        <f>IF(D16="",0,MAX(IFERROR(--X16,0),IFERROR(--VLOOKUP(D16,УГО_спр,4,FALSE),IFERROR(--VLOOKUP(AT16,УГО_спр,4,FALSE),IFERROR(--VLOOKUP(LEFT(AT16,2),УГО_спр,4,FALSE),0)))))</f>
        <v>40</v>
      </c>
      <c r="EB16">
        <f>IF(D16="","",IFERROR(LOOKUP(INDEX(CHOOSE(BR16,Iдоп_1ж,Iдоп_2ж,Iдоп_3ж),MATCH(BS16,Iдоп_S,0))*BP16*BQ16,{6,10,16,20,25,32,40,50,63,80,100,125,160,200,250,315,400,500,630}),""))</f>
        <v>50</v>
      </c>
      <c r="EC16" t="str">
        <f>IF(AD16="","",SUMIFS(Линии[_Ток схемы],Линии[_гр.],DY16,Линии[Щит],A16,Линии[_в кабель выше],0))</f>
        <v/>
      </c>
      <c r="ED16" t="str">
        <f>IF(AD16="","",IFERROR(VLOOKUP(EC16,Автомат_номиналы,2,TRUE),""))</f>
        <v/>
      </c>
      <c r="EE16" t="str">
        <f>IF(AD16="","",MAX(N(ED16),_xlfn.MAXIFS(Линии[_мин. по типу],Линии[_гр.],DY16,Линии[Щит],A16)))</f>
        <v/>
      </c>
      <c r="EF16" t="str">
        <f>IF(AD16="","",_xlfn.MINIFS(Линии[_макс. автомат по кабелю],Линии[_гр.],DY16,Линии[Щит],A16))</f>
        <v/>
      </c>
      <c r="EG16" t="str">
        <f>IF(AD16="","",MAX(1,_xlfn.MAXIFS(Линии[_фаз],Линии[_гр.],DY16,Линии[Щит],A16)))</f>
        <v/>
      </c>
      <c r="EH16" t="str">
        <f>IF(AD16="","",IF(AND(AD16&lt;&gt;"авто",AD16&lt;&gt;"+"),IF(ISNUMBER(SEARCH("мА",AD16)),IFERROR(--TRIM(RIGHT(SUBSTITUTE(LEFT(AD16,SEARCH("мА",AD16)-1)," ",REPT(" ",9)),6)),30),0),IF(AE16="нет",0,IF(ISNUMBER(AE16),AE16,IF(AE16="да",30,_xlfn.MINIFS(Линии[_дифзащита по коду, мА],Линии[_гр.],DY16,Линии[Щит],A16,Линии[_дифзащита по коду, мА],"&gt;0"))))))</f>
        <v/>
      </c>
      <c r="EI16" t="str">
        <f t="shared" si="43"/>
        <v/>
      </c>
      <c r="EJ16" t="str">
        <f t="shared" si="44"/>
        <v/>
      </c>
      <c r="EK16" t="str">
        <f t="shared" si="45"/>
        <v/>
      </c>
      <c r="EL16" t="str">
        <f t="shared" si="46"/>
        <v/>
      </c>
      <c r="EM16">
        <f t="shared" si="47"/>
        <v>0</v>
      </c>
      <c r="EN16" t="str">
        <f>IF(AD16="","",IF(EM16=1,MAX(EE16,Мин_автомат_БП),EE16))</f>
        <v/>
      </c>
      <c r="EO16" t="str">
        <f t="shared" si="48"/>
        <v/>
      </c>
      <c r="EP16" t="str">
        <f t="shared" si="49"/>
        <v/>
      </c>
      <c r="EQ16" t="str">
        <f t="shared" si="50"/>
        <v/>
      </c>
      <c r="ER16" t="str">
        <f>IF(OR(AI16="",AI16="-"),"",IFERROR(VLOOKUP(AI16,Модули_спр,2,FALSE),"R"))</f>
        <v/>
      </c>
      <c r="ES16" t="str">
        <f>IF(ER16="","",ER16&amp;"."&amp;COUNTIFS(A$3:A16,A16,ER$3:ER16,ER16))</f>
        <v/>
      </c>
      <c r="ET16" t="str">
        <f t="shared" si="51"/>
        <v/>
      </c>
      <c r="EU16" t="str">
        <f t="shared" si="52"/>
        <v/>
      </c>
      <c r="EV16" t="str">
        <f t="shared" si="53"/>
        <v/>
      </c>
      <c r="EW16" t="str">
        <f t="shared" si="54"/>
        <v/>
      </c>
      <c r="EX16">
        <f t="shared" si="55"/>
        <v>1</v>
      </c>
      <c r="EY16" t="str">
        <f>IF(AK16="нет","",IF(AK16&lt;&gt;"",AK16,IF(EX16=1,"XT"&amp;COUNTIFS(A$3:A16,A16,EX$3:EX16,1),"")))</f>
        <v/>
      </c>
      <c r="EZ16" t="str">
        <f t="shared" si="56"/>
        <v/>
      </c>
      <c r="FA16" t="str">
        <f t="shared" si="57"/>
        <v/>
      </c>
      <c r="FB16" t="str">
        <f t="shared" si="58"/>
        <v/>
      </c>
      <c r="FC16" t="str">
        <f>IF(OR(EV16="",ET16=""),"",IF(EV16&gt;IFERROR(VLOOKUP(EU16,Модули_спр,3,FALSE),99),"ЛИШНИЙ КАНАЛ",IF(AND(AJ16&lt;&gt;"=",COUNTIFS(Линии[_модуль гр.],ET16,Линии[Канал (итог)],EV16,Линии[Канал],"&lt;&gt;=",Линии[Щит],A16)&gt;1),"ДУБЛЬ КАНАЛА","")))</f>
        <v/>
      </c>
      <c r="FD16" t="str">
        <f t="shared" si="59"/>
        <v/>
      </c>
      <c r="FE16" t="str">
        <f t="shared" si="60"/>
        <v/>
      </c>
      <c r="FF16" t="str">
        <f t="shared" si="61"/>
        <v/>
      </c>
      <c r="FG16" t="str">
        <f t="shared" si="62"/>
        <v/>
      </c>
      <c r="FH16" t="str">
        <f t="shared" si="63"/>
        <v/>
      </c>
      <c r="FI16">
        <f t="shared" si="64"/>
        <v>10</v>
      </c>
      <c r="FJ16" t="str">
        <f t="shared" si="65"/>
        <v/>
      </c>
      <c r="FK16" t="str">
        <f>IF(AND(D16="",EZ16=""),"",_xlfn.TEXTJOIN("; ",TRUE,IF(AND(D16&lt;&gt;"",DD16=""),"нет фазы",""),IF(AND(D16&lt;&gt;"",N(DT16)=0,CN16&lt;&gt;"Нет"),"нет мощности",""),IF(AND(EY16&lt;&gt;"",COUNTIFS(Линии[Щит],A16,Линии[Клемма (итог)],EY16)&gt;1),"дубль клеммы "&amp;EY16,""),IF(AND(FB16&lt;&gt;"",FB16&lt;&gt;"ok"),FB16,""),IF(FC16&lt;&gt;"",FC16,""),IF(AND(ISNUMBER(SEARCH("(5х",DS16)),N(DV16)=1),"5 жил на 1 фазе",""),IF(AND(AT16="R",AD16&lt;&gt;"",OR(N(EH16)=0,N(EH16)&gt;30)),"розетка без дифзащиты до 30 мА",""),IFERROR(IF(AND(ISNUMBER(CD16),CD16&gt;CE16),"потери "&amp;FIXED(CD16,1)&amp;" % &gt; "&amp;CE16&amp;" %",""),""),IFERROR(IF(LEFT(FJ16,4)="мало","Iкз мало — отключение &gt; 0,4 с",""),""),IF(AND(D16&lt;&gt;"",BD16=""),"не на схеме","")))</f>
        <v/>
      </c>
      <c r="FL16" t="str">
        <f>IF(AD16="","",_xlfn.LET(_xlpm.t,IFERROR(_xlfn.XLOOKUP(EP16,Каталог!$U$4:$U$500,Каталог!$G$4:$G$500),""),_xlpm.k,SEARCH("кА",_xlpm.t),IFERROR(--TRIM(RIGHT(SUBSTITUTE(MID(_xlpm.t,MAX(1,_xlpm.k-4),_xlpm.k-MAX(1,_xlpm.k-4))," ",REPT(" ",9)),5)),"")))</f>
        <v/>
      </c>
      <c r="FM16" t="str">
        <f>IF(OR(FL16="",AD16=""),"",IF(_xlfn.XLOOKUP(A16,Щиты[Щит],Щиты[Iкз max на шинах, кА],"")="","",IF(FL16&lt;_xlfn.XLOOKUP(A16,Щиты[Щит],Щиты[Iкз max на шинах, кА]),"Icu "&amp;FL16&amp;" кА &lt; Iкз max","ok")))</f>
        <v/>
      </c>
      <c r="FN16" t="str">
        <f t="shared" si="66"/>
        <v/>
      </c>
      <c r="FO16" t="str">
        <f t="shared" si="67"/>
        <v/>
      </c>
      <c r="FP16" t="str" cm="1">
        <f t="array" ref="FP16">IF(FO16="","",_xlfn.LET(_xlpm.nd,_xlfn.TEXTSPLIT(FO16,"|"),IF(COLUMNS(_xlpm.nd)&gt;1,A16&amp;"¦"&amp;INDEX(_xlpm.nd,1)&amp;"¦"&amp;INDEX(_xlpm.nd,2),"")))</f>
        <v/>
      </c>
      <c r="FQ16" t="str">
        <f t="shared" si="68"/>
        <v/>
      </c>
      <c r="FR16" t="str" cm="1">
        <f t="array" ref="FR16">IF(FO16="","",_xlfn.LET(_xlpm.nd,_xlfn.TEXTSPLIT(FO16,"|"),IF(COLUMNS(_xlpm.nd)&gt;2,A16&amp;"¦"&amp;INDEX(_xlpm.nd,2)&amp;"¦"&amp;INDEX(_xlpm.nd,3),"")))</f>
        <v/>
      </c>
      <c r="FS16" t="str">
        <f t="shared" si="69"/>
        <v/>
      </c>
      <c r="FT16" t="str" cm="1">
        <f t="array" ref="FT16">IF(FO16="","",_xlfn.LET(_xlpm.nd,_xlfn.TEXTSPLIT(FO16,"|"),IF(COLUMNS(_xlpm.nd)&gt;3,A16&amp;"¦"&amp;INDEX(_xlpm.nd,3)&amp;"¦"&amp;INDEX(_xlpm.nd,4),"")))</f>
        <v/>
      </c>
      <c r="FU16" t="str">
        <f t="shared" si="70"/>
        <v/>
      </c>
      <c r="FV16" t="str" cm="1">
        <f t="array" ref="FV16">IF(FO16="","",_xlfn.LET(_xlpm.nd,_xlfn.TEXTSPLIT(FO16,"|"),IF(COLUMNS(_xlpm.nd)&gt;4,A16&amp;"¦"&amp;INDEX(_xlpm.nd,4)&amp;"¦"&amp;INDEX(_xlpm.nd,5),"")))</f>
        <v/>
      </c>
      <c r="FW16" t="str">
        <f t="shared" si="71"/>
        <v/>
      </c>
      <c r="FX16" t="str" cm="1">
        <f t="array" ref="FX16">IF(FO16="","",_xlfn.LET(_xlpm.nd,_xlfn.TEXTSPLIT(FO16,"|"),IF(COLUMNS(_xlpm.nd)&gt;5,A16&amp;"¦"&amp;INDEX(_xlpm.nd,5)&amp;"¦"&amp;INDEX(_xlpm.nd,6),"")))</f>
        <v/>
      </c>
      <c r="FY16" t="str">
        <f t="shared" si="72"/>
        <v/>
      </c>
      <c r="FZ16" t="str" cm="1">
        <f t="array" ref="FZ16">IF(FO16="","",_xlfn.LET(_xlpm.nd,_xlfn.TEXTSPLIT(FO16,"|"),IF(COLUMNS(_xlpm.nd)&gt;6,A16&amp;"¦"&amp;INDEX(_xlpm.nd,6)&amp;"¦"&amp;INDEX(_xlpm.nd,7),"")))</f>
        <v/>
      </c>
      <c r="GA16" t="str">
        <f t="shared" si="73"/>
        <v/>
      </c>
      <c r="GB16" t="str">
        <f t="shared" si="74"/>
        <v/>
      </c>
      <c r="GC16" t="str">
        <f t="shared" si="75"/>
        <v/>
      </c>
      <c r="GD16">
        <f t="shared" si="76"/>
        <v>1</v>
      </c>
      <c r="GE16">
        <f t="shared" si="77"/>
        <v>0</v>
      </c>
      <c r="GF16">
        <f t="shared" si="78"/>
        <v>0</v>
      </c>
      <c r="GG16" t="str">
        <f t="shared" si="79"/>
        <v/>
      </c>
      <c r="GH16" t="str">
        <f t="shared" si="80"/>
        <v/>
      </c>
      <c r="GI16" t="str">
        <f t="shared" si="81"/>
        <v/>
      </c>
      <c r="GJ16" t="str">
        <f t="shared" si="82"/>
        <v/>
      </c>
      <c r="GK16">
        <f>IF(D16="","",IFERROR(VLOOKUP(D16,УГО_спр,2,FALSE),IFERROR(VLOOKUP(AT16,УГО_спр,2,FALSE),IFERROR(VLOOKUP(LEFT(AT16,2),УГО_спр,2,FALSE),""))))</f>
        <v>0</v>
      </c>
      <c r="GL16" t="str">
        <f>IF(D16="","",IF(OR(GK16="",GK16=0),"BOX",IFERROR(IF(VLOOKUP(GK16,УГО_блоки,3,FALSE)&amp;""&lt;&gt;"",VLOOKUP(GK16,УГО_блоки,3,FALSE),VLOOKUP(GK16,УГО_блоки,2,FALSE)),GK16)))</f>
        <v>BOX</v>
      </c>
      <c r="GM16">
        <f t="shared" si="83"/>
        <v>1</v>
      </c>
      <c r="GN16" t="str">
        <f>IF(EP16="","",IF(COUNTIF(EP$3:EP16,EP16)=1,MAX(GN$2:GN15)+1,""))</f>
        <v/>
      </c>
      <c r="GO16" t="str">
        <f>IF(AF16="","",IF(COUNTIF(AF$3:AF16,AF16)+COUNTIF(AG$2:AG15,AF16)+COUNTIF(AH$2:AH15,AF16)=1,MAX(GO$2:GQ15)+1,""))</f>
        <v/>
      </c>
      <c r="GP16" t="str">
        <f>IF(AG16="","",IF(COUNTIF(AF$3:AF16,AG16)+COUNTIF(AG$3:AG16,AG16)+COUNTIF(AH$2:AH15,AG16)=1,MAX(GO$2:GQ15,GO16)+1,""))</f>
        <v/>
      </c>
      <c r="GQ16" t="str">
        <f>IF(AH16="","",IF(COUNTIF(AF$3:AF16,AH16)+COUNTIF(AG$3:AG16,AH16)+COUNTIF(AH$3:AH16,AH16)=1,MAX(GO$2:GQ15,GO16,GP16)+1,""))</f>
        <v/>
      </c>
      <c r="GR16" t="str">
        <f t="shared" si="84"/>
        <v>5х10</v>
      </c>
      <c r="GS16" t="str">
        <f>IF(GR16="","",IF(COUNTIF(GR$3:GR16,GR16)=1,MAX(GS$2:GS15)+1,""))</f>
        <v/>
      </c>
      <c r="GT16" t="str">
        <f>IF(ES16="","",COUNTIF(ES$3:ES16,"?*"))</f>
        <v/>
      </c>
      <c r="GU16" t="str">
        <f>IF(OR(ES16="",EU16=""),"",IF(COUNTIFS(ES$3:ES16,"?*",EU$3:EU16,EU16)=1,MAX(GU$2:GU15)+1,""))</f>
        <v/>
      </c>
      <c r="GV16">
        <f t="shared" si="85"/>
        <v>0</v>
      </c>
      <c r="GW16">
        <f>IF(D16="","",COUNTIF(D$3:D16,"?*"))</f>
        <v>14</v>
      </c>
      <c r="GX16">
        <f>IF(EX16&lt;&gt;1,0,_xlfn.LET(_xlpm.k,MAX(IFERROR(--VLOOKUP(D16,УГО_спр,5,FALSE),0),IFERROR(--VLOOKUP(AT16,УГО_спр,5,FALSE),0),IFERROR(--VLOOKUP(LEFT(AT16,2),УГО_спр,5,FALSE),0)),IF(_xlpm.k&gt;0,_xlpm.k,IF(IFERROR(--LEFT(SUBSTITUTE(GR16,"x","х"),FIND("х",SUBSTITUTE(GR16,"x","х"))-1),3)&gt;3,Каталог!$S$9,1))))</f>
        <v>1</v>
      </c>
      <c r="GY16">
        <f t="shared" si="86"/>
        <v>2</v>
      </c>
    </row>
    <row r="17" spans="1:207" x14ac:dyDescent="0.3">
      <c r="A17" t="s">
        <v>788</v>
      </c>
      <c r="B17">
        <v>29</v>
      </c>
      <c r="C17" t="str">
        <f>IF(BD17="","",IF(BE17="вводной узел","узел ","")&amp;"л."&amp;(INT((BD17-1)/Столбцов_на_лист)+1)&amp;" / "&amp;(MOD(BD17-1,Столбцов_на_лист)+1))</f>
        <v>л.2 / 12</v>
      </c>
      <c r="D17" t="s">
        <v>768</v>
      </c>
      <c r="E17" s="133" t="s">
        <v>767</v>
      </c>
      <c r="G17">
        <v>3.8</v>
      </c>
      <c r="H17">
        <v>1</v>
      </c>
      <c r="I17">
        <v>1</v>
      </c>
      <c r="J17">
        <v>230</v>
      </c>
      <c r="K17" t="s">
        <v>602</v>
      </c>
      <c r="L17">
        <v>0.5</v>
      </c>
      <c r="N17">
        <v>2</v>
      </c>
      <c r="O17">
        <v>2</v>
      </c>
      <c r="P17">
        <v>52</v>
      </c>
      <c r="Q17">
        <v>35</v>
      </c>
      <c r="R17">
        <v>12</v>
      </c>
      <c r="S17">
        <v>0</v>
      </c>
      <c r="U17" t="s">
        <v>11</v>
      </c>
      <c r="V17">
        <v>3</v>
      </c>
      <c r="W17">
        <v>4</v>
      </c>
      <c r="X17">
        <v>20</v>
      </c>
      <c r="Z17" t="s">
        <v>608</v>
      </c>
      <c r="AA17" t="s">
        <v>866</v>
      </c>
      <c r="AK17" t="s">
        <v>488</v>
      </c>
      <c r="AR17" t="str">
        <f t="shared" si="0"/>
        <v/>
      </c>
      <c r="AS17" cm="1">
        <f t="array" ref="AS17">ROW()-ROW(Линии[#Headers])</f>
        <v>15</v>
      </c>
      <c r="AT17" t="str">
        <f t="shared" si="1"/>
        <v>ЩС-ВК</v>
      </c>
      <c r="AU17" t="str">
        <f t="shared" si="2"/>
        <v>001</v>
      </c>
      <c r="AV17" t="str">
        <f t="shared" si="3"/>
        <v>001</v>
      </c>
      <c r="AW17" t="str">
        <f t="shared" si="4"/>
        <v/>
      </c>
      <c r="AX17" t="str">
        <f t="shared" si="5"/>
        <v/>
      </c>
      <c r="AY17" t="str">
        <f>IF(D17="","",IF(ISERROR(SEARCH(".",D17)),IFERROR(VLOOKUP(D17,Потребители_обозначение,2,FALSE)&amp;"",""),IFERROR(IF(VLOOKUP(AT17,Потребители_обозначение,4,FALSE)=1,VLOOKUP(AT17,Потребители_обозначение,2,FALSE)&amp;" "&amp;VLOOKUP(AV17,Этаж_обозначение,2,FALSE)&amp;" Пом. №"&amp;AX17,VLOOKUP(AT17,Потребители_обозначение,2,FALSE)&amp;" Шлейф №"&amp;AV17),IFERROR(VLOOKUP(D17,Потребители_обозначение,2,FALSE),""))))</f>
        <v/>
      </c>
      <c r="AZ17" t="str">
        <f t="shared" si="6"/>
        <v>Щит дренажных насосов ЩС-ВК.001 Подвальный этаж этаж Пом. 00.002Т</v>
      </c>
      <c r="BA17" t="str">
        <f>IF(F17&lt;&gt;"",F17,IF(AND(D17&lt;&gt;"",D17&lt;&gt;A17,ISNUMBER(_xlfn.XMATCH(D17,Щиты[Щит]))),D17,""))</f>
        <v>ЩС-ВК.001</v>
      </c>
      <c r="BB17">
        <f>IFERROR(_xlfn.XMATCH(A17,Щиты[Щит]),0)</f>
        <v>1</v>
      </c>
      <c r="BC17">
        <f>IFERROR(N(_xlfn.XLOOKUP(A17,Щиты[Щит],Щиты[Мест под вводной узел])),15)</f>
        <v>1</v>
      </c>
      <c r="BD17">
        <f t="shared" si="7"/>
        <v>29</v>
      </c>
      <c r="BE17" t="str">
        <f t="shared" si="8"/>
        <v>линии</v>
      </c>
      <c r="BF17">
        <f>IF(D17="","",IF(BA17&lt;&gt;"",IFERROR(_xlfn.XLOOKUP(BA17,Щиты[Щит],Щиты[Руст, кВт]),0),N(G17)))</f>
        <v>3.8000000000000003</v>
      </c>
      <c r="BG17">
        <f>IF(J17&lt;&gt;"",J17,IF(D17="","",IFERROR(IF(VLOOKUP(AT17,Потребители_обозначение,8,FALSE)=0,"",VLOOKUP(AT17,Потребители_обозначение,8,FALSE)),"")))</f>
        <v>230</v>
      </c>
      <c r="BH17">
        <f>IF(I17&lt;&gt;"",I17,IF(D17="","",IFERROR(IF(VLOOKUP(AT17,Потребители_обозначение,9,FALSE)=0,"",VLOOKUP(AT17,Потребители_обозначение,9,FALSE)),"")))</f>
        <v>1</v>
      </c>
      <c r="BI17" t="str">
        <f>IF(U17&lt;&gt;"",U17,IF(D17="","",IFERROR(IF(VLOOKUP(AT17,Потребители_обозначение,6,FALSE)=0,"",VLOOKUP(AT17,Потребители_обозначение,6,FALSE)),"")))</f>
        <v>мс</v>
      </c>
      <c r="BJ17">
        <f>IF(V17&lt;&gt;"",V17,IF(D17="","",IFERROR(IF(VLOOKUP(AT17,Потребители_обозначение,7,FALSE)=0,"",VLOOKUP(AT17,Потребители_обозначение,7,FALSE)),"")))</f>
        <v>3</v>
      </c>
      <c r="BK17">
        <f>IF(W17&lt;&gt;"",W17,IF(D17="","",IFERROR(IF(VLOOKUP(AT17,Потребители_обозначение,10,FALSE)=0,"",VLOOKUP(AT17,Потребители_обозначение,10,FALSE)),"")))</f>
        <v>4</v>
      </c>
      <c r="BL17">
        <f>IFERROR(VLOOKUP(AT17,Потребители_обозначение,5,FALSE),0)</f>
        <v>0</v>
      </c>
      <c r="BM17" cm="1">
        <f t="array" ref="BM17">IF(D17="","",IF(BA17&lt;&gt;"",IFERROR(_xlfn.XLOOKUP(BA17,Щиты[Щит],Щиты[cos φ]),0.95),IF(ISNUMBER(M17),M17,IFERROR(IF(BL17=2,_xlfn.IFS(BH17=3,VLOOKUP(BF17,Справочная_двигатели,8,FALSE),BH17=1,VLOOKUP(BF17,Справочная_двигатели,10,TRUE)),IF(AND(Методика="нормы 2026",CN17="Сил"),0.8,0.95)),0.95))))</f>
        <v>0.94999999999999973</v>
      </c>
      <c r="BN17" cm="1">
        <f t="array" ref="BN17">IF(D17="","",IF(BA17&lt;&gt;"",IFERROR(_xlfn.XLOOKUP(BA17,Щиты[Щит],Щиты[Iр, А]),""),IFERROR(_xlfn.IFS(BH17=1,BF17/((Uн_лин/SQRT(3))*BM17),BH17=3,BF17/(SQRT(3)*Uн_лин*BM17)),"")))</f>
        <v>7.7942286340599507</v>
      </c>
      <c r="BO17">
        <f>IF(D17="","",IF(N(X17)=0,IFERROR(VLOOKUP(BN17,Автомат_номиналы,2,TRUE),""),X17))</f>
        <v>20</v>
      </c>
      <c r="BP17">
        <f t="shared" si="9"/>
        <v>1</v>
      </c>
      <c r="BQ17">
        <f>IF(ISNUMBER(Y17),Y17,К_прокл)</f>
        <v>1</v>
      </c>
      <c r="BR17">
        <f t="shared" si="10"/>
        <v>2</v>
      </c>
      <c r="BS17" cm="1">
        <f t="array" ref="BS17">IF(D17="","",IF(N(BK17)&lt;&gt;0,BK17,IFERROR(_xlfn.LET(_xlpm.need,BO17/(BP17*BQ17),_xlpm.t,CHOOSE(BR17,Iдоп_1ж,Iдоп_2ж,Iдоп_3ж),_xlpm.k,_xlfn.XMATCH(_xlpm.need,_xlpm.t,1),IF(ISNA(_xlpm.k),"Не исп",INDEX(Iдоп_S,_xlpm.k))),"Не исп")))</f>
        <v>4</v>
      </c>
      <c r="BT17">
        <f>IFERROR(VLOOKUP(BS17,Кабель_сопротивление,3,FALSE),"")</f>
        <v>2.2499999999999999E-2</v>
      </c>
      <c r="BU17">
        <f>IFERROR(VLOOKUP(BS17,Кабель_сопротивление,2,FALSE),"")</f>
        <v>9.5000000000000001E-2</v>
      </c>
      <c r="BV17">
        <f t="shared" si="11"/>
        <v>52</v>
      </c>
      <c r="BW17">
        <f>IF(D17="","",IFERROR(IF(VLOOKUP(AT17,Потребители_обозначение,4,FALSE)=1,VLOOKUP(AT17,Потребители_обозначение,3,FALSE)*(H17*2-1)+BV17+VLOOKUP(AV17,Этаж_обозначение,3,FALSE)+VLOOKUP(AV17,Этаж_обозначение,4,FALSE),VLOOKUP(AT17,Потребители_обозначение,3,FALSE)*(H17*2-1)+BV17),BV17))</f>
        <v>52</v>
      </c>
      <c r="BX17">
        <f t="shared" si="12"/>
        <v>12</v>
      </c>
      <c r="BY17">
        <f t="shared" si="13"/>
        <v>0</v>
      </c>
      <c r="BZ17">
        <f t="shared" si="14"/>
        <v>2</v>
      </c>
      <c r="CA17">
        <f t="shared" si="15"/>
        <v>0.31</v>
      </c>
      <c r="CB17">
        <f t="shared" si="16"/>
        <v>4.3555147268392158</v>
      </c>
      <c r="CC17">
        <f>IFERROR(ROUNDUP(CB17/((Uн_лин/SQRT(3))*1000)*100,2),"")</f>
        <v>1.89</v>
      </c>
      <c r="CD17">
        <f>IF(ISNUMBER(CC17),CC17+IFERROR(_xlfn.XLOOKUP(A17,Щиты[Щит],Щиты[ΔU до шин, %]),0),"")</f>
        <v>1.89</v>
      </c>
      <c r="CE17">
        <f>IF(D17="","",IF(IFERROR(VLOOKUP(AT17,УГО_спр,2,FALSE),"")="Светильник",3,4)+IF(Методика="нормы 2026",MIN(0.5,MAX(0,N(BW17)-100)*0.005),0))</f>
        <v>4</v>
      </c>
      <c r="CF17" t="str">
        <f>IFERROR(VLOOKUP(BI17,Кабель_обозначение,2,FALSE),"")</f>
        <v>ВВГнг(А)-LS</v>
      </c>
      <c r="CG17" t="str">
        <f>IFERROR(IF(VLOOKUP(BI17,Кабель_обозначение,3,FALSE)=1,CF17&amp;" ("&amp;BJ17&amp;"х"&amp;BS17&amp;")",CF17),"")</f>
        <v>ВВГнг(А)-LS (3х4)</v>
      </c>
      <c r="CH17" t="str">
        <f t="shared" si="17"/>
        <v>ВВГнг(А)-LS (3х4)
L=52-1,89%</v>
      </c>
      <c r="CI17">
        <f>IFERROR(2*ρкз_Cu*BW17/BS17,"")</f>
        <v>0.68379999999999996</v>
      </c>
      <c r="CJ17">
        <f t="shared" si="18"/>
        <v>0.22750000000000004</v>
      </c>
      <c r="CK17" t="str">
        <f>IFERROR(IF(OR(D17="",NOT(ISNUMBER(BS17)),N(BW17)=0),"",_xlfn.XLOOKUP(A17,Щиты[Щит],Щиты[Zпетли на шинах, Ом])+CI17),"")</f>
        <v/>
      </c>
      <c r="CL17" t="str">
        <f>IF(ISNUMBER(CK17),c_min*(Uн_лин*1000/SQRT(3))/CK17,"")</f>
        <v/>
      </c>
      <c r="CM17" t="str">
        <f>IFERROR(IF(OR(D17="",NOT(ISNUMBER(BS17))),"",1.05*(Uн_лин*1000/SQRT(3))/(_xlfn.XLOOKUP(A17,Щиты[Щит],Щиты[Zmax на шинах, Ом])+CJ17)/1000),"")</f>
        <v/>
      </c>
      <c r="CN17" t="str">
        <f>IF(D17="","",IF(BA17&lt;&gt;"","Щит",IF(K17&lt;&gt;"",K17,IF(ISNUMBER(L17),"Сил",IF(IFERROR(_xlfn.XLOOKUP(AT17,Коды_код,Коды_группа)&amp;"","")="","Быт",_xlfn.XLOOKUP(AT17,Коды_код,Коды_группа)&amp;"")))))</f>
        <v>Щит</v>
      </c>
      <c r="CO17" t="str">
        <f>IF(CN17="Щит","щит",IF(CN17="","",IF(CN17="Быт",IFERROR(_xlfn.XLOOKUP(A17,Щиты[Щит],Щиты[Кс быт]),1),IF(CN17="Сил",IF(ISNUMBER(L17),L17,IF(Методика="нормы 2026",IFERROR(_xlfn.XLOOKUP(A17,Щиты[Щит],Щиты[Кс силовых (табл. 7.5)]),1),1)),IF(OR(CN17="Пост",CN17="Отоп"),1,IF(CN17="ВНГ",0.7,0))))))</f>
        <v>щит</v>
      </c>
      <c r="CP17">
        <f t="shared" si="19"/>
        <v>2</v>
      </c>
      <c r="CQ17">
        <f t="shared" si="20"/>
        <v>0</v>
      </c>
      <c r="CR17">
        <f t="shared" si="21"/>
        <v>0</v>
      </c>
      <c r="CS17">
        <f t="shared" si="22"/>
        <v>0</v>
      </c>
      <c r="CT17">
        <f t="shared" si="23"/>
        <v>0</v>
      </c>
      <c r="CU17">
        <f t="shared" si="24"/>
        <v>0</v>
      </c>
      <c r="CV17">
        <f t="shared" si="25"/>
        <v>0</v>
      </c>
      <c r="CW17">
        <f t="shared" si="26"/>
        <v>0</v>
      </c>
      <c r="CX17">
        <f t="shared" si="27"/>
        <v>0</v>
      </c>
      <c r="CY17">
        <f t="shared" si="28"/>
        <v>3</v>
      </c>
      <c r="CZ17" t="str">
        <f t="shared" si="29"/>
        <v>L3</v>
      </c>
      <c r="DA17" cm="1">
        <f t="array" ref="DA17">IFERROR(IF(BL17=2,_xlfn.IFS(BH17=3,VLOOKUP(BF17,Справочная_двигатели,3,FALSE),BH17=1,VLOOKUP(BF17,Справочная_двигатели,5,TRUE)),0),0)</f>
        <v>0</v>
      </c>
      <c r="DB17">
        <f>IFERROR(IF(BL17=3,VLOOKUP(BF17,Справочная_ЛЭД,2,TRUE),0),0)</f>
        <v>0</v>
      </c>
      <c r="DC17">
        <f t="shared" si="30"/>
        <v>0</v>
      </c>
      <c r="DD17" t="str">
        <f t="shared" si="31"/>
        <v>L2</v>
      </c>
      <c r="DE17" t="str" cm="1">
        <f t="array" ref="DE17">IF(D17="","",IFERROR(INDEX({"I особая","I","II","III"},MATCH(TRIM(AA17&amp;""),{"I особая","I","II","III"},0)),"III"))</f>
        <v>I</v>
      </c>
      <c r="DF17" t="str">
        <f>IF(D17="","",IF(TRIM(AB17&amp;"")&lt;&gt;"",IF(LOWER(TRIM(AB17&amp;""))="да","да","нет"),IF(IFERROR(_xlfn.XLOOKUP(AT17,Коды_код,Коды_пожарная),"")="да","да","нет")))</f>
        <v>нет</v>
      </c>
      <c r="DG17" t="str">
        <f t="shared" si="32"/>
        <v/>
      </c>
      <c r="DH17" t="str">
        <f t="shared" si="33"/>
        <v>основная</v>
      </c>
      <c r="DI17">
        <f t="shared" si="34"/>
        <v>2</v>
      </c>
      <c r="DJ17" t="str" cm="1">
        <f t="array" ref="DJ17">IF(D17="","",_xlfn.LET(_xlpm.t,IFERROR(_xlfn.XLOOKUP(1,(Шины[Шина]=DH17)*(((Шины[Щит]=A17)+(Шины[Щит]=""))&gt;0),Шины[Тип]),"")&amp;"",IF(_xlpm.t&lt;&gt;"",_xlpm.t,IF(ISNUMBER(SEARCH("ИБП",DH17)),"ИБП",IF(ISNUMBER(SEARCH("ДГУ",DH17)),"ДГУ","Ввод "&amp;DI17)))))</f>
        <v>Ввод 2</v>
      </c>
      <c r="DK17" t="str">
        <f t="shared" si="35"/>
        <v>Ввод 2</v>
      </c>
      <c r="DL17" t="str">
        <f>IF(D17="","",IF(OR(DJ17="ИБП",DJ17="ДГУ"),"I особая",IF(DJ17="Одиночная","III",_xlfn.XLOOKUP(A17,Щиты[Щит],Щиты[Категория шины «Ввод»],"III"))))</f>
        <v>I</v>
      </c>
      <c r="DM17">
        <f>IF(D17="",0,IFERROR(MATCH(DE17,{"III","II","I","I особая"},0),1))</f>
        <v>3</v>
      </c>
      <c r="DN17">
        <f t="shared" si="36"/>
        <v>3</v>
      </c>
      <c r="DO17" t="str">
        <f>IF(D17="","",IF(DM17&gt;IFERROR(MATCH(DL17,{"III","II","I","I особая"},0),1),"НЕ ОБЕСПЕЧЕНА","ОК"))</f>
        <v>ОК</v>
      </c>
      <c r="DP17" t="str">
        <f>IF(A17="","",_xlfn.XLOOKUP(A17,Щиты[Щит],Щиты[Путь],""))</f>
        <v>|ГРЩ-ЖД|</v>
      </c>
      <c r="DQ17" t="str">
        <f>IF(D17="","",IF(Z17&lt;&gt;"",Z17,IF(IFERROR(_xlfn.XLOOKUP(AT17,Коды_код,Коды_вид)&amp;"","")="","Прочее",_xlfn.XLOOKUP(AT17,Коды_код,Коды_вид)&amp;"")))</f>
        <v>Насосы (водоснабжение, дренаж)</v>
      </c>
      <c r="DR17">
        <f>IF(BD17="","",INT((BD17-1)/Столбцов_на_лист)+1)</f>
        <v>2</v>
      </c>
      <c r="DS17" t="str">
        <f t="shared" si="37"/>
        <v>ВВГнг(А)-LS (3х4) L=52-1,89%</v>
      </c>
      <c r="DT17">
        <f t="shared" si="38"/>
        <v>3.8000000000000003</v>
      </c>
      <c r="DU17">
        <f t="shared" si="39"/>
        <v>7.8</v>
      </c>
      <c r="DV17">
        <f t="shared" si="40"/>
        <v>1</v>
      </c>
      <c r="DW17">
        <f>IF(AT17="",0,_xlfn.LET(_xlpm.v,IFERROR(VLOOKUP(D17,УГО_спр,3,FALSE),IFERROR(VLOOKUP(AT17,УГО_спр,3,FALSE),IFERROR(VLOOKUP(LEFT(AT17,2),УГО_спр,3,FALSE),""))),IF(_xlpm.v="да",30,IF(ISNUMBER(_xlpm.v),_xlpm.v,0))))</f>
        <v>0</v>
      </c>
      <c r="DX17">
        <f t="shared" si="41"/>
        <v>0</v>
      </c>
      <c r="DY17" t="str">
        <f>IF(BD17="","",IF(AD17&lt;&gt;"",COUNTIFS(A$3:A17,A17,AD$3:AD17,"?*"),IF(OR(OR(AS17=1,A17&lt;&gt;A16),AL17="вручную"),"",IF(AS17=1,"",DZ16))))</f>
        <v/>
      </c>
      <c r="DZ17" t="str">
        <f t="shared" si="42"/>
        <v/>
      </c>
      <c r="EA17">
        <f>IF(D17="",0,MAX(IFERROR(--X17,0),IFERROR(--VLOOKUP(D17,УГО_спр,4,FALSE),IFERROR(--VLOOKUP(AT17,УГО_спр,4,FALSE),IFERROR(--VLOOKUP(LEFT(AT17,2),УГО_спр,4,FALSE),0)))))</f>
        <v>20</v>
      </c>
      <c r="EB17">
        <f>IF(D17="","",IFERROR(LOOKUP(INDEX(CHOOSE(BR17,Iдоп_1ж,Iдоп_2ж,Iдоп_3ж),MATCH(BS17,Iдоп_S,0))*BP17*BQ17,{6,10,16,20,25,32,40,50,63,80,100,125,160,200,250,315,400,500,630}),""))</f>
        <v>32</v>
      </c>
      <c r="EC17" t="str">
        <f>IF(AD17="","",SUMIFS(Линии[_Ток схемы],Линии[_гр.],DY17,Линии[Щит],A17,Линии[_в кабель выше],0))</f>
        <v/>
      </c>
      <c r="ED17" t="str">
        <f>IF(AD17="","",IFERROR(VLOOKUP(EC17,Автомат_номиналы,2,TRUE),""))</f>
        <v/>
      </c>
      <c r="EE17" t="str">
        <f>IF(AD17="","",MAX(N(ED17),_xlfn.MAXIFS(Линии[_мин. по типу],Линии[_гр.],DY17,Линии[Щит],A17)))</f>
        <v/>
      </c>
      <c r="EF17" t="str">
        <f>IF(AD17="","",_xlfn.MINIFS(Линии[_макс. автомат по кабелю],Линии[_гр.],DY17,Линии[Щит],A17))</f>
        <v/>
      </c>
      <c r="EG17" t="str">
        <f>IF(AD17="","",MAX(1,_xlfn.MAXIFS(Линии[_фаз],Линии[_гр.],DY17,Линии[Щит],A17)))</f>
        <v/>
      </c>
      <c r="EH17" t="str">
        <f>IF(AD17="","",IF(AND(AD17&lt;&gt;"авто",AD17&lt;&gt;"+"),IF(ISNUMBER(SEARCH("мА",AD17)),IFERROR(--TRIM(RIGHT(SUBSTITUTE(LEFT(AD17,SEARCH("мА",AD17)-1)," ",REPT(" ",9)),6)),30),0),IF(AE17="нет",0,IF(ISNUMBER(AE17),AE17,IF(AE17="да",30,_xlfn.MINIFS(Линии[_дифзащита по коду, мА],Линии[_гр.],DY17,Линии[Щит],A17,Линии[_дифзащита по коду, мА],"&gt;0"))))))</f>
        <v/>
      </c>
      <c r="EI17" t="str">
        <f t="shared" si="43"/>
        <v/>
      </c>
      <c r="EJ17" t="str">
        <f t="shared" si="44"/>
        <v/>
      </c>
      <c r="EK17" t="str">
        <f t="shared" si="45"/>
        <v/>
      </c>
      <c r="EL17" t="str">
        <f t="shared" si="46"/>
        <v/>
      </c>
      <c r="EM17">
        <f t="shared" si="47"/>
        <v>0</v>
      </c>
      <c r="EN17" t="str">
        <f>IF(AD17="","",IF(EM17=1,MAX(EE17,Мин_автомат_БП),EE17))</f>
        <v/>
      </c>
      <c r="EO17" t="str">
        <f t="shared" si="48"/>
        <v/>
      </c>
      <c r="EP17" t="str">
        <f t="shared" si="49"/>
        <v/>
      </c>
      <c r="EQ17" t="str">
        <f t="shared" si="50"/>
        <v/>
      </c>
      <c r="ER17" t="str">
        <f>IF(OR(AI17="",AI17="-"),"",IFERROR(VLOOKUP(AI17,Модули_спр,2,FALSE),"R"))</f>
        <v/>
      </c>
      <c r="ES17" t="str">
        <f>IF(ER17="","",ER17&amp;"."&amp;COUNTIFS(A$3:A17,A17,ER$3:ER17,ER17))</f>
        <v/>
      </c>
      <c r="ET17" t="str">
        <f t="shared" si="51"/>
        <v/>
      </c>
      <c r="EU17" t="str">
        <f t="shared" si="52"/>
        <v/>
      </c>
      <c r="EV17" t="str">
        <f t="shared" si="53"/>
        <v/>
      </c>
      <c r="EW17" t="str">
        <f t="shared" si="54"/>
        <v/>
      </c>
      <c r="EX17">
        <f t="shared" si="55"/>
        <v>1</v>
      </c>
      <c r="EY17" t="str">
        <f>IF(AK17="нет","",IF(AK17&lt;&gt;"",AK17,IF(EX17=1,"XT"&amp;COUNTIFS(A$3:A17,A17,EX$3:EX17,1),"")))</f>
        <v/>
      </c>
      <c r="EZ17" t="str">
        <f t="shared" si="56"/>
        <v/>
      </c>
      <c r="FA17" t="str">
        <f t="shared" si="57"/>
        <v/>
      </c>
      <c r="FB17" t="str">
        <f t="shared" si="58"/>
        <v/>
      </c>
      <c r="FC17" t="str">
        <f>IF(OR(EV17="",ET17=""),"",IF(EV17&gt;IFERROR(VLOOKUP(EU17,Модули_спр,3,FALSE),99),"ЛИШНИЙ КАНАЛ",IF(AND(AJ17&lt;&gt;"=",COUNTIFS(Линии[_модуль гр.],ET17,Линии[Канал (итог)],EV17,Линии[Канал],"&lt;&gt;=",Линии[Щит],A17)&gt;1),"ДУБЛЬ КАНАЛА","")))</f>
        <v/>
      </c>
      <c r="FD17" t="str">
        <f t="shared" si="59"/>
        <v/>
      </c>
      <c r="FE17" t="str">
        <f t="shared" si="60"/>
        <v/>
      </c>
      <c r="FF17" t="str">
        <f t="shared" si="61"/>
        <v/>
      </c>
      <c r="FG17" t="str">
        <f t="shared" si="62"/>
        <v/>
      </c>
      <c r="FH17" t="str">
        <f t="shared" si="63"/>
        <v/>
      </c>
      <c r="FI17">
        <f t="shared" si="64"/>
        <v>10</v>
      </c>
      <c r="FJ17" t="str">
        <f t="shared" si="65"/>
        <v/>
      </c>
      <c r="FK17" t="str">
        <f>IF(AND(D17="",EZ17=""),"",_xlfn.TEXTJOIN("; ",TRUE,IF(AND(D17&lt;&gt;"",DD17=""),"нет фазы",""),IF(AND(D17&lt;&gt;"",N(DT17)=0,CN17&lt;&gt;"Нет"),"нет мощности",""),IF(AND(EY17&lt;&gt;"",COUNTIFS(Линии[Щит],A17,Линии[Клемма (итог)],EY17)&gt;1),"дубль клеммы "&amp;EY17,""),IF(AND(FB17&lt;&gt;"",FB17&lt;&gt;"ok"),FB17,""),IF(FC17&lt;&gt;"",FC17,""),IF(AND(ISNUMBER(SEARCH("(5х",DS17)),N(DV17)=1),"5 жил на 1 фазе",""),IF(AND(AT17="R",AD17&lt;&gt;"",OR(N(EH17)=0,N(EH17)&gt;30)),"розетка без дифзащиты до 30 мА",""),IFERROR(IF(AND(ISNUMBER(CD17),CD17&gt;CE17),"потери "&amp;FIXED(CD17,1)&amp;" % &gt; "&amp;CE17&amp;" %",""),""),IFERROR(IF(LEFT(FJ17,4)="мало","Iкз мало — отключение &gt; 0,4 с",""),""),IF(AND(D17&lt;&gt;"",BD17=""),"не на схеме","")))</f>
        <v/>
      </c>
      <c r="FL17" t="str">
        <f>IF(AD17="","",_xlfn.LET(_xlpm.t,IFERROR(_xlfn.XLOOKUP(EP17,Каталог!$U$4:$U$500,Каталог!$G$4:$G$500),""),_xlpm.k,SEARCH("кА",_xlpm.t),IFERROR(--TRIM(RIGHT(SUBSTITUTE(MID(_xlpm.t,MAX(1,_xlpm.k-4),_xlpm.k-MAX(1,_xlpm.k-4))," ",REPT(" ",9)),5)),"")))</f>
        <v/>
      </c>
      <c r="FM17" t="str">
        <f>IF(OR(FL17="",AD17=""),"",IF(_xlfn.XLOOKUP(A17,Щиты[Щит],Щиты[Iкз max на шинах, кА],"")="","",IF(FL17&lt;_xlfn.XLOOKUP(A17,Щиты[Щит],Щиты[Iкз max на шинах, кА]),"Icu "&amp;FL17&amp;" кА &lt; Iкз max","ok")))</f>
        <v/>
      </c>
      <c r="FN17" t="str">
        <f t="shared" si="66"/>
        <v/>
      </c>
      <c r="FO17" t="str">
        <f t="shared" si="67"/>
        <v/>
      </c>
      <c r="FP17" t="str" cm="1">
        <f t="array" ref="FP17">IF(FO17="","",_xlfn.LET(_xlpm.nd,_xlfn.TEXTSPLIT(FO17,"|"),IF(COLUMNS(_xlpm.nd)&gt;1,A17&amp;"¦"&amp;INDEX(_xlpm.nd,1)&amp;"¦"&amp;INDEX(_xlpm.nd,2),"")))</f>
        <v/>
      </c>
      <c r="FQ17" t="str">
        <f t="shared" si="68"/>
        <v/>
      </c>
      <c r="FR17" t="str" cm="1">
        <f t="array" ref="FR17">IF(FO17="","",_xlfn.LET(_xlpm.nd,_xlfn.TEXTSPLIT(FO17,"|"),IF(COLUMNS(_xlpm.nd)&gt;2,A17&amp;"¦"&amp;INDEX(_xlpm.nd,2)&amp;"¦"&amp;INDEX(_xlpm.nd,3),"")))</f>
        <v/>
      </c>
      <c r="FS17" t="str">
        <f t="shared" si="69"/>
        <v/>
      </c>
      <c r="FT17" t="str" cm="1">
        <f t="array" ref="FT17">IF(FO17="","",_xlfn.LET(_xlpm.nd,_xlfn.TEXTSPLIT(FO17,"|"),IF(COLUMNS(_xlpm.nd)&gt;3,A17&amp;"¦"&amp;INDEX(_xlpm.nd,3)&amp;"¦"&amp;INDEX(_xlpm.nd,4),"")))</f>
        <v/>
      </c>
      <c r="FU17" t="str">
        <f t="shared" si="70"/>
        <v/>
      </c>
      <c r="FV17" t="str" cm="1">
        <f t="array" ref="FV17">IF(FO17="","",_xlfn.LET(_xlpm.nd,_xlfn.TEXTSPLIT(FO17,"|"),IF(COLUMNS(_xlpm.nd)&gt;4,A17&amp;"¦"&amp;INDEX(_xlpm.nd,4)&amp;"¦"&amp;INDEX(_xlpm.nd,5),"")))</f>
        <v/>
      </c>
      <c r="FW17" t="str">
        <f t="shared" si="71"/>
        <v/>
      </c>
      <c r="FX17" t="str" cm="1">
        <f t="array" ref="FX17">IF(FO17="","",_xlfn.LET(_xlpm.nd,_xlfn.TEXTSPLIT(FO17,"|"),IF(COLUMNS(_xlpm.nd)&gt;5,A17&amp;"¦"&amp;INDEX(_xlpm.nd,5)&amp;"¦"&amp;INDEX(_xlpm.nd,6),"")))</f>
        <v/>
      </c>
      <c r="FY17" t="str">
        <f t="shared" si="72"/>
        <v/>
      </c>
      <c r="FZ17" t="str" cm="1">
        <f t="array" ref="FZ17">IF(FO17="","",_xlfn.LET(_xlpm.nd,_xlfn.TEXTSPLIT(FO17,"|"),IF(COLUMNS(_xlpm.nd)&gt;6,A17&amp;"¦"&amp;INDEX(_xlpm.nd,6)&amp;"¦"&amp;INDEX(_xlpm.nd,7),"")))</f>
        <v/>
      </c>
      <c r="GA17" t="str">
        <f t="shared" si="73"/>
        <v/>
      </c>
      <c r="GB17" t="str">
        <f t="shared" si="74"/>
        <v/>
      </c>
      <c r="GC17" t="str">
        <f t="shared" si="75"/>
        <v/>
      </c>
      <c r="GD17">
        <f t="shared" si="76"/>
        <v>1</v>
      </c>
      <c r="GE17">
        <f t="shared" si="77"/>
        <v>0</v>
      </c>
      <c r="GF17">
        <f t="shared" si="78"/>
        <v>0</v>
      </c>
      <c r="GG17" t="str">
        <f t="shared" si="79"/>
        <v/>
      </c>
      <c r="GH17" t="str">
        <f t="shared" si="80"/>
        <v/>
      </c>
      <c r="GI17" t="str">
        <f t="shared" si="81"/>
        <v/>
      </c>
      <c r="GJ17" t="str">
        <f t="shared" si="82"/>
        <v/>
      </c>
      <c r="GK17">
        <f>IF(D17="","",IFERROR(VLOOKUP(D17,УГО_спр,2,FALSE),IFERROR(VLOOKUP(AT17,УГО_спр,2,FALSE),IFERROR(VLOOKUP(LEFT(AT17,2),УГО_спр,2,FALSE),""))))</f>
        <v>0</v>
      </c>
      <c r="GL17" t="str">
        <f>IF(D17="","",IF(OR(GK17="",GK17=0),"BOX",IFERROR(IF(VLOOKUP(GK17,УГО_блоки,3,FALSE)&amp;""&lt;&gt;"",VLOOKUP(GK17,УГО_блоки,3,FALSE),VLOOKUP(GK17,УГО_блоки,2,FALSE)),GK17)))</f>
        <v>BOX</v>
      </c>
      <c r="GM17">
        <f t="shared" si="83"/>
        <v>1</v>
      </c>
      <c r="GN17" t="str">
        <f>IF(EP17="","",IF(COUNTIF(EP$3:EP17,EP17)=1,MAX(GN$2:GN16)+1,""))</f>
        <v/>
      </c>
      <c r="GO17" t="str">
        <f>IF(AF17="","",IF(COUNTIF(AF$3:AF17,AF17)+COUNTIF(AG$2:AG16,AF17)+COUNTIF(AH$2:AH16,AF17)=1,MAX(GO$2:GQ16)+1,""))</f>
        <v/>
      </c>
      <c r="GP17" t="str">
        <f>IF(AG17="","",IF(COUNTIF(AF$3:AF17,AG17)+COUNTIF(AG$3:AG17,AG17)+COUNTIF(AH$2:AH16,AG17)=1,MAX(GO$2:GQ16,GO17)+1,""))</f>
        <v/>
      </c>
      <c r="GQ17" t="str">
        <f>IF(AH17="","",IF(COUNTIF(AF$3:AF17,AH17)+COUNTIF(AG$3:AG17,AH17)+COUNTIF(AH$3:AH17,AH17)=1,MAX(GO$2:GQ16,GO17,GP17)+1,""))</f>
        <v/>
      </c>
      <c r="GR17" t="str">
        <f t="shared" si="84"/>
        <v>3х4</v>
      </c>
      <c r="GS17">
        <f>IF(GR17="","",IF(COUNTIF(GR$3:GR17,GR17)=1,MAX(GS$2:GS16)+1,""))</f>
        <v>7</v>
      </c>
      <c r="GT17" t="str">
        <f>IF(ES17="","",COUNTIF(ES$3:ES17,"?*"))</f>
        <v/>
      </c>
      <c r="GU17" t="str">
        <f>IF(OR(ES17="",EU17=""),"",IF(COUNTIFS(ES$3:ES17,"?*",EU$3:EU17,EU17)=1,MAX(GU$2:GU16)+1,""))</f>
        <v/>
      </c>
      <c r="GV17">
        <f t="shared" si="85"/>
        <v>0</v>
      </c>
      <c r="GW17">
        <f>IF(D17="","",COUNTIF(D$3:D17,"?*"))</f>
        <v>15</v>
      </c>
      <c r="GX17">
        <f>IF(EX17&lt;&gt;1,0,_xlfn.LET(_xlpm.k,MAX(IFERROR(--VLOOKUP(D17,УГО_спр,5,FALSE),0),IFERROR(--VLOOKUP(AT17,УГО_спр,5,FALSE),0),IFERROR(--VLOOKUP(LEFT(AT17,2),УГО_спр,5,FALSE),0)),IF(_xlpm.k&gt;0,_xlpm.k,IF(IFERROR(--LEFT(SUBSTITUTE(GR17,"x","х"),FIND("х",SUBSTITUTE(GR17,"x","х"))-1),3)&gt;3,Каталог!$S$9,1))))</f>
        <v>1</v>
      </c>
      <c r="GY17">
        <f t="shared" si="86"/>
        <v>0</v>
      </c>
    </row>
    <row r="18" spans="1:207" x14ac:dyDescent="0.3">
      <c r="A18" t="s">
        <v>788</v>
      </c>
      <c r="B18">
        <v>30</v>
      </c>
      <c r="C18" t="str">
        <f>IF(BD18="","",IF(BE18="вводной узел","узел ","")&amp;"л."&amp;(INT((BD18-1)/Столбцов_на_лист)+1)&amp;" / "&amp;(MOD(BD18-1,Столбцов_на_лист)+1))</f>
        <v>л.2 / 13</v>
      </c>
      <c r="D18" t="s">
        <v>770</v>
      </c>
      <c r="E18" s="133" t="s">
        <v>769</v>
      </c>
      <c r="G18">
        <v>2.4</v>
      </c>
      <c r="H18">
        <v>1</v>
      </c>
      <c r="I18">
        <v>1</v>
      </c>
      <c r="J18">
        <v>230</v>
      </c>
      <c r="K18" t="s">
        <v>602</v>
      </c>
      <c r="L18">
        <v>0.7</v>
      </c>
      <c r="N18">
        <v>2</v>
      </c>
      <c r="O18">
        <v>3</v>
      </c>
      <c r="P18">
        <v>51</v>
      </c>
      <c r="Q18">
        <v>34</v>
      </c>
      <c r="R18">
        <v>12</v>
      </c>
      <c r="S18">
        <v>0</v>
      </c>
      <c r="U18" t="s">
        <v>11</v>
      </c>
      <c r="V18">
        <v>3</v>
      </c>
      <c r="W18">
        <v>4</v>
      </c>
      <c r="X18">
        <v>16</v>
      </c>
      <c r="Z18" t="s">
        <v>608</v>
      </c>
      <c r="AA18" t="s">
        <v>818</v>
      </c>
      <c r="AK18" t="s">
        <v>488</v>
      </c>
      <c r="AR18" t="str">
        <f t="shared" si="0"/>
        <v/>
      </c>
      <c r="AS18" cm="1">
        <f t="array" ref="AS18">ROW()-ROW(Линии[#Headers])</f>
        <v>16</v>
      </c>
      <c r="AT18" t="str">
        <f t="shared" si="1"/>
        <v>ЩС-ВК</v>
      </c>
      <c r="AU18" t="str">
        <f t="shared" si="2"/>
        <v>002</v>
      </c>
      <c r="AV18" t="str">
        <f t="shared" si="3"/>
        <v>002</v>
      </c>
      <c r="AW18" t="str">
        <f t="shared" si="4"/>
        <v/>
      </c>
      <c r="AX18" t="str">
        <f t="shared" si="5"/>
        <v/>
      </c>
      <c r="AY18" t="str">
        <f>IF(D18="","",IF(ISERROR(SEARCH(".",D18)),IFERROR(VLOOKUP(D18,Потребители_обозначение,2,FALSE)&amp;"",""),IFERROR(IF(VLOOKUP(AT18,Потребители_обозначение,4,FALSE)=1,VLOOKUP(AT18,Потребители_обозначение,2,FALSE)&amp;" "&amp;VLOOKUP(AV18,Этаж_обозначение,2,FALSE)&amp;" Пом. №"&amp;AX18,VLOOKUP(AT18,Потребители_обозначение,2,FALSE)&amp;" Шлейф №"&amp;AV18),IFERROR(VLOOKUP(D18,Потребители_обозначение,2,FALSE),""))))</f>
        <v/>
      </c>
      <c r="AZ18" t="str">
        <f t="shared" si="6"/>
        <v>Щит насосов ЩС-ВК.002 Подвальный этаж этаж Пом. №00.002Тб</v>
      </c>
      <c r="BA18" t="str">
        <f>IF(F18&lt;&gt;"",F18,IF(AND(D18&lt;&gt;"",D18&lt;&gt;A18,ISNUMBER(_xlfn.XMATCH(D18,Щиты[Щит]))),D18,""))</f>
        <v>ЩС-ВК.002</v>
      </c>
      <c r="BB18">
        <f>IFERROR(_xlfn.XMATCH(A18,Щиты[Щит]),0)</f>
        <v>1</v>
      </c>
      <c r="BC18">
        <f>IFERROR(N(_xlfn.XLOOKUP(A18,Щиты[Щит],Щиты[Мест под вводной узел])),15)</f>
        <v>1</v>
      </c>
      <c r="BD18">
        <f t="shared" si="7"/>
        <v>30</v>
      </c>
      <c r="BE18" t="str">
        <f t="shared" si="8"/>
        <v>линии</v>
      </c>
      <c r="BF18">
        <f>IF(D18="","",IF(BA18&lt;&gt;"",IFERROR(_xlfn.XLOOKUP(BA18,Щиты[Щит],Щиты[Руст, кВт]),0),N(G18)))</f>
        <v>2.4</v>
      </c>
      <c r="BG18">
        <f>IF(J18&lt;&gt;"",J18,IF(D18="","",IFERROR(IF(VLOOKUP(AT18,Потребители_обозначение,8,FALSE)=0,"",VLOOKUP(AT18,Потребители_обозначение,8,FALSE)),"")))</f>
        <v>230</v>
      </c>
      <c r="BH18">
        <f>IF(I18&lt;&gt;"",I18,IF(D18="","",IFERROR(IF(VLOOKUP(AT18,Потребители_обозначение,9,FALSE)=0,"",VLOOKUP(AT18,Потребители_обозначение,9,FALSE)),"")))</f>
        <v>1</v>
      </c>
      <c r="BI18" t="str">
        <f>IF(U18&lt;&gt;"",U18,IF(D18="","",IFERROR(IF(VLOOKUP(AT18,Потребители_обозначение,6,FALSE)=0,"",VLOOKUP(AT18,Потребители_обозначение,6,FALSE)),"")))</f>
        <v>мс</v>
      </c>
      <c r="BJ18">
        <f>IF(V18&lt;&gt;"",V18,IF(D18="","",IFERROR(IF(VLOOKUP(AT18,Потребители_обозначение,7,FALSE)=0,"",VLOOKUP(AT18,Потребители_обозначение,7,FALSE)),"")))</f>
        <v>3</v>
      </c>
      <c r="BK18">
        <f>IF(W18&lt;&gt;"",W18,IF(D18="","",IFERROR(IF(VLOOKUP(AT18,Потребители_обозначение,10,FALSE)=0,"",VLOOKUP(AT18,Потребители_обозначение,10,FALSE)),"")))</f>
        <v>4</v>
      </c>
      <c r="BL18">
        <f>IFERROR(VLOOKUP(AT18,Потребители_обозначение,5,FALSE),0)</f>
        <v>0</v>
      </c>
      <c r="BM18" cm="1">
        <f t="array" ref="BM18">IF(D18="","",IF(BA18&lt;&gt;"",IFERROR(_xlfn.XLOOKUP(BA18,Щиты[Щит],Щиты[cos φ]),0.95),IF(ISNUMBER(M18),M18,IFERROR(IF(BL18=2,_xlfn.IFS(BH18=3,VLOOKUP(BF18,Справочная_двигатели,8,FALSE),BH18=1,VLOOKUP(BF18,Справочная_двигатели,10,TRUE)),IF(AND(Методика="нормы 2026",CN18="Сил"),0.8,0.95)),0.95))))</f>
        <v>0.95</v>
      </c>
      <c r="BN18" cm="1">
        <f t="array" ref="BN18">IF(D18="","",IF(BA18&lt;&gt;"",IFERROR(_xlfn.XLOOKUP(BA18,Щиты[Щит],Щиты[Iр, А]),""),IFERROR(_xlfn.IFS(BH18=1,BF18/((Uн_лин/SQRT(3))*BM18),BH18=3,BF18/(SQRT(3)*Uн_лин*BM18)),"")))</f>
        <v>6.8917390027477428</v>
      </c>
      <c r="BO18">
        <f>IF(D18="","",IF(N(X18)=0,IFERROR(VLOOKUP(BN18,Автомат_номиналы,2,TRUE),""),X18))</f>
        <v>16</v>
      </c>
      <c r="BP18">
        <f t="shared" si="9"/>
        <v>1</v>
      </c>
      <c r="BQ18">
        <f>IF(ISNUMBER(Y18),Y18,К_прокл)</f>
        <v>1</v>
      </c>
      <c r="BR18">
        <f t="shared" si="10"/>
        <v>2</v>
      </c>
      <c r="BS18" cm="1">
        <f t="array" ref="BS18">IF(D18="","",IF(N(BK18)&lt;&gt;0,BK18,IFERROR(_xlfn.LET(_xlpm.need,BO18/(BP18*BQ18),_xlpm.t,CHOOSE(BR18,Iдоп_1ж,Iдоп_2ж,Iдоп_3ж),_xlpm.k,_xlfn.XMATCH(_xlpm.need,_xlpm.t,1),IF(ISNA(_xlpm.k),"Не исп",INDEX(Iдоп_S,_xlpm.k))),"Не исп")))</f>
        <v>4</v>
      </c>
      <c r="BT18">
        <f>IFERROR(VLOOKUP(BS18,Кабель_сопротивление,3,FALSE),"")</f>
        <v>2.2499999999999999E-2</v>
      </c>
      <c r="BU18">
        <f>IFERROR(VLOOKUP(BS18,Кабель_сопротивление,2,FALSE),"")</f>
        <v>9.5000000000000001E-2</v>
      </c>
      <c r="BV18">
        <f t="shared" si="11"/>
        <v>51</v>
      </c>
      <c r="BW18">
        <f>IF(D18="","",IFERROR(IF(VLOOKUP(AT18,Потребители_обозначение,4,FALSE)=1,VLOOKUP(AT18,Потребители_обозначение,3,FALSE)*(H18*2-1)+BV18+VLOOKUP(AV18,Этаж_обозначение,3,FALSE)+VLOOKUP(AV18,Этаж_обозначение,4,FALSE),VLOOKUP(AT18,Потребители_обозначение,3,FALSE)*(H18*2-1)+BV18),BV18))</f>
        <v>51</v>
      </c>
      <c r="BX18">
        <f t="shared" si="12"/>
        <v>12</v>
      </c>
      <c r="BY18">
        <f t="shared" si="13"/>
        <v>0</v>
      </c>
      <c r="BZ18">
        <f t="shared" si="14"/>
        <v>2</v>
      </c>
      <c r="CA18">
        <f t="shared" si="15"/>
        <v>0.31</v>
      </c>
      <c r="CB18">
        <f t="shared" si="16"/>
        <v>3.777130584975545</v>
      </c>
      <c r="CC18">
        <f>IFERROR(ROUNDUP(CB18/((Uн_лин/SQRT(3))*1000)*100,2),"")</f>
        <v>1.64</v>
      </c>
      <c r="CD18">
        <f>IF(ISNUMBER(CC18),CC18+IFERROR(_xlfn.XLOOKUP(A18,Щиты[Щит],Щиты[ΔU до шин, %]),0),"")</f>
        <v>1.64</v>
      </c>
      <c r="CE18">
        <f>IF(D18="","",IF(IFERROR(VLOOKUP(AT18,УГО_спр,2,FALSE),"")="Светильник",3,4)+IF(Методика="нормы 2026",MIN(0.5,MAX(0,N(BW18)-100)*0.005),0))</f>
        <v>4</v>
      </c>
      <c r="CF18" t="str">
        <f>IFERROR(VLOOKUP(BI18,Кабель_обозначение,2,FALSE),"")</f>
        <v>ВВГнг(А)-LS</v>
      </c>
      <c r="CG18" t="str">
        <f>IFERROR(IF(VLOOKUP(BI18,Кабель_обозначение,3,FALSE)=1,CF18&amp;" ("&amp;BJ18&amp;"х"&amp;BS18&amp;")",CF18),"")</f>
        <v>ВВГнг(А)-LS (3х4)</v>
      </c>
      <c r="CH18" t="str">
        <f t="shared" si="17"/>
        <v>ВВГнг(А)-LS (3х4)
L=51-1,64%</v>
      </c>
      <c r="CI18">
        <f>IFERROR(2*ρкз_Cu*BW18/BS18,"")</f>
        <v>0.67064999999999997</v>
      </c>
      <c r="CJ18">
        <f t="shared" si="18"/>
        <v>0.22312500000000002</v>
      </c>
      <c r="CK18" t="str">
        <f>IFERROR(IF(OR(D18="",NOT(ISNUMBER(BS18)),N(BW18)=0),"",_xlfn.XLOOKUP(A18,Щиты[Щит],Щиты[Zпетли на шинах, Ом])+CI18),"")</f>
        <v/>
      </c>
      <c r="CL18" t="str">
        <f>IF(ISNUMBER(CK18),c_min*(Uн_лин*1000/SQRT(3))/CK18,"")</f>
        <v/>
      </c>
      <c r="CM18" t="str">
        <f>IFERROR(IF(OR(D18="",NOT(ISNUMBER(BS18))),"",1.05*(Uн_лин*1000/SQRT(3))/(_xlfn.XLOOKUP(A18,Щиты[Щит],Щиты[Zmax на шинах, Ом])+CJ18)/1000),"")</f>
        <v/>
      </c>
      <c r="CN18" t="str">
        <f>IF(D18="","",IF(BA18&lt;&gt;"","Щит",IF(K18&lt;&gt;"",K18,IF(ISNUMBER(L18),"Сил",IF(IFERROR(_xlfn.XLOOKUP(AT18,Коды_код,Коды_группа)&amp;"","")="","Быт",_xlfn.XLOOKUP(AT18,Коды_код,Коды_группа)&amp;"")))))</f>
        <v>Щит</v>
      </c>
      <c r="CO18" t="str">
        <f>IF(CN18="Щит","щит",IF(CN18="","",IF(CN18="Быт",IFERROR(_xlfn.XLOOKUP(A18,Щиты[Щит],Щиты[Кс быт]),1),IF(CN18="Сил",IF(ISNUMBER(L18),L18,IF(Методика="нормы 2026",IFERROR(_xlfn.XLOOKUP(A18,Щиты[Щит],Щиты[Кс силовых (табл. 7.5)]),1),1)),IF(OR(CN18="Пост",CN18="Отоп"),1,IF(CN18="ВНГ",0.7,0))))))</f>
        <v>щит</v>
      </c>
      <c r="CP18">
        <f t="shared" si="19"/>
        <v>2</v>
      </c>
      <c r="CQ18">
        <f t="shared" si="20"/>
        <v>0</v>
      </c>
      <c r="CR18">
        <f t="shared" si="21"/>
        <v>0</v>
      </c>
      <c r="CS18">
        <f t="shared" si="22"/>
        <v>0</v>
      </c>
      <c r="CT18">
        <f t="shared" si="23"/>
        <v>0</v>
      </c>
      <c r="CU18">
        <f t="shared" si="24"/>
        <v>0</v>
      </c>
      <c r="CV18">
        <f t="shared" si="25"/>
        <v>0</v>
      </c>
      <c r="CW18">
        <f t="shared" si="26"/>
        <v>0</v>
      </c>
      <c r="CX18">
        <f t="shared" si="27"/>
        <v>0</v>
      </c>
      <c r="CY18">
        <f t="shared" si="28"/>
        <v>1</v>
      </c>
      <c r="CZ18" t="str">
        <f t="shared" si="29"/>
        <v>L1</v>
      </c>
      <c r="DA18" cm="1">
        <f t="array" ref="DA18">IFERROR(IF(BL18=2,_xlfn.IFS(BH18=3,VLOOKUP(BF18,Справочная_двигатели,3,FALSE),BH18=1,VLOOKUP(BF18,Справочная_двигатели,5,TRUE)),0),0)</f>
        <v>0</v>
      </c>
      <c r="DB18">
        <f>IFERROR(IF(BL18=3,VLOOKUP(BF18,Справочная_ЛЭД,2,TRUE),0),0)</f>
        <v>0</v>
      </c>
      <c r="DC18">
        <f t="shared" si="30"/>
        <v>0</v>
      </c>
      <c r="DD18" t="str">
        <f t="shared" si="31"/>
        <v>L3</v>
      </c>
      <c r="DE18" t="str" cm="1">
        <f t="array" ref="DE18">IF(D18="","",IFERROR(INDEX({"I особая","I","II","III"},MATCH(TRIM(AA18&amp;""),{"I особая","I","II","III"},0)),"III"))</f>
        <v>II</v>
      </c>
      <c r="DF18" t="str">
        <f>IF(D18="","",IF(TRIM(AB18&amp;"")&lt;&gt;"",IF(LOWER(TRIM(AB18&amp;""))="да","да","нет"),IF(IFERROR(_xlfn.XLOOKUP(AT18,Коды_код,Коды_пожарная),"")="да","да","нет")))</f>
        <v>нет</v>
      </c>
      <c r="DG18" t="str">
        <f t="shared" si="32"/>
        <v/>
      </c>
      <c r="DH18" t="str">
        <f t="shared" si="33"/>
        <v>основная</v>
      </c>
      <c r="DI18">
        <f t="shared" si="34"/>
        <v>2</v>
      </c>
      <c r="DJ18" t="str" cm="1">
        <f t="array" ref="DJ18">IF(D18="","",_xlfn.LET(_xlpm.t,IFERROR(_xlfn.XLOOKUP(1,(Шины[Шина]=DH18)*(((Шины[Щит]=A18)+(Шины[Щит]=""))&gt;0),Шины[Тип]),"")&amp;"",IF(_xlpm.t&lt;&gt;"",_xlpm.t,IF(ISNUMBER(SEARCH("ИБП",DH18)),"ИБП",IF(ISNUMBER(SEARCH("ДГУ",DH18)),"ДГУ","Ввод "&amp;DI18)))))</f>
        <v>Ввод 2</v>
      </c>
      <c r="DK18" t="str">
        <f t="shared" si="35"/>
        <v>Ввод 2</v>
      </c>
      <c r="DL18" t="str">
        <f>IF(D18="","",IF(OR(DJ18="ИБП",DJ18="ДГУ"),"I особая",IF(DJ18="Одиночная","III",_xlfn.XLOOKUP(A18,Щиты[Щит],Щиты[Категория шины «Ввод»],"III"))))</f>
        <v>I</v>
      </c>
      <c r="DM18">
        <f>IF(D18="",0,IFERROR(MATCH(DE18,{"III","II","I","I особая"},0),1))</f>
        <v>2</v>
      </c>
      <c r="DN18">
        <f t="shared" si="36"/>
        <v>2</v>
      </c>
      <c r="DO18" t="str">
        <f>IF(D18="","",IF(DM18&gt;IFERROR(MATCH(DL18,{"III","II","I","I особая"},0),1),"НЕ ОБЕСПЕЧЕНА","ОК"))</f>
        <v>ОК</v>
      </c>
      <c r="DP18" t="str">
        <f>IF(A18="","",_xlfn.XLOOKUP(A18,Щиты[Щит],Щиты[Путь],""))</f>
        <v>|ГРЩ-ЖД|</v>
      </c>
      <c r="DQ18" t="str">
        <f>IF(D18="","",IF(Z18&lt;&gt;"",Z18,IF(IFERROR(_xlfn.XLOOKUP(AT18,Коды_код,Коды_вид)&amp;"","")="","Прочее",_xlfn.XLOOKUP(AT18,Коды_код,Коды_вид)&amp;"")))</f>
        <v>Насосы (водоснабжение, дренаж)</v>
      </c>
      <c r="DR18">
        <f>IF(BD18="","",INT((BD18-1)/Столбцов_на_лист)+1)</f>
        <v>2</v>
      </c>
      <c r="DS18" t="str">
        <f t="shared" si="37"/>
        <v>ВВГнг(А)-LS (3х4) L=51-1,64%</v>
      </c>
      <c r="DT18">
        <f t="shared" si="38"/>
        <v>2.4</v>
      </c>
      <c r="DU18">
        <f t="shared" si="39"/>
        <v>6.8999999999999995</v>
      </c>
      <c r="DV18">
        <f t="shared" si="40"/>
        <v>1</v>
      </c>
      <c r="DW18">
        <f>IF(AT18="",0,_xlfn.LET(_xlpm.v,IFERROR(VLOOKUP(D18,УГО_спр,3,FALSE),IFERROR(VLOOKUP(AT18,УГО_спр,3,FALSE),IFERROR(VLOOKUP(LEFT(AT18,2),УГО_спр,3,FALSE),""))),IF(_xlpm.v="да",30,IF(ISNUMBER(_xlpm.v),_xlpm.v,0))))</f>
        <v>0</v>
      </c>
      <c r="DX18">
        <f t="shared" si="41"/>
        <v>0</v>
      </c>
      <c r="DY18" t="str">
        <f>IF(BD18="","",IF(AD18&lt;&gt;"",COUNTIFS(A$3:A18,A18,AD$3:AD18,"?*"),IF(OR(OR(AS18=1,A18&lt;&gt;A17),AL18="вручную"),"",IF(AS18=1,"",DZ17))))</f>
        <v/>
      </c>
      <c r="DZ18" t="str">
        <f t="shared" si="42"/>
        <v/>
      </c>
      <c r="EA18">
        <f>IF(D18="",0,MAX(IFERROR(--X18,0),IFERROR(--VLOOKUP(D18,УГО_спр,4,FALSE),IFERROR(--VLOOKUP(AT18,УГО_спр,4,FALSE),IFERROR(--VLOOKUP(LEFT(AT18,2),УГО_спр,4,FALSE),0)))))</f>
        <v>16</v>
      </c>
      <c r="EB18">
        <f>IF(D18="","",IFERROR(LOOKUP(INDEX(CHOOSE(BR18,Iдоп_1ж,Iдоп_2ж,Iдоп_3ж),MATCH(BS18,Iдоп_S,0))*BP18*BQ18,{6,10,16,20,25,32,40,50,63,80,100,125,160,200,250,315,400,500,630}),""))</f>
        <v>32</v>
      </c>
      <c r="EC18" t="str">
        <f>IF(AD18="","",SUMIFS(Линии[_Ток схемы],Линии[_гр.],DY18,Линии[Щит],A18,Линии[_в кабель выше],0))</f>
        <v/>
      </c>
      <c r="ED18" t="str">
        <f>IF(AD18="","",IFERROR(VLOOKUP(EC18,Автомат_номиналы,2,TRUE),""))</f>
        <v/>
      </c>
      <c r="EE18" t="str">
        <f>IF(AD18="","",MAX(N(ED18),_xlfn.MAXIFS(Линии[_мин. по типу],Линии[_гр.],DY18,Линии[Щит],A18)))</f>
        <v/>
      </c>
      <c r="EF18" t="str">
        <f>IF(AD18="","",_xlfn.MINIFS(Линии[_макс. автомат по кабелю],Линии[_гр.],DY18,Линии[Щит],A18))</f>
        <v/>
      </c>
      <c r="EG18" t="str">
        <f>IF(AD18="","",MAX(1,_xlfn.MAXIFS(Линии[_фаз],Линии[_гр.],DY18,Линии[Щит],A18)))</f>
        <v/>
      </c>
      <c r="EH18" t="str">
        <f>IF(AD18="","",IF(AND(AD18&lt;&gt;"авто",AD18&lt;&gt;"+"),IF(ISNUMBER(SEARCH("мА",AD18)),IFERROR(--TRIM(RIGHT(SUBSTITUTE(LEFT(AD18,SEARCH("мА",AD18)-1)," ",REPT(" ",9)),6)),30),0),IF(AE18="нет",0,IF(ISNUMBER(AE18),AE18,IF(AE18="да",30,_xlfn.MINIFS(Линии[_дифзащита по коду, мА],Линии[_гр.],DY18,Линии[Щит],A18,Линии[_дифзащита по коду, мА],"&gt;0"))))))</f>
        <v/>
      </c>
      <c r="EI18" t="str">
        <f t="shared" si="43"/>
        <v/>
      </c>
      <c r="EJ18" t="str">
        <f t="shared" si="44"/>
        <v/>
      </c>
      <c r="EK18" t="str">
        <f t="shared" si="45"/>
        <v/>
      </c>
      <c r="EL18" t="str">
        <f t="shared" si="46"/>
        <v/>
      </c>
      <c r="EM18">
        <f t="shared" si="47"/>
        <v>0</v>
      </c>
      <c r="EN18" t="str">
        <f>IF(AD18="","",IF(EM18=1,MAX(EE18,Мин_автомат_БП),EE18))</f>
        <v/>
      </c>
      <c r="EO18" t="str">
        <f t="shared" si="48"/>
        <v/>
      </c>
      <c r="EP18" t="str">
        <f t="shared" si="49"/>
        <v/>
      </c>
      <c r="EQ18" t="str">
        <f t="shared" si="50"/>
        <v/>
      </c>
      <c r="ER18" t="str">
        <f>IF(OR(AI18="",AI18="-"),"",IFERROR(VLOOKUP(AI18,Модули_спр,2,FALSE),"R"))</f>
        <v/>
      </c>
      <c r="ES18" t="str">
        <f>IF(ER18="","",ER18&amp;"."&amp;COUNTIFS(A$3:A18,A18,ER$3:ER18,ER18))</f>
        <v/>
      </c>
      <c r="ET18" t="str">
        <f t="shared" si="51"/>
        <v/>
      </c>
      <c r="EU18" t="str">
        <f t="shared" si="52"/>
        <v/>
      </c>
      <c r="EV18" t="str">
        <f t="shared" si="53"/>
        <v/>
      </c>
      <c r="EW18" t="str">
        <f t="shared" si="54"/>
        <v/>
      </c>
      <c r="EX18">
        <f t="shared" si="55"/>
        <v>1</v>
      </c>
      <c r="EY18" t="str">
        <f>IF(AK18="нет","",IF(AK18&lt;&gt;"",AK18,IF(EX18=1,"XT"&amp;COUNTIFS(A$3:A18,A18,EX$3:EX18,1),"")))</f>
        <v/>
      </c>
      <c r="EZ18" t="str">
        <f t="shared" si="56"/>
        <v/>
      </c>
      <c r="FA18" t="str">
        <f t="shared" si="57"/>
        <v/>
      </c>
      <c r="FB18" t="str">
        <f t="shared" si="58"/>
        <v/>
      </c>
      <c r="FC18" t="str">
        <f>IF(OR(EV18="",ET18=""),"",IF(EV18&gt;IFERROR(VLOOKUP(EU18,Модули_спр,3,FALSE),99),"ЛИШНИЙ КАНАЛ",IF(AND(AJ18&lt;&gt;"=",COUNTIFS(Линии[_модуль гр.],ET18,Линии[Канал (итог)],EV18,Линии[Канал],"&lt;&gt;=",Линии[Щит],A18)&gt;1),"ДУБЛЬ КАНАЛА","")))</f>
        <v/>
      </c>
      <c r="FD18" t="str">
        <f t="shared" si="59"/>
        <v/>
      </c>
      <c r="FE18" t="str">
        <f t="shared" si="60"/>
        <v/>
      </c>
      <c r="FF18" t="str">
        <f t="shared" si="61"/>
        <v/>
      </c>
      <c r="FG18" t="str">
        <f t="shared" si="62"/>
        <v/>
      </c>
      <c r="FH18" t="str">
        <f t="shared" si="63"/>
        <v/>
      </c>
      <c r="FI18">
        <f t="shared" si="64"/>
        <v>10</v>
      </c>
      <c r="FJ18" t="str">
        <f t="shared" si="65"/>
        <v/>
      </c>
      <c r="FK18" t="str">
        <f>IF(AND(D18="",EZ18=""),"",_xlfn.TEXTJOIN("; ",TRUE,IF(AND(D18&lt;&gt;"",DD18=""),"нет фазы",""),IF(AND(D18&lt;&gt;"",N(DT18)=0,CN18&lt;&gt;"Нет"),"нет мощности",""),IF(AND(EY18&lt;&gt;"",COUNTIFS(Линии[Щит],A18,Линии[Клемма (итог)],EY18)&gt;1),"дубль клеммы "&amp;EY18,""),IF(AND(FB18&lt;&gt;"",FB18&lt;&gt;"ok"),FB18,""),IF(FC18&lt;&gt;"",FC18,""),IF(AND(ISNUMBER(SEARCH("(5х",DS18)),N(DV18)=1),"5 жил на 1 фазе",""),IF(AND(AT18="R",AD18&lt;&gt;"",OR(N(EH18)=0,N(EH18)&gt;30)),"розетка без дифзащиты до 30 мА",""),IFERROR(IF(AND(ISNUMBER(CD18),CD18&gt;CE18),"потери "&amp;FIXED(CD18,1)&amp;" % &gt; "&amp;CE18&amp;" %",""),""),IFERROR(IF(LEFT(FJ18,4)="мало","Iкз мало — отключение &gt; 0,4 с",""),""),IF(AND(D18&lt;&gt;"",BD18=""),"не на схеме","")))</f>
        <v/>
      </c>
      <c r="FL18" t="str">
        <f>IF(AD18="","",_xlfn.LET(_xlpm.t,IFERROR(_xlfn.XLOOKUP(EP18,Каталог!$U$4:$U$500,Каталог!$G$4:$G$500),""),_xlpm.k,SEARCH("кА",_xlpm.t),IFERROR(--TRIM(RIGHT(SUBSTITUTE(MID(_xlpm.t,MAX(1,_xlpm.k-4),_xlpm.k-MAX(1,_xlpm.k-4))," ",REPT(" ",9)),5)),"")))</f>
        <v/>
      </c>
      <c r="FM18" t="str">
        <f>IF(OR(FL18="",AD18=""),"",IF(_xlfn.XLOOKUP(A18,Щиты[Щит],Щиты[Iкз max на шинах, кА],"")="","",IF(FL18&lt;_xlfn.XLOOKUP(A18,Щиты[Щит],Щиты[Iкз max на шинах, кА]),"Icu "&amp;FL18&amp;" кА &lt; Iкз max","ok")))</f>
        <v/>
      </c>
      <c r="FN18" t="str">
        <f t="shared" si="66"/>
        <v/>
      </c>
      <c r="FO18" t="str">
        <f t="shared" si="67"/>
        <v/>
      </c>
      <c r="FP18" t="str" cm="1">
        <f t="array" ref="FP18">IF(FO18="","",_xlfn.LET(_xlpm.nd,_xlfn.TEXTSPLIT(FO18,"|"),IF(COLUMNS(_xlpm.nd)&gt;1,A18&amp;"¦"&amp;INDEX(_xlpm.nd,1)&amp;"¦"&amp;INDEX(_xlpm.nd,2),"")))</f>
        <v/>
      </c>
      <c r="FQ18" t="str">
        <f t="shared" si="68"/>
        <v/>
      </c>
      <c r="FR18" t="str" cm="1">
        <f t="array" ref="FR18">IF(FO18="","",_xlfn.LET(_xlpm.nd,_xlfn.TEXTSPLIT(FO18,"|"),IF(COLUMNS(_xlpm.nd)&gt;2,A18&amp;"¦"&amp;INDEX(_xlpm.nd,2)&amp;"¦"&amp;INDEX(_xlpm.nd,3),"")))</f>
        <v/>
      </c>
      <c r="FS18" t="str">
        <f t="shared" si="69"/>
        <v/>
      </c>
      <c r="FT18" t="str" cm="1">
        <f t="array" ref="FT18">IF(FO18="","",_xlfn.LET(_xlpm.nd,_xlfn.TEXTSPLIT(FO18,"|"),IF(COLUMNS(_xlpm.nd)&gt;3,A18&amp;"¦"&amp;INDEX(_xlpm.nd,3)&amp;"¦"&amp;INDEX(_xlpm.nd,4),"")))</f>
        <v/>
      </c>
      <c r="FU18" t="str">
        <f t="shared" si="70"/>
        <v/>
      </c>
      <c r="FV18" t="str" cm="1">
        <f t="array" ref="FV18">IF(FO18="","",_xlfn.LET(_xlpm.nd,_xlfn.TEXTSPLIT(FO18,"|"),IF(COLUMNS(_xlpm.nd)&gt;4,A18&amp;"¦"&amp;INDEX(_xlpm.nd,4)&amp;"¦"&amp;INDEX(_xlpm.nd,5),"")))</f>
        <v/>
      </c>
      <c r="FW18" t="str">
        <f t="shared" si="71"/>
        <v/>
      </c>
      <c r="FX18" t="str" cm="1">
        <f t="array" ref="FX18">IF(FO18="","",_xlfn.LET(_xlpm.nd,_xlfn.TEXTSPLIT(FO18,"|"),IF(COLUMNS(_xlpm.nd)&gt;5,A18&amp;"¦"&amp;INDEX(_xlpm.nd,5)&amp;"¦"&amp;INDEX(_xlpm.nd,6),"")))</f>
        <v/>
      </c>
      <c r="FY18" t="str">
        <f t="shared" si="72"/>
        <v/>
      </c>
      <c r="FZ18" t="str" cm="1">
        <f t="array" ref="FZ18">IF(FO18="","",_xlfn.LET(_xlpm.nd,_xlfn.TEXTSPLIT(FO18,"|"),IF(COLUMNS(_xlpm.nd)&gt;6,A18&amp;"¦"&amp;INDEX(_xlpm.nd,6)&amp;"¦"&amp;INDEX(_xlpm.nd,7),"")))</f>
        <v/>
      </c>
      <c r="GA18" t="str">
        <f t="shared" si="73"/>
        <v/>
      </c>
      <c r="GB18" t="str">
        <f t="shared" si="74"/>
        <v/>
      </c>
      <c r="GC18" t="str">
        <f t="shared" si="75"/>
        <v/>
      </c>
      <c r="GD18">
        <f t="shared" si="76"/>
        <v>1</v>
      </c>
      <c r="GE18">
        <f t="shared" si="77"/>
        <v>0</v>
      </c>
      <c r="GF18">
        <f t="shared" si="78"/>
        <v>0</v>
      </c>
      <c r="GG18" t="str">
        <f t="shared" si="79"/>
        <v/>
      </c>
      <c r="GH18" t="str">
        <f t="shared" si="80"/>
        <v/>
      </c>
      <c r="GI18" t="str">
        <f t="shared" si="81"/>
        <v/>
      </c>
      <c r="GJ18" t="str">
        <f t="shared" si="82"/>
        <v/>
      </c>
      <c r="GK18">
        <f>IF(D18="","",IFERROR(VLOOKUP(D18,УГО_спр,2,FALSE),IFERROR(VLOOKUP(AT18,УГО_спр,2,FALSE),IFERROR(VLOOKUP(LEFT(AT18,2),УГО_спр,2,FALSE),""))))</f>
        <v>0</v>
      </c>
      <c r="GL18" t="str">
        <f>IF(D18="","",IF(OR(GK18="",GK18=0),"BOX",IFERROR(IF(VLOOKUP(GK18,УГО_блоки,3,FALSE)&amp;""&lt;&gt;"",VLOOKUP(GK18,УГО_блоки,3,FALSE),VLOOKUP(GK18,УГО_блоки,2,FALSE)),GK18)))</f>
        <v>BOX</v>
      </c>
      <c r="GM18">
        <f t="shared" si="83"/>
        <v>1</v>
      </c>
      <c r="GN18" t="str">
        <f>IF(EP18="","",IF(COUNTIF(EP$3:EP18,EP18)=1,MAX(GN$2:GN17)+1,""))</f>
        <v/>
      </c>
      <c r="GO18" t="str">
        <f>IF(AF18="","",IF(COUNTIF(AF$3:AF18,AF18)+COUNTIF(AG$2:AG17,AF18)+COUNTIF(AH$2:AH17,AF18)=1,MAX(GO$2:GQ17)+1,""))</f>
        <v/>
      </c>
      <c r="GP18" t="str">
        <f>IF(AG18="","",IF(COUNTIF(AF$3:AF18,AG18)+COUNTIF(AG$3:AG18,AG18)+COUNTIF(AH$2:AH17,AG18)=1,MAX(GO$2:GQ17,GO18)+1,""))</f>
        <v/>
      </c>
      <c r="GQ18" t="str">
        <f>IF(AH18="","",IF(COUNTIF(AF$3:AF18,AH18)+COUNTIF(AG$3:AG18,AH18)+COUNTIF(AH$3:AH18,AH18)=1,MAX(GO$2:GQ17,GO18,GP18)+1,""))</f>
        <v/>
      </c>
      <c r="GR18" t="str">
        <f t="shared" si="84"/>
        <v>3х4</v>
      </c>
      <c r="GS18" t="str">
        <f>IF(GR18="","",IF(COUNTIF(GR$3:GR18,GR18)=1,MAX(GS$2:GS17)+1,""))</f>
        <v/>
      </c>
      <c r="GT18" t="str">
        <f>IF(ES18="","",COUNTIF(ES$3:ES18,"?*"))</f>
        <v/>
      </c>
      <c r="GU18" t="str">
        <f>IF(OR(ES18="",EU18=""),"",IF(COUNTIFS(ES$3:ES18,"?*",EU$3:EU18,EU18)=1,MAX(GU$2:GU17)+1,""))</f>
        <v/>
      </c>
      <c r="GV18">
        <f t="shared" si="85"/>
        <v>0</v>
      </c>
      <c r="GW18">
        <f>IF(D18="","",COUNTIF(D$3:D18,"?*"))</f>
        <v>16</v>
      </c>
      <c r="GX18">
        <f>IF(EX18&lt;&gt;1,0,_xlfn.LET(_xlpm.k,MAX(IFERROR(--VLOOKUP(D18,УГО_спр,5,FALSE),0),IFERROR(--VLOOKUP(AT18,УГО_спр,5,FALSE),0),IFERROR(--VLOOKUP(LEFT(AT18,2),УГО_спр,5,FALSE),0)),IF(_xlpm.k&gt;0,_xlpm.k,IF(IFERROR(--LEFT(SUBSTITUTE(GR18,"x","х"),FIND("х",SUBSTITUTE(GR18,"x","х"))-1),3)&gt;3,Каталог!$S$9,1))))</f>
        <v>1</v>
      </c>
      <c r="GY18">
        <f t="shared" si="86"/>
        <v>0</v>
      </c>
    </row>
    <row r="19" spans="1:207" x14ac:dyDescent="0.3">
      <c r="A19" t="s">
        <v>788</v>
      </c>
      <c r="B19">
        <v>31</v>
      </c>
      <c r="C19" t="str">
        <f>IF(BD19="","",IF(BE19="вводной узел","узел ","")&amp;"л."&amp;(INT((BD19-1)/Столбцов_на_лист)+1)&amp;" / "&amp;(MOD(BD19-1,Столбцов_на_лист)+1))</f>
        <v>л.2 / 14</v>
      </c>
      <c r="D19" t="s">
        <v>772</v>
      </c>
      <c r="E19" s="133" t="s">
        <v>771</v>
      </c>
      <c r="G19">
        <v>4.34</v>
      </c>
      <c r="H19">
        <v>1</v>
      </c>
      <c r="I19">
        <v>1</v>
      </c>
      <c r="J19">
        <v>230</v>
      </c>
      <c r="K19" t="s">
        <v>602</v>
      </c>
      <c r="L19">
        <v>0.7</v>
      </c>
      <c r="N19">
        <v>2</v>
      </c>
      <c r="O19">
        <v>1</v>
      </c>
      <c r="P19">
        <v>53</v>
      </c>
      <c r="Q19">
        <v>48</v>
      </c>
      <c r="R19">
        <v>5</v>
      </c>
      <c r="S19">
        <v>0</v>
      </c>
      <c r="U19" t="s">
        <v>11</v>
      </c>
      <c r="V19">
        <v>3</v>
      </c>
      <c r="W19">
        <v>4</v>
      </c>
      <c r="X19">
        <v>20</v>
      </c>
      <c r="Z19" t="s">
        <v>608</v>
      </c>
      <c r="AA19" t="s">
        <v>818</v>
      </c>
      <c r="AK19" t="s">
        <v>488</v>
      </c>
      <c r="AR19" t="str">
        <f t="shared" si="0"/>
        <v/>
      </c>
      <c r="AS19" cm="1">
        <f t="array" ref="AS19">ROW()-ROW(Линии[#Headers])</f>
        <v>17</v>
      </c>
      <c r="AT19" t="str">
        <f t="shared" si="1"/>
        <v>ЩС-ВК</v>
      </c>
      <c r="AU19" t="str">
        <f t="shared" si="2"/>
        <v>003</v>
      </c>
      <c r="AV19" t="str">
        <f t="shared" si="3"/>
        <v>003</v>
      </c>
      <c r="AW19" t="str">
        <f t="shared" si="4"/>
        <v/>
      </c>
      <c r="AX19" t="str">
        <f t="shared" si="5"/>
        <v/>
      </c>
      <c r="AY19" t="str">
        <f>IF(D19="","",IF(ISERROR(SEARCH(".",D19)),IFERROR(VLOOKUP(D19,Потребители_обозначение,2,FALSE)&amp;"",""),IFERROR(IF(VLOOKUP(AT19,Потребители_обозначение,4,FALSE)=1,VLOOKUP(AT19,Потребители_обозначение,2,FALSE)&amp;" "&amp;VLOOKUP(AV19,Этаж_обозначение,2,FALSE)&amp;" Пом. №"&amp;AX19,VLOOKUP(AT19,Потребители_обозначение,2,FALSE)&amp;" Шлейф №"&amp;AV19),IFERROR(VLOOKUP(D19,Потребители_обозначение,2,FALSE),""))))</f>
        <v/>
      </c>
      <c r="AZ19" t="str">
        <f t="shared" si="6"/>
        <v>Щит насосов ЩС-ВК.003 Подвальный этаж этаж Пом. №00.006Т</v>
      </c>
      <c r="BA19" t="str">
        <f>IF(F19&lt;&gt;"",F19,IF(AND(D19&lt;&gt;"",D19&lt;&gt;A19,ISNUMBER(_xlfn.XMATCH(D19,Щиты[Щит]))),D19,""))</f>
        <v>ЩС-ВК.003</v>
      </c>
      <c r="BB19">
        <f>IFERROR(_xlfn.XMATCH(A19,Щиты[Щит]),0)</f>
        <v>1</v>
      </c>
      <c r="BC19">
        <f>IFERROR(N(_xlfn.XLOOKUP(A19,Щиты[Щит],Щиты[Мест под вводной узел])),15)</f>
        <v>1</v>
      </c>
      <c r="BD19">
        <f t="shared" si="7"/>
        <v>31</v>
      </c>
      <c r="BE19" t="str">
        <f t="shared" si="8"/>
        <v>линии</v>
      </c>
      <c r="BF19">
        <f>IF(D19="","",IF(BA19&lt;&gt;"",IFERROR(_xlfn.XLOOKUP(BA19,Щиты[Щит],Щиты[Руст, кВт]),0),N(G19)))</f>
        <v>4.34</v>
      </c>
      <c r="BG19">
        <f>IF(J19&lt;&gt;"",J19,IF(D19="","",IFERROR(IF(VLOOKUP(AT19,Потребители_обозначение,8,FALSE)=0,"",VLOOKUP(AT19,Потребители_обозначение,8,FALSE)),"")))</f>
        <v>230</v>
      </c>
      <c r="BH19">
        <f>IF(I19&lt;&gt;"",I19,IF(D19="","",IFERROR(IF(VLOOKUP(AT19,Потребители_обозначение,9,FALSE)=0,"",VLOOKUP(AT19,Потребители_обозначение,9,FALSE)),"")))</f>
        <v>1</v>
      </c>
      <c r="BI19" t="str">
        <f>IF(U19&lt;&gt;"",U19,IF(D19="","",IFERROR(IF(VLOOKUP(AT19,Потребители_обозначение,6,FALSE)=0,"",VLOOKUP(AT19,Потребители_обозначение,6,FALSE)),"")))</f>
        <v>мс</v>
      </c>
      <c r="BJ19">
        <f>IF(V19&lt;&gt;"",V19,IF(D19="","",IFERROR(IF(VLOOKUP(AT19,Потребители_обозначение,7,FALSE)=0,"",VLOOKUP(AT19,Потребители_обозначение,7,FALSE)),"")))</f>
        <v>3</v>
      </c>
      <c r="BK19">
        <f>IF(W19&lt;&gt;"",W19,IF(D19="","",IFERROR(IF(VLOOKUP(AT19,Потребители_обозначение,10,FALSE)=0,"",VLOOKUP(AT19,Потребители_обозначение,10,FALSE)),"")))</f>
        <v>4</v>
      </c>
      <c r="BL19">
        <f>IFERROR(VLOOKUP(AT19,Потребители_обозначение,5,FALSE),0)</f>
        <v>0</v>
      </c>
      <c r="BM19" cm="1">
        <f t="array" ref="BM19">IF(D19="","",IF(BA19&lt;&gt;"",IFERROR(_xlfn.XLOOKUP(BA19,Щиты[Щит],Щиты[cos φ]),0.95),IF(ISNUMBER(M19),M19,IFERROR(IF(BL19=2,_xlfn.IFS(BH19=3,VLOOKUP(BF19,Справочная_двигатели,8,FALSE),BH19=1,VLOOKUP(BF19,Справочная_двигатели,10,TRUE)),IF(AND(Методика="нормы 2026",CN19="Сил"),0.8,0.95)),0.95))))</f>
        <v>0.94999999999999984</v>
      </c>
      <c r="BN19" cm="1">
        <f t="array" ref="BN19">IF(D19="","",IF(BA19&lt;&gt;"",IFERROR(_xlfn.XLOOKUP(BA19,Щиты[Щит],Щиты[Iр, А]),""),IFERROR(_xlfn.IFS(BH19=1,BF19/((Uн_лин/SQRT(3))*BM19),BH19=3,BF19/(SQRT(3)*Uн_лин*BM19)),"")))</f>
        <v>12.46256136330217</v>
      </c>
      <c r="BO19">
        <f>IF(D19="","",IF(N(X19)=0,IFERROR(VLOOKUP(BN19,Автомат_номиналы,2,TRUE),""),X19))</f>
        <v>20</v>
      </c>
      <c r="BP19">
        <f t="shared" si="9"/>
        <v>1</v>
      </c>
      <c r="BQ19">
        <f>IF(ISNUMBER(Y19),Y19,К_прокл)</f>
        <v>1</v>
      </c>
      <c r="BR19">
        <f t="shared" si="10"/>
        <v>2</v>
      </c>
      <c r="BS19" cm="1">
        <f t="array" ref="BS19">IF(D19="","",IF(N(BK19)&lt;&gt;0,BK19,IFERROR(_xlfn.LET(_xlpm.need,BO19/(BP19*BQ19),_xlpm.t,CHOOSE(BR19,Iдоп_1ж,Iдоп_2ж,Iдоп_3ж),_xlpm.k,_xlfn.XMATCH(_xlpm.need,_xlpm.t,1),IF(ISNA(_xlpm.k),"Не исп",INDEX(Iдоп_S,_xlpm.k))),"Не исп")))</f>
        <v>4</v>
      </c>
      <c r="BT19">
        <f>IFERROR(VLOOKUP(BS19,Кабель_сопротивление,3,FALSE),"")</f>
        <v>2.2499999999999999E-2</v>
      </c>
      <c r="BU19">
        <f>IFERROR(VLOOKUP(BS19,Кабель_сопротивление,2,FALSE),"")</f>
        <v>9.5000000000000001E-2</v>
      </c>
      <c r="BV19">
        <f t="shared" si="11"/>
        <v>53</v>
      </c>
      <c r="BW19">
        <f>IF(D19="","",IFERROR(IF(VLOOKUP(AT19,Потребители_обозначение,4,FALSE)=1,VLOOKUP(AT19,Потребители_обозначение,3,FALSE)*(H19*2-1)+BV19+VLOOKUP(AV19,Этаж_обозначение,3,FALSE)+VLOOKUP(AV19,Этаж_обозначение,4,FALSE),VLOOKUP(AT19,Потребители_обозначение,3,FALSE)*(H19*2-1)+BV19),BV19))</f>
        <v>53</v>
      </c>
      <c r="BX19">
        <f t="shared" si="12"/>
        <v>5</v>
      </c>
      <c r="BY19">
        <f t="shared" si="13"/>
        <v>0</v>
      </c>
      <c r="BZ19">
        <f t="shared" si="14"/>
        <v>2</v>
      </c>
      <c r="CA19">
        <f t="shared" si="15"/>
        <v>0.31</v>
      </c>
      <c r="CB19">
        <f t="shared" si="16"/>
        <v>7.0981664800332913</v>
      </c>
      <c r="CC19">
        <f>IFERROR(ROUNDUP(CB19/((Uн_лин/SQRT(3))*1000)*100,2),"")</f>
        <v>3.0799999999999996</v>
      </c>
      <c r="CD19">
        <f>IF(ISNUMBER(CC19),CC19+IFERROR(_xlfn.XLOOKUP(A19,Щиты[Щит],Щиты[ΔU до шин, %]),0),"")</f>
        <v>3.0799999999999996</v>
      </c>
      <c r="CE19">
        <f>IF(D19="","",IF(IFERROR(VLOOKUP(AT19,УГО_спр,2,FALSE),"")="Светильник",3,4)+IF(Методика="нормы 2026",MIN(0.5,MAX(0,N(BW19)-100)*0.005),0))</f>
        <v>4</v>
      </c>
      <c r="CF19" t="str">
        <f>IFERROR(VLOOKUP(BI19,Кабель_обозначение,2,FALSE),"")</f>
        <v>ВВГнг(А)-LS</v>
      </c>
      <c r="CG19" t="str">
        <f>IFERROR(IF(VLOOKUP(BI19,Кабель_обозначение,3,FALSE)=1,CF19&amp;" ("&amp;BJ19&amp;"х"&amp;BS19&amp;")",CF19),"")</f>
        <v>ВВГнг(А)-LS (3х4)</v>
      </c>
      <c r="CH19" t="str">
        <f t="shared" si="17"/>
        <v>ВВГнг(А)-LS (3х4)
L=53-3,08%</v>
      </c>
      <c r="CI19">
        <f>IFERROR(2*ρкз_Cu*BW19/BS19,"")</f>
        <v>0.69694999999999996</v>
      </c>
      <c r="CJ19">
        <f t="shared" si="18"/>
        <v>0.23187500000000003</v>
      </c>
      <c r="CK19" t="str">
        <f>IFERROR(IF(OR(D19="",NOT(ISNUMBER(BS19)),N(BW19)=0),"",_xlfn.XLOOKUP(A19,Щиты[Щит],Щиты[Zпетли на шинах, Ом])+CI19),"")</f>
        <v/>
      </c>
      <c r="CL19" t="str">
        <f>IF(ISNUMBER(CK19),c_min*(Uн_лин*1000/SQRT(3))/CK19,"")</f>
        <v/>
      </c>
      <c r="CM19" t="str">
        <f>IFERROR(IF(OR(D19="",NOT(ISNUMBER(BS19))),"",1.05*(Uн_лин*1000/SQRT(3))/(_xlfn.XLOOKUP(A19,Щиты[Щит],Щиты[Zmax на шинах, Ом])+CJ19)/1000),"")</f>
        <v/>
      </c>
      <c r="CN19" t="str">
        <f>IF(D19="","",IF(BA19&lt;&gt;"","Щит",IF(K19&lt;&gt;"",K19,IF(ISNUMBER(L19),"Сил",IF(IFERROR(_xlfn.XLOOKUP(AT19,Коды_код,Коды_группа)&amp;"","")="","Быт",_xlfn.XLOOKUP(AT19,Коды_код,Коды_группа)&amp;"")))))</f>
        <v>Щит</v>
      </c>
      <c r="CO19" t="str">
        <f>IF(CN19="Щит","щит",IF(CN19="","",IF(CN19="Быт",IFERROR(_xlfn.XLOOKUP(A19,Щиты[Щит],Щиты[Кс быт]),1),IF(CN19="Сил",IF(ISNUMBER(L19),L19,IF(Методика="нормы 2026",IFERROR(_xlfn.XLOOKUP(A19,Щиты[Щит],Щиты[Кс силовых (табл. 7.5)]),1),1)),IF(OR(CN19="Пост",CN19="Отоп"),1,IF(CN19="ВНГ",0.7,0))))))</f>
        <v>щит</v>
      </c>
      <c r="CP19">
        <f t="shared" si="19"/>
        <v>2</v>
      </c>
      <c r="CQ19">
        <f t="shared" si="20"/>
        <v>0</v>
      </c>
      <c r="CR19">
        <f t="shared" si="21"/>
        <v>0</v>
      </c>
      <c r="CS19">
        <f t="shared" si="22"/>
        <v>0</v>
      </c>
      <c r="CT19">
        <f t="shared" si="23"/>
        <v>0</v>
      </c>
      <c r="CU19">
        <f t="shared" si="24"/>
        <v>0</v>
      </c>
      <c r="CV19">
        <f t="shared" si="25"/>
        <v>0</v>
      </c>
      <c r="CW19">
        <f t="shared" si="26"/>
        <v>0</v>
      </c>
      <c r="CX19">
        <f t="shared" si="27"/>
        <v>0</v>
      </c>
      <c r="CY19">
        <f t="shared" si="28"/>
        <v>2</v>
      </c>
      <c r="CZ19" t="str">
        <f t="shared" si="29"/>
        <v>L2</v>
      </c>
      <c r="DA19" cm="1">
        <f t="array" ref="DA19">IFERROR(IF(BL19=2,_xlfn.IFS(BH19=3,VLOOKUP(BF19,Справочная_двигатели,3,FALSE),BH19=1,VLOOKUP(BF19,Справочная_двигатели,5,TRUE)),0),0)</f>
        <v>0</v>
      </c>
      <c r="DB19">
        <f>IFERROR(IF(BL19=3,VLOOKUP(BF19,Справочная_ЛЭД,2,TRUE),0),0)</f>
        <v>0</v>
      </c>
      <c r="DC19">
        <f t="shared" si="30"/>
        <v>0</v>
      </c>
      <c r="DD19" t="str">
        <f t="shared" si="31"/>
        <v>L1</v>
      </c>
      <c r="DE19" t="str" cm="1">
        <f t="array" ref="DE19">IF(D19="","",IFERROR(INDEX({"I особая","I","II","III"},MATCH(TRIM(AA19&amp;""),{"I особая","I","II","III"},0)),"III"))</f>
        <v>II</v>
      </c>
      <c r="DF19" t="str">
        <f>IF(D19="","",IF(TRIM(AB19&amp;"")&lt;&gt;"",IF(LOWER(TRIM(AB19&amp;""))="да","да","нет"),IF(IFERROR(_xlfn.XLOOKUP(AT19,Коды_код,Коды_пожарная),"")="да","да","нет")))</f>
        <v>нет</v>
      </c>
      <c r="DG19" t="str">
        <f t="shared" si="32"/>
        <v/>
      </c>
      <c r="DH19" t="str">
        <f t="shared" si="33"/>
        <v>основная</v>
      </c>
      <c r="DI19">
        <f t="shared" si="34"/>
        <v>2</v>
      </c>
      <c r="DJ19" t="str" cm="1">
        <f t="array" ref="DJ19">IF(D19="","",_xlfn.LET(_xlpm.t,IFERROR(_xlfn.XLOOKUP(1,(Шины[Шина]=DH19)*(((Шины[Щит]=A19)+(Шины[Щит]=""))&gt;0),Шины[Тип]),"")&amp;"",IF(_xlpm.t&lt;&gt;"",_xlpm.t,IF(ISNUMBER(SEARCH("ИБП",DH19)),"ИБП",IF(ISNUMBER(SEARCH("ДГУ",DH19)),"ДГУ","Ввод "&amp;DI19)))))</f>
        <v>Ввод 2</v>
      </c>
      <c r="DK19" t="str">
        <f t="shared" si="35"/>
        <v>Ввод 2</v>
      </c>
      <c r="DL19" t="str">
        <f>IF(D19="","",IF(OR(DJ19="ИБП",DJ19="ДГУ"),"I особая",IF(DJ19="Одиночная","III",_xlfn.XLOOKUP(A19,Щиты[Щит],Щиты[Категория шины «Ввод»],"III"))))</f>
        <v>I</v>
      </c>
      <c r="DM19">
        <f>IF(D19="",0,IFERROR(MATCH(DE19,{"III","II","I","I особая"},0),1))</f>
        <v>2</v>
      </c>
      <c r="DN19">
        <f t="shared" si="36"/>
        <v>2</v>
      </c>
      <c r="DO19" t="str">
        <f>IF(D19="","",IF(DM19&gt;IFERROR(MATCH(DL19,{"III","II","I","I особая"},0),1),"НЕ ОБЕСПЕЧЕНА","ОК"))</f>
        <v>ОК</v>
      </c>
      <c r="DP19" t="str">
        <f>IF(A19="","",_xlfn.XLOOKUP(A19,Щиты[Щит],Щиты[Путь],""))</f>
        <v>|ГРЩ-ЖД|</v>
      </c>
      <c r="DQ19" t="str">
        <f>IF(D19="","",IF(Z19&lt;&gt;"",Z19,IF(IFERROR(_xlfn.XLOOKUP(AT19,Коды_код,Коды_вид)&amp;"","")="","Прочее",_xlfn.XLOOKUP(AT19,Коды_код,Коды_вид)&amp;"")))</f>
        <v>Насосы (водоснабжение, дренаж)</v>
      </c>
      <c r="DR19">
        <f>IF(BD19="","",INT((BD19-1)/Столбцов_на_лист)+1)</f>
        <v>2</v>
      </c>
      <c r="DS19" t="str">
        <f t="shared" si="37"/>
        <v>ВВГнг(А)-LS (3х4) L=53-3,08%</v>
      </c>
      <c r="DT19">
        <f t="shared" si="38"/>
        <v>4.34</v>
      </c>
      <c r="DU19">
        <f t="shared" si="39"/>
        <v>12.47</v>
      </c>
      <c r="DV19">
        <f t="shared" si="40"/>
        <v>1</v>
      </c>
      <c r="DW19">
        <f>IF(AT19="",0,_xlfn.LET(_xlpm.v,IFERROR(VLOOKUP(D19,УГО_спр,3,FALSE),IFERROR(VLOOKUP(AT19,УГО_спр,3,FALSE),IFERROR(VLOOKUP(LEFT(AT19,2),УГО_спр,3,FALSE),""))),IF(_xlpm.v="да",30,IF(ISNUMBER(_xlpm.v),_xlpm.v,0))))</f>
        <v>0</v>
      </c>
      <c r="DX19">
        <f t="shared" si="41"/>
        <v>0</v>
      </c>
      <c r="DY19" t="str">
        <f>IF(BD19="","",IF(AD19&lt;&gt;"",COUNTIFS(A$3:A19,A19,AD$3:AD19,"?*"),IF(OR(OR(AS19=1,A19&lt;&gt;A18),AL19="вручную"),"",IF(AS19=1,"",DZ18))))</f>
        <v/>
      </c>
      <c r="DZ19" t="str">
        <f t="shared" si="42"/>
        <v/>
      </c>
      <c r="EA19">
        <f>IF(D19="",0,MAX(IFERROR(--X19,0),IFERROR(--VLOOKUP(D19,УГО_спр,4,FALSE),IFERROR(--VLOOKUP(AT19,УГО_спр,4,FALSE),IFERROR(--VLOOKUP(LEFT(AT19,2),УГО_спр,4,FALSE),0)))))</f>
        <v>20</v>
      </c>
      <c r="EB19">
        <f>IF(D19="","",IFERROR(LOOKUP(INDEX(CHOOSE(BR19,Iдоп_1ж,Iдоп_2ж,Iдоп_3ж),MATCH(BS19,Iдоп_S,0))*BP19*BQ19,{6,10,16,20,25,32,40,50,63,80,100,125,160,200,250,315,400,500,630}),""))</f>
        <v>32</v>
      </c>
      <c r="EC19" t="str">
        <f>IF(AD19="","",SUMIFS(Линии[_Ток схемы],Линии[_гр.],DY19,Линии[Щит],A19,Линии[_в кабель выше],0))</f>
        <v/>
      </c>
      <c r="ED19" t="str">
        <f>IF(AD19="","",IFERROR(VLOOKUP(EC19,Автомат_номиналы,2,TRUE),""))</f>
        <v/>
      </c>
      <c r="EE19" t="str">
        <f>IF(AD19="","",MAX(N(ED19),_xlfn.MAXIFS(Линии[_мин. по типу],Линии[_гр.],DY19,Линии[Щит],A19)))</f>
        <v/>
      </c>
      <c r="EF19" t="str">
        <f>IF(AD19="","",_xlfn.MINIFS(Линии[_макс. автомат по кабелю],Линии[_гр.],DY19,Линии[Щит],A19))</f>
        <v/>
      </c>
      <c r="EG19" t="str">
        <f>IF(AD19="","",MAX(1,_xlfn.MAXIFS(Линии[_фаз],Линии[_гр.],DY19,Линии[Щит],A19)))</f>
        <v/>
      </c>
      <c r="EH19" t="str">
        <f>IF(AD19="","",IF(AND(AD19&lt;&gt;"авто",AD19&lt;&gt;"+"),IF(ISNUMBER(SEARCH("мА",AD19)),IFERROR(--TRIM(RIGHT(SUBSTITUTE(LEFT(AD19,SEARCH("мА",AD19)-1)," ",REPT(" ",9)),6)),30),0),IF(AE19="нет",0,IF(ISNUMBER(AE19),AE19,IF(AE19="да",30,_xlfn.MINIFS(Линии[_дифзащита по коду, мА],Линии[_гр.],DY19,Линии[Щит],A19,Линии[_дифзащита по коду, мА],"&gt;0"))))))</f>
        <v/>
      </c>
      <c r="EI19" t="str">
        <f t="shared" si="43"/>
        <v/>
      </c>
      <c r="EJ19" t="str">
        <f t="shared" si="44"/>
        <v/>
      </c>
      <c r="EK19" t="str">
        <f t="shared" si="45"/>
        <v/>
      </c>
      <c r="EL19" t="str">
        <f t="shared" si="46"/>
        <v/>
      </c>
      <c r="EM19">
        <f t="shared" si="47"/>
        <v>0</v>
      </c>
      <c r="EN19" t="str">
        <f>IF(AD19="","",IF(EM19=1,MAX(EE19,Мин_автомат_БП),EE19))</f>
        <v/>
      </c>
      <c r="EO19" t="str">
        <f t="shared" si="48"/>
        <v/>
      </c>
      <c r="EP19" t="str">
        <f t="shared" si="49"/>
        <v/>
      </c>
      <c r="EQ19" t="str">
        <f t="shared" si="50"/>
        <v/>
      </c>
      <c r="ER19" t="str">
        <f>IF(OR(AI19="",AI19="-"),"",IFERROR(VLOOKUP(AI19,Модули_спр,2,FALSE),"R"))</f>
        <v/>
      </c>
      <c r="ES19" t="str">
        <f>IF(ER19="","",ER19&amp;"."&amp;COUNTIFS(A$3:A19,A19,ER$3:ER19,ER19))</f>
        <v/>
      </c>
      <c r="ET19" t="str">
        <f t="shared" si="51"/>
        <v/>
      </c>
      <c r="EU19" t="str">
        <f t="shared" si="52"/>
        <v/>
      </c>
      <c r="EV19" t="str">
        <f t="shared" si="53"/>
        <v/>
      </c>
      <c r="EW19" t="str">
        <f t="shared" si="54"/>
        <v/>
      </c>
      <c r="EX19">
        <f t="shared" si="55"/>
        <v>1</v>
      </c>
      <c r="EY19" t="str">
        <f>IF(AK19="нет","",IF(AK19&lt;&gt;"",AK19,IF(EX19=1,"XT"&amp;COUNTIFS(A$3:A19,A19,EX$3:EX19,1),"")))</f>
        <v/>
      </c>
      <c r="EZ19" t="str">
        <f t="shared" si="56"/>
        <v/>
      </c>
      <c r="FA19" t="str">
        <f t="shared" si="57"/>
        <v/>
      </c>
      <c r="FB19" t="str">
        <f t="shared" si="58"/>
        <v/>
      </c>
      <c r="FC19" t="str">
        <f>IF(OR(EV19="",ET19=""),"",IF(EV19&gt;IFERROR(VLOOKUP(EU19,Модули_спр,3,FALSE),99),"ЛИШНИЙ КАНАЛ",IF(AND(AJ19&lt;&gt;"=",COUNTIFS(Линии[_модуль гр.],ET19,Линии[Канал (итог)],EV19,Линии[Канал],"&lt;&gt;=",Линии[Щит],A19)&gt;1),"ДУБЛЬ КАНАЛА","")))</f>
        <v/>
      </c>
      <c r="FD19" t="str">
        <f t="shared" si="59"/>
        <v/>
      </c>
      <c r="FE19" t="str">
        <f t="shared" si="60"/>
        <v/>
      </c>
      <c r="FF19" t="str">
        <f t="shared" si="61"/>
        <v/>
      </c>
      <c r="FG19" t="str">
        <f t="shared" si="62"/>
        <v/>
      </c>
      <c r="FH19" t="str">
        <f t="shared" si="63"/>
        <v/>
      </c>
      <c r="FI19">
        <f t="shared" si="64"/>
        <v>10</v>
      </c>
      <c r="FJ19" t="str">
        <f t="shared" si="65"/>
        <v/>
      </c>
      <c r="FK19" t="str">
        <f>IF(AND(D19="",EZ19=""),"",_xlfn.TEXTJOIN("; ",TRUE,IF(AND(D19&lt;&gt;"",DD19=""),"нет фазы",""),IF(AND(D19&lt;&gt;"",N(DT19)=0,CN19&lt;&gt;"Нет"),"нет мощности",""),IF(AND(EY19&lt;&gt;"",COUNTIFS(Линии[Щит],A19,Линии[Клемма (итог)],EY19)&gt;1),"дубль клеммы "&amp;EY19,""),IF(AND(FB19&lt;&gt;"",FB19&lt;&gt;"ok"),FB19,""),IF(FC19&lt;&gt;"",FC19,""),IF(AND(ISNUMBER(SEARCH("(5х",DS19)),N(DV19)=1),"5 жил на 1 фазе",""),IF(AND(AT19="R",AD19&lt;&gt;"",OR(N(EH19)=0,N(EH19)&gt;30)),"розетка без дифзащиты до 30 мА",""),IFERROR(IF(AND(ISNUMBER(CD19),CD19&gt;CE19),"потери "&amp;FIXED(CD19,1)&amp;" % &gt; "&amp;CE19&amp;" %",""),""),IFERROR(IF(LEFT(FJ19,4)="мало","Iкз мало — отключение &gt; 0,4 с",""),""),IF(AND(D19&lt;&gt;"",BD19=""),"не на схеме","")))</f>
        <v/>
      </c>
      <c r="FL19" t="str">
        <f>IF(AD19="","",_xlfn.LET(_xlpm.t,IFERROR(_xlfn.XLOOKUP(EP19,Каталог!$U$4:$U$500,Каталог!$G$4:$G$500),""),_xlpm.k,SEARCH("кА",_xlpm.t),IFERROR(--TRIM(RIGHT(SUBSTITUTE(MID(_xlpm.t,MAX(1,_xlpm.k-4),_xlpm.k-MAX(1,_xlpm.k-4))," ",REPT(" ",9)),5)),"")))</f>
        <v/>
      </c>
      <c r="FM19" t="str">
        <f>IF(OR(FL19="",AD19=""),"",IF(_xlfn.XLOOKUP(A19,Щиты[Щит],Щиты[Iкз max на шинах, кА],"")="","",IF(FL19&lt;_xlfn.XLOOKUP(A19,Щиты[Щит],Щиты[Iкз max на шинах, кА]),"Icu "&amp;FL19&amp;" кА &lt; Iкз max","ok")))</f>
        <v/>
      </c>
      <c r="FN19" t="str">
        <f t="shared" si="66"/>
        <v/>
      </c>
      <c r="FO19" t="str">
        <f t="shared" si="67"/>
        <v/>
      </c>
      <c r="FP19" t="str" cm="1">
        <f t="array" ref="FP19">IF(FO19="","",_xlfn.LET(_xlpm.nd,_xlfn.TEXTSPLIT(FO19,"|"),IF(COLUMNS(_xlpm.nd)&gt;1,A19&amp;"¦"&amp;INDEX(_xlpm.nd,1)&amp;"¦"&amp;INDEX(_xlpm.nd,2),"")))</f>
        <v/>
      </c>
      <c r="FQ19" t="str">
        <f t="shared" si="68"/>
        <v/>
      </c>
      <c r="FR19" t="str" cm="1">
        <f t="array" ref="FR19">IF(FO19="","",_xlfn.LET(_xlpm.nd,_xlfn.TEXTSPLIT(FO19,"|"),IF(COLUMNS(_xlpm.nd)&gt;2,A19&amp;"¦"&amp;INDEX(_xlpm.nd,2)&amp;"¦"&amp;INDEX(_xlpm.nd,3),"")))</f>
        <v/>
      </c>
      <c r="FS19" t="str">
        <f t="shared" si="69"/>
        <v/>
      </c>
      <c r="FT19" t="str" cm="1">
        <f t="array" ref="FT19">IF(FO19="","",_xlfn.LET(_xlpm.nd,_xlfn.TEXTSPLIT(FO19,"|"),IF(COLUMNS(_xlpm.nd)&gt;3,A19&amp;"¦"&amp;INDEX(_xlpm.nd,3)&amp;"¦"&amp;INDEX(_xlpm.nd,4),"")))</f>
        <v/>
      </c>
      <c r="FU19" t="str">
        <f t="shared" si="70"/>
        <v/>
      </c>
      <c r="FV19" t="str" cm="1">
        <f t="array" ref="FV19">IF(FO19="","",_xlfn.LET(_xlpm.nd,_xlfn.TEXTSPLIT(FO19,"|"),IF(COLUMNS(_xlpm.nd)&gt;4,A19&amp;"¦"&amp;INDEX(_xlpm.nd,4)&amp;"¦"&amp;INDEX(_xlpm.nd,5),"")))</f>
        <v/>
      </c>
      <c r="FW19" t="str">
        <f t="shared" si="71"/>
        <v/>
      </c>
      <c r="FX19" t="str" cm="1">
        <f t="array" ref="FX19">IF(FO19="","",_xlfn.LET(_xlpm.nd,_xlfn.TEXTSPLIT(FO19,"|"),IF(COLUMNS(_xlpm.nd)&gt;5,A19&amp;"¦"&amp;INDEX(_xlpm.nd,5)&amp;"¦"&amp;INDEX(_xlpm.nd,6),"")))</f>
        <v/>
      </c>
      <c r="FY19" t="str">
        <f t="shared" si="72"/>
        <v/>
      </c>
      <c r="FZ19" t="str" cm="1">
        <f t="array" ref="FZ19">IF(FO19="","",_xlfn.LET(_xlpm.nd,_xlfn.TEXTSPLIT(FO19,"|"),IF(COLUMNS(_xlpm.nd)&gt;6,A19&amp;"¦"&amp;INDEX(_xlpm.nd,6)&amp;"¦"&amp;INDEX(_xlpm.nd,7),"")))</f>
        <v/>
      </c>
      <c r="GA19" t="str">
        <f t="shared" si="73"/>
        <v/>
      </c>
      <c r="GB19" t="str">
        <f t="shared" si="74"/>
        <v/>
      </c>
      <c r="GC19" t="str">
        <f t="shared" si="75"/>
        <v/>
      </c>
      <c r="GD19">
        <f t="shared" si="76"/>
        <v>1</v>
      </c>
      <c r="GE19">
        <f t="shared" si="77"/>
        <v>0</v>
      </c>
      <c r="GF19">
        <f t="shared" si="78"/>
        <v>0</v>
      </c>
      <c r="GG19" t="str">
        <f t="shared" si="79"/>
        <v/>
      </c>
      <c r="GH19" t="str">
        <f t="shared" si="80"/>
        <v/>
      </c>
      <c r="GI19" t="str">
        <f t="shared" si="81"/>
        <v/>
      </c>
      <c r="GJ19" t="str">
        <f t="shared" si="82"/>
        <v/>
      </c>
      <c r="GK19">
        <f>IF(D19="","",IFERROR(VLOOKUP(D19,УГО_спр,2,FALSE),IFERROR(VLOOKUP(AT19,УГО_спр,2,FALSE),IFERROR(VLOOKUP(LEFT(AT19,2),УГО_спр,2,FALSE),""))))</f>
        <v>0</v>
      </c>
      <c r="GL19" t="str">
        <f>IF(D19="","",IF(OR(GK19="",GK19=0),"BOX",IFERROR(IF(VLOOKUP(GK19,УГО_блоки,3,FALSE)&amp;""&lt;&gt;"",VLOOKUP(GK19,УГО_блоки,3,FALSE),VLOOKUP(GK19,УГО_блоки,2,FALSE)),GK19)))</f>
        <v>BOX</v>
      </c>
      <c r="GM19">
        <f t="shared" si="83"/>
        <v>1</v>
      </c>
      <c r="GN19" t="str">
        <f>IF(EP19="","",IF(COUNTIF(EP$3:EP19,EP19)=1,MAX(GN$2:GN18)+1,""))</f>
        <v/>
      </c>
      <c r="GO19" t="str">
        <f>IF(AF19="","",IF(COUNTIF(AF$3:AF19,AF19)+COUNTIF(AG$2:AG18,AF19)+COUNTIF(AH$2:AH18,AF19)=1,MAX(GO$2:GQ18)+1,""))</f>
        <v/>
      </c>
      <c r="GP19" t="str">
        <f>IF(AG19="","",IF(COUNTIF(AF$3:AF19,AG19)+COUNTIF(AG$3:AG19,AG19)+COUNTIF(AH$2:AH18,AG19)=1,MAX(GO$2:GQ18,GO19)+1,""))</f>
        <v/>
      </c>
      <c r="GQ19" t="str">
        <f>IF(AH19="","",IF(COUNTIF(AF$3:AF19,AH19)+COUNTIF(AG$3:AG19,AH19)+COUNTIF(AH$3:AH19,AH19)=1,MAX(GO$2:GQ18,GO19,GP19)+1,""))</f>
        <v/>
      </c>
      <c r="GR19" t="str">
        <f t="shared" si="84"/>
        <v>3х4</v>
      </c>
      <c r="GS19" t="str">
        <f>IF(GR19="","",IF(COUNTIF(GR$3:GR19,GR19)=1,MAX(GS$2:GS18)+1,""))</f>
        <v/>
      </c>
      <c r="GT19" t="str">
        <f>IF(ES19="","",COUNTIF(ES$3:ES19,"?*"))</f>
        <v/>
      </c>
      <c r="GU19" t="str">
        <f>IF(OR(ES19="",EU19=""),"",IF(COUNTIFS(ES$3:ES19,"?*",EU$3:EU19,EU19)=1,MAX(GU$2:GU18)+1,""))</f>
        <v/>
      </c>
      <c r="GV19">
        <f t="shared" si="85"/>
        <v>0</v>
      </c>
      <c r="GW19">
        <f>IF(D19="","",COUNTIF(D$3:D19,"?*"))</f>
        <v>17</v>
      </c>
      <c r="GX19">
        <f>IF(EX19&lt;&gt;1,0,_xlfn.LET(_xlpm.k,MAX(IFERROR(--VLOOKUP(D19,УГО_спр,5,FALSE),0),IFERROR(--VLOOKUP(AT19,УГО_спр,5,FALSE),0),IFERROR(--VLOOKUP(LEFT(AT19,2),УГО_спр,5,FALSE),0)),IF(_xlpm.k&gt;0,_xlpm.k,IF(IFERROR(--LEFT(SUBSTITUTE(GR19,"x","х"),FIND("х",SUBSTITUTE(GR19,"x","х"))-1),3)&gt;3,Каталог!$S$9,1))))</f>
        <v>1</v>
      </c>
      <c r="GY19">
        <f t="shared" si="86"/>
        <v>0</v>
      </c>
    </row>
    <row r="20" spans="1:207" x14ac:dyDescent="0.3">
      <c r="A20" t="s">
        <v>788</v>
      </c>
      <c r="B20">
        <v>32</v>
      </c>
      <c r="C20" t="str">
        <f>IF(BD20="","",IF(BE20="вводной узел","узел ","")&amp;"л."&amp;(INT((BD20-1)/Столбцов_на_лист)+1)&amp;" / "&amp;(MOD(BD20-1,Столбцов_на_лист)+1))</f>
        <v>л.2 / 15</v>
      </c>
      <c r="D20" t="s">
        <v>774</v>
      </c>
      <c r="E20" s="133" t="s">
        <v>773</v>
      </c>
      <c r="G20">
        <v>16.440000000000001</v>
      </c>
      <c r="H20">
        <v>1</v>
      </c>
      <c r="I20">
        <v>3</v>
      </c>
      <c r="J20">
        <v>400</v>
      </c>
      <c r="K20" t="s">
        <v>577</v>
      </c>
      <c r="N20">
        <v>1</v>
      </c>
      <c r="O20" t="s">
        <v>1298</v>
      </c>
      <c r="P20">
        <v>52</v>
      </c>
      <c r="Q20">
        <v>39</v>
      </c>
      <c r="R20">
        <v>8</v>
      </c>
      <c r="S20">
        <v>0</v>
      </c>
      <c r="U20" t="s">
        <v>11</v>
      </c>
      <c r="V20">
        <v>5</v>
      </c>
      <c r="W20">
        <v>6</v>
      </c>
      <c r="X20">
        <v>32</v>
      </c>
      <c r="Z20" t="s">
        <v>613</v>
      </c>
      <c r="AA20" t="s">
        <v>818</v>
      </c>
      <c r="AK20" t="s">
        <v>488</v>
      </c>
      <c r="AR20" t="str">
        <f t="shared" si="0"/>
        <v/>
      </c>
      <c r="AS20" cm="1">
        <f t="array" ref="AS20">ROW()-ROW(Линии[#Headers])</f>
        <v>18</v>
      </c>
      <c r="AT20" t="str">
        <f t="shared" si="1"/>
        <v>ЩУОВ</v>
      </c>
      <c r="AU20" t="str">
        <f t="shared" si="2"/>
        <v/>
      </c>
      <c r="AV20" t="str">
        <f t="shared" si="3"/>
        <v/>
      </c>
      <c r="AW20" t="str">
        <f t="shared" si="4"/>
        <v/>
      </c>
      <c r="AX20" t="str">
        <f t="shared" si="5"/>
        <v/>
      </c>
      <c r="AY20" t="str">
        <f>IF(D20="","",IF(ISERROR(SEARCH(".",D20)),IFERROR(VLOOKUP(D20,Потребители_обозначение,2,FALSE)&amp;"",""),IFERROR(IF(VLOOKUP(AT20,Потребители_обозначение,4,FALSE)=1,VLOOKUP(AT20,Потребители_обозначение,2,FALSE)&amp;" "&amp;VLOOKUP(AV20,Этаж_обозначение,2,FALSE)&amp;" Пом. №"&amp;AX20,VLOOKUP(AT20,Потребители_обозначение,2,FALSE)&amp;" Шлейф №"&amp;AV20),IFERROR(VLOOKUP(D20,Потребители_обозначение,2,FALSE),""))))</f>
        <v/>
      </c>
      <c r="AZ20" t="str">
        <f t="shared" si="6"/>
        <v>Щит управления обогрева воронок ЩУОВ Тех. этаж этаж Пом. №3.001</v>
      </c>
      <c r="BA20" t="str">
        <f>IF(F20&lt;&gt;"",F20,IF(AND(D20&lt;&gt;"",D20&lt;&gt;A20,ISNUMBER(_xlfn.XMATCH(D20,Щиты[Щит]))),D20,""))</f>
        <v>ЩУОВ</v>
      </c>
      <c r="BB20">
        <f>IFERROR(_xlfn.XMATCH(A20,Щиты[Щит]),0)</f>
        <v>1</v>
      </c>
      <c r="BC20">
        <f>IFERROR(N(_xlfn.XLOOKUP(A20,Щиты[Щит],Щиты[Мест под вводной узел])),15)</f>
        <v>1</v>
      </c>
      <c r="BD20">
        <f t="shared" si="7"/>
        <v>32</v>
      </c>
      <c r="BE20" t="str">
        <f t="shared" si="8"/>
        <v>линии</v>
      </c>
      <c r="BF20">
        <f>IF(D20="","",IF(BA20&lt;&gt;"",IFERROR(_xlfn.XLOOKUP(BA20,Щиты[Щит],Щиты[Руст, кВт]),0),N(G20)))</f>
        <v>16.439999999999998</v>
      </c>
      <c r="BG20">
        <f>IF(J20&lt;&gt;"",J20,IF(D20="","",IFERROR(IF(VLOOKUP(AT20,Потребители_обозначение,8,FALSE)=0,"",VLOOKUP(AT20,Потребители_обозначение,8,FALSE)),"")))</f>
        <v>400</v>
      </c>
      <c r="BH20">
        <f>IF(I20&lt;&gt;"",I20,IF(D20="","",IFERROR(IF(VLOOKUP(AT20,Потребители_обозначение,9,FALSE)=0,"",VLOOKUP(AT20,Потребители_обозначение,9,FALSE)),"")))</f>
        <v>3</v>
      </c>
      <c r="BI20" t="str">
        <f>IF(U20&lt;&gt;"",U20,IF(D20="","",IFERROR(IF(VLOOKUP(AT20,Потребители_обозначение,6,FALSE)=0,"",VLOOKUP(AT20,Потребители_обозначение,6,FALSE)),"")))</f>
        <v>мс</v>
      </c>
      <c r="BJ20">
        <f>IF(V20&lt;&gt;"",V20,IF(D20="","",IFERROR(IF(VLOOKUP(AT20,Потребители_обозначение,7,FALSE)=0,"",VLOOKUP(AT20,Потребители_обозначение,7,FALSE)),"")))</f>
        <v>5</v>
      </c>
      <c r="BK20">
        <f>IF(W20&lt;&gt;"",W20,IF(D20="","",IFERROR(IF(VLOOKUP(AT20,Потребители_обозначение,10,FALSE)=0,"",VLOOKUP(AT20,Потребители_обозначение,10,FALSE)),"")))</f>
        <v>6</v>
      </c>
      <c r="BL20">
        <f>IFERROR(VLOOKUP(AT20,Потребители_обозначение,5,FALSE),0)</f>
        <v>0</v>
      </c>
      <c r="BM20" cm="1">
        <f t="array" ref="BM20">IF(D20="","",IF(BA20&lt;&gt;"",IFERROR(_xlfn.XLOOKUP(BA20,Щиты[Щит],Щиты[cos φ]),0.95),IF(ISNUMBER(M20),M20,IFERROR(IF(BL20=2,_xlfn.IFS(BH20=3,VLOOKUP(BF20,Справочная_двигатели,8,FALSE),BH20=1,VLOOKUP(BF20,Справочная_двигатели,10,TRUE)),IF(AND(Методика="нормы 2026",CN20="Сил"),0.8,0.95)),0.95))))</f>
        <v>0.95000000000000007</v>
      </c>
      <c r="BN20" cm="1">
        <f t="array" ref="BN20">IF(D20="","",IF(BA20&lt;&gt;"",IFERROR(_xlfn.XLOOKUP(BA20,Щиты[Щит],Щиты[Iр, А]),""),IFERROR(_xlfn.IFS(BH20=1,BF20/((Uн_лин/SQRT(3))*BM20),BH20=3,BF20/(SQRT(3)*Uн_лин*BM20)),"")))</f>
        <v>39.654847436445337</v>
      </c>
      <c r="BO20">
        <f>IF(D20="","",IF(N(X20)=0,IFERROR(VLOOKUP(BN20,Автомат_номиналы,2,TRUE),""),X20))</f>
        <v>32</v>
      </c>
      <c r="BP20">
        <f t="shared" si="9"/>
        <v>0.92</v>
      </c>
      <c r="BQ20">
        <f>IF(ISNUMBER(Y20),Y20,К_прокл)</f>
        <v>1</v>
      </c>
      <c r="BR20">
        <f t="shared" si="10"/>
        <v>3</v>
      </c>
      <c r="BS20" cm="1">
        <f t="array" ref="BS20">IF(D20="","",IF(N(BK20)&lt;&gt;0,BK20,IFERROR(_xlfn.LET(_xlpm.need,BO20/(BP20*BQ20),_xlpm.t,CHOOSE(BR20,Iдоп_1ж,Iдоп_2ж,Iдоп_3ж),_xlpm.k,_xlfn.XMATCH(_xlpm.need,_xlpm.t,1),IF(ISNA(_xlpm.k),"Не исп",INDEX(Iдоп_S,_xlpm.k))),"Не исп")))</f>
        <v>6</v>
      </c>
      <c r="BT20">
        <f>IFERROR(VLOOKUP(BS20,Кабель_сопротивление,3,FALSE),"")</f>
        <v>2.2499999999999999E-2</v>
      </c>
      <c r="BU20">
        <f>IFERROR(VLOOKUP(BS20,Кабель_сопротивление,2,FALSE),"")</f>
        <v>0.09</v>
      </c>
      <c r="BV20">
        <f t="shared" si="11"/>
        <v>52</v>
      </c>
      <c r="BW20">
        <f>IF(D20="","",IFERROR(IF(VLOOKUP(AT20,Потребители_обозначение,4,FALSE)=1,VLOOKUP(AT20,Потребители_обозначение,3,FALSE)*(H20*2-1)+BV20+VLOOKUP(AV20,Этаж_обозначение,3,FALSE)+VLOOKUP(AV20,Этаж_обозначение,4,FALSE),VLOOKUP(AT20,Потребители_обозначение,3,FALSE)*(H20*2-1)+BV20),BV20))</f>
        <v>52</v>
      </c>
      <c r="BX20">
        <f t="shared" si="12"/>
        <v>8</v>
      </c>
      <c r="BY20">
        <f t="shared" si="13"/>
        <v>0</v>
      </c>
      <c r="BZ20">
        <f t="shared" si="14"/>
        <v>1</v>
      </c>
      <c r="CA20">
        <f t="shared" si="15"/>
        <v>0.31</v>
      </c>
      <c r="CB20">
        <f t="shared" si="16"/>
        <v>7.4035917402622937</v>
      </c>
      <c r="CC20">
        <f>IFERROR(ROUNDUP(CB20/((Uн_лин/SQRT(3))*1000)*100,2),"")</f>
        <v>3.21</v>
      </c>
      <c r="CD20">
        <f>IF(ISNUMBER(CC20),CC20+IFERROR(_xlfn.XLOOKUP(A20,Щиты[Щит],Щиты[ΔU до шин, %]),0),"")</f>
        <v>3.21</v>
      </c>
      <c r="CE20">
        <f>IF(D20="","",IF(IFERROR(VLOOKUP(AT20,УГО_спр,2,FALSE),"")="Светильник",3,4)+IF(Методика="нормы 2026",MIN(0.5,MAX(0,N(BW20)-100)*0.005),0))</f>
        <v>4</v>
      </c>
      <c r="CF20" t="str">
        <f>IFERROR(VLOOKUP(BI20,Кабель_обозначение,2,FALSE),"")</f>
        <v>ВВГнг(А)-LS</v>
      </c>
      <c r="CG20" t="str">
        <f>IFERROR(IF(VLOOKUP(BI20,Кабель_обозначение,3,FALSE)=1,CF20&amp;" ("&amp;BJ20&amp;"х"&amp;BS20&amp;")",CF20),"")</f>
        <v>ВВГнг(А)-LS (5х6)</v>
      </c>
      <c r="CH20" t="str">
        <f t="shared" si="17"/>
        <v>ВВГнг(А)-LS (5х6)
L=52-3,21%</v>
      </c>
      <c r="CI20">
        <f>IFERROR(2*ρкз_Cu*BW20/BS20,"")</f>
        <v>0.45586666666666664</v>
      </c>
      <c r="CJ20">
        <f t="shared" si="18"/>
        <v>0.1516666666666667</v>
      </c>
      <c r="CK20" t="str">
        <f>IFERROR(IF(OR(D20="",NOT(ISNUMBER(BS20)),N(BW20)=0),"",_xlfn.XLOOKUP(A20,Щиты[Щит],Щиты[Zпетли на шинах, Ом])+CI20),"")</f>
        <v/>
      </c>
      <c r="CL20" t="str">
        <f>IF(ISNUMBER(CK20),c_min*(Uн_лин*1000/SQRT(3))/CK20,"")</f>
        <v/>
      </c>
      <c r="CM20" t="str">
        <f>IFERROR(IF(OR(D20="",NOT(ISNUMBER(BS20))),"",1.05*(Uн_лин*1000/SQRT(3))/(_xlfn.XLOOKUP(A20,Щиты[Щит],Щиты[Zmax на шинах, Ом])+CJ20)/1000),"")</f>
        <v/>
      </c>
      <c r="CN20" t="str">
        <f>IF(D20="","",IF(BA20&lt;&gt;"","Щит",IF(K20&lt;&gt;"",K20,IF(ISNUMBER(L20),"Сил",IF(IFERROR(_xlfn.XLOOKUP(AT20,Коды_код,Коды_группа)&amp;"","")="","Быт",_xlfn.XLOOKUP(AT20,Коды_код,Коды_группа)&amp;"")))))</f>
        <v>Щит</v>
      </c>
      <c r="CO20" t="str">
        <f>IF(CN20="Щит","щит",IF(CN20="","",IF(CN20="Быт",IFERROR(_xlfn.XLOOKUP(A20,Щиты[Щит],Щиты[Кс быт]),1),IF(CN20="Сил",IF(ISNUMBER(L20),L20,IF(Методика="нормы 2026",IFERROR(_xlfn.XLOOKUP(A20,Щиты[Щит],Щиты[Кс силовых (табл. 7.5)]),1),1)),IF(OR(CN20="Пост",CN20="Отоп"),1,IF(CN20="ВНГ",0.7,0))))))</f>
        <v>щит</v>
      </c>
      <c r="CP20">
        <f t="shared" si="19"/>
        <v>1</v>
      </c>
      <c r="CQ20">
        <f t="shared" si="20"/>
        <v>0</v>
      </c>
      <c r="CR20">
        <f t="shared" si="21"/>
        <v>0</v>
      </c>
      <c r="CS20">
        <f t="shared" si="22"/>
        <v>0</v>
      </c>
      <c r="CT20">
        <f t="shared" si="23"/>
        <v>0</v>
      </c>
      <c r="CU20">
        <f t="shared" si="24"/>
        <v>0</v>
      </c>
      <c r="CV20">
        <f t="shared" si="25"/>
        <v>0</v>
      </c>
      <c r="CW20">
        <f t="shared" si="26"/>
        <v>0</v>
      </c>
      <c r="CX20">
        <f t="shared" si="27"/>
        <v>0</v>
      </c>
      <c r="CY20">
        <f t="shared" si="28"/>
        <v>2</v>
      </c>
      <c r="CZ20" t="str">
        <f t="shared" si="29"/>
        <v>L1,L2,L3</v>
      </c>
      <c r="DA20" cm="1">
        <f t="array" ref="DA20">IFERROR(IF(BL20=2,_xlfn.IFS(BH20=3,VLOOKUP(BF20,Справочная_двигатели,3,FALSE),BH20=1,VLOOKUP(BF20,Справочная_двигатели,5,TRUE)),0),0)</f>
        <v>0</v>
      </c>
      <c r="DB20">
        <f>IFERROR(IF(BL20=3,VLOOKUP(BF20,Справочная_ЛЭД,2,TRUE),0),0)</f>
        <v>0</v>
      </c>
      <c r="DC20">
        <f t="shared" si="30"/>
        <v>0</v>
      </c>
      <c r="DD20" t="str">
        <f t="shared" si="31"/>
        <v>L1,L2,L3</v>
      </c>
      <c r="DE20" t="str" cm="1">
        <f t="array" ref="DE20">IF(D20="","",IFERROR(INDEX({"I особая","I","II","III"},MATCH(TRIM(AA20&amp;""),{"I особая","I","II","III"},0)),"III"))</f>
        <v>II</v>
      </c>
      <c r="DF20" t="str">
        <f>IF(D20="","",IF(TRIM(AB20&amp;"")&lt;&gt;"",IF(LOWER(TRIM(AB20&amp;""))="да","да","нет"),IF(IFERROR(_xlfn.XLOOKUP(AT20,Коды_код,Коды_пожарная),"")="да","да","нет")))</f>
        <v>нет</v>
      </c>
      <c r="DG20" t="str">
        <f t="shared" si="32"/>
        <v/>
      </c>
      <c r="DH20" t="str">
        <f t="shared" si="33"/>
        <v>основная</v>
      </c>
      <c r="DI20">
        <f t="shared" si="34"/>
        <v>1</v>
      </c>
      <c r="DJ20" t="str" cm="1">
        <f t="array" ref="DJ20">IF(D20="","",_xlfn.LET(_xlpm.t,IFERROR(_xlfn.XLOOKUP(1,(Шины[Шина]=DH20)*(((Шины[Щит]=A20)+(Шины[Щит]=""))&gt;0),Шины[Тип]),"")&amp;"",IF(_xlpm.t&lt;&gt;"",_xlpm.t,IF(ISNUMBER(SEARCH("ИБП",DH20)),"ИБП",IF(ISNUMBER(SEARCH("ДГУ",DH20)),"ДГУ","Ввод "&amp;DI20)))))</f>
        <v>Ввод 1</v>
      </c>
      <c r="DK20" t="str">
        <f t="shared" si="35"/>
        <v>Ввод 1</v>
      </c>
      <c r="DL20" t="str">
        <f>IF(D20="","",IF(OR(DJ20="ИБП",DJ20="ДГУ"),"I особая",IF(DJ20="Одиночная","III",_xlfn.XLOOKUP(A20,Щиты[Щит],Щиты[Категория шины «Ввод»],"III"))))</f>
        <v>I</v>
      </c>
      <c r="DM20">
        <f>IF(D20="",0,IFERROR(MATCH(DE20,{"III","II","I","I особая"},0),1))</f>
        <v>2</v>
      </c>
      <c r="DN20">
        <f t="shared" si="36"/>
        <v>2</v>
      </c>
      <c r="DO20" t="str">
        <f>IF(D20="","",IF(DM20&gt;IFERROR(MATCH(DL20,{"III","II","I","I особая"},0),1),"НЕ ОБЕСПЕЧЕНА","ОК"))</f>
        <v>ОК</v>
      </c>
      <c r="DP20" t="str">
        <f>IF(A20="","",_xlfn.XLOOKUP(A20,Щиты[Щит],Щиты[Путь],""))</f>
        <v>|ГРЩ-ЖД|</v>
      </c>
      <c r="DQ20" t="str">
        <f>IF(D20="","",IF(Z20&lt;&gt;"",Z20,IF(IFERROR(_xlfn.XLOOKUP(AT20,Коды_код,Коды_вид)&amp;"","")="","Прочее",_xlfn.XLOOKUP(AT20,Коды_код,Коды_вид)&amp;"")))</f>
        <v>Обогрев водостоков и кровли</v>
      </c>
      <c r="DR20">
        <f>IF(BD20="","",INT((BD20-1)/Столбцов_на_лист)+1)</f>
        <v>2</v>
      </c>
      <c r="DS20" t="str">
        <f t="shared" si="37"/>
        <v>ВВГнг(А)-LS (5х6) L=52-3,21%</v>
      </c>
      <c r="DT20">
        <f t="shared" si="38"/>
        <v>16.439999999999998</v>
      </c>
      <c r="DU20">
        <f t="shared" si="39"/>
        <v>39.659999999999997</v>
      </c>
      <c r="DV20">
        <f t="shared" si="40"/>
        <v>3</v>
      </c>
      <c r="DW20">
        <f>IF(AT20="",0,_xlfn.LET(_xlpm.v,IFERROR(VLOOKUP(D20,УГО_спр,3,FALSE),IFERROR(VLOOKUP(AT20,УГО_спр,3,FALSE),IFERROR(VLOOKUP(LEFT(AT20,2),УГО_спр,3,FALSE),""))),IF(_xlpm.v="да",30,IF(ISNUMBER(_xlpm.v),_xlpm.v,0))))</f>
        <v>0</v>
      </c>
      <c r="DX20">
        <f t="shared" si="41"/>
        <v>0</v>
      </c>
      <c r="DY20" t="str">
        <f>IF(BD20="","",IF(AD20&lt;&gt;"",COUNTIFS(A$3:A20,A20,AD$3:AD20,"?*"),IF(OR(OR(AS20=1,A20&lt;&gt;A19),AL20="вручную"),"",IF(AS20=1,"",DZ19))))</f>
        <v/>
      </c>
      <c r="DZ20" t="str">
        <f t="shared" si="42"/>
        <v/>
      </c>
      <c r="EA20">
        <f>IF(D20="",0,MAX(IFERROR(--X20,0),IFERROR(--VLOOKUP(D20,УГО_спр,4,FALSE),IFERROR(--VLOOKUP(AT20,УГО_спр,4,FALSE),IFERROR(--VLOOKUP(LEFT(AT20,2),УГО_спр,4,FALSE),0)))))</f>
        <v>32</v>
      </c>
      <c r="EB20">
        <f>IF(D20="","",IFERROR(LOOKUP(INDEX(CHOOSE(BR20,Iдоп_1ж,Iдоп_2ж,Iдоп_3ж),MATCH(BS20,Iдоп_S,0))*BP20*BQ20,{6,10,16,20,25,32,40,50,63,80,100,125,160,200,250,315,400,500,630}),""))</f>
        <v>32</v>
      </c>
      <c r="EC20" t="str">
        <f>IF(AD20="","",SUMIFS(Линии[_Ток схемы],Линии[_гр.],DY20,Линии[Щит],A20,Линии[_в кабель выше],0))</f>
        <v/>
      </c>
      <c r="ED20" t="str">
        <f>IF(AD20="","",IFERROR(VLOOKUP(EC20,Автомат_номиналы,2,TRUE),""))</f>
        <v/>
      </c>
      <c r="EE20" t="str">
        <f>IF(AD20="","",MAX(N(ED20),_xlfn.MAXIFS(Линии[_мин. по типу],Линии[_гр.],DY20,Линии[Щит],A20)))</f>
        <v/>
      </c>
      <c r="EF20" t="str">
        <f>IF(AD20="","",_xlfn.MINIFS(Линии[_макс. автомат по кабелю],Линии[_гр.],DY20,Линии[Щит],A20))</f>
        <v/>
      </c>
      <c r="EG20" t="str">
        <f>IF(AD20="","",MAX(1,_xlfn.MAXIFS(Линии[_фаз],Линии[_гр.],DY20,Линии[Щит],A20)))</f>
        <v/>
      </c>
      <c r="EH20" t="str">
        <f>IF(AD20="","",IF(AND(AD20&lt;&gt;"авто",AD20&lt;&gt;"+"),IF(ISNUMBER(SEARCH("мА",AD20)),IFERROR(--TRIM(RIGHT(SUBSTITUTE(LEFT(AD20,SEARCH("мА",AD20)-1)," ",REPT(" ",9)),6)),30),0),IF(AE20="нет",0,IF(ISNUMBER(AE20),AE20,IF(AE20="да",30,_xlfn.MINIFS(Линии[_дифзащита по коду, мА],Линии[_гр.],DY20,Линии[Щит],A20,Линии[_дифзащита по коду, мА],"&gt;0"))))))</f>
        <v/>
      </c>
      <c r="EI20" t="str">
        <f t="shared" si="43"/>
        <v/>
      </c>
      <c r="EJ20" t="str">
        <f t="shared" si="44"/>
        <v/>
      </c>
      <c r="EK20" t="str">
        <f t="shared" si="45"/>
        <v/>
      </c>
      <c r="EL20" t="str">
        <f t="shared" si="46"/>
        <v/>
      </c>
      <c r="EM20">
        <f t="shared" si="47"/>
        <v>0</v>
      </c>
      <c r="EN20" t="str">
        <f>IF(AD20="","",IF(EM20=1,MAX(EE20,Мин_автомат_БП),EE20))</f>
        <v/>
      </c>
      <c r="EO20" t="str">
        <f t="shared" si="48"/>
        <v/>
      </c>
      <c r="EP20" t="str">
        <f t="shared" si="49"/>
        <v/>
      </c>
      <c r="EQ20" t="str">
        <f t="shared" si="50"/>
        <v/>
      </c>
      <c r="ER20" t="str">
        <f>IF(OR(AI20="",AI20="-"),"",IFERROR(VLOOKUP(AI20,Модули_спр,2,FALSE),"R"))</f>
        <v/>
      </c>
      <c r="ES20" t="str">
        <f>IF(ER20="","",ER20&amp;"."&amp;COUNTIFS(A$3:A20,A20,ER$3:ER20,ER20))</f>
        <v/>
      </c>
      <c r="ET20" t="str">
        <f t="shared" si="51"/>
        <v/>
      </c>
      <c r="EU20" t="str">
        <f t="shared" si="52"/>
        <v/>
      </c>
      <c r="EV20" t="str">
        <f t="shared" si="53"/>
        <v/>
      </c>
      <c r="EW20" t="str">
        <f t="shared" si="54"/>
        <v/>
      </c>
      <c r="EX20">
        <f t="shared" si="55"/>
        <v>1</v>
      </c>
      <c r="EY20" t="str">
        <f>IF(AK20="нет","",IF(AK20&lt;&gt;"",AK20,IF(EX20=1,"XT"&amp;COUNTIFS(A$3:A20,A20,EX$3:EX20,1),"")))</f>
        <v/>
      </c>
      <c r="EZ20" t="str">
        <f t="shared" si="56"/>
        <v/>
      </c>
      <c r="FA20" t="str">
        <f t="shared" si="57"/>
        <v/>
      </c>
      <c r="FB20" t="str">
        <f t="shared" si="58"/>
        <v/>
      </c>
      <c r="FC20" t="str">
        <f>IF(OR(EV20="",ET20=""),"",IF(EV20&gt;IFERROR(VLOOKUP(EU20,Модули_спр,3,FALSE),99),"ЛИШНИЙ КАНАЛ",IF(AND(AJ20&lt;&gt;"=",COUNTIFS(Линии[_модуль гр.],ET20,Линии[Канал (итог)],EV20,Линии[Канал],"&lt;&gt;=",Линии[Щит],A20)&gt;1),"ДУБЛЬ КАНАЛА","")))</f>
        <v/>
      </c>
      <c r="FD20" t="str">
        <f t="shared" si="59"/>
        <v/>
      </c>
      <c r="FE20" t="str">
        <f t="shared" si="60"/>
        <v/>
      </c>
      <c r="FF20" t="str">
        <f t="shared" si="61"/>
        <v/>
      </c>
      <c r="FG20" t="str">
        <f t="shared" si="62"/>
        <v/>
      </c>
      <c r="FH20" t="str">
        <f t="shared" si="63"/>
        <v/>
      </c>
      <c r="FI20">
        <f t="shared" si="64"/>
        <v>10</v>
      </c>
      <c r="FJ20" t="str">
        <f t="shared" si="65"/>
        <v/>
      </c>
      <c r="FK20" t="str">
        <f>IF(AND(D20="",EZ20=""),"",_xlfn.TEXTJOIN("; ",TRUE,IF(AND(D20&lt;&gt;"",DD20=""),"нет фазы",""),IF(AND(D20&lt;&gt;"",N(DT20)=0,CN20&lt;&gt;"Нет"),"нет мощности",""),IF(AND(EY20&lt;&gt;"",COUNTIFS(Линии[Щит],A20,Линии[Клемма (итог)],EY20)&gt;1),"дубль клеммы "&amp;EY20,""),IF(AND(FB20&lt;&gt;"",FB20&lt;&gt;"ok"),FB20,""),IF(FC20&lt;&gt;"",FC20,""),IF(AND(ISNUMBER(SEARCH("(5х",DS20)),N(DV20)=1),"5 жил на 1 фазе",""),IF(AND(AT20="R",AD20&lt;&gt;"",OR(N(EH20)=0,N(EH20)&gt;30)),"розетка без дифзащиты до 30 мА",""),IFERROR(IF(AND(ISNUMBER(CD20),CD20&gt;CE20),"потери "&amp;FIXED(CD20,1)&amp;" % &gt; "&amp;CE20&amp;" %",""),""),IFERROR(IF(LEFT(FJ20,4)="мало","Iкз мало — отключение &gt; 0,4 с",""),""),IF(AND(D20&lt;&gt;"",BD20=""),"не на схеме","")))</f>
        <v/>
      </c>
      <c r="FL20" t="str">
        <f>IF(AD20="","",_xlfn.LET(_xlpm.t,IFERROR(_xlfn.XLOOKUP(EP20,Каталог!$U$4:$U$500,Каталог!$G$4:$G$500),""),_xlpm.k,SEARCH("кА",_xlpm.t),IFERROR(--TRIM(RIGHT(SUBSTITUTE(MID(_xlpm.t,MAX(1,_xlpm.k-4),_xlpm.k-MAX(1,_xlpm.k-4))," ",REPT(" ",9)),5)),"")))</f>
        <v/>
      </c>
      <c r="FM20" t="str">
        <f>IF(OR(FL20="",AD20=""),"",IF(_xlfn.XLOOKUP(A20,Щиты[Щит],Щиты[Iкз max на шинах, кА],"")="","",IF(FL20&lt;_xlfn.XLOOKUP(A20,Щиты[Щит],Щиты[Iкз max на шинах, кА]),"Icu "&amp;FL20&amp;" кА &lt; Iкз max","ok")))</f>
        <v/>
      </c>
      <c r="FN20" t="str">
        <f t="shared" si="66"/>
        <v/>
      </c>
      <c r="FO20" t="str">
        <f t="shared" si="67"/>
        <v/>
      </c>
      <c r="FP20" t="str" cm="1">
        <f t="array" ref="FP20">IF(FO20="","",_xlfn.LET(_xlpm.nd,_xlfn.TEXTSPLIT(FO20,"|"),IF(COLUMNS(_xlpm.nd)&gt;1,A20&amp;"¦"&amp;INDEX(_xlpm.nd,1)&amp;"¦"&amp;INDEX(_xlpm.nd,2),"")))</f>
        <v/>
      </c>
      <c r="FQ20" t="str">
        <f t="shared" si="68"/>
        <v/>
      </c>
      <c r="FR20" t="str" cm="1">
        <f t="array" ref="FR20">IF(FO20="","",_xlfn.LET(_xlpm.nd,_xlfn.TEXTSPLIT(FO20,"|"),IF(COLUMNS(_xlpm.nd)&gt;2,A20&amp;"¦"&amp;INDEX(_xlpm.nd,2)&amp;"¦"&amp;INDEX(_xlpm.nd,3),"")))</f>
        <v/>
      </c>
      <c r="FS20" t="str">
        <f t="shared" si="69"/>
        <v/>
      </c>
      <c r="FT20" t="str" cm="1">
        <f t="array" ref="FT20">IF(FO20="","",_xlfn.LET(_xlpm.nd,_xlfn.TEXTSPLIT(FO20,"|"),IF(COLUMNS(_xlpm.nd)&gt;3,A20&amp;"¦"&amp;INDEX(_xlpm.nd,3)&amp;"¦"&amp;INDEX(_xlpm.nd,4),"")))</f>
        <v/>
      </c>
      <c r="FU20" t="str">
        <f t="shared" si="70"/>
        <v/>
      </c>
      <c r="FV20" t="str" cm="1">
        <f t="array" ref="FV20">IF(FO20="","",_xlfn.LET(_xlpm.nd,_xlfn.TEXTSPLIT(FO20,"|"),IF(COLUMNS(_xlpm.nd)&gt;4,A20&amp;"¦"&amp;INDEX(_xlpm.nd,4)&amp;"¦"&amp;INDEX(_xlpm.nd,5),"")))</f>
        <v/>
      </c>
      <c r="FW20" t="str">
        <f t="shared" si="71"/>
        <v/>
      </c>
      <c r="FX20" t="str" cm="1">
        <f t="array" ref="FX20">IF(FO20="","",_xlfn.LET(_xlpm.nd,_xlfn.TEXTSPLIT(FO20,"|"),IF(COLUMNS(_xlpm.nd)&gt;5,A20&amp;"¦"&amp;INDEX(_xlpm.nd,5)&amp;"¦"&amp;INDEX(_xlpm.nd,6),"")))</f>
        <v/>
      </c>
      <c r="FY20" t="str">
        <f t="shared" si="72"/>
        <v/>
      </c>
      <c r="FZ20" t="str" cm="1">
        <f t="array" ref="FZ20">IF(FO20="","",_xlfn.LET(_xlpm.nd,_xlfn.TEXTSPLIT(FO20,"|"),IF(COLUMNS(_xlpm.nd)&gt;6,A20&amp;"¦"&amp;INDEX(_xlpm.nd,6)&amp;"¦"&amp;INDEX(_xlpm.nd,7),"")))</f>
        <v/>
      </c>
      <c r="GA20" t="str">
        <f t="shared" si="73"/>
        <v/>
      </c>
      <c r="GB20" t="str">
        <f t="shared" si="74"/>
        <v/>
      </c>
      <c r="GC20" t="str">
        <f t="shared" si="75"/>
        <v/>
      </c>
      <c r="GD20">
        <f t="shared" si="76"/>
        <v>1</v>
      </c>
      <c r="GE20">
        <f t="shared" si="77"/>
        <v>0</v>
      </c>
      <c r="GF20">
        <f t="shared" si="78"/>
        <v>0</v>
      </c>
      <c r="GG20" t="str">
        <f t="shared" si="79"/>
        <v/>
      </c>
      <c r="GH20" t="str">
        <f t="shared" si="80"/>
        <v/>
      </c>
      <c r="GI20" t="str">
        <f t="shared" si="81"/>
        <v/>
      </c>
      <c r="GJ20" t="str">
        <f t="shared" si="82"/>
        <v/>
      </c>
      <c r="GK20" t="str">
        <f>IF(D20="","",IFERROR(VLOOKUP(D20,УГО_спр,2,FALSE),IFERROR(VLOOKUP(AT20,УГО_спр,2,FALSE),IFERROR(VLOOKUP(LEFT(AT20,2),УГО_спр,2,FALSE),""))))</f>
        <v/>
      </c>
      <c r="GL20" t="str">
        <f>IF(D20="","",IF(OR(GK20="",GK20=0),"BOX",IFERROR(IF(VLOOKUP(GK20,УГО_блоки,3,FALSE)&amp;""&lt;&gt;"",VLOOKUP(GK20,УГО_блоки,3,FALSE),VLOOKUP(GK20,УГО_блоки,2,FALSE)),GK20)))</f>
        <v>BOX</v>
      </c>
      <c r="GM20">
        <f t="shared" si="83"/>
        <v>1</v>
      </c>
      <c r="GN20" t="str">
        <f>IF(EP20="","",IF(COUNTIF(EP$3:EP20,EP20)=1,MAX(GN$2:GN19)+1,""))</f>
        <v/>
      </c>
      <c r="GO20" t="str">
        <f>IF(AF20="","",IF(COUNTIF(AF$3:AF20,AF20)+COUNTIF(AG$2:AG19,AF20)+COUNTIF(AH$2:AH19,AF20)=1,MAX(GO$2:GQ19)+1,""))</f>
        <v/>
      </c>
      <c r="GP20" t="str">
        <f>IF(AG20="","",IF(COUNTIF(AF$3:AF20,AG20)+COUNTIF(AG$3:AG20,AG20)+COUNTIF(AH$2:AH19,AG20)=1,MAX(GO$2:GQ19,GO20)+1,""))</f>
        <v/>
      </c>
      <c r="GQ20" t="str">
        <f>IF(AH20="","",IF(COUNTIF(AF$3:AF20,AH20)+COUNTIF(AG$3:AG20,AH20)+COUNTIF(AH$3:AH20,AH20)=1,MAX(GO$2:GQ19,GO20,GP20)+1,""))</f>
        <v/>
      </c>
      <c r="GR20" t="str">
        <f t="shared" si="84"/>
        <v>5х6</v>
      </c>
      <c r="GS20" t="str">
        <f>IF(GR20="","",IF(COUNTIF(GR$3:GR20,GR20)=1,MAX(GS$2:GS19)+1,""))</f>
        <v/>
      </c>
      <c r="GT20" t="str">
        <f>IF(ES20="","",COUNTIF(ES$3:ES20,"?*"))</f>
        <v/>
      </c>
      <c r="GU20" t="str">
        <f>IF(OR(ES20="",EU20=""),"",IF(COUNTIFS(ES$3:ES20,"?*",EU$3:EU20,EU20)=1,MAX(GU$2:GU19)+1,""))</f>
        <v/>
      </c>
      <c r="GV20">
        <f t="shared" si="85"/>
        <v>0</v>
      </c>
      <c r="GW20">
        <f>IF(D20="","",COUNTIF(D$3:D20,"?*"))</f>
        <v>18</v>
      </c>
      <c r="GX20">
        <f>IF(EX20&lt;&gt;1,0,_xlfn.LET(_xlpm.k,MAX(IFERROR(--VLOOKUP(D20,УГО_спр,5,FALSE),0),IFERROR(--VLOOKUP(AT20,УГО_спр,5,FALSE),0),IFERROR(--VLOOKUP(LEFT(AT20,2),УГО_спр,5,FALSE),0)),IF(_xlpm.k&gt;0,_xlpm.k,IF(IFERROR(--LEFT(SUBSTITUTE(GR20,"x","х"),FIND("х",SUBSTITUTE(GR20,"x","х"))-1),3)&gt;3,Каталог!$S$9,1))))</f>
        <v>1</v>
      </c>
      <c r="GY20">
        <f t="shared" si="86"/>
        <v>2</v>
      </c>
    </row>
    <row r="21" spans="1:207" x14ac:dyDescent="0.3">
      <c r="A21" t="s">
        <v>788</v>
      </c>
      <c r="B21">
        <v>33</v>
      </c>
      <c r="C21" t="str">
        <f>IF(BD21="","",IF(BE21="вводной узел","узел ","")&amp;"л."&amp;(INT((BD21-1)/Столбцов_на_лист)+1)&amp;" / "&amp;(MOD(BD21-1,Столбцов_на_лист)+1))</f>
        <v>л.2 / 16</v>
      </c>
      <c r="D21" t="s">
        <v>776</v>
      </c>
      <c r="E21" s="133" t="s">
        <v>775</v>
      </c>
      <c r="G21">
        <v>103.95</v>
      </c>
      <c r="H21">
        <v>1</v>
      </c>
      <c r="I21">
        <v>3</v>
      </c>
      <c r="J21">
        <v>400</v>
      </c>
      <c r="K21" t="s">
        <v>602</v>
      </c>
      <c r="L21">
        <v>0.7</v>
      </c>
      <c r="N21">
        <v>1</v>
      </c>
      <c r="O21" t="s">
        <v>1298</v>
      </c>
      <c r="P21">
        <v>53</v>
      </c>
      <c r="Q21">
        <v>38</v>
      </c>
      <c r="R21">
        <v>10</v>
      </c>
      <c r="S21">
        <v>0</v>
      </c>
      <c r="U21" t="s">
        <v>618</v>
      </c>
      <c r="V21">
        <v>1</v>
      </c>
      <c r="W21">
        <v>95</v>
      </c>
      <c r="X21">
        <v>200</v>
      </c>
      <c r="Z21" t="s">
        <v>598</v>
      </c>
      <c r="AA21" t="s">
        <v>867</v>
      </c>
      <c r="AK21" t="s">
        <v>488</v>
      </c>
      <c r="AR21" t="str">
        <f t="shared" si="0"/>
        <v/>
      </c>
      <c r="AS21" cm="1">
        <f t="array" ref="AS21">ROW()-ROW(Линии[#Headers])</f>
        <v>19</v>
      </c>
      <c r="AT21" t="str">
        <f t="shared" si="1"/>
        <v>ЩР-ПК</v>
      </c>
      <c r="AU21" t="str">
        <f t="shared" si="2"/>
        <v/>
      </c>
      <c r="AV21" t="str">
        <f t="shared" si="3"/>
        <v/>
      </c>
      <c r="AW21" t="str">
        <f t="shared" si="4"/>
        <v/>
      </c>
      <c r="AX21" t="str">
        <f t="shared" si="5"/>
        <v/>
      </c>
      <c r="AY21" t="str">
        <f>IF(D21="","",IF(ISERROR(SEARCH(".",D21)),IFERROR(VLOOKUP(D21,Потребители_обозначение,2,FALSE)&amp;"",""),IFERROR(IF(VLOOKUP(AT21,Потребители_обозначение,4,FALSE)=1,VLOOKUP(AT21,Потребители_обозначение,2,FALSE)&amp;" "&amp;VLOOKUP(AV21,Этаж_обозначение,2,FALSE)&amp;" Пом. №"&amp;AX21,VLOOKUP(AT21,Потребители_обозначение,2,FALSE)&amp;" Шлейф №"&amp;AV21),IFERROR(VLOOKUP(D21,Потребители_обозначение,2,FALSE),""))))</f>
        <v/>
      </c>
      <c r="AZ21" t="str">
        <f t="shared" si="6"/>
        <v>Щит профкухни ЩС-ПК Цокольный этаж этаж Пом. №0.0014Б</v>
      </c>
      <c r="BA21" t="str">
        <f>IF(F21&lt;&gt;"",F21,IF(AND(D21&lt;&gt;"",D21&lt;&gt;A21,ISNUMBER(_xlfn.XMATCH(D21,Щиты[Щит]))),D21,""))</f>
        <v/>
      </c>
      <c r="BB21">
        <f>IFERROR(_xlfn.XMATCH(A21,Щиты[Щит]),0)</f>
        <v>1</v>
      </c>
      <c r="BC21">
        <f>IFERROR(N(_xlfn.XLOOKUP(A21,Щиты[Щит],Щиты[Мест под вводной узел])),15)</f>
        <v>1</v>
      </c>
      <c r="BD21">
        <f t="shared" si="7"/>
        <v>33</v>
      </c>
      <c r="BE21" t="str">
        <f t="shared" si="8"/>
        <v>линии</v>
      </c>
      <c r="BF21">
        <f>IF(D21="","",IF(BA21&lt;&gt;"",IFERROR(_xlfn.XLOOKUP(BA21,Щиты[Щит],Щиты[Руст, кВт]),0),N(G21)))</f>
        <v>103.95</v>
      </c>
      <c r="BG21">
        <f>IF(J21&lt;&gt;"",J21,IF(D21="","",IFERROR(IF(VLOOKUP(AT21,Потребители_обозначение,8,FALSE)=0,"",VLOOKUP(AT21,Потребители_обозначение,8,FALSE)),"")))</f>
        <v>400</v>
      </c>
      <c r="BH21">
        <f>IF(I21&lt;&gt;"",I21,IF(D21="","",IFERROR(IF(VLOOKUP(AT21,Потребители_обозначение,9,FALSE)=0,"",VLOOKUP(AT21,Потребители_обозначение,9,FALSE)),"")))</f>
        <v>3</v>
      </c>
      <c r="BI21" t="str">
        <f>IF(U21&lt;&gt;"",U21,IF(D21="","",IFERROR(IF(VLOOKUP(AT21,Потребители_обозначение,6,FALSE)=0,"",VLOOKUP(AT21,Потребители_обозначение,6,FALSE)),"")))</f>
        <v>5мс2</v>
      </c>
      <c r="BJ21">
        <f>IF(V21&lt;&gt;"",V21,IF(D21="","",IFERROR(IF(VLOOKUP(AT21,Потребители_обозначение,7,FALSE)=0,"",VLOOKUP(AT21,Потребители_обозначение,7,FALSE)),"")))</f>
        <v>1</v>
      </c>
      <c r="BK21">
        <f>IF(W21&lt;&gt;"",W21,IF(D21="","",IFERROR(IF(VLOOKUP(AT21,Потребители_обозначение,10,FALSE)=0,"",VLOOKUP(AT21,Потребители_обозначение,10,FALSE)),"")))</f>
        <v>95</v>
      </c>
      <c r="BL21">
        <f>IFERROR(VLOOKUP(AT21,Потребители_обозначение,5,FALSE),0)</f>
        <v>0</v>
      </c>
      <c r="BM21" cm="1">
        <f t="array" ref="BM21">IF(D21="","",IF(BA21&lt;&gt;"",IFERROR(_xlfn.XLOOKUP(BA21,Щиты[Щит],Щиты[cos φ]),0.95),IF(ISNUMBER(M21),M21,IFERROR(IF(BL21=2,_xlfn.IFS(BH21=3,VLOOKUP(BF21,Справочная_двигатели,8,FALSE),BH21=1,VLOOKUP(BF21,Справочная_двигатели,10,TRUE)),IF(AND(Методика="нормы 2026",CN21="Сил"),0.8,0.95)),0.95))))</f>
        <v>0.95</v>
      </c>
      <c r="BN21" cm="1">
        <f t="array" ref="BN21">IF(D21="","",IF(BA21&lt;&gt;"",IFERROR(_xlfn.XLOOKUP(BA21,Щиты[Щит],Щиты[Iр, А]),""),IFERROR(_xlfn.IFS(BH21=1,BF21/((Uн_лин/SQRT(3))*BM21),BH21=3,BF21/(SQRT(3)*Uн_лин*BM21)),"")))</f>
        <v>157.93568547963579</v>
      </c>
      <c r="BO21">
        <f>IF(D21="","",IF(N(X21)=0,IFERROR(VLOOKUP(BN21,Автомат_номиналы,2,TRUE),""),X21))</f>
        <v>200</v>
      </c>
      <c r="BP21">
        <f t="shared" si="9"/>
        <v>1</v>
      </c>
      <c r="BQ21">
        <f>IF(ISNUMBER(Y21),Y21,К_прокл)</f>
        <v>1</v>
      </c>
      <c r="BR21">
        <f t="shared" si="10"/>
        <v>1</v>
      </c>
      <c r="BS21" cm="1">
        <f t="array" ref="BS21">IF(D21="","",IF(N(BK21)&lt;&gt;0,BK21,IFERROR(_xlfn.LET(_xlpm.need,BO21/(BP21*BQ21),_xlpm.t,CHOOSE(BR21,Iдоп_1ж,Iдоп_2ж,Iдоп_3ж),_xlpm.k,_xlfn.XMATCH(_xlpm.need,_xlpm.t,1),IF(ISNA(_xlpm.k),"Не исп",INDEX(Iдоп_S,_xlpm.k))),"Не исп")))</f>
        <v>95</v>
      </c>
      <c r="BT21">
        <f>IFERROR(VLOOKUP(BS21,Кабель_сопротивление,3,FALSE),"")</f>
        <v>2.2499999999999999E-2</v>
      </c>
      <c r="BU21">
        <f>IFERROR(VLOOKUP(BS21,Кабель_сопротивление,2,FALSE),"")</f>
        <v>6.0199999999999997E-2</v>
      </c>
      <c r="BV21">
        <f t="shared" si="11"/>
        <v>53</v>
      </c>
      <c r="BW21">
        <f>IF(D21="","",IFERROR(IF(VLOOKUP(AT21,Потребители_обозначение,4,FALSE)=1,VLOOKUP(AT21,Потребители_обозначение,3,FALSE)*(H21*2-1)+BV21+VLOOKUP(AV21,Этаж_обозначение,3,FALSE)+VLOOKUP(AV21,Этаж_обозначение,4,FALSE),VLOOKUP(AT21,Потребители_обозначение,3,FALSE)*(H21*2-1)+BV21),BV21))</f>
        <v>53</v>
      </c>
      <c r="BX21">
        <f t="shared" si="12"/>
        <v>10</v>
      </c>
      <c r="BY21">
        <f t="shared" si="13"/>
        <v>0</v>
      </c>
      <c r="BZ21">
        <f t="shared" si="14"/>
        <v>1</v>
      </c>
      <c r="CA21">
        <f t="shared" si="15"/>
        <v>0.31</v>
      </c>
      <c r="CB21">
        <f t="shared" si="16"/>
        <v>2.0395950247529675</v>
      </c>
      <c r="CC21">
        <f>IFERROR(ROUNDUP(CB21/((Uн_лин/SQRT(3))*1000)*100,2),"")</f>
        <v>0.89</v>
      </c>
      <c r="CD21">
        <f>IF(ISNUMBER(CC21),CC21+IFERROR(_xlfn.XLOOKUP(A21,Щиты[Щит],Щиты[ΔU до шин, %]),0),"")</f>
        <v>0.89</v>
      </c>
      <c r="CE21">
        <f>IF(D21="","",IF(IFERROR(VLOOKUP(AT21,УГО_спр,2,FALSE),"")="Светильник",3,4)+IF(Методика="нормы 2026",MIN(0.5,MAX(0,N(BW21)-100)*0.005),0))</f>
        <v>4</v>
      </c>
      <c r="CF21" t="str">
        <f>IFERROR(VLOOKUP(BI21,Кабель_обозначение,2,FALSE),"")</f>
        <v xml:space="preserve">5хВВГнг(А)-LS </v>
      </c>
      <c r="CG21" t="str">
        <f>IFERROR(IF(VLOOKUP(BI21,Кабель_обозначение,3,FALSE)=1,CF21&amp;" ("&amp;BJ21&amp;"х"&amp;BS21&amp;")",CF21),"")</f>
        <v>5хВВГнг(А)-LS  (1х95)</v>
      </c>
      <c r="CH21" t="str">
        <f t="shared" si="17"/>
        <v>5хВВГнг(А)-LS  (1х95)
L=53-0,89%</v>
      </c>
      <c r="CI21">
        <f>IFERROR(2*ρкз_Cu*BW21/BS21,"")</f>
        <v>2.9345263157894735E-2</v>
      </c>
      <c r="CJ21">
        <f t="shared" si="18"/>
        <v>9.7631578947368434E-3</v>
      </c>
      <c r="CK21" t="str">
        <f>IFERROR(IF(OR(D21="",NOT(ISNUMBER(BS21)),N(BW21)=0),"",_xlfn.XLOOKUP(A21,Щиты[Щит],Щиты[Zпетли на шинах, Ом])+CI21),"")</f>
        <v/>
      </c>
      <c r="CL21" t="str">
        <f>IF(ISNUMBER(CK21),c_min*(Uн_лин*1000/SQRT(3))/CK21,"")</f>
        <v/>
      </c>
      <c r="CM21" t="str">
        <f>IFERROR(IF(OR(D21="",NOT(ISNUMBER(BS21))),"",1.05*(Uн_лин*1000/SQRT(3))/(_xlfn.XLOOKUP(A21,Щиты[Щит],Щиты[Zmax на шинах, Ом])+CJ21)/1000),"")</f>
        <v/>
      </c>
      <c r="CN21" t="str">
        <f>IF(D21="","",IF(BA21&lt;&gt;"","Щит",IF(K21&lt;&gt;"",K21,IF(ISNUMBER(L21),"Сил",IF(IFERROR(_xlfn.XLOOKUP(AT21,Коды_код,Коды_группа)&amp;"","")="","Быт",_xlfn.XLOOKUP(AT21,Коды_код,Коды_группа)&amp;"")))))</f>
        <v>Сил</v>
      </c>
      <c r="CO21">
        <f>IF(CN21="Щит","щит",IF(CN21="","",IF(CN21="Быт",IFERROR(_xlfn.XLOOKUP(A21,Щиты[Щит],Щиты[Кс быт]),1),IF(CN21="Сил",IF(ISNUMBER(L21),L21,IF(Методика="нормы 2026",IFERROR(_xlfn.XLOOKUP(A21,Щиты[Щит],Щиты[Кс силовых (табл. 7.5)]),1),1)),IF(OR(CN21="Пост",CN21="Отоп"),1,IF(CN21="ВНГ",0.7,0))))))</f>
        <v>0.7</v>
      </c>
      <c r="CP21">
        <f t="shared" si="19"/>
        <v>1</v>
      </c>
      <c r="CQ21">
        <f t="shared" si="20"/>
        <v>103.95</v>
      </c>
      <c r="CR21">
        <f t="shared" si="21"/>
        <v>0</v>
      </c>
      <c r="CS21">
        <f t="shared" si="22"/>
        <v>72.765000000000001</v>
      </c>
      <c r="CT21">
        <f t="shared" si="23"/>
        <v>0</v>
      </c>
      <c r="CU21">
        <f t="shared" si="24"/>
        <v>0</v>
      </c>
      <c r="CV21">
        <f t="shared" si="25"/>
        <v>0</v>
      </c>
      <c r="CW21">
        <f t="shared" si="26"/>
        <v>103.95</v>
      </c>
      <c r="CX21">
        <f t="shared" si="27"/>
        <v>98.752499999999998</v>
      </c>
      <c r="CY21">
        <f t="shared" si="28"/>
        <v>2</v>
      </c>
      <c r="CZ21" t="str">
        <f t="shared" si="29"/>
        <v>L1,L2,L3</v>
      </c>
      <c r="DA21" cm="1">
        <f t="array" ref="DA21">IFERROR(IF(BL21=2,_xlfn.IFS(BH21=3,VLOOKUP(BF21,Справочная_двигатели,3,FALSE),BH21=1,VLOOKUP(BF21,Справочная_двигатели,5,TRUE)),0),0)</f>
        <v>0</v>
      </c>
      <c r="DB21">
        <f>IFERROR(IF(BL21=3,VLOOKUP(BF21,Справочная_ЛЭД,2,TRUE),0),0)</f>
        <v>0</v>
      </c>
      <c r="DC21">
        <f t="shared" si="30"/>
        <v>0</v>
      </c>
      <c r="DD21" t="str">
        <f t="shared" si="31"/>
        <v>L1,L2,L3</v>
      </c>
      <c r="DE21" t="str" cm="1">
        <f t="array" ref="DE21">IF(D21="","",IFERROR(INDEX({"I особая","I","II","III"},MATCH(TRIM(AA21&amp;""),{"I особая","I","II","III"},0)),"III"))</f>
        <v>III</v>
      </c>
      <c r="DF21" t="str">
        <f>IF(D21="","",IF(TRIM(AB21&amp;"")&lt;&gt;"",IF(LOWER(TRIM(AB21&amp;""))="да","да","нет"),IF(IFERROR(_xlfn.XLOOKUP(AT21,Коды_код,Коды_пожарная),"")="да","да","нет")))</f>
        <v>нет</v>
      </c>
      <c r="DG21" t="str">
        <f t="shared" si="32"/>
        <v/>
      </c>
      <c r="DH21" t="str">
        <f t="shared" si="33"/>
        <v>основная</v>
      </c>
      <c r="DI21">
        <f t="shared" si="34"/>
        <v>1</v>
      </c>
      <c r="DJ21" t="str" cm="1">
        <f t="array" ref="DJ21">IF(D21="","",_xlfn.LET(_xlpm.t,IFERROR(_xlfn.XLOOKUP(1,(Шины[Шина]=DH21)*(((Шины[Щит]=A21)+(Шины[Щит]=""))&gt;0),Шины[Тип]),"")&amp;"",IF(_xlpm.t&lt;&gt;"",_xlpm.t,IF(ISNUMBER(SEARCH("ИБП",DH21)),"ИБП",IF(ISNUMBER(SEARCH("ДГУ",DH21)),"ДГУ","Ввод "&amp;DI21)))))</f>
        <v>Ввод 1</v>
      </c>
      <c r="DK21" t="str">
        <f t="shared" si="35"/>
        <v>Ввод 1</v>
      </c>
      <c r="DL21" t="str">
        <f>IF(D21="","",IF(OR(DJ21="ИБП",DJ21="ДГУ"),"I особая",IF(DJ21="Одиночная","III",_xlfn.XLOOKUP(A21,Щиты[Щит],Щиты[Категория шины «Ввод»],"III"))))</f>
        <v>I</v>
      </c>
      <c r="DM21">
        <f>IF(D21="",0,IFERROR(MATCH(DE21,{"III","II","I","I особая"},0),1))</f>
        <v>1</v>
      </c>
      <c r="DN21">
        <f t="shared" si="36"/>
        <v>1</v>
      </c>
      <c r="DO21" t="str">
        <f>IF(D21="","",IF(DM21&gt;IFERROR(MATCH(DL21,{"III","II","I","I особая"},0),1),"НЕ ОБЕСПЕЧЕНА","ОК"))</f>
        <v>ОК</v>
      </c>
      <c r="DP21" t="str">
        <f>IF(A21="","",_xlfn.XLOOKUP(A21,Щиты[Щит],Щиты[Путь],""))</f>
        <v>|ГРЩ-ЖД|</v>
      </c>
      <c r="DQ21" t="str">
        <f>IF(D21="","",IF(Z21&lt;&gt;"",Z21,IF(IFERROR(_xlfn.XLOOKUP(AT21,Коды_код,Коды_вид)&amp;"","")="","Прочее",_xlfn.XLOOKUP(AT21,Коды_код,Коды_вид)&amp;"")))</f>
        <v>Технология пищеприготовления</v>
      </c>
      <c r="DR21">
        <f>IF(BD21="","",INT((BD21-1)/Столбцов_на_лист)+1)</f>
        <v>2</v>
      </c>
      <c r="DS21" t="str">
        <f t="shared" si="37"/>
        <v>5хВВГнг(А)-LS  (1х95) L=53-0,89%</v>
      </c>
      <c r="DT21">
        <f t="shared" si="38"/>
        <v>103.95</v>
      </c>
      <c r="DU21">
        <f t="shared" si="39"/>
        <v>157.94</v>
      </c>
      <c r="DV21">
        <f t="shared" si="40"/>
        <v>3</v>
      </c>
      <c r="DW21">
        <f>IF(AT21="",0,_xlfn.LET(_xlpm.v,IFERROR(VLOOKUP(D21,УГО_спр,3,FALSE),IFERROR(VLOOKUP(AT21,УГО_спр,3,FALSE),IFERROR(VLOOKUP(LEFT(AT21,2),УГО_спр,3,FALSE),""))),IF(_xlpm.v="да",30,IF(ISNUMBER(_xlpm.v),_xlpm.v,0))))</f>
        <v>0</v>
      </c>
      <c r="DX21">
        <f t="shared" si="41"/>
        <v>0</v>
      </c>
      <c r="DY21" t="str">
        <f>IF(BD21="","",IF(AD21&lt;&gt;"",COUNTIFS(A$3:A21,A21,AD$3:AD21,"?*"),IF(OR(OR(AS21=1,A21&lt;&gt;A20),AL21="вручную"),"",IF(AS21=1,"",DZ20))))</f>
        <v/>
      </c>
      <c r="DZ21" t="str">
        <f t="shared" si="42"/>
        <v/>
      </c>
      <c r="EA21">
        <f>IF(D21="",0,MAX(IFERROR(--X21,0),IFERROR(--VLOOKUP(D21,УГО_спр,4,FALSE),IFERROR(--VLOOKUP(AT21,УГО_спр,4,FALSE),IFERROR(--VLOOKUP(LEFT(AT21,2),УГО_спр,4,FALSE),0)))))</f>
        <v>200</v>
      </c>
      <c r="EB21">
        <f>IF(D21="","",IFERROR(LOOKUP(INDEX(CHOOSE(BR21,Iдоп_1ж,Iдоп_2ж,Iдоп_3ж),MATCH(BS21,Iдоп_S,0))*BP21*BQ21,{6,10,16,20,25,32,40,50,63,80,100,125,160,200,250,315,400,500,630}),""))</f>
        <v>315</v>
      </c>
      <c r="EC21" t="str">
        <f>IF(AD21="","",SUMIFS(Линии[_Ток схемы],Линии[_гр.],DY21,Линии[Щит],A21,Линии[_в кабель выше],0))</f>
        <v/>
      </c>
      <c r="ED21" t="str">
        <f>IF(AD21="","",IFERROR(VLOOKUP(EC21,Автомат_номиналы,2,TRUE),""))</f>
        <v/>
      </c>
      <c r="EE21" t="str">
        <f>IF(AD21="","",MAX(N(ED21),_xlfn.MAXIFS(Линии[_мин. по типу],Линии[_гр.],DY21,Линии[Щит],A21)))</f>
        <v/>
      </c>
      <c r="EF21" t="str">
        <f>IF(AD21="","",_xlfn.MINIFS(Линии[_макс. автомат по кабелю],Линии[_гр.],DY21,Линии[Щит],A21))</f>
        <v/>
      </c>
      <c r="EG21" t="str">
        <f>IF(AD21="","",MAX(1,_xlfn.MAXIFS(Линии[_фаз],Линии[_гр.],DY21,Линии[Щит],A21)))</f>
        <v/>
      </c>
      <c r="EH21" t="str">
        <f>IF(AD21="","",IF(AND(AD21&lt;&gt;"авто",AD21&lt;&gt;"+"),IF(ISNUMBER(SEARCH("мА",AD21)),IFERROR(--TRIM(RIGHT(SUBSTITUTE(LEFT(AD21,SEARCH("мА",AD21)-1)," ",REPT(" ",9)),6)),30),0),IF(AE21="нет",0,IF(ISNUMBER(AE21),AE21,IF(AE21="да",30,_xlfn.MINIFS(Линии[_дифзащита по коду, мА],Линии[_гр.],DY21,Линии[Щит],A21,Линии[_дифзащита по коду, мА],"&gt;0"))))))</f>
        <v/>
      </c>
      <c r="EI21" t="str">
        <f t="shared" si="43"/>
        <v/>
      </c>
      <c r="EJ21" t="str">
        <f t="shared" si="44"/>
        <v/>
      </c>
      <c r="EK21" t="str">
        <f t="shared" si="45"/>
        <v/>
      </c>
      <c r="EL21" t="str">
        <f t="shared" si="46"/>
        <v/>
      </c>
      <c r="EM21">
        <f t="shared" si="47"/>
        <v>0</v>
      </c>
      <c r="EN21" t="str">
        <f>IF(AD21="","",IF(EM21=1,MAX(EE21,Мин_автомат_БП),EE21))</f>
        <v/>
      </c>
      <c r="EO21" t="str">
        <f t="shared" si="48"/>
        <v/>
      </c>
      <c r="EP21" t="str">
        <f t="shared" si="49"/>
        <v/>
      </c>
      <c r="EQ21" t="str">
        <f t="shared" si="50"/>
        <v/>
      </c>
      <c r="ER21" t="str">
        <f>IF(OR(AI21="",AI21="-"),"",IFERROR(VLOOKUP(AI21,Модули_спр,2,FALSE),"R"))</f>
        <v/>
      </c>
      <c r="ES21" t="str">
        <f>IF(ER21="","",ER21&amp;"."&amp;COUNTIFS(A$3:A21,A21,ER$3:ER21,ER21))</f>
        <v/>
      </c>
      <c r="ET21" t="str">
        <f t="shared" si="51"/>
        <v/>
      </c>
      <c r="EU21" t="str">
        <f t="shared" si="52"/>
        <v/>
      </c>
      <c r="EV21" t="str">
        <f t="shared" si="53"/>
        <v/>
      </c>
      <c r="EW21" t="str">
        <f t="shared" si="54"/>
        <v/>
      </c>
      <c r="EX21">
        <f t="shared" si="55"/>
        <v>1</v>
      </c>
      <c r="EY21" t="str">
        <f>IF(AK21="нет","",IF(AK21&lt;&gt;"",AK21,IF(EX21=1,"XT"&amp;COUNTIFS(A$3:A21,A21,EX$3:EX21,1),"")))</f>
        <v/>
      </c>
      <c r="EZ21" t="str">
        <f t="shared" si="56"/>
        <v/>
      </c>
      <c r="FA21" t="str">
        <f t="shared" si="57"/>
        <v/>
      </c>
      <c r="FB21" t="str">
        <f t="shared" si="58"/>
        <v/>
      </c>
      <c r="FC21" t="str">
        <f>IF(OR(EV21="",ET21=""),"",IF(EV21&gt;IFERROR(VLOOKUP(EU21,Модули_спр,3,FALSE),99),"ЛИШНИЙ КАНАЛ",IF(AND(AJ21&lt;&gt;"=",COUNTIFS(Линии[_модуль гр.],ET21,Линии[Канал (итог)],EV21,Линии[Канал],"&lt;&gt;=",Линии[Щит],A21)&gt;1),"ДУБЛЬ КАНАЛА","")))</f>
        <v/>
      </c>
      <c r="FD21" t="str">
        <f t="shared" si="59"/>
        <v/>
      </c>
      <c r="FE21" t="str">
        <f t="shared" si="60"/>
        <v/>
      </c>
      <c r="FF21" t="str">
        <f t="shared" si="61"/>
        <v/>
      </c>
      <c r="FG21" t="str">
        <f t="shared" si="62"/>
        <v/>
      </c>
      <c r="FH21" t="str">
        <f t="shared" si="63"/>
        <v/>
      </c>
      <c r="FI21">
        <f t="shared" si="64"/>
        <v>10</v>
      </c>
      <c r="FJ21" t="str">
        <f t="shared" si="65"/>
        <v/>
      </c>
      <c r="FK21" t="str">
        <f>IF(AND(D21="",EZ21=""),"",_xlfn.TEXTJOIN("; ",TRUE,IF(AND(D21&lt;&gt;"",DD21=""),"нет фазы",""),IF(AND(D21&lt;&gt;"",N(DT21)=0,CN21&lt;&gt;"Нет"),"нет мощности",""),IF(AND(EY21&lt;&gt;"",COUNTIFS(Линии[Щит],A21,Линии[Клемма (итог)],EY21)&gt;1),"дубль клеммы "&amp;EY21,""),IF(AND(FB21&lt;&gt;"",FB21&lt;&gt;"ok"),FB21,""),IF(FC21&lt;&gt;"",FC21,""),IF(AND(ISNUMBER(SEARCH("(5х",DS21)),N(DV21)=1),"5 жил на 1 фазе",""),IF(AND(AT21="R",AD21&lt;&gt;"",OR(N(EH21)=0,N(EH21)&gt;30)),"розетка без дифзащиты до 30 мА",""),IFERROR(IF(AND(ISNUMBER(CD21),CD21&gt;CE21),"потери "&amp;FIXED(CD21,1)&amp;" % &gt; "&amp;CE21&amp;" %",""),""),IFERROR(IF(LEFT(FJ21,4)="мало","Iкз мало — отключение &gt; 0,4 с",""),""),IF(AND(D21&lt;&gt;"",BD21=""),"не на схеме","")))</f>
        <v/>
      </c>
      <c r="FL21" t="str">
        <f>IF(AD21="","",_xlfn.LET(_xlpm.t,IFERROR(_xlfn.XLOOKUP(EP21,Каталог!$U$4:$U$500,Каталог!$G$4:$G$500),""),_xlpm.k,SEARCH("кА",_xlpm.t),IFERROR(--TRIM(RIGHT(SUBSTITUTE(MID(_xlpm.t,MAX(1,_xlpm.k-4),_xlpm.k-MAX(1,_xlpm.k-4))," ",REPT(" ",9)),5)),"")))</f>
        <v/>
      </c>
      <c r="FM21" t="str">
        <f>IF(OR(FL21="",AD21=""),"",IF(_xlfn.XLOOKUP(A21,Щиты[Щит],Щиты[Iкз max на шинах, кА],"")="","",IF(FL21&lt;_xlfn.XLOOKUP(A21,Щиты[Щит],Щиты[Iкз max на шинах, кА]),"Icu "&amp;FL21&amp;" кА &lt; Iкз max","ok")))</f>
        <v/>
      </c>
      <c r="FN21" t="str">
        <f t="shared" si="66"/>
        <v/>
      </c>
      <c r="FO21" t="str">
        <f t="shared" si="67"/>
        <v/>
      </c>
      <c r="FP21" t="str" cm="1">
        <f t="array" ref="FP21">IF(FO21="","",_xlfn.LET(_xlpm.nd,_xlfn.TEXTSPLIT(FO21,"|"),IF(COLUMNS(_xlpm.nd)&gt;1,A21&amp;"¦"&amp;INDEX(_xlpm.nd,1)&amp;"¦"&amp;INDEX(_xlpm.nd,2),"")))</f>
        <v/>
      </c>
      <c r="FQ21" t="str">
        <f t="shared" si="68"/>
        <v/>
      </c>
      <c r="FR21" t="str" cm="1">
        <f t="array" ref="FR21">IF(FO21="","",_xlfn.LET(_xlpm.nd,_xlfn.TEXTSPLIT(FO21,"|"),IF(COLUMNS(_xlpm.nd)&gt;2,A21&amp;"¦"&amp;INDEX(_xlpm.nd,2)&amp;"¦"&amp;INDEX(_xlpm.nd,3),"")))</f>
        <v/>
      </c>
      <c r="FS21" t="str">
        <f t="shared" si="69"/>
        <v/>
      </c>
      <c r="FT21" t="str" cm="1">
        <f t="array" ref="FT21">IF(FO21="","",_xlfn.LET(_xlpm.nd,_xlfn.TEXTSPLIT(FO21,"|"),IF(COLUMNS(_xlpm.nd)&gt;3,A21&amp;"¦"&amp;INDEX(_xlpm.nd,3)&amp;"¦"&amp;INDEX(_xlpm.nd,4),"")))</f>
        <v/>
      </c>
      <c r="FU21" t="str">
        <f t="shared" si="70"/>
        <v/>
      </c>
      <c r="FV21" t="str" cm="1">
        <f t="array" ref="FV21">IF(FO21="","",_xlfn.LET(_xlpm.nd,_xlfn.TEXTSPLIT(FO21,"|"),IF(COLUMNS(_xlpm.nd)&gt;4,A21&amp;"¦"&amp;INDEX(_xlpm.nd,4)&amp;"¦"&amp;INDEX(_xlpm.nd,5),"")))</f>
        <v/>
      </c>
      <c r="FW21" t="str">
        <f t="shared" si="71"/>
        <v/>
      </c>
      <c r="FX21" t="str" cm="1">
        <f t="array" ref="FX21">IF(FO21="","",_xlfn.LET(_xlpm.nd,_xlfn.TEXTSPLIT(FO21,"|"),IF(COLUMNS(_xlpm.nd)&gt;5,A21&amp;"¦"&amp;INDEX(_xlpm.nd,5)&amp;"¦"&amp;INDEX(_xlpm.nd,6),"")))</f>
        <v/>
      </c>
      <c r="FY21" t="str">
        <f t="shared" si="72"/>
        <v/>
      </c>
      <c r="FZ21" t="str" cm="1">
        <f t="array" ref="FZ21">IF(FO21="","",_xlfn.LET(_xlpm.nd,_xlfn.TEXTSPLIT(FO21,"|"),IF(COLUMNS(_xlpm.nd)&gt;6,A21&amp;"¦"&amp;INDEX(_xlpm.nd,6)&amp;"¦"&amp;INDEX(_xlpm.nd,7),"")))</f>
        <v/>
      </c>
      <c r="GA21" t="str">
        <f t="shared" si="73"/>
        <v/>
      </c>
      <c r="GB21" t="str">
        <f t="shared" si="74"/>
        <v/>
      </c>
      <c r="GC21" t="str">
        <f t="shared" si="75"/>
        <v/>
      </c>
      <c r="GD21">
        <f t="shared" si="76"/>
        <v>1</v>
      </c>
      <c r="GE21">
        <f t="shared" si="77"/>
        <v>0</v>
      </c>
      <c r="GF21">
        <f t="shared" si="78"/>
        <v>0</v>
      </c>
      <c r="GG21" t="str">
        <f t="shared" si="79"/>
        <v/>
      </c>
      <c r="GH21" t="str">
        <f t="shared" si="80"/>
        <v/>
      </c>
      <c r="GI21" t="str">
        <f t="shared" si="81"/>
        <v/>
      </c>
      <c r="GJ21" t="str">
        <f t="shared" si="82"/>
        <v/>
      </c>
      <c r="GK21">
        <f>IF(D21="","",IFERROR(VLOOKUP(D21,УГО_спр,2,FALSE),IFERROR(VLOOKUP(AT21,УГО_спр,2,FALSE),IFERROR(VLOOKUP(LEFT(AT21,2),УГО_спр,2,FALSE),""))))</f>
        <v>0</v>
      </c>
      <c r="GL21" t="str">
        <f>IF(D21="","",IF(OR(GK21="",GK21=0),"BOX",IFERROR(IF(VLOOKUP(GK21,УГО_блоки,3,FALSE)&amp;""&lt;&gt;"",VLOOKUP(GK21,УГО_блоки,3,FALSE),VLOOKUP(GK21,УГО_блоки,2,FALSE)),GK21)))</f>
        <v>BOX</v>
      </c>
      <c r="GM21">
        <f t="shared" si="83"/>
        <v>1</v>
      </c>
      <c r="GN21" t="str">
        <f>IF(EP21="","",IF(COUNTIF(EP$3:EP21,EP21)=1,MAX(GN$2:GN20)+1,""))</f>
        <v/>
      </c>
      <c r="GO21" t="str">
        <f>IF(AF21="","",IF(COUNTIF(AF$3:AF21,AF21)+COUNTIF(AG$2:AG20,AF21)+COUNTIF(AH$2:AH20,AF21)=1,MAX(GO$2:GQ20)+1,""))</f>
        <v/>
      </c>
      <c r="GP21" t="str">
        <f>IF(AG21="","",IF(COUNTIF(AF$3:AF21,AG21)+COUNTIF(AG$3:AG21,AG21)+COUNTIF(AH$2:AH20,AG21)=1,MAX(GO$2:GQ20,GO21)+1,""))</f>
        <v/>
      </c>
      <c r="GQ21" t="str">
        <f>IF(AH21="","",IF(COUNTIF(AF$3:AF21,AH21)+COUNTIF(AG$3:AG21,AH21)+COUNTIF(AH$3:AH21,AH21)=1,MAX(GO$2:GQ20,GO21,GP21)+1,""))</f>
        <v/>
      </c>
      <c r="GR21" t="str">
        <f t="shared" si="84"/>
        <v>1х95</v>
      </c>
      <c r="GS21">
        <f>IF(GR21="","",IF(COUNTIF(GR$3:GR21,GR21)=1,MAX(GS$2:GS20)+1,""))</f>
        <v>8</v>
      </c>
      <c r="GT21" t="str">
        <f>IF(ES21="","",COUNTIF(ES$3:ES21,"?*"))</f>
        <v/>
      </c>
      <c r="GU21" t="str">
        <f>IF(OR(ES21="",EU21=""),"",IF(COUNTIFS(ES$3:ES21,"?*",EU$3:EU21,EU21)=1,MAX(GU$2:GU20)+1,""))</f>
        <v/>
      </c>
      <c r="GV21">
        <f t="shared" si="85"/>
        <v>0</v>
      </c>
      <c r="GW21">
        <f>IF(D21="","",COUNTIF(D$3:D21,"?*"))</f>
        <v>19</v>
      </c>
      <c r="GX21">
        <f>IF(EX21&lt;&gt;1,0,_xlfn.LET(_xlpm.k,MAX(IFERROR(--VLOOKUP(D21,УГО_спр,5,FALSE),0),IFERROR(--VLOOKUP(AT21,УГО_спр,5,FALSE),0),IFERROR(--VLOOKUP(LEFT(AT21,2),УГО_спр,5,FALSE),0)),IF(_xlpm.k&gt;0,_xlpm.k,IF(IFERROR(--LEFT(SUBSTITUTE(GR21,"x","х"),FIND("х",SUBSTITUTE(GR21,"x","х"))-1),3)&gt;3,Каталог!$S$9,1))))</f>
        <v>1</v>
      </c>
      <c r="GY21">
        <f t="shared" si="86"/>
        <v>0</v>
      </c>
    </row>
    <row r="22" spans="1:207" x14ac:dyDescent="0.3">
      <c r="A22" t="s">
        <v>788</v>
      </c>
      <c r="B22">
        <v>36</v>
      </c>
      <c r="C22" t="str">
        <f>IF(BD22="","",IF(BE22="вводной узел","узел ","")&amp;"л."&amp;(INT((BD22-1)/Столбцов_на_лист)+1)&amp;" / "&amp;(MOD(BD22-1,Столбцов_на_лист)+1))</f>
        <v>л.3 / 2</v>
      </c>
      <c r="D22" t="s">
        <v>780</v>
      </c>
      <c r="E22" s="133" t="s">
        <v>779</v>
      </c>
      <c r="G22">
        <v>38</v>
      </c>
      <c r="H22">
        <v>1</v>
      </c>
      <c r="I22">
        <v>3</v>
      </c>
      <c r="J22">
        <v>400</v>
      </c>
      <c r="K22" t="s">
        <v>602</v>
      </c>
      <c r="L22">
        <v>0.4</v>
      </c>
      <c r="N22">
        <v>1</v>
      </c>
      <c r="O22" t="s">
        <v>1298</v>
      </c>
      <c r="P22">
        <v>59</v>
      </c>
      <c r="Q22">
        <v>33</v>
      </c>
      <c r="R22">
        <v>21</v>
      </c>
      <c r="U22" t="s">
        <v>11</v>
      </c>
      <c r="V22">
        <v>5</v>
      </c>
      <c r="W22">
        <v>16</v>
      </c>
      <c r="X22">
        <v>63</v>
      </c>
      <c r="Z22" t="s">
        <v>604</v>
      </c>
      <c r="AA22" t="s">
        <v>867</v>
      </c>
      <c r="AR22" t="str">
        <f t="shared" si="0"/>
        <v/>
      </c>
      <c r="AS22" cm="1">
        <f t="array" ref="AS22">ROW()-ROW(Линии[#Headers])</f>
        <v>20</v>
      </c>
      <c r="AT22" t="str">
        <f t="shared" si="1"/>
        <v>РЩ-1</v>
      </c>
      <c r="AU22" t="str">
        <f t="shared" si="2"/>
        <v/>
      </c>
      <c r="AV22" t="str">
        <f t="shared" si="3"/>
        <v/>
      </c>
      <c r="AW22" t="str">
        <f t="shared" si="4"/>
        <v/>
      </c>
      <c r="AX22" t="str">
        <f t="shared" si="5"/>
        <v/>
      </c>
      <c r="AY22" t="str">
        <f>IF(D22="","",IF(ISERROR(SEARCH(".",D22)),IFERROR(VLOOKUP(D22,Потребители_обозначение,2,FALSE)&amp;"",""),IFERROR(IF(VLOOKUP(AT22,Потребители_обозначение,4,FALSE)=1,VLOOKUP(AT22,Потребители_обозначение,2,FALSE)&amp;" "&amp;VLOOKUP(AV22,Этаж_обозначение,2,FALSE)&amp;" Пом. №"&amp;AX22,VLOOKUP(AT22,Потребители_обозначение,2,FALSE)&amp;" Шлейф №"&amp;AV22),IFERROR(VLOOKUP(D22,Потребители_обозначение,2,FALSE),""))))</f>
        <v/>
      </c>
      <c r="AZ22" t="str">
        <f t="shared" si="6"/>
        <v>Щит Хаммам РЩ-1  Подвальный этаж этаж Пом. №00.001Тб</v>
      </c>
      <c r="BA22" t="str">
        <f>IF(F22&lt;&gt;"",F22,IF(AND(D22&lt;&gt;"",D22&lt;&gt;A22,ISNUMBER(_xlfn.XMATCH(D22,Щиты[Щит]))),D22,""))</f>
        <v/>
      </c>
      <c r="BB22">
        <f>IFERROR(_xlfn.XMATCH(A22,Щиты[Щит]),0)</f>
        <v>1</v>
      </c>
      <c r="BC22">
        <f>IFERROR(N(_xlfn.XLOOKUP(A22,Щиты[Щит],Щиты[Мест под вводной узел])),15)</f>
        <v>1</v>
      </c>
      <c r="BD22">
        <f t="shared" si="7"/>
        <v>36</v>
      </c>
      <c r="BE22" t="str">
        <f t="shared" si="8"/>
        <v>линии</v>
      </c>
      <c r="BF22">
        <f>IF(D22="","",IF(BA22&lt;&gt;"",IFERROR(_xlfn.XLOOKUP(BA22,Щиты[Щит],Щиты[Руст, кВт]),0),N(G22)))</f>
        <v>38</v>
      </c>
      <c r="BG22">
        <f>IF(J22&lt;&gt;"",J22,IF(D22="","",IFERROR(IF(VLOOKUP(AT22,Потребители_обозначение,8,FALSE)=0,"",VLOOKUP(AT22,Потребители_обозначение,8,FALSE)),"")))</f>
        <v>400</v>
      </c>
      <c r="BH22">
        <f>IF(I22&lt;&gt;"",I22,IF(D22="","",IFERROR(IF(VLOOKUP(AT22,Потребители_обозначение,9,FALSE)=0,"",VLOOKUP(AT22,Потребители_обозначение,9,FALSE)),"")))</f>
        <v>3</v>
      </c>
      <c r="BI22" t="str">
        <f>IF(U22&lt;&gt;"",U22,IF(D22="","",IFERROR(IF(VLOOKUP(AT22,Потребители_обозначение,6,FALSE)=0,"",VLOOKUP(AT22,Потребители_обозначение,6,FALSE)),"")))</f>
        <v>мс</v>
      </c>
      <c r="BJ22">
        <f>IF(V22&lt;&gt;"",V22,IF(D22="","",IFERROR(IF(VLOOKUP(AT22,Потребители_обозначение,7,FALSE)=0,"",VLOOKUP(AT22,Потребители_обозначение,7,FALSE)),"")))</f>
        <v>5</v>
      </c>
      <c r="BK22">
        <f>IF(W22&lt;&gt;"",W22,IF(D22="","",IFERROR(IF(VLOOKUP(AT22,Потребители_обозначение,10,FALSE)=0,"",VLOOKUP(AT22,Потребители_обозначение,10,FALSE)),"")))</f>
        <v>16</v>
      </c>
      <c r="BL22">
        <f>IFERROR(VLOOKUP(AT22,Потребители_обозначение,5,FALSE),0)</f>
        <v>0</v>
      </c>
      <c r="BM22" cm="1">
        <f t="array" ref="BM22">IF(D22="","",IF(BA22&lt;&gt;"",IFERROR(_xlfn.XLOOKUP(BA22,Щиты[Щит],Щиты[cos φ]),0.95),IF(ISNUMBER(M22),M22,IFERROR(IF(BL22=2,_xlfn.IFS(BH22=3,VLOOKUP(BF22,Справочная_двигатели,8,FALSE),BH22=1,VLOOKUP(BF22,Справочная_двигатели,10,TRUE)),IF(AND(Методика="нормы 2026",CN22="Сил"),0.8,0.95)),0.95))))</f>
        <v>0.95</v>
      </c>
      <c r="BN22" cm="1">
        <f t="array" ref="BN22">IF(D22="","",IF(BA22&lt;&gt;"",IFERROR(_xlfn.XLOOKUP(BA22,Щиты[Щит],Щиты[Iр, А]),""),IFERROR(_xlfn.IFS(BH22=1,BF22/((Uн_лин/SQRT(3))*BM22),BH22=3,BF22/(SQRT(3)*Uн_лин*BM22)),"")))</f>
        <v>57.735026918962582</v>
      </c>
      <c r="BO22">
        <f>IF(D22="","",IF(N(X22)=0,IFERROR(VLOOKUP(BN22,Автомат_номиналы,2,TRUE),""),X22))</f>
        <v>63</v>
      </c>
      <c r="BP22">
        <f t="shared" si="9"/>
        <v>0.92</v>
      </c>
      <c r="BQ22">
        <f>IF(ISNUMBER(Y22),Y22,К_прокл)</f>
        <v>1</v>
      </c>
      <c r="BR22">
        <f t="shared" si="10"/>
        <v>3</v>
      </c>
      <c r="BS22" cm="1">
        <f t="array" ref="BS22">IF(D22="","",IF(N(BK22)&lt;&gt;0,BK22,IFERROR(_xlfn.LET(_xlpm.need,BO22/(BP22*BQ22),_xlpm.t,CHOOSE(BR22,Iдоп_1ж,Iдоп_2ж,Iдоп_3ж),_xlpm.k,_xlfn.XMATCH(_xlpm.need,_xlpm.t,1),IF(ISNA(_xlpm.k),"Не исп",INDEX(Iдоп_S,_xlpm.k))),"Не исп")))</f>
        <v>16</v>
      </c>
      <c r="BT22">
        <f>IFERROR(VLOOKUP(BS22,Кабель_сопротивление,3,FALSE),"")</f>
        <v>2.2499999999999999E-2</v>
      </c>
      <c r="BU22">
        <f>IFERROR(VLOOKUP(BS22,Кабель_сопротивление,2,FALSE),"")</f>
        <v>6.7500000000000004E-2</v>
      </c>
      <c r="BV22">
        <f t="shared" si="11"/>
        <v>59</v>
      </c>
      <c r="BW22">
        <f>IF(D22="","",IFERROR(IF(VLOOKUP(AT22,Потребители_обозначение,4,FALSE)=1,VLOOKUP(AT22,Потребители_обозначение,3,FALSE)*(H22*2-1)+BV22+VLOOKUP(AV22,Этаж_обозначение,3,FALSE)+VLOOKUP(AV22,Этаж_обозначение,4,FALSE),VLOOKUP(AT22,Потребители_обозначение,3,FALSE)*(H22*2-1)+BV22),BV22))</f>
        <v>59</v>
      </c>
      <c r="BX22">
        <f t="shared" si="12"/>
        <v>21</v>
      </c>
      <c r="BY22" t="str">
        <f t="shared" si="13"/>
        <v/>
      </c>
      <c r="BZ22">
        <f t="shared" si="14"/>
        <v>1</v>
      </c>
      <c r="CA22">
        <f t="shared" si="15"/>
        <v>0.31</v>
      </c>
      <c r="CB22">
        <f t="shared" si="16"/>
        <v>4.6219710848070203</v>
      </c>
      <c r="CC22">
        <f>IFERROR(ROUNDUP(CB22/((Uн_лин/SQRT(3))*1000)*100,2),"")</f>
        <v>2.0099999999999998</v>
      </c>
      <c r="CD22">
        <f>IF(ISNUMBER(CC22),CC22+IFERROR(_xlfn.XLOOKUP(A22,Щиты[Щит],Щиты[ΔU до шин, %]),0),"")</f>
        <v>2.0099999999999998</v>
      </c>
      <c r="CE22">
        <f>IF(D22="","",IF(IFERROR(VLOOKUP(AT22,УГО_спр,2,FALSE),"")="Светильник",3,4)+IF(Методика="нормы 2026",MIN(0.5,MAX(0,N(BW22)-100)*0.005),0))</f>
        <v>4</v>
      </c>
      <c r="CF22" t="str">
        <f>IFERROR(VLOOKUP(BI22,Кабель_обозначение,2,FALSE),"")</f>
        <v>ВВГнг(А)-LS</v>
      </c>
      <c r="CG22" t="str">
        <f>IFERROR(IF(VLOOKUP(BI22,Кабель_обозначение,3,FALSE)=1,CF22&amp;" ("&amp;BJ22&amp;"х"&amp;BS22&amp;")",CF22),"")</f>
        <v>ВВГнг(А)-LS (5х16)</v>
      </c>
      <c r="CH22" t="str">
        <f t="shared" si="17"/>
        <v>ВВГнг(А)-LS (5х16)
L=59-2,01%</v>
      </c>
      <c r="CI22">
        <f>IFERROR(2*ρкз_Cu*BW22/BS22,"")</f>
        <v>0.19396250000000001</v>
      </c>
      <c r="CJ22">
        <f t="shared" si="18"/>
        <v>6.4531250000000012E-2</v>
      </c>
      <c r="CK22" t="str">
        <f>IFERROR(IF(OR(D22="",NOT(ISNUMBER(BS22)),N(BW22)=0),"",_xlfn.XLOOKUP(A22,Щиты[Щит],Щиты[Zпетли на шинах, Ом])+CI22),"")</f>
        <v/>
      </c>
      <c r="CL22" t="str">
        <f>IF(ISNUMBER(CK22),c_min*(Uн_лин*1000/SQRT(3))/CK22,"")</f>
        <v/>
      </c>
      <c r="CM22" t="str">
        <f>IFERROR(IF(OR(D22="",NOT(ISNUMBER(BS22))),"",1.05*(Uн_лин*1000/SQRT(3))/(_xlfn.XLOOKUP(A22,Щиты[Щит],Щиты[Zmax на шинах, Ом])+CJ22)/1000),"")</f>
        <v/>
      </c>
      <c r="CN22" t="str">
        <f>IF(D22="","",IF(BA22&lt;&gt;"","Щит",IF(K22&lt;&gt;"",K22,IF(ISNUMBER(L22),"Сил",IF(IFERROR(_xlfn.XLOOKUP(AT22,Коды_код,Коды_группа)&amp;"","")="","Быт",_xlfn.XLOOKUP(AT22,Коды_код,Коды_группа)&amp;"")))))</f>
        <v>Сил</v>
      </c>
      <c r="CO22">
        <f>IF(CN22="Щит","щит",IF(CN22="","",IF(CN22="Быт",IFERROR(_xlfn.XLOOKUP(A22,Щиты[Щит],Щиты[Кс быт]),1),IF(CN22="Сил",IF(ISNUMBER(L22),L22,IF(Методика="нормы 2026",IFERROR(_xlfn.XLOOKUP(A22,Щиты[Щит],Щиты[Кс силовых (табл. 7.5)]),1),1)),IF(OR(CN22="Пост",CN22="Отоп"),1,IF(CN22="ВНГ",0.7,0))))))</f>
        <v>0.4</v>
      </c>
      <c r="CP22">
        <f t="shared" si="19"/>
        <v>1</v>
      </c>
      <c r="CQ22">
        <f t="shared" si="20"/>
        <v>38</v>
      </c>
      <c r="CR22">
        <f t="shared" si="21"/>
        <v>0</v>
      </c>
      <c r="CS22">
        <f t="shared" si="22"/>
        <v>15.200000000000001</v>
      </c>
      <c r="CT22">
        <f t="shared" si="23"/>
        <v>0</v>
      </c>
      <c r="CU22">
        <f t="shared" si="24"/>
        <v>0</v>
      </c>
      <c r="CV22">
        <f t="shared" si="25"/>
        <v>0</v>
      </c>
      <c r="CW22">
        <f t="shared" si="26"/>
        <v>38</v>
      </c>
      <c r="CX22">
        <f t="shared" si="27"/>
        <v>36.1</v>
      </c>
      <c r="CY22">
        <f t="shared" si="28"/>
        <v>2</v>
      </c>
      <c r="CZ22" t="str">
        <f t="shared" si="29"/>
        <v>L1,L2,L3</v>
      </c>
      <c r="DA22" cm="1">
        <f t="array" ref="DA22">IFERROR(IF(BL22=2,_xlfn.IFS(BH22=3,VLOOKUP(BF22,Справочная_двигатели,3,FALSE),BH22=1,VLOOKUP(BF22,Справочная_двигатели,5,TRUE)),0),0)</f>
        <v>0</v>
      </c>
      <c r="DB22">
        <f>IFERROR(IF(BL22=3,VLOOKUP(BF22,Справочная_ЛЭД,2,TRUE),0),0)</f>
        <v>0</v>
      </c>
      <c r="DC22">
        <f t="shared" si="30"/>
        <v>0</v>
      </c>
      <c r="DD22" t="str">
        <f t="shared" si="31"/>
        <v>L1,L2,L3</v>
      </c>
      <c r="DE22" t="str" cm="1">
        <f t="array" ref="DE22">IF(D22="","",IFERROR(INDEX({"I особая","I","II","III"},MATCH(TRIM(AA22&amp;""),{"I особая","I","II","III"},0)),"III"))</f>
        <v>III</v>
      </c>
      <c r="DF22" t="str">
        <f>IF(D22="","",IF(TRIM(AB22&amp;"")&lt;&gt;"",IF(LOWER(TRIM(AB22&amp;""))="да","да","нет"),IF(IFERROR(_xlfn.XLOOKUP(AT22,Коды_код,Коды_пожарная),"")="да","да","нет")))</f>
        <v>нет</v>
      </c>
      <c r="DG22" t="str">
        <f t="shared" si="32"/>
        <v/>
      </c>
      <c r="DH22" t="str">
        <f t="shared" si="33"/>
        <v>основная</v>
      </c>
      <c r="DI22">
        <f t="shared" si="34"/>
        <v>1</v>
      </c>
      <c r="DJ22" t="str" cm="1">
        <f t="array" ref="DJ22">IF(D22="","",_xlfn.LET(_xlpm.t,IFERROR(_xlfn.XLOOKUP(1,(Шины[Шина]=DH22)*(((Шины[Щит]=A22)+(Шины[Щит]=""))&gt;0),Шины[Тип]),"")&amp;"",IF(_xlpm.t&lt;&gt;"",_xlpm.t,IF(ISNUMBER(SEARCH("ИБП",DH22)),"ИБП",IF(ISNUMBER(SEARCH("ДГУ",DH22)),"ДГУ","Ввод "&amp;DI22)))))</f>
        <v>Ввод 1</v>
      </c>
      <c r="DK22" t="str">
        <f t="shared" si="35"/>
        <v>Ввод 1</v>
      </c>
      <c r="DL22" t="str">
        <f>IF(D22="","",IF(OR(DJ22="ИБП",DJ22="ДГУ"),"I особая",IF(DJ22="Одиночная","III",_xlfn.XLOOKUP(A22,Щиты[Щит],Щиты[Категория шины «Ввод»],"III"))))</f>
        <v>I</v>
      </c>
      <c r="DM22">
        <f>IF(D22="",0,IFERROR(MATCH(DE22,{"III","II","I","I особая"},0),1))</f>
        <v>1</v>
      </c>
      <c r="DN22">
        <f t="shared" si="36"/>
        <v>1</v>
      </c>
      <c r="DO22" t="str">
        <f>IF(D22="","",IF(DM22&gt;IFERROR(MATCH(DL22,{"III","II","I","I особая"},0),1),"НЕ ОБЕСПЕЧЕНА","ОК"))</f>
        <v>ОК</v>
      </c>
      <c r="DP22" t="str">
        <f>IF(A22="","",_xlfn.XLOOKUP(A22,Щиты[Щит],Щиты[Путь],""))</f>
        <v>|ГРЩ-ЖД|</v>
      </c>
      <c r="DQ22" t="str">
        <f>IF(D22="","",IF(Z22&lt;&gt;"",Z22,IF(IFERROR(_xlfn.XLOOKUP(AT22,Коды_код,Коды_вид)&amp;"","")="","Прочее",_xlfn.XLOOKUP(AT22,Коды_код,Коды_вид)&amp;"")))</f>
        <v>Бассейн, SPA, хаммам</v>
      </c>
      <c r="DR22">
        <f>IF(BD22="","",INT((BD22-1)/Столбцов_на_лист)+1)</f>
        <v>3</v>
      </c>
      <c r="DS22" t="str">
        <f t="shared" si="37"/>
        <v>ВВГнг(А)-LS (5х16) L=59-2,01%</v>
      </c>
      <c r="DT22">
        <f t="shared" si="38"/>
        <v>38</v>
      </c>
      <c r="DU22">
        <f t="shared" si="39"/>
        <v>57.739999999999995</v>
      </c>
      <c r="DV22">
        <f t="shared" si="40"/>
        <v>3</v>
      </c>
      <c r="DW22">
        <f>IF(AT22="",0,_xlfn.LET(_xlpm.v,IFERROR(VLOOKUP(D22,УГО_спр,3,FALSE),IFERROR(VLOOKUP(AT22,УГО_спр,3,FALSE),IFERROR(VLOOKUP(LEFT(AT22,2),УГО_спр,3,FALSE),""))),IF(_xlpm.v="да",30,IF(ISNUMBER(_xlpm.v),_xlpm.v,0))))</f>
        <v>0</v>
      </c>
      <c r="DX22">
        <f t="shared" si="41"/>
        <v>0</v>
      </c>
      <c r="DY22" t="str">
        <f>IF(BD22="","",IF(AD22&lt;&gt;"",COUNTIFS(A$3:A22,A22,AD$3:AD22,"?*"),IF(OR(OR(AS22=1,A22&lt;&gt;A21),AL22="вручную"),"",IF(AS22=1,"",DZ21))))</f>
        <v/>
      </c>
      <c r="DZ22" t="str">
        <f t="shared" si="42"/>
        <v/>
      </c>
      <c r="EA22">
        <f>IF(D22="",0,MAX(IFERROR(--X22,0),IFERROR(--VLOOKUP(D22,УГО_спр,4,FALSE),IFERROR(--VLOOKUP(AT22,УГО_спр,4,FALSE),IFERROR(--VLOOKUP(LEFT(AT22,2),УГО_спр,4,FALSE),0)))))</f>
        <v>63</v>
      </c>
      <c r="EB22">
        <f>IF(D22="","",IFERROR(LOOKUP(INDEX(CHOOSE(BR22,Iдоп_1ж,Iдоп_2ж,Iдоп_3ж),MATCH(BS22,Iдоп_S,0))*BP22*BQ22,{6,10,16,20,25,32,40,50,63,80,100,125,160,200,250,315,400,500,630}),""))</f>
        <v>63</v>
      </c>
      <c r="EC22" t="str">
        <f>IF(AD22="","",SUMIFS(Линии[_Ток схемы],Линии[_гр.],DY22,Линии[Щит],A22,Линии[_в кабель выше],0))</f>
        <v/>
      </c>
      <c r="ED22" t="str">
        <f>IF(AD22="","",IFERROR(VLOOKUP(EC22,Автомат_номиналы,2,TRUE),""))</f>
        <v/>
      </c>
      <c r="EE22" t="str">
        <f>IF(AD22="","",MAX(N(ED22),_xlfn.MAXIFS(Линии[_мин. по типу],Линии[_гр.],DY22,Линии[Щит],A22)))</f>
        <v/>
      </c>
      <c r="EF22" t="str">
        <f>IF(AD22="","",_xlfn.MINIFS(Линии[_макс. автомат по кабелю],Линии[_гр.],DY22,Линии[Щит],A22))</f>
        <v/>
      </c>
      <c r="EG22" t="str">
        <f>IF(AD22="","",MAX(1,_xlfn.MAXIFS(Линии[_фаз],Линии[_гр.],DY22,Линии[Щит],A22)))</f>
        <v/>
      </c>
      <c r="EH22" t="str">
        <f>IF(AD22="","",IF(AND(AD22&lt;&gt;"авто",AD22&lt;&gt;"+"),IF(ISNUMBER(SEARCH("мА",AD22)),IFERROR(--TRIM(RIGHT(SUBSTITUTE(LEFT(AD22,SEARCH("мА",AD22)-1)," ",REPT(" ",9)),6)),30),0),IF(AE22="нет",0,IF(ISNUMBER(AE22),AE22,IF(AE22="да",30,_xlfn.MINIFS(Линии[_дифзащита по коду, мА],Линии[_гр.],DY22,Линии[Щит],A22,Линии[_дифзащита по коду, мА],"&gt;0"))))))</f>
        <v/>
      </c>
      <c r="EI22" t="str">
        <f t="shared" si="43"/>
        <v/>
      </c>
      <c r="EJ22" t="str">
        <f t="shared" si="44"/>
        <v/>
      </c>
      <c r="EK22" t="str">
        <f t="shared" si="45"/>
        <v/>
      </c>
      <c r="EL22" t="str">
        <f t="shared" si="46"/>
        <v/>
      </c>
      <c r="EM22">
        <f t="shared" si="47"/>
        <v>0</v>
      </c>
      <c r="EN22" t="str">
        <f>IF(AD22="","",IF(EM22=1,MAX(EE22,Мин_автомат_БП),EE22))</f>
        <v/>
      </c>
      <c r="EO22" t="str">
        <f t="shared" si="48"/>
        <v/>
      </c>
      <c r="EP22" t="str">
        <f t="shared" si="49"/>
        <v/>
      </c>
      <c r="EQ22" t="str">
        <f t="shared" si="50"/>
        <v/>
      </c>
      <c r="ER22" t="str">
        <f>IF(OR(AI22="",AI22="-"),"",IFERROR(VLOOKUP(AI22,Модули_спр,2,FALSE),"R"))</f>
        <v/>
      </c>
      <c r="ES22" t="str">
        <f>IF(ER22="","",ER22&amp;"."&amp;COUNTIFS(A$3:A22,A22,ER$3:ER22,ER22))</f>
        <v/>
      </c>
      <c r="ET22" t="str">
        <f t="shared" si="51"/>
        <v/>
      </c>
      <c r="EU22" t="str">
        <f t="shared" si="52"/>
        <v/>
      </c>
      <c r="EV22" t="str">
        <f t="shared" si="53"/>
        <v/>
      </c>
      <c r="EW22" t="str">
        <f t="shared" si="54"/>
        <v/>
      </c>
      <c r="EX22">
        <f t="shared" si="55"/>
        <v>1</v>
      </c>
      <c r="EY22" t="str">
        <f>IF(AK22="нет","",IF(AK22&lt;&gt;"",AK22,IF(EX22=1,"XT"&amp;COUNTIFS(A$3:A22,A22,EX$3:EX22,1),"")))</f>
        <v>XT17</v>
      </c>
      <c r="EZ22" t="str">
        <f t="shared" si="56"/>
        <v/>
      </c>
      <c r="FA22" t="str">
        <f t="shared" si="57"/>
        <v/>
      </c>
      <c r="FB22" t="str">
        <f t="shared" si="58"/>
        <v/>
      </c>
      <c r="FC22" t="str">
        <f>IF(OR(EV22="",ET22=""),"",IF(EV22&gt;IFERROR(VLOOKUP(EU22,Модули_спр,3,FALSE),99),"ЛИШНИЙ КАНАЛ",IF(AND(AJ22&lt;&gt;"=",COUNTIFS(Линии[_модуль гр.],ET22,Линии[Канал (итог)],EV22,Линии[Канал],"&lt;&gt;=",Линии[Щит],A22)&gt;1),"ДУБЛЬ КАНАЛА","")))</f>
        <v/>
      </c>
      <c r="FD22" t="str">
        <f t="shared" si="59"/>
        <v/>
      </c>
      <c r="FE22" t="str">
        <f t="shared" si="60"/>
        <v/>
      </c>
      <c r="FF22" t="str">
        <f t="shared" si="61"/>
        <v/>
      </c>
      <c r="FG22" t="str">
        <f t="shared" si="62"/>
        <v/>
      </c>
      <c r="FH22" t="str">
        <f t="shared" si="63"/>
        <v/>
      </c>
      <c r="FI22">
        <f t="shared" si="64"/>
        <v>10</v>
      </c>
      <c r="FJ22" t="str">
        <f t="shared" si="65"/>
        <v/>
      </c>
      <c r="FK22" t="str">
        <f>IF(AND(D22="",EZ22=""),"",_xlfn.TEXTJOIN("; ",TRUE,IF(AND(D22&lt;&gt;"",DD22=""),"нет фазы",""),IF(AND(D22&lt;&gt;"",N(DT22)=0,CN22&lt;&gt;"Нет"),"нет мощности",""),IF(AND(EY22&lt;&gt;"",COUNTIFS(Линии[Щит],A22,Линии[Клемма (итог)],EY22)&gt;1),"дубль клеммы "&amp;EY22,""),IF(AND(FB22&lt;&gt;"",FB22&lt;&gt;"ok"),FB22,""),IF(FC22&lt;&gt;"",FC22,""),IF(AND(ISNUMBER(SEARCH("(5х",DS22)),N(DV22)=1),"5 жил на 1 фазе",""),IF(AND(AT22="R",AD22&lt;&gt;"",OR(N(EH22)=0,N(EH22)&gt;30)),"розетка без дифзащиты до 30 мА",""),IFERROR(IF(AND(ISNUMBER(CD22),CD22&gt;CE22),"потери "&amp;FIXED(CD22,1)&amp;" % &gt; "&amp;CE22&amp;" %",""),""),IFERROR(IF(LEFT(FJ22,4)="мало","Iкз мало — отключение &gt; 0,4 с",""),""),IF(AND(D22&lt;&gt;"",BD22=""),"не на схеме","")))</f>
        <v/>
      </c>
      <c r="FL22" t="str">
        <f>IF(AD22="","",_xlfn.LET(_xlpm.t,IFERROR(_xlfn.XLOOKUP(EP22,Каталог!$U$4:$U$500,Каталог!$G$4:$G$500),""),_xlpm.k,SEARCH("кА",_xlpm.t),IFERROR(--TRIM(RIGHT(SUBSTITUTE(MID(_xlpm.t,MAX(1,_xlpm.k-4),_xlpm.k-MAX(1,_xlpm.k-4))," ",REPT(" ",9)),5)),"")))</f>
        <v/>
      </c>
      <c r="FM22" t="str">
        <f>IF(OR(FL22="",AD22=""),"",IF(_xlfn.XLOOKUP(A22,Щиты[Щит],Щиты[Iкз max на шинах, кА],"")="","",IF(FL22&lt;_xlfn.XLOOKUP(A22,Щиты[Щит],Щиты[Iкз max на шинах, кА]),"Icu "&amp;FL22&amp;" кА &lt; Iкз max","ok")))</f>
        <v/>
      </c>
      <c r="FN22" t="str">
        <f t="shared" si="66"/>
        <v>XT17</v>
      </c>
      <c r="FO22" t="str">
        <f t="shared" si="67"/>
        <v>XT17|кабель ВВГнг(А)-LS (5х16) → Щит Хаммам РЩ-1  Подвальный этаж этаж Пом. №00.001Тб</v>
      </c>
      <c r="FP22" t="str" cm="1">
        <f t="array" ref="FP22">IF(FO22="","",_xlfn.LET(_xlpm.nd,_xlfn.TEXTSPLIT(FO22,"|"),IF(COLUMNS(_xlpm.nd)&gt;1,A22&amp;"¦"&amp;INDEX(_xlpm.nd,1)&amp;"¦"&amp;INDEX(_xlpm.nd,2),"")))</f>
        <v>ГРЩ-ЖД¦XT17¦кабель ВВГнг(А)-LS (5х16) → Щит Хаммам РЩ-1  Подвальный этаж этаж Пом. №00.001Тб</v>
      </c>
      <c r="FQ22" t="str">
        <f t="shared" si="68"/>
        <v>РЩ-1¦Щит Хаммам РЩ-1  Подвальный этаж этаж Пом. №00.001Тб</v>
      </c>
      <c r="FR22" t="str" cm="1">
        <f t="array" ref="FR22">IF(FO22="","",_xlfn.LET(_xlpm.nd,_xlfn.TEXTSPLIT(FO22,"|"),IF(COLUMNS(_xlpm.nd)&gt;2,A22&amp;"¦"&amp;INDEX(_xlpm.nd,2)&amp;"¦"&amp;INDEX(_xlpm.nd,3),"")))</f>
        <v/>
      </c>
      <c r="FS22" t="str">
        <f t="shared" si="69"/>
        <v/>
      </c>
      <c r="FT22" t="str" cm="1">
        <f t="array" ref="FT22">IF(FO22="","",_xlfn.LET(_xlpm.nd,_xlfn.TEXTSPLIT(FO22,"|"),IF(COLUMNS(_xlpm.nd)&gt;3,A22&amp;"¦"&amp;INDEX(_xlpm.nd,3)&amp;"¦"&amp;INDEX(_xlpm.nd,4),"")))</f>
        <v/>
      </c>
      <c r="FU22" t="str">
        <f t="shared" si="70"/>
        <v/>
      </c>
      <c r="FV22" t="str" cm="1">
        <f t="array" ref="FV22">IF(FO22="","",_xlfn.LET(_xlpm.nd,_xlfn.TEXTSPLIT(FO22,"|"),IF(COLUMNS(_xlpm.nd)&gt;4,A22&amp;"¦"&amp;INDEX(_xlpm.nd,4)&amp;"¦"&amp;INDEX(_xlpm.nd,5),"")))</f>
        <v/>
      </c>
      <c r="FW22" t="str">
        <f t="shared" si="71"/>
        <v/>
      </c>
      <c r="FX22" t="str" cm="1">
        <f t="array" ref="FX22">IF(FO22="","",_xlfn.LET(_xlpm.nd,_xlfn.TEXTSPLIT(FO22,"|"),IF(COLUMNS(_xlpm.nd)&gt;5,A22&amp;"¦"&amp;INDEX(_xlpm.nd,5)&amp;"¦"&amp;INDEX(_xlpm.nd,6),"")))</f>
        <v/>
      </c>
      <c r="FY22" t="str">
        <f t="shared" si="72"/>
        <v/>
      </c>
      <c r="FZ22" t="str" cm="1">
        <f t="array" ref="FZ22">IF(FO22="","",_xlfn.LET(_xlpm.nd,_xlfn.TEXTSPLIT(FO22,"|"),IF(COLUMNS(_xlpm.nd)&gt;6,A22&amp;"¦"&amp;INDEX(_xlpm.nd,6)&amp;"¦"&amp;INDEX(_xlpm.nd,7),"")))</f>
        <v/>
      </c>
      <c r="GA22" t="str">
        <f t="shared" si="73"/>
        <v/>
      </c>
      <c r="GB22" t="str">
        <f t="shared" si="74"/>
        <v/>
      </c>
      <c r="GC22" t="str">
        <f t="shared" si="75"/>
        <v>XT17</v>
      </c>
      <c r="GD22">
        <f t="shared" si="76"/>
        <v>1</v>
      </c>
      <c r="GE22">
        <f t="shared" si="77"/>
        <v>0</v>
      </c>
      <c r="GF22">
        <f t="shared" si="78"/>
        <v>0</v>
      </c>
      <c r="GG22" t="str">
        <f t="shared" si="79"/>
        <v/>
      </c>
      <c r="GH22" t="str">
        <f t="shared" si="80"/>
        <v/>
      </c>
      <c r="GI22" t="str">
        <f t="shared" si="81"/>
        <v/>
      </c>
      <c r="GJ22" t="str">
        <f t="shared" si="82"/>
        <v/>
      </c>
      <c r="GK22" t="str">
        <f>IF(D22="","",IFERROR(VLOOKUP(D22,УГО_спр,2,FALSE),IFERROR(VLOOKUP(AT22,УГО_спр,2,FALSE),IFERROR(VLOOKUP(LEFT(AT22,2),УГО_спр,2,FALSE),""))))</f>
        <v/>
      </c>
      <c r="GL22" t="str">
        <f>IF(D22="","",IF(OR(GK22="",GK22=0),"BOX",IFERROR(IF(VLOOKUP(GK22,УГО_блоки,3,FALSE)&amp;""&lt;&gt;"",VLOOKUP(GK22,УГО_блоки,3,FALSE),VLOOKUP(GK22,УГО_блоки,2,FALSE)),GK22)))</f>
        <v>BOX</v>
      </c>
      <c r="GM22">
        <f t="shared" si="83"/>
        <v>1</v>
      </c>
      <c r="GN22" t="str">
        <f>IF(EP22="","",IF(COUNTIF(EP$3:EP22,EP22)=1,MAX(GN$2:GN21)+1,""))</f>
        <v/>
      </c>
      <c r="GO22" t="str">
        <f>IF(AF22="","",IF(COUNTIF(AF$3:AF22,AF22)+COUNTIF(AG$2:AG21,AF22)+COUNTIF(AH$2:AH21,AF22)=1,MAX(GO$2:GQ21)+1,""))</f>
        <v/>
      </c>
      <c r="GP22" t="str">
        <f>IF(AG22="","",IF(COUNTIF(AF$3:AF22,AG22)+COUNTIF(AG$3:AG22,AG22)+COUNTIF(AH$2:AH21,AG22)=1,MAX(GO$2:GQ21,GO22)+1,""))</f>
        <v/>
      </c>
      <c r="GQ22" t="str">
        <f>IF(AH22="","",IF(COUNTIF(AF$3:AF22,AH22)+COUNTIF(AG$3:AG22,AH22)+COUNTIF(AH$3:AH22,AH22)=1,MAX(GO$2:GQ21,GO22,GP22)+1,""))</f>
        <v/>
      </c>
      <c r="GR22" t="str">
        <f t="shared" si="84"/>
        <v>5х16</v>
      </c>
      <c r="GS22" t="str">
        <f>IF(GR22="","",IF(COUNTIF(GR$3:GR22,GR22)=1,MAX(GS$2:GS21)+1,""))</f>
        <v/>
      </c>
      <c r="GT22" t="str">
        <f>IF(ES22="","",COUNTIF(ES$3:ES22,"?*"))</f>
        <v/>
      </c>
      <c r="GU22" t="str">
        <f>IF(OR(ES22="",EU22=""),"",IF(COUNTIFS(ES$3:ES22,"?*",EU$3:EU22,EU22)=1,MAX(GU$2:GU21)+1,""))</f>
        <v/>
      </c>
      <c r="GV22">
        <f t="shared" si="85"/>
        <v>0</v>
      </c>
      <c r="GW22">
        <f>IF(D22="","",COUNTIF(D$3:D22,"?*"))</f>
        <v>20</v>
      </c>
      <c r="GX22">
        <f>IF(EX22&lt;&gt;1,0,_xlfn.LET(_xlpm.k,MAX(IFERROR(--VLOOKUP(D22,УГО_спр,5,FALSE),0),IFERROR(--VLOOKUP(AT22,УГО_спр,5,FALSE),0),IFERROR(--VLOOKUP(LEFT(AT22,2),УГО_спр,5,FALSE),0)),IF(_xlpm.k&gt;0,_xlpm.k,IF(IFERROR(--LEFT(SUBSTITUTE(GR22,"x","х"),FIND("х",SUBSTITUTE(GR22,"x","х"))-1),3)&gt;3,Каталог!$S$9,1))))</f>
        <v>1</v>
      </c>
      <c r="GY22">
        <f t="shared" si="86"/>
        <v>2</v>
      </c>
    </row>
    <row r="23" spans="1:207" x14ac:dyDescent="0.3">
      <c r="A23" t="s">
        <v>788</v>
      </c>
      <c r="B23">
        <v>37</v>
      </c>
      <c r="C23" t="str">
        <f>IF(BD23="","",IF(BE23="вводной узел","узел ","")&amp;"л."&amp;(INT((BD23-1)/Столбцов_на_лист)+1)&amp;" / "&amp;(MOD(BD23-1,Столбцов_на_лист)+1))</f>
        <v>л.3 / 3</v>
      </c>
      <c r="D23" t="s">
        <v>781</v>
      </c>
      <c r="E23" s="133" t="s">
        <v>1299</v>
      </c>
      <c r="G23">
        <v>5</v>
      </c>
      <c r="H23">
        <v>1</v>
      </c>
      <c r="I23">
        <v>1</v>
      </c>
      <c r="J23">
        <v>230</v>
      </c>
      <c r="K23" t="s">
        <v>602</v>
      </c>
      <c r="L23">
        <v>0.4</v>
      </c>
      <c r="N23">
        <v>2</v>
      </c>
      <c r="O23">
        <v>1</v>
      </c>
      <c r="P23">
        <v>60</v>
      </c>
      <c r="Q23">
        <v>43</v>
      </c>
      <c r="R23">
        <v>9</v>
      </c>
      <c r="U23" t="s">
        <v>11</v>
      </c>
      <c r="V23">
        <v>3</v>
      </c>
      <c r="W23">
        <v>6</v>
      </c>
      <c r="X23">
        <v>25</v>
      </c>
      <c r="Z23" t="s">
        <v>604</v>
      </c>
      <c r="AA23" t="s">
        <v>867</v>
      </c>
      <c r="AR23" t="str">
        <f t="shared" si="0"/>
        <v>потери 4,5 % &gt; 4 %</v>
      </c>
      <c r="AS23" cm="1">
        <f t="array" ref="AS23">ROW()-ROW(Линии[#Headers])</f>
        <v>21</v>
      </c>
      <c r="AT23" t="str">
        <f t="shared" si="1"/>
        <v>Э</v>
      </c>
      <c r="AU23" t="str">
        <f t="shared" si="2"/>
        <v>4</v>
      </c>
      <c r="AV23" t="str">
        <f t="shared" si="3"/>
        <v>4</v>
      </c>
      <c r="AW23" t="str">
        <f t="shared" si="4"/>
        <v/>
      </c>
      <c r="AX23" t="str">
        <f t="shared" si="5"/>
        <v/>
      </c>
      <c r="AY23" t="str">
        <f>IF(D23="","",IF(ISERROR(SEARCH(".",D23)),IFERROR(VLOOKUP(D23,Потребители_обозначение,2,FALSE)&amp;"",""),IFERROR(IF(VLOOKUP(AT23,Потребители_обозначение,4,FALSE)=1,VLOOKUP(AT23,Потребители_обозначение,2,FALSE)&amp;" "&amp;VLOOKUP(AV23,Этаж_обозначение,2,FALSE)&amp;" Пом. №"&amp;AX23,VLOOKUP(AT23,Потребители_обозначение,2,FALSE)&amp;" Шлейф №"&amp;AV23),IFERROR(VLOOKUP(D23,Потребители_обозначение,2,FALSE),""))))</f>
        <v>Управляющий электрощит бассейна Кровля Пом. №</v>
      </c>
      <c r="AZ23" t="str">
        <f t="shared" si="6"/>
        <v>Флоатинг. Цокольный этаж этаж Пом. №023A</v>
      </c>
      <c r="BA23" t="str">
        <f>IF(F23&lt;&gt;"",F23,IF(AND(D23&lt;&gt;"",D23&lt;&gt;A23,ISNUMBER(_xlfn.XMATCH(D23,Щиты[Щит]))),D23,""))</f>
        <v/>
      </c>
      <c r="BB23">
        <f>IFERROR(_xlfn.XMATCH(A23,Щиты[Щит]),0)</f>
        <v>1</v>
      </c>
      <c r="BC23">
        <f>IFERROR(N(_xlfn.XLOOKUP(A23,Щиты[Щит],Щиты[Мест под вводной узел])),15)</f>
        <v>1</v>
      </c>
      <c r="BD23">
        <f t="shared" si="7"/>
        <v>37</v>
      </c>
      <c r="BE23" t="str">
        <f t="shared" si="8"/>
        <v>линии</v>
      </c>
      <c r="BF23">
        <f>IF(D23="","",IF(BA23&lt;&gt;"",IFERROR(_xlfn.XLOOKUP(BA23,Щиты[Щит],Щиты[Руст, кВт]),0),N(G23)))</f>
        <v>5</v>
      </c>
      <c r="BG23">
        <f>IF(J23&lt;&gt;"",J23,IF(D23="","",IFERROR(IF(VLOOKUP(AT23,Потребители_обозначение,8,FALSE)=0,"",VLOOKUP(AT23,Потребители_обозначение,8,FALSE)),"")))</f>
        <v>230</v>
      </c>
      <c r="BH23">
        <f>IF(I23&lt;&gt;"",I23,IF(D23="","",IFERROR(IF(VLOOKUP(AT23,Потребители_обозначение,9,FALSE)=0,"",VLOOKUP(AT23,Потребители_обозначение,9,FALSE)),"")))</f>
        <v>1</v>
      </c>
      <c r="BI23" t="str">
        <f>IF(U23&lt;&gt;"",U23,IF(D23="","",IFERROR(IF(VLOOKUP(AT23,Потребители_обозначение,6,FALSE)=0,"",VLOOKUP(AT23,Потребители_обозначение,6,FALSE)),"")))</f>
        <v>мс</v>
      </c>
      <c r="BJ23">
        <f>IF(V23&lt;&gt;"",V23,IF(D23="","",IFERROR(IF(VLOOKUP(AT23,Потребители_обозначение,7,FALSE)=0,"",VLOOKUP(AT23,Потребители_обозначение,7,FALSE)),"")))</f>
        <v>3</v>
      </c>
      <c r="BK23">
        <f>IF(W23&lt;&gt;"",W23,IF(D23="","",IFERROR(IF(VLOOKUP(AT23,Потребители_обозначение,10,FALSE)=0,"",VLOOKUP(AT23,Потребители_обозначение,10,FALSE)),"")))</f>
        <v>6</v>
      </c>
      <c r="BL23">
        <f>IFERROR(VLOOKUP(AT23,Потребители_обозначение,5,FALSE),0)</f>
        <v>1</v>
      </c>
      <c r="BM23" cm="1">
        <f t="array" ref="BM23">IF(D23="","",IF(BA23&lt;&gt;"",IFERROR(_xlfn.XLOOKUP(BA23,Щиты[Щит],Щиты[cos φ]),0.95),IF(ISNUMBER(M23),M23,IFERROR(IF(BL23=2,_xlfn.IFS(BH23=3,VLOOKUP(BF23,Справочная_двигатели,8,FALSE),BH23=1,VLOOKUP(BF23,Справочная_двигатели,10,TRUE)),IF(AND(Методика="нормы 2026",CN23="Сил"),0.8,0.95)),0.95))))</f>
        <v>0.95</v>
      </c>
      <c r="BN23" cm="1">
        <f t="array" ref="BN23">IF(D23="","",IF(BA23&lt;&gt;"",IFERROR(_xlfn.XLOOKUP(BA23,Щиты[Щит],Щиты[Iр, А]),""),IFERROR(_xlfn.IFS(BH23=1,BF23/((Uн_лин/SQRT(3))*BM23),BH23=3,BF23/(SQRT(3)*Uн_лин*BM23)),"")))</f>
        <v>22.790142204853648</v>
      </c>
      <c r="BO23">
        <f>IF(D23="","",IF(N(X23)=0,IFERROR(VLOOKUP(BN23,Автомат_номиналы,2,TRUE),""),X23))</f>
        <v>25</v>
      </c>
      <c r="BP23">
        <f t="shared" si="9"/>
        <v>1</v>
      </c>
      <c r="BQ23">
        <f>IF(ISNUMBER(Y23),Y23,К_прокл)</f>
        <v>1</v>
      </c>
      <c r="BR23">
        <f t="shared" si="10"/>
        <v>2</v>
      </c>
      <c r="BS23" cm="1">
        <f t="array" ref="BS23">IF(D23="","",IF(N(BK23)&lt;&gt;0,BK23,IFERROR(_xlfn.LET(_xlpm.need,BO23/(BP23*BQ23),_xlpm.t,CHOOSE(BR23,Iдоп_1ж,Iдоп_2ж,Iдоп_3ж),_xlpm.k,_xlfn.XMATCH(_xlpm.need,_xlpm.t,1),IF(ISNA(_xlpm.k),"Не исп",INDEX(Iдоп_S,_xlpm.k))),"Не исп")))</f>
        <v>6</v>
      </c>
      <c r="BT23">
        <f>IFERROR(VLOOKUP(BS23,Кабель_сопротивление,3,FALSE),"")</f>
        <v>2.2499999999999999E-2</v>
      </c>
      <c r="BU23">
        <f>IFERROR(VLOOKUP(BS23,Кабель_сопротивление,2,FALSE),"")</f>
        <v>0.09</v>
      </c>
      <c r="BV23">
        <f t="shared" si="11"/>
        <v>60</v>
      </c>
      <c r="BW23">
        <f>IF(D23="","",IFERROR(IF(VLOOKUP(AT23,Потребители_обозначение,4,FALSE)=1,VLOOKUP(AT23,Потребители_обозначение,3,FALSE)*(H23*2-1)+BV23+VLOOKUP(AV23,Этаж_обозначение,3,FALSE)+VLOOKUP(AV23,Этаж_обозначение,4,FALSE),VLOOKUP(AT23,Потребители_обозначение,3,FALSE)*(H23*2-1)+BV23),BV23))</f>
        <v>63</v>
      </c>
      <c r="BX23">
        <f t="shared" si="12"/>
        <v>9</v>
      </c>
      <c r="BY23" t="str">
        <f t="shared" si="13"/>
        <v/>
      </c>
      <c r="BZ23">
        <f t="shared" si="14"/>
        <v>2</v>
      </c>
      <c r="CA23">
        <f t="shared" si="15"/>
        <v>0.31</v>
      </c>
      <c r="CB23">
        <f t="shared" si="16"/>
        <v>10.310041548110624</v>
      </c>
      <c r="CC23">
        <f>IFERROR(ROUNDUP(CB23/((Uн_лин/SQRT(3))*1000)*100,2),"")</f>
        <v>4.47</v>
      </c>
      <c r="CD23">
        <f>IF(ISNUMBER(CC23),CC23+IFERROR(_xlfn.XLOOKUP(A23,Щиты[Щит],Щиты[ΔU до шин, %]),0),"")</f>
        <v>4.47</v>
      </c>
      <c r="CE23">
        <f>IF(D23="","",IF(IFERROR(VLOOKUP(AT23,УГО_спр,2,FALSE),"")="Светильник",3,4)+IF(Методика="нормы 2026",MIN(0.5,MAX(0,N(BW23)-100)*0.005),0))</f>
        <v>4</v>
      </c>
      <c r="CF23" t="str">
        <f>IFERROR(VLOOKUP(BI23,Кабель_обозначение,2,FALSE),"")</f>
        <v>ВВГнг(А)-LS</v>
      </c>
      <c r="CG23" t="str">
        <f>IFERROR(IF(VLOOKUP(BI23,Кабель_обозначение,3,FALSE)=1,CF23&amp;" ("&amp;BJ23&amp;"х"&amp;BS23&amp;")",CF23),"")</f>
        <v>ВВГнг(А)-LS (3х6)</v>
      </c>
      <c r="CH23" t="str">
        <f t="shared" si="17"/>
        <v>ВВГнг(А)-LS (3х6)
L=63-4,47%</v>
      </c>
      <c r="CI23">
        <f>IFERROR(2*ρкз_Cu*BW23/BS23,"")</f>
        <v>0.55230000000000001</v>
      </c>
      <c r="CJ23">
        <f t="shared" si="18"/>
        <v>0.18375</v>
      </c>
      <c r="CK23" t="str">
        <f>IFERROR(IF(OR(D23="",NOT(ISNUMBER(BS23)),N(BW23)=0),"",_xlfn.XLOOKUP(A23,Щиты[Щит],Щиты[Zпетли на шинах, Ом])+CI23),"")</f>
        <v/>
      </c>
      <c r="CL23" t="str">
        <f>IF(ISNUMBER(CK23),c_min*(Uн_лин*1000/SQRT(3))/CK23,"")</f>
        <v/>
      </c>
      <c r="CM23" t="str">
        <f>IFERROR(IF(OR(D23="",NOT(ISNUMBER(BS23))),"",1.05*(Uн_лин*1000/SQRT(3))/(_xlfn.XLOOKUP(A23,Щиты[Щит],Щиты[Zmax на шинах, Ом])+CJ23)/1000),"")</f>
        <v/>
      </c>
      <c r="CN23" t="str">
        <f>IF(D23="","",IF(BA23&lt;&gt;"","Щит",IF(K23&lt;&gt;"",K23,IF(ISNUMBER(L23),"Сил",IF(IFERROR(_xlfn.XLOOKUP(AT23,Коды_код,Коды_группа)&amp;"","")="","Быт",_xlfn.XLOOKUP(AT23,Коды_код,Коды_группа)&amp;"")))))</f>
        <v>Сил</v>
      </c>
      <c r="CO23">
        <f>IF(CN23="Щит","щит",IF(CN23="","",IF(CN23="Быт",IFERROR(_xlfn.XLOOKUP(A23,Щиты[Щит],Щиты[Кс быт]),1),IF(CN23="Сил",IF(ISNUMBER(L23),L23,IF(Методика="нормы 2026",IFERROR(_xlfn.XLOOKUP(A23,Щиты[Щит],Щиты[Кс силовых (табл. 7.5)]),1),1)),IF(OR(CN23="Пост",CN23="Отоп"),1,IF(CN23="ВНГ",0.7,0))))))</f>
        <v>0.4</v>
      </c>
      <c r="CP23">
        <f t="shared" si="19"/>
        <v>2</v>
      </c>
      <c r="CQ23">
        <f t="shared" si="20"/>
        <v>5</v>
      </c>
      <c r="CR23">
        <f t="shared" si="21"/>
        <v>0</v>
      </c>
      <c r="CS23">
        <f t="shared" si="22"/>
        <v>2</v>
      </c>
      <c r="CT23">
        <f t="shared" si="23"/>
        <v>0</v>
      </c>
      <c r="CU23">
        <f t="shared" si="24"/>
        <v>0</v>
      </c>
      <c r="CV23">
        <f t="shared" si="25"/>
        <v>0</v>
      </c>
      <c r="CW23">
        <f t="shared" si="26"/>
        <v>5</v>
      </c>
      <c r="CX23">
        <f t="shared" si="27"/>
        <v>4.75</v>
      </c>
      <c r="CY23">
        <f t="shared" si="28"/>
        <v>3</v>
      </c>
      <c r="CZ23" t="str">
        <f t="shared" si="29"/>
        <v>L3</v>
      </c>
      <c r="DA23" cm="1">
        <f t="array" ref="DA23">IFERROR(IF(BL23=2,_xlfn.IFS(BH23=3,VLOOKUP(BF23,Справочная_двигатели,3,FALSE),BH23=1,VLOOKUP(BF23,Справочная_двигатели,5,TRUE)),0),0)</f>
        <v>0</v>
      </c>
      <c r="DB23">
        <f>IFERROR(IF(BL23=3,VLOOKUP(BF23,Справочная_ЛЭД,2,TRUE),0),0)</f>
        <v>0</v>
      </c>
      <c r="DC23">
        <f t="shared" si="30"/>
        <v>0</v>
      </c>
      <c r="DD23" t="str">
        <f t="shared" si="31"/>
        <v>L1</v>
      </c>
      <c r="DE23" t="str" cm="1">
        <f t="array" ref="DE23">IF(D23="","",IFERROR(INDEX({"I особая","I","II","III"},MATCH(TRIM(AA23&amp;""),{"I особая","I","II","III"},0)),"III"))</f>
        <v>III</v>
      </c>
      <c r="DF23" t="str">
        <f>IF(D23="","",IF(TRIM(AB23&amp;"")&lt;&gt;"",IF(LOWER(TRIM(AB23&amp;""))="да","да","нет"),IF(IFERROR(_xlfn.XLOOKUP(AT23,Коды_код,Коды_пожарная),"")="да","да","нет")))</f>
        <v>нет</v>
      </c>
      <c r="DG23" t="str">
        <f t="shared" si="32"/>
        <v/>
      </c>
      <c r="DH23" t="str">
        <f t="shared" si="33"/>
        <v>основная</v>
      </c>
      <c r="DI23">
        <f t="shared" si="34"/>
        <v>2</v>
      </c>
      <c r="DJ23" t="str" cm="1">
        <f t="array" ref="DJ23">IF(D23="","",_xlfn.LET(_xlpm.t,IFERROR(_xlfn.XLOOKUP(1,(Шины[Шина]=DH23)*(((Шины[Щит]=A23)+(Шины[Щит]=""))&gt;0),Шины[Тип]),"")&amp;"",IF(_xlpm.t&lt;&gt;"",_xlpm.t,IF(ISNUMBER(SEARCH("ИБП",DH23)),"ИБП",IF(ISNUMBER(SEARCH("ДГУ",DH23)),"ДГУ","Ввод "&amp;DI23)))))</f>
        <v>Ввод 2</v>
      </c>
      <c r="DK23" t="str">
        <f t="shared" si="35"/>
        <v>Ввод 2</v>
      </c>
      <c r="DL23" t="str">
        <f>IF(D23="","",IF(OR(DJ23="ИБП",DJ23="ДГУ"),"I особая",IF(DJ23="Одиночная","III",_xlfn.XLOOKUP(A23,Щиты[Щит],Щиты[Категория шины «Ввод»],"III"))))</f>
        <v>I</v>
      </c>
      <c r="DM23">
        <f>IF(D23="",0,IFERROR(MATCH(DE23,{"III","II","I","I особая"},0),1))</f>
        <v>1</v>
      </c>
      <c r="DN23">
        <f t="shared" si="36"/>
        <v>1</v>
      </c>
      <c r="DO23" t="str">
        <f>IF(D23="","",IF(DM23&gt;IFERROR(MATCH(DL23,{"III","II","I","I особая"},0),1),"НЕ ОБЕСПЕЧЕНА","ОК"))</f>
        <v>ОК</v>
      </c>
      <c r="DP23" t="str">
        <f>IF(A23="","",_xlfn.XLOOKUP(A23,Щиты[Щит],Щиты[Путь],""))</f>
        <v>|ГРЩ-ЖД|</v>
      </c>
      <c r="DQ23" t="str">
        <f>IF(D23="","",IF(Z23&lt;&gt;"",Z23,IF(IFERROR(_xlfn.XLOOKUP(AT23,Коды_код,Коды_вид)&amp;"","")="","Прочее",_xlfn.XLOOKUP(AT23,Коды_код,Коды_вид)&amp;"")))</f>
        <v>Бассейн, SPA, хаммам</v>
      </c>
      <c r="DR23">
        <f>IF(BD23="","",INT((BD23-1)/Столбцов_на_лист)+1)</f>
        <v>3</v>
      </c>
      <c r="DS23" t="str">
        <f t="shared" si="37"/>
        <v>ВВГнг(А)-LS (3х6) L=63-4,47%</v>
      </c>
      <c r="DT23">
        <f t="shared" si="38"/>
        <v>5</v>
      </c>
      <c r="DU23">
        <f t="shared" si="39"/>
        <v>22.8</v>
      </c>
      <c r="DV23">
        <f t="shared" si="40"/>
        <v>1</v>
      </c>
      <c r="DW23">
        <f>IF(AT23="",0,_xlfn.LET(_xlpm.v,IFERROR(VLOOKUP(D23,УГО_спр,3,FALSE),IFERROR(VLOOKUP(AT23,УГО_спр,3,FALSE),IFERROR(VLOOKUP(LEFT(AT23,2),УГО_спр,3,FALSE),""))),IF(_xlpm.v="да",30,IF(ISNUMBER(_xlpm.v),_xlpm.v,0))))</f>
        <v>0</v>
      </c>
      <c r="DX23">
        <f t="shared" si="41"/>
        <v>0</v>
      </c>
      <c r="DY23" t="str">
        <f>IF(BD23="","",IF(AD23&lt;&gt;"",COUNTIFS(A$3:A23,A23,AD$3:AD23,"?*"),IF(OR(OR(AS23=1,A23&lt;&gt;A22),AL23="вручную"),"",IF(AS23=1,"",DZ22))))</f>
        <v/>
      </c>
      <c r="DZ23" t="str">
        <f t="shared" si="42"/>
        <v/>
      </c>
      <c r="EA23">
        <f>IF(D23="",0,MAX(IFERROR(--X23,0),IFERROR(--VLOOKUP(D23,УГО_спр,4,FALSE),IFERROR(--VLOOKUP(AT23,УГО_спр,4,FALSE),IFERROR(--VLOOKUP(LEFT(AT23,2),УГО_спр,4,FALSE),0)))))</f>
        <v>25</v>
      </c>
      <c r="EB23">
        <f>IF(D23="","",IFERROR(LOOKUP(INDEX(CHOOSE(BR23,Iдоп_1ж,Iдоп_2ж,Iдоп_3ж),MATCH(BS23,Iдоп_S,0))*BP23*BQ23,{6,10,16,20,25,32,40,50,63,80,100,125,160,200,250,315,400,500,630}),""))</f>
        <v>50</v>
      </c>
      <c r="EC23" t="str">
        <f>IF(AD23="","",SUMIFS(Линии[_Ток схемы],Линии[_гр.],DY23,Линии[Щит],A23,Линии[_в кабель выше],0))</f>
        <v/>
      </c>
      <c r="ED23" t="str">
        <f>IF(AD23="","",IFERROR(VLOOKUP(EC23,Автомат_номиналы,2,TRUE),""))</f>
        <v/>
      </c>
      <c r="EE23" t="str">
        <f>IF(AD23="","",MAX(N(ED23),_xlfn.MAXIFS(Линии[_мин. по типу],Линии[_гр.],DY23,Линии[Щит],A23)))</f>
        <v/>
      </c>
      <c r="EF23" t="str">
        <f>IF(AD23="","",_xlfn.MINIFS(Линии[_макс. автомат по кабелю],Линии[_гр.],DY23,Линии[Щит],A23))</f>
        <v/>
      </c>
      <c r="EG23" t="str">
        <f>IF(AD23="","",MAX(1,_xlfn.MAXIFS(Линии[_фаз],Линии[_гр.],DY23,Линии[Щит],A23)))</f>
        <v/>
      </c>
      <c r="EH23" t="str">
        <f>IF(AD23="","",IF(AND(AD23&lt;&gt;"авто",AD23&lt;&gt;"+"),IF(ISNUMBER(SEARCH("мА",AD23)),IFERROR(--TRIM(RIGHT(SUBSTITUTE(LEFT(AD23,SEARCH("мА",AD23)-1)," ",REPT(" ",9)),6)),30),0),IF(AE23="нет",0,IF(ISNUMBER(AE23),AE23,IF(AE23="да",30,_xlfn.MINIFS(Линии[_дифзащита по коду, мА],Линии[_гр.],DY23,Линии[Щит],A23,Линии[_дифзащита по коду, мА],"&gt;0"))))))</f>
        <v/>
      </c>
      <c r="EI23" t="str">
        <f t="shared" si="43"/>
        <v/>
      </c>
      <c r="EJ23" t="str">
        <f t="shared" si="44"/>
        <v/>
      </c>
      <c r="EK23" t="str">
        <f t="shared" si="45"/>
        <v/>
      </c>
      <c r="EL23" t="str">
        <f t="shared" si="46"/>
        <v/>
      </c>
      <c r="EM23">
        <f t="shared" si="47"/>
        <v>0</v>
      </c>
      <c r="EN23" t="str">
        <f>IF(AD23="","",IF(EM23=1,MAX(EE23,Мин_автомат_БП),EE23))</f>
        <v/>
      </c>
      <c r="EO23" t="str">
        <f t="shared" si="48"/>
        <v/>
      </c>
      <c r="EP23" t="str">
        <f t="shared" si="49"/>
        <v/>
      </c>
      <c r="EQ23" t="str">
        <f t="shared" si="50"/>
        <v/>
      </c>
      <c r="ER23" t="str">
        <f>IF(OR(AI23="",AI23="-"),"",IFERROR(VLOOKUP(AI23,Модули_спр,2,FALSE),"R"))</f>
        <v/>
      </c>
      <c r="ES23" t="str">
        <f>IF(ER23="","",ER23&amp;"."&amp;COUNTIFS(A$3:A23,A23,ER$3:ER23,ER23))</f>
        <v/>
      </c>
      <c r="ET23" t="str">
        <f t="shared" si="51"/>
        <v/>
      </c>
      <c r="EU23" t="str">
        <f t="shared" si="52"/>
        <v/>
      </c>
      <c r="EV23" t="str">
        <f t="shared" si="53"/>
        <v/>
      </c>
      <c r="EW23" t="str">
        <f t="shared" si="54"/>
        <v/>
      </c>
      <c r="EX23">
        <f t="shared" si="55"/>
        <v>1</v>
      </c>
      <c r="EY23" t="str">
        <f>IF(AK23="нет","",IF(AK23&lt;&gt;"",AK23,IF(EX23=1,"XT"&amp;COUNTIFS(A$3:A23,A23,EX$3:EX23,1),"")))</f>
        <v>XT18</v>
      </c>
      <c r="EZ23" t="str">
        <f t="shared" si="56"/>
        <v/>
      </c>
      <c r="FA23" t="str">
        <f t="shared" si="57"/>
        <v/>
      </c>
      <c r="FB23" t="str">
        <f t="shared" si="58"/>
        <v/>
      </c>
      <c r="FC23" t="str">
        <f>IF(OR(EV23="",ET23=""),"",IF(EV23&gt;IFERROR(VLOOKUP(EU23,Модули_спр,3,FALSE),99),"ЛИШНИЙ КАНАЛ",IF(AND(AJ23&lt;&gt;"=",COUNTIFS(Линии[_модуль гр.],ET23,Линии[Канал (итог)],EV23,Линии[Канал],"&lt;&gt;=",Линии[Щит],A23)&gt;1),"ДУБЛЬ КАНАЛА","")))</f>
        <v/>
      </c>
      <c r="FD23" t="str">
        <f t="shared" si="59"/>
        <v/>
      </c>
      <c r="FE23" t="str">
        <f t="shared" si="60"/>
        <v/>
      </c>
      <c r="FF23" t="str">
        <f t="shared" si="61"/>
        <v/>
      </c>
      <c r="FG23" t="str">
        <f t="shared" si="62"/>
        <v/>
      </c>
      <c r="FH23" t="str">
        <f t="shared" si="63"/>
        <v/>
      </c>
      <c r="FI23">
        <f t="shared" si="64"/>
        <v>10</v>
      </c>
      <c r="FJ23" t="str">
        <f t="shared" si="65"/>
        <v/>
      </c>
      <c r="FK23" t="str">
        <f>IF(AND(D23="",EZ23=""),"",_xlfn.TEXTJOIN("; ",TRUE,IF(AND(D23&lt;&gt;"",DD23=""),"нет фазы",""),IF(AND(D23&lt;&gt;"",N(DT23)=0,CN23&lt;&gt;"Нет"),"нет мощности",""),IF(AND(EY23&lt;&gt;"",COUNTIFS(Линии[Щит],A23,Линии[Клемма (итог)],EY23)&gt;1),"дубль клеммы "&amp;EY23,""),IF(AND(FB23&lt;&gt;"",FB23&lt;&gt;"ok"),FB23,""),IF(FC23&lt;&gt;"",FC23,""),IF(AND(ISNUMBER(SEARCH("(5х",DS23)),N(DV23)=1),"5 жил на 1 фазе",""),IF(AND(AT23="R",AD23&lt;&gt;"",OR(N(EH23)=0,N(EH23)&gt;30)),"розетка без дифзащиты до 30 мА",""),IFERROR(IF(AND(ISNUMBER(CD23),CD23&gt;CE23),"потери "&amp;FIXED(CD23,1)&amp;" % &gt; "&amp;CE23&amp;" %",""),""),IFERROR(IF(LEFT(FJ23,4)="мало","Iкз мало — отключение &gt; 0,4 с",""),""),IF(AND(D23&lt;&gt;"",BD23=""),"не на схеме","")))</f>
        <v>потери 4,5 % &gt; 4 %</v>
      </c>
      <c r="FL23" t="str">
        <f>IF(AD23="","",_xlfn.LET(_xlpm.t,IFERROR(_xlfn.XLOOKUP(EP23,Каталог!$U$4:$U$500,Каталог!$G$4:$G$500),""),_xlpm.k,SEARCH("кА",_xlpm.t),IFERROR(--TRIM(RIGHT(SUBSTITUTE(MID(_xlpm.t,MAX(1,_xlpm.k-4),_xlpm.k-MAX(1,_xlpm.k-4))," ",REPT(" ",9)),5)),"")))</f>
        <v/>
      </c>
      <c r="FM23" t="str">
        <f>IF(OR(FL23="",AD23=""),"",IF(_xlfn.XLOOKUP(A23,Щиты[Щит],Щиты[Iкз max на шинах, кА],"")="","",IF(FL23&lt;_xlfn.XLOOKUP(A23,Щиты[Щит],Щиты[Iкз max на шинах, кА]),"Icu "&amp;FL23&amp;" кА &lt; Iкз max","ok")))</f>
        <v/>
      </c>
      <c r="FN23" t="str">
        <f t="shared" si="66"/>
        <v>XT18</v>
      </c>
      <c r="FO23" t="str">
        <f t="shared" si="67"/>
        <v>XT18|кабель ВВГнг(А)-LS (3х6) → Флоатинг. Цокольный этаж этаж Пом. №023A</v>
      </c>
      <c r="FP23" t="str" cm="1">
        <f t="array" ref="FP23">IF(FO23="","",_xlfn.LET(_xlpm.nd,_xlfn.TEXTSPLIT(FO23,"|"),IF(COLUMNS(_xlpm.nd)&gt;1,A23&amp;"¦"&amp;INDEX(_xlpm.nd,1)&amp;"¦"&amp;INDEX(_xlpm.nd,2),"")))</f>
        <v>ГРЩ-ЖД¦XT18¦кабель ВВГнг(А)-LS (3х6) → Флоатинг. Цокольный этаж этаж Пом. №023A</v>
      </c>
      <c r="FQ23" t="str">
        <f t="shared" si="68"/>
        <v>Э.4¦Флоатинг. Цокольный этаж этаж Пом. №023A</v>
      </c>
      <c r="FR23" t="str" cm="1">
        <f t="array" ref="FR23">IF(FO23="","",_xlfn.LET(_xlpm.nd,_xlfn.TEXTSPLIT(FO23,"|"),IF(COLUMNS(_xlpm.nd)&gt;2,A23&amp;"¦"&amp;INDEX(_xlpm.nd,2)&amp;"¦"&amp;INDEX(_xlpm.nd,3),"")))</f>
        <v/>
      </c>
      <c r="FS23" t="str">
        <f t="shared" si="69"/>
        <v/>
      </c>
      <c r="FT23" t="str" cm="1">
        <f t="array" ref="FT23">IF(FO23="","",_xlfn.LET(_xlpm.nd,_xlfn.TEXTSPLIT(FO23,"|"),IF(COLUMNS(_xlpm.nd)&gt;3,A23&amp;"¦"&amp;INDEX(_xlpm.nd,3)&amp;"¦"&amp;INDEX(_xlpm.nd,4),"")))</f>
        <v/>
      </c>
      <c r="FU23" t="str">
        <f t="shared" si="70"/>
        <v/>
      </c>
      <c r="FV23" t="str" cm="1">
        <f t="array" ref="FV23">IF(FO23="","",_xlfn.LET(_xlpm.nd,_xlfn.TEXTSPLIT(FO23,"|"),IF(COLUMNS(_xlpm.nd)&gt;4,A23&amp;"¦"&amp;INDEX(_xlpm.nd,4)&amp;"¦"&amp;INDEX(_xlpm.nd,5),"")))</f>
        <v/>
      </c>
      <c r="FW23" t="str">
        <f t="shared" si="71"/>
        <v/>
      </c>
      <c r="FX23" t="str" cm="1">
        <f t="array" ref="FX23">IF(FO23="","",_xlfn.LET(_xlpm.nd,_xlfn.TEXTSPLIT(FO23,"|"),IF(COLUMNS(_xlpm.nd)&gt;5,A23&amp;"¦"&amp;INDEX(_xlpm.nd,5)&amp;"¦"&amp;INDEX(_xlpm.nd,6),"")))</f>
        <v/>
      </c>
      <c r="FY23" t="str">
        <f t="shared" si="72"/>
        <v/>
      </c>
      <c r="FZ23" t="str" cm="1">
        <f t="array" ref="FZ23">IF(FO23="","",_xlfn.LET(_xlpm.nd,_xlfn.TEXTSPLIT(FO23,"|"),IF(COLUMNS(_xlpm.nd)&gt;6,A23&amp;"¦"&amp;INDEX(_xlpm.nd,6)&amp;"¦"&amp;INDEX(_xlpm.nd,7),"")))</f>
        <v/>
      </c>
      <c r="GA23" t="str">
        <f t="shared" si="73"/>
        <v/>
      </c>
      <c r="GB23" t="str">
        <f t="shared" si="74"/>
        <v/>
      </c>
      <c r="GC23" t="str">
        <f t="shared" si="75"/>
        <v>XT18</v>
      </c>
      <c r="GD23">
        <f t="shared" si="76"/>
        <v>1</v>
      </c>
      <c r="GE23">
        <f t="shared" si="77"/>
        <v>0</v>
      </c>
      <c r="GF23">
        <f t="shared" si="78"/>
        <v>0</v>
      </c>
      <c r="GG23" t="str">
        <f t="shared" si="79"/>
        <v/>
      </c>
      <c r="GH23" t="str">
        <f t="shared" si="80"/>
        <v/>
      </c>
      <c r="GI23" t="str">
        <f t="shared" si="81"/>
        <v/>
      </c>
      <c r="GJ23" t="str">
        <f t="shared" si="82"/>
        <v/>
      </c>
      <c r="GK23">
        <f>IF(D23="","",IFERROR(VLOOKUP(D23,УГО_спр,2,FALSE),IFERROR(VLOOKUP(AT23,УГО_спр,2,FALSE),IFERROR(VLOOKUP(LEFT(AT23,2),УГО_спр,2,FALSE),""))))</f>
        <v>0</v>
      </c>
      <c r="GL23" t="str">
        <f>IF(D23="","",IF(OR(GK23="",GK23=0),"BOX",IFERROR(IF(VLOOKUP(GK23,УГО_блоки,3,FALSE)&amp;""&lt;&gt;"",VLOOKUP(GK23,УГО_блоки,3,FALSE),VLOOKUP(GK23,УГО_блоки,2,FALSE)),GK23)))</f>
        <v>BOX</v>
      </c>
      <c r="GM23">
        <f t="shared" si="83"/>
        <v>1</v>
      </c>
      <c r="GN23" t="str">
        <f>IF(EP23="","",IF(COUNTIF(EP$3:EP23,EP23)=1,MAX(GN$2:GN22)+1,""))</f>
        <v/>
      </c>
      <c r="GO23" t="str">
        <f>IF(AF23="","",IF(COUNTIF(AF$3:AF23,AF23)+COUNTIF(AG$2:AG22,AF23)+COUNTIF(AH$2:AH22,AF23)=1,MAX(GO$2:GQ22)+1,""))</f>
        <v/>
      </c>
      <c r="GP23" t="str">
        <f>IF(AG23="","",IF(COUNTIF(AF$3:AF23,AG23)+COUNTIF(AG$3:AG23,AG23)+COUNTIF(AH$2:AH22,AG23)=1,MAX(GO$2:GQ22,GO23)+1,""))</f>
        <v/>
      </c>
      <c r="GQ23" t="str">
        <f>IF(AH23="","",IF(COUNTIF(AF$3:AF23,AH23)+COUNTIF(AG$3:AG23,AH23)+COUNTIF(AH$3:AH23,AH23)=1,MAX(GO$2:GQ22,GO23,GP23)+1,""))</f>
        <v/>
      </c>
      <c r="GR23" t="str">
        <f t="shared" si="84"/>
        <v>3х6</v>
      </c>
      <c r="GS23">
        <f>IF(GR23="","",IF(COUNTIF(GR$3:GR23,GR23)=1,MAX(GS$2:GS22)+1,""))</f>
        <v>9</v>
      </c>
      <c r="GT23" t="str">
        <f>IF(ES23="","",COUNTIF(ES$3:ES23,"?*"))</f>
        <v/>
      </c>
      <c r="GU23" t="str">
        <f>IF(OR(ES23="",EU23=""),"",IF(COUNTIFS(ES$3:ES23,"?*",EU$3:EU23,EU23)=1,MAX(GU$2:GU22)+1,""))</f>
        <v/>
      </c>
      <c r="GV23">
        <f t="shared" si="85"/>
        <v>1</v>
      </c>
      <c r="GW23">
        <f>IF(D23="","",COUNTIF(D$3:D23,"?*"))</f>
        <v>21</v>
      </c>
      <c r="GX23">
        <f>IF(EX23&lt;&gt;1,0,_xlfn.LET(_xlpm.k,MAX(IFERROR(--VLOOKUP(D23,УГО_спр,5,FALSE),0),IFERROR(--VLOOKUP(AT23,УГО_спр,5,FALSE),0),IFERROR(--VLOOKUP(LEFT(AT23,2),УГО_спр,5,FALSE),0)),IF(_xlpm.k&gt;0,_xlpm.k,IF(IFERROR(--LEFT(SUBSTITUTE(GR23,"x","х"),FIND("х",SUBSTITUTE(GR23,"x","х"))-1),3)&gt;3,Каталог!$S$9,1))))</f>
        <v>1</v>
      </c>
      <c r="GY23">
        <f t="shared" si="86"/>
        <v>0</v>
      </c>
    </row>
    <row r="24" spans="1:207" x14ac:dyDescent="0.3">
      <c r="A24" t="s">
        <v>788</v>
      </c>
      <c r="B24">
        <v>38</v>
      </c>
      <c r="C24" t="str">
        <f>IF(BD24="","",IF(BE24="вводной узел","узел ","")&amp;"л."&amp;(INT((BD24-1)/Столбцов_на_лист)+1)&amp;" / "&amp;(MOD(BD24-1,Столбцов_на_лист)+1))</f>
        <v>л.3 / 4</v>
      </c>
      <c r="D24" t="s">
        <v>782</v>
      </c>
      <c r="E24" s="133" t="s">
        <v>1300</v>
      </c>
      <c r="G24">
        <v>0.3</v>
      </c>
      <c r="H24">
        <v>1</v>
      </c>
      <c r="I24">
        <v>1</v>
      </c>
      <c r="J24">
        <v>230</v>
      </c>
      <c r="K24" t="s">
        <v>577</v>
      </c>
      <c r="N24">
        <v>2</v>
      </c>
      <c r="O24">
        <v>2</v>
      </c>
      <c r="P24">
        <v>44</v>
      </c>
      <c r="Q24">
        <v>21</v>
      </c>
      <c r="R24">
        <v>15</v>
      </c>
      <c r="U24" t="s">
        <v>11</v>
      </c>
      <c r="V24">
        <v>3</v>
      </c>
      <c r="W24">
        <v>2.5</v>
      </c>
      <c r="X24">
        <v>6</v>
      </c>
      <c r="Z24" t="s">
        <v>581</v>
      </c>
      <c r="AA24" t="s">
        <v>866</v>
      </c>
      <c r="AK24" t="s">
        <v>488</v>
      </c>
      <c r="AR24" t="str">
        <f t="shared" si="0"/>
        <v/>
      </c>
      <c r="AS24" cm="1">
        <f t="array" ref="AS24">ROW()-ROW(Линии[#Headers])</f>
        <v>22</v>
      </c>
      <c r="AT24" t="str">
        <f t="shared" si="1"/>
        <v>SEC1-21</v>
      </c>
      <c r="AU24" t="str">
        <f t="shared" si="2"/>
        <v/>
      </c>
      <c r="AV24" t="str">
        <f t="shared" si="3"/>
        <v/>
      </c>
      <c r="AW24" t="str">
        <f t="shared" si="4"/>
        <v/>
      </c>
      <c r="AX24" t="str">
        <f t="shared" si="5"/>
        <v/>
      </c>
      <c r="AY24" t="str">
        <f>IF(D24="","",IF(ISERROR(SEARCH(".",D24)),IFERROR(VLOOKUP(D24,Потребители_обозначение,2,FALSE)&amp;"",""),IFERROR(IF(VLOOKUP(AT24,Потребители_обозначение,4,FALSE)=1,VLOOKUP(AT24,Потребители_обозначение,2,FALSE)&amp;" "&amp;VLOOKUP(AV24,Этаж_обозначение,2,FALSE)&amp;" Пом. №"&amp;AX24,VLOOKUP(AT24,Потребители_обозначение,2,FALSE)&amp;" Шлейф №"&amp;AV24),IFERROR(VLOOKUP(D24,Потребители_обозначение,2,FALSE),""))))</f>
        <v/>
      </c>
      <c r="AZ24" t="str">
        <f t="shared" si="6"/>
        <v>Щит охранной сигнализации Подвальный этаж этаж Пом. №007Т</v>
      </c>
      <c r="BA24" t="str">
        <f>IF(F24&lt;&gt;"",F24,IF(AND(D24&lt;&gt;"",D24&lt;&gt;A24,ISNUMBER(_xlfn.XMATCH(D24,Щиты[Щит]))),D24,""))</f>
        <v/>
      </c>
      <c r="BB24">
        <f>IFERROR(_xlfn.XMATCH(A24,Щиты[Щит]),0)</f>
        <v>1</v>
      </c>
      <c r="BC24">
        <f>IFERROR(N(_xlfn.XLOOKUP(A24,Щиты[Щит],Щиты[Мест под вводной узел])),15)</f>
        <v>1</v>
      </c>
      <c r="BD24">
        <f t="shared" si="7"/>
        <v>38</v>
      </c>
      <c r="BE24" t="str">
        <f t="shared" si="8"/>
        <v>линии</v>
      </c>
      <c r="BF24">
        <f>IF(D24="","",IF(BA24&lt;&gt;"",IFERROR(_xlfn.XLOOKUP(BA24,Щиты[Щит],Щиты[Руст, кВт]),0),N(G24)))</f>
        <v>0.3</v>
      </c>
      <c r="BG24">
        <f>IF(J24&lt;&gt;"",J24,IF(D24="","",IFERROR(IF(VLOOKUP(AT24,Потребители_обозначение,8,FALSE)=0,"",VLOOKUP(AT24,Потребители_обозначение,8,FALSE)),"")))</f>
        <v>230</v>
      </c>
      <c r="BH24">
        <f>IF(I24&lt;&gt;"",I24,IF(D24="","",IFERROR(IF(VLOOKUP(AT24,Потребители_обозначение,9,FALSE)=0,"",VLOOKUP(AT24,Потребители_обозначение,9,FALSE)),"")))</f>
        <v>1</v>
      </c>
      <c r="BI24" t="str">
        <f>IF(U24&lt;&gt;"",U24,IF(D24="","",IFERROR(IF(VLOOKUP(AT24,Потребители_обозначение,6,FALSE)=0,"",VLOOKUP(AT24,Потребители_обозначение,6,FALSE)),"")))</f>
        <v>мс</v>
      </c>
      <c r="BJ24">
        <f>IF(V24&lt;&gt;"",V24,IF(D24="","",IFERROR(IF(VLOOKUP(AT24,Потребители_обозначение,7,FALSE)=0,"",VLOOKUP(AT24,Потребители_обозначение,7,FALSE)),"")))</f>
        <v>3</v>
      </c>
      <c r="BK24">
        <f>IF(W24&lt;&gt;"",W24,IF(D24="","",IFERROR(IF(VLOOKUP(AT24,Потребители_обозначение,10,FALSE)=0,"",VLOOKUP(AT24,Потребители_обозначение,10,FALSE)),"")))</f>
        <v>2.5</v>
      </c>
      <c r="BL24">
        <f>IFERROR(VLOOKUP(AT24,Потребители_обозначение,5,FALSE),0)</f>
        <v>0</v>
      </c>
      <c r="BM24" cm="1">
        <f t="array" ref="BM24">IF(D24="","",IF(BA24&lt;&gt;"",IFERROR(_xlfn.XLOOKUP(BA24,Щиты[Щит],Щиты[cos φ]),0.95),IF(ISNUMBER(M24),M24,IFERROR(IF(BL24=2,_xlfn.IFS(BH24=3,VLOOKUP(BF24,Справочная_двигатели,8,FALSE),BH24=1,VLOOKUP(BF24,Справочная_двигатели,10,TRUE)),IF(AND(Методика="нормы 2026",CN24="Сил"),0.8,0.95)),0.95))))</f>
        <v>0.95</v>
      </c>
      <c r="BN24" cm="1">
        <f t="array" ref="BN24">IF(D24="","",IF(BA24&lt;&gt;"",IFERROR(_xlfn.XLOOKUP(BA24,Щиты[Щит],Щиты[Iр, А]),""),IFERROR(_xlfn.IFS(BH24=1,BF24/((Uн_лин/SQRT(3))*BM24),BH24=3,BF24/(SQRT(3)*Uн_лин*BM24)),"")))</f>
        <v>1.3674085322912188</v>
      </c>
      <c r="BO24">
        <f>IF(D24="","",IF(N(X24)=0,IFERROR(VLOOKUP(BN24,Автомат_номиналы,2,TRUE),""),X24))</f>
        <v>6</v>
      </c>
      <c r="BP24">
        <f t="shared" si="9"/>
        <v>1</v>
      </c>
      <c r="BQ24">
        <f>IF(ISNUMBER(Y24),Y24,К_прокл)</f>
        <v>1</v>
      </c>
      <c r="BR24">
        <f t="shared" si="10"/>
        <v>2</v>
      </c>
      <c r="BS24" cm="1">
        <f t="array" ref="BS24">IF(D24="","",IF(N(BK24)&lt;&gt;0,BK24,IFERROR(_xlfn.LET(_xlpm.need,BO24/(BP24*BQ24),_xlpm.t,CHOOSE(BR24,Iдоп_1ж,Iдоп_2ж,Iдоп_3ж),_xlpm.k,_xlfn.XMATCH(_xlpm.need,_xlpm.t,1),IF(ISNA(_xlpm.k),"Не исп",INDEX(Iдоп_S,_xlpm.k))),"Не исп")))</f>
        <v>2.5</v>
      </c>
      <c r="BT24">
        <f>IFERROR(VLOOKUP(BS24,Кабель_сопротивление,3,FALSE),"")</f>
        <v>2.2499999999999999E-2</v>
      </c>
      <c r="BU24">
        <f>IFERROR(VLOOKUP(BS24,Кабель_сопротивление,2,FALSE),"")</f>
        <v>0.1</v>
      </c>
      <c r="BV24">
        <f t="shared" si="11"/>
        <v>44</v>
      </c>
      <c r="BW24">
        <f>IF(D24="","",IFERROR(IF(VLOOKUP(AT24,Потребители_обозначение,4,FALSE)=1,VLOOKUP(AT24,Потребители_обозначение,3,FALSE)*(H24*2-1)+BV24+VLOOKUP(AV24,Этаж_обозначение,3,FALSE)+VLOOKUP(AV24,Этаж_обозначение,4,FALSE),VLOOKUP(AT24,Потребители_обозначение,3,FALSE)*(H24*2-1)+BV24),BV24))</f>
        <v>44</v>
      </c>
      <c r="BX24">
        <f t="shared" si="12"/>
        <v>15</v>
      </c>
      <c r="BY24" t="str">
        <f t="shared" si="13"/>
        <v/>
      </c>
      <c r="BZ24">
        <f t="shared" si="14"/>
        <v>2</v>
      </c>
      <c r="CA24">
        <f t="shared" si="15"/>
        <v>0.31</v>
      </c>
      <c r="CB24">
        <f t="shared" si="16"/>
        <v>1.0325684701720035</v>
      </c>
      <c r="CC24">
        <f>IFERROR(ROUNDUP(CB24/((Uн_лин/SQRT(3))*1000)*100,2),"")</f>
        <v>0.45</v>
      </c>
      <c r="CD24">
        <f>IF(ISNUMBER(CC24),CC24+IFERROR(_xlfn.XLOOKUP(A24,Щиты[Щит],Щиты[ΔU до шин, %]),0),"")</f>
        <v>0.45</v>
      </c>
      <c r="CE24">
        <f>IF(D24="","",IF(IFERROR(VLOOKUP(AT24,УГО_спр,2,FALSE),"")="Светильник",3,4)+IF(Методика="нормы 2026",MIN(0.5,MAX(0,N(BW24)-100)*0.005),0))</f>
        <v>4</v>
      </c>
      <c r="CF24" t="str">
        <f>IFERROR(VLOOKUP(BI24,Кабель_обозначение,2,FALSE),"")</f>
        <v>ВВГнг(А)-LS</v>
      </c>
      <c r="CG24" t="str">
        <f>IFERROR(IF(VLOOKUP(BI24,Кабель_обозначение,3,FALSE)=1,CF24&amp;" ("&amp;BJ24&amp;"х"&amp;BS24&amp;")",CF24),"")</f>
        <v>ВВГнг(А)-LS (3х2,5)</v>
      </c>
      <c r="CH24" t="str">
        <f t="shared" si="17"/>
        <v>ВВГнг(А)-LS (3х2,5)
L=44-0,45%</v>
      </c>
      <c r="CI24">
        <f>IFERROR(2*ρкз_Cu*BW24/BS24,"")</f>
        <v>0.92576000000000003</v>
      </c>
      <c r="CJ24">
        <f t="shared" si="18"/>
        <v>0.308</v>
      </c>
      <c r="CK24" t="str">
        <f>IFERROR(IF(OR(D24="",NOT(ISNUMBER(BS24)),N(BW24)=0),"",_xlfn.XLOOKUP(A24,Щиты[Щит],Щиты[Zпетли на шинах, Ом])+CI24),"")</f>
        <v/>
      </c>
      <c r="CL24" t="str">
        <f>IF(ISNUMBER(CK24),c_min*(Uн_лин*1000/SQRT(3))/CK24,"")</f>
        <v/>
      </c>
      <c r="CM24" t="str">
        <f>IFERROR(IF(OR(D24="",NOT(ISNUMBER(BS24))),"",1.05*(Uн_лин*1000/SQRT(3))/(_xlfn.XLOOKUP(A24,Щиты[Щит],Щиты[Zmax на шинах, Ом])+CJ24)/1000),"")</f>
        <v/>
      </c>
      <c r="CN24" t="str">
        <f>IF(D24="","",IF(BA24&lt;&gt;"","Щит",IF(K24&lt;&gt;"",K24,IF(ISNUMBER(L24),"Сил",IF(IFERROR(_xlfn.XLOOKUP(AT24,Коды_код,Коды_группа)&amp;"","")="","Быт",_xlfn.XLOOKUP(AT24,Коды_код,Коды_группа)&amp;"")))))</f>
        <v>Пост</v>
      </c>
      <c r="CO24">
        <f>IF(CN24="Щит","щит",IF(CN24="","",IF(CN24="Быт",IFERROR(_xlfn.XLOOKUP(A24,Щиты[Щит],Щиты[Кс быт]),1),IF(CN24="Сил",IF(ISNUMBER(L24),L24,IF(Методика="нормы 2026",IFERROR(_xlfn.XLOOKUP(A24,Щиты[Щит],Щиты[Кс силовых (табл. 7.5)]),1),1)),IF(OR(CN24="Пост",CN24="Отоп"),1,IF(CN24="ВНГ",0.7,0))))))</f>
        <v>1</v>
      </c>
      <c r="CP24">
        <f t="shared" si="19"/>
        <v>2</v>
      </c>
      <c r="CQ24">
        <f t="shared" si="20"/>
        <v>0.3</v>
      </c>
      <c r="CR24">
        <f t="shared" si="21"/>
        <v>0</v>
      </c>
      <c r="CS24">
        <f t="shared" si="22"/>
        <v>0</v>
      </c>
      <c r="CT24">
        <f t="shared" si="23"/>
        <v>0.3</v>
      </c>
      <c r="CU24">
        <f t="shared" si="24"/>
        <v>0</v>
      </c>
      <c r="CV24">
        <f t="shared" si="25"/>
        <v>0</v>
      </c>
      <c r="CW24">
        <f t="shared" si="26"/>
        <v>0.3</v>
      </c>
      <c r="CX24">
        <f t="shared" si="27"/>
        <v>0.28499999999999998</v>
      </c>
      <c r="CY24">
        <f t="shared" si="28"/>
        <v>1</v>
      </c>
      <c r="CZ24" t="str">
        <f t="shared" si="29"/>
        <v>L1</v>
      </c>
      <c r="DA24" cm="1">
        <f t="array" ref="DA24">IFERROR(IF(BL24=2,_xlfn.IFS(BH24=3,VLOOKUP(BF24,Справочная_двигатели,3,FALSE),BH24=1,VLOOKUP(BF24,Справочная_двигатели,5,TRUE)),0),0)</f>
        <v>0</v>
      </c>
      <c r="DB24">
        <f>IFERROR(IF(BL24=3,VLOOKUP(BF24,Справочная_ЛЭД,2,TRUE),0),0)</f>
        <v>0</v>
      </c>
      <c r="DC24">
        <f t="shared" si="30"/>
        <v>0</v>
      </c>
      <c r="DD24" t="str">
        <f t="shared" si="31"/>
        <v>L2</v>
      </c>
      <c r="DE24" t="str" cm="1">
        <f t="array" ref="DE24">IF(D24="","",IFERROR(INDEX({"I особая","I","II","III"},MATCH(TRIM(AA24&amp;""),{"I особая","I","II","III"},0)),"III"))</f>
        <v>I</v>
      </c>
      <c r="DF24" t="str">
        <f>IF(D24="","",IF(TRIM(AB24&amp;"")&lt;&gt;"",IF(LOWER(TRIM(AB24&amp;""))="да","да","нет"),IF(IFERROR(_xlfn.XLOOKUP(AT24,Коды_код,Коды_пожарная),"")="да","да","нет")))</f>
        <v>нет</v>
      </c>
      <c r="DG24" t="str">
        <f t="shared" si="32"/>
        <v/>
      </c>
      <c r="DH24" t="str">
        <f t="shared" si="33"/>
        <v>основная</v>
      </c>
      <c r="DI24">
        <f t="shared" si="34"/>
        <v>2</v>
      </c>
      <c r="DJ24" t="str" cm="1">
        <f t="array" ref="DJ24">IF(D24="","",_xlfn.LET(_xlpm.t,IFERROR(_xlfn.XLOOKUP(1,(Шины[Шина]=DH24)*(((Шины[Щит]=A24)+(Шины[Щит]=""))&gt;0),Шины[Тип]),"")&amp;"",IF(_xlpm.t&lt;&gt;"",_xlpm.t,IF(ISNUMBER(SEARCH("ИБП",DH24)),"ИБП",IF(ISNUMBER(SEARCH("ДГУ",DH24)),"ДГУ","Ввод "&amp;DI24)))))</f>
        <v>Ввод 2</v>
      </c>
      <c r="DK24" t="str">
        <f t="shared" si="35"/>
        <v>Ввод 2</v>
      </c>
      <c r="DL24" t="str">
        <f>IF(D24="","",IF(OR(DJ24="ИБП",DJ24="ДГУ"),"I особая",IF(DJ24="Одиночная","III",_xlfn.XLOOKUP(A24,Щиты[Щит],Щиты[Категория шины «Ввод»],"III"))))</f>
        <v>I</v>
      </c>
      <c r="DM24">
        <f>IF(D24="",0,IFERROR(MATCH(DE24,{"III","II","I","I особая"},0),1))</f>
        <v>3</v>
      </c>
      <c r="DN24">
        <f t="shared" si="36"/>
        <v>3</v>
      </c>
      <c r="DO24" t="str">
        <f>IF(D24="","",IF(DM24&gt;IFERROR(MATCH(DL24,{"III","II","I","I особая"},0),1),"НЕ ОБЕСПЕЧЕНА","ОК"))</f>
        <v>ОК</v>
      </c>
      <c r="DP24" t="str">
        <f>IF(A24="","",_xlfn.XLOOKUP(A24,Щиты[Щит],Щиты[Путь],""))</f>
        <v>|ГРЩ-ЖД|</v>
      </c>
      <c r="DQ24" t="str">
        <f>IF(D24="","",IF(Z24&lt;&gt;"",Z24,IF(IFERROR(_xlfn.XLOOKUP(AT24,Коды_код,Коды_вид)&amp;"","")="","Прочее",_xlfn.XLOOKUP(AT24,Коды_код,Коды_вид)&amp;"")))</f>
        <v>Системы безопасности и связи</v>
      </c>
      <c r="DR24">
        <f>IF(BD24="","",INT((BD24-1)/Столбцов_на_лист)+1)</f>
        <v>3</v>
      </c>
      <c r="DS24" t="str">
        <f t="shared" si="37"/>
        <v>ВВГнг(А)-LS (3х2,5) L=44-0,45%</v>
      </c>
      <c r="DT24">
        <f t="shared" si="38"/>
        <v>0.3</v>
      </c>
      <c r="DU24">
        <f t="shared" si="39"/>
        <v>1.37</v>
      </c>
      <c r="DV24">
        <f t="shared" si="40"/>
        <v>1</v>
      </c>
      <c r="DW24">
        <f>IF(AT24="",0,_xlfn.LET(_xlpm.v,IFERROR(VLOOKUP(D24,УГО_спр,3,FALSE),IFERROR(VLOOKUP(AT24,УГО_спр,3,FALSE),IFERROR(VLOOKUP(LEFT(AT24,2),УГО_спр,3,FALSE),""))),IF(_xlpm.v="да",30,IF(ISNUMBER(_xlpm.v),_xlpm.v,0))))</f>
        <v>0</v>
      </c>
      <c r="DX24">
        <f t="shared" si="41"/>
        <v>0</v>
      </c>
      <c r="DY24" t="str">
        <f>IF(BD24="","",IF(AD24&lt;&gt;"",COUNTIFS(A$3:A24,A24,AD$3:AD24,"?*"),IF(OR(OR(AS24=1,A24&lt;&gt;A23),AL24="вручную"),"",IF(AS24=1,"",DZ23))))</f>
        <v/>
      </c>
      <c r="DZ24" t="str">
        <f t="shared" si="42"/>
        <v/>
      </c>
      <c r="EA24">
        <f>IF(D24="",0,MAX(IFERROR(--X24,0),IFERROR(--VLOOKUP(D24,УГО_спр,4,FALSE),IFERROR(--VLOOKUP(AT24,УГО_спр,4,FALSE),IFERROR(--VLOOKUP(LEFT(AT24,2),УГО_спр,4,FALSE),0)))))</f>
        <v>6</v>
      </c>
      <c r="EB24">
        <f>IF(D24="","",IFERROR(LOOKUP(INDEX(CHOOSE(BR24,Iдоп_1ж,Iдоп_2ж,Iдоп_3ж),MATCH(BS24,Iдоп_S,0))*BP24*BQ24,{6,10,16,20,25,32,40,50,63,80,100,125,160,200,250,315,400,500,630}),""))</f>
        <v>25</v>
      </c>
      <c r="EC24" t="str">
        <f>IF(AD24="","",SUMIFS(Линии[_Ток схемы],Линии[_гр.],DY24,Линии[Щит],A24,Линии[_в кабель выше],0))</f>
        <v/>
      </c>
      <c r="ED24" t="str">
        <f>IF(AD24="","",IFERROR(VLOOKUP(EC24,Автомат_номиналы,2,TRUE),""))</f>
        <v/>
      </c>
      <c r="EE24" t="str">
        <f>IF(AD24="","",MAX(N(ED24),_xlfn.MAXIFS(Линии[_мин. по типу],Линии[_гр.],DY24,Линии[Щит],A24)))</f>
        <v/>
      </c>
      <c r="EF24" t="str">
        <f>IF(AD24="","",_xlfn.MINIFS(Линии[_макс. автомат по кабелю],Линии[_гр.],DY24,Линии[Щит],A24))</f>
        <v/>
      </c>
      <c r="EG24" t="str">
        <f>IF(AD24="","",MAX(1,_xlfn.MAXIFS(Линии[_фаз],Линии[_гр.],DY24,Линии[Щит],A24)))</f>
        <v/>
      </c>
      <c r="EH24" t="str">
        <f>IF(AD24="","",IF(AND(AD24&lt;&gt;"авто",AD24&lt;&gt;"+"),IF(ISNUMBER(SEARCH("мА",AD24)),IFERROR(--TRIM(RIGHT(SUBSTITUTE(LEFT(AD24,SEARCH("мА",AD24)-1)," ",REPT(" ",9)),6)),30),0),IF(AE24="нет",0,IF(ISNUMBER(AE24),AE24,IF(AE24="да",30,_xlfn.MINIFS(Линии[_дифзащита по коду, мА],Линии[_гр.],DY24,Линии[Щит],A24,Линии[_дифзащита по коду, мА],"&gt;0"))))))</f>
        <v/>
      </c>
      <c r="EI24" t="str">
        <f t="shared" si="43"/>
        <v/>
      </c>
      <c r="EJ24" t="str">
        <f t="shared" si="44"/>
        <v/>
      </c>
      <c r="EK24" t="str">
        <f t="shared" si="45"/>
        <v/>
      </c>
      <c r="EL24" t="str">
        <f t="shared" si="46"/>
        <v/>
      </c>
      <c r="EM24">
        <f t="shared" si="47"/>
        <v>0</v>
      </c>
      <c r="EN24" t="str">
        <f>IF(AD24="","",IF(EM24=1,MAX(EE24,Мин_автомат_БП),EE24))</f>
        <v/>
      </c>
      <c r="EO24" t="str">
        <f t="shared" si="48"/>
        <v/>
      </c>
      <c r="EP24" t="str">
        <f t="shared" si="49"/>
        <v/>
      </c>
      <c r="EQ24" t="str">
        <f t="shared" si="50"/>
        <v/>
      </c>
      <c r="ER24" t="str">
        <f>IF(OR(AI24="",AI24="-"),"",IFERROR(VLOOKUP(AI24,Модули_спр,2,FALSE),"R"))</f>
        <v/>
      </c>
      <c r="ES24" t="str">
        <f>IF(ER24="","",ER24&amp;"."&amp;COUNTIFS(A$3:A24,A24,ER$3:ER24,ER24))</f>
        <v/>
      </c>
      <c r="ET24" t="str">
        <f t="shared" si="51"/>
        <v/>
      </c>
      <c r="EU24" t="str">
        <f t="shared" si="52"/>
        <v/>
      </c>
      <c r="EV24" t="str">
        <f t="shared" si="53"/>
        <v/>
      </c>
      <c r="EW24" t="str">
        <f t="shared" si="54"/>
        <v/>
      </c>
      <c r="EX24">
        <f t="shared" si="55"/>
        <v>1</v>
      </c>
      <c r="EY24" t="str">
        <f>IF(AK24="нет","",IF(AK24&lt;&gt;"",AK24,IF(EX24=1,"XT"&amp;COUNTIFS(A$3:A24,A24,EX$3:EX24,1),"")))</f>
        <v/>
      </c>
      <c r="EZ24" t="str">
        <f t="shared" si="56"/>
        <v/>
      </c>
      <c r="FA24" t="str">
        <f t="shared" si="57"/>
        <v/>
      </c>
      <c r="FB24" t="str">
        <f t="shared" si="58"/>
        <v/>
      </c>
      <c r="FC24" t="str">
        <f>IF(OR(EV24="",ET24=""),"",IF(EV24&gt;IFERROR(VLOOKUP(EU24,Модули_спр,3,FALSE),99),"ЛИШНИЙ КАНАЛ",IF(AND(AJ24&lt;&gt;"=",COUNTIFS(Линии[_модуль гр.],ET24,Линии[Канал (итог)],EV24,Линии[Канал],"&lt;&gt;=",Линии[Щит],A24)&gt;1),"ДУБЛЬ КАНАЛА","")))</f>
        <v/>
      </c>
      <c r="FD24" t="str">
        <f t="shared" si="59"/>
        <v/>
      </c>
      <c r="FE24" t="str">
        <f t="shared" si="60"/>
        <v/>
      </c>
      <c r="FF24" t="str">
        <f t="shared" si="61"/>
        <v/>
      </c>
      <c r="FG24" t="str">
        <f t="shared" si="62"/>
        <v/>
      </c>
      <c r="FH24" t="str">
        <f t="shared" si="63"/>
        <v/>
      </c>
      <c r="FI24">
        <f t="shared" si="64"/>
        <v>10</v>
      </c>
      <c r="FJ24" t="str">
        <f t="shared" si="65"/>
        <v/>
      </c>
      <c r="FK24" t="str">
        <f>IF(AND(D24="",EZ24=""),"",_xlfn.TEXTJOIN("; ",TRUE,IF(AND(D24&lt;&gt;"",DD24=""),"нет фазы",""),IF(AND(D24&lt;&gt;"",N(DT24)=0,CN24&lt;&gt;"Нет"),"нет мощности",""),IF(AND(EY24&lt;&gt;"",COUNTIFS(Линии[Щит],A24,Линии[Клемма (итог)],EY24)&gt;1),"дубль клеммы "&amp;EY24,""),IF(AND(FB24&lt;&gt;"",FB24&lt;&gt;"ok"),FB24,""),IF(FC24&lt;&gt;"",FC24,""),IF(AND(ISNUMBER(SEARCH("(5х",DS24)),N(DV24)=1),"5 жил на 1 фазе",""),IF(AND(AT24="R",AD24&lt;&gt;"",OR(N(EH24)=0,N(EH24)&gt;30)),"розетка без дифзащиты до 30 мА",""),IFERROR(IF(AND(ISNUMBER(CD24),CD24&gt;CE24),"потери "&amp;FIXED(CD24,1)&amp;" % &gt; "&amp;CE24&amp;" %",""),""),IFERROR(IF(LEFT(FJ24,4)="мало","Iкз мало — отключение &gt; 0,4 с",""),""),IF(AND(D24&lt;&gt;"",BD24=""),"не на схеме","")))</f>
        <v/>
      </c>
      <c r="FL24" t="str">
        <f>IF(AD24="","",_xlfn.LET(_xlpm.t,IFERROR(_xlfn.XLOOKUP(EP24,Каталог!$U$4:$U$500,Каталог!$G$4:$G$500),""),_xlpm.k,SEARCH("кА",_xlpm.t),IFERROR(--TRIM(RIGHT(SUBSTITUTE(MID(_xlpm.t,MAX(1,_xlpm.k-4),_xlpm.k-MAX(1,_xlpm.k-4))," ",REPT(" ",9)),5)),"")))</f>
        <v/>
      </c>
      <c r="FM24" t="str">
        <f>IF(OR(FL24="",AD24=""),"",IF(_xlfn.XLOOKUP(A24,Щиты[Щит],Щиты[Iкз max на шинах, кА],"")="","",IF(FL24&lt;_xlfn.XLOOKUP(A24,Щиты[Щит],Щиты[Iкз max на шинах, кА]),"Icu "&amp;FL24&amp;" кА &lt; Iкз max","ok")))</f>
        <v/>
      </c>
      <c r="FN24" t="str">
        <f t="shared" si="66"/>
        <v/>
      </c>
      <c r="FO24" t="str">
        <f t="shared" si="67"/>
        <v/>
      </c>
      <c r="FP24" t="str" cm="1">
        <f t="array" ref="FP24">IF(FO24="","",_xlfn.LET(_xlpm.nd,_xlfn.TEXTSPLIT(FO24,"|"),IF(COLUMNS(_xlpm.nd)&gt;1,A24&amp;"¦"&amp;INDEX(_xlpm.nd,1)&amp;"¦"&amp;INDEX(_xlpm.nd,2),"")))</f>
        <v/>
      </c>
      <c r="FQ24" t="str">
        <f t="shared" si="68"/>
        <v/>
      </c>
      <c r="FR24" t="str" cm="1">
        <f t="array" ref="FR24">IF(FO24="","",_xlfn.LET(_xlpm.nd,_xlfn.TEXTSPLIT(FO24,"|"),IF(COLUMNS(_xlpm.nd)&gt;2,A24&amp;"¦"&amp;INDEX(_xlpm.nd,2)&amp;"¦"&amp;INDEX(_xlpm.nd,3),"")))</f>
        <v/>
      </c>
      <c r="FS24" t="str">
        <f t="shared" si="69"/>
        <v/>
      </c>
      <c r="FT24" t="str" cm="1">
        <f t="array" ref="FT24">IF(FO24="","",_xlfn.LET(_xlpm.nd,_xlfn.TEXTSPLIT(FO24,"|"),IF(COLUMNS(_xlpm.nd)&gt;3,A24&amp;"¦"&amp;INDEX(_xlpm.nd,3)&amp;"¦"&amp;INDEX(_xlpm.nd,4),"")))</f>
        <v/>
      </c>
      <c r="FU24" t="str">
        <f t="shared" si="70"/>
        <v/>
      </c>
      <c r="FV24" t="str" cm="1">
        <f t="array" ref="FV24">IF(FO24="","",_xlfn.LET(_xlpm.nd,_xlfn.TEXTSPLIT(FO24,"|"),IF(COLUMNS(_xlpm.nd)&gt;4,A24&amp;"¦"&amp;INDEX(_xlpm.nd,4)&amp;"¦"&amp;INDEX(_xlpm.nd,5),"")))</f>
        <v/>
      </c>
      <c r="FW24" t="str">
        <f t="shared" si="71"/>
        <v/>
      </c>
      <c r="FX24" t="str" cm="1">
        <f t="array" ref="FX24">IF(FO24="","",_xlfn.LET(_xlpm.nd,_xlfn.TEXTSPLIT(FO24,"|"),IF(COLUMNS(_xlpm.nd)&gt;5,A24&amp;"¦"&amp;INDEX(_xlpm.nd,5)&amp;"¦"&amp;INDEX(_xlpm.nd,6),"")))</f>
        <v/>
      </c>
      <c r="FY24" t="str">
        <f t="shared" si="72"/>
        <v/>
      </c>
      <c r="FZ24" t="str" cm="1">
        <f t="array" ref="FZ24">IF(FO24="","",_xlfn.LET(_xlpm.nd,_xlfn.TEXTSPLIT(FO24,"|"),IF(COLUMNS(_xlpm.nd)&gt;6,A24&amp;"¦"&amp;INDEX(_xlpm.nd,6)&amp;"¦"&amp;INDEX(_xlpm.nd,7),"")))</f>
        <v/>
      </c>
      <c r="GA24" t="str">
        <f t="shared" si="73"/>
        <v/>
      </c>
      <c r="GB24" t="str">
        <f t="shared" si="74"/>
        <v/>
      </c>
      <c r="GC24" t="str">
        <f t="shared" si="75"/>
        <v/>
      </c>
      <c r="GD24">
        <f t="shared" si="76"/>
        <v>1</v>
      </c>
      <c r="GE24">
        <f t="shared" si="77"/>
        <v>0</v>
      </c>
      <c r="GF24">
        <f t="shared" si="78"/>
        <v>0</v>
      </c>
      <c r="GG24" t="str">
        <f t="shared" si="79"/>
        <v/>
      </c>
      <c r="GH24" t="str">
        <f t="shared" si="80"/>
        <v/>
      </c>
      <c r="GI24" t="str">
        <f t="shared" si="81"/>
        <v/>
      </c>
      <c r="GJ24" t="str">
        <f t="shared" si="82"/>
        <v/>
      </c>
      <c r="GK24" t="str">
        <f>IF(D24="","",IFERROR(VLOOKUP(D24,УГО_спр,2,FALSE),IFERROR(VLOOKUP(AT24,УГО_спр,2,FALSE),IFERROR(VLOOKUP(LEFT(AT24,2),УГО_спр,2,FALSE),""))))</f>
        <v/>
      </c>
      <c r="GL24" t="str">
        <f>IF(D24="","",IF(OR(GK24="",GK24=0),"BOX",IFERROR(IF(VLOOKUP(GK24,УГО_блоки,3,FALSE)&amp;""&lt;&gt;"",VLOOKUP(GK24,УГО_блоки,3,FALSE),VLOOKUP(GK24,УГО_блоки,2,FALSE)),GK24)))</f>
        <v>BOX</v>
      </c>
      <c r="GM24">
        <f t="shared" si="83"/>
        <v>1</v>
      </c>
      <c r="GN24" t="str">
        <f>IF(EP24="","",IF(COUNTIF(EP$3:EP24,EP24)=1,MAX(GN$2:GN23)+1,""))</f>
        <v/>
      </c>
      <c r="GO24" t="str">
        <f>IF(AF24="","",IF(COUNTIF(AF$3:AF24,AF24)+COUNTIF(AG$2:AG23,AF24)+COUNTIF(AH$2:AH23,AF24)=1,MAX(GO$2:GQ23)+1,""))</f>
        <v/>
      </c>
      <c r="GP24" t="str">
        <f>IF(AG24="","",IF(COUNTIF(AF$3:AF24,AG24)+COUNTIF(AG$3:AG24,AG24)+COUNTIF(AH$2:AH23,AG24)=1,MAX(GO$2:GQ23,GO24)+1,""))</f>
        <v/>
      </c>
      <c r="GQ24" t="str">
        <f>IF(AH24="","",IF(COUNTIF(AF$3:AF24,AH24)+COUNTIF(AG$3:AG24,AH24)+COUNTIF(AH$3:AH24,AH24)=1,MAX(GO$2:GQ23,GO24,GP24)+1,""))</f>
        <v/>
      </c>
      <c r="GR24" t="str">
        <f t="shared" si="84"/>
        <v>3х2,5</v>
      </c>
      <c r="GS24" t="str">
        <f>IF(GR24="","",IF(COUNTIF(GR$3:GR24,GR24)=1,MAX(GS$2:GS23)+1,""))</f>
        <v/>
      </c>
      <c r="GT24" t="str">
        <f>IF(ES24="","",COUNTIF(ES$3:ES24,"?*"))</f>
        <v/>
      </c>
      <c r="GU24" t="str">
        <f>IF(OR(ES24="",EU24=""),"",IF(COUNTIFS(ES$3:ES24,"?*",EU$3:EU24,EU24)=1,MAX(GU$2:GU23)+1,""))</f>
        <v/>
      </c>
      <c r="GV24">
        <f t="shared" si="85"/>
        <v>0</v>
      </c>
      <c r="GW24">
        <f>IF(D24="","",COUNTIF(D$3:D24,"?*"))</f>
        <v>22</v>
      </c>
      <c r="GX24">
        <f>IF(EX24&lt;&gt;1,0,_xlfn.LET(_xlpm.k,MAX(IFERROR(--VLOOKUP(D24,УГО_спр,5,FALSE),0),IFERROR(--VLOOKUP(AT24,УГО_спр,5,FALSE),0),IFERROR(--VLOOKUP(LEFT(AT24,2),УГО_спр,5,FALSE),0)),IF(_xlpm.k&gt;0,_xlpm.k,IF(IFERROR(--LEFT(SUBSTITUTE(GR24,"x","х"),FIND("х",SUBSTITUTE(GR24,"x","х"))-1),3)&gt;3,Каталог!$S$9,1))))</f>
        <v>1</v>
      </c>
      <c r="GY24">
        <f t="shared" si="86"/>
        <v>0</v>
      </c>
    </row>
    <row r="25" spans="1:207" x14ac:dyDescent="0.3">
      <c r="A25" t="s">
        <v>788</v>
      </c>
      <c r="B25" t="s">
        <v>531</v>
      </c>
      <c r="C25" t="str">
        <f>IF(BD25="","",IF(BE25="вводной узел","узел ","")&amp;"л."&amp;(INT((BD25-1)/Столбцов_на_лист)+1)&amp;" / "&amp;(MOD(BD25-1,Столбцов_на_лист)+1))</f>
        <v/>
      </c>
      <c r="D25" t="s">
        <v>787</v>
      </c>
      <c r="E25" s="133" t="str">
        <f t="shared" ref="E3:E66" si="87">AY25</f>
        <v/>
      </c>
      <c r="AR25" t="str">
        <f t="shared" si="0"/>
        <v>не на схеме</v>
      </c>
      <c r="AS25" cm="1">
        <f t="array" ref="AS25">ROW()-ROW(Линии[#Headers])</f>
        <v>23</v>
      </c>
      <c r="AT25" t="str">
        <f t="shared" si="1"/>
        <v>ЩГП</v>
      </c>
      <c r="AU25" t="str">
        <f t="shared" si="2"/>
        <v/>
      </c>
      <c r="AV25" t="str">
        <f t="shared" si="3"/>
        <v/>
      </c>
      <c r="AW25" t="str">
        <f t="shared" si="4"/>
        <v/>
      </c>
      <c r="AX25" t="str">
        <f t="shared" si="5"/>
        <v/>
      </c>
      <c r="AY25" t="str">
        <f>IF(D25="","",IF(ISERROR(SEARCH(".",D25)),IFERROR(VLOOKUP(D25,Потребители_обозначение,2,FALSE)&amp;"",""),IFERROR(IF(VLOOKUP(AT25,Потребители_обозначение,4,FALSE)=1,VLOOKUP(AT25,Потребители_обозначение,2,FALSE)&amp;" "&amp;VLOOKUP(AV25,Этаж_обозначение,2,FALSE)&amp;" Пом. №"&amp;AX25,VLOOKUP(AT25,Потребители_обозначение,2,FALSE)&amp;" Шлейф №"&amp;AV25),IFERROR(VLOOKUP(D25,Потребители_обозначение,2,FALSE),""))))</f>
        <v/>
      </c>
      <c r="AZ25" t="str">
        <f t="shared" si="6"/>
        <v/>
      </c>
      <c r="BA25" t="str">
        <f>IF(F25&lt;&gt;"",F25,IF(AND(D25&lt;&gt;"",D25&lt;&gt;A25,ISNUMBER(_xlfn.XMATCH(D25,Щиты[Щит]))),D25,""))</f>
        <v>ЩГП</v>
      </c>
      <c r="BB25">
        <f>IFERROR(_xlfn.XMATCH(A25,Щиты[Щит]),0)</f>
        <v>1</v>
      </c>
      <c r="BC25">
        <f>IFERROR(N(_xlfn.XLOOKUP(A25,Щиты[Щит],Щиты[Мест под вводной узел])),15)</f>
        <v>1</v>
      </c>
      <c r="BD25" t="str">
        <f t="shared" si="7"/>
        <v/>
      </c>
      <c r="BE25" t="str">
        <f t="shared" si="8"/>
        <v/>
      </c>
      <c r="BF25">
        <f>IF(D25="","",IF(BA25&lt;&gt;"",IFERROR(_xlfn.XLOOKUP(BA25,Щиты[Щит],Щиты[Руст, кВт]),0),N(G25)))</f>
        <v>1.9000000000000006</v>
      </c>
      <c r="BG25" t="str">
        <f>IF(J25&lt;&gt;"",J25,IF(D25="","",IFERROR(IF(VLOOKUP(AT25,Потребители_обозначение,8,FALSE)=0,"",VLOOKUP(AT25,Потребители_обозначение,8,FALSE)),"")))</f>
        <v/>
      </c>
      <c r="BH25" t="str">
        <f>IF(I25&lt;&gt;"",I25,IF(D25="","",IFERROR(IF(VLOOKUP(AT25,Потребители_обозначение,9,FALSE)=0,"",VLOOKUP(AT25,Потребители_обозначение,9,FALSE)),"")))</f>
        <v/>
      </c>
      <c r="BI25" t="str">
        <f>IF(U25&lt;&gt;"",U25,IF(D25="","",IFERROR(IF(VLOOKUP(AT25,Потребители_обозначение,6,FALSE)=0,"",VLOOKUP(AT25,Потребители_обозначение,6,FALSE)),"")))</f>
        <v/>
      </c>
      <c r="BJ25" t="str">
        <f>IF(V25&lt;&gt;"",V25,IF(D25="","",IFERROR(IF(VLOOKUP(AT25,Потребители_обозначение,7,FALSE)=0,"",VLOOKUP(AT25,Потребители_обозначение,7,FALSE)),"")))</f>
        <v/>
      </c>
      <c r="BK25" t="str">
        <f>IF(W25&lt;&gt;"",W25,IF(D25="","",IFERROR(IF(VLOOKUP(AT25,Потребители_обозначение,10,FALSE)=0,"",VLOOKUP(AT25,Потребители_обозначение,10,FALSE)),"")))</f>
        <v/>
      </c>
      <c r="BL25">
        <f>IFERROR(VLOOKUP(AT25,Потребители_обозначение,5,FALSE),0)</f>
        <v>0</v>
      </c>
      <c r="BM25" cm="1">
        <f t="array" ref="BM25">IF(D25="","",IF(BA25&lt;&gt;"",IFERROR(_xlfn.XLOOKUP(BA25,Щиты[Щит],Щиты[cos φ]),0.95),IF(ISNUMBER(M25),M25,IFERROR(IF(BL25=2,_xlfn.IFS(BH25=3,VLOOKUP(BF25,Справочная_двигатели,8,FALSE),BH25=1,VLOOKUP(BF25,Справочная_двигатели,10,TRUE)),IF(AND(Методика="нормы 2026",CN25="Сил"),0.8,0.95)),0.95))))</f>
        <v>0.94999999999999951</v>
      </c>
      <c r="BN25" cm="1">
        <f t="array" ref="BN25">IF(D25="","",IF(BA25&lt;&gt;"",IFERROR(_xlfn.XLOOKUP(BA25,Щиты[Щит],Щиты[Iр, А]),""),IFERROR(_xlfn.IFS(BH25=1,BF25/((Uн_лин/SQRT(3))*BM25),BH25=3,BF25/(SQRT(3)*Uн_лин*BM25)),"")))</f>
        <v>2.3094010767585051</v>
      </c>
      <c r="BO25">
        <f>IF(D25="","",IF(N(X25)=0,IFERROR(VLOOKUP(BN25,Автомат_номиналы,2,TRUE),""),X25))</f>
        <v>6</v>
      </c>
      <c r="BP25">
        <f t="shared" si="9"/>
        <v>1</v>
      </c>
      <c r="BQ25">
        <f>IF(ISNUMBER(Y25),Y25,К_прокл)</f>
        <v>1</v>
      </c>
      <c r="BR25">
        <f t="shared" si="10"/>
        <v>3</v>
      </c>
      <c r="BS25" cm="1">
        <f t="array" ref="BS25">IF(D25="","",IF(N(BK25)&lt;&gt;0,BK25,IFERROR(_xlfn.LET(_xlpm.need,BO25/(BP25*BQ25),_xlpm.t,CHOOSE(BR25,Iдоп_1ж,Iдоп_2ж,Iдоп_3ж),_xlpm.k,_xlfn.XMATCH(_xlpm.need,_xlpm.t,1),IF(ISNA(_xlpm.k),"Не исп",INDEX(Iдоп_S,_xlpm.k))),"Не исп")))</f>
        <v>1.5</v>
      </c>
      <c r="BT25">
        <f>IFERROR(VLOOKUP(BS25,Кабель_сопротивление,3,FALSE),"")</f>
        <v>2.2499999999999999E-2</v>
      </c>
      <c r="BU25">
        <f>IFERROR(VLOOKUP(BS25,Кабель_сопротивление,2,FALSE),"")</f>
        <v>0.11</v>
      </c>
      <c r="BV25" t="str">
        <f t="shared" si="11"/>
        <v/>
      </c>
      <c r="BW25" t="str">
        <f>IF(D25="","",IFERROR(IF(VLOOKUP(AT25,Потребители_обозначение,4,FALSE)=1,VLOOKUP(AT25,Потребители_обозначение,3,FALSE)*(H25*2-1)+BV25+VLOOKUP(AV25,Этаж_обозначение,3,FALSE)+VLOOKUP(AV25,Этаж_обозначение,4,FALSE),VLOOKUP(AT25,Потребители_обозначение,3,FALSE)*(H25*2-1)+BV25),BV25))</f>
        <v/>
      </c>
      <c r="BX25" t="str">
        <f t="shared" si="12"/>
        <v/>
      </c>
      <c r="BY25" t="str">
        <f t="shared" si="13"/>
        <v/>
      </c>
      <c r="BZ25" t="str">
        <f t="shared" si="14"/>
        <v/>
      </c>
      <c r="CA25">
        <f t="shared" si="15"/>
        <v>0.31</v>
      </c>
      <c r="CB25" t="str">
        <f t="shared" si="16"/>
        <v/>
      </c>
      <c r="CC25" t="str">
        <f>IFERROR(ROUNDUP(CB25/((Uн_лин/SQRT(3))*1000)*100,2),"")</f>
        <v/>
      </c>
      <c r="CD25" t="str">
        <f>IF(ISNUMBER(CC25),CC25+IFERROR(_xlfn.XLOOKUP(A25,Щиты[Щит],Щиты[ΔU до шин, %]),0),"")</f>
        <v/>
      </c>
      <c r="CE25">
        <f>IF(D25="","",IF(IFERROR(VLOOKUP(AT25,УГО_спр,2,FALSE),"")="Светильник",3,4)+IF(Методика="нормы 2026",MIN(0.5,MAX(0,N(BW25)-100)*0.005),0))</f>
        <v>4</v>
      </c>
      <c r="CF25" t="str">
        <f>IFERROR(VLOOKUP(BI25,Кабель_обозначение,2,FALSE),"")</f>
        <v/>
      </c>
      <c r="CG25" t="str">
        <f>IFERROR(IF(VLOOKUP(BI25,Кабель_обозначение,3,FALSE)=1,CF25&amp;" ("&amp;BJ25&amp;"х"&amp;BS25&amp;")",CF25),"")</f>
        <v/>
      </c>
      <c r="CH25" t="str">
        <f t="shared" si="17"/>
        <v/>
      </c>
      <c r="CI25" t="str">
        <f>IFERROR(2*ρкз_Cu*BW25/BS25,"")</f>
        <v/>
      </c>
      <c r="CJ25">
        <f t="shared" si="18"/>
        <v>0</v>
      </c>
      <c r="CK25" t="str">
        <f>IFERROR(IF(OR(D25="",NOT(ISNUMBER(BS25)),N(BW25)=0),"",_xlfn.XLOOKUP(A25,Щиты[Щит],Щиты[Zпетли на шинах, Ом])+CI25),"")</f>
        <v/>
      </c>
      <c r="CL25" t="str">
        <f>IF(ISNUMBER(CK25),c_min*(Uн_лин*1000/SQRT(3))/CK25,"")</f>
        <v/>
      </c>
      <c r="CM25" t="str">
        <f>IFERROR(IF(OR(D25="",NOT(ISNUMBER(BS25))),"",1.05*(Uн_лин*1000/SQRT(3))/(_xlfn.XLOOKUP(A25,Щиты[Щит],Щиты[Zmax на шинах, Ом])+CJ25)/1000),"")</f>
        <v/>
      </c>
      <c r="CN25" t="str">
        <f>IF(D25="","",IF(BA25&lt;&gt;"","Щит",IF(K25&lt;&gt;"",K25,IF(ISNUMBER(L25),"Сил",IF(IFERROR(_xlfn.XLOOKUP(AT25,Коды_код,Коды_группа)&amp;"","")="","Быт",_xlfn.XLOOKUP(AT25,Коды_код,Коды_группа)&amp;"")))))</f>
        <v>Щит</v>
      </c>
      <c r="CO25" t="str">
        <f>IF(CN25="Щит","щит",IF(CN25="","",IF(CN25="Быт",IFERROR(_xlfn.XLOOKUP(A25,Щиты[Щит],Щиты[Кс быт]),1),IF(CN25="Сил",IF(ISNUMBER(L25),L25,IF(Методика="нормы 2026",IFERROR(_xlfn.XLOOKUP(A25,Щиты[Щит],Щиты[Кс силовых (табл. 7.5)]),1),1)),IF(OR(CN25="Пост",CN25="Отоп"),1,IF(CN25="ВНГ",0.7,0))))))</f>
        <v>щит</v>
      </c>
      <c r="CP25">
        <f t="shared" si="19"/>
        <v>1</v>
      </c>
      <c r="CQ25">
        <f t="shared" si="20"/>
        <v>0</v>
      </c>
      <c r="CR25">
        <f t="shared" si="21"/>
        <v>0</v>
      </c>
      <c r="CS25">
        <f t="shared" si="22"/>
        <v>0</v>
      </c>
      <c r="CT25">
        <f t="shared" si="23"/>
        <v>0</v>
      </c>
      <c r="CU25">
        <f t="shared" si="24"/>
        <v>0</v>
      </c>
      <c r="CV25">
        <f t="shared" si="25"/>
        <v>0</v>
      </c>
      <c r="CW25">
        <f t="shared" si="26"/>
        <v>0</v>
      </c>
      <c r="CX25">
        <f t="shared" si="27"/>
        <v>0</v>
      </c>
      <c r="CY25">
        <f t="shared" si="28"/>
        <v>2</v>
      </c>
      <c r="CZ25" t="str">
        <f t="shared" si="29"/>
        <v>L2</v>
      </c>
      <c r="DA25" cm="1">
        <f t="array" ref="DA25">IFERROR(IF(BL25=2,_xlfn.IFS(BH25=3,VLOOKUP(BF25,Справочная_двигатели,3,FALSE),BH25=1,VLOOKUP(BF25,Справочная_двигатели,5,TRUE)),0),0)</f>
        <v>0</v>
      </c>
      <c r="DB25">
        <f>IFERROR(IF(BL25=3,VLOOKUP(BF25,Справочная_ЛЭД,2,TRUE),0),0)</f>
        <v>0</v>
      </c>
      <c r="DC25">
        <f t="shared" si="30"/>
        <v>0</v>
      </c>
      <c r="DD25" t="str">
        <f t="shared" si="31"/>
        <v>L2</v>
      </c>
      <c r="DE25" t="str" cm="1">
        <f t="array" ref="DE25">IF(D25="","",IFERROR(INDEX({"I особая","I","II","III"},MATCH(TRIM(AA25&amp;""),{"I особая","I","II","III"},0)),"III"))</f>
        <v>III</v>
      </c>
      <c r="DF25" t="str">
        <f>IF(D25="","",IF(TRIM(AB25&amp;"")&lt;&gt;"",IF(LOWER(TRIM(AB25&amp;""))="да","да","нет"),IF(IFERROR(_xlfn.XLOOKUP(AT25,Коды_код,Коды_пожарная),"")="да","да","нет")))</f>
        <v>нет</v>
      </c>
      <c r="DG25" t="str">
        <f t="shared" si="32"/>
        <v/>
      </c>
      <c r="DH25" t="str">
        <f t="shared" si="33"/>
        <v>основная</v>
      </c>
      <c r="DI25">
        <f t="shared" si="34"/>
        <v>1</v>
      </c>
      <c r="DJ25" t="str" cm="1">
        <f t="array" ref="DJ25">IF(D25="","",_xlfn.LET(_xlpm.t,IFERROR(_xlfn.XLOOKUP(1,(Шины[Шина]=DH25)*(((Шины[Щит]=A25)+(Шины[Щит]=""))&gt;0),Шины[Тип]),"")&amp;"",IF(_xlpm.t&lt;&gt;"",_xlpm.t,IF(ISNUMBER(SEARCH("ИБП",DH25)),"ИБП",IF(ISNUMBER(SEARCH("ДГУ",DH25)),"ДГУ","Ввод "&amp;DI25)))))</f>
        <v>Ввод 1</v>
      </c>
      <c r="DK25" t="str">
        <f t="shared" si="35"/>
        <v>Ввод 1</v>
      </c>
      <c r="DL25" t="str">
        <f>IF(D25="","",IF(OR(DJ25="ИБП",DJ25="ДГУ"),"I особая",IF(DJ25="Одиночная","III",_xlfn.XLOOKUP(A25,Щиты[Щит],Щиты[Категория шины «Ввод»],"III"))))</f>
        <v>I</v>
      </c>
      <c r="DM25">
        <f>IF(D25="",0,IFERROR(MATCH(DE25,{"III","II","I","I особая"},0),1))</f>
        <v>1</v>
      </c>
      <c r="DN25">
        <f t="shared" si="36"/>
        <v>1</v>
      </c>
      <c r="DO25" t="str">
        <f>IF(D25="","",IF(DM25&gt;IFERROR(MATCH(DL25,{"III","II","I","I особая"},0),1),"НЕ ОБЕСПЕЧЕНА","ОК"))</f>
        <v>ОК</v>
      </c>
      <c r="DP25" t="str">
        <f>IF(A25="","",_xlfn.XLOOKUP(A25,Щиты[Щит],Щиты[Путь],""))</f>
        <v>|ГРЩ-ЖД|</v>
      </c>
      <c r="DQ25" t="str">
        <f>IF(D25="","",IF(Z25&lt;&gt;"",Z25,IF(IFERROR(_xlfn.XLOOKUP(AT25,Коды_код,Коды_вид)&amp;"","")="","Прочее",_xlfn.XLOOKUP(AT25,Коды_код,Коды_вид)&amp;"")))</f>
        <v>Прочее</v>
      </c>
      <c r="DR25" t="str">
        <f>IF(BD25="","",INT((BD25-1)/Столбцов_на_лист)+1)</f>
        <v/>
      </c>
      <c r="DS25" t="str">
        <f t="shared" si="37"/>
        <v/>
      </c>
      <c r="DT25">
        <f t="shared" si="38"/>
        <v>1.9000000000000006</v>
      </c>
      <c r="DU25">
        <f t="shared" si="39"/>
        <v>2.3099999999999996</v>
      </c>
      <c r="DV25">
        <f t="shared" si="40"/>
        <v>1</v>
      </c>
      <c r="DW25">
        <f>IF(AT25="",0,_xlfn.LET(_xlpm.v,IFERROR(VLOOKUP(D25,УГО_спр,3,FALSE),IFERROR(VLOOKUP(AT25,УГО_спр,3,FALSE),IFERROR(VLOOKUP(LEFT(AT25,2),УГО_спр,3,FALSE),""))),IF(_xlpm.v="да",30,IF(ISNUMBER(_xlpm.v),_xlpm.v,0))))</f>
        <v>0</v>
      </c>
      <c r="DX25">
        <f t="shared" si="41"/>
        <v>0</v>
      </c>
      <c r="DY25" t="str">
        <f>IF(BD25="","",IF(AD25&lt;&gt;"",COUNTIFS(A$3:A25,A25,AD$3:AD25,"?*"),IF(OR(OR(AS25=1,A25&lt;&gt;A24),AL25="вручную"),"",IF(AS25=1,"",DZ24))))</f>
        <v/>
      </c>
      <c r="DZ25" t="str">
        <f t="shared" si="42"/>
        <v/>
      </c>
      <c r="EA25">
        <f>IF(D25="",0,MAX(IFERROR(--X25,0),IFERROR(--VLOOKUP(D25,УГО_спр,4,FALSE),IFERROR(--VLOOKUP(AT25,УГО_спр,4,FALSE),IFERROR(--VLOOKUP(LEFT(AT25,2),УГО_спр,4,FALSE),0)))))</f>
        <v>0</v>
      </c>
      <c r="EB25">
        <f>IF(D25="","",IFERROR(LOOKUP(INDEX(CHOOSE(BR25,Iдоп_1ж,Iдоп_2ж,Iдоп_3ж),MATCH(BS25,Iдоп_S,0))*BP25*BQ25,{6,10,16,20,25,32,40,50,63,80,100,125,160,200,250,315,400,500,630}),""))</f>
        <v>16</v>
      </c>
      <c r="EC25" t="str">
        <f>IF(AD25="","",SUMIFS(Линии[_Ток схемы],Линии[_гр.],DY25,Линии[Щит],A25,Линии[_в кабель выше],0))</f>
        <v/>
      </c>
      <c r="ED25" t="str">
        <f>IF(AD25="","",IFERROR(VLOOKUP(EC25,Автомат_номиналы,2,TRUE),""))</f>
        <v/>
      </c>
      <c r="EE25" t="str">
        <f>IF(AD25="","",MAX(N(ED25),_xlfn.MAXIFS(Линии[_мин. по типу],Линии[_гр.],DY25,Линии[Щит],A25)))</f>
        <v/>
      </c>
      <c r="EF25" t="str">
        <f>IF(AD25="","",_xlfn.MINIFS(Линии[_макс. автомат по кабелю],Линии[_гр.],DY25,Линии[Щит],A25))</f>
        <v/>
      </c>
      <c r="EG25" t="str">
        <f>IF(AD25="","",MAX(1,_xlfn.MAXIFS(Линии[_фаз],Линии[_гр.],DY25,Линии[Щит],A25)))</f>
        <v/>
      </c>
      <c r="EH25" t="str">
        <f>IF(AD25="","",IF(AND(AD25&lt;&gt;"авто",AD25&lt;&gt;"+"),IF(ISNUMBER(SEARCH("мА",AD25)),IFERROR(--TRIM(RIGHT(SUBSTITUTE(LEFT(AD25,SEARCH("мА",AD25)-1)," ",REPT(" ",9)),6)),30),0),IF(AE25="нет",0,IF(ISNUMBER(AE25),AE25,IF(AE25="да",30,_xlfn.MINIFS(Линии[_дифзащита по коду, мА],Линии[_гр.],DY25,Линии[Щит],A25,Линии[_дифзащита по коду, мА],"&gt;0"))))))</f>
        <v/>
      </c>
      <c r="EI25" t="str">
        <f t="shared" si="43"/>
        <v/>
      </c>
      <c r="EJ25" t="str">
        <f t="shared" si="44"/>
        <v/>
      </c>
      <c r="EK25" t="str">
        <f t="shared" si="45"/>
        <v/>
      </c>
      <c r="EL25" t="str">
        <f t="shared" si="46"/>
        <v/>
      </c>
      <c r="EM25">
        <f t="shared" si="47"/>
        <v>0</v>
      </c>
      <c r="EN25" t="str">
        <f>IF(AD25="","",IF(EM25=1,MAX(EE25,Мин_автомат_БП),EE25))</f>
        <v/>
      </c>
      <c r="EO25" t="str">
        <f t="shared" si="48"/>
        <v/>
      </c>
      <c r="EP25" t="str">
        <f t="shared" si="49"/>
        <v/>
      </c>
      <c r="EQ25" t="str">
        <f t="shared" si="50"/>
        <v/>
      </c>
      <c r="ER25" t="str">
        <f>IF(OR(AI25="",AI25="-"),"",IFERROR(VLOOKUP(AI25,Модули_спр,2,FALSE),"R"))</f>
        <v/>
      </c>
      <c r="ES25" t="str">
        <f>IF(ER25="","",ER25&amp;"."&amp;COUNTIFS(A$3:A25,A25,ER$3:ER25,ER25))</f>
        <v/>
      </c>
      <c r="ET25" t="str">
        <f t="shared" si="51"/>
        <v/>
      </c>
      <c r="EU25" t="str">
        <f t="shared" si="52"/>
        <v/>
      </c>
      <c r="EV25" t="str">
        <f t="shared" si="53"/>
        <v/>
      </c>
      <c r="EW25" t="str">
        <f t="shared" si="54"/>
        <v/>
      </c>
      <c r="EX25">
        <f t="shared" si="55"/>
        <v>0</v>
      </c>
      <c r="EY25" t="str">
        <f>IF(AK25="нет","",IF(AK25&lt;&gt;"",AK25,IF(EX25=1,"XT"&amp;COUNTIFS(A$3:A25,A25,EX$3:EX25,1),"")))</f>
        <v/>
      </c>
      <c r="EZ25" t="str">
        <f t="shared" si="56"/>
        <v/>
      </c>
      <c r="FA25" t="str">
        <f t="shared" si="57"/>
        <v/>
      </c>
      <c r="FB25" t="str">
        <f t="shared" si="58"/>
        <v/>
      </c>
      <c r="FC25" t="str">
        <f>IF(OR(EV25="",ET25=""),"",IF(EV25&gt;IFERROR(VLOOKUP(EU25,Модули_спр,3,FALSE),99),"ЛИШНИЙ КАНАЛ",IF(AND(AJ25&lt;&gt;"=",COUNTIFS(Линии[_модуль гр.],ET25,Линии[Канал (итог)],EV25,Линии[Канал],"&lt;&gt;=",Линии[Щит],A25)&gt;1),"ДУБЛЬ КАНАЛА","")))</f>
        <v/>
      </c>
      <c r="FD25" t="str">
        <f t="shared" si="59"/>
        <v/>
      </c>
      <c r="FE25" t="str">
        <f t="shared" si="60"/>
        <v/>
      </c>
      <c r="FF25" t="str">
        <f t="shared" si="61"/>
        <v/>
      </c>
      <c r="FG25" t="str">
        <f t="shared" si="62"/>
        <v/>
      </c>
      <c r="FH25" t="str">
        <f t="shared" si="63"/>
        <v/>
      </c>
      <c r="FI25">
        <f t="shared" si="64"/>
        <v>10</v>
      </c>
      <c r="FJ25" t="str">
        <f t="shared" si="65"/>
        <v/>
      </c>
      <c r="FK25" t="str">
        <f>IF(AND(D25="",EZ25=""),"",_xlfn.TEXTJOIN("; ",TRUE,IF(AND(D25&lt;&gt;"",DD25=""),"нет фазы",""),IF(AND(D25&lt;&gt;"",N(DT25)=0,CN25&lt;&gt;"Нет"),"нет мощности",""),IF(AND(EY25&lt;&gt;"",COUNTIFS(Линии[Щит],A25,Линии[Клемма (итог)],EY25)&gt;1),"дубль клеммы "&amp;EY25,""),IF(AND(FB25&lt;&gt;"",FB25&lt;&gt;"ok"),FB25,""),IF(FC25&lt;&gt;"",FC25,""),IF(AND(ISNUMBER(SEARCH("(5х",DS25)),N(DV25)=1),"5 жил на 1 фазе",""),IF(AND(AT25="R",AD25&lt;&gt;"",OR(N(EH25)=0,N(EH25)&gt;30)),"розетка без дифзащиты до 30 мА",""),IFERROR(IF(AND(ISNUMBER(CD25),CD25&gt;CE25),"потери "&amp;FIXED(CD25,1)&amp;" % &gt; "&amp;CE25&amp;" %",""),""),IFERROR(IF(LEFT(FJ25,4)="мало","Iкз мало — отключение &gt; 0,4 с",""),""),IF(AND(D25&lt;&gt;"",BD25=""),"не на схеме","")))</f>
        <v>не на схеме</v>
      </c>
      <c r="FL25" t="str">
        <f>IF(AD25="","",_xlfn.LET(_xlpm.t,IFERROR(_xlfn.XLOOKUP(EP25,Каталог!$U$4:$U$500,Каталог!$G$4:$G$500),""),_xlpm.k,SEARCH("кА",_xlpm.t),IFERROR(--TRIM(RIGHT(SUBSTITUTE(MID(_xlpm.t,MAX(1,_xlpm.k-4),_xlpm.k-MAX(1,_xlpm.k-4))," ",REPT(" ",9)),5)),"")))</f>
        <v/>
      </c>
      <c r="FM25" t="str">
        <f>IF(OR(FL25="",AD25=""),"",IF(_xlfn.XLOOKUP(A25,Щиты[Щит],Щиты[Iкз max на шинах, кА],"")="","",IF(FL25&lt;_xlfn.XLOOKUP(A25,Щиты[Щит],Щиты[Iкз max на шинах, кА]),"Icu "&amp;FL25&amp;" кА &lt; Iкз max","ok")))</f>
        <v/>
      </c>
      <c r="FN25" t="str">
        <f t="shared" si="66"/>
        <v/>
      </c>
      <c r="FO25" t="str">
        <f t="shared" si="67"/>
        <v/>
      </c>
      <c r="FP25" t="str" cm="1">
        <f t="array" ref="FP25">IF(FO25="","",_xlfn.LET(_xlpm.nd,_xlfn.TEXTSPLIT(FO25,"|"),IF(COLUMNS(_xlpm.nd)&gt;1,A25&amp;"¦"&amp;INDEX(_xlpm.nd,1)&amp;"¦"&amp;INDEX(_xlpm.nd,2),"")))</f>
        <v/>
      </c>
      <c r="FQ25" t="str">
        <f t="shared" si="68"/>
        <v/>
      </c>
      <c r="FR25" t="str" cm="1">
        <f t="array" ref="FR25">IF(FO25="","",_xlfn.LET(_xlpm.nd,_xlfn.TEXTSPLIT(FO25,"|"),IF(COLUMNS(_xlpm.nd)&gt;2,A25&amp;"¦"&amp;INDEX(_xlpm.nd,2)&amp;"¦"&amp;INDEX(_xlpm.nd,3),"")))</f>
        <v/>
      </c>
      <c r="FS25" t="str">
        <f t="shared" si="69"/>
        <v/>
      </c>
      <c r="FT25" t="str" cm="1">
        <f t="array" ref="FT25">IF(FO25="","",_xlfn.LET(_xlpm.nd,_xlfn.TEXTSPLIT(FO25,"|"),IF(COLUMNS(_xlpm.nd)&gt;3,A25&amp;"¦"&amp;INDEX(_xlpm.nd,3)&amp;"¦"&amp;INDEX(_xlpm.nd,4),"")))</f>
        <v/>
      </c>
      <c r="FU25" t="str">
        <f t="shared" si="70"/>
        <v/>
      </c>
      <c r="FV25" t="str" cm="1">
        <f t="array" ref="FV25">IF(FO25="","",_xlfn.LET(_xlpm.nd,_xlfn.TEXTSPLIT(FO25,"|"),IF(COLUMNS(_xlpm.nd)&gt;4,A25&amp;"¦"&amp;INDEX(_xlpm.nd,4)&amp;"¦"&amp;INDEX(_xlpm.nd,5),"")))</f>
        <v/>
      </c>
      <c r="FW25" t="str">
        <f t="shared" si="71"/>
        <v/>
      </c>
      <c r="FX25" t="str" cm="1">
        <f t="array" ref="FX25">IF(FO25="","",_xlfn.LET(_xlpm.nd,_xlfn.TEXTSPLIT(FO25,"|"),IF(COLUMNS(_xlpm.nd)&gt;5,A25&amp;"¦"&amp;INDEX(_xlpm.nd,5)&amp;"¦"&amp;INDEX(_xlpm.nd,6),"")))</f>
        <v/>
      </c>
      <c r="FY25" t="str">
        <f t="shared" si="72"/>
        <v/>
      </c>
      <c r="FZ25" t="str" cm="1">
        <f t="array" ref="FZ25">IF(FO25="","",_xlfn.LET(_xlpm.nd,_xlfn.TEXTSPLIT(FO25,"|"),IF(COLUMNS(_xlpm.nd)&gt;6,A25&amp;"¦"&amp;INDEX(_xlpm.nd,6)&amp;"¦"&amp;INDEX(_xlpm.nd,7),"")))</f>
        <v/>
      </c>
      <c r="GA25" t="str">
        <f t="shared" si="73"/>
        <v/>
      </c>
      <c r="GB25" t="str">
        <f t="shared" si="74"/>
        <v/>
      </c>
      <c r="GC25" t="str">
        <f t="shared" si="75"/>
        <v/>
      </c>
      <c r="GD25">
        <f t="shared" si="76"/>
        <v>0</v>
      </c>
      <c r="GE25">
        <f t="shared" si="77"/>
        <v>0</v>
      </c>
      <c r="GF25">
        <f t="shared" si="78"/>
        <v>0</v>
      </c>
      <c r="GG25" t="str">
        <f t="shared" si="79"/>
        <v/>
      </c>
      <c r="GH25" t="str">
        <f t="shared" si="80"/>
        <v/>
      </c>
      <c r="GI25" t="str">
        <f t="shared" si="81"/>
        <v/>
      </c>
      <c r="GJ25" t="str">
        <f t="shared" si="82"/>
        <v/>
      </c>
      <c r="GK25" t="str">
        <f>IF(D25="","",IFERROR(VLOOKUP(D25,УГО_спр,2,FALSE),IFERROR(VLOOKUP(AT25,УГО_спр,2,FALSE),IFERROR(VLOOKUP(LEFT(AT25,2),УГО_спр,2,FALSE),""))))</f>
        <v/>
      </c>
      <c r="GL25" t="str">
        <f>IF(D25="","",IF(OR(GK25="",GK25=0),"BOX",IFERROR(IF(VLOOKUP(GK25,УГО_блоки,3,FALSE)&amp;""&lt;&gt;"",VLOOKUP(GK25,УГО_блоки,3,FALSE),VLOOKUP(GK25,УГО_блоки,2,FALSE)),GK25)))</f>
        <v>BOX</v>
      </c>
      <c r="GM25">
        <f t="shared" si="83"/>
        <v>1</v>
      </c>
      <c r="GN25" t="str">
        <f>IF(EP25="","",IF(COUNTIF(EP$3:EP25,EP25)=1,MAX(GN$2:GN24)+1,""))</f>
        <v/>
      </c>
      <c r="GO25" t="str">
        <f>IF(AF25="","",IF(COUNTIF(AF$3:AF25,AF25)+COUNTIF(AG$2:AG24,AF25)+COUNTIF(AH$2:AH24,AF25)=1,MAX(GO$2:GQ24)+1,""))</f>
        <v/>
      </c>
      <c r="GP25" t="str">
        <f>IF(AG25="","",IF(COUNTIF(AF$3:AF25,AG25)+COUNTIF(AG$3:AG25,AG25)+COUNTIF(AH$2:AH24,AG25)=1,MAX(GO$2:GQ24,GO25)+1,""))</f>
        <v/>
      </c>
      <c r="GQ25" t="str">
        <f>IF(AH25="","",IF(COUNTIF(AF$3:AF25,AH25)+COUNTIF(AG$3:AG25,AH25)+COUNTIF(AH$3:AH25,AH25)=1,MAX(GO$2:GQ24,GO25,GP25)+1,""))</f>
        <v/>
      </c>
      <c r="GR25" t="str">
        <f t="shared" si="84"/>
        <v/>
      </c>
      <c r="GS25" t="str">
        <f>IF(GR25="","",IF(COUNTIF(GR$3:GR25,GR25)=1,MAX(GS$2:GS24)+1,""))</f>
        <v/>
      </c>
      <c r="GT25" t="str">
        <f>IF(ES25="","",COUNTIF(ES$3:ES25,"?*"))</f>
        <v/>
      </c>
      <c r="GU25" t="str">
        <f>IF(OR(ES25="",EU25=""),"",IF(COUNTIFS(ES$3:ES25,"?*",EU$3:EU25,EU25)=1,MAX(GU$2:GU24)+1,""))</f>
        <v/>
      </c>
      <c r="GV25">
        <f t="shared" si="85"/>
        <v>1</v>
      </c>
      <c r="GW25">
        <f>IF(D25="","",COUNTIF(D$3:D25,"?*"))</f>
        <v>23</v>
      </c>
      <c r="GX25">
        <f>IF(EX25&lt;&gt;1,0,_xlfn.LET(_xlpm.k,MAX(IFERROR(--VLOOKUP(D25,УГО_спр,5,FALSE),0),IFERROR(--VLOOKUP(AT25,УГО_спр,5,FALSE),0),IFERROR(--VLOOKUP(LEFT(AT25,2),УГО_спр,5,FALSE),0)),IF(_xlpm.k&gt;0,_xlpm.k,IF(IFERROR(--LEFT(SUBSTITUTE(GR25,"x","х"),FIND("х",SUBSTITUTE(GR25,"x","х"))-1),3)&gt;3,Каталог!$S$9,1))))</f>
        <v>0</v>
      </c>
      <c r="GY25">
        <f t="shared" si="86"/>
        <v>0</v>
      </c>
    </row>
    <row r="26" spans="1:207" x14ac:dyDescent="0.3">
      <c r="A26" t="s">
        <v>787</v>
      </c>
      <c r="B26">
        <v>2</v>
      </c>
      <c r="C26" t="str">
        <f>IF(BD26="","",IF(BE26="вводной узел","узел ","")&amp;"л."&amp;(INT((BD26-1)/Столбцов_на_лист)+1)&amp;" / "&amp;(MOD(BD26-1,Столбцов_на_лист)+1))</f>
        <v>узел л.1 / 2</v>
      </c>
      <c r="D26" t="s">
        <v>746</v>
      </c>
      <c r="E26" s="133" t="str">
        <f t="shared" si="87"/>
        <v>Вводной кабель Шлейф №1</v>
      </c>
      <c r="G26" t="s">
        <v>18</v>
      </c>
      <c r="H26">
        <v>1</v>
      </c>
      <c r="I26">
        <v>3</v>
      </c>
      <c r="J26">
        <v>400</v>
      </c>
      <c r="K26" t="s">
        <v>551</v>
      </c>
      <c r="O26" t="s">
        <v>1298</v>
      </c>
      <c r="P26">
        <v>51</v>
      </c>
      <c r="Q26">
        <v>34</v>
      </c>
      <c r="R26">
        <v>12</v>
      </c>
      <c r="T26">
        <v>1</v>
      </c>
      <c r="U26" t="s">
        <v>11</v>
      </c>
      <c r="V26">
        <v>5</v>
      </c>
      <c r="W26">
        <v>10</v>
      </c>
      <c r="X26">
        <v>40</v>
      </c>
      <c r="AL26" t="s">
        <v>1301</v>
      </c>
      <c r="AR26" t="str">
        <f t="shared" si="0"/>
        <v/>
      </c>
      <c r="AS26" cm="1">
        <f t="array" ref="AS26">ROW()-ROW(Линии[#Headers])</f>
        <v>24</v>
      </c>
      <c r="AT26" t="str">
        <f t="shared" si="1"/>
        <v>Ввод</v>
      </c>
      <c r="AU26" t="str">
        <f t="shared" si="2"/>
        <v>1</v>
      </c>
      <c r="AV26" t="str">
        <f t="shared" si="3"/>
        <v>1</v>
      </c>
      <c r="AW26" t="str">
        <f t="shared" si="4"/>
        <v/>
      </c>
      <c r="AX26" t="str">
        <f t="shared" si="5"/>
        <v/>
      </c>
      <c r="AY26" t="str">
        <f>IF(D26="","",IF(ISERROR(SEARCH(".",D26)),IFERROR(VLOOKUP(D26,Потребители_обозначение,2,FALSE)&amp;"",""),IFERROR(IF(VLOOKUP(AT26,Потребители_обозначение,4,FALSE)=1,VLOOKUP(AT26,Потребители_обозначение,2,FALSE)&amp;" "&amp;VLOOKUP(AV26,Этаж_обозначение,2,FALSE)&amp;" Пом. №"&amp;AX26,VLOOKUP(AT26,Потребители_обозначение,2,FALSE)&amp;" Шлейф №"&amp;AV26),IFERROR(VLOOKUP(D26,Потребители_обозначение,2,FALSE),""))))</f>
        <v>Вводной кабель Шлейф №1</v>
      </c>
      <c r="AZ26" t="str">
        <f t="shared" si="6"/>
        <v>Вводной кабель Шлейф №1</v>
      </c>
      <c r="BA26" t="str">
        <f>IF(F26&lt;&gt;"",F26,IF(AND(D26&lt;&gt;"",D26&lt;&gt;A26,ISNUMBER(_xlfn.XMATCH(D26,Щиты[Щит]))),D26,""))</f>
        <v/>
      </c>
      <c r="BB26">
        <f>IFERROR(_xlfn.XMATCH(A26,Щиты[Щит]),0)</f>
        <v>2</v>
      </c>
      <c r="BC26">
        <f>IFERROR(N(_xlfn.XLOOKUP(A26,Щиты[Щит],Щиты[Мест под вводной узел])),15)</f>
        <v>8</v>
      </c>
      <c r="BD26">
        <f t="shared" si="7"/>
        <v>2</v>
      </c>
      <c r="BE26" t="str">
        <f t="shared" si="8"/>
        <v>вводной узел</v>
      </c>
      <c r="BF26">
        <f>IF(D26="","",IF(BA26&lt;&gt;"",IFERROR(_xlfn.XLOOKUP(BA26,Щиты[Щит],Щиты[Руст, кВт]),0),N(G26)))</f>
        <v>0</v>
      </c>
      <c r="BG26">
        <f>IF(J26&lt;&gt;"",J26,IF(D26="","",IFERROR(IF(VLOOKUP(AT26,Потребители_обозначение,8,FALSE)=0,"",VLOOKUP(AT26,Потребители_обозначение,8,FALSE)),"")))</f>
        <v>400</v>
      </c>
      <c r="BH26">
        <f>IF(I26&lt;&gt;"",I26,IF(D26="","",IFERROR(IF(VLOOKUP(AT26,Потребители_обозначение,9,FALSE)=0,"",VLOOKUP(AT26,Потребители_обозначение,9,FALSE)),"")))</f>
        <v>3</v>
      </c>
      <c r="BI26" t="str">
        <f>IF(U26&lt;&gt;"",U26,IF(D26="","",IFERROR(IF(VLOOKUP(AT26,Потребители_обозначение,6,FALSE)=0,"",VLOOKUP(AT26,Потребители_обозначение,6,FALSE)),"")))</f>
        <v>мс</v>
      </c>
      <c r="BJ26">
        <f>IF(V26&lt;&gt;"",V26,IF(D26="","",IFERROR(IF(VLOOKUP(AT26,Потребители_обозначение,7,FALSE)=0,"",VLOOKUP(AT26,Потребители_обозначение,7,FALSE)),"")))</f>
        <v>5</v>
      </c>
      <c r="BK26">
        <f>IF(W26&lt;&gt;"",W26,IF(D26="","",IFERROR(IF(VLOOKUP(AT26,Потребители_обозначение,10,FALSE)=0,"",VLOOKUP(AT26,Потребители_обозначение,10,FALSE)),"")))</f>
        <v>10</v>
      </c>
      <c r="BL26">
        <f>IFERROR(VLOOKUP(AT26,Потребители_обозначение,5,FALSE),0)</f>
        <v>1</v>
      </c>
      <c r="BM26" cm="1">
        <f t="array" ref="BM26">IF(D26="","",IF(BA26&lt;&gt;"",IFERROR(_xlfn.XLOOKUP(BA26,Щиты[Щит],Щиты[cos φ]),0.95),IF(ISNUMBER(M26),M26,IFERROR(IF(BL26=2,_xlfn.IFS(BH26=3,VLOOKUP(BF26,Справочная_двигатели,8,FALSE),BH26=1,VLOOKUP(BF26,Справочная_двигатели,10,TRUE)),IF(AND(Методика="нормы 2026",CN26="Сил"),0.8,0.95)),0.95))))</f>
        <v>0.95</v>
      </c>
      <c r="BN26" cm="1">
        <f t="array" ref="BN26">IF(D26="","",IF(BA26&lt;&gt;"",IFERROR(_xlfn.XLOOKUP(BA26,Щиты[Щит],Щиты[Iр, А]),""),IFERROR(_xlfn.IFS(BH26=1,BF26/((Uн_лин/SQRT(3))*BM26),BH26=3,BF26/(SQRT(3)*Uн_лин*BM26)),"")))</f>
        <v>0</v>
      </c>
      <c r="BO26">
        <f>IF(D26="","",IF(N(X26)=0,IFERROR(VLOOKUP(BN26,Автомат_номиналы,2,TRUE),""),X26))</f>
        <v>40</v>
      </c>
      <c r="BP26">
        <f t="shared" si="9"/>
        <v>0.92</v>
      </c>
      <c r="BQ26">
        <f>IF(ISNUMBER(Y26),Y26,К_прокл)</f>
        <v>1</v>
      </c>
      <c r="BR26">
        <f t="shared" si="10"/>
        <v>3</v>
      </c>
      <c r="BS26" cm="1">
        <f t="array" ref="BS26">IF(D26="","",IF(N(BK26)&lt;&gt;0,BK26,IFERROR(_xlfn.LET(_xlpm.need,BO26/(BP26*BQ26),_xlpm.t,CHOOSE(BR26,Iдоп_1ж,Iдоп_2ж,Iдоп_3ж),_xlpm.k,_xlfn.XMATCH(_xlpm.need,_xlpm.t,1),IF(ISNA(_xlpm.k),"Не исп",INDEX(Iдоп_S,_xlpm.k))),"Не исп")))</f>
        <v>10</v>
      </c>
      <c r="BT26">
        <f>IFERROR(VLOOKUP(BS26,Кабель_сопротивление,3,FALSE),"")</f>
        <v>2.2499999999999999E-2</v>
      </c>
      <c r="BU26">
        <f>IFERROR(VLOOKUP(BS26,Кабель_сопротивление,2,FALSE),"")</f>
        <v>7.2999999999999995E-2</v>
      </c>
      <c r="BV26">
        <f t="shared" si="11"/>
        <v>51</v>
      </c>
      <c r="BW26">
        <f>IF(D26="","",IFERROR(IF(VLOOKUP(AT26,Потребители_обозначение,4,FALSE)=1,VLOOKUP(AT26,Потребители_обозначение,3,FALSE)*(H26*2-1)+BV26+VLOOKUP(AV26,Этаж_обозначение,3,FALSE)+VLOOKUP(AV26,Этаж_обозначение,4,FALSE),VLOOKUP(AT26,Потребители_обозначение,3,FALSE)*(H26*2-1)+BV26),BV26))</f>
        <v>51</v>
      </c>
      <c r="BX26">
        <f t="shared" si="12"/>
        <v>12</v>
      </c>
      <c r="BY26">
        <f t="shared" si="13"/>
        <v>0</v>
      </c>
      <c r="BZ26">
        <f t="shared" si="14"/>
        <v>1</v>
      </c>
      <c r="CA26">
        <f t="shared" si="15"/>
        <v>0.31</v>
      </c>
      <c r="CB26">
        <f t="shared" si="16"/>
        <v>0</v>
      </c>
      <c r="CC26">
        <f>IFERROR(ROUNDUP(CB26/((Uн_лин/SQRT(3))*1000)*100,2),"")</f>
        <v>0</v>
      </c>
      <c r="CD26">
        <f>IF(ISNUMBER(CC26),CC26+IFERROR(_xlfn.XLOOKUP(A26,Щиты[Щит],Щиты[ΔU до шин, %]),0),"")</f>
        <v>0</v>
      </c>
      <c r="CE26">
        <f>IF(D26="","",IF(IFERROR(VLOOKUP(AT26,УГО_спр,2,FALSE),"")="Светильник",3,4)+IF(Методика="нормы 2026",MIN(0.5,MAX(0,N(BW26)-100)*0.005),0))</f>
        <v>4</v>
      </c>
      <c r="CF26" t="str">
        <f>IFERROR(VLOOKUP(BI26,Кабель_обозначение,2,FALSE),"")</f>
        <v>ВВГнг(А)-LS</v>
      </c>
      <c r="CG26" t="str">
        <f>IFERROR(IF(VLOOKUP(BI26,Кабель_обозначение,3,FALSE)=1,CF26&amp;" ("&amp;BJ26&amp;"х"&amp;BS26&amp;")",CF26),"")</f>
        <v>ВВГнг(А)-LS (5х10)</v>
      </c>
      <c r="CH26" t="str">
        <f t="shared" si="17"/>
        <v/>
      </c>
      <c r="CI26">
        <f>IFERROR(2*ρкз_Cu*BW26/BS26,"")</f>
        <v>0.26826</v>
      </c>
      <c r="CJ26">
        <f t="shared" si="18"/>
        <v>8.925000000000001E-2</v>
      </c>
      <c r="CK26" t="str">
        <f>IFERROR(IF(OR(D26="",NOT(ISNUMBER(BS26)),N(BW26)=0),"",_xlfn.XLOOKUP(A26,Щиты[Щит],Щиты[Zпетли на шинах, Ом])+CI26),"")</f>
        <v/>
      </c>
      <c r="CL26" t="str">
        <f>IF(ISNUMBER(CK26),c_min*(Uн_лин*1000/SQRT(3))/CK26,"")</f>
        <v/>
      </c>
      <c r="CM26" t="str">
        <f>IFERROR(IF(OR(D26="",NOT(ISNUMBER(BS26))),"",1.05*(Uн_лин*1000/SQRT(3))/(_xlfn.XLOOKUP(A26,Щиты[Щит],Щиты[Zmax на шинах, Ом])+CJ26)/1000),"")</f>
        <v/>
      </c>
      <c r="CN26" t="str">
        <f>IF(D26="","",IF(BA26&lt;&gt;"","Щит",IF(K26&lt;&gt;"",K26,IF(ISNUMBER(L26),"Сил",IF(IFERROR(_xlfn.XLOOKUP(AT26,Коды_код,Коды_группа)&amp;"","")="","Быт",_xlfn.XLOOKUP(AT26,Коды_код,Коды_группа)&amp;"")))))</f>
        <v>Нет</v>
      </c>
      <c r="CO26">
        <f>IF(CN26="Щит","щит",IF(CN26="","",IF(CN26="Быт",IFERROR(_xlfn.XLOOKUP(A26,Щиты[Щит],Щиты[Кс быт]),1),IF(CN26="Сил",IF(ISNUMBER(L26),L26,IF(Методика="нормы 2026",IFERROR(_xlfn.XLOOKUP(A26,Щиты[Щит],Щиты[Кс силовых (табл. 7.5)]),1),1)),IF(OR(CN26="Пост",CN26="Отоп"),1,IF(CN26="ВНГ",0.7,0))))))</f>
        <v>0</v>
      </c>
      <c r="CP26">
        <f t="shared" si="19"/>
        <v>1</v>
      </c>
      <c r="CQ26">
        <f t="shared" si="20"/>
        <v>0</v>
      </c>
      <c r="CR26">
        <f t="shared" si="21"/>
        <v>0</v>
      </c>
      <c r="CS26">
        <f t="shared" si="22"/>
        <v>0</v>
      </c>
      <c r="CT26">
        <f t="shared" si="23"/>
        <v>0</v>
      </c>
      <c r="CU26">
        <f t="shared" si="24"/>
        <v>0</v>
      </c>
      <c r="CV26">
        <f t="shared" si="25"/>
        <v>0</v>
      </c>
      <c r="CW26">
        <f t="shared" si="26"/>
        <v>0</v>
      </c>
      <c r="CX26">
        <f t="shared" si="27"/>
        <v>0</v>
      </c>
      <c r="CY26">
        <f t="shared" si="28"/>
        <v>0</v>
      </c>
      <c r="CZ26" t="str">
        <f t="shared" si="29"/>
        <v>L1,L2,L3</v>
      </c>
      <c r="DA26" cm="1">
        <f t="array" ref="DA26">IFERROR(IF(BL26=2,_xlfn.IFS(BH26=3,VLOOKUP(BF26,Справочная_двигатели,3,FALSE),BH26=1,VLOOKUP(BF26,Справочная_двигатели,5,TRUE)),0),0)</f>
        <v>0</v>
      </c>
      <c r="DB26">
        <f>IFERROR(IF(BL26=3,VLOOKUP(BF26,Справочная_ЛЭД,2,TRUE),0),0)</f>
        <v>0</v>
      </c>
      <c r="DC26">
        <f t="shared" si="30"/>
        <v>0</v>
      </c>
      <c r="DD26" t="str">
        <f t="shared" si="31"/>
        <v>L1,L2,L3</v>
      </c>
      <c r="DE26" t="str" cm="1">
        <f t="array" ref="DE26">IF(D26="","",IFERROR(INDEX({"I особая","I","II","III"},MATCH(TRIM(AA26&amp;""),{"I особая","I","II","III"},0)),"III"))</f>
        <v>III</v>
      </c>
      <c r="DF26" t="str">
        <f>IF(D26="","",IF(TRIM(AB26&amp;"")&lt;&gt;"",IF(LOWER(TRIM(AB26&amp;""))="да","да","нет"),IF(IFERROR(_xlfn.XLOOKUP(AT26,Коды_код,Коды_пожарная),"")="да","да","нет")))</f>
        <v>нет</v>
      </c>
      <c r="DG26" t="str">
        <f t="shared" si="32"/>
        <v/>
      </c>
      <c r="DH26" t="str">
        <f t="shared" si="33"/>
        <v>основная</v>
      </c>
      <c r="DI26">
        <f t="shared" si="34"/>
        <v>1</v>
      </c>
      <c r="DJ26" t="str" cm="1">
        <f t="array" ref="DJ26">IF(D26="","",_xlfn.LET(_xlpm.t,IFERROR(_xlfn.XLOOKUP(1,(Шины[Шина]=DH26)*(((Шины[Щит]=A26)+(Шины[Щит]=""))&gt;0),Шины[Тип]),"")&amp;"",IF(_xlpm.t&lt;&gt;"",_xlpm.t,IF(ISNUMBER(SEARCH("ИБП",DH26)),"ИБП",IF(ISNUMBER(SEARCH("ДГУ",DH26)),"ДГУ","Ввод "&amp;DI26)))))</f>
        <v>Ввод 1</v>
      </c>
      <c r="DK26" t="str">
        <f t="shared" si="35"/>
        <v>Ввод 1</v>
      </c>
      <c r="DL26" t="str">
        <f>IF(D26="","",IF(OR(DJ26="ИБП",DJ26="ДГУ"),"I особая",IF(DJ26="Одиночная","III",_xlfn.XLOOKUP(A26,Щиты[Щит],Щиты[Категория шины «Ввод»],"III"))))</f>
        <v>II</v>
      </c>
      <c r="DM26">
        <f>IF(D26="",0,IFERROR(MATCH(DE26,{"III","II","I","I особая"},0),1))</f>
        <v>1</v>
      </c>
      <c r="DN26">
        <f t="shared" si="36"/>
        <v>1</v>
      </c>
      <c r="DO26" t="str">
        <f>IF(D26="","",IF(DM26&gt;IFERROR(MATCH(DL26,{"III","II","I","I особая"},0),1),"НЕ ОБЕСПЕЧЕНА","ОК"))</f>
        <v>ОК</v>
      </c>
      <c r="DP26" t="str">
        <f>IF(A26="","",_xlfn.XLOOKUP(A26,Щиты[Щит],Щиты[Путь],""))</f>
        <v>|ГРЩ-ЖД|ЩГП|</v>
      </c>
      <c r="DQ26" t="str">
        <f>IF(D26="","",IF(Z26&lt;&gt;"",Z26,IF(IFERROR(_xlfn.XLOOKUP(AT26,Коды_код,Коды_вид)&amp;"","")="","Прочее",_xlfn.XLOOKUP(AT26,Коды_код,Коды_вид)&amp;"")))</f>
        <v>Прочее</v>
      </c>
      <c r="DR26">
        <f>IF(BD26="","",INT((BD26-1)/Столбцов_на_лист)+1)</f>
        <v>1</v>
      </c>
      <c r="DS26" t="str">
        <f t="shared" si="37"/>
        <v/>
      </c>
      <c r="DT26">
        <f t="shared" si="38"/>
        <v>0</v>
      </c>
      <c r="DU26">
        <f t="shared" si="39"/>
        <v>0</v>
      </c>
      <c r="DV26">
        <f t="shared" si="40"/>
        <v>3</v>
      </c>
      <c r="DW26">
        <f>IF(AT26="",0,_xlfn.LET(_xlpm.v,IFERROR(VLOOKUP(D26,УГО_спр,3,FALSE),IFERROR(VLOOKUP(AT26,УГО_спр,3,FALSE),IFERROR(VLOOKUP(LEFT(AT26,2),УГО_спр,3,FALSE),""))),IF(_xlpm.v="да",30,IF(ISNUMBER(_xlpm.v),_xlpm.v,0))))</f>
        <v>0</v>
      </c>
      <c r="DX26">
        <f t="shared" si="41"/>
        <v>0</v>
      </c>
      <c r="DY26" t="str">
        <f>IF(BD26="","",IF(AD26&lt;&gt;"",COUNTIFS(A$3:A26,A26,AD$3:AD26,"?*"),IF(OR(OR(AS26=1,A26&lt;&gt;A25),AL26="вручную"),"",IF(AS26=1,"",DZ25))))</f>
        <v/>
      </c>
      <c r="DZ26" t="str">
        <f t="shared" si="42"/>
        <v/>
      </c>
      <c r="EA26">
        <f>IF(D26="",0,MAX(IFERROR(--X26,0),IFERROR(--VLOOKUP(D26,УГО_спр,4,FALSE),IFERROR(--VLOOKUP(AT26,УГО_спр,4,FALSE),IFERROR(--VLOOKUP(LEFT(AT26,2),УГО_спр,4,FALSE),0)))))</f>
        <v>40</v>
      </c>
      <c r="EB26">
        <f>IF(D26="","",IFERROR(LOOKUP(INDEX(CHOOSE(BR26,Iдоп_1ж,Iдоп_2ж,Iдоп_3ж),MATCH(BS26,Iдоп_S,0))*BP26*BQ26,{6,10,16,20,25,32,40,50,63,80,100,125,160,200,250,315,400,500,630}),""))</f>
        <v>50</v>
      </c>
      <c r="EC26" t="str">
        <f>IF(AD26="","",SUMIFS(Линии[_Ток схемы],Линии[_гр.],DY26,Линии[Щит],A26,Линии[_в кабель выше],0))</f>
        <v/>
      </c>
      <c r="ED26" t="str">
        <f>IF(AD26="","",IFERROR(VLOOKUP(EC26,Автомат_номиналы,2,TRUE),""))</f>
        <v/>
      </c>
      <c r="EE26" t="str">
        <f>IF(AD26="","",MAX(N(ED26),_xlfn.MAXIFS(Линии[_мин. по типу],Линии[_гр.],DY26,Линии[Щит],A26)))</f>
        <v/>
      </c>
      <c r="EF26" t="str">
        <f>IF(AD26="","",_xlfn.MINIFS(Линии[_макс. автомат по кабелю],Линии[_гр.],DY26,Линии[Щит],A26))</f>
        <v/>
      </c>
      <c r="EG26" t="str">
        <f>IF(AD26="","",MAX(1,_xlfn.MAXIFS(Линии[_фаз],Линии[_гр.],DY26,Линии[Щит],A26)))</f>
        <v/>
      </c>
      <c r="EH26" t="str">
        <f>IF(AD26="","",IF(AND(AD26&lt;&gt;"авто",AD26&lt;&gt;"+"),IF(ISNUMBER(SEARCH("мА",AD26)),IFERROR(--TRIM(RIGHT(SUBSTITUTE(LEFT(AD26,SEARCH("мА",AD26)-1)," ",REPT(" ",9)),6)),30),0),IF(AE26="нет",0,IF(ISNUMBER(AE26),AE26,IF(AE26="да",30,_xlfn.MINIFS(Линии[_дифзащита по коду, мА],Линии[_гр.],DY26,Линии[Щит],A26,Линии[_дифзащита по коду, мА],"&gt;0"))))))</f>
        <v/>
      </c>
      <c r="EI26" t="str">
        <f t="shared" si="43"/>
        <v/>
      </c>
      <c r="EJ26" t="str">
        <f t="shared" si="44"/>
        <v/>
      </c>
      <c r="EK26" t="str">
        <f t="shared" si="45"/>
        <v/>
      </c>
      <c r="EL26" t="str">
        <f t="shared" si="46"/>
        <v/>
      </c>
      <c r="EM26">
        <f t="shared" si="47"/>
        <v>0</v>
      </c>
      <c r="EN26" t="str">
        <f>IF(AD26="","",IF(EM26=1,MAX(EE26,Мин_автомат_БП),EE26))</f>
        <v/>
      </c>
      <c r="EO26" t="str">
        <f t="shared" si="48"/>
        <v/>
      </c>
      <c r="EP26" t="str">
        <f t="shared" si="49"/>
        <v/>
      </c>
      <c r="EQ26" t="str">
        <f t="shared" si="50"/>
        <v/>
      </c>
      <c r="ER26" t="str">
        <f>IF(OR(AI26="",AI26="-"),"",IFERROR(VLOOKUP(AI26,Модули_спр,2,FALSE),"R"))</f>
        <v/>
      </c>
      <c r="ES26" t="str">
        <f>IF(ER26="","",ER26&amp;"."&amp;COUNTIFS(A$3:A26,A26,ER$3:ER26,ER26))</f>
        <v/>
      </c>
      <c r="ET26" t="str">
        <f t="shared" si="51"/>
        <v/>
      </c>
      <c r="EU26" t="str">
        <f t="shared" si="52"/>
        <v/>
      </c>
      <c r="EV26" t="str">
        <f t="shared" si="53"/>
        <v/>
      </c>
      <c r="EW26" t="str">
        <f t="shared" si="54"/>
        <v/>
      </c>
      <c r="EX26">
        <f t="shared" si="55"/>
        <v>0</v>
      </c>
      <c r="EY26" t="str">
        <f>IF(AK26="нет","",IF(AK26&lt;&gt;"",AK26,IF(EX26=1,"XT"&amp;COUNTIFS(A$3:A26,A26,EX$3:EX26,1),"")))</f>
        <v/>
      </c>
      <c r="EZ26" t="str">
        <f t="shared" si="56"/>
        <v/>
      </c>
      <c r="FA26" t="str">
        <f t="shared" si="57"/>
        <v/>
      </c>
      <c r="FB26" t="str">
        <f t="shared" si="58"/>
        <v/>
      </c>
      <c r="FC26" t="str">
        <f>IF(OR(EV26="",ET26=""),"",IF(EV26&gt;IFERROR(VLOOKUP(EU26,Модули_спр,3,FALSE),99),"ЛИШНИЙ КАНАЛ",IF(AND(AJ26&lt;&gt;"=",COUNTIFS(Линии[_модуль гр.],ET26,Линии[Канал (итог)],EV26,Линии[Канал],"&lt;&gt;=",Линии[Щит],A26)&gt;1),"ДУБЛЬ КАНАЛА","")))</f>
        <v/>
      </c>
      <c r="FD26" t="str">
        <f t="shared" si="59"/>
        <v/>
      </c>
      <c r="FE26" t="str">
        <f t="shared" si="60"/>
        <v/>
      </c>
      <c r="FF26" t="str">
        <f t="shared" si="61"/>
        <v/>
      </c>
      <c r="FG26" t="str">
        <f t="shared" si="62"/>
        <v/>
      </c>
      <c r="FH26" t="str">
        <f t="shared" si="63"/>
        <v/>
      </c>
      <c r="FI26">
        <f t="shared" si="64"/>
        <v>10</v>
      </c>
      <c r="FJ26" t="str">
        <f t="shared" si="65"/>
        <v/>
      </c>
      <c r="FK26" t="str">
        <f>IF(AND(D26="",EZ26=""),"",_xlfn.TEXTJOIN("; ",TRUE,IF(AND(D26&lt;&gt;"",DD26=""),"нет фазы",""),IF(AND(D26&lt;&gt;"",N(DT26)=0,CN26&lt;&gt;"Нет"),"нет мощности",""),IF(AND(EY26&lt;&gt;"",COUNTIFS(Линии[Щит],A26,Линии[Клемма (итог)],EY26)&gt;1),"дубль клеммы "&amp;EY26,""),IF(AND(FB26&lt;&gt;"",FB26&lt;&gt;"ok"),FB26,""),IF(FC26&lt;&gt;"",FC26,""),IF(AND(ISNUMBER(SEARCH("(5х",DS26)),N(DV26)=1),"5 жил на 1 фазе",""),IF(AND(AT26="R",AD26&lt;&gt;"",OR(N(EH26)=0,N(EH26)&gt;30)),"розетка без дифзащиты до 30 мА",""),IFERROR(IF(AND(ISNUMBER(CD26),CD26&gt;CE26),"потери "&amp;FIXED(CD26,1)&amp;" % &gt; "&amp;CE26&amp;" %",""),""),IFERROR(IF(LEFT(FJ26,4)="мало","Iкз мало — отключение &gt; 0,4 с",""),""),IF(AND(D26&lt;&gt;"",BD26=""),"не на схеме","")))</f>
        <v/>
      </c>
      <c r="FL26" t="str">
        <f>IF(AD26="","",_xlfn.LET(_xlpm.t,IFERROR(_xlfn.XLOOKUP(EP26,Каталог!$U$4:$U$500,Каталог!$G$4:$G$500),""),_xlpm.k,SEARCH("кА",_xlpm.t),IFERROR(--TRIM(RIGHT(SUBSTITUTE(MID(_xlpm.t,MAX(1,_xlpm.k-4),_xlpm.k-MAX(1,_xlpm.k-4))," ",REPT(" ",9)),5)),"")))</f>
        <v/>
      </c>
      <c r="FM26" t="str">
        <f>IF(OR(FL26="",AD26=""),"",IF(_xlfn.XLOOKUP(A26,Щиты[Щит],Щиты[Iкз max на шинах, кА],"")="","",IF(FL26&lt;_xlfn.XLOOKUP(A26,Щиты[Щит],Щиты[Iкз max на шинах, кА]),"Icu "&amp;FL26&amp;" кА &lt; Iкз max","ok")))</f>
        <v/>
      </c>
      <c r="FN26" t="str">
        <f t="shared" si="66"/>
        <v/>
      </c>
      <c r="FO26" t="str">
        <f t="shared" si="67"/>
        <v/>
      </c>
      <c r="FP26" t="str" cm="1">
        <f t="array" ref="FP26">IF(FO26="","",_xlfn.LET(_xlpm.nd,_xlfn.TEXTSPLIT(FO26,"|"),IF(COLUMNS(_xlpm.nd)&gt;1,A26&amp;"¦"&amp;INDEX(_xlpm.nd,1)&amp;"¦"&amp;INDEX(_xlpm.nd,2),"")))</f>
        <v/>
      </c>
      <c r="FQ26" t="str">
        <f t="shared" si="68"/>
        <v/>
      </c>
      <c r="FR26" t="str" cm="1">
        <f t="array" ref="FR26">IF(FO26="","",_xlfn.LET(_xlpm.nd,_xlfn.TEXTSPLIT(FO26,"|"),IF(COLUMNS(_xlpm.nd)&gt;2,A26&amp;"¦"&amp;INDEX(_xlpm.nd,2)&amp;"¦"&amp;INDEX(_xlpm.nd,3),"")))</f>
        <v/>
      </c>
      <c r="FS26" t="str">
        <f t="shared" si="69"/>
        <v/>
      </c>
      <c r="FT26" t="str" cm="1">
        <f t="array" ref="FT26">IF(FO26="","",_xlfn.LET(_xlpm.nd,_xlfn.TEXTSPLIT(FO26,"|"),IF(COLUMNS(_xlpm.nd)&gt;3,A26&amp;"¦"&amp;INDEX(_xlpm.nd,3)&amp;"¦"&amp;INDEX(_xlpm.nd,4),"")))</f>
        <v/>
      </c>
      <c r="FU26" t="str">
        <f t="shared" si="70"/>
        <v/>
      </c>
      <c r="FV26" t="str" cm="1">
        <f t="array" ref="FV26">IF(FO26="","",_xlfn.LET(_xlpm.nd,_xlfn.TEXTSPLIT(FO26,"|"),IF(COLUMNS(_xlpm.nd)&gt;4,A26&amp;"¦"&amp;INDEX(_xlpm.nd,4)&amp;"¦"&amp;INDEX(_xlpm.nd,5),"")))</f>
        <v/>
      </c>
      <c r="FW26" t="str">
        <f t="shared" si="71"/>
        <v/>
      </c>
      <c r="FX26" t="str" cm="1">
        <f t="array" ref="FX26">IF(FO26="","",_xlfn.LET(_xlpm.nd,_xlfn.TEXTSPLIT(FO26,"|"),IF(COLUMNS(_xlpm.nd)&gt;5,A26&amp;"¦"&amp;INDEX(_xlpm.nd,5)&amp;"¦"&amp;INDEX(_xlpm.nd,6),"")))</f>
        <v/>
      </c>
      <c r="FY26" t="str">
        <f t="shared" si="72"/>
        <v/>
      </c>
      <c r="FZ26" t="str" cm="1">
        <f t="array" ref="FZ26">IF(FO26="","",_xlfn.LET(_xlpm.nd,_xlfn.TEXTSPLIT(FO26,"|"),IF(COLUMNS(_xlpm.nd)&gt;6,A26&amp;"¦"&amp;INDEX(_xlpm.nd,6)&amp;"¦"&amp;INDEX(_xlpm.nd,7),"")))</f>
        <v/>
      </c>
      <c r="GA26" t="str">
        <f t="shared" si="73"/>
        <v/>
      </c>
      <c r="GB26" t="str">
        <f t="shared" si="74"/>
        <v/>
      </c>
      <c r="GC26" t="str">
        <f t="shared" si="75"/>
        <v/>
      </c>
      <c r="GD26">
        <f t="shared" si="76"/>
        <v>0</v>
      </c>
      <c r="GE26">
        <f t="shared" si="77"/>
        <v>0</v>
      </c>
      <c r="GF26">
        <f t="shared" si="78"/>
        <v>0</v>
      </c>
      <c r="GG26" t="str">
        <f t="shared" si="79"/>
        <v/>
      </c>
      <c r="GH26" t="str">
        <f t="shared" si="80"/>
        <v/>
      </c>
      <c r="GI26" t="str">
        <f t="shared" si="81"/>
        <v/>
      </c>
      <c r="GJ26" t="str">
        <f t="shared" si="82"/>
        <v/>
      </c>
      <c r="GK26">
        <f>IF(D26="","",IFERROR(VLOOKUP(D26,УГО_спр,2,FALSE),IFERROR(VLOOKUP(AT26,УГО_спр,2,FALSE),IFERROR(VLOOKUP(LEFT(AT26,2),УГО_спр,2,FALSE),""))))</f>
        <v>0</v>
      </c>
      <c r="GL26" t="str">
        <f>IF(D26="","",IF(OR(GK26="",GK26=0),"BOX",IFERROR(IF(VLOOKUP(GK26,УГО_блоки,3,FALSE)&amp;""&lt;&gt;"",VLOOKUP(GK26,УГО_блоки,3,FALSE),VLOOKUP(GK26,УГО_блоки,2,FALSE)),GK26)))</f>
        <v>BOX</v>
      </c>
      <c r="GM26">
        <f t="shared" si="83"/>
        <v>1</v>
      </c>
      <c r="GN26" t="str">
        <f>IF(EP26="","",IF(COUNTIF(EP$3:EP26,EP26)=1,MAX(GN$2:GN25)+1,""))</f>
        <v/>
      </c>
      <c r="GO26" t="str">
        <f>IF(AF26="","",IF(COUNTIF(AF$3:AF26,AF26)+COUNTIF(AG$2:AG25,AF26)+COUNTIF(AH$2:AH25,AF26)=1,MAX(GO$2:GQ25)+1,""))</f>
        <v/>
      </c>
      <c r="GP26" t="str">
        <f>IF(AG26="","",IF(COUNTIF(AF$3:AF26,AG26)+COUNTIF(AG$3:AG26,AG26)+COUNTIF(AH$2:AH25,AG26)=1,MAX(GO$2:GQ25,GO26)+1,""))</f>
        <v/>
      </c>
      <c r="GQ26" t="str">
        <f>IF(AH26="","",IF(COUNTIF(AF$3:AF26,AH26)+COUNTIF(AG$3:AG26,AH26)+COUNTIF(AH$3:AH26,AH26)=1,MAX(GO$2:GQ25,GO26,GP26)+1,""))</f>
        <v/>
      </c>
      <c r="GR26" t="str">
        <f t="shared" si="84"/>
        <v/>
      </c>
      <c r="GS26" t="str">
        <f>IF(GR26="","",IF(COUNTIF(GR$3:GR26,GR26)=1,MAX(GS$2:GS25)+1,""))</f>
        <v/>
      </c>
      <c r="GT26" t="str">
        <f>IF(ES26="","",COUNTIF(ES$3:ES26,"?*"))</f>
        <v/>
      </c>
      <c r="GU26" t="str">
        <f>IF(OR(ES26="",EU26=""),"",IF(COUNTIFS(ES$3:ES26,"?*",EU$3:EU26,EU26)=1,MAX(GU$2:GU25)+1,""))</f>
        <v/>
      </c>
      <c r="GV26">
        <f t="shared" si="85"/>
        <v>0</v>
      </c>
      <c r="GW26">
        <f>IF(D26="","",COUNTIF(D$3:D26,"?*"))</f>
        <v>24</v>
      </c>
      <c r="GX26">
        <f>IF(EX26&lt;&gt;1,0,_xlfn.LET(_xlpm.k,MAX(IFERROR(--VLOOKUP(D26,УГО_спр,5,FALSE),0),IFERROR(--VLOOKUP(AT26,УГО_спр,5,FALSE),0),IFERROR(--VLOOKUP(LEFT(AT26,2),УГО_спр,5,FALSE),0)),IF(_xlpm.k&gt;0,_xlpm.k,IF(IFERROR(--LEFT(SUBSTITUTE(GR26,"x","х"),FIND("х",SUBSTITUTE(GR26,"x","х"))-1),3)&gt;3,Каталог!$S$9,1))))</f>
        <v>0</v>
      </c>
      <c r="GY26">
        <f t="shared" si="86"/>
        <v>0</v>
      </c>
    </row>
    <row r="27" spans="1:207" x14ac:dyDescent="0.3">
      <c r="A27" t="s">
        <v>787</v>
      </c>
      <c r="B27">
        <v>9</v>
      </c>
      <c r="C27" t="str">
        <f>IF(BD27="","",IF(BE27="вводной узел","узел ","")&amp;"л."&amp;(INT((BD27-1)/Столбцов_на_лист)+1)&amp;" / "&amp;(MOD(BD27-1,Столбцов_на_лист)+1))</f>
        <v>л.1 / 9</v>
      </c>
      <c r="D27" t="s">
        <v>211</v>
      </c>
      <c r="E27" s="133" t="str">
        <f t="shared" si="87"/>
        <v>Питание на ИБП</v>
      </c>
      <c r="H27">
        <v>1</v>
      </c>
      <c r="I27">
        <v>1</v>
      </c>
      <c r="J27">
        <v>400</v>
      </c>
      <c r="K27" t="s">
        <v>551</v>
      </c>
      <c r="O27">
        <v>2</v>
      </c>
      <c r="AD27" t="s">
        <v>517</v>
      </c>
      <c r="AR27" t="str">
        <f t="shared" si="0"/>
        <v/>
      </c>
      <c r="AS27" cm="1">
        <f t="array" ref="AS27">ROW()-ROW(Линии[#Headers])</f>
        <v>25</v>
      </c>
      <c r="AT27" t="str">
        <f t="shared" si="1"/>
        <v>На ИБП</v>
      </c>
      <c r="AU27" t="str">
        <f t="shared" si="2"/>
        <v/>
      </c>
      <c r="AV27" t="str">
        <f t="shared" si="3"/>
        <v/>
      </c>
      <c r="AW27" t="str">
        <f t="shared" si="4"/>
        <v/>
      </c>
      <c r="AX27" t="str">
        <f t="shared" si="5"/>
        <v/>
      </c>
      <c r="AY27" t="str">
        <f>IF(D27="","",IF(ISERROR(SEARCH(".",D27)),IFERROR(VLOOKUP(D27,Потребители_обозначение,2,FALSE)&amp;"",""),IFERROR(IF(VLOOKUP(AT27,Потребители_обозначение,4,FALSE)=1,VLOOKUP(AT27,Потребители_обозначение,2,FALSE)&amp;" "&amp;VLOOKUP(AV27,Этаж_обозначение,2,FALSE)&amp;" Пом. №"&amp;AX27,VLOOKUP(AT27,Потребители_обозначение,2,FALSE)&amp;" Шлейф №"&amp;AV27),IFERROR(VLOOKUP(D27,Потребители_обозначение,2,FALSE),""))))</f>
        <v>Питание на ИБП</v>
      </c>
      <c r="AZ27" t="str">
        <f t="shared" si="6"/>
        <v>Питание на ИБП</v>
      </c>
      <c r="BA27" t="str">
        <f>IF(F27&lt;&gt;"",F27,IF(AND(D27&lt;&gt;"",D27&lt;&gt;A27,ISNUMBER(_xlfn.XMATCH(D27,Щиты[Щит]))),D27,""))</f>
        <v/>
      </c>
      <c r="BB27">
        <f>IFERROR(_xlfn.XMATCH(A27,Щиты[Щит]),0)</f>
        <v>2</v>
      </c>
      <c r="BC27">
        <f>IFERROR(N(_xlfn.XLOOKUP(A27,Щиты[Щит],Щиты[Мест под вводной узел])),15)</f>
        <v>8</v>
      </c>
      <c r="BD27">
        <f t="shared" si="7"/>
        <v>9</v>
      </c>
      <c r="BE27" t="str">
        <f t="shared" si="8"/>
        <v>линии</v>
      </c>
      <c r="BF27">
        <f>IF(D27="","",IF(BA27&lt;&gt;"",IFERROR(_xlfn.XLOOKUP(BA27,Щиты[Щит],Щиты[Руст, кВт]),0),N(G27)))</f>
        <v>0</v>
      </c>
      <c r="BG27">
        <f>IF(J27&lt;&gt;"",J27,IF(D27="","",IFERROR(IF(VLOOKUP(AT27,Потребители_обозначение,8,FALSE)=0,"",VLOOKUP(AT27,Потребители_обозначение,8,FALSE)),"")))</f>
        <v>400</v>
      </c>
      <c r="BH27">
        <f>IF(I27&lt;&gt;"",I27,IF(D27="","",IFERROR(IF(VLOOKUP(AT27,Потребители_обозначение,9,FALSE)=0,"",VLOOKUP(AT27,Потребители_обозначение,9,FALSE)),"")))</f>
        <v>1</v>
      </c>
      <c r="BI27" t="str">
        <f>IF(U27&lt;&gt;"",U27,IF(D27="","",IFERROR(IF(VLOOKUP(AT27,Потребители_обозначение,6,FALSE)=0,"",VLOOKUP(AT27,Потребители_обозначение,6,FALSE)),"")))</f>
        <v/>
      </c>
      <c r="BJ27" t="str">
        <f>IF(V27&lt;&gt;"",V27,IF(D27="","",IFERROR(IF(VLOOKUP(AT27,Потребители_обозначение,7,FALSE)=0,"",VLOOKUP(AT27,Потребители_обозначение,7,FALSE)),"")))</f>
        <v/>
      </c>
      <c r="BK27" t="str">
        <f>IF(W27&lt;&gt;"",W27,IF(D27="","",IFERROR(IF(VLOOKUP(AT27,Потребители_обозначение,10,FALSE)=0,"",VLOOKUP(AT27,Потребители_обозначение,10,FALSE)),"")))</f>
        <v/>
      </c>
      <c r="BL27">
        <f>IFERROR(VLOOKUP(AT27,Потребители_обозначение,5,FALSE),0)</f>
        <v>1</v>
      </c>
      <c r="BM27" cm="1">
        <f t="array" ref="BM27">IF(D27="","",IF(BA27&lt;&gt;"",IFERROR(_xlfn.XLOOKUP(BA27,Щиты[Щит],Щиты[cos φ]),0.95),IF(ISNUMBER(M27),M27,IFERROR(IF(BL27=2,_xlfn.IFS(BH27=3,VLOOKUP(BF27,Справочная_двигатели,8,FALSE),BH27=1,VLOOKUP(BF27,Справочная_двигатели,10,TRUE)),IF(AND(Методика="нормы 2026",CN27="Сил"),0.8,0.95)),0.95))))</f>
        <v>0.95</v>
      </c>
      <c r="BN27" cm="1">
        <f t="array" ref="BN27">IF(D27="","",IF(BA27&lt;&gt;"",IFERROR(_xlfn.XLOOKUP(BA27,Щиты[Щит],Щиты[Iр, А]),""),IFERROR(_xlfn.IFS(BH27=1,BF27/((Uн_лин/SQRT(3))*BM27),BH27=3,BF27/(SQRT(3)*Uн_лин*BM27)),"")))</f>
        <v>0</v>
      </c>
      <c r="BO27">
        <f>IF(D27="","",IF(N(X27)=0,IFERROR(VLOOKUP(BN27,Автомат_номиналы,2,TRUE),""),X27))</f>
        <v>6</v>
      </c>
      <c r="BP27">
        <f t="shared" si="9"/>
        <v>1</v>
      </c>
      <c r="BQ27">
        <f>IF(ISNUMBER(Y27),Y27,К_прокл)</f>
        <v>1</v>
      </c>
      <c r="BR27">
        <f t="shared" si="10"/>
        <v>2</v>
      </c>
      <c r="BS27" cm="1">
        <f t="array" ref="BS27">IF(D27="","",IF(N(BK27)&lt;&gt;0,BK27,IFERROR(_xlfn.LET(_xlpm.need,BO27/(BP27*BQ27),_xlpm.t,CHOOSE(BR27,Iдоп_1ж,Iдоп_2ж,Iдоп_3ж),_xlpm.k,_xlfn.XMATCH(_xlpm.need,_xlpm.t,1),IF(ISNA(_xlpm.k),"Не исп",INDEX(Iдоп_S,_xlpm.k))),"Не исп")))</f>
        <v>1.5</v>
      </c>
      <c r="BT27">
        <f>IFERROR(VLOOKUP(BS27,Кабель_сопротивление,3,FALSE),"")</f>
        <v>2.2499999999999999E-2</v>
      </c>
      <c r="BU27">
        <f>IFERROR(VLOOKUP(BS27,Кабель_сопротивление,2,FALSE),"")</f>
        <v>0.11</v>
      </c>
      <c r="BV27" t="str">
        <f t="shared" si="11"/>
        <v/>
      </c>
      <c r="BW27" t="str">
        <f>IF(D27="","",IFERROR(IF(VLOOKUP(AT27,Потребители_обозначение,4,FALSE)=1,VLOOKUP(AT27,Потребители_обозначение,3,FALSE)*(H27*2-1)+BV27+VLOOKUP(AV27,Этаж_обозначение,3,FALSE)+VLOOKUP(AV27,Этаж_обозначение,4,FALSE),VLOOKUP(AT27,Потребители_обозначение,3,FALSE)*(H27*2-1)+BV27),BV27))</f>
        <v/>
      </c>
      <c r="BX27" t="str">
        <f t="shared" si="12"/>
        <v/>
      </c>
      <c r="BY27" t="str">
        <f t="shared" si="13"/>
        <v/>
      </c>
      <c r="BZ27">
        <f t="shared" si="14"/>
        <v>2</v>
      </c>
      <c r="CA27">
        <f t="shared" si="15"/>
        <v>0.31</v>
      </c>
      <c r="CB27" t="str">
        <f t="shared" si="16"/>
        <v/>
      </c>
      <c r="CC27" t="str">
        <f>IFERROR(ROUNDUP(CB27/((Uн_лин/SQRT(3))*1000)*100,2),"")</f>
        <v/>
      </c>
      <c r="CD27" t="str">
        <f>IF(ISNUMBER(CC27),CC27+IFERROR(_xlfn.XLOOKUP(A27,Щиты[Щит],Щиты[ΔU до шин, %]),0),"")</f>
        <v/>
      </c>
      <c r="CE27">
        <f>IF(D27="","",IF(IFERROR(VLOOKUP(AT27,УГО_спр,2,FALSE),"")="Светильник",3,4)+IF(Методика="нормы 2026",MIN(0.5,MAX(0,N(BW27)-100)*0.005),0))</f>
        <v>4</v>
      </c>
      <c r="CF27" t="str">
        <f>IFERROR(VLOOKUP(BI27,Кабель_обозначение,2,FALSE),"")</f>
        <v/>
      </c>
      <c r="CG27" t="str">
        <f>IFERROR(IF(VLOOKUP(BI27,Кабель_обозначение,3,FALSE)=1,CF27&amp;" ("&amp;BJ27&amp;"х"&amp;BS27&amp;")",CF27),"")</f>
        <v/>
      </c>
      <c r="CH27" t="str">
        <f t="shared" si="17"/>
        <v/>
      </c>
      <c r="CI27" t="str">
        <f>IFERROR(2*ρкз_Cu*BW27/BS27,"")</f>
        <v/>
      </c>
      <c r="CJ27">
        <f t="shared" si="18"/>
        <v>0</v>
      </c>
      <c r="CK27" t="str">
        <f>IFERROR(IF(OR(D27="",NOT(ISNUMBER(BS27)),N(BW27)=0),"",_xlfn.XLOOKUP(A27,Щиты[Щит],Щиты[Zпетли на шинах, Ом])+CI27),"")</f>
        <v/>
      </c>
      <c r="CL27" t="str">
        <f>IF(ISNUMBER(CK27),c_min*(Uн_лин*1000/SQRT(3))/CK27,"")</f>
        <v/>
      </c>
      <c r="CM27" t="str">
        <f>IFERROR(IF(OR(D27="",NOT(ISNUMBER(BS27))),"",1.05*(Uн_лин*1000/SQRT(3))/(_xlfn.XLOOKUP(A27,Щиты[Щит],Щиты[Zmax на шинах, Ом])+CJ27)/1000),"")</f>
        <v/>
      </c>
      <c r="CN27" t="str">
        <f>IF(D27="","",IF(BA27&lt;&gt;"","Щит",IF(K27&lt;&gt;"",K27,IF(ISNUMBER(L27),"Сил",IF(IFERROR(_xlfn.XLOOKUP(AT27,Коды_код,Коды_группа)&amp;"","")="","Быт",_xlfn.XLOOKUP(AT27,Коды_код,Коды_группа)&amp;"")))))</f>
        <v>Нет</v>
      </c>
      <c r="CO27">
        <f>IF(CN27="Щит","щит",IF(CN27="","",IF(CN27="Быт",IFERROR(_xlfn.XLOOKUP(A27,Щиты[Щит],Щиты[Кс быт]),1),IF(CN27="Сил",IF(ISNUMBER(L27),L27,IF(Методика="нормы 2026",IFERROR(_xlfn.XLOOKUP(A27,Щиты[Щит],Щиты[Кс силовых (табл. 7.5)]),1),1)),IF(OR(CN27="Пост",CN27="Отоп"),1,IF(CN27="ВНГ",0.7,0))))))</f>
        <v>0</v>
      </c>
      <c r="CP27">
        <f t="shared" si="19"/>
        <v>1</v>
      </c>
      <c r="CQ27">
        <f t="shared" si="20"/>
        <v>0</v>
      </c>
      <c r="CR27">
        <f t="shared" si="21"/>
        <v>0</v>
      </c>
      <c r="CS27">
        <f t="shared" si="22"/>
        <v>0</v>
      </c>
      <c r="CT27">
        <f t="shared" si="23"/>
        <v>0</v>
      </c>
      <c r="CU27">
        <f t="shared" si="24"/>
        <v>0</v>
      </c>
      <c r="CV27">
        <f t="shared" si="25"/>
        <v>0</v>
      </c>
      <c r="CW27">
        <f t="shared" si="26"/>
        <v>0</v>
      </c>
      <c r="CX27">
        <f t="shared" si="27"/>
        <v>0</v>
      </c>
      <c r="CY27">
        <f t="shared" si="28"/>
        <v>1</v>
      </c>
      <c r="CZ27" t="str">
        <f t="shared" si="29"/>
        <v>L1</v>
      </c>
      <c r="DA27" cm="1">
        <f t="array" ref="DA27">IFERROR(IF(BL27=2,_xlfn.IFS(BH27=3,VLOOKUP(BF27,Справочная_двигатели,3,FALSE),BH27=1,VLOOKUP(BF27,Справочная_двигатели,5,TRUE)),0),0)</f>
        <v>0</v>
      </c>
      <c r="DB27">
        <f>IFERROR(IF(BL27=3,VLOOKUP(BF27,Справочная_ЛЭД,2,TRUE),0),0)</f>
        <v>0</v>
      </c>
      <c r="DC27">
        <f t="shared" si="30"/>
        <v>0</v>
      </c>
      <c r="DD27" t="str">
        <f t="shared" si="31"/>
        <v>L2</v>
      </c>
      <c r="DE27" t="str" cm="1">
        <f t="array" ref="DE27">IF(D27="","",IFERROR(INDEX({"I особая","I","II","III"},MATCH(TRIM(AA27&amp;""),{"I особая","I","II","III"},0)),"III"))</f>
        <v>III</v>
      </c>
      <c r="DF27" t="str">
        <f>IF(D27="","",IF(TRIM(AB27&amp;"")&lt;&gt;"",IF(LOWER(TRIM(AB27&amp;""))="да","да","нет"),IF(IFERROR(_xlfn.XLOOKUP(AT27,Коды_код,Коды_пожарная),"")="да","да","нет")))</f>
        <v>нет</v>
      </c>
      <c r="DG27" t="str">
        <f t="shared" si="32"/>
        <v/>
      </c>
      <c r="DH27" t="str">
        <f t="shared" si="33"/>
        <v>основная</v>
      </c>
      <c r="DI27">
        <f t="shared" si="34"/>
        <v>1</v>
      </c>
      <c r="DJ27" t="str" cm="1">
        <f t="array" ref="DJ27">IF(D27="","",_xlfn.LET(_xlpm.t,IFERROR(_xlfn.XLOOKUP(1,(Шины[Шина]=DH27)*(((Шины[Щит]=A27)+(Шины[Щит]=""))&gt;0),Шины[Тип]),"")&amp;"",IF(_xlpm.t&lt;&gt;"",_xlpm.t,IF(ISNUMBER(SEARCH("ИБП",DH27)),"ИБП",IF(ISNUMBER(SEARCH("ДГУ",DH27)),"ДГУ","Ввод "&amp;DI27)))))</f>
        <v>Ввод 1</v>
      </c>
      <c r="DK27" t="str">
        <f t="shared" si="35"/>
        <v>Ввод 1</v>
      </c>
      <c r="DL27" t="str">
        <f>IF(D27="","",IF(OR(DJ27="ИБП",DJ27="ДГУ"),"I особая",IF(DJ27="Одиночная","III",_xlfn.XLOOKUP(A27,Щиты[Щит],Щиты[Категория шины «Ввод»],"III"))))</f>
        <v>II</v>
      </c>
      <c r="DM27">
        <f>IF(D27="",0,IFERROR(MATCH(DE27,{"III","II","I","I особая"},0),1))</f>
        <v>1</v>
      </c>
      <c r="DN27">
        <f t="shared" si="36"/>
        <v>1</v>
      </c>
      <c r="DO27" t="str">
        <f>IF(D27="","",IF(DM27&gt;IFERROR(MATCH(DL27,{"III","II","I","I особая"},0),1),"НЕ ОБЕСПЕЧЕНА","ОК"))</f>
        <v>ОК</v>
      </c>
      <c r="DP27" t="str">
        <f>IF(A27="","",_xlfn.XLOOKUP(A27,Щиты[Щит],Щиты[Путь],""))</f>
        <v>|ГРЩ-ЖД|ЩГП|</v>
      </c>
      <c r="DQ27" t="str">
        <f>IF(D27="","",IF(Z27&lt;&gt;"",Z27,IF(IFERROR(_xlfn.XLOOKUP(AT27,Коды_код,Коды_вид)&amp;"","")="","Прочее",_xlfn.XLOOKUP(AT27,Коды_код,Коды_вид)&amp;"")))</f>
        <v>Прочее</v>
      </c>
      <c r="DR27">
        <f>IF(BD27="","",INT((BD27-1)/Столбцов_на_лист)+1)</f>
        <v>1</v>
      </c>
      <c r="DS27" t="str">
        <f t="shared" si="37"/>
        <v/>
      </c>
      <c r="DT27">
        <f t="shared" si="38"/>
        <v>0</v>
      </c>
      <c r="DU27">
        <f t="shared" si="39"/>
        <v>0</v>
      </c>
      <c r="DV27">
        <f t="shared" si="40"/>
        <v>1</v>
      </c>
      <c r="DW27">
        <f>IF(AT27="",0,_xlfn.LET(_xlpm.v,IFERROR(VLOOKUP(D27,УГО_спр,3,FALSE),IFERROR(VLOOKUP(AT27,УГО_спр,3,FALSE),IFERROR(VLOOKUP(LEFT(AT27,2),УГО_спр,3,FALSE),""))),IF(_xlpm.v="да",30,IF(ISNUMBER(_xlpm.v),_xlpm.v,0))))</f>
        <v>0</v>
      </c>
      <c r="DX27">
        <f t="shared" si="41"/>
        <v>0</v>
      </c>
      <c r="DY27">
        <f>IF(BD27="","",IF(AD27&lt;&gt;"",COUNTIFS(A$3:A27,A27,AD$3:AD27,"?*"),IF(OR(OR(AS27=1,A27&lt;&gt;A26),AL27="вручную"),"",IF(AS27=1,"",DZ26))))</f>
        <v>1</v>
      </c>
      <c r="DZ27">
        <f t="shared" si="42"/>
        <v>1</v>
      </c>
      <c r="EA27">
        <f>IF(D27="",0,MAX(IFERROR(--X27,0),IFERROR(--VLOOKUP(D27,УГО_спр,4,FALSE),IFERROR(--VLOOKUP(AT27,УГО_спр,4,FALSE),IFERROR(--VLOOKUP(LEFT(AT27,2),УГО_спр,4,FALSE),0)))))</f>
        <v>0</v>
      </c>
      <c r="EB27">
        <f>IF(D27="","",IFERROR(LOOKUP(INDEX(CHOOSE(BR27,Iдоп_1ж,Iдоп_2ж,Iдоп_3ж),MATCH(BS27,Iдоп_S,0))*BP27*BQ27,{6,10,16,20,25,32,40,50,63,80,100,125,160,200,250,315,400,500,630}),""))</f>
        <v>16</v>
      </c>
      <c r="EC27">
        <f>IF(AD27="","",SUMIFS(Линии[_Ток схемы],Линии[_гр.],DY27,Линии[Щит],A27,Линии[_в кабель выше],0))</f>
        <v>0</v>
      </c>
      <c r="ED27">
        <f>IF(AD27="","",IFERROR(VLOOKUP(EC27,Автомат_номиналы,2,TRUE),""))</f>
        <v>6</v>
      </c>
      <c r="EE27">
        <f>IF(AD27="","",MAX(N(ED27),_xlfn.MAXIFS(Линии[_мин. по типу],Линии[_гр.],DY27,Линии[Щит],A27)))</f>
        <v>6</v>
      </c>
      <c r="EF27">
        <f>IF(AD27="","",_xlfn.MINIFS(Линии[_макс. автомат по кабелю],Линии[_гр.],DY27,Линии[Щит],A27))</f>
        <v>16</v>
      </c>
      <c r="EG27">
        <f>IF(AD27="","",MAX(1,_xlfn.MAXIFS(Линии[_фаз],Линии[_гр.],DY27,Линии[Щит],A27)))</f>
        <v>1</v>
      </c>
      <c r="EH27">
        <f>IF(AD27="","",IF(AND(AD27&lt;&gt;"авто",AD27&lt;&gt;"+"),IF(ISNUMBER(SEARCH("мА",AD27)),IFERROR(--TRIM(RIGHT(SUBSTITUTE(LEFT(AD27,SEARCH("мА",AD27)-1)," ",REPT(" ",9)),6)),30),0),IF(AE27="нет",0,IF(ISNUMBER(AE27),AE27,IF(AE27="да",30,_xlfn.MINIFS(Линии[_дифзащита по коду, мА],Линии[_гр.],DY27,Линии[Щит],A27,Линии[_дифзащита по коду, мА],"&gt;0"))))))</f>
        <v>0</v>
      </c>
      <c r="EI27">
        <f t="shared" si="43"/>
        <v>0</v>
      </c>
      <c r="EJ27" t="str">
        <f t="shared" si="44"/>
        <v>QF1</v>
      </c>
      <c r="EK27" t="str">
        <f t="shared" si="45"/>
        <v>QF1</v>
      </c>
      <c r="EL27" t="str">
        <f t="shared" si="46"/>
        <v/>
      </c>
      <c r="EM27">
        <f t="shared" si="47"/>
        <v>0</v>
      </c>
      <c r="EN27">
        <f>IF(AD27="","",IF(EM27=1,MAX(EE27,Мин_автомат_БП),EE27))</f>
        <v>6</v>
      </c>
      <c r="EO27" t="str">
        <f t="shared" si="48"/>
        <v>1P</v>
      </c>
      <c r="EP27" t="str">
        <f t="shared" si="49"/>
        <v>1P С6А</v>
      </c>
      <c r="EQ27">
        <f t="shared" si="50"/>
        <v>6</v>
      </c>
      <c r="ER27" t="str">
        <f>IF(OR(AI27="",AI27="-"),"",IFERROR(VLOOKUP(AI27,Модули_спр,2,FALSE),"R"))</f>
        <v/>
      </c>
      <c r="ES27" t="str">
        <f>IF(ER27="","",ER27&amp;"."&amp;COUNTIFS(A$3:A27,A27,ER$3:ER27,ER27))</f>
        <v/>
      </c>
      <c r="ET27" t="str">
        <f t="shared" si="51"/>
        <v/>
      </c>
      <c r="EU27" t="str">
        <f t="shared" si="52"/>
        <v/>
      </c>
      <c r="EV27" t="str">
        <f t="shared" si="53"/>
        <v/>
      </c>
      <c r="EW27" t="str">
        <f t="shared" si="54"/>
        <v/>
      </c>
      <c r="EX27">
        <f t="shared" si="55"/>
        <v>0</v>
      </c>
      <c r="EY27" t="str">
        <f>IF(AK27="нет","",IF(AK27&lt;&gt;"",AK27,IF(EX27=1,"XT"&amp;COUNTIFS(A$3:A27,A27,EX$3:EX27,1),"")))</f>
        <v/>
      </c>
      <c r="EZ27" t="str">
        <f t="shared" si="56"/>
        <v>QF1</v>
      </c>
      <c r="FA27" t="str">
        <f t="shared" si="57"/>
        <v/>
      </c>
      <c r="FB27" t="str">
        <f t="shared" si="58"/>
        <v>ok</v>
      </c>
      <c r="FC27" t="str">
        <f>IF(OR(EV27="",ET27=""),"",IF(EV27&gt;IFERROR(VLOOKUP(EU27,Модули_спр,3,FALSE),99),"ЛИШНИЙ КАНАЛ",IF(AND(AJ27&lt;&gt;"=",COUNTIFS(Линии[_модуль гр.],ET27,Линии[Канал (итог)],EV27,Линии[Канал],"&lt;&gt;=",Линии[Щит],A27)&gt;1),"ДУБЛЬ КАНАЛА","")))</f>
        <v/>
      </c>
      <c r="FD27">
        <f t="shared" si="59"/>
        <v>6</v>
      </c>
      <c r="FE27" t="str">
        <f t="shared" si="60"/>
        <v>1P С6А</v>
      </c>
      <c r="FF27">
        <f t="shared" si="61"/>
        <v>0</v>
      </c>
      <c r="FG27">
        <f t="shared" si="62"/>
        <v>0</v>
      </c>
      <c r="FH27" t="str">
        <f t="shared" si="63"/>
        <v/>
      </c>
      <c r="FI27">
        <f t="shared" si="64"/>
        <v>10</v>
      </c>
      <c r="FJ27" t="str">
        <f t="shared" si="65"/>
        <v/>
      </c>
      <c r="FK27" t="str">
        <f>IF(AND(D27="",EZ27=""),"",_xlfn.TEXTJOIN("; ",TRUE,IF(AND(D27&lt;&gt;"",DD27=""),"нет фазы",""),IF(AND(D27&lt;&gt;"",N(DT27)=0,CN27&lt;&gt;"Нет"),"нет мощности",""),IF(AND(EY27&lt;&gt;"",COUNTIFS(Линии[Щит],A27,Линии[Клемма (итог)],EY27)&gt;1),"дубль клеммы "&amp;EY27,""),IF(AND(FB27&lt;&gt;"",FB27&lt;&gt;"ok"),FB27,""),IF(FC27&lt;&gt;"",FC27,""),IF(AND(ISNUMBER(SEARCH("(5х",DS27)),N(DV27)=1),"5 жил на 1 фазе",""),IF(AND(AT27="R",AD27&lt;&gt;"",OR(N(EH27)=0,N(EH27)&gt;30)),"розетка без дифзащиты до 30 мА",""),IFERROR(IF(AND(ISNUMBER(CD27),CD27&gt;CE27),"потери "&amp;FIXED(CD27,1)&amp;" % &gt; "&amp;CE27&amp;" %",""),""),IFERROR(IF(LEFT(FJ27,4)="мало","Iкз мало — отключение &gt; 0,4 с",""),""),IF(AND(D27&lt;&gt;"",BD27=""),"не на схеме","")))</f>
        <v/>
      </c>
      <c r="FL27" t="str">
        <f>IF(AD27="","",_xlfn.LET(_xlpm.t,IFERROR(_xlfn.XLOOKUP(EP27,Каталог!$U$4:$U$500,Каталог!$G$4:$G$500),""),_xlpm.k,SEARCH("кА",_xlpm.t),IFERROR(--TRIM(RIGHT(SUBSTITUTE(MID(_xlpm.t,MAX(1,_xlpm.k-4),_xlpm.k-MAX(1,_xlpm.k-4))," ",REPT(" ",9)),5)),"")))</f>
        <v/>
      </c>
      <c r="FM27" t="str">
        <f>IF(OR(FL27="",AD27=""),"",IF(_xlfn.XLOOKUP(A27,Щиты[Щит],Щиты[Iкз max на шинах, кА],"")="","",IF(FL27&lt;_xlfn.XLOOKUP(A27,Щиты[Щит],Щиты[Iкз max на шинах, кА]),"Icu "&amp;FL27&amp;" кА &lt; Iкз max","ok")))</f>
        <v/>
      </c>
      <c r="FN27" t="str">
        <f t="shared" si="66"/>
        <v>QF1</v>
      </c>
      <c r="FO27" t="str">
        <f t="shared" si="67"/>
        <v>QF1|кабель  → Питание на ИБП</v>
      </c>
      <c r="FP27" t="str" cm="1">
        <f t="array" ref="FP27">IF(FO27="","",_xlfn.LET(_xlpm.nd,_xlfn.TEXTSPLIT(FO27,"|"),IF(COLUMNS(_xlpm.nd)&gt;1,A27&amp;"¦"&amp;INDEX(_xlpm.nd,1)&amp;"¦"&amp;INDEX(_xlpm.nd,2),"")))</f>
        <v>ЩГП¦QF1¦кабель  → Питание на ИБП</v>
      </c>
      <c r="FQ27" t="str">
        <f t="shared" si="68"/>
        <v>На ИБП¦Питание на ИБП</v>
      </c>
      <c r="FR27" t="str" cm="1">
        <f t="array" ref="FR27">IF(FO27="","",_xlfn.LET(_xlpm.nd,_xlfn.TEXTSPLIT(FO27,"|"),IF(COLUMNS(_xlpm.nd)&gt;2,A27&amp;"¦"&amp;INDEX(_xlpm.nd,2)&amp;"¦"&amp;INDEX(_xlpm.nd,3),"")))</f>
        <v/>
      </c>
      <c r="FS27" t="str">
        <f t="shared" si="69"/>
        <v/>
      </c>
      <c r="FT27" t="str" cm="1">
        <f t="array" ref="FT27">IF(FO27="","",_xlfn.LET(_xlpm.nd,_xlfn.TEXTSPLIT(FO27,"|"),IF(COLUMNS(_xlpm.nd)&gt;3,A27&amp;"¦"&amp;INDEX(_xlpm.nd,3)&amp;"¦"&amp;INDEX(_xlpm.nd,4),"")))</f>
        <v/>
      </c>
      <c r="FU27" t="str">
        <f t="shared" si="70"/>
        <v/>
      </c>
      <c r="FV27" t="str" cm="1">
        <f t="array" ref="FV27">IF(FO27="","",_xlfn.LET(_xlpm.nd,_xlfn.TEXTSPLIT(FO27,"|"),IF(COLUMNS(_xlpm.nd)&gt;4,A27&amp;"¦"&amp;INDEX(_xlpm.nd,4)&amp;"¦"&amp;INDEX(_xlpm.nd,5),"")))</f>
        <v/>
      </c>
      <c r="FW27" t="str">
        <f t="shared" si="71"/>
        <v/>
      </c>
      <c r="FX27" t="str" cm="1">
        <f t="array" ref="FX27">IF(FO27="","",_xlfn.LET(_xlpm.nd,_xlfn.TEXTSPLIT(FO27,"|"),IF(COLUMNS(_xlpm.nd)&gt;5,A27&amp;"¦"&amp;INDEX(_xlpm.nd,5)&amp;"¦"&amp;INDEX(_xlpm.nd,6),"")))</f>
        <v/>
      </c>
      <c r="FY27" t="str">
        <f t="shared" si="72"/>
        <v/>
      </c>
      <c r="FZ27" t="str" cm="1">
        <f t="array" ref="FZ27">IF(FO27="","",_xlfn.LET(_xlpm.nd,_xlfn.TEXTSPLIT(FO27,"|"),IF(COLUMNS(_xlpm.nd)&gt;6,A27&amp;"¦"&amp;INDEX(_xlpm.nd,6)&amp;"¦"&amp;INDEX(_xlpm.nd,7),"")))</f>
        <v/>
      </c>
      <c r="GA27" t="str">
        <f t="shared" si="73"/>
        <v/>
      </c>
      <c r="GB27" t="str">
        <f t="shared" si="74"/>
        <v/>
      </c>
      <c r="GC27" t="str">
        <f t="shared" si="75"/>
        <v>QF1</v>
      </c>
      <c r="GD27">
        <f t="shared" si="76"/>
        <v>1</v>
      </c>
      <c r="GE27">
        <f t="shared" si="77"/>
        <v>0</v>
      </c>
      <c r="GF27">
        <f t="shared" si="78"/>
        <v>0</v>
      </c>
      <c r="GG27" t="str">
        <f t="shared" si="79"/>
        <v/>
      </c>
      <c r="GH27" t="str">
        <f t="shared" si="80"/>
        <v/>
      </c>
      <c r="GI27" t="str">
        <f t="shared" si="81"/>
        <v/>
      </c>
      <c r="GJ27" t="str">
        <f t="shared" si="82"/>
        <v/>
      </c>
      <c r="GK27">
        <f>IF(D27="","",IFERROR(VLOOKUP(D27,УГО_спр,2,FALSE),IFERROR(VLOOKUP(AT27,УГО_спр,2,FALSE),IFERROR(VLOOKUP(LEFT(AT27,2),УГО_спр,2,FALSE),""))))</f>
        <v>0</v>
      </c>
      <c r="GL27" t="str">
        <f>IF(D27="","",IF(OR(GK27="",GK27=0),"BOX",IFERROR(IF(VLOOKUP(GK27,УГО_блоки,3,FALSE)&amp;""&lt;&gt;"",VLOOKUP(GK27,УГО_блоки,3,FALSE),VLOOKUP(GK27,УГО_блоки,2,FALSE)),GK27)))</f>
        <v>BOX</v>
      </c>
      <c r="GM27">
        <f t="shared" si="83"/>
        <v>1</v>
      </c>
      <c r="GN27">
        <f>IF(EP27="","",IF(COUNTIF(EP$3:EP27,EP27)=1,MAX(GN$2:GN26)+1,""))</f>
        <v>1</v>
      </c>
      <c r="GO27" t="str">
        <f>IF(AF27="","",IF(COUNTIF(AF$3:AF27,AF27)+COUNTIF(AG$2:AG26,AF27)+COUNTIF(AH$2:AH26,AF27)=1,MAX(GO$2:GQ26)+1,""))</f>
        <v/>
      </c>
      <c r="GP27" t="str">
        <f>IF(AG27="","",IF(COUNTIF(AF$3:AF27,AG27)+COUNTIF(AG$3:AG27,AG27)+COUNTIF(AH$2:AH26,AG27)=1,MAX(GO$2:GQ26,GO27)+1,""))</f>
        <v/>
      </c>
      <c r="GQ27" t="str">
        <f>IF(AH27="","",IF(COUNTIF(AF$3:AF27,AH27)+COUNTIF(AG$3:AG27,AH27)+COUNTIF(AH$3:AH27,AH27)=1,MAX(GO$2:GQ26,GO27,GP27)+1,""))</f>
        <v/>
      </c>
      <c r="GR27" t="str">
        <f t="shared" si="84"/>
        <v/>
      </c>
      <c r="GS27" t="str">
        <f>IF(GR27="","",IF(COUNTIF(GR$3:GR27,GR27)=1,MAX(GS$2:GS26)+1,""))</f>
        <v/>
      </c>
      <c r="GT27" t="str">
        <f>IF(ES27="","",COUNTIF(ES$3:ES27,"?*"))</f>
        <v/>
      </c>
      <c r="GU27" t="str">
        <f>IF(OR(ES27="",EU27=""),"",IF(COUNTIFS(ES$3:ES27,"?*",EU$3:EU27,EU27)=1,MAX(GU$2:GU26)+1,""))</f>
        <v/>
      </c>
      <c r="GV27">
        <f t="shared" si="85"/>
        <v>0</v>
      </c>
      <c r="GW27">
        <f>IF(D27="","",COUNTIF(D$3:D27,"?*"))</f>
        <v>25</v>
      </c>
      <c r="GX27">
        <f>IF(EX27&lt;&gt;1,0,_xlfn.LET(_xlpm.k,MAX(IFERROR(--VLOOKUP(D27,УГО_спр,5,FALSE),0),IFERROR(--VLOOKUP(AT27,УГО_спр,5,FALSE),0),IFERROR(--VLOOKUP(LEFT(AT27,2),УГО_спр,5,FALSE),0)),IF(_xlpm.k&gt;0,_xlpm.k,IF(IFERROR(--LEFT(SUBSTITUTE(GR27,"x","х"),FIND("х",SUBSTITUTE(GR27,"x","х"))-1),3)&gt;3,Каталог!$S$9,1))))</f>
        <v>0</v>
      </c>
      <c r="GY27">
        <f t="shared" si="86"/>
        <v>0</v>
      </c>
    </row>
    <row r="28" spans="1:207" x14ac:dyDescent="0.3">
      <c r="A28" t="s">
        <v>787</v>
      </c>
      <c r="B28">
        <v>11</v>
      </c>
      <c r="C28" t="str">
        <f>IF(BD28="","",IF(BE28="вводной узел","узел ","")&amp;"л."&amp;(INT((BD28-1)/Столбцов_на_лист)+1)&amp;" / "&amp;(MOD(BD28-1,Столбцов_на_лист)+1))</f>
        <v>л.1 / 11</v>
      </c>
      <c r="D28" t="s">
        <v>212</v>
      </c>
      <c r="E28" s="133" t="str">
        <f t="shared" si="87"/>
        <v>Питание от ИБП</v>
      </c>
      <c r="H28">
        <v>1</v>
      </c>
      <c r="J28">
        <v>400</v>
      </c>
      <c r="K28" t="s">
        <v>551</v>
      </c>
      <c r="O28">
        <v>1</v>
      </c>
      <c r="AD28" t="s">
        <v>517</v>
      </c>
      <c r="AR28" t="str">
        <f t="shared" si="0"/>
        <v>сечение не подобрано</v>
      </c>
      <c r="AS28" cm="1">
        <f t="array" ref="AS28">ROW()-ROW(Линии[#Headers])</f>
        <v>26</v>
      </c>
      <c r="AT28" t="str">
        <f t="shared" si="1"/>
        <v>От ИБП</v>
      </c>
      <c r="AU28" t="str">
        <f t="shared" si="2"/>
        <v/>
      </c>
      <c r="AV28" t="str">
        <f t="shared" si="3"/>
        <v/>
      </c>
      <c r="AW28" t="str">
        <f t="shared" si="4"/>
        <v/>
      </c>
      <c r="AX28" t="str">
        <f t="shared" si="5"/>
        <v/>
      </c>
      <c r="AY28" t="str">
        <f>IF(D28="","",IF(ISERROR(SEARCH(".",D28)),IFERROR(VLOOKUP(D28,Потребители_обозначение,2,FALSE)&amp;"",""),IFERROR(IF(VLOOKUP(AT28,Потребители_обозначение,4,FALSE)=1,VLOOKUP(AT28,Потребители_обозначение,2,FALSE)&amp;" "&amp;VLOOKUP(AV28,Этаж_обозначение,2,FALSE)&amp;" Пом. №"&amp;AX28,VLOOKUP(AT28,Потребители_обозначение,2,FALSE)&amp;" Шлейф №"&amp;AV28),IFERROR(VLOOKUP(D28,Потребители_обозначение,2,FALSE),""))))</f>
        <v>Питание от ИБП</v>
      </c>
      <c r="AZ28" t="str">
        <f t="shared" si="6"/>
        <v>Питание от ИБП</v>
      </c>
      <c r="BA28" t="str">
        <f>IF(F28&lt;&gt;"",F28,IF(AND(D28&lt;&gt;"",D28&lt;&gt;A28,ISNUMBER(_xlfn.XMATCH(D28,Щиты[Щит]))),D28,""))</f>
        <v/>
      </c>
      <c r="BB28">
        <f>IFERROR(_xlfn.XMATCH(A28,Щиты[Щит]),0)</f>
        <v>2</v>
      </c>
      <c r="BC28">
        <f>IFERROR(N(_xlfn.XLOOKUP(A28,Щиты[Щит],Щиты[Мест под вводной узел])),15)</f>
        <v>8</v>
      </c>
      <c r="BD28">
        <f t="shared" si="7"/>
        <v>11</v>
      </c>
      <c r="BE28" t="str">
        <f t="shared" si="8"/>
        <v>линии</v>
      </c>
      <c r="BF28">
        <f>IF(D28="","",IF(BA28&lt;&gt;"",IFERROR(_xlfn.XLOOKUP(BA28,Щиты[Щит],Щиты[Руст, кВт]),0),N(G28)))</f>
        <v>0</v>
      </c>
      <c r="BG28">
        <f>IF(J28&lt;&gt;"",J28,IF(D28="","",IFERROR(IF(VLOOKUP(AT28,Потребители_обозначение,8,FALSE)=0,"",VLOOKUP(AT28,Потребители_обозначение,8,FALSE)),"")))</f>
        <v>400</v>
      </c>
      <c r="BH28" t="str">
        <f>IF(I28&lt;&gt;"",I28,IF(D28="","",IFERROR(IF(VLOOKUP(AT28,Потребители_обозначение,9,FALSE)=0,"",VLOOKUP(AT28,Потребители_обозначение,9,FALSE)),"")))</f>
        <v/>
      </c>
      <c r="BI28" t="str">
        <f>IF(U28&lt;&gt;"",U28,IF(D28="","",IFERROR(IF(VLOOKUP(AT28,Потребители_обозначение,6,FALSE)=0,"",VLOOKUP(AT28,Потребители_обозначение,6,FALSE)),"")))</f>
        <v/>
      </c>
      <c r="BJ28" t="str">
        <f>IF(V28&lt;&gt;"",V28,IF(D28="","",IFERROR(IF(VLOOKUP(AT28,Потребители_обозначение,7,FALSE)=0,"",VLOOKUP(AT28,Потребители_обозначение,7,FALSE)),"")))</f>
        <v/>
      </c>
      <c r="BK28" t="str">
        <f>IF(W28&lt;&gt;"",W28,IF(D28="","",IFERROR(IF(VLOOKUP(AT28,Потребители_обозначение,10,FALSE)=0,"",VLOOKUP(AT28,Потребители_обозначение,10,FALSE)),"")))</f>
        <v/>
      </c>
      <c r="BL28">
        <f>IFERROR(VLOOKUP(AT28,Потребители_обозначение,5,FALSE),0)</f>
        <v>1</v>
      </c>
      <c r="BM28" cm="1">
        <f t="array" ref="BM28">IF(D28="","",IF(BA28&lt;&gt;"",IFERROR(_xlfn.XLOOKUP(BA28,Щиты[Щит],Щиты[cos φ]),0.95),IF(ISNUMBER(M28),M28,IFERROR(IF(BL28=2,_xlfn.IFS(BH28=3,VLOOKUP(BF28,Справочная_двигатели,8,FALSE),BH28=1,VLOOKUP(BF28,Справочная_двигатели,10,TRUE)),IF(AND(Методика="нормы 2026",CN28="Сил"),0.8,0.95)),0.95))))</f>
        <v>0.95</v>
      </c>
      <c r="BN28" t="str" cm="1">
        <f t="array" ref="BN28">IF(D28="","",IF(BA28&lt;&gt;"",IFERROR(_xlfn.XLOOKUP(BA28,Щиты[Щит],Щиты[Iр, А]),""),IFERROR(_xlfn.IFS(BH28=1,BF28/((Uн_лин/SQRT(3))*BM28),BH28=3,BF28/(SQRT(3)*Uн_лин*BM28)),"")))</f>
        <v/>
      </c>
      <c r="BO28" t="str">
        <f>IF(D28="","",IF(N(X28)=0,IFERROR(VLOOKUP(BN28,Автомат_номиналы,2,TRUE),""),X28))</f>
        <v/>
      </c>
      <c r="BP28">
        <f t="shared" si="9"/>
        <v>1</v>
      </c>
      <c r="BQ28">
        <f>IF(ISNUMBER(Y28),Y28,К_прокл)</f>
        <v>1</v>
      </c>
      <c r="BR28">
        <f t="shared" si="10"/>
        <v>3</v>
      </c>
      <c r="BS28" t="str" cm="1">
        <f t="array" ref="BS28">IF(D28="","",IF(N(BK28)&lt;&gt;0,BK28,IFERROR(_xlfn.LET(_xlpm.need,BO28/(BP28*BQ28),_xlpm.t,CHOOSE(BR28,Iдоп_1ж,Iдоп_2ж,Iдоп_3ж),_xlpm.k,_xlfn.XMATCH(_xlpm.need,_xlpm.t,1),IF(ISNA(_xlpm.k),"Не исп",INDEX(Iдоп_S,_xlpm.k))),"Не исп")))</f>
        <v>Не исп</v>
      </c>
      <c r="BT28" t="str">
        <f>IFERROR(VLOOKUP(BS28,Кабель_сопротивление,3,FALSE),"")</f>
        <v/>
      </c>
      <c r="BU28" t="str">
        <f>IFERROR(VLOOKUP(BS28,Кабель_сопротивление,2,FALSE),"")</f>
        <v/>
      </c>
      <c r="BV28" t="str">
        <f t="shared" si="11"/>
        <v/>
      </c>
      <c r="BW28" t="str">
        <f>IF(D28="","",IFERROR(IF(VLOOKUP(AT28,Потребители_обозначение,4,FALSE)=1,VLOOKUP(AT28,Потребители_обозначение,3,FALSE)*(H28*2-1)+BV28+VLOOKUP(AV28,Этаж_обозначение,3,FALSE)+VLOOKUP(AV28,Этаж_обозначение,4,FALSE),VLOOKUP(AT28,Потребители_обозначение,3,FALSE)*(H28*2-1)+BV28),BV28))</f>
        <v/>
      </c>
      <c r="BX28" t="str">
        <f t="shared" si="12"/>
        <v/>
      </c>
      <c r="BY28" t="str">
        <f t="shared" si="13"/>
        <v/>
      </c>
      <c r="BZ28" t="str">
        <f t="shared" si="14"/>
        <v/>
      </c>
      <c r="CA28">
        <f t="shared" si="15"/>
        <v>0.31</v>
      </c>
      <c r="CB28" t="str">
        <f t="shared" si="16"/>
        <v/>
      </c>
      <c r="CC28" t="str">
        <f>IFERROR(ROUNDUP(CB28/((Uн_лин/SQRT(3))*1000)*100,2),"")</f>
        <v/>
      </c>
      <c r="CD28" t="str">
        <f>IF(ISNUMBER(CC28),CC28+IFERROR(_xlfn.XLOOKUP(A28,Щиты[Щит],Щиты[ΔU до шин, %]),0),"")</f>
        <v/>
      </c>
      <c r="CE28">
        <f>IF(D28="","",IF(IFERROR(VLOOKUP(AT28,УГО_спр,2,FALSE),"")="Светильник",3,4)+IF(Методика="нормы 2026",MIN(0.5,MAX(0,N(BW28)-100)*0.005),0))</f>
        <v>4</v>
      </c>
      <c r="CF28" t="str">
        <f>IFERROR(VLOOKUP(BI28,Кабель_обозначение,2,FALSE),"")</f>
        <v/>
      </c>
      <c r="CG28" t="str">
        <f>IFERROR(IF(VLOOKUP(BI28,Кабель_обозначение,3,FALSE)=1,CF28&amp;" ("&amp;BJ28&amp;"х"&amp;BS28&amp;")",CF28),"")</f>
        <v/>
      </c>
      <c r="CH28" t="str">
        <f t="shared" si="17"/>
        <v/>
      </c>
      <c r="CI28" t="str">
        <f>IFERROR(2*ρкз_Cu*BW28/BS28,"")</f>
        <v/>
      </c>
      <c r="CJ28" t="str">
        <f t="shared" si="18"/>
        <v/>
      </c>
      <c r="CK28" t="str">
        <f>IFERROR(IF(OR(D28="",NOT(ISNUMBER(BS28)),N(BW28)=0),"",_xlfn.XLOOKUP(A28,Щиты[Щит],Щиты[Zпетли на шинах, Ом])+CI28),"")</f>
        <v/>
      </c>
      <c r="CL28" t="str">
        <f>IF(ISNUMBER(CK28),c_min*(Uн_лин*1000/SQRT(3))/CK28,"")</f>
        <v/>
      </c>
      <c r="CM28" t="str">
        <f>IFERROR(IF(OR(D28="",NOT(ISNUMBER(BS28))),"",1.05*(Uн_лин*1000/SQRT(3))/(_xlfn.XLOOKUP(A28,Щиты[Щит],Щиты[Zmax на шинах, Ом])+CJ28)/1000),"")</f>
        <v/>
      </c>
      <c r="CN28" t="str">
        <f>IF(D28="","",IF(BA28&lt;&gt;"","Щит",IF(K28&lt;&gt;"",K28,IF(ISNUMBER(L28),"Сил",IF(IFERROR(_xlfn.XLOOKUP(AT28,Коды_код,Коды_группа)&amp;"","")="","Быт",_xlfn.XLOOKUP(AT28,Коды_код,Коды_группа)&amp;"")))))</f>
        <v>Нет</v>
      </c>
      <c r="CO28">
        <f>IF(CN28="Щит","щит",IF(CN28="","",IF(CN28="Быт",IFERROR(_xlfn.XLOOKUP(A28,Щиты[Щит],Щиты[Кс быт]),1),IF(CN28="Сил",IF(ISNUMBER(L28),L28,IF(Методика="нормы 2026",IFERROR(_xlfn.XLOOKUP(A28,Щиты[Щит],Щиты[Кс силовых (табл. 7.5)]),1),1)),IF(OR(CN28="Пост",CN28="Отоп"),1,IF(CN28="ВНГ",0.7,0))))))</f>
        <v>0</v>
      </c>
      <c r="CP28">
        <f t="shared" si="19"/>
        <v>1</v>
      </c>
      <c r="CQ28">
        <f t="shared" si="20"/>
        <v>0</v>
      </c>
      <c r="CR28">
        <f t="shared" si="21"/>
        <v>0</v>
      </c>
      <c r="CS28">
        <f t="shared" si="22"/>
        <v>0</v>
      </c>
      <c r="CT28">
        <f t="shared" si="23"/>
        <v>0</v>
      </c>
      <c r="CU28">
        <f t="shared" si="24"/>
        <v>0</v>
      </c>
      <c r="CV28">
        <f t="shared" si="25"/>
        <v>0</v>
      </c>
      <c r="CW28">
        <f t="shared" si="26"/>
        <v>0</v>
      </c>
      <c r="CX28">
        <f t="shared" si="27"/>
        <v>0</v>
      </c>
      <c r="CY28">
        <f t="shared" si="28"/>
        <v>2</v>
      </c>
      <c r="CZ28" t="str">
        <f t="shared" si="29"/>
        <v>L2</v>
      </c>
      <c r="DA28" cm="1">
        <f t="array" ref="DA28">IFERROR(IF(BL28=2,_xlfn.IFS(BH28=3,VLOOKUP(BF28,Справочная_двигатели,3,FALSE),BH28=1,VLOOKUP(BF28,Справочная_двигатели,5,TRUE)),0),0)</f>
        <v>0</v>
      </c>
      <c r="DB28">
        <f>IFERROR(IF(BL28=3,VLOOKUP(BF28,Справочная_ЛЭД,2,TRUE),0),0)</f>
        <v>0</v>
      </c>
      <c r="DC28">
        <f t="shared" si="30"/>
        <v>0</v>
      </c>
      <c r="DD28" t="str">
        <f t="shared" si="31"/>
        <v>L1</v>
      </c>
      <c r="DE28" t="str" cm="1">
        <f t="array" ref="DE28">IF(D28="","",IFERROR(INDEX({"I особая","I","II","III"},MATCH(TRIM(AA28&amp;""),{"I особая","I","II","III"},0)),"III"))</f>
        <v>III</v>
      </c>
      <c r="DF28" t="str">
        <f>IF(D28="","",IF(TRIM(AB28&amp;"")&lt;&gt;"",IF(LOWER(TRIM(AB28&amp;""))="да","да","нет"),IF(IFERROR(_xlfn.XLOOKUP(AT28,Коды_код,Коды_пожарная),"")="да","да","нет")))</f>
        <v>нет</v>
      </c>
      <c r="DG28" t="str">
        <f t="shared" si="32"/>
        <v/>
      </c>
      <c r="DH28" t="str">
        <f t="shared" si="33"/>
        <v>основная</v>
      </c>
      <c r="DI28">
        <f t="shared" si="34"/>
        <v>1</v>
      </c>
      <c r="DJ28" t="str" cm="1">
        <f t="array" ref="DJ28">IF(D28="","",_xlfn.LET(_xlpm.t,IFERROR(_xlfn.XLOOKUP(1,(Шины[Шина]=DH28)*(((Шины[Щит]=A28)+(Шины[Щит]=""))&gt;0),Шины[Тип]),"")&amp;"",IF(_xlpm.t&lt;&gt;"",_xlpm.t,IF(ISNUMBER(SEARCH("ИБП",DH28)),"ИБП",IF(ISNUMBER(SEARCH("ДГУ",DH28)),"ДГУ","Ввод "&amp;DI28)))))</f>
        <v>Ввод 1</v>
      </c>
      <c r="DK28" t="str">
        <f t="shared" si="35"/>
        <v>Ввод 1</v>
      </c>
      <c r="DL28" t="str">
        <f>IF(D28="","",IF(OR(DJ28="ИБП",DJ28="ДГУ"),"I особая",IF(DJ28="Одиночная","III",_xlfn.XLOOKUP(A28,Щиты[Щит],Щиты[Категория шины «Ввод»],"III"))))</f>
        <v>II</v>
      </c>
      <c r="DM28">
        <f>IF(D28="",0,IFERROR(MATCH(DE28,{"III","II","I","I особая"},0),1))</f>
        <v>1</v>
      </c>
      <c r="DN28">
        <f t="shared" si="36"/>
        <v>1</v>
      </c>
      <c r="DO28" t="str">
        <f>IF(D28="","",IF(DM28&gt;IFERROR(MATCH(DL28,{"III","II","I","I особая"},0),1),"НЕ ОБЕСПЕЧЕНА","ОК"))</f>
        <v>ОК</v>
      </c>
      <c r="DP28" t="str">
        <f>IF(A28="","",_xlfn.XLOOKUP(A28,Щиты[Щит],Щиты[Путь],""))</f>
        <v>|ГРЩ-ЖД|ЩГП|</v>
      </c>
      <c r="DQ28" t="str">
        <f>IF(D28="","",IF(Z28&lt;&gt;"",Z28,IF(IFERROR(_xlfn.XLOOKUP(AT28,Коды_код,Коды_вид)&amp;"","")="","Прочее",_xlfn.XLOOKUP(AT28,Коды_код,Коды_вид)&amp;"")))</f>
        <v>Прочее</v>
      </c>
      <c r="DR28">
        <f>IF(BD28="","",INT((BD28-1)/Столбцов_на_лист)+1)</f>
        <v>1</v>
      </c>
      <c r="DS28" t="str">
        <f t="shared" si="37"/>
        <v/>
      </c>
      <c r="DT28">
        <f t="shared" si="38"/>
        <v>0</v>
      </c>
      <c r="DU28" t="str">
        <f t="shared" si="39"/>
        <v/>
      </c>
      <c r="DV28">
        <f t="shared" si="40"/>
        <v>1</v>
      </c>
      <c r="DW28">
        <f>IF(AT28="",0,_xlfn.LET(_xlpm.v,IFERROR(VLOOKUP(D28,УГО_спр,3,FALSE),IFERROR(VLOOKUP(AT28,УГО_спр,3,FALSE),IFERROR(VLOOKUP(LEFT(AT28,2),УГО_спр,3,FALSE),""))),IF(_xlpm.v="да",30,IF(ISNUMBER(_xlpm.v),_xlpm.v,0))))</f>
        <v>0</v>
      </c>
      <c r="DX28">
        <f t="shared" si="41"/>
        <v>0</v>
      </c>
      <c r="DY28">
        <f>IF(BD28="","",IF(AD28&lt;&gt;"",COUNTIFS(A$3:A28,A28,AD$3:AD28,"?*"),IF(OR(OR(AS28=1,A28&lt;&gt;A27),AL28="вручную"),"",IF(AS28=1,"",DZ27))))</f>
        <v>2</v>
      </c>
      <c r="DZ28">
        <f t="shared" si="42"/>
        <v>2</v>
      </c>
      <c r="EA28">
        <f>IF(D28="",0,MAX(IFERROR(--X28,0),IFERROR(--VLOOKUP(D28,УГО_спр,4,FALSE),IFERROR(--VLOOKUP(AT28,УГО_спр,4,FALSE),IFERROR(--VLOOKUP(LEFT(AT28,2),УГО_спр,4,FALSE),0)))))</f>
        <v>0</v>
      </c>
      <c r="EB28" t="str">
        <f>IF(D28="","",IFERROR(LOOKUP(INDEX(CHOOSE(BR28,Iдоп_1ж,Iдоп_2ж,Iдоп_3ж),MATCH(BS28,Iдоп_S,0))*BP28*BQ28,{6,10,16,20,25,32,40,50,63,80,100,125,160,200,250,315,400,500,630}),""))</f>
        <v/>
      </c>
      <c r="EC28">
        <f>IF(AD28="","",SUMIFS(Линии[_Ток схемы],Линии[_гр.],DY28,Линии[Щит],A28,Линии[_в кабель выше],0))</f>
        <v>0</v>
      </c>
      <c r="ED28">
        <f>IF(AD28="","",IFERROR(VLOOKUP(EC28,Автомат_номиналы,2,TRUE),""))</f>
        <v>6</v>
      </c>
      <c r="EE28">
        <f>IF(AD28="","",MAX(N(ED28),_xlfn.MAXIFS(Линии[_мин. по типу],Линии[_гр.],DY28,Линии[Щит],A28)))</f>
        <v>6</v>
      </c>
      <c r="EF28">
        <f>IF(AD28="","",_xlfn.MINIFS(Линии[_макс. автомат по кабелю],Линии[_гр.],DY28,Линии[Щит],A28))</f>
        <v>0</v>
      </c>
      <c r="EG28">
        <f>IF(AD28="","",MAX(1,_xlfn.MAXIFS(Линии[_фаз],Линии[_гр.],DY28,Линии[Щит],A28)))</f>
        <v>1</v>
      </c>
      <c r="EH28">
        <f>IF(AD28="","",IF(AND(AD28&lt;&gt;"авто",AD28&lt;&gt;"+"),IF(ISNUMBER(SEARCH("мА",AD28)),IFERROR(--TRIM(RIGHT(SUBSTITUTE(LEFT(AD28,SEARCH("мА",AD28)-1)," ",REPT(" ",9)),6)),30),0),IF(AE28="нет",0,IF(ISNUMBER(AE28),AE28,IF(AE28="да",30,_xlfn.MINIFS(Линии[_дифзащита по коду, мА],Линии[_гр.],DY28,Линии[Щит],A28,Линии[_дифзащита по коду, мА],"&gt;0"))))))</f>
        <v>0</v>
      </c>
      <c r="EI28">
        <f t="shared" si="43"/>
        <v>0</v>
      </c>
      <c r="EJ28" t="str">
        <f t="shared" si="44"/>
        <v>QF2</v>
      </c>
      <c r="EK28" t="str">
        <f t="shared" si="45"/>
        <v>QF2</v>
      </c>
      <c r="EL28" t="str">
        <f t="shared" si="46"/>
        <v/>
      </c>
      <c r="EM28">
        <f t="shared" si="47"/>
        <v>0</v>
      </c>
      <c r="EN28">
        <f>IF(AD28="","",IF(EM28=1,MAX(EE28,Мин_автомат_БП),EE28))</f>
        <v>6</v>
      </c>
      <c r="EO28" t="str">
        <f t="shared" si="48"/>
        <v>1P</v>
      </c>
      <c r="EP28" t="str">
        <f t="shared" si="49"/>
        <v>1P С6А</v>
      </c>
      <c r="EQ28">
        <f t="shared" si="50"/>
        <v>6</v>
      </c>
      <c r="ER28" t="str">
        <f>IF(OR(AI28="",AI28="-"),"",IFERROR(VLOOKUP(AI28,Модули_спр,2,FALSE),"R"))</f>
        <v/>
      </c>
      <c r="ES28" t="str">
        <f>IF(ER28="","",ER28&amp;"."&amp;COUNTIFS(A$3:A28,A28,ER$3:ER28,ER28))</f>
        <v/>
      </c>
      <c r="ET28" t="str">
        <f t="shared" si="51"/>
        <v/>
      </c>
      <c r="EU28" t="str">
        <f t="shared" si="52"/>
        <v/>
      </c>
      <c r="EV28" t="str">
        <f t="shared" si="53"/>
        <v/>
      </c>
      <c r="EW28" t="str">
        <f t="shared" si="54"/>
        <v/>
      </c>
      <c r="EX28">
        <f t="shared" si="55"/>
        <v>0</v>
      </c>
      <c r="EY28" t="str">
        <f>IF(AK28="нет","",IF(AK28&lt;&gt;"",AK28,IF(EX28=1,"XT"&amp;COUNTIFS(A$3:A28,A28,EX$3:EX28,1),"")))</f>
        <v/>
      </c>
      <c r="EZ28" t="str">
        <f t="shared" si="56"/>
        <v>QF2</v>
      </c>
      <c r="FA28" t="str">
        <f t="shared" si="57"/>
        <v/>
      </c>
      <c r="FB28" t="str">
        <f t="shared" si="58"/>
        <v>ok</v>
      </c>
      <c r="FC28" t="str">
        <f>IF(OR(EV28="",ET28=""),"",IF(EV28&gt;IFERROR(VLOOKUP(EU28,Модули_спр,3,FALSE),99),"ЛИШНИЙ КАНАЛ",IF(AND(AJ28&lt;&gt;"=",COUNTIFS(Линии[_модуль гр.],ET28,Линии[Канал (итог)],EV28,Линии[Канал],"&lt;&gt;=",Линии[Щит],A28)&gt;1),"ДУБЛЬ КАНАЛА","")))</f>
        <v/>
      </c>
      <c r="FD28">
        <f t="shared" si="59"/>
        <v>6</v>
      </c>
      <c r="FE28" t="str">
        <f t="shared" si="60"/>
        <v>1P С6А</v>
      </c>
      <c r="FF28">
        <f t="shared" si="61"/>
        <v>0</v>
      </c>
      <c r="FG28">
        <f t="shared" si="62"/>
        <v>0</v>
      </c>
      <c r="FH28" t="str">
        <f t="shared" si="63"/>
        <v/>
      </c>
      <c r="FI28">
        <f t="shared" si="64"/>
        <v>10</v>
      </c>
      <c r="FJ28" t="str">
        <f t="shared" si="65"/>
        <v/>
      </c>
      <c r="FK28" t="str">
        <f>IF(AND(D28="",EZ28=""),"",_xlfn.TEXTJOIN("; ",TRUE,IF(AND(D28&lt;&gt;"",DD28=""),"нет фазы",""),IF(AND(D28&lt;&gt;"",N(DT28)=0,CN28&lt;&gt;"Нет"),"нет мощности",""),IF(AND(EY28&lt;&gt;"",COUNTIFS(Линии[Щит],A28,Линии[Клемма (итог)],EY28)&gt;1),"дубль клеммы "&amp;EY28,""),IF(AND(FB28&lt;&gt;"",FB28&lt;&gt;"ok"),FB28,""),IF(FC28&lt;&gt;"",FC28,""),IF(AND(ISNUMBER(SEARCH("(5х",DS28)),N(DV28)=1),"5 жил на 1 фазе",""),IF(AND(AT28="R",AD28&lt;&gt;"",OR(N(EH28)=0,N(EH28)&gt;30)),"розетка без дифзащиты до 30 мА",""),IFERROR(IF(AND(ISNUMBER(CD28),CD28&gt;CE28),"потери "&amp;FIXED(CD28,1)&amp;" % &gt; "&amp;CE28&amp;" %",""),""),IFERROR(IF(LEFT(FJ28,4)="мало","Iкз мало — отключение &gt; 0,4 с",""),""),IF(AND(D28&lt;&gt;"",BD28=""),"не на схеме","")))</f>
        <v/>
      </c>
      <c r="FL28" t="str">
        <f>IF(AD28="","",_xlfn.LET(_xlpm.t,IFERROR(_xlfn.XLOOKUP(EP28,Каталог!$U$4:$U$500,Каталог!$G$4:$G$500),""),_xlpm.k,SEARCH("кА",_xlpm.t),IFERROR(--TRIM(RIGHT(SUBSTITUTE(MID(_xlpm.t,MAX(1,_xlpm.k-4),_xlpm.k-MAX(1,_xlpm.k-4))," ",REPT(" ",9)),5)),"")))</f>
        <v/>
      </c>
      <c r="FM28" t="str">
        <f>IF(OR(FL28="",AD28=""),"",IF(_xlfn.XLOOKUP(A28,Щиты[Щит],Щиты[Iкз max на шинах, кА],"")="","",IF(FL28&lt;_xlfn.XLOOKUP(A28,Щиты[Щит],Щиты[Iкз max на шинах, кА]),"Icu "&amp;FL28&amp;" кА &lt; Iкз max","ok")))</f>
        <v/>
      </c>
      <c r="FN28" t="str">
        <f t="shared" si="66"/>
        <v>QF2</v>
      </c>
      <c r="FO28" t="str">
        <f t="shared" si="67"/>
        <v>QF2|кабель  → Питание от ИБП</v>
      </c>
      <c r="FP28" t="str" cm="1">
        <f t="array" ref="FP28">IF(FO28="","",_xlfn.LET(_xlpm.nd,_xlfn.TEXTSPLIT(FO28,"|"),IF(COLUMNS(_xlpm.nd)&gt;1,A28&amp;"¦"&amp;INDEX(_xlpm.nd,1)&amp;"¦"&amp;INDEX(_xlpm.nd,2),"")))</f>
        <v>ЩГП¦QF2¦кабель  → Питание от ИБП</v>
      </c>
      <c r="FQ28" t="str">
        <f t="shared" si="68"/>
        <v>От ИБП¦Питание от ИБП</v>
      </c>
      <c r="FR28" t="str" cm="1">
        <f t="array" ref="FR28">IF(FO28="","",_xlfn.LET(_xlpm.nd,_xlfn.TEXTSPLIT(FO28,"|"),IF(COLUMNS(_xlpm.nd)&gt;2,A28&amp;"¦"&amp;INDEX(_xlpm.nd,2)&amp;"¦"&amp;INDEX(_xlpm.nd,3),"")))</f>
        <v/>
      </c>
      <c r="FS28" t="str">
        <f t="shared" si="69"/>
        <v/>
      </c>
      <c r="FT28" t="str" cm="1">
        <f t="array" ref="FT28">IF(FO28="","",_xlfn.LET(_xlpm.nd,_xlfn.TEXTSPLIT(FO28,"|"),IF(COLUMNS(_xlpm.nd)&gt;3,A28&amp;"¦"&amp;INDEX(_xlpm.nd,3)&amp;"¦"&amp;INDEX(_xlpm.nd,4),"")))</f>
        <v/>
      </c>
      <c r="FU28" t="str">
        <f t="shared" si="70"/>
        <v/>
      </c>
      <c r="FV28" t="str" cm="1">
        <f t="array" ref="FV28">IF(FO28="","",_xlfn.LET(_xlpm.nd,_xlfn.TEXTSPLIT(FO28,"|"),IF(COLUMNS(_xlpm.nd)&gt;4,A28&amp;"¦"&amp;INDEX(_xlpm.nd,4)&amp;"¦"&amp;INDEX(_xlpm.nd,5),"")))</f>
        <v/>
      </c>
      <c r="FW28" t="str">
        <f t="shared" si="71"/>
        <v/>
      </c>
      <c r="FX28" t="str" cm="1">
        <f t="array" ref="FX28">IF(FO28="","",_xlfn.LET(_xlpm.nd,_xlfn.TEXTSPLIT(FO28,"|"),IF(COLUMNS(_xlpm.nd)&gt;5,A28&amp;"¦"&amp;INDEX(_xlpm.nd,5)&amp;"¦"&amp;INDEX(_xlpm.nd,6),"")))</f>
        <v/>
      </c>
      <c r="FY28" t="str">
        <f t="shared" si="72"/>
        <v/>
      </c>
      <c r="FZ28" t="str" cm="1">
        <f t="array" ref="FZ28">IF(FO28="","",_xlfn.LET(_xlpm.nd,_xlfn.TEXTSPLIT(FO28,"|"),IF(COLUMNS(_xlpm.nd)&gt;6,A28&amp;"¦"&amp;INDEX(_xlpm.nd,6)&amp;"¦"&amp;INDEX(_xlpm.nd,7),"")))</f>
        <v/>
      </c>
      <c r="GA28" t="str">
        <f t="shared" si="73"/>
        <v/>
      </c>
      <c r="GB28" t="str">
        <f t="shared" si="74"/>
        <v/>
      </c>
      <c r="GC28" t="str">
        <f t="shared" si="75"/>
        <v>QF2</v>
      </c>
      <c r="GD28">
        <f t="shared" si="76"/>
        <v>1</v>
      </c>
      <c r="GE28">
        <f t="shared" si="77"/>
        <v>0</v>
      </c>
      <c r="GF28">
        <f t="shared" si="78"/>
        <v>0</v>
      </c>
      <c r="GG28" t="str">
        <f t="shared" si="79"/>
        <v/>
      </c>
      <c r="GH28" t="str">
        <f t="shared" si="80"/>
        <v/>
      </c>
      <c r="GI28" t="str">
        <f t="shared" si="81"/>
        <v/>
      </c>
      <c r="GJ28" t="str">
        <f t="shared" si="82"/>
        <v/>
      </c>
      <c r="GK28">
        <f>IF(D28="","",IFERROR(VLOOKUP(D28,УГО_спр,2,FALSE),IFERROR(VLOOKUP(AT28,УГО_спр,2,FALSE),IFERROR(VLOOKUP(LEFT(AT28,2),УГО_спр,2,FALSE),""))))</f>
        <v>0</v>
      </c>
      <c r="GL28" t="str">
        <f>IF(D28="","",IF(OR(GK28="",GK28=0),"BOX",IFERROR(IF(VLOOKUP(GK28,УГО_блоки,3,FALSE)&amp;""&lt;&gt;"",VLOOKUP(GK28,УГО_блоки,3,FALSE),VLOOKUP(GK28,УГО_блоки,2,FALSE)),GK28)))</f>
        <v>BOX</v>
      </c>
      <c r="GM28">
        <f t="shared" si="83"/>
        <v>1</v>
      </c>
      <c r="GN28" t="str">
        <f>IF(EP28="","",IF(COUNTIF(EP$3:EP28,EP28)=1,MAX(GN$2:GN27)+1,""))</f>
        <v/>
      </c>
      <c r="GO28" t="str">
        <f>IF(AF28="","",IF(COUNTIF(AF$3:AF28,AF28)+COUNTIF(AG$2:AG27,AF28)+COUNTIF(AH$2:AH27,AF28)=1,MAX(GO$2:GQ27)+1,""))</f>
        <v/>
      </c>
      <c r="GP28" t="str">
        <f>IF(AG28="","",IF(COUNTIF(AF$3:AF28,AG28)+COUNTIF(AG$3:AG28,AG28)+COUNTIF(AH$2:AH27,AG28)=1,MAX(GO$2:GQ27,GO28)+1,""))</f>
        <v/>
      </c>
      <c r="GQ28" t="str">
        <f>IF(AH28="","",IF(COUNTIF(AF$3:AF28,AH28)+COUNTIF(AG$3:AG28,AH28)+COUNTIF(AH$3:AH28,AH28)=1,MAX(GO$2:GQ27,GO28,GP28)+1,""))</f>
        <v/>
      </c>
      <c r="GR28" t="str">
        <f t="shared" si="84"/>
        <v/>
      </c>
      <c r="GS28" t="str">
        <f>IF(GR28="","",IF(COUNTIF(GR$3:GR28,GR28)=1,MAX(GS$2:GS27)+1,""))</f>
        <v/>
      </c>
      <c r="GT28" t="str">
        <f>IF(ES28="","",COUNTIF(ES$3:ES28,"?*"))</f>
        <v/>
      </c>
      <c r="GU28" t="str">
        <f>IF(OR(ES28="",EU28=""),"",IF(COUNTIFS(ES$3:ES28,"?*",EU$3:EU28,EU28)=1,MAX(GU$2:GU27)+1,""))</f>
        <v/>
      </c>
      <c r="GV28">
        <f t="shared" si="85"/>
        <v>0</v>
      </c>
      <c r="GW28">
        <f>IF(D28="","",COUNTIF(D$3:D28,"?*"))</f>
        <v>26</v>
      </c>
      <c r="GX28">
        <f>IF(EX28&lt;&gt;1,0,_xlfn.LET(_xlpm.k,MAX(IFERROR(--VLOOKUP(D28,УГО_спр,5,FALSE),0),IFERROR(--VLOOKUP(AT28,УГО_спр,5,FALSE),0),IFERROR(--VLOOKUP(LEFT(AT28,2),УГО_спр,5,FALSE),0)),IF(_xlpm.k&gt;0,_xlpm.k,IF(IFERROR(--LEFT(SUBSTITUTE(GR28,"x","х"),FIND("х",SUBSTITUTE(GR28,"x","х"))-1),3)&gt;3,Каталог!$S$9,1))))</f>
        <v>0</v>
      </c>
      <c r="GY28">
        <f t="shared" si="86"/>
        <v>0</v>
      </c>
    </row>
    <row r="29" spans="1:207" x14ac:dyDescent="0.3">
      <c r="A29" t="s">
        <v>787</v>
      </c>
      <c r="B29">
        <v>14</v>
      </c>
      <c r="C29" t="str">
        <f>IF(BD29="","",IF(BE29="вводной узел","узел ","")&amp;"л."&amp;(INT((BD29-1)/Столбцов_на_лист)+1)&amp;" / "&amp;(MOD(BD29-1,Столбцов_на_лист)+1))</f>
        <v>л.1 / 14</v>
      </c>
      <c r="D29" t="s">
        <v>1146</v>
      </c>
      <c r="E29" s="133" t="s">
        <v>1302</v>
      </c>
      <c r="H29">
        <v>1</v>
      </c>
      <c r="I29">
        <v>3</v>
      </c>
      <c r="J29">
        <v>400</v>
      </c>
      <c r="K29" t="s">
        <v>566</v>
      </c>
      <c r="O29" t="s">
        <v>1298</v>
      </c>
      <c r="P29">
        <v>41</v>
      </c>
      <c r="Q29">
        <v>25</v>
      </c>
      <c r="R29">
        <v>11</v>
      </c>
      <c r="S29">
        <v>0</v>
      </c>
      <c r="U29" t="s">
        <v>11</v>
      </c>
      <c r="V29">
        <v>5</v>
      </c>
      <c r="W29">
        <v>6</v>
      </c>
      <c r="Z29" t="s">
        <v>559</v>
      </c>
      <c r="AA29" t="s">
        <v>866</v>
      </c>
      <c r="AC29" t="s">
        <v>861</v>
      </c>
      <c r="AD29" t="s">
        <v>517</v>
      </c>
      <c r="AR29" t="str">
        <f t="shared" si="0"/>
        <v/>
      </c>
      <c r="AS29" cm="1">
        <f t="array" ref="AS29">ROW()-ROW(Линии[#Headers])</f>
        <v>27</v>
      </c>
      <c r="AT29" t="str">
        <f t="shared" si="1"/>
        <v>ЩО-001</v>
      </c>
      <c r="AU29" t="str">
        <f t="shared" si="2"/>
        <v/>
      </c>
      <c r="AV29" t="str">
        <f t="shared" si="3"/>
        <v/>
      </c>
      <c r="AW29" t="str">
        <f t="shared" si="4"/>
        <v/>
      </c>
      <c r="AX29" t="str">
        <f t="shared" si="5"/>
        <v/>
      </c>
      <c r="AY29" t="str">
        <f>IF(D29="","",IF(ISERROR(SEARCH(".",D29)),IFERROR(VLOOKUP(D29,Потребители_обозначение,2,FALSE)&amp;"",""),IFERROR(IF(VLOOKUP(AT29,Потребители_обозначение,4,FALSE)=1,VLOOKUP(AT29,Потребители_обозначение,2,FALSE)&amp;" "&amp;VLOOKUP(AV29,Этаж_обозначение,2,FALSE)&amp;" Пом. №"&amp;AX29,VLOOKUP(AT29,Потребители_обозначение,2,FALSE)&amp;" Шлейф №"&amp;AV29),IFERROR(VLOOKUP(D29,Потребители_обозначение,2,FALSE),""))))</f>
        <v/>
      </c>
      <c r="AZ29" t="str">
        <f t="shared" si="6"/>
        <v>Щит освещения ЩО-2 Подвальный этаж этаж Пом. №3.001</v>
      </c>
      <c r="BA29" t="str">
        <f>IF(F29&lt;&gt;"",F29,IF(AND(D29&lt;&gt;"",D29&lt;&gt;A29,ISNUMBER(_xlfn.XMATCH(D29,Щиты[Щит]))),D29,""))</f>
        <v>ЩО-001</v>
      </c>
      <c r="BB29">
        <f>IFERROR(_xlfn.XMATCH(A29,Щиты[Щит]),0)</f>
        <v>2</v>
      </c>
      <c r="BC29">
        <f>IFERROR(N(_xlfn.XLOOKUP(A29,Щиты[Щит],Щиты[Мест под вводной узел])),15)</f>
        <v>8</v>
      </c>
      <c r="BD29">
        <f t="shared" si="7"/>
        <v>14</v>
      </c>
      <c r="BE29" t="str">
        <f t="shared" si="8"/>
        <v>линии</v>
      </c>
      <c r="BF29">
        <f>IF(D29="","",IF(BA29&lt;&gt;"",IFERROR(_xlfn.XLOOKUP(BA29,Щиты[Щит],Щиты[Руст, кВт]),0),N(G29)))</f>
        <v>1.9000000000000006</v>
      </c>
      <c r="BG29">
        <f>IF(J29&lt;&gt;"",J29,IF(D29="","",IFERROR(IF(VLOOKUP(AT29,Потребители_обозначение,8,FALSE)=0,"",VLOOKUP(AT29,Потребители_обозначение,8,FALSE)),"")))</f>
        <v>400</v>
      </c>
      <c r="BH29">
        <f>IF(I29&lt;&gt;"",I29,IF(D29="","",IFERROR(IF(VLOOKUP(AT29,Потребители_обозначение,9,FALSE)=0,"",VLOOKUP(AT29,Потребители_обозначение,9,FALSE)),"")))</f>
        <v>3</v>
      </c>
      <c r="BI29" t="str">
        <f>IF(U29&lt;&gt;"",U29,IF(D29="","",IFERROR(IF(VLOOKUP(AT29,Потребители_обозначение,6,FALSE)=0,"",VLOOKUP(AT29,Потребители_обозначение,6,FALSE)),"")))</f>
        <v>мс</v>
      </c>
      <c r="BJ29">
        <f>IF(V29&lt;&gt;"",V29,IF(D29="","",IFERROR(IF(VLOOKUP(AT29,Потребители_обозначение,7,FALSE)=0,"",VLOOKUP(AT29,Потребители_обозначение,7,FALSE)),"")))</f>
        <v>5</v>
      </c>
      <c r="BK29">
        <f>IF(W29&lt;&gt;"",W29,IF(D29="","",IFERROR(IF(VLOOKUP(AT29,Потребители_обозначение,10,FALSE)=0,"",VLOOKUP(AT29,Потребители_обозначение,10,FALSE)),"")))</f>
        <v>6</v>
      </c>
      <c r="BL29">
        <f>IFERROR(VLOOKUP(AT29,Потребители_обозначение,5,FALSE),0)</f>
        <v>0</v>
      </c>
      <c r="BM29" cm="1">
        <f t="array" ref="BM29">IF(D29="","",IF(BA29&lt;&gt;"",IFERROR(_xlfn.XLOOKUP(BA29,Щиты[Щит],Щиты[cos φ]),0.95),IF(ISNUMBER(M29),M29,IFERROR(IF(BL29=2,_xlfn.IFS(BH29=3,VLOOKUP(BF29,Справочная_двигатели,8,FALSE),BH29=1,VLOOKUP(BF29,Справочная_двигатели,10,TRUE)),IF(AND(Методика="нормы 2026",CN29="Сил"),0.8,0.95)),0.95))))</f>
        <v>0.94999999999999951</v>
      </c>
      <c r="BN29" cm="1">
        <f t="array" ref="BN29">IF(D29="","",IF(BA29&lt;&gt;"",IFERROR(_xlfn.XLOOKUP(BA29,Щиты[Щит],Щиты[Iр, А]),""),IFERROR(_xlfn.IFS(BH29=1,BF29/((Uн_лин/SQRT(3))*BM29),BH29=3,BF29/(SQRT(3)*Uн_лин*BM29)),"")))</f>
        <v>2.5524959269436094</v>
      </c>
      <c r="BO29">
        <f>IF(D29="","",IF(N(X29)=0,IFERROR(VLOOKUP(BN29,Автомат_номиналы,2,TRUE),""),X29))</f>
        <v>6</v>
      </c>
      <c r="BP29">
        <f t="shared" si="9"/>
        <v>0.92</v>
      </c>
      <c r="BQ29">
        <f>IF(ISNUMBER(Y29),Y29,К_прокл)</f>
        <v>1</v>
      </c>
      <c r="BR29">
        <f t="shared" si="10"/>
        <v>3</v>
      </c>
      <c r="BS29" cm="1">
        <f t="array" ref="BS29">IF(D29="","",IF(N(BK29)&lt;&gt;0,BK29,IFERROR(_xlfn.LET(_xlpm.need,BO29/(BP29*BQ29),_xlpm.t,CHOOSE(BR29,Iдоп_1ж,Iдоп_2ж,Iдоп_3ж),_xlpm.k,_xlfn.XMATCH(_xlpm.need,_xlpm.t,1),IF(ISNA(_xlpm.k),"Не исп",INDEX(Iдоп_S,_xlpm.k))),"Не исп")))</f>
        <v>6</v>
      </c>
      <c r="BT29">
        <f>IFERROR(VLOOKUP(BS29,Кабель_сопротивление,3,FALSE),"")</f>
        <v>2.2499999999999999E-2</v>
      </c>
      <c r="BU29">
        <f>IFERROR(VLOOKUP(BS29,Кабель_сопротивление,2,FALSE),"")</f>
        <v>0.09</v>
      </c>
      <c r="BV29">
        <f t="shared" si="11"/>
        <v>41</v>
      </c>
      <c r="BW29">
        <f>IF(D29="","",IFERROR(IF(VLOOKUP(AT29,Потребители_обозначение,4,FALSE)=1,VLOOKUP(AT29,Потребители_обозначение,3,FALSE)*(H29*2-1)+BV29+VLOOKUP(AV29,Этаж_обозначение,3,FALSE)+VLOOKUP(AV29,Этаж_обозначение,4,FALSE),VLOOKUP(AT29,Потребители_обозначение,3,FALSE)*(H29*2-1)+BV29),BV29))</f>
        <v>41</v>
      </c>
      <c r="BX29">
        <f t="shared" si="12"/>
        <v>11</v>
      </c>
      <c r="BY29">
        <f t="shared" si="13"/>
        <v>0</v>
      </c>
      <c r="BZ29">
        <f t="shared" si="14"/>
        <v>1</v>
      </c>
      <c r="CA29">
        <f t="shared" si="15"/>
        <v>0.31</v>
      </c>
      <c r="CB29">
        <f t="shared" si="16"/>
        <v>0.37574373642003156</v>
      </c>
      <c r="CC29">
        <f>IFERROR(ROUNDUP(CB29/((Uн_лин/SQRT(3))*1000)*100,2),"")</f>
        <v>0.17</v>
      </c>
      <c r="CD29">
        <f>IF(ISNUMBER(CC29),CC29+IFERROR(_xlfn.XLOOKUP(A29,Щиты[Щит],Щиты[ΔU до шин, %]),0),"")</f>
        <v>0.17</v>
      </c>
      <c r="CE29">
        <f>IF(D29="","",IF(IFERROR(VLOOKUP(AT29,УГО_спр,2,FALSE),"")="Светильник",3,4)+IF(Методика="нормы 2026",MIN(0.5,MAX(0,N(BW29)-100)*0.005),0))</f>
        <v>4</v>
      </c>
      <c r="CF29" t="str">
        <f>IFERROR(VLOOKUP(BI29,Кабель_обозначение,2,FALSE),"")</f>
        <v>ВВГнг(А)-LS</v>
      </c>
      <c r="CG29" t="str">
        <f>IFERROR(IF(VLOOKUP(BI29,Кабель_обозначение,3,FALSE)=1,CF29&amp;" ("&amp;BJ29&amp;"х"&amp;BS29&amp;")",CF29),"")</f>
        <v>ВВГнг(А)-LS (5х6)</v>
      </c>
      <c r="CH29" t="str">
        <f t="shared" si="17"/>
        <v>ВВГнг(А)-LS (5х6)
L=41-0,17%</v>
      </c>
      <c r="CI29">
        <f>IFERROR(2*ρкз_Cu*BW29/BS29,"")</f>
        <v>0.35943333333333333</v>
      </c>
      <c r="CJ29">
        <f t="shared" si="18"/>
        <v>0.11958333333333333</v>
      </c>
      <c r="CK29" t="str">
        <f>IFERROR(IF(OR(D29="",NOT(ISNUMBER(BS29)),N(BW29)=0),"",_xlfn.XLOOKUP(A29,Щиты[Щит],Щиты[Zпетли на шинах, Ом])+CI29),"")</f>
        <v/>
      </c>
      <c r="CL29" t="str">
        <f>IF(ISNUMBER(CK29),c_min*(Uн_лин*1000/SQRT(3))/CK29,"")</f>
        <v/>
      </c>
      <c r="CM29" t="str">
        <f>IFERROR(IF(OR(D29="",NOT(ISNUMBER(BS29))),"",1.05*(Uн_лин*1000/SQRT(3))/(_xlfn.XLOOKUP(A29,Щиты[Щит],Щиты[Zmax на шинах, Ом])+CJ29)/1000),"")</f>
        <v/>
      </c>
      <c r="CN29" t="str">
        <f>IF(D29="","",IF(BA29&lt;&gt;"","Щит",IF(K29&lt;&gt;"",K29,IF(ISNUMBER(L29),"Сил",IF(IFERROR(_xlfn.XLOOKUP(AT29,Коды_код,Коды_группа)&amp;"","")="","Быт",_xlfn.XLOOKUP(AT29,Коды_код,Коды_группа)&amp;"")))))</f>
        <v>Щит</v>
      </c>
      <c r="CO29" t="str">
        <f>IF(CN29="Щит","щит",IF(CN29="","",IF(CN29="Быт",IFERROR(_xlfn.XLOOKUP(A29,Щиты[Щит],Щиты[Кс быт]),1),IF(CN29="Сил",IF(ISNUMBER(L29),L29,IF(Методика="нормы 2026",IFERROR(_xlfn.XLOOKUP(A29,Щиты[Щит],Щиты[Кс силовых (табл. 7.5)]),1),1)),IF(OR(CN29="Пост",CN29="Отоп"),1,IF(CN29="ВНГ",0.7,0))))))</f>
        <v>щит</v>
      </c>
      <c r="CP29">
        <f t="shared" si="19"/>
        <v>1</v>
      </c>
      <c r="CQ29">
        <f t="shared" si="20"/>
        <v>0</v>
      </c>
      <c r="CR29">
        <f t="shared" si="21"/>
        <v>0</v>
      </c>
      <c r="CS29">
        <f t="shared" si="22"/>
        <v>0</v>
      </c>
      <c r="CT29">
        <f t="shared" si="23"/>
        <v>0</v>
      </c>
      <c r="CU29">
        <f t="shared" si="24"/>
        <v>0</v>
      </c>
      <c r="CV29">
        <f t="shared" si="25"/>
        <v>0</v>
      </c>
      <c r="CW29">
        <f t="shared" si="26"/>
        <v>0</v>
      </c>
      <c r="CX29">
        <f t="shared" si="27"/>
        <v>0</v>
      </c>
      <c r="CY29">
        <f t="shared" si="28"/>
        <v>2</v>
      </c>
      <c r="CZ29" t="str">
        <f t="shared" si="29"/>
        <v>L1,L2,L3</v>
      </c>
      <c r="DA29" cm="1">
        <f t="array" ref="DA29">IFERROR(IF(BL29=2,_xlfn.IFS(BH29=3,VLOOKUP(BF29,Справочная_двигатели,3,FALSE),BH29=1,VLOOKUP(BF29,Справочная_двигатели,5,TRUE)),0),0)</f>
        <v>0</v>
      </c>
      <c r="DB29">
        <f>IFERROR(IF(BL29=3,VLOOKUP(BF29,Справочная_ЛЭД,2,TRUE),0),0)</f>
        <v>0</v>
      </c>
      <c r="DC29">
        <f t="shared" si="30"/>
        <v>0</v>
      </c>
      <c r="DD29" t="str">
        <f t="shared" si="31"/>
        <v>L1,L2,L3</v>
      </c>
      <c r="DE29" t="str" cm="1">
        <f t="array" ref="DE29">IF(D29="","",IFERROR(INDEX({"I особая","I","II","III"},MATCH(TRIM(AA29&amp;""),{"I особая","I","II","III"},0)),"III"))</f>
        <v>I</v>
      </c>
      <c r="DF29" t="str">
        <f>IF(D29="","",IF(TRIM(AB29&amp;"")&lt;&gt;"",IF(LOWER(TRIM(AB29&amp;""))="да","да","нет"),IF(IFERROR(_xlfn.XLOOKUP(AT29,Коды_код,Коды_пожарная),"")="да","да","нет")))</f>
        <v>нет</v>
      </c>
      <c r="DG29" t="str">
        <f t="shared" si="32"/>
        <v>ИБП</v>
      </c>
      <c r="DH29" t="str">
        <f t="shared" si="33"/>
        <v>ИБП</v>
      </c>
      <c r="DI29">
        <f t="shared" si="34"/>
        <v>1</v>
      </c>
      <c r="DJ29" t="str" cm="1">
        <f t="array" ref="DJ29">IF(D29="","",_xlfn.LET(_xlpm.t,IFERROR(_xlfn.XLOOKUP(1,(Шины[Шина]=DH29)*(((Шины[Щит]=A29)+(Шины[Щит]=""))&gt;0),Шины[Тип]),"")&amp;"",IF(_xlpm.t&lt;&gt;"",_xlpm.t,IF(ISNUMBER(SEARCH("ИБП",DH29)),"ИБП",IF(ISNUMBER(SEARCH("ДГУ",DH29)),"ДГУ","Ввод "&amp;DI29)))))</f>
        <v>ИБП</v>
      </c>
      <c r="DK29" t="str">
        <f t="shared" si="35"/>
        <v>ИБП</v>
      </c>
      <c r="DL29" t="str">
        <f>IF(D29="","",IF(OR(DJ29="ИБП",DJ29="ДГУ"),"I особая",IF(DJ29="Одиночная","III",_xlfn.XLOOKUP(A29,Щиты[Щит],Щиты[Категория шины «Ввод»],"III"))))</f>
        <v>I особая</v>
      </c>
      <c r="DM29">
        <f>IF(D29="",0,IFERROR(MATCH(DE29,{"III","II","I","I особая"},0),1))</f>
        <v>3</v>
      </c>
      <c r="DN29">
        <f t="shared" si="36"/>
        <v>3</v>
      </c>
      <c r="DO29" t="str">
        <f>IF(D29="","",IF(DM29&gt;IFERROR(MATCH(DL29,{"III","II","I","I особая"},0),1),"НЕ ОБЕСПЕЧЕНА","ОК"))</f>
        <v>ОК</v>
      </c>
      <c r="DP29" t="str">
        <f>IF(A29="","",_xlfn.XLOOKUP(A29,Щиты[Щит],Щиты[Путь],""))</f>
        <v>|ГРЩ-ЖД|ЩГП|</v>
      </c>
      <c r="DQ29" t="str">
        <f>IF(D29="","",IF(Z29&lt;&gt;"",Z29,IF(IFERROR(_xlfn.XLOOKUP(AT29,Коды_код,Коды_вид)&amp;"","")="","Прочее",_xlfn.XLOOKUP(AT29,Коды_код,Коды_вид)&amp;"")))</f>
        <v>Рабочее освещение</v>
      </c>
      <c r="DR29">
        <f>IF(BD29="","",INT((BD29-1)/Столбцов_на_лист)+1)</f>
        <v>1</v>
      </c>
      <c r="DS29" t="str">
        <f t="shared" si="37"/>
        <v>ВВГнг(А)-LS (5х6) L=41-0,17%</v>
      </c>
      <c r="DT29">
        <f t="shared" si="38"/>
        <v>1.9000000000000006</v>
      </c>
      <c r="DU29">
        <f t="shared" si="39"/>
        <v>2.5599999999999996</v>
      </c>
      <c r="DV29">
        <f t="shared" si="40"/>
        <v>3</v>
      </c>
      <c r="DW29">
        <f>IF(AT29="",0,_xlfn.LET(_xlpm.v,IFERROR(VLOOKUP(D29,УГО_спр,3,FALSE),IFERROR(VLOOKUP(AT29,УГО_спр,3,FALSE),IFERROR(VLOOKUP(LEFT(AT29,2),УГО_спр,3,FALSE),""))),IF(_xlpm.v="да",30,IF(ISNUMBER(_xlpm.v),_xlpm.v,0))))</f>
        <v>0</v>
      </c>
      <c r="DX29">
        <f t="shared" si="41"/>
        <v>0</v>
      </c>
      <c r="DY29">
        <f>IF(BD29="","",IF(AD29&lt;&gt;"",COUNTIFS(A$3:A29,A29,AD$3:AD29,"?*"),IF(OR(OR(AS29=1,A29&lt;&gt;A28),AL29="вручную"),"",IF(AS29=1,"",DZ28))))</f>
        <v>3</v>
      </c>
      <c r="DZ29">
        <f t="shared" si="42"/>
        <v>3</v>
      </c>
      <c r="EA29">
        <f>IF(D29="",0,MAX(IFERROR(--X29,0),IFERROR(--VLOOKUP(D29,УГО_спр,4,FALSE),IFERROR(--VLOOKUP(AT29,УГО_спр,4,FALSE),IFERROR(--VLOOKUP(LEFT(AT29,2),УГО_спр,4,FALSE),0)))))</f>
        <v>0</v>
      </c>
      <c r="EB29">
        <f>IF(D29="","",IFERROR(LOOKUP(INDEX(CHOOSE(BR29,Iдоп_1ж,Iдоп_2ж,Iдоп_3ж),MATCH(BS29,Iдоп_S,0))*BP29*BQ29,{6,10,16,20,25,32,40,50,63,80,100,125,160,200,250,315,400,500,630}),""))</f>
        <v>32</v>
      </c>
      <c r="EC29">
        <f>IF(AD29="","",SUMIFS(Линии[_Ток схемы],Линии[_гр.],DY29,Линии[Щит],A29,Линии[_в кабель выше],0))</f>
        <v>2.5599999999999996</v>
      </c>
      <c r="ED29">
        <f>IF(AD29="","",IFERROR(VLOOKUP(EC29,Автомат_номиналы,2,TRUE),""))</f>
        <v>6</v>
      </c>
      <c r="EE29">
        <f>IF(AD29="","",MAX(N(ED29),_xlfn.MAXIFS(Линии[_мин. по типу],Линии[_гр.],DY29,Линии[Щит],A29)))</f>
        <v>6</v>
      </c>
      <c r="EF29">
        <f>IF(AD29="","",_xlfn.MINIFS(Линии[_макс. автомат по кабелю],Линии[_гр.],DY29,Линии[Щит],A29))</f>
        <v>32</v>
      </c>
      <c r="EG29">
        <f>IF(AD29="","",MAX(1,_xlfn.MAXIFS(Линии[_фаз],Линии[_гр.],DY29,Линии[Щит],A29)))</f>
        <v>3</v>
      </c>
      <c r="EH29">
        <f>IF(AD29="","",IF(AND(AD29&lt;&gt;"авто",AD29&lt;&gt;"+"),IF(ISNUMBER(SEARCH("мА",AD29)),IFERROR(--TRIM(RIGHT(SUBSTITUTE(LEFT(AD29,SEARCH("мА",AD29)-1)," ",REPT(" ",9)),6)),30),0),IF(AE29="нет",0,IF(ISNUMBER(AE29),AE29,IF(AE29="да",30,_xlfn.MINIFS(Линии[_дифзащита по коду, мА],Линии[_гр.],DY29,Линии[Щит],A29,Линии[_дифзащита по коду, мА],"&gt;0"))))))</f>
        <v>0</v>
      </c>
      <c r="EI29">
        <f t="shared" si="43"/>
        <v>0</v>
      </c>
      <c r="EJ29" t="str">
        <f t="shared" si="44"/>
        <v>QF3</v>
      </c>
      <c r="EK29" t="str">
        <f t="shared" si="45"/>
        <v>QF3</v>
      </c>
      <c r="EL29" t="str">
        <f t="shared" si="46"/>
        <v/>
      </c>
      <c r="EM29">
        <f t="shared" si="47"/>
        <v>0</v>
      </c>
      <c r="EN29">
        <f>IF(AD29="","",IF(EM29=1,MAX(EE29,Мин_автомат_БП),EE29))</f>
        <v>6</v>
      </c>
      <c r="EO29" t="str">
        <f t="shared" si="48"/>
        <v>3P</v>
      </c>
      <c r="EP29" t="str">
        <f t="shared" si="49"/>
        <v>3P С6А</v>
      </c>
      <c r="EQ29">
        <f t="shared" si="50"/>
        <v>6</v>
      </c>
      <c r="ER29" t="str">
        <f>IF(OR(AI29="",AI29="-"),"",IFERROR(VLOOKUP(AI29,Модули_спр,2,FALSE),"R"))</f>
        <v/>
      </c>
      <c r="ES29" t="str">
        <f>IF(ER29="","",ER29&amp;"."&amp;COUNTIFS(A$3:A29,A29,ER$3:ER29,ER29))</f>
        <v/>
      </c>
      <c r="ET29" t="str">
        <f t="shared" si="51"/>
        <v/>
      </c>
      <c r="EU29" t="str">
        <f t="shared" si="52"/>
        <v/>
      </c>
      <c r="EV29" t="str">
        <f t="shared" si="53"/>
        <v/>
      </c>
      <c r="EW29" t="str">
        <f t="shared" si="54"/>
        <v/>
      </c>
      <c r="EX29">
        <f t="shared" si="55"/>
        <v>1</v>
      </c>
      <c r="EY29" t="str">
        <f>IF(AK29="нет","",IF(AK29&lt;&gt;"",AK29,IF(EX29=1,"XT"&amp;COUNTIFS(A$3:A29,A29,EX$3:EX29,1),"")))</f>
        <v>XT1</v>
      </c>
      <c r="EZ29" t="str">
        <f t="shared" si="56"/>
        <v>QF3</v>
      </c>
      <c r="FA29" t="str">
        <f t="shared" si="57"/>
        <v/>
      </c>
      <c r="FB29" t="str">
        <f t="shared" si="58"/>
        <v>ok</v>
      </c>
      <c r="FC29" t="str">
        <f>IF(OR(EV29="",ET29=""),"",IF(EV29&gt;IFERROR(VLOOKUP(EU29,Модули_спр,3,FALSE),99),"ЛИШНИЙ КАНАЛ",IF(AND(AJ29&lt;&gt;"=",COUNTIFS(Линии[_модуль гр.],ET29,Линии[Канал (итог)],EV29,Линии[Канал],"&lt;&gt;=",Линии[Щит],A29)&gt;1),"ДУБЛЬ КАНАЛА","")))</f>
        <v/>
      </c>
      <c r="FD29">
        <f t="shared" si="59"/>
        <v>6</v>
      </c>
      <c r="FE29" t="str">
        <f t="shared" si="60"/>
        <v>3P С6А</v>
      </c>
      <c r="FF29">
        <f t="shared" si="61"/>
        <v>0</v>
      </c>
      <c r="FG29">
        <f t="shared" si="62"/>
        <v>0</v>
      </c>
      <c r="FH29" t="str">
        <f t="shared" si="63"/>
        <v/>
      </c>
      <c r="FI29">
        <f t="shared" si="64"/>
        <v>10</v>
      </c>
      <c r="FJ29" t="str">
        <f t="shared" si="65"/>
        <v/>
      </c>
      <c r="FK29" t="str">
        <f>IF(AND(D29="",EZ29=""),"",_xlfn.TEXTJOIN("; ",TRUE,IF(AND(D29&lt;&gt;"",DD29=""),"нет фазы",""),IF(AND(D29&lt;&gt;"",N(DT29)=0,CN29&lt;&gt;"Нет"),"нет мощности",""),IF(AND(EY29&lt;&gt;"",COUNTIFS(Линии[Щит],A29,Линии[Клемма (итог)],EY29)&gt;1),"дубль клеммы "&amp;EY29,""),IF(AND(FB29&lt;&gt;"",FB29&lt;&gt;"ok"),FB29,""),IF(FC29&lt;&gt;"",FC29,""),IF(AND(ISNUMBER(SEARCH("(5х",DS29)),N(DV29)=1),"5 жил на 1 фазе",""),IF(AND(AT29="R",AD29&lt;&gt;"",OR(N(EH29)=0,N(EH29)&gt;30)),"розетка без дифзащиты до 30 мА",""),IFERROR(IF(AND(ISNUMBER(CD29),CD29&gt;CE29),"потери "&amp;FIXED(CD29,1)&amp;" % &gt; "&amp;CE29&amp;" %",""),""),IFERROR(IF(LEFT(FJ29,4)="мало","Iкз мало — отключение &gt; 0,4 с",""),""),IF(AND(D29&lt;&gt;"",BD29=""),"не на схеме","")))</f>
        <v/>
      </c>
      <c r="FL29" t="str">
        <f>IF(AD29="","",_xlfn.LET(_xlpm.t,IFERROR(_xlfn.XLOOKUP(EP29,Каталог!$U$4:$U$500,Каталог!$G$4:$G$500),""),_xlpm.k,SEARCH("кА",_xlpm.t),IFERROR(--TRIM(RIGHT(SUBSTITUTE(MID(_xlpm.t,MAX(1,_xlpm.k-4),_xlpm.k-MAX(1,_xlpm.k-4))," ",REPT(" ",9)),5)),"")))</f>
        <v/>
      </c>
      <c r="FM29" t="str">
        <f>IF(OR(FL29="",AD29=""),"",IF(_xlfn.XLOOKUP(A29,Щиты[Щит],Щиты[Iкз max на шинах, кА],"")="","",IF(FL29&lt;_xlfn.XLOOKUP(A29,Щиты[Щит],Щиты[Iкз max на шинах, кА]),"Icu "&amp;FL29&amp;" кА &lt; Iкз max","ok")))</f>
        <v/>
      </c>
      <c r="FN29" t="str">
        <f t="shared" si="66"/>
        <v>QF3|XT1</v>
      </c>
      <c r="FO29" t="str">
        <f t="shared" si="67"/>
        <v>QF3|XT1|кабель ВВГнг(А)-LS (5х6) → Щит освещения ЩО-2 Подвальный этаж этаж Пом. №3.001</v>
      </c>
      <c r="FP29" t="str" cm="1">
        <f t="array" ref="FP29">IF(FO29="","",_xlfn.LET(_xlpm.nd,_xlfn.TEXTSPLIT(FO29,"|"),IF(COLUMNS(_xlpm.nd)&gt;1,A29&amp;"¦"&amp;INDEX(_xlpm.nd,1)&amp;"¦"&amp;INDEX(_xlpm.nd,2),"")))</f>
        <v>ЩГП¦QF3¦XT1</v>
      </c>
      <c r="FQ29" t="str">
        <f t="shared" si="68"/>
        <v>ЩО-001¦Щит освещения ЩО-2 Подвальный этаж этаж Пом. №3.001</v>
      </c>
      <c r="FR29" t="str" cm="1">
        <f t="array" ref="FR29">IF(FO29="","",_xlfn.LET(_xlpm.nd,_xlfn.TEXTSPLIT(FO29,"|"),IF(COLUMNS(_xlpm.nd)&gt;2,A29&amp;"¦"&amp;INDEX(_xlpm.nd,2)&amp;"¦"&amp;INDEX(_xlpm.nd,3),"")))</f>
        <v>ЩГП¦XT1¦кабель ВВГнг(А)-LS (5х6) → Щит освещения ЩО-2 Подвальный этаж этаж Пом. №3.001</v>
      </c>
      <c r="FS29" t="str">
        <f t="shared" si="69"/>
        <v>ЩО-001¦Щит освещения ЩО-2 Подвальный этаж этаж Пом. №3.001</v>
      </c>
      <c r="FT29" t="str" cm="1">
        <f t="array" ref="FT29">IF(FO29="","",_xlfn.LET(_xlpm.nd,_xlfn.TEXTSPLIT(FO29,"|"),IF(COLUMNS(_xlpm.nd)&gt;3,A29&amp;"¦"&amp;INDEX(_xlpm.nd,3)&amp;"¦"&amp;INDEX(_xlpm.nd,4),"")))</f>
        <v/>
      </c>
      <c r="FU29" t="str">
        <f t="shared" si="70"/>
        <v/>
      </c>
      <c r="FV29" t="str" cm="1">
        <f t="array" ref="FV29">IF(FO29="","",_xlfn.LET(_xlpm.nd,_xlfn.TEXTSPLIT(FO29,"|"),IF(COLUMNS(_xlpm.nd)&gt;4,A29&amp;"¦"&amp;INDEX(_xlpm.nd,4)&amp;"¦"&amp;INDEX(_xlpm.nd,5),"")))</f>
        <v/>
      </c>
      <c r="FW29" t="str">
        <f t="shared" si="71"/>
        <v/>
      </c>
      <c r="FX29" t="str" cm="1">
        <f t="array" ref="FX29">IF(FO29="","",_xlfn.LET(_xlpm.nd,_xlfn.TEXTSPLIT(FO29,"|"),IF(COLUMNS(_xlpm.nd)&gt;5,A29&amp;"¦"&amp;INDEX(_xlpm.nd,5)&amp;"¦"&amp;INDEX(_xlpm.nd,6),"")))</f>
        <v/>
      </c>
      <c r="FY29" t="str">
        <f t="shared" si="72"/>
        <v/>
      </c>
      <c r="FZ29" t="str" cm="1">
        <f t="array" ref="FZ29">IF(FO29="","",_xlfn.LET(_xlpm.nd,_xlfn.TEXTSPLIT(FO29,"|"),IF(COLUMNS(_xlpm.nd)&gt;6,A29&amp;"¦"&amp;INDEX(_xlpm.nd,6)&amp;"¦"&amp;INDEX(_xlpm.nd,7),"")))</f>
        <v/>
      </c>
      <c r="GA29" t="str">
        <f t="shared" si="73"/>
        <v/>
      </c>
      <c r="GB29" t="str">
        <f t="shared" si="74"/>
        <v/>
      </c>
      <c r="GC29" t="str">
        <f t="shared" si="75"/>
        <v>QF3 → XT1</v>
      </c>
      <c r="GD29">
        <f t="shared" si="76"/>
        <v>1</v>
      </c>
      <c r="GE29">
        <f t="shared" si="77"/>
        <v>1</v>
      </c>
      <c r="GF29">
        <f t="shared" si="78"/>
        <v>0</v>
      </c>
      <c r="GG29" t="str">
        <f t="shared" si="79"/>
        <v/>
      </c>
      <c r="GH29" t="str">
        <f t="shared" si="80"/>
        <v/>
      </c>
      <c r="GI29" t="str">
        <f t="shared" si="81"/>
        <v/>
      </c>
      <c r="GJ29" t="str">
        <f t="shared" si="82"/>
        <v/>
      </c>
      <c r="GK29" t="str">
        <f>IF(D29="","",IFERROR(VLOOKUP(D29,УГО_спр,2,FALSE),IFERROR(VLOOKUP(AT29,УГО_спр,2,FALSE),IFERROR(VLOOKUP(LEFT(AT29,2),УГО_спр,2,FALSE),""))))</f>
        <v/>
      </c>
      <c r="GL29" t="str">
        <f>IF(D29="","",IF(OR(GK29="",GK29=0),"BOX",IFERROR(IF(VLOOKUP(GK29,УГО_блоки,3,FALSE)&amp;""&lt;&gt;"",VLOOKUP(GK29,УГО_блоки,3,FALSE),VLOOKUP(GK29,УГО_блоки,2,FALSE)),GK29)))</f>
        <v>BOX</v>
      </c>
      <c r="GM29">
        <f t="shared" si="83"/>
        <v>1</v>
      </c>
      <c r="GN29">
        <f>IF(EP29="","",IF(COUNTIF(EP$3:EP29,EP29)=1,MAX(GN$2:GN28)+1,""))</f>
        <v>2</v>
      </c>
      <c r="GO29" t="str">
        <f>IF(AF29="","",IF(COUNTIF(AF$3:AF29,AF29)+COUNTIF(AG$2:AG28,AF29)+COUNTIF(AH$2:AH28,AF29)=1,MAX(GO$2:GQ28)+1,""))</f>
        <v/>
      </c>
      <c r="GP29" t="str">
        <f>IF(AG29="","",IF(COUNTIF(AF$3:AF29,AG29)+COUNTIF(AG$3:AG29,AG29)+COUNTIF(AH$2:AH28,AG29)=1,MAX(GO$2:GQ28,GO29)+1,""))</f>
        <v/>
      </c>
      <c r="GQ29" t="str">
        <f>IF(AH29="","",IF(COUNTIF(AF$3:AF29,AH29)+COUNTIF(AG$3:AG29,AH29)+COUNTIF(AH$3:AH29,AH29)=1,MAX(GO$2:GQ28,GO29,GP29)+1,""))</f>
        <v/>
      </c>
      <c r="GR29" t="str">
        <f t="shared" si="84"/>
        <v>5х6</v>
      </c>
      <c r="GS29" t="str">
        <f>IF(GR29="","",IF(COUNTIF(GR$3:GR29,GR29)=1,MAX(GS$2:GS28)+1,""))</f>
        <v/>
      </c>
      <c r="GT29" t="str">
        <f>IF(ES29="","",COUNTIF(ES$3:ES29,"?*"))</f>
        <v/>
      </c>
      <c r="GU29" t="str">
        <f>IF(OR(ES29="",EU29=""),"",IF(COUNTIFS(ES$3:ES29,"?*",EU$3:EU29,EU29)=1,MAX(GU$2:GU28)+1,""))</f>
        <v/>
      </c>
      <c r="GV29">
        <f t="shared" si="85"/>
        <v>0</v>
      </c>
      <c r="GW29">
        <f>IF(D29="","",COUNTIF(D$3:D29,"?*"))</f>
        <v>27</v>
      </c>
      <c r="GX29">
        <f>IF(EX29&lt;&gt;1,0,_xlfn.LET(_xlpm.k,MAX(IFERROR(--VLOOKUP(D29,УГО_спр,5,FALSE),0),IFERROR(--VLOOKUP(AT29,УГО_спр,5,FALSE),0),IFERROR(--VLOOKUP(LEFT(AT29,2),УГО_спр,5,FALSE),0)),IF(_xlpm.k&gt;0,_xlpm.k,IF(IFERROR(--LEFT(SUBSTITUTE(GR29,"x","х"),FIND("х",SUBSTITUTE(GR29,"x","х"))-1),3)&gt;3,Каталог!$S$9,1))))</f>
        <v>1</v>
      </c>
      <c r="GY29">
        <f t="shared" si="86"/>
        <v>2</v>
      </c>
    </row>
    <row r="30" spans="1:207" x14ac:dyDescent="0.3">
      <c r="A30" t="s">
        <v>787</v>
      </c>
      <c r="B30">
        <v>15</v>
      </c>
      <c r="C30" t="str">
        <f>IF(BD30="","",IF(BE30="вводной узел","узел ","")&amp;"л."&amp;(INT((BD30-1)/Столбцов_на_лист)+1)&amp;" / "&amp;(MOD(BD30-1,Столбцов_на_лист)+1))</f>
        <v>л.1 / 15</v>
      </c>
      <c r="D30" t="s">
        <v>1303</v>
      </c>
      <c r="E30" s="133" t="s">
        <v>1304</v>
      </c>
      <c r="H30">
        <v>1</v>
      </c>
      <c r="I30">
        <v>3</v>
      </c>
      <c r="J30">
        <v>400</v>
      </c>
      <c r="K30" t="s">
        <v>566</v>
      </c>
      <c r="O30" t="s">
        <v>1298</v>
      </c>
      <c r="P30">
        <v>15</v>
      </c>
      <c r="R30">
        <v>15</v>
      </c>
      <c r="U30" t="s">
        <v>11</v>
      </c>
      <c r="V30">
        <v>5</v>
      </c>
      <c r="W30">
        <v>6</v>
      </c>
      <c r="Z30" t="s">
        <v>559</v>
      </c>
      <c r="AA30" t="s">
        <v>866</v>
      </c>
      <c r="AC30" t="s">
        <v>861</v>
      </c>
      <c r="AD30" t="s">
        <v>517</v>
      </c>
      <c r="AR30" t="str">
        <f t="shared" si="0"/>
        <v>нет мощности</v>
      </c>
      <c r="AS30" cm="1">
        <f t="array" ref="AS30">ROW()-ROW(Линии[#Headers])</f>
        <v>28</v>
      </c>
      <c r="AT30" t="str">
        <f t="shared" si="1"/>
        <v>ЩО-01</v>
      </c>
      <c r="AU30" t="str">
        <f t="shared" si="2"/>
        <v/>
      </c>
      <c r="AV30" t="str">
        <f t="shared" si="3"/>
        <v/>
      </c>
      <c r="AW30" t="str">
        <f t="shared" si="4"/>
        <v/>
      </c>
      <c r="AX30" t="str">
        <f t="shared" si="5"/>
        <v/>
      </c>
      <c r="AY30" t="str">
        <f>IF(D30="","",IF(ISERROR(SEARCH(".",D30)),IFERROR(VLOOKUP(D30,Потребители_обозначение,2,FALSE)&amp;"",""),IFERROR(IF(VLOOKUP(AT30,Потребители_обозначение,4,FALSE)=1,VLOOKUP(AT30,Потребители_обозначение,2,FALSE)&amp;" "&amp;VLOOKUP(AV30,Этаж_обозначение,2,FALSE)&amp;" Пом. №"&amp;AX30,VLOOKUP(AT30,Потребители_обозначение,2,FALSE)&amp;" Шлейф №"&amp;AV30),IFERROR(VLOOKUP(D30,Потребители_обозначение,2,FALSE),""))))</f>
        <v/>
      </c>
      <c r="AZ30" t="str">
        <f t="shared" si="6"/>
        <v>Щит освещения ЩО-2 Цокольный этаж этаж Пом. №001Т</v>
      </c>
      <c r="BA30" t="str">
        <f>IF(F30&lt;&gt;"",F30,IF(AND(D30&lt;&gt;"",D30&lt;&gt;A30,ISNUMBER(_xlfn.XMATCH(D30,Щиты[Щит]))),D30,""))</f>
        <v/>
      </c>
      <c r="BB30">
        <f>IFERROR(_xlfn.XMATCH(A30,Щиты[Щит]),0)</f>
        <v>2</v>
      </c>
      <c r="BC30">
        <f>IFERROR(N(_xlfn.XLOOKUP(A30,Щиты[Щит],Щиты[Мест под вводной узел])),15)</f>
        <v>8</v>
      </c>
      <c r="BD30">
        <f t="shared" si="7"/>
        <v>15</v>
      </c>
      <c r="BE30" t="str">
        <f t="shared" si="8"/>
        <v>линии</v>
      </c>
      <c r="BF30">
        <f>IF(D30="","",IF(BA30&lt;&gt;"",IFERROR(_xlfn.XLOOKUP(BA30,Щиты[Щит],Щиты[Руст, кВт]),0),N(G30)))</f>
        <v>0</v>
      </c>
      <c r="BG30">
        <f>IF(J30&lt;&gt;"",J30,IF(D30="","",IFERROR(IF(VLOOKUP(AT30,Потребители_обозначение,8,FALSE)=0,"",VLOOKUP(AT30,Потребители_обозначение,8,FALSE)),"")))</f>
        <v>400</v>
      </c>
      <c r="BH30">
        <f>IF(I30&lt;&gt;"",I30,IF(D30="","",IFERROR(IF(VLOOKUP(AT30,Потребители_обозначение,9,FALSE)=0,"",VLOOKUP(AT30,Потребители_обозначение,9,FALSE)),"")))</f>
        <v>3</v>
      </c>
      <c r="BI30" t="str">
        <f>IF(U30&lt;&gt;"",U30,IF(D30="","",IFERROR(IF(VLOOKUP(AT30,Потребители_обозначение,6,FALSE)=0,"",VLOOKUP(AT30,Потребители_обозначение,6,FALSE)),"")))</f>
        <v>мс</v>
      </c>
      <c r="BJ30">
        <f>IF(V30&lt;&gt;"",V30,IF(D30="","",IFERROR(IF(VLOOKUP(AT30,Потребители_обозначение,7,FALSE)=0,"",VLOOKUP(AT30,Потребители_обозначение,7,FALSE)),"")))</f>
        <v>5</v>
      </c>
      <c r="BK30">
        <f>IF(W30&lt;&gt;"",W30,IF(D30="","",IFERROR(IF(VLOOKUP(AT30,Потребители_обозначение,10,FALSE)=0,"",VLOOKUP(AT30,Потребители_обозначение,10,FALSE)),"")))</f>
        <v>6</v>
      </c>
      <c r="BL30">
        <f>IFERROR(VLOOKUP(AT30,Потребители_обозначение,5,FALSE),0)</f>
        <v>0</v>
      </c>
      <c r="BM30" cm="1">
        <f t="array" ref="BM30">IF(D30="","",IF(BA30&lt;&gt;"",IFERROR(_xlfn.XLOOKUP(BA30,Щиты[Щит],Щиты[cos φ]),0.95),IF(ISNUMBER(M30),M30,IFERROR(IF(BL30=2,_xlfn.IFS(BH30=3,VLOOKUP(BF30,Справочная_двигатели,8,FALSE),BH30=1,VLOOKUP(BF30,Справочная_двигатели,10,TRUE)),IF(AND(Методика="нормы 2026",CN30="Сил"),0.8,0.95)),0.95))))</f>
        <v>0.95</v>
      </c>
      <c r="BN30" cm="1">
        <f t="array" ref="BN30">IF(D30="","",IF(BA30&lt;&gt;"",IFERROR(_xlfn.XLOOKUP(BA30,Щиты[Щит],Щиты[Iр, А]),""),IFERROR(_xlfn.IFS(BH30=1,BF30/((Uн_лин/SQRT(3))*BM30),BH30=3,BF30/(SQRT(3)*Uн_лин*BM30)),"")))</f>
        <v>0</v>
      </c>
      <c r="BO30">
        <f>IF(D30="","",IF(N(X30)=0,IFERROR(VLOOKUP(BN30,Автомат_номиналы,2,TRUE),""),X30))</f>
        <v>6</v>
      </c>
      <c r="BP30">
        <f t="shared" si="9"/>
        <v>0.92</v>
      </c>
      <c r="BQ30">
        <f>IF(ISNUMBER(Y30),Y30,К_прокл)</f>
        <v>1</v>
      </c>
      <c r="BR30">
        <f t="shared" si="10"/>
        <v>3</v>
      </c>
      <c r="BS30" cm="1">
        <f t="array" ref="BS30">IF(D30="","",IF(N(BK30)&lt;&gt;0,BK30,IFERROR(_xlfn.LET(_xlpm.need,BO30/(BP30*BQ30),_xlpm.t,CHOOSE(BR30,Iдоп_1ж,Iдоп_2ж,Iдоп_3ж),_xlpm.k,_xlfn.XMATCH(_xlpm.need,_xlpm.t,1),IF(ISNA(_xlpm.k),"Не исп",INDEX(Iдоп_S,_xlpm.k))),"Не исп")))</f>
        <v>6</v>
      </c>
      <c r="BT30">
        <f>IFERROR(VLOOKUP(BS30,Кабель_сопротивление,3,FALSE),"")</f>
        <v>2.2499999999999999E-2</v>
      </c>
      <c r="BU30">
        <f>IFERROR(VLOOKUP(BS30,Кабель_сопротивление,2,FALSE),"")</f>
        <v>0.09</v>
      </c>
      <c r="BV30">
        <f t="shared" si="11"/>
        <v>15</v>
      </c>
      <c r="BW30">
        <f>IF(D30="","",IFERROR(IF(VLOOKUP(AT30,Потребители_обозначение,4,FALSE)=1,VLOOKUP(AT30,Потребители_обозначение,3,FALSE)*(H30*2-1)+BV30+VLOOKUP(AV30,Этаж_обозначение,3,FALSE)+VLOOKUP(AV30,Этаж_обозначение,4,FALSE),VLOOKUP(AT30,Потребители_обозначение,3,FALSE)*(H30*2-1)+BV30),BV30))</f>
        <v>15</v>
      </c>
      <c r="BX30">
        <f t="shared" si="12"/>
        <v>15</v>
      </c>
      <c r="BY30" t="str">
        <f t="shared" si="13"/>
        <v/>
      </c>
      <c r="BZ30">
        <f t="shared" si="14"/>
        <v>1</v>
      </c>
      <c r="CA30">
        <f t="shared" si="15"/>
        <v>0.31</v>
      </c>
      <c r="CB30">
        <f t="shared" si="16"/>
        <v>0</v>
      </c>
      <c r="CC30">
        <f>IFERROR(ROUNDUP(CB30/((Uн_лин/SQRT(3))*1000)*100,2),"")</f>
        <v>0</v>
      </c>
      <c r="CD30">
        <f>IF(ISNUMBER(CC30),CC30+IFERROR(_xlfn.XLOOKUP(A30,Щиты[Щит],Щиты[ΔU до шин, %]),0),"")</f>
        <v>0</v>
      </c>
      <c r="CE30">
        <f>IF(D30="","",IF(IFERROR(VLOOKUP(AT30,УГО_спр,2,FALSE),"")="Светильник",3,4)+IF(Методика="нормы 2026",MIN(0.5,MAX(0,N(BW30)-100)*0.005),0))</f>
        <v>4</v>
      </c>
      <c r="CF30" t="str">
        <f>IFERROR(VLOOKUP(BI30,Кабель_обозначение,2,FALSE),"")</f>
        <v>ВВГнг(А)-LS</v>
      </c>
      <c r="CG30" t="str">
        <f>IFERROR(IF(VLOOKUP(BI30,Кабель_обозначение,3,FALSE)=1,CF30&amp;" ("&amp;BJ30&amp;"х"&amp;BS30&amp;")",CF30),"")</f>
        <v>ВВГнг(А)-LS (5х6)</v>
      </c>
      <c r="CH30" t="str">
        <f t="shared" si="17"/>
        <v>ВВГнг(А)-LS (5х6)
L=15-0%</v>
      </c>
      <c r="CI30">
        <f>IFERROR(2*ρкз_Cu*BW30/BS30,"")</f>
        <v>0.13150000000000001</v>
      </c>
      <c r="CJ30">
        <f t="shared" si="18"/>
        <v>4.3750000000000004E-2</v>
      </c>
      <c r="CK30" t="str">
        <f>IFERROR(IF(OR(D30="",NOT(ISNUMBER(BS30)),N(BW30)=0),"",_xlfn.XLOOKUP(A30,Щиты[Щит],Щиты[Zпетли на шинах, Ом])+CI30),"")</f>
        <v/>
      </c>
      <c r="CL30" t="str">
        <f>IF(ISNUMBER(CK30),c_min*(Uн_лин*1000/SQRT(3))/CK30,"")</f>
        <v/>
      </c>
      <c r="CM30" t="str">
        <f>IFERROR(IF(OR(D30="",NOT(ISNUMBER(BS30))),"",1.05*(Uн_лин*1000/SQRT(3))/(_xlfn.XLOOKUP(A30,Щиты[Щит],Щиты[Zmax на шинах, Ом])+CJ30)/1000),"")</f>
        <v/>
      </c>
      <c r="CN30" t="str">
        <f>IF(D30="","",IF(BA30&lt;&gt;"","Щит",IF(K30&lt;&gt;"",K30,IF(ISNUMBER(L30),"Сил",IF(IFERROR(_xlfn.XLOOKUP(AT30,Коды_код,Коды_группа)&amp;"","")="","Быт",_xlfn.XLOOKUP(AT30,Коды_код,Коды_группа)&amp;"")))))</f>
        <v>Быт</v>
      </c>
      <c r="CO30">
        <f>IF(CN30="Щит","щит",IF(CN30="","",IF(CN30="Быт",IFERROR(_xlfn.XLOOKUP(A30,Щиты[Щит],Щиты[Кс быт]),1),IF(CN30="Сил",IF(ISNUMBER(L30),L30,IF(Методика="нормы 2026",IFERROR(_xlfn.XLOOKUP(A30,Щиты[Щит],Щиты[Кс силовых (табл. 7.5)]),1),1)),IF(OR(CN30="Пост",CN30="Отоп"),1,IF(CN30="ВНГ",0.7,0))))))</f>
        <v>0.8</v>
      </c>
      <c r="CP30">
        <f t="shared" si="19"/>
        <v>1</v>
      </c>
      <c r="CQ30">
        <f t="shared" si="20"/>
        <v>0</v>
      </c>
      <c r="CR30">
        <f t="shared" si="21"/>
        <v>0</v>
      </c>
      <c r="CS30">
        <f t="shared" si="22"/>
        <v>0</v>
      </c>
      <c r="CT30">
        <f t="shared" si="23"/>
        <v>0</v>
      </c>
      <c r="CU30">
        <f t="shared" si="24"/>
        <v>0</v>
      </c>
      <c r="CV30">
        <f t="shared" si="25"/>
        <v>0</v>
      </c>
      <c r="CW30">
        <f t="shared" si="26"/>
        <v>0</v>
      </c>
      <c r="CX30">
        <f t="shared" si="27"/>
        <v>0</v>
      </c>
      <c r="CY30">
        <f t="shared" si="28"/>
        <v>2</v>
      </c>
      <c r="CZ30" t="str">
        <f t="shared" si="29"/>
        <v>L1,L2,L3</v>
      </c>
      <c r="DA30" cm="1">
        <f t="array" ref="DA30">IFERROR(IF(BL30=2,_xlfn.IFS(BH30=3,VLOOKUP(BF30,Справочная_двигатели,3,FALSE),BH30=1,VLOOKUP(BF30,Справочная_двигатели,5,TRUE)),0),0)</f>
        <v>0</v>
      </c>
      <c r="DB30">
        <f>IFERROR(IF(BL30=3,VLOOKUP(BF30,Справочная_ЛЭД,2,TRUE),0),0)</f>
        <v>0</v>
      </c>
      <c r="DC30">
        <f t="shared" si="30"/>
        <v>0</v>
      </c>
      <c r="DD30" t="str">
        <f t="shared" si="31"/>
        <v>L1,L2,L3</v>
      </c>
      <c r="DE30" t="str" cm="1">
        <f t="array" ref="DE30">IF(D30="","",IFERROR(INDEX({"I особая","I","II","III"},MATCH(TRIM(AA30&amp;""),{"I особая","I","II","III"},0)),"III"))</f>
        <v>I</v>
      </c>
      <c r="DF30" t="str">
        <f>IF(D30="","",IF(TRIM(AB30&amp;"")&lt;&gt;"",IF(LOWER(TRIM(AB30&amp;""))="да","да","нет"),IF(IFERROR(_xlfn.XLOOKUP(AT30,Коды_код,Коды_пожарная),"")="да","да","нет")))</f>
        <v>нет</v>
      </c>
      <c r="DG30" t="str">
        <f t="shared" si="32"/>
        <v>ИБП</v>
      </c>
      <c r="DH30" t="str">
        <f t="shared" si="33"/>
        <v>ИБП</v>
      </c>
      <c r="DI30">
        <f t="shared" si="34"/>
        <v>1</v>
      </c>
      <c r="DJ30" t="str" cm="1">
        <f t="array" ref="DJ30">IF(D30="","",_xlfn.LET(_xlpm.t,IFERROR(_xlfn.XLOOKUP(1,(Шины[Шина]=DH30)*(((Шины[Щит]=A30)+(Шины[Щит]=""))&gt;0),Шины[Тип]),"")&amp;"",IF(_xlpm.t&lt;&gt;"",_xlpm.t,IF(ISNUMBER(SEARCH("ИБП",DH30)),"ИБП",IF(ISNUMBER(SEARCH("ДГУ",DH30)),"ДГУ","Ввод "&amp;DI30)))))</f>
        <v>ИБП</v>
      </c>
      <c r="DK30" t="str">
        <f t="shared" si="35"/>
        <v>ИБП</v>
      </c>
      <c r="DL30" t="str">
        <f>IF(D30="","",IF(OR(DJ30="ИБП",DJ30="ДГУ"),"I особая",IF(DJ30="Одиночная","III",_xlfn.XLOOKUP(A30,Щиты[Щит],Щиты[Категория шины «Ввод»],"III"))))</f>
        <v>I особая</v>
      </c>
      <c r="DM30">
        <f>IF(D30="",0,IFERROR(MATCH(DE30,{"III","II","I","I особая"},0),1))</f>
        <v>3</v>
      </c>
      <c r="DN30">
        <f t="shared" si="36"/>
        <v>3</v>
      </c>
      <c r="DO30" t="str">
        <f>IF(D30="","",IF(DM30&gt;IFERROR(MATCH(DL30,{"III","II","I","I особая"},0),1),"НЕ ОБЕСПЕЧЕНА","ОК"))</f>
        <v>ОК</v>
      </c>
      <c r="DP30" t="str">
        <f>IF(A30="","",_xlfn.XLOOKUP(A30,Щиты[Щит],Щиты[Путь],""))</f>
        <v>|ГРЩ-ЖД|ЩГП|</v>
      </c>
      <c r="DQ30" t="str">
        <f>IF(D30="","",IF(Z30&lt;&gt;"",Z30,IF(IFERROR(_xlfn.XLOOKUP(AT30,Коды_код,Коды_вид)&amp;"","")="","Прочее",_xlfn.XLOOKUP(AT30,Коды_код,Коды_вид)&amp;"")))</f>
        <v>Рабочее освещение</v>
      </c>
      <c r="DR30">
        <f>IF(BD30="","",INT((BD30-1)/Столбцов_на_лист)+1)</f>
        <v>1</v>
      </c>
      <c r="DS30" t="str">
        <f t="shared" si="37"/>
        <v>ВВГнг(А)-LS (5х6) L=15-0%</v>
      </c>
      <c r="DT30">
        <f t="shared" si="38"/>
        <v>0</v>
      </c>
      <c r="DU30">
        <f t="shared" si="39"/>
        <v>0</v>
      </c>
      <c r="DV30">
        <f t="shared" si="40"/>
        <v>3</v>
      </c>
      <c r="DW30">
        <f>IF(AT30="",0,_xlfn.LET(_xlpm.v,IFERROR(VLOOKUP(D30,УГО_спр,3,FALSE),IFERROR(VLOOKUP(AT30,УГО_спр,3,FALSE),IFERROR(VLOOKUP(LEFT(AT30,2),УГО_спр,3,FALSE),""))),IF(_xlpm.v="да",30,IF(ISNUMBER(_xlpm.v),_xlpm.v,0))))</f>
        <v>0</v>
      </c>
      <c r="DX30">
        <f t="shared" si="41"/>
        <v>0</v>
      </c>
      <c r="DY30">
        <f>IF(BD30="","",IF(AD30&lt;&gt;"",COUNTIFS(A$3:A30,A30,AD$3:AD30,"?*"),IF(OR(OR(AS30=1,A30&lt;&gt;A29),AL30="вручную"),"",IF(AS30=1,"",DZ29))))</f>
        <v>4</v>
      </c>
      <c r="DZ30">
        <f t="shared" si="42"/>
        <v>4</v>
      </c>
      <c r="EA30">
        <f>IF(D30="",0,MAX(IFERROR(--X30,0),IFERROR(--VLOOKUP(D30,УГО_спр,4,FALSE),IFERROR(--VLOOKUP(AT30,УГО_спр,4,FALSE),IFERROR(--VLOOKUP(LEFT(AT30,2),УГО_спр,4,FALSE),0)))))</f>
        <v>0</v>
      </c>
      <c r="EB30">
        <f>IF(D30="","",IFERROR(LOOKUP(INDEX(CHOOSE(BR30,Iдоп_1ж,Iдоп_2ж,Iдоп_3ж),MATCH(BS30,Iдоп_S,0))*BP30*BQ30,{6,10,16,20,25,32,40,50,63,80,100,125,160,200,250,315,400,500,630}),""))</f>
        <v>32</v>
      </c>
      <c r="EC30">
        <f>IF(AD30="","",SUMIFS(Линии[_Ток схемы],Линии[_гр.],DY30,Линии[Щит],A30,Линии[_в кабель выше],0))</f>
        <v>0</v>
      </c>
      <c r="ED30">
        <f>IF(AD30="","",IFERROR(VLOOKUP(EC30,Автомат_номиналы,2,TRUE),""))</f>
        <v>6</v>
      </c>
      <c r="EE30">
        <f>IF(AD30="","",MAX(N(ED30),_xlfn.MAXIFS(Линии[_мин. по типу],Линии[_гр.],DY30,Линии[Щит],A30)))</f>
        <v>6</v>
      </c>
      <c r="EF30">
        <f>IF(AD30="","",_xlfn.MINIFS(Линии[_макс. автомат по кабелю],Линии[_гр.],DY30,Линии[Щит],A30))</f>
        <v>32</v>
      </c>
      <c r="EG30">
        <f>IF(AD30="","",MAX(1,_xlfn.MAXIFS(Линии[_фаз],Линии[_гр.],DY30,Линии[Щит],A30)))</f>
        <v>3</v>
      </c>
      <c r="EH30">
        <f>IF(AD30="","",IF(AND(AD30&lt;&gt;"авто",AD30&lt;&gt;"+"),IF(ISNUMBER(SEARCH("мА",AD30)),IFERROR(--TRIM(RIGHT(SUBSTITUTE(LEFT(AD30,SEARCH("мА",AD30)-1)," ",REPT(" ",9)),6)),30),0),IF(AE30="нет",0,IF(ISNUMBER(AE30),AE30,IF(AE30="да",30,_xlfn.MINIFS(Линии[_дифзащита по коду, мА],Линии[_гр.],DY30,Линии[Щит],A30,Линии[_дифзащита по коду, мА],"&gt;0"))))))</f>
        <v>0</v>
      </c>
      <c r="EI30">
        <f t="shared" si="43"/>
        <v>0</v>
      </c>
      <c r="EJ30" t="str">
        <f t="shared" si="44"/>
        <v>QF4</v>
      </c>
      <c r="EK30" t="str">
        <f t="shared" si="45"/>
        <v>QF4</v>
      </c>
      <c r="EL30" t="str">
        <f t="shared" si="46"/>
        <v/>
      </c>
      <c r="EM30">
        <f t="shared" si="47"/>
        <v>0</v>
      </c>
      <c r="EN30">
        <f>IF(AD30="","",IF(EM30=1,MAX(EE30,Мин_автомат_БП),EE30))</f>
        <v>6</v>
      </c>
      <c r="EO30" t="str">
        <f t="shared" si="48"/>
        <v>3P</v>
      </c>
      <c r="EP30" t="str">
        <f t="shared" si="49"/>
        <v>3P С6А</v>
      </c>
      <c r="EQ30">
        <f t="shared" si="50"/>
        <v>6</v>
      </c>
      <c r="ER30" t="str">
        <f>IF(OR(AI30="",AI30="-"),"",IFERROR(VLOOKUP(AI30,Модули_спр,2,FALSE),"R"))</f>
        <v/>
      </c>
      <c r="ES30" t="str">
        <f>IF(ER30="","",ER30&amp;"."&amp;COUNTIFS(A$3:A30,A30,ER$3:ER30,ER30))</f>
        <v/>
      </c>
      <c r="ET30" t="str">
        <f t="shared" si="51"/>
        <v/>
      </c>
      <c r="EU30" t="str">
        <f t="shared" si="52"/>
        <v/>
      </c>
      <c r="EV30" t="str">
        <f t="shared" si="53"/>
        <v/>
      </c>
      <c r="EW30" t="str">
        <f t="shared" si="54"/>
        <v/>
      </c>
      <c r="EX30">
        <f t="shared" si="55"/>
        <v>1</v>
      </c>
      <c r="EY30" t="str">
        <f>IF(AK30="нет","",IF(AK30&lt;&gt;"",AK30,IF(EX30=1,"XT"&amp;COUNTIFS(A$3:A30,A30,EX$3:EX30,1),"")))</f>
        <v>XT2</v>
      </c>
      <c r="EZ30" t="str">
        <f t="shared" si="56"/>
        <v>QF4</v>
      </c>
      <c r="FA30" t="str">
        <f t="shared" si="57"/>
        <v/>
      </c>
      <c r="FB30" t="str">
        <f t="shared" si="58"/>
        <v>ok</v>
      </c>
      <c r="FC30" t="str">
        <f>IF(OR(EV30="",ET30=""),"",IF(EV30&gt;IFERROR(VLOOKUP(EU30,Модули_спр,3,FALSE),99),"ЛИШНИЙ КАНАЛ",IF(AND(AJ30&lt;&gt;"=",COUNTIFS(Линии[_модуль гр.],ET30,Линии[Канал (итог)],EV30,Линии[Канал],"&lt;&gt;=",Линии[Щит],A30)&gt;1),"ДУБЛЬ КАНАЛА","")))</f>
        <v/>
      </c>
      <c r="FD30">
        <f t="shared" si="59"/>
        <v>6</v>
      </c>
      <c r="FE30" t="str">
        <f t="shared" si="60"/>
        <v>3P С6А</v>
      </c>
      <c r="FF30">
        <f t="shared" si="61"/>
        <v>0</v>
      </c>
      <c r="FG30">
        <f t="shared" si="62"/>
        <v>0</v>
      </c>
      <c r="FH30" t="str">
        <f t="shared" si="63"/>
        <v/>
      </c>
      <c r="FI30">
        <f t="shared" si="64"/>
        <v>10</v>
      </c>
      <c r="FJ30" t="str">
        <f t="shared" si="65"/>
        <v/>
      </c>
      <c r="FK30" t="str">
        <f>IF(AND(D30="",EZ30=""),"",_xlfn.TEXTJOIN("; ",TRUE,IF(AND(D30&lt;&gt;"",DD30=""),"нет фазы",""),IF(AND(D30&lt;&gt;"",N(DT30)=0,CN30&lt;&gt;"Нет"),"нет мощности",""),IF(AND(EY30&lt;&gt;"",COUNTIFS(Линии[Щит],A30,Линии[Клемма (итог)],EY30)&gt;1),"дубль клеммы "&amp;EY30,""),IF(AND(FB30&lt;&gt;"",FB30&lt;&gt;"ok"),FB30,""),IF(FC30&lt;&gt;"",FC30,""),IF(AND(ISNUMBER(SEARCH("(5х",DS30)),N(DV30)=1),"5 жил на 1 фазе",""),IF(AND(AT30="R",AD30&lt;&gt;"",OR(N(EH30)=0,N(EH30)&gt;30)),"розетка без дифзащиты до 30 мА",""),IFERROR(IF(AND(ISNUMBER(CD30),CD30&gt;CE30),"потери "&amp;FIXED(CD30,1)&amp;" % &gt; "&amp;CE30&amp;" %",""),""),IFERROR(IF(LEFT(FJ30,4)="мало","Iкз мало — отключение &gt; 0,4 с",""),""),IF(AND(D30&lt;&gt;"",BD30=""),"не на схеме","")))</f>
        <v>нет мощности</v>
      </c>
      <c r="FL30" t="str">
        <f>IF(AD30="","",_xlfn.LET(_xlpm.t,IFERROR(_xlfn.XLOOKUP(EP30,Каталог!$U$4:$U$500,Каталог!$G$4:$G$500),""),_xlpm.k,SEARCH("кА",_xlpm.t),IFERROR(--TRIM(RIGHT(SUBSTITUTE(MID(_xlpm.t,MAX(1,_xlpm.k-4),_xlpm.k-MAX(1,_xlpm.k-4))," ",REPT(" ",9)),5)),"")))</f>
        <v/>
      </c>
      <c r="FM30" t="str">
        <f>IF(OR(FL30="",AD30=""),"",IF(_xlfn.XLOOKUP(A30,Щиты[Щит],Щиты[Iкз max на шинах, кА],"")="","",IF(FL30&lt;_xlfn.XLOOKUP(A30,Щиты[Щит],Щиты[Iкз max на шинах, кА]),"Icu "&amp;FL30&amp;" кА &lt; Iкз max","ok")))</f>
        <v/>
      </c>
      <c r="FN30" t="str">
        <f t="shared" si="66"/>
        <v>QF4|XT2</v>
      </c>
      <c r="FO30" t="str">
        <f t="shared" si="67"/>
        <v>QF4|XT2|кабель ВВГнг(А)-LS (5х6) → Щит освещения ЩО-2 Цокольный этаж этаж Пом. №001Т</v>
      </c>
      <c r="FP30" t="str" cm="1">
        <f t="array" ref="FP30">IF(FO30="","",_xlfn.LET(_xlpm.nd,_xlfn.TEXTSPLIT(FO30,"|"),IF(COLUMNS(_xlpm.nd)&gt;1,A30&amp;"¦"&amp;INDEX(_xlpm.nd,1)&amp;"¦"&amp;INDEX(_xlpm.nd,2),"")))</f>
        <v>ЩГП¦QF4¦XT2</v>
      </c>
      <c r="FQ30" t="str">
        <f t="shared" si="68"/>
        <v>ЩО-01¦Щит освещения ЩО-2 Цокольный этаж этаж Пом. №001Т</v>
      </c>
      <c r="FR30" t="str" cm="1">
        <f t="array" ref="FR30">IF(FO30="","",_xlfn.LET(_xlpm.nd,_xlfn.TEXTSPLIT(FO30,"|"),IF(COLUMNS(_xlpm.nd)&gt;2,A30&amp;"¦"&amp;INDEX(_xlpm.nd,2)&amp;"¦"&amp;INDEX(_xlpm.nd,3),"")))</f>
        <v>ЩГП¦XT2¦кабель ВВГнг(А)-LS (5х6) → Щит освещения ЩО-2 Цокольный этаж этаж Пом. №001Т</v>
      </c>
      <c r="FS30" t="str">
        <f t="shared" si="69"/>
        <v>ЩО-01¦Щит освещения ЩО-2 Цокольный этаж этаж Пом. №001Т</v>
      </c>
      <c r="FT30" t="str" cm="1">
        <f t="array" ref="FT30">IF(FO30="","",_xlfn.LET(_xlpm.nd,_xlfn.TEXTSPLIT(FO30,"|"),IF(COLUMNS(_xlpm.nd)&gt;3,A30&amp;"¦"&amp;INDEX(_xlpm.nd,3)&amp;"¦"&amp;INDEX(_xlpm.nd,4),"")))</f>
        <v/>
      </c>
      <c r="FU30" t="str">
        <f t="shared" si="70"/>
        <v/>
      </c>
      <c r="FV30" t="str" cm="1">
        <f t="array" ref="FV30">IF(FO30="","",_xlfn.LET(_xlpm.nd,_xlfn.TEXTSPLIT(FO30,"|"),IF(COLUMNS(_xlpm.nd)&gt;4,A30&amp;"¦"&amp;INDEX(_xlpm.nd,4)&amp;"¦"&amp;INDEX(_xlpm.nd,5),"")))</f>
        <v/>
      </c>
      <c r="FW30" t="str">
        <f t="shared" si="71"/>
        <v/>
      </c>
      <c r="FX30" t="str" cm="1">
        <f t="array" ref="FX30">IF(FO30="","",_xlfn.LET(_xlpm.nd,_xlfn.TEXTSPLIT(FO30,"|"),IF(COLUMNS(_xlpm.nd)&gt;5,A30&amp;"¦"&amp;INDEX(_xlpm.nd,5)&amp;"¦"&amp;INDEX(_xlpm.nd,6),"")))</f>
        <v/>
      </c>
      <c r="FY30" t="str">
        <f t="shared" si="72"/>
        <v/>
      </c>
      <c r="FZ30" t="str" cm="1">
        <f t="array" ref="FZ30">IF(FO30="","",_xlfn.LET(_xlpm.nd,_xlfn.TEXTSPLIT(FO30,"|"),IF(COLUMNS(_xlpm.nd)&gt;6,A30&amp;"¦"&amp;INDEX(_xlpm.nd,6)&amp;"¦"&amp;INDEX(_xlpm.nd,7),"")))</f>
        <v/>
      </c>
      <c r="GA30" t="str">
        <f t="shared" si="73"/>
        <v/>
      </c>
      <c r="GB30" t="str">
        <f t="shared" si="74"/>
        <v/>
      </c>
      <c r="GC30" t="str">
        <f t="shared" si="75"/>
        <v>QF4 → XT2</v>
      </c>
      <c r="GD30">
        <f t="shared" si="76"/>
        <v>1</v>
      </c>
      <c r="GE30">
        <f t="shared" si="77"/>
        <v>1</v>
      </c>
      <c r="GF30">
        <f t="shared" si="78"/>
        <v>0</v>
      </c>
      <c r="GG30" t="str">
        <f t="shared" si="79"/>
        <v/>
      </c>
      <c r="GH30" t="str">
        <f t="shared" si="80"/>
        <v/>
      </c>
      <c r="GI30" t="str">
        <f t="shared" si="81"/>
        <v/>
      </c>
      <c r="GJ30" t="str">
        <f t="shared" si="82"/>
        <v/>
      </c>
      <c r="GK30" t="str">
        <f>IF(D30="","",IFERROR(VLOOKUP(D30,УГО_спр,2,FALSE),IFERROR(VLOOKUP(AT30,УГО_спр,2,FALSE),IFERROR(VLOOKUP(LEFT(AT30,2),УГО_спр,2,FALSE),""))))</f>
        <v/>
      </c>
      <c r="GL30" t="str">
        <f>IF(D30="","",IF(OR(GK30="",GK30=0),"BOX",IFERROR(IF(VLOOKUP(GK30,УГО_блоки,3,FALSE)&amp;""&lt;&gt;"",VLOOKUP(GK30,УГО_блоки,3,FALSE),VLOOKUP(GK30,УГО_блоки,2,FALSE)),GK30)))</f>
        <v>BOX</v>
      </c>
      <c r="GM30">
        <f t="shared" si="83"/>
        <v>1</v>
      </c>
      <c r="GN30" t="str">
        <f>IF(EP30="","",IF(COUNTIF(EP$3:EP30,EP30)=1,MAX(GN$2:GN29)+1,""))</f>
        <v/>
      </c>
      <c r="GO30" t="str">
        <f>IF(AF30="","",IF(COUNTIF(AF$3:AF30,AF30)+COUNTIF(AG$2:AG29,AF30)+COUNTIF(AH$2:AH29,AF30)=1,MAX(GO$2:GQ29)+1,""))</f>
        <v/>
      </c>
      <c r="GP30" t="str">
        <f>IF(AG30="","",IF(COUNTIF(AF$3:AF30,AG30)+COUNTIF(AG$3:AG30,AG30)+COUNTIF(AH$2:AH29,AG30)=1,MAX(GO$2:GQ29,GO30)+1,""))</f>
        <v/>
      </c>
      <c r="GQ30" t="str">
        <f>IF(AH30="","",IF(COUNTIF(AF$3:AF30,AH30)+COUNTIF(AG$3:AG30,AH30)+COUNTIF(AH$3:AH30,AH30)=1,MAX(GO$2:GQ29,GO30,GP30)+1,""))</f>
        <v/>
      </c>
      <c r="GR30" t="str">
        <f t="shared" si="84"/>
        <v>5х6</v>
      </c>
      <c r="GS30" t="str">
        <f>IF(GR30="","",IF(COUNTIF(GR$3:GR30,GR30)=1,MAX(GS$2:GS29)+1,""))</f>
        <v/>
      </c>
      <c r="GT30" t="str">
        <f>IF(ES30="","",COUNTIF(ES$3:ES30,"?*"))</f>
        <v/>
      </c>
      <c r="GU30" t="str">
        <f>IF(OR(ES30="",EU30=""),"",IF(COUNTIFS(ES$3:ES30,"?*",EU$3:EU30,EU30)=1,MAX(GU$2:GU29)+1,""))</f>
        <v/>
      </c>
      <c r="GV30">
        <f t="shared" si="85"/>
        <v>1</v>
      </c>
      <c r="GW30">
        <f>IF(D30="","",COUNTIF(D$3:D30,"?*"))</f>
        <v>28</v>
      </c>
      <c r="GX30">
        <f>IF(EX30&lt;&gt;1,0,_xlfn.LET(_xlpm.k,MAX(IFERROR(--VLOOKUP(D30,УГО_спр,5,FALSE),0),IFERROR(--VLOOKUP(AT30,УГО_спр,5,FALSE),0),IFERROR(--VLOOKUP(LEFT(AT30,2),УГО_спр,5,FALSE),0)),IF(_xlpm.k&gt;0,_xlpm.k,IF(IFERROR(--LEFT(SUBSTITUTE(GR30,"x","х"),FIND("х",SUBSTITUTE(GR30,"x","х"))-1),3)&gt;3,Каталог!$S$9,1))))</f>
        <v>1</v>
      </c>
      <c r="GY30">
        <f t="shared" si="86"/>
        <v>2</v>
      </c>
    </row>
    <row r="31" spans="1:207" x14ac:dyDescent="0.3">
      <c r="A31" t="s">
        <v>1146</v>
      </c>
      <c r="B31">
        <v>2</v>
      </c>
      <c r="C31" t="str">
        <f>IF(BD31="","",IF(BE31="вводной узел","узел ","")&amp;"л."&amp;(INT((BD31-1)/Столбцов_на_лист)+1)&amp;" / "&amp;(MOD(BD31-1,Столбцов_на_лист)+1))</f>
        <v>узел л.1 / 2</v>
      </c>
      <c r="D31" t="s">
        <v>746</v>
      </c>
      <c r="E31" s="133" t="s">
        <v>58</v>
      </c>
      <c r="G31" t="s">
        <v>18</v>
      </c>
      <c r="H31">
        <v>1</v>
      </c>
      <c r="I31">
        <v>3</v>
      </c>
      <c r="J31">
        <v>400</v>
      </c>
      <c r="K31" t="s">
        <v>551</v>
      </c>
      <c r="O31" t="s">
        <v>1298</v>
      </c>
      <c r="U31" t="s">
        <v>11</v>
      </c>
      <c r="V31">
        <v>5</v>
      </c>
      <c r="W31">
        <v>10</v>
      </c>
      <c r="X31">
        <v>40</v>
      </c>
      <c r="AL31" t="s">
        <v>1301</v>
      </c>
      <c r="AR31" t="str">
        <f t="shared" si="0"/>
        <v/>
      </c>
      <c r="AS31" cm="1">
        <f t="array" ref="AS31">ROW()-ROW(Линии[#Headers])</f>
        <v>29</v>
      </c>
      <c r="AT31" t="str">
        <f t="shared" si="1"/>
        <v>Ввод</v>
      </c>
      <c r="AU31" t="str">
        <f t="shared" si="2"/>
        <v>1</v>
      </c>
      <c r="AV31" t="str">
        <f t="shared" si="3"/>
        <v>1</v>
      </c>
      <c r="AW31" t="str">
        <f t="shared" si="4"/>
        <v/>
      </c>
      <c r="AX31" t="str">
        <f t="shared" si="5"/>
        <v/>
      </c>
      <c r="AY31" t="str">
        <f>IF(D31="","",IF(ISERROR(SEARCH(".",D31)),IFERROR(VLOOKUP(D31,Потребители_обозначение,2,FALSE)&amp;"",""),IFERROR(IF(VLOOKUP(AT31,Потребители_обозначение,4,FALSE)=1,VLOOKUP(AT31,Потребители_обозначение,2,FALSE)&amp;" "&amp;VLOOKUP(AV31,Этаж_обозначение,2,FALSE)&amp;" Пом. №"&amp;AX31,VLOOKUP(AT31,Потребители_обозначение,2,FALSE)&amp;" Шлейф №"&amp;AV31),IFERROR(VLOOKUP(D31,Потребители_обозначение,2,FALSE),""))))</f>
        <v>Вводной кабель Шлейф №1</v>
      </c>
      <c r="AZ31" t="str">
        <f t="shared" si="6"/>
        <v>Ввод</v>
      </c>
      <c r="BA31" t="str">
        <f>IF(F31&lt;&gt;"",F31,IF(AND(D31&lt;&gt;"",D31&lt;&gt;A31,ISNUMBER(_xlfn.XMATCH(D31,Щиты[Щит]))),D31,""))</f>
        <v/>
      </c>
      <c r="BB31">
        <f>IFERROR(_xlfn.XMATCH(A31,Щиты[Щит]),0)</f>
        <v>3</v>
      </c>
      <c r="BC31">
        <f>IFERROR(N(_xlfn.XLOOKUP(A31,Щиты[Щит],Щиты[Мест под вводной узел])),15)</f>
        <v>15</v>
      </c>
      <c r="BD31">
        <f t="shared" si="7"/>
        <v>2</v>
      </c>
      <c r="BE31" t="str">
        <f t="shared" si="8"/>
        <v>вводной узел</v>
      </c>
      <c r="BF31">
        <f>IF(D31="","",IF(BA31&lt;&gt;"",IFERROR(_xlfn.XLOOKUP(BA31,Щиты[Щит],Щиты[Руст, кВт]),0),N(G31)))</f>
        <v>0</v>
      </c>
      <c r="BG31">
        <f>IF(J31&lt;&gt;"",J31,IF(D31="","",IFERROR(IF(VLOOKUP(AT31,Потребители_обозначение,8,FALSE)=0,"",VLOOKUP(AT31,Потребители_обозначение,8,FALSE)),"")))</f>
        <v>400</v>
      </c>
      <c r="BH31">
        <f>IF(I31&lt;&gt;"",I31,IF(D31="","",IFERROR(IF(VLOOKUP(AT31,Потребители_обозначение,9,FALSE)=0,"",VLOOKUP(AT31,Потребители_обозначение,9,FALSE)),"")))</f>
        <v>3</v>
      </c>
      <c r="BI31" t="str">
        <f>IF(U31&lt;&gt;"",U31,IF(D31="","",IFERROR(IF(VLOOKUP(AT31,Потребители_обозначение,6,FALSE)=0,"",VLOOKUP(AT31,Потребители_обозначение,6,FALSE)),"")))</f>
        <v>мс</v>
      </c>
      <c r="BJ31">
        <f>IF(V31&lt;&gt;"",V31,IF(D31="","",IFERROR(IF(VLOOKUP(AT31,Потребители_обозначение,7,FALSE)=0,"",VLOOKUP(AT31,Потребители_обозначение,7,FALSE)),"")))</f>
        <v>5</v>
      </c>
      <c r="BK31">
        <f>IF(W31&lt;&gt;"",W31,IF(D31="","",IFERROR(IF(VLOOKUP(AT31,Потребители_обозначение,10,FALSE)=0,"",VLOOKUP(AT31,Потребители_обозначение,10,FALSE)),"")))</f>
        <v>10</v>
      </c>
      <c r="BL31">
        <f>IFERROR(VLOOKUP(AT31,Потребители_обозначение,5,FALSE),0)</f>
        <v>1</v>
      </c>
      <c r="BM31" cm="1">
        <f t="array" ref="BM31">IF(D31="","",IF(BA31&lt;&gt;"",IFERROR(_xlfn.XLOOKUP(BA31,Щиты[Щит],Щиты[cos φ]),0.95),IF(ISNUMBER(M31),M31,IFERROR(IF(BL31=2,_xlfn.IFS(BH31=3,VLOOKUP(BF31,Справочная_двигатели,8,FALSE),BH31=1,VLOOKUP(BF31,Справочная_двигатели,10,TRUE)),IF(AND(Методика="нормы 2026",CN31="Сил"),0.8,0.95)),0.95))))</f>
        <v>0.95</v>
      </c>
      <c r="BN31" cm="1">
        <f t="array" ref="BN31">IF(D31="","",IF(BA31&lt;&gt;"",IFERROR(_xlfn.XLOOKUP(BA31,Щиты[Щит],Щиты[Iр, А]),""),IFERROR(_xlfn.IFS(BH31=1,BF31/((Uн_лин/SQRT(3))*BM31),BH31=3,BF31/(SQRT(3)*Uн_лин*BM31)),"")))</f>
        <v>0</v>
      </c>
      <c r="BO31">
        <f>IF(D31="","",IF(N(X31)=0,IFERROR(VLOOKUP(BN31,Автомат_номиналы,2,TRUE),""),X31))</f>
        <v>40</v>
      </c>
      <c r="BP31">
        <f t="shared" si="9"/>
        <v>0.92</v>
      </c>
      <c r="BQ31">
        <f>IF(ISNUMBER(Y31),Y31,К_прокл)</f>
        <v>1</v>
      </c>
      <c r="BR31">
        <f t="shared" si="10"/>
        <v>3</v>
      </c>
      <c r="BS31" cm="1">
        <f t="array" ref="BS31">IF(D31="","",IF(N(BK31)&lt;&gt;0,BK31,IFERROR(_xlfn.LET(_xlpm.need,BO31/(BP31*BQ31),_xlpm.t,CHOOSE(BR31,Iдоп_1ж,Iдоп_2ж,Iдоп_3ж),_xlpm.k,_xlfn.XMATCH(_xlpm.need,_xlpm.t,1),IF(ISNA(_xlpm.k),"Не исп",INDEX(Iдоп_S,_xlpm.k))),"Не исп")))</f>
        <v>10</v>
      </c>
      <c r="BT31">
        <f>IFERROR(VLOOKUP(BS31,Кабель_сопротивление,3,FALSE),"")</f>
        <v>2.2499999999999999E-2</v>
      </c>
      <c r="BU31">
        <f>IFERROR(VLOOKUP(BS31,Кабель_сопротивление,2,FALSE),"")</f>
        <v>7.2999999999999995E-2</v>
      </c>
      <c r="BV31" t="str">
        <f t="shared" si="11"/>
        <v/>
      </c>
      <c r="BW31" t="str">
        <f>IF(D31="","",IFERROR(IF(VLOOKUP(AT31,Потребители_обозначение,4,FALSE)=1,VLOOKUP(AT31,Потребители_обозначение,3,FALSE)*(H31*2-1)+BV31+VLOOKUP(AV31,Этаж_обозначение,3,FALSE)+VLOOKUP(AV31,Этаж_обозначение,4,FALSE),VLOOKUP(AT31,Потребители_обозначение,3,FALSE)*(H31*2-1)+BV31),BV31))</f>
        <v/>
      </c>
      <c r="BX31" t="str">
        <f t="shared" si="12"/>
        <v/>
      </c>
      <c r="BY31" t="str">
        <f t="shared" si="13"/>
        <v/>
      </c>
      <c r="BZ31">
        <f t="shared" si="14"/>
        <v>1</v>
      </c>
      <c r="CA31">
        <f t="shared" si="15"/>
        <v>0.31</v>
      </c>
      <c r="CB31" t="str">
        <f t="shared" si="16"/>
        <v/>
      </c>
      <c r="CC31" t="str">
        <f>IFERROR(ROUNDUP(CB31/((Uн_лин/SQRT(3))*1000)*100,2),"")</f>
        <v/>
      </c>
      <c r="CD31" t="str">
        <f>IF(ISNUMBER(CC31),CC31+IFERROR(_xlfn.XLOOKUP(A31,Щиты[Щит],Щиты[ΔU до шин, %]),0),"")</f>
        <v/>
      </c>
      <c r="CE31">
        <f>IF(D31="","",IF(IFERROR(VLOOKUP(AT31,УГО_спр,2,FALSE),"")="Светильник",3,4)+IF(Методика="нормы 2026",MIN(0.5,MAX(0,N(BW31)-100)*0.005),0))</f>
        <v>4</v>
      </c>
      <c r="CF31" t="str">
        <f>IFERROR(VLOOKUP(BI31,Кабель_обозначение,2,FALSE),"")</f>
        <v>ВВГнг(А)-LS</v>
      </c>
      <c r="CG31" t="str">
        <f>IFERROR(IF(VLOOKUP(BI31,Кабель_обозначение,3,FALSE)=1,CF31&amp;" ("&amp;BJ31&amp;"х"&amp;BS31&amp;")",CF31),"")</f>
        <v>ВВГнг(А)-LS (5х10)</v>
      </c>
      <c r="CH31" t="str">
        <f t="shared" si="17"/>
        <v/>
      </c>
      <c r="CI31" t="str">
        <f>IFERROR(2*ρкз_Cu*BW31/BS31,"")</f>
        <v/>
      </c>
      <c r="CJ31">
        <f t="shared" si="18"/>
        <v>0</v>
      </c>
      <c r="CK31" t="str">
        <f>IFERROR(IF(OR(D31="",NOT(ISNUMBER(BS31)),N(BW31)=0),"",_xlfn.XLOOKUP(A31,Щиты[Щит],Щиты[Zпетли на шинах, Ом])+CI31),"")</f>
        <v/>
      </c>
      <c r="CL31" t="str">
        <f>IF(ISNUMBER(CK31),c_min*(Uн_лин*1000/SQRT(3))/CK31,"")</f>
        <v/>
      </c>
      <c r="CM31" t="str">
        <f>IFERROR(IF(OR(D31="",NOT(ISNUMBER(BS31))),"",1.05*(Uн_лин*1000/SQRT(3))/(_xlfn.XLOOKUP(A31,Щиты[Щит],Щиты[Zmax на шинах, Ом])+CJ31)/1000),"")</f>
        <v/>
      </c>
      <c r="CN31" t="str">
        <f>IF(D31="","",IF(BA31&lt;&gt;"","Щит",IF(K31&lt;&gt;"",K31,IF(ISNUMBER(L31),"Сил",IF(IFERROR(_xlfn.XLOOKUP(AT31,Коды_код,Коды_группа)&amp;"","")="","Быт",_xlfn.XLOOKUP(AT31,Коды_код,Коды_группа)&amp;"")))))</f>
        <v>Нет</v>
      </c>
      <c r="CO31">
        <f>IF(CN31="Щит","щит",IF(CN31="","",IF(CN31="Быт",IFERROR(_xlfn.XLOOKUP(A31,Щиты[Щит],Щиты[Кс быт]),1),IF(CN31="Сил",IF(ISNUMBER(L31),L31,IF(Методика="нормы 2026",IFERROR(_xlfn.XLOOKUP(A31,Щиты[Щит],Щиты[Кс силовых (табл. 7.5)]),1),1)),IF(OR(CN31="Пост",CN31="Отоп"),1,IF(CN31="ВНГ",0.7,0))))))</f>
        <v>0</v>
      </c>
      <c r="CP31">
        <f t="shared" si="19"/>
        <v>1</v>
      </c>
      <c r="CQ31">
        <f t="shared" si="20"/>
        <v>0</v>
      </c>
      <c r="CR31">
        <f t="shared" si="21"/>
        <v>0</v>
      </c>
      <c r="CS31">
        <f t="shared" si="22"/>
        <v>0</v>
      </c>
      <c r="CT31">
        <f t="shared" si="23"/>
        <v>0</v>
      </c>
      <c r="CU31">
        <f t="shared" si="24"/>
        <v>0</v>
      </c>
      <c r="CV31">
        <f t="shared" si="25"/>
        <v>0</v>
      </c>
      <c r="CW31">
        <f t="shared" si="26"/>
        <v>0</v>
      </c>
      <c r="CX31">
        <f t="shared" si="27"/>
        <v>0</v>
      </c>
      <c r="CY31">
        <f t="shared" si="28"/>
        <v>0</v>
      </c>
      <c r="CZ31" t="str">
        <f t="shared" si="29"/>
        <v>L1,L2,L3</v>
      </c>
      <c r="DA31" cm="1">
        <f t="array" ref="DA31">IFERROR(IF(BL31=2,_xlfn.IFS(BH31=3,VLOOKUP(BF31,Справочная_двигатели,3,FALSE),BH31=1,VLOOKUP(BF31,Справочная_двигатели,5,TRUE)),0),0)</f>
        <v>0</v>
      </c>
      <c r="DB31">
        <f>IFERROR(IF(BL31=3,VLOOKUP(BF31,Справочная_ЛЭД,2,TRUE),0),0)</f>
        <v>0</v>
      </c>
      <c r="DC31">
        <f t="shared" si="30"/>
        <v>0</v>
      </c>
      <c r="DD31" t="str">
        <f t="shared" si="31"/>
        <v>L1,L2,L3</v>
      </c>
      <c r="DE31" t="str" cm="1">
        <f t="array" ref="DE31">IF(D31="","",IFERROR(INDEX({"I особая","I","II","III"},MATCH(TRIM(AA31&amp;""),{"I особая","I","II","III"},0)),"III"))</f>
        <v>III</v>
      </c>
      <c r="DF31" t="str">
        <f>IF(D31="","",IF(TRIM(AB31&amp;"")&lt;&gt;"",IF(LOWER(TRIM(AB31&amp;""))="да","да","нет"),IF(IFERROR(_xlfn.XLOOKUP(AT31,Коды_код,Коды_пожарная),"")="да","да","нет")))</f>
        <v>нет</v>
      </c>
      <c r="DG31" t="str">
        <f t="shared" si="32"/>
        <v/>
      </c>
      <c r="DH31" t="str">
        <f t="shared" si="33"/>
        <v>основная</v>
      </c>
      <c r="DI31">
        <f t="shared" si="34"/>
        <v>1</v>
      </c>
      <c r="DJ31" t="str" cm="1">
        <f t="array" ref="DJ31">IF(D31="","",_xlfn.LET(_xlpm.t,IFERROR(_xlfn.XLOOKUP(1,(Шины[Шина]=DH31)*(((Шины[Щит]=A31)+(Шины[Щит]=""))&gt;0),Шины[Тип]),"")&amp;"",IF(_xlpm.t&lt;&gt;"",_xlpm.t,IF(ISNUMBER(SEARCH("ИБП",DH31)),"ИБП",IF(ISNUMBER(SEARCH("ДГУ",DH31)),"ДГУ","Ввод "&amp;DI31)))))</f>
        <v>Ввод 1</v>
      </c>
      <c r="DK31" t="str">
        <f t="shared" si="35"/>
        <v>Ввод 1</v>
      </c>
      <c r="DL31" t="str">
        <f>IF(D31="","",IF(OR(DJ31="ИБП",DJ31="ДГУ"),"I особая",IF(DJ31="Одиночная","III",_xlfn.XLOOKUP(A31,Щиты[Щит],Щиты[Категория шины «Ввод»],"III"))))</f>
        <v>II</v>
      </c>
      <c r="DM31">
        <f>IF(D31="",0,IFERROR(MATCH(DE31,{"III","II","I","I особая"},0),1))</f>
        <v>1</v>
      </c>
      <c r="DN31">
        <f t="shared" si="36"/>
        <v>1</v>
      </c>
      <c r="DO31" t="str">
        <f>IF(D31="","",IF(DM31&gt;IFERROR(MATCH(DL31,{"III","II","I","I особая"},0),1),"НЕ ОБЕСПЕЧЕНА","ОК"))</f>
        <v>ОК</v>
      </c>
      <c r="DP31" t="str">
        <f>IF(A31="","",_xlfn.XLOOKUP(A31,Щиты[Щит],Щиты[Путь],""))</f>
        <v>|ГРЩ-ЖД|ЩГП|ЩО-001|</v>
      </c>
      <c r="DQ31" t="str">
        <f>IF(D31="","",IF(Z31&lt;&gt;"",Z31,IF(IFERROR(_xlfn.XLOOKUP(AT31,Коды_код,Коды_вид)&amp;"","")="","Прочее",_xlfn.XLOOKUP(AT31,Коды_код,Коды_вид)&amp;"")))</f>
        <v>Прочее</v>
      </c>
      <c r="DR31">
        <f>IF(BD31="","",INT((BD31-1)/Столбцов_на_лист)+1)</f>
        <v>1</v>
      </c>
      <c r="DS31" t="str">
        <f t="shared" si="37"/>
        <v/>
      </c>
      <c r="DT31">
        <f t="shared" si="38"/>
        <v>0</v>
      </c>
      <c r="DU31">
        <f t="shared" si="39"/>
        <v>0</v>
      </c>
      <c r="DV31">
        <f t="shared" si="40"/>
        <v>3</v>
      </c>
      <c r="DW31">
        <f>IF(AT31="",0,_xlfn.LET(_xlpm.v,IFERROR(VLOOKUP(D31,УГО_спр,3,FALSE),IFERROR(VLOOKUP(AT31,УГО_спр,3,FALSE),IFERROR(VLOOKUP(LEFT(AT31,2),УГО_спр,3,FALSE),""))),IF(_xlpm.v="да",30,IF(ISNUMBER(_xlpm.v),_xlpm.v,0))))</f>
        <v>0</v>
      </c>
      <c r="DX31">
        <f t="shared" si="41"/>
        <v>0</v>
      </c>
      <c r="DY31" t="str">
        <f>IF(BD31="","",IF(AD31&lt;&gt;"",COUNTIFS(A$3:A31,A31,AD$3:AD31,"?*"),IF(OR(OR(AS31=1,A31&lt;&gt;A30),AL31="вручную"),"",IF(AS31=1,"",DZ30))))</f>
        <v/>
      </c>
      <c r="DZ31" t="str">
        <f t="shared" si="42"/>
        <v/>
      </c>
      <c r="EA31">
        <f>IF(D31="",0,MAX(IFERROR(--X31,0),IFERROR(--VLOOKUP(D31,УГО_спр,4,FALSE),IFERROR(--VLOOKUP(AT31,УГО_спр,4,FALSE),IFERROR(--VLOOKUP(LEFT(AT31,2),УГО_спр,4,FALSE),0)))))</f>
        <v>40</v>
      </c>
      <c r="EB31">
        <f>IF(D31="","",IFERROR(LOOKUP(INDEX(CHOOSE(BR31,Iдоп_1ж,Iдоп_2ж,Iдоп_3ж),MATCH(BS31,Iдоп_S,0))*BP31*BQ31,{6,10,16,20,25,32,40,50,63,80,100,125,160,200,250,315,400,500,630}),""))</f>
        <v>50</v>
      </c>
      <c r="EC31" t="str">
        <f>IF(AD31="","",SUMIFS(Линии[_Ток схемы],Линии[_гр.],DY31,Линии[Щит],A31,Линии[_в кабель выше],0))</f>
        <v/>
      </c>
      <c r="ED31" t="str">
        <f>IF(AD31="","",IFERROR(VLOOKUP(EC31,Автомат_номиналы,2,TRUE),""))</f>
        <v/>
      </c>
      <c r="EE31" t="str">
        <f>IF(AD31="","",MAX(N(ED31),_xlfn.MAXIFS(Линии[_мин. по типу],Линии[_гр.],DY31,Линии[Щит],A31)))</f>
        <v/>
      </c>
      <c r="EF31" t="str">
        <f>IF(AD31="","",_xlfn.MINIFS(Линии[_макс. автомат по кабелю],Линии[_гр.],DY31,Линии[Щит],A31))</f>
        <v/>
      </c>
      <c r="EG31" t="str">
        <f>IF(AD31="","",MAX(1,_xlfn.MAXIFS(Линии[_фаз],Линии[_гр.],DY31,Линии[Щит],A31)))</f>
        <v/>
      </c>
      <c r="EH31" t="str">
        <f>IF(AD31="","",IF(AND(AD31&lt;&gt;"авто",AD31&lt;&gt;"+"),IF(ISNUMBER(SEARCH("мА",AD31)),IFERROR(--TRIM(RIGHT(SUBSTITUTE(LEFT(AD31,SEARCH("мА",AD31)-1)," ",REPT(" ",9)),6)),30),0),IF(AE31="нет",0,IF(ISNUMBER(AE31),AE31,IF(AE31="да",30,_xlfn.MINIFS(Линии[_дифзащита по коду, мА],Линии[_гр.],DY31,Линии[Щит],A31,Линии[_дифзащита по коду, мА],"&gt;0"))))))</f>
        <v/>
      </c>
      <c r="EI31" t="str">
        <f t="shared" si="43"/>
        <v/>
      </c>
      <c r="EJ31" t="str">
        <f t="shared" si="44"/>
        <v/>
      </c>
      <c r="EK31" t="str">
        <f t="shared" si="45"/>
        <v/>
      </c>
      <c r="EL31" t="str">
        <f t="shared" si="46"/>
        <v/>
      </c>
      <c r="EM31">
        <f t="shared" si="47"/>
        <v>0</v>
      </c>
      <c r="EN31" t="str">
        <f>IF(AD31="","",IF(EM31=1,MAX(EE31,Мин_автомат_БП),EE31))</f>
        <v/>
      </c>
      <c r="EO31" t="str">
        <f t="shared" si="48"/>
        <v/>
      </c>
      <c r="EP31" t="str">
        <f t="shared" si="49"/>
        <v/>
      </c>
      <c r="EQ31" t="str">
        <f t="shared" si="50"/>
        <v/>
      </c>
      <c r="ER31" t="str">
        <f>IF(OR(AI31="",AI31="-"),"",IFERROR(VLOOKUP(AI31,Модули_спр,2,FALSE),"R"))</f>
        <v/>
      </c>
      <c r="ES31" t="str">
        <f>IF(ER31="","",ER31&amp;"."&amp;COUNTIFS(A$3:A31,A31,ER$3:ER31,ER31))</f>
        <v/>
      </c>
      <c r="ET31" t="str">
        <f t="shared" si="51"/>
        <v/>
      </c>
      <c r="EU31" t="str">
        <f t="shared" si="52"/>
        <v/>
      </c>
      <c r="EV31" t="str">
        <f t="shared" si="53"/>
        <v/>
      </c>
      <c r="EW31" t="str">
        <f t="shared" si="54"/>
        <v/>
      </c>
      <c r="EX31">
        <f t="shared" si="55"/>
        <v>0</v>
      </c>
      <c r="EY31" t="str">
        <f>IF(AK31="нет","",IF(AK31&lt;&gt;"",AK31,IF(EX31=1,"XT"&amp;COUNTIFS(A$3:A31,A31,EX$3:EX31,1),"")))</f>
        <v/>
      </c>
      <c r="EZ31" t="str">
        <f t="shared" si="56"/>
        <v/>
      </c>
      <c r="FA31" t="str">
        <f t="shared" si="57"/>
        <v/>
      </c>
      <c r="FB31" t="str">
        <f t="shared" si="58"/>
        <v/>
      </c>
      <c r="FC31" t="str">
        <f>IF(OR(EV31="",ET31=""),"",IF(EV31&gt;IFERROR(VLOOKUP(EU31,Модули_спр,3,FALSE),99),"ЛИШНИЙ КАНАЛ",IF(AND(AJ31&lt;&gt;"=",COUNTIFS(Линии[_модуль гр.],ET31,Линии[Канал (итог)],EV31,Линии[Канал],"&lt;&gt;=",Линии[Щит],A31)&gt;1),"ДУБЛЬ КАНАЛА","")))</f>
        <v/>
      </c>
      <c r="FD31" t="str">
        <f t="shared" si="59"/>
        <v/>
      </c>
      <c r="FE31" t="str">
        <f t="shared" si="60"/>
        <v/>
      </c>
      <c r="FF31" t="str">
        <f t="shared" si="61"/>
        <v/>
      </c>
      <c r="FG31" t="str">
        <f t="shared" si="62"/>
        <v/>
      </c>
      <c r="FH31" t="str">
        <f t="shared" si="63"/>
        <v/>
      </c>
      <c r="FI31">
        <f t="shared" si="64"/>
        <v>10</v>
      </c>
      <c r="FJ31" t="str">
        <f t="shared" si="65"/>
        <v/>
      </c>
      <c r="FK31" t="str">
        <f>IF(AND(D31="",EZ31=""),"",_xlfn.TEXTJOIN("; ",TRUE,IF(AND(D31&lt;&gt;"",DD31=""),"нет фазы",""),IF(AND(D31&lt;&gt;"",N(DT31)=0,CN31&lt;&gt;"Нет"),"нет мощности",""),IF(AND(EY31&lt;&gt;"",COUNTIFS(Линии[Щит],A31,Линии[Клемма (итог)],EY31)&gt;1),"дубль клеммы "&amp;EY31,""),IF(AND(FB31&lt;&gt;"",FB31&lt;&gt;"ok"),FB31,""),IF(FC31&lt;&gt;"",FC31,""),IF(AND(ISNUMBER(SEARCH("(5х",DS31)),N(DV31)=1),"5 жил на 1 фазе",""),IF(AND(AT31="R",AD31&lt;&gt;"",OR(N(EH31)=0,N(EH31)&gt;30)),"розетка без дифзащиты до 30 мА",""),IFERROR(IF(AND(ISNUMBER(CD31),CD31&gt;CE31),"потери "&amp;FIXED(CD31,1)&amp;" % &gt; "&amp;CE31&amp;" %",""),""),IFERROR(IF(LEFT(FJ31,4)="мало","Iкз мало — отключение &gt; 0,4 с",""),""),IF(AND(D31&lt;&gt;"",BD31=""),"не на схеме","")))</f>
        <v/>
      </c>
      <c r="FL31" t="str">
        <f>IF(AD31="","",_xlfn.LET(_xlpm.t,IFERROR(_xlfn.XLOOKUP(EP31,Каталог!$U$4:$U$500,Каталог!$G$4:$G$500),""),_xlpm.k,SEARCH("кА",_xlpm.t),IFERROR(--TRIM(RIGHT(SUBSTITUTE(MID(_xlpm.t,MAX(1,_xlpm.k-4),_xlpm.k-MAX(1,_xlpm.k-4))," ",REPT(" ",9)),5)),"")))</f>
        <v/>
      </c>
      <c r="FM31" t="str">
        <f>IF(OR(FL31="",AD31=""),"",IF(_xlfn.XLOOKUP(A31,Щиты[Щит],Щиты[Iкз max на шинах, кА],"")="","",IF(FL31&lt;_xlfn.XLOOKUP(A31,Щиты[Щит],Щиты[Iкз max на шинах, кА]),"Icu "&amp;FL31&amp;" кА &lt; Iкз max","ok")))</f>
        <v/>
      </c>
      <c r="FN31" t="str">
        <f t="shared" si="66"/>
        <v/>
      </c>
      <c r="FO31" t="str">
        <f t="shared" si="67"/>
        <v/>
      </c>
      <c r="FP31" t="str" cm="1">
        <f t="array" ref="FP31">IF(FO31="","",_xlfn.LET(_xlpm.nd,_xlfn.TEXTSPLIT(FO31,"|"),IF(COLUMNS(_xlpm.nd)&gt;1,A31&amp;"¦"&amp;INDEX(_xlpm.nd,1)&amp;"¦"&amp;INDEX(_xlpm.nd,2),"")))</f>
        <v/>
      </c>
      <c r="FQ31" t="str">
        <f t="shared" si="68"/>
        <v/>
      </c>
      <c r="FR31" t="str" cm="1">
        <f t="array" ref="FR31">IF(FO31="","",_xlfn.LET(_xlpm.nd,_xlfn.TEXTSPLIT(FO31,"|"),IF(COLUMNS(_xlpm.nd)&gt;2,A31&amp;"¦"&amp;INDEX(_xlpm.nd,2)&amp;"¦"&amp;INDEX(_xlpm.nd,3),"")))</f>
        <v/>
      </c>
      <c r="FS31" t="str">
        <f t="shared" si="69"/>
        <v/>
      </c>
      <c r="FT31" t="str" cm="1">
        <f t="array" ref="FT31">IF(FO31="","",_xlfn.LET(_xlpm.nd,_xlfn.TEXTSPLIT(FO31,"|"),IF(COLUMNS(_xlpm.nd)&gt;3,A31&amp;"¦"&amp;INDEX(_xlpm.nd,3)&amp;"¦"&amp;INDEX(_xlpm.nd,4),"")))</f>
        <v/>
      </c>
      <c r="FU31" t="str">
        <f t="shared" si="70"/>
        <v/>
      </c>
      <c r="FV31" t="str" cm="1">
        <f t="array" ref="FV31">IF(FO31="","",_xlfn.LET(_xlpm.nd,_xlfn.TEXTSPLIT(FO31,"|"),IF(COLUMNS(_xlpm.nd)&gt;4,A31&amp;"¦"&amp;INDEX(_xlpm.nd,4)&amp;"¦"&amp;INDEX(_xlpm.nd,5),"")))</f>
        <v/>
      </c>
      <c r="FW31" t="str">
        <f t="shared" si="71"/>
        <v/>
      </c>
      <c r="FX31" t="str" cm="1">
        <f t="array" ref="FX31">IF(FO31="","",_xlfn.LET(_xlpm.nd,_xlfn.TEXTSPLIT(FO31,"|"),IF(COLUMNS(_xlpm.nd)&gt;5,A31&amp;"¦"&amp;INDEX(_xlpm.nd,5)&amp;"¦"&amp;INDEX(_xlpm.nd,6),"")))</f>
        <v/>
      </c>
      <c r="FY31" t="str">
        <f t="shared" si="72"/>
        <v/>
      </c>
      <c r="FZ31" t="str" cm="1">
        <f t="array" ref="FZ31">IF(FO31="","",_xlfn.LET(_xlpm.nd,_xlfn.TEXTSPLIT(FO31,"|"),IF(COLUMNS(_xlpm.nd)&gt;6,A31&amp;"¦"&amp;INDEX(_xlpm.nd,6)&amp;"¦"&amp;INDEX(_xlpm.nd,7),"")))</f>
        <v/>
      </c>
      <c r="GA31" t="str">
        <f t="shared" si="73"/>
        <v/>
      </c>
      <c r="GB31" t="str">
        <f t="shared" si="74"/>
        <v/>
      </c>
      <c r="GC31" t="str">
        <f t="shared" si="75"/>
        <v/>
      </c>
      <c r="GD31">
        <f t="shared" si="76"/>
        <v>0</v>
      </c>
      <c r="GE31">
        <f t="shared" si="77"/>
        <v>0</v>
      </c>
      <c r="GF31">
        <f t="shared" si="78"/>
        <v>0</v>
      </c>
      <c r="GG31" t="str">
        <f t="shared" si="79"/>
        <v/>
      </c>
      <c r="GH31" t="str">
        <f t="shared" si="80"/>
        <v/>
      </c>
      <c r="GI31" t="str">
        <f t="shared" si="81"/>
        <v/>
      </c>
      <c r="GJ31" t="str">
        <f t="shared" si="82"/>
        <v/>
      </c>
      <c r="GK31">
        <f>IF(D31="","",IFERROR(VLOOKUP(D31,УГО_спр,2,FALSE),IFERROR(VLOOKUP(AT31,УГО_спр,2,FALSE),IFERROR(VLOOKUP(LEFT(AT31,2),УГО_спр,2,FALSE),""))))</f>
        <v>0</v>
      </c>
      <c r="GL31" t="str">
        <f>IF(D31="","",IF(OR(GK31="",GK31=0),"BOX",IFERROR(IF(VLOOKUP(GK31,УГО_блоки,3,FALSE)&amp;""&lt;&gt;"",VLOOKUP(GK31,УГО_блоки,3,FALSE),VLOOKUP(GK31,УГО_блоки,2,FALSE)),GK31)))</f>
        <v>BOX</v>
      </c>
      <c r="GM31">
        <f t="shared" si="83"/>
        <v>1</v>
      </c>
      <c r="GN31" t="str">
        <f>IF(EP31="","",IF(COUNTIF(EP$3:EP31,EP31)=1,MAX(GN$2:GN30)+1,""))</f>
        <v/>
      </c>
      <c r="GO31" t="str">
        <f>IF(AF31="","",IF(COUNTIF(AF$3:AF31,AF31)+COUNTIF(AG$2:AG30,AF31)+COUNTIF(AH$2:AH30,AF31)=1,MAX(GO$2:GQ30)+1,""))</f>
        <v/>
      </c>
      <c r="GP31" t="str">
        <f>IF(AG31="","",IF(COUNTIF(AF$3:AF31,AG31)+COUNTIF(AG$3:AG31,AG31)+COUNTIF(AH$2:AH30,AG31)=1,MAX(GO$2:GQ30,GO31)+1,""))</f>
        <v/>
      </c>
      <c r="GQ31" t="str">
        <f>IF(AH31="","",IF(COUNTIF(AF$3:AF31,AH31)+COUNTIF(AG$3:AG31,AH31)+COUNTIF(AH$3:AH31,AH31)=1,MAX(GO$2:GQ30,GO31,GP31)+1,""))</f>
        <v/>
      </c>
      <c r="GR31" t="str">
        <f t="shared" si="84"/>
        <v/>
      </c>
      <c r="GS31" t="str">
        <f>IF(GR31="","",IF(COUNTIF(GR$3:GR31,GR31)=1,MAX(GS$2:GS30)+1,""))</f>
        <v/>
      </c>
      <c r="GT31" t="str">
        <f>IF(ES31="","",COUNTIF(ES$3:ES31,"?*"))</f>
        <v/>
      </c>
      <c r="GU31" t="str">
        <f>IF(OR(ES31="",EU31=""),"",IF(COUNTIFS(ES$3:ES31,"?*",EU$3:EU31,EU31)=1,MAX(GU$2:GU30)+1,""))</f>
        <v/>
      </c>
      <c r="GV31">
        <f t="shared" si="85"/>
        <v>0</v>
      </c>
      <c r="GW31">
        <f>IF(D31="","",COUNTIF(D$3:D31,"?*"))</f>
        <v>29</v>
      </c>
      <c r="GX31">
        <f>IF(EX31&lt;&gt;1,0,_xlfn.LET(_xlpm.k,MAX(IFERROR(--VLOOKUP(D31,УГО_спр,5,FALSE),0),IFERROR(--VLOOKUP(AT31,УГО_спр,5,FALSE),0),IFERROR(--VLOOKUP(LEFT(AT31,2),УГО_спр,5,FALSE),0)),IF(_xlpm.k&gt;0,_xlpm.k,IF(IFERROR(--LEFT(SUBSTITUTE(GR31,"x","х"),FIND("х",SUBSTITUTE(GR31,"x","х"))-1),3)&gt;3,Каталог!$S$9,1))))</f>
        <v>0</v>
      </c>
      <c r="GY31">
        <f t="shared" si="86"/>
        <v>0</v>
      </c>
    </row>
    <row r="32" spans="1:207" x14ac:dyDescent="0.3">
      <c r="A32" t="s">
        <v>1146</v>
      </c>
      <c r="B32" t="s">
        <v>531</v>
      </c>
      <c r="C32" t="str">
        <f>IF(BD32="","",IF(BE32="вводной узел","узел ","")&amp;"л."&amp;(INT((BD32-1)/Столбцов_на_лист)+1)&amp;" / "&amp;(MOD(BD32-1,Столбцов_на_лист)+1))</f>
        <v/>
      </c>
      <c r="D32" t="s">
        <v>1305</v>
      </c>
      <c r="E32" s="133" t="str">
        <f t="shared" si="87"/>
        <v>Осветительная группа Подвальный этаж Пом. №001T</v>
      </c>
      <c r="G32">
        <v>0.1</v>
      </c>
      <c r="H32">
        <v>1</v>
      </c>
      <c r="I32">
        <v>1</v>
      </c>
      <c r="J32">
        <v>230</v>
      </c>
      <c r="K32" t="s">
        <v>566</v>
      </c>
      <c r="P32">
        <v>26</v>
      </c>
      <c r="Q32">
        <v>9</v>
      </c>
      <c r="R32">
        <v>0</v>
      </c>
      <c r="S32">
        <v>34</v>
      </c>
      <c r="U32" t="s">
        <v>11</v>
      </c>
      <c r="V32">
        <v>3</v>
      </c>
      <c r="W32">
        <v>1.5</v>
      </c>
      <c r="Z32" t="s">
        <v>559</v>
      </c>
      <c r="AR32" t="str">
        <f t="shared" si="0"/>
        <v>не на схеме</v>
      </c>
      <c r="AS32" cm="1">
        <f t="array" ref="AS32">ROW()-ROW(Линии[#Headers])</f>
        <v>30</v>
      </c>
      <c r="AT32" t="str">
        <f t="shared" si="1"/>
        <v>L</v>
      </c>
      <c r="AU32" t="str">
        <f t="shared" si="2"/>
        <v>00.001T.1</v>
      </c>
      <c r="AV32" t="str">
        <f t="shared" si="3"/>
        <v>00</v>
      </c>
      <c r="AW32" t="str">
        <f t="shared" si="4"/>
        <v>001T.1</v>
      </c>
      <c r="AX32" t="str">
        <f t="shared" si="5"/>
        <v>001T</v>
      </c>
      <c r="AY32" t="str">
        <f>IF(D32="","",IF(ISERROR(SEARCH(".",D32)),IFERROR(VLOOKUP(D32,Потребители_обозначение,2,FALSE)&amp;"",""),IFERROR(IF(VLOOKUP(AT32,Потребители_обозначение,4,FALSE)=1,VLOOKUP(AT32,Потребители_обозначение,2,FALSE)&amp;" "&amp;VLOOKUP(AV32,Этаж_обозначение,2,FALSE)&amp;" Пом. №"&amp;AX32,VLOOKUP(AT32,Потребители_обозначение,2,FALSE)&amp;" Шлейф №"&amp;AV32),IFERROR(VLOOKUP(D32,Потребители_обозначение,2,FALSE),""))))</f>
        <v>Осветительная группа Подвальный этаж Пом. №001T</v>
      </c>
      <c r="AZ32" t="str">
        <f t="shared" si="6"/>
        <v>Осветительная группа Подвальный этаж Пом. №001T</v>
      </c>
      <c r="BA32" t="str">
        <f>IF(F32&lt;&gt;"",F32,IF(AND(D32&lt;&gt;"",D32&lt;&gt;A32,ISNUMBER(_xlfn.XMATCH(D32,Щиты[Щит]))),D32,""))</f>
        <v/>
      </c>
      <c r="BB32">
        <f>IFERROR(_xlfn.XMATCH(A32,Щиты[Щит]),0)</f>
        <v>3</v>
      </c>
      <c r="BC32">
        <f>IFERROR(N(_xlfn.XLOOKUP(A32,Щиты[Щит],Щиты[Мест под вводной узел])),15)</f>
        <v>15</v>
      </c>
      <c r="BD32" t="str">
        <f t="shared" si="7"/>
        <v/>
      </c>
      <c r="BE32" t="str">
        <f t="shared" si="8"/>
        <v/>
      </c>
      <c r="BF32">
        <f>IF(D32="","",IF(BA32&lt;&gt;"",IFERROR(_xlfn.XLOOKUP(BA32,Щиты[Щит],Щиты[Руст, кВт]),0),N(G32)))</f>
        <v>0.1</v>
      </c>
      <c r="BG32">
        <f>IF(J32&lt;&gt;"",J32,IF(D32="","",IFERROR(IF(VLOOKUP(AT32,Потребители_обозначение,8,FALSE)=0,"",VLOOKUP(AT32,Потребители_обозначение,8,FALSE)),"")))</f>
        <v>230</v>
      </c>
      <c r="BH32">
        <f>IF(I32&lt;&gt;"",I32,IF(D32="","",IFERROR(IF(VLOOKUP(AT32,Потребители_обозначение,9,FALSE)=0,"",VLOOKUP(AT32,Потребители_обозначение,9,FALSE)),"")))</f>
        <v>1</v>
      </c>
      <c r="BI32" t="str">
        <f>IF(U32&lt;&gt;"",U32,IF(D32="","",IFERROR(IF(VLOOKUP(AT32,Потребители_обозначение,6,FALSE)=0,"",VLOOKUP(AT32,Потребители_обозначение,6,FALSE)),"")))</f>
        <v>мс</v>
      </c>
      <c r="BJ32">
        <f>IF(V32&lt;&gt;"",V32,IF(D32="","",IFERROR(IF(VLOOKUP(AT32,Потребители_обозначение,7,FALSE)=0,"",VLOOKUP(AT32,Потребители_обозначение,7,FALSE)),"")))</f>
        <v>3</v>
      </c>
      <c r="BK32">
        <f>IF(W32&lt;&gt;"",W32,IF(D32="","",IFERROR(IF(VLOOKUP(AT32,Потребители_обозначение,10,FALSE)=0,"",VLOOKUP(AT32,Потребители_обозначение,10,FALSE)),"")))</f>
        <v>1.5</v>
      </c>
      <c r="BL32">
        <f>IFERROR(VLOOKUP(AT32,Потребители_обозначение,5,FALSE),0)</f>
        <v>3</v>
      </c>
      <c r="BM32" cm="1">
        <f t="array" ref="BM32">IF(D32="","",IF(BA32&lt;&gt;"",IFERROR(_xlfn.XLOOKUP(BA32,Щиты[Щит],Щиты[cos φ]),0.95),IF(ISNUMBER(M32),M32,IFERROR(IF(BL32=2,_xlfn.IFS(BH32=3,VLOOKUP(BF32,Справочная_двигатели,8,FALSE),BH32=1,VLOOKUP(BF32,Справочная_двигатели,10,TRUE)),IF(AND(Методика="нормы 2026",CN32="Сил"),0.8,0.95)),0.95))))</f>
        <v>0.95</v>
      </c>
      <c r="BN32" cm="1">
        <f t="array" ref="BN32">IF(D32="","",IF(BA32&lt;&gt;"",IFERROR(_xlfn.XLOOKUP(BA32,Щиты[Щит],Щиты[Iр, А]),""),IFERROR(_xlfn.IFS(BH32=1,BF32/((Uн_лин/SQRT(3))*BM32),BH32=3,BF32/(SQRT(3)*Uн_лин*BM32)),"")))</f>
        <v>0.455802844097073</v>
      </c>
      <c r="BO32">
        <f>IF(D32="","",IF(N(X32)=0,IFERROR(VLOOKUP(BN32,Автомат_номиналы,2,TRUE),""),X32))</f>
        <v>6</v>
      </c>
      <c r="BP32">
        <f t="shared" si="9"/>
        <v>1</v>
      </c>
      <c r="BQ32">
        <f>IF(ISNUMBER(Y32),Y32,К_прокл)</f>
        <v>1</v>
      </c>
      <c r="BR32">
        <f t="shared" si="10"/>
        <v>2</v>
      </c>
      <c r="BS32" cm="1">
        <f t="array" ref="BS32">IF(D32="","",IF(N(BK32)&lt;&gt;0,BK32,IFERROR(_xlfn.LET(_xlpm.need,BO32/(BP32*BQ32),_xlpm.t,CHOOSE(BR32,Iдоп_1ж,Iдоп_2ж,Iдоп_3ж),_xlpm.k,_xlfn.XMATCH(_xlpm.need,_xlpm.t,1),IF(ISNA(_xlpm.k),"Не исп",INDEX(Iдоп_S,_xlpm.k))),"Не исп")))</f>
        <v>1.5</v>
      </c>
      <c r="BT32">
        <f>IFERROR(VLOOKUP(BS32,Кабель_сопротивление,3,FALSE),"")</f>
        <v>2.2499999999999999E-2</v>
      </c>
      <c r="BU32">
        <f>IFERROR(VLOOKUP(BS32,Кабель_сопротивление,2,FALSE),"")</f>
        <v>0.11</v>
      </c>
      <c r="BV32">
        <f t="shared" si="11"/>
        <v>26</v>
      </c>
      <c r="BW32">
        <f>IF(D32="","",IFERROR(IF(VLOOKUP(AT32,Потребители_обозначение,4,FALSE)=1,VLOOKUP(AT32,Потребители_обозначение,3,FALSE)*(H32*2-1)+BV32+VLOOKUP(AV32,Этаж_обозначение,3,FALSE)+VLOOKUP(AV32,Этаж_обозначение,4,FALSE),VLOOKUP(AT32,Потребители_обозначение,3,FALSE)*(H32*2-1)+BV32),BV32))</f>
        <v>27</v>
      </c>
      <c r="BX32">
        <f t="shared" si="12"/>
        <v>0</v>
      </c>
      <c r="BY32">
        <f t="shared" si="13"/>
        <v>34</v>
      </c>
      <c r="BZ32">
        <f t="shared" si="14"/>
        <v>2</v>
      </c>
      <c r="CA32">
        <f t="shared" si="15"/>
        <v>0.31</v>
      </c>
      <c r="CB32">
        <f t="shared" si="16"/>
        <v>0.35157960388981802</v>
      </c>
      <c r="CC32">
        <f>IFERROR(ROUNDUP(CB32/((Uн_лин/SQRT(3))*1000)*100,2),"")</f>
        <v>0.16</v>
      </c>
      <c r="CD32">
        <f>IF(ISNUMBER(CC32),CC32+IFERROR(_xlfn.XLOOKUP(A32,Щиты[Щит],Щиты[ΔU до шин, %]),0),"")</f>
        <v>0.33</v>
      </c>
      <c r="CE32">
        <f>IF(D32="","",IF(IFERROR(VLOOKUP(AT32,УГО_спр,2,FALSE),"")="Светильник",3,4)+IF(Методика="нормы 2026",MIN(0.5,MAX(0,N(BW32)-100)*0.005),0))</f>
        <v>3</v>
      </c>
      <c r="CF32" t="str">
        <f>IFERROR(VLOOKUP(BI32,Кабель_обозначение,2,FALSE),"")</f>
        <v>ВВГнг(А)-LS</v>
      </c>
      <c r="CG32" t="str">
        <f>IFERROR(IF(VLOOKUP(BI32,Кабель_обозначение,3,FALSE)=1,CF32&amp;" ("&amp;BJ32&amp;"х"&amp;BS32&amp;")",CF32),"")</f>
        <v>ВВГнг(А)-LS (3х1,5)</v>
      </c>
      <c r="CH32" t="str">
        <f t="shared" si="17"/>
        <v>ВВГнг(А)-LS (3х1,5)
L=27-0,16%</v>
      </c>
      <c r="CI32">
        <f>IFERROR(2*ρкз_Cu*BW32/BS32,"")</f>
        <v>0.94680000000000009</v>
      </c>
      <c r="CJ32">
        <f t="shared" si="18"/>
        <v>0.315</v>
      </c>
      <c r="CK32" t="str">
        <f>IFERROR(IF(OR(D32="",NOT(ISNUMBER(BS32)),N(BW32)=0),"",_xlfn.XLOOKUP(A32,Щиты[Щит],Щиты[Zпетли на шинах, Ом])+CI32),"")</f>
        <v/>
      </c>
      <c r="CL32" t="str">
        <f>IF(ISNUMBER(CK32),c_min*(Uн_лин*1000/SQRT(3))/CK32,"")</f>
        <v/>
      </c>
      <c r="CM32" t="str">
        <f>IFERROR(IF(OR(D32="",NOT(ISNUMBER(BS32))),"",1.05*(Uн_лин*1000/SQRT(3))/(_xlfn.XLOOKUP(A32,Щиты[Щит],Щиты[Zmax на шинах, Ом])+CJ32)/1000),"")</f>
        <v/>
      </c>
      <c r="CN32" t="str">
        <f>IF(D32="","",IF(BA32&lt;&gt;"","Щит",IF(K32&lt;&gt;"",K32,IF(ISNUMBER(L32),"Сил",IF(IFERROR(_xlfn.XLOOKUP(AT32,Коды_код,Коды_группа)&amp;"","")="","Быт",_xlfn.XLOOKUP(AT32,Коды_код,Коды_группа)&amp;"")))))</f>
        <v>Быт</v>
      </c>
      <c r="CO32">
        <f>IF(CN32="Щит","щит",IF(CN32="","",IF(CN32="Быт",IFERROR(_xlfn.XLOOKUP(A32,Щиты[Щит],Щиты[Кс быт]),1),IF(CN32="Сил",IF(ISNUMBER(L32),L32,IF(Методика="нормы 2026",IFERROR(_xlfn.XLOOKUP(A32,Щиты[Щит],Щиты[Кс силовых (табл. 7.5)]),1),1)),IF(OR(CN32="Пост",CN32="Отоп"),1,IF(CN32="ВНГ",0.7,0))))))</f>
        <v>0.8</v>
      </c>
      <c r="CP32">
        <f t="shared" si="19"/>
        <v>1</v>
      </c>
      <c r="CQ32">
        <f t="shared" si="20"/>
        <v>0.1</v>
      </c>
      <c r="CR32">
        <f t="shared" si="21"/>
        <v>0.1</v>
      </c>
      <c r="CS32">
        <f t="shared" si="22"/>
        <v>0</v>
      </c>
      <c r="CT32">
        <f t="shared" si="23"/>
        <v>0</v>
      </c>
      <c r="CU32">
        <f t="shared" si="24"/>
        <v>0</v>
      </c>
      <c r="CV32">
        <f t="shared" si="25"/>
        <v>0</v>
      </c>
      <c r="CW32">
        <f t="shared" si="26"/>
        <v>0.1</v>
      </c>
      <c r="CX32">
        <f t="shared" si="27"/>
        <v>9.5000000000000001E-2</v>
      </c>
      <c r="CY32">
        <f t="shared" si="28"/>
        <v>1</v>
      </c>
      <c r="CZ32" t="str">
        <f t="shared" si="29"/>
        <v>L1</v>
      </c>
      <c r="DA32" cm="1">
        <f t="array" ref="DA32">IFERROR(IF(BL32=2,_xlfn.IFS(BH32=3,VLOOKUP(BF32,Справочная_двигатели,3,FALSE),BH32=1,VLOOKUP(BF32,Справочная_двигатели,5,TRUE)),0),0)</f>
        <v>0</v>
      </c>
      <c r="DB32">
        <f>IFERROR(IF(BL32=3,VLOOKUP(BF32,Справочная_ЛЭД,2,TRUE),0),0)</f>
        <v>50</v>
      </c>
      <c r="DC32">
        <f t="shared" si="30"/>
        <v>50</v>
      </c>
      <c r="DD32" t="str">
        <f t="shared" si="31"/>
        <v>L1</v>
      </c>
      <c r="DE32" t="str" cm="1">
        <f t="array" ref="DE32">IF(D32="","",IFERROR(INDEX({"I особая","I","II","III"},MATCH(TRIM(AA32&amp;""),{"I особая","I","II","III"},0)),"III"))</f>
        <v>III</v>
      </c>
      <c r="DF32" t="str">
        <f>IF(D32="","",IF(TRIM(AB32&amp;"")&lt;&gt;"",IF(LOWER(TRIM(AB32&amp;""))="да","да","нет"),IF(IFERROR(_xlfn.XLOOKUP(AT32,Коды_код,Коды_пожарная),"")="да","да","нет")))</f>
        <v>нет</v>
      </c>
      <c r="DG32" t="str">
        <f t="shared" si="32"/>
        <v/>
      </c>
      <c r="DH32" t="str">
        <f t="shared" si="33"/>
        <v>основная</v>
      </c>
      <c r="DI32">
        <f t="shared" si="34"/>
        <v>1</v>
      </c>
      <c r="DJ32" t="str" cm="1">
        <f t="array" ref="DJ32">IF(D32="","",_xlfn.LET(_xlpm.t,IFERROR(_xlfn.XLOOKUP(1,(Шины[Шина]=DH32)*(((Шины[Щит]=A32)+(Шины[Щит]=""))&gt;0),Шины[Тип]),"")&amp;"",IF(_xlpm.t&lt;&gt;"",_xlpm.t,IF(ISNUMBER(SEARCH("ИБП",DH32)),"ИБП",IF(ISNUMBER(SEARCH("ДГУ",DH32)),"ДГУ","Ввод "&amp;DI32)))))</f>
        <v>Ввод 1</v>
      </c>
      <c r="DK32" t="str">
        <f t="shared" si="35"/>
        <v>Ввод 1</v>
      </c>
      <c r="DL32" t="str">
        <f>IF(D32="","",IF(OR(DJ32="ИБП",DJ32="ДГУ"),"I особая",IF(DJ32="Одиночная","III",_xlfn.XLOOKUP(A32,Щиты[Щит],Щиты[Категория шины «Ввод»],"III"))))</f>
        <v>II</v>
      </c>
      <c r="DM32">
        <f>IF(D32="",0,IFERROR(MATCH(DE32,{"III","II","I","I особая"},0),1))</f>
        <v>1</v>
      </c>
      <c r="DN32">
        <f t="shared" si="36"/>
        <v>1</v>
      </c>
      <c r="DO32" t="str">
        <f>IF(D32="","",IF(DM32&gt;IFERROR(MATCH(DL32,{"III","II","I","I особая"},0),1),"НЕ ОБЕСПЕЧЕНА","ОК"))</f>
        <v>ОК</v>
      </c>
      <c r="DP32" t="str">
        <f>IF(A32="","",_xlfn.XLOOKUP(A32,Щиты[Щит],Щиты[Путь],""))</f>
        <v>|ГРЩ-ЖД|ЩГП|ЩО-001|</v>
      </c>
      <c r="DQ32" t="str">
        <f>IF(D32="","",IF(Z32&lt;&gt;"",Z32,IF(IFERROR(_xlfn.XLOOKUP(AT32,Коды_код,Коды_вид)&amp;"","")="","Прочее",_xlfn.XLOOKUP(AT32,Коды_код,Коды_вид)&amp;"")))</f>
        <v>Рабочее освещение</v>
      </c>
      <c r="DR32" t="str">
        <f>IF(BD32="","",INT((BD32-1)/Столбцов_на_лист)+1)</f>
        <v/>
      </c>
      <c r="DS32" t="str">
        <f t="shared" si="37"/>
        <v>ВВГнг(А)-LS (3х1,5) L=27-0,16%</v>
      </c>
      <c r="DT32">
        <f t="shared" si="38"/>
        <v>0.1</v>
      </c>
      <c r="DU32">
        <f t="shared" si="39"/>
        <v>0.46</v>
      </c>
      <c r="DV32">
        <f t="shared" si="40"/>
        <v>1</v>
      </c>
      <c r="DW32">
        <f>IF(AT32="",0,_xlfn.LET(_xlpm.v,IFERROR(VLOOKUP(D32,УГО_спр,3,FALSE),IFERROR(VLOOKUP(AT32,УГО_спр,3,FALSE),IFERROR(VLOOKUP(LEFT(AT32,2),УГО_спр,3,FALSE),""))),IF(_xlpm.v="да",30,IF(ISNUMBER(_xlpm.v),_xlpm.v,0))))</f>
        <v>0</v>
      </c>
      <c r="DX32">
        <f t="shared" si="41"/>
        <v>0</v>
      </c>
      <c r="DY32" t="str">
        <f>IF(BD32="","",IF(AD32&lt;&gt;"",COUNTIFS(A$3:A32,A32,AD$3:AD32,"?*"),IF(OR(OR(AS32=1,A32&lt;&gt;A31),AL32="вручную"),"",IF(AS32=1,"",DZ31))))</f>
        <v/>
      </c>
      <c r="DZ32" t="str">
        <f t="shared" si="42"/>
        <v/>
      </c>
      <c r="EA32">
        <f>IF(D32="",0,MAX(IFERROR(--X32,0),IFERROR(--VLOOKUP(D32,УГО_спр,4,FALSE),IFERROR(--VLOOKUP(AT32,УГО_спр,4,FALSE),IFERROR(--VLOOKUP(LEFT(AT32,2),УГО_спр,4,FALSE),0)))))</f>
        <v>10</v>
      </c>
      <c r="EB32">
        <f>IF(D32="","",IFERROR(LOOKUP(INDEX(CHOOSE(BR32,Iдоп_1ж,Iдоп_2ж,Iдоп_3ж),MATCH(BS32,Iдоп_S,0))*BP32*BQ32,{6,10,16,20,25,32,40,50,63,80,100,125,160,200,250,315,400,500,630}),""))</f>
        <v>16</v>
      </c>
      <c r="EC32" t="str">
        <f>IF(AD32="","",SUMIFS(Линии[_Ток схемы],Линии[_гр.],DY32,Линии[Щит],A32,Линии[_в кабель выше],0))</f>
        <v/>
      </c>
      <c r="ED32" t="str">
        <f>IF(AD32="","",IFERROR(VLOOKUP(EC32,Автомат_номиналы,2,TRUE),""))</f>
        <v/>
      </c>
      <c r="EE32" t="str">
        <f>IF(AD32="","",MAX(N(ED32),_xlfn.MAXIFS(Линии[_мин. по типу],Линии[_гр.],DY32,Линии[Щит],A32)))</f>
        <v/>
      </c>
      <c r="EF32" t="str">
        <f>IF(AD32="","",_xlfn.MINIFS(Линии[_макс. автомат по кабелю],Линии[_гр.],DY32,Линии[Щит],A32))</f>
        <v/>
      </c>
      <c r="EG32" t="str">
        <f>IF(AD32="","",MAX(1,_xlfn.MAXIFS(Линии[_фаз],Линии[_гр.],DY32,Линии[Щит],A32)))</f>
        <v/>
      </c>
      <c r="EH32" t="str">
        <f>IF(AD32="","",IF(AND(AD32&lt;&gt;"авто",AD32&lt;&gt;"+"),IF(ISNUMBER(SEARCH("мА",AD32)),IFERROR(--TRIM(RIGHT(SUBSTITUTE(LEFT(AD32,SEARCH("мА",AD32)-1)," ",REPT(" ",9)),6)),30),0),IF(AE32="нет",0,IF(ISNUMBER(AE32),AE32,IF(AE32="да",30,_xlfn.MINIFS(Линии[_дифзащита по коду, мА],Линии[_гр.],DY32,Линии[Щит],A32,Линии[_дифзащита по коду, мА],"&gt;0"))))))</f>
        <v/>
      </c>
      <c r="EI32" t="str">
        <f t="shared" si="43"/>
        <v/>
      </c>
      <c r="EJ32" t="str">
        <f t="shared" si="44"/>
        <v/>
      </c>
      <c r="EK32" t="str">
        <f t="shared" si="45"/>
        <v/>
      </c>
      <c r="EL32" t="str">
        <f t="shared" si="46"/>
        <v/>
      </c>
      <c r="EM32">
        <f t="shared" si="47"/>
        <v>0</v>
      </c>
      <c r="EN32" t="str">
        <f>IF(AD32="","",IF(EM32=1,MAX(EE32,Мин_автомат_БП),EE32))</f>
        <v/>
      </c>
      <c r="EO32" t="str">
        <f t="shared" si="48"/>
        <v/>
      </c>
      <c r="EP32" t="str">
        <f t="shared" si="49"/>
        <v/>
      </c>
      <c r="EQ32" t="str">
        <f t="shared" si="50"/>
        <v/>
      </c>
      <c r="ER32" t="str">
        <f>IF(OR(AI32="",AI32="-"),"",IFERROR(VLOOKUP(AI32,Модули_спр,2,FALSE),"R"))</f>
        <v/>
      </c>
      <c r="ES32" t="str">
        <f>IF(ER32="","",ER32&amp;"."&amp;COUNTIFS(A$3:A32,A32,ER$3:ER32,ER32))</f>
        <v/>
      </c>
      <c r="ET32" t="str">
        <f t="shared" si="51"/>
        <v/>
      </c>
      <c r="EU32" t="str">
        <f t="shared" si="52"/>
        <v/>
      </c>
      <c r="EV32" t="str">
        <f t="shared" si="53"/>
        <v/>
      </c>
      <c r="EW32" t="str">
        <f t="shared" si="54"/>
        <v/>
      </c>
      <c r="EX32">
        <f t="shared" si="55"/>
        <v>1</v>
      </c>
      <c r="EY32" t="str">
        <f>IF(AK32="нет","",IF(AK32&lt;&gt;"",AK32,IF(EX32=1,"XT"&amp;COUNTIFS(A$3:A32,A32,EX$3:EX32,1),"")))</f>
        <v>XT1</v>
      </c>
      <c r="EZ32" t="str">
        <f t="shared" si="56"/>
        <v/>
      </c>
      <c r="FA32" t="str">
        <f t="shared" si="57"/>
        <v/>
      </c>
      <c r="FB32" t="str">
        <f t="shared" si="58"/>
        <v/>
      </c>
      <c r="FC32" t="str">
        <f>IF(OR(EV32="",ET32=""),"",IF(EV32&gt;IFERROR(VLOOKUP(EU32,Модули_спр,3,FALSE),99),"ЛИШНИЙ КАНАЛ",IF(AND(AJ32&lt;&gt;"=",COUNTIFS(Линии[_модуль гр.],ET32,Линии[Канал (итог)],EV32,Линии[Канал],"&lt;&gt;=",Линии[Щит],A32)&gt;1),"ДУБЛЬ КАНАЛА","")))</f>
        <v/>
      </c>
      <c r="FD32" t="str">
        <f t="shared" si="59"/>
        <v/>
      </c>
      <c r="FE32" t="str">
        <f t="shared" si="60"/>
        <v/>
      </c>
      <c r="FF32" t="str">
        <f t="shared" si="61"/>
        <v/>
      </c>
      <c r="FG32" t="str">
        <f t="shared" si="62"/>
        <v/>
      </c>
      <c r="FH32" t="str">
        <f t="shared" si="63"/>
        <v/>
      </c>
      <c r="FI32">
        <f t="shared" si="64"/>
        <v>10</v>
      </c>
      <c r="FJ32" t="str">
        <f t="shared" si="65"/>
        <v/>
      </c>
      <c r="FK32" t="str">
        <f>IF(AND(D32="",EZ32=""),"",_xlfn.TEXTJOIN("; ",TRUE,IF(AND(D32&lt;&gt;"",DD32=""),"нет фазы",""),IF(AND(D32&lt;&gt;"",N(DT32)=0,CN32&lt;&gt;"Нет"),"нет мощности",""),IF(AND(EY32&lt;&gt;"",COUNTIFS(Линии[Щит],A32,Линии[Клемма (итог)],EY32)&gt;1),"дубль клеммы "&amp;EY32,""),IF(AND(FB32&lt;&gt;"",FB32&lt;&gt;"ok"),FB32,""),IF(FC32&lt;&gt;"",FC32,""),IF(AND(ISNUMBER(SEARCH("(5х",DS32)),N(DV32)=1),"5 жил на 1 фазе",""),IF(AND(AT32="R",AD32&lt;&gt;"",OR(N(EH32)=0,N(EH32)&gt;30)),"розетка без дифзащиты до 30 мА",""),IFERROR(IF(AND(ISNUMBER(CD32),CD32&gt;CE32),"потери "&amp;FIXED(CD32,1)&amp;" % &gt; "&amp;CE32&amp;" %",""),""),IFERROR(IF(LEFT(FJ32,4)="мало","Iкз мало — отключение &gt; 0,4 с",""),""),IF(AND(D32&lt;&gt;"",BD32=""),"не на схеме","")))</f>
        <v>не на схеме</v>
      </c>
      <c r="FL32" t="str">
        <f>IF(AD32="","",_xlfn.LET(_xlpm.t,IFERROR(_xlfn.XLOOKUP(EP32,Каталог!$U$4:$U$500,Каталог!$G$4:$G$500),""),_xlpm.k,SEARCH("кА",_xlpm.t),IFERROR(--TRIM(RIGHT(SUBSTITUTE(MID(_xlpm.t,MAX(1,_xlpm.k-4),_xlpm.k-MAX(1,_xlpm.k-4))," ",REPT(" ",9)),5)),"")))</f>
        <v/>
      </c>
      <c r="FM32" t="str">
        <f>IF(OR(FL32="",AD32=""),"",IF(_xlfn.XLOOKUP(A32,Щиты[Щит],Щиты[Iкз max на шинах, кА],"")="","",IF(FL32&lt;_xlfn.XLOOKUP(A32,Щиты[Щит],Щиты[Iкз max на шинах, кА]),"Icu "&amp;FL32&amp;" кА &lt; Iкз max","ok")))</f>
        <v/>
      </c>
      <c r="FN32" t="str">
        <f t="shared" si="66"/>
        <v/>
      </c>
      <c r="FO32" t="str">
        <f t="shared" si="67"/>
        <v/>
      </c>
      <c r="FP32" t="str" cm="1">
        <f t="array" ref="FP32">IF(FO32="","",_xlfn.LET(_xlpm.nd,_xlfn.TEXTSPLIT(FO32,"|"),IF(COLUMNS(_xlpm.nd)&gt;1,A32&amp;"¦"&amp;INDEX(_xlpm.nd,1)&amp;"¦"&amp;INDEX(_xlpm.nd,2),"")))</f>
        <v/>
      </c>
      <c r="FQ32" t="str">
        <f t="shared" si="68"/>
        <v/>
      </c>
      <c r="FR32" t="str" cm="1">
        <f t="array" ref="FR32">IF(FO32="","",_xlfn.LET(_xlpm.nd,_xlfn.TEXTSPLIT(FO32,"|"),IF(COLUMNS(_xlpm.nd)&gt;2,A32&amp;"¦"&amp;INDEX(_xlpm.nd,2)&amp;"¦"&amp;INDEX(_xlpm.nd,3),"")))</f>
        <v/>
      </c>
      <c r="FS32" t="str">
        <f t="shared" si="69"/>
        <v/>
      </c>
      <c r="FT32" t="str" cm="1">
        <f t="array" ref="FT32">IF(FO32="","",_xlfn.LET(_xlpm.nd,_xlfn.TEXTSPLIT(FO32,"|"),IF(COLUMNS(_xlpm.nd)&gt;3,A32&amp;"¦"&amp;INDEX(_xlpm.nd,3)&amp;"¦"&amp;INDEX(_xlpm.nd,4),"")))</f>
        <v/>
      </c>
      <c r="FU32" t="str">
        <f t="shared" si="70"/>
        <v/>
      </c>
      <c r="FV32" t="str" cm="1">
        <f t="array" ref="FV32">IF(FO32="","",_xlfn.LET(_xlpm.nd,_xlfn.TEXTSPLIT(FO32,"|"),IF(COLUMNS(_xlpm.nd)&gt;4,A32&amp;"¦"&amp;INDEX(_xlpm.nd,4)&amp;"¦"&amp;INDEX(_xlpm.nd,5),"")))</f>
        <v/>
      </c>
      <c r="FW32" t="str">
        <f t="shared" si="71"/>
        <v/>
      </c>
      <c r="FX32" t="str" cm="1">
        <f t="array" ref="FX32">IF(FO32="","",_xlfn.LET(_xlpm.nd,_xlfn.TEXTSPLIT(FO32,"|"),IF(COLUMNS(_xlpm.nd)&gt;5,A32&amp;"¦"&amp;INDEX(_xlpm.nd,5)&amp;"¦"&amp;INDEX(_xlpm.nd,6),"")))</f>
        <v/>
      </c>
      <c r="FY32" t="str">
        <f t="shared" si="72"/>
        <v/>
      </c>
      <c r="FZ32" t="str" cm="1">
        <f t="array" ref="FZ32">IF(FO32="","",_xlfn.LET(_xlpm.nd,_xlfn.TEXTSPLIT(FO32,"|"),IF(COLUMNS(_xlpm.nd)&gt;6,A32&amp;"¦"&amp;INDEX(_xlpm.nd,6)&amp;"¦"&amp;INDEX(_xlpm.nd,7),"")))</f>
        <v/>
      </c>
      <c r="GA32" t="str">
        <f t="shared" si="73"/>
        <v/>
      </c>
      <c r="GB32" t="str">
        <f t="shared" si="74"/>
        <v/>
      </c>
      <c r="GC32" t="str">
        <f t="shared" si="75"/>
        <v>XT1</v>
      </c>
      <c r="GD32">
        <f t="shared" si="76"/>
        <v>0</v>
      </c>
      <c r="GE32">
        <f t="shared" si="77"/>
        <v>0</v>
      </c>
      <c r="GF32">
        <f t="shared" si="78"/>
        <v>0</v>
      </c>
      <c r="GG32" t="str">
        <f t="shared" si="79"/>
        <v/>
      </c>
      <c r="GH32" t="str">
        <f t="shared" si="80"/>
        <v/>
      </c>
      <c r="GI32" t="str">
        <f t="shared" si="81"/>
        <v/>
      </c>
      <c r="GJ32" t="str">
        <f t="shared" si="82"/>
        <v/>
      </c>
      <c r="GK32" t="str">
        <f>IF(D32="","",IFERROR(VLOOKUP(D32,УГО_спр,2,FALSE),IFERROR(VLOOKUP(AT32,УГО_спр,2,FALSE),IFERROR(VLOOKUP(LEFT(AT32,2),УГО_спр,2,FALSE),""))))</f>
        <v>Светильник</v>
      </c>
      <c r="GL32" t="str">
        <f>IF(D32="","",IF(OR(GK32="",GK32=0),"BOX",IFERROR(IF(VLOOKUP(GK32,УГО_блоки,3,FALSE)&amp;""&lt;&gt;"",VLOOKUP(GK32,УГО_блоки,3,FALSE),VLOOKUP(GK32,УГО_блоки,2,FALSE)),GK32)))</f>
        <v>LAMP</v>
      </c>
      <c r="GM32">
        <f t="shared" si="83"/>
        <v>1</v>
      </c>
      <c r="GN32" t="str">
        <f>IF(EP32="","",IF(COUNTIF(EP$3:EP32,EP32)=1,MAX(GN$2:GN31)+1,""))</f>
        <v/>
      </c>
      <c r="GO32" t="str">
        <f>IF(AF32="","",IF(COUNTIF(AF$3:AF32,AF32)+COUNTIF(AG$2:AG31,AF32)+COUNTIF(AH$2:AH31,AF32)=1,MAX(GO$2:GQ31)+1,""))</f>
        <v/>
      </c>
      <c r="GP32" t="str">
        <f>IF(AG32="","",IF(COUNTIF(AF$3:AF32,AG32)+COUNTIF(AG$3:AG32,AG32)+COUNTIF(AH$2:AH31,AG32)=1,MAX(GO$2:GQ31,GO32)+1,""))</f>
        <v/>
      </c>
      <c r="GQ32" t="str">
        <f>IF(AH32="","",IF(COUNTIF(AF$3:AF32,AH32)+COUNTIF(AG$3:AG32,AH32)+COUNTIF(AH$3:AH32,AH32)=1,MAX(GO$2:GQ31,GO32,GP32)+1,""))</f>
        <v/>
      </c>
      <c r="GR32" t="str">
        <f t="shared" si="84"/>
        <v>3х1,5</v>
      </c>
      <c r="GS32">
        <f>IF(GR32="","",IF(COUNTIF(GR$3:GR32,GR32)=1,MAX(GS$2:GS31)+1,""))</f>
        <v>10</v>
      </c>
      <c r="GT32" t="str">
        <f>IF(ES32="","",COUNTIF(ES$3:ES32,"?*"))</f>
        <v/>
      </c>
      <c r="GU32" t="str">
        <f>IF(OR(ES32="",EU32=""),"",IF(COUNTIFS(ES$3:ES32,"?*",EU$3:EU32,EU32)=1,MAX(GU$2:GU31)+1,""))</f>
        <v/>
      </c>
      <c r="GV32">
        <f t="shared" si="85"/>
        <v>1</v>
      </c>
      <c r="GW32">
        <f>IF(D32="","",COUNTIF(D$3:D32,"?*"))</f>
        <v>30</v>
      </c>
      <c r="GX32">
        <f>IF(EX32&lt;&gt;1,0,_xlfn.LET(_xlpm.k,MAX(IFERROR(--VLOOKUP(D32,УГО_спр,5,FALSE),0),IFERROR(--VLOOKUP(AT32,УГО_спр,5,FALSE),0),IFERROR(--VLOOKUP(LEFT(AT32,2),УГО_спр,5,FALSE),0)),IF(_xlpm.k&gt;0,_xlpm.k,IF(IFERROR(--LEFT(SUBSTITUTE(GR32,"x","х"),FIND("х",SUBSTITUTE(GR32,"x","х"))-1),3)&gt;3,Каталог!$S$9,1))))</f>
        <v>1</v>
      </c>
      <c r="GY32">
        <f t="shared" si="86"/>
        <v>0</v>
      </c>
    </row>
    <row r="33" spans="1:207" x14ac:dyDescent="0.3">
      <c r="A33" t="s">
        <v>1146</v>
      </c>
      <c r="B33" t="s">
        <v>531</v>
      </c>
      <c r="C33" t="str">
        <f>IF(BD33="","",IF(BE33="вводной узел","узел ","")&amp;"л."&amp;(INT((BD33-1)/Столбцов_на_лист)+1)&amp;" / "&amp;(MOD(BD33-1,Столбцов_на_лист)+1))</f>
        <v/>
      </c>
      <c r="D33" t="s">
        <v>1306</v>
      </c>
      <c r="E33" s="133" t="str">
        <f t="shared" si="87"/>
        <v>Осветительная группа Подвальный этаж Пом. №001Б</v>
      </c>
      <c r="G33">
        <v>0.1</v>
      </c>
      <c r="H33">
        <v>24</v>
      </c>
      <c r="I33">
        <v>1</v>
      </c>
      <c r="J33">
        <v>230</v>
      </c>
      <c r="K33" t="s">
        <v>566</v>
      </c>
      <c r="P33">
        <v>116</v>
      </c>
      <c r="Q33">
        <v>51</v>
      </c>
      <c r="R33">
        <v>0</v>
      </c>
      <c r="S33">
        <v>143</v>
      </c>
      <c r="U33" t="s">
        <v>11</v>
      </c>
      <c r="V33">
        <v>3</v>
      </c>
      <c r="W33">
        <v>1.5</v>
      </c>
      <c r="Z33" t="s">
        <v>559</v>
      </c>
      <c r="AR33" t="str">
        <f t="shared" si="0"/>
        <v>не на схеме</v>
      </c>
      <c r="AS33" cm="1">
        <f t="array" ref="AS33">ROW()-ROW(Линии[#Headers])</f>
        <v>31</v>
      </c>
      <c r="AT33" t="str">
        <f t="shared" si="1"/>
        <v>L</v>
      </c>
      <c r="AU33" t="str">
        <f t="shared" si="2"/>
        <v>00.001Б.2</v>
      </c>
      <c r="AV33" t="str">
        <f t="shared" si="3"/>
        <v>00</v>
      </c>
      <c r="AW33" t="str">
        <f t="shared" si="4"/>
        <v>001Б.2</v>
      </c>
      <c r="AX33" t="str">
        <f t="shared" si="5"/>
        <v>001Б</v>
      </c>
      <c r="AY33" t="str">
        <f>IF(D33="","",IF(ISERROR(SEARCH(".",D33)),IFERROR(VLOOKUP(D33,Потребители_обозначение,2,FALSE)&amp;"",""),IFERROR(IF(VLOOKUP(AT33,Потребители_обозначение,4,FALSE)=1,VLOOKUP(AT33,Потребители_обозначение,2,FALSE)&amp;" "&amp;VLOOKUP(AV33,Этаж_обозначение,2,FALSE)&amp;" Пом. №"&amp;AX33,VLOOKUP(AT33,Потребители_обозначение,2,FALSE)&amp;" Шлейф №"&amp;AV33),IFERROR(VLOOKUP(D33,Потребители_обозначение,2,FALSE),""))))</f>
        <v>Осветительная группа Подвальный этаж Пом. №001Б</v>
      </c>
      <c r="AZ33" t="str">
        <f t="shared" si="6"/>
        <v>Осветительная группа Подвальный этаж Пом. №001Б</v>
      </c>
      <c r="BA33" t="str">
        <f>IF(F33&lt;&gt;"",F33,IF(AND(D33&lt;&gt;"",D33&lt;&gt;A33,ISNUMBER(_xlfn.XMATCH(D33,Щиты[Щит]))),D33,""))</f>
        <v/>
      </c>
      <c r="BB33">
        <f>IFERROR(_xlfn.XMATCH(A33,Щиты[Щит]),0)</f>
        <v>3</v>
      </c>
      <c r="BC33">
        <f>IFERROR(N(_xlfn.XLOOKUP(A33,Щиты[Щит],Щиты[Мест под вводной узел])),15)</f>
        <v>15</v>
      </c>
      <c r="BD33" t="str">
        <f t="shared" si="7"/>
        <v/>
      </c>
      <c r="BE33" t="str">
        <f t="shared" si="8"/>
        <v/>
      </c>
      <c r="BF33">
        <f>IF(D33="","",IF(BA33&lt;&gt;"",IFERROR(_xlfn.XLOOKUP(BA33,Щиты[Щит],Щиты[Руст, кВт]),0),N(G33)))</f>
        <v>0.1</v>
      </c>
      <c r="BG33">
        <f>IF(J33&lt;&gt;"",J33,IF(D33="","",IFERROR(IF(VLOOKUP(AT33,Потребители_обозначение,8,FALSE)=0,"",VLOOKUP(AT33,Потребители_обозначение,8,FALSE)),"")))</f>
        <v>230</v>
      </c>
      <c r="BH33">
        <f>IF(I33&lt;&gt;"",I33,IF(D33="","",IFERROR(IF(VLOOKUP(AT33,Потребители_обозначение,9,FALSE)=0,"",VLOOKUP(AT33,Потребители_обозначение,9,FALSE)),"")))</f>
        <v>1</v>
      </c>
      <c r="BI33" t="str">
        <f>IF(U33&lt;&gt;"",U33,IF(D33="","",IFERROR(IF(VLOOKUP(AT33,Потребители_обозначение,6,FALSE)=0,"",VLOOKUP(AT33,Потребители_обозначение,6,FALSE)),"")))</f>
        <v>мс</v>
      </c>
      <c r="BJ33">
        <f>IF(V33&lt;&gt;"",V33,IF(D33="","",IFERROR(IF(VLOOKUP(AT33,Потребители_обозначение,7,FALSE)=0,"",VLOOKUP(AT33,Потребители_обозначение,7,FALSE)),"")))</f>
        <v>3</v>
      </c>
      <c r="BK33">
        <f>IF(W33&lt;&gt;"",W33,IF(D33="","",IFERROR(IF(VLOOKUP(AT33,Потребители_обозначение,10,FALSE)=0,"",VLOOKUP(AT33,Потребители_обозначение,10,FALSE)),"")))</f>
        <v>1.5</v>
      </c>
      <c r="BL33">
        <f>IFERROR(VLOOKUP(AT33,Потребители_обозначение,5,FALSE),0)</f>
        <v>3</v>
      </c>
      <c r="BM33" cm="1">
        <f t="array" ref="BM33">IF(D33="","",IF(BA33&lt;&gt;"",IFERROR(_xlfn.XLOOKUP(BA33,Щиты[Щит],Щиты[cos φ]),0.95),IF(ISNUMBER(M33),M33,IFERROR(IF(BL33=2,_xlfn.IFS(BH33=3,VLOOKUP(BF33,Справочная_двигатели,8,FALSE),BH33=1,VLOOKUP(BF33,Справочная_двигатели,10,TRUE)),IF(AND(Методика="нормы 2026",CN33="Сил"),0.8,0.95)),0.95))))</f>
        <v>0.95</v>
      </c>
      <c r="BN33" cm="1">
        <f t="array" ref="BN33">IF(D33="","",IF(BA33&lt;&gt;"",IFERROR(_xlfn.XLOOKUP(BA33,Щиты[Щит],Щиты[Iр, А]),""),IFERROR(_xlfn.IFS(BH33=1,BF33/((Uн_лин/SQRT(3))*BM33),BH33=3,BF33/(SQRT(3)*Uн_лин*BM33)),"")))</f>
        <v>0.455802844097073</v>
      </c>
      <c r="BO33">
        <f>IF(D33="","",IF(N(X33)=0,IFERROR(VLOOKUP(BN33,Автомат_номиналы,2,TRUE),""),X33))</f>
        <v>6</v>
      </c>
      <c r="BP33">
        <f t="shared" si="9"/>
        <v>1</v>
      </c>
      <c r="BQ33">
        <f>IF(ISNUMBER(Y33),Y33,К_прокл)</f>
        <v>1</v>
      </c>
      <c r="BR33">
        <f t="shared" si="10"/>
        <v>2</v>
      </c>
      <c r="BS33" cm="1">
        <f t="array" ref="BS33">IF(D33="","",IF(N(BK33)&lt;&gt;0,BK33,IFERROR(_xlfn.LET(_xlpm.need,BO33/(BP33*BQ33),_xlpm.t,CHOOSE(BR33,Iдоп_1ж,Iдоп_2ж,Iдоп_3ж),_xlpm.k,_xlfn.XMATCH(_xlpm.need,_xlpm.t,1),IF(ISNA(_xlpm.k),"Не исп",INDEX(Iдоп_S,_xlpm.k))),"Не исп")))</f>
        <v>1.5</v>
      </c>
      <c r="BT33">
        <f>IFERROR(VLOOKUP(BS33,Кабель_сопротивление,3,FALSE),"")</f>
        <v>2.2499999999999999E-2</v>
      </c>
      <c r="BU33">
        <f>IFERROR(VLOOKUP(BS33,Кабель_сопротивление,2,FALSE),"")</f>
        <v>0.11</v>
      </c>
      <c r="BV33">
        <f t="shared" si="11"/>
        <v>116</v>
      </c>
      <c r="BW33">
        <f>IF(D33="","",IFERROR(IF(VLOOKUP(AT33,Потребители_обозначение,4,FALSE)=1,VLOOKUP(AT33,Потребители_обозначение,3,FALSE)*(H33*2-1)+BV33+VLOOKUP(AV33,Этаж_обозначение,3,FALSE)+VLOOKUP(AV33,Этаж_обозначение,4,FALSE),VLOOKUP(AT33,Потребители_обозначение,3,FALSE)*(H33*2-1)+BV33),BV33))</f>
        <v>163</v>
      </c>
      <c r="BX33">
        <f t="shared" si="12"/>
        <v>0</v>
      </c>
      <c r="BY33">
        <f t="shared" si="13"/>
        <v>143</v>
      </c>
      <c r="BZ33">
        <f t="shared" si="14"/>
        <v>2</v>
      </c>
      <c r="CA33">
        <f t="shared" si="15"/>
        <v>0.31</v>
      </c>
      <c r="CB33">
        <f t="shared" si="16"/>
        <v>2.1224990901496419</v>
      </c>
      <c r="CC33">
        <f>IFERROR(ROUNDUP(CB33/((Uн_лин/SQRT(3))*1000)*100,2),"")</f>
        <v>0.92</v>
      </c>
      <c r="CD33">
        <f>IF(ISNUMBER(CC33),CC33+IFERROR(_xlfn.XLOOKUP(A33,Щиты[Щит],Щиты[ΔU до шин, %]),0),"")</f>
        <v>1.0900000000000001</v>
      </c>
      <c r="CE33">
        <f>IF(D33="","",IF(IFERROR(VLOOKUP(AT33,УГО_спр,2,FALSE),"")="Светильник",3,4)+IF(Методика="нормы 2026",MIN(0.5,MAX(0,N(BW33)-100)*0.005),0))</f>
        <v>3</v>
      </c>
      <c r="CF33" t="str">
        <f>IFERROR(VLOOKUP(BI33,Кабель_обозначение,2,FALSE),"")</f>
        <v>ВВГнг(А)-LS</v>
      </c>
      <c r="CG33" t="str">
        <f>IFERROR(IF(VLOOKUP(BI33,Кабель_обозначение,3,FALSE)=1,CF33&amp;" ("&amp;BJ33&amp;"х"&amp;BS33&amp;")",CF33),"")</f>
        <v>ВВГнг(А)-LS (3х1,5)</v>
      </c>
      <c r="CH33" t="str">
        <f t="shared" si="17"/>
        <v>ВВГнг(А)-LS (3х1,5)
L=163-0,92%</v>
      </c>
      <c r="CI33">
        <f>IFERROR(2*ρкз_Cu*BW33/BS33,"")</f>
        <v>5.7158666666666669</v>
      </c>
      <c r="CJ33">
        <f t="shared" si="18"/>
        <v>1.9016666666666671</v>
      </c>
      <c r="CK33" t="str">
        <f>IFERROR(IF(OR(D33="",NOT(ISNUMBER(BS33)),N(BW33)=0),"",_xlfn.XLOOKUP(A33,Щиты[Щит],Щиты[Zпетли на шинах, Ом])+CI33),"")</f>
        <v/>
      </c>
      <c r="CL33" t="str">
        <f>IF(ISNUMBER(CK33),c_min*(Uн_лин*1000/SQRT(3))/CK33,"")</f>
        <v/>
      </c>
      <c r="CM33" t="str">
        <f>IFERROR(IF(OR(D33="",NOT(ISNUMBER(BS33))),"",1.05*(Uн_лин*1000/SQRT(3))/(_xlfn.XLOOKUP(A33,Щиты[Щит],Щиты[Zmax на шинах, Ом])+CJ33)/1000),"")</f>
        <v/>
      </c>
      <c r="CN33" t="str">
        <f>IF(D33="","",IF(BA33&lt;&gt;"","Щит",IF(K33&lt;&gt;"",K33,IF(ISNUMBER(L33),"Сил",IF(IFERROR(_xlfn.XLOOKUP(AT33,Коды_код,Коды_группа)&amp;"","")="","Быт",_xlfn.XLOOKUP(AT33,Коды_код,Коды_группа)&amp;"")))))</f>
        <v>Быт</v>
      </c>
      <c r="CO33">
        <f>IF(CN33="Щит","щит",IF(CN33="","",IF(CN33="Быт",IFERROR(_xlfn.XLOOKUP(A33,Щиты[Щит],Щиты[Кс быт]),1),IF(CN33="Сил",IF(ISNUMBER(L33),L33,IF(Методика="нормы 2026",IFERROR(_xlfn.XLOOKUP(A33,Щиты[Щит],Щиты[Кс силовых (табл. 7.5)]),1),1)),IF(OR(CN33="Пост",CN33="Отоп"),1,IF(CN33="ВНГ",0.7,0))))))</f>
        <v>0.8</v>
      </c>
      <c r="CP33">
        <f t="shared" si="19"/>
        <v>1</v>
      </c>
      <c r="CQ33">
        <f t="shared" si="20"/>
        <v>0.1</v>
      </c>
      <c r="CR33">
        <f t="shared" si="21"/>
        <v>0.1</v>
      </c>
      <c r="CS33">
        <f t="shared" si="22"/>
        <v>0</v>
      </c>
      <c r="CT33">
        <f t="shared" si="23"/>
        <v>0</v>
      </c>
      <c r="CU33">
        <f t="shared" si="24"/>
        <v>0</v>
      </c>
      <c r="CV33">
        <f t="shared" si="25"/>
        <v>0</v>
      </c>
      <c r="CW33">
        <f t="shared" si="26"/>
        <v>0.1</v>
      </c>
      <c r="CX33">
        <f t="shared" si="27"/>
        <v>9.5000000000000001E-2</v>
      </c>
      <c r="CY33">
        <f t="shared" si="28"/>
        <v>2</v>
      </c>
      <c r="CZ33" t="str">
        <f t="shared" si="29"/>
        <v>L2</v>
      </c>
      <c r="DA33" cm="1">
        <f t="array" ref="DA33">IFERROR(IF(BL33=2,_xlfn.IFS(BH33=3,VLOOKUP(BF33,Справочная_двигатели,3,FALSE),BH33=1,VLOOKUP(BF33,Справочная_двигатели,5,TRUE)),0),0)</f>
        <v>0</v>
      </c>
      <c r="DB33">
        <f>IFERROR(IF(BL33=3,VLOOKUP(BF33,Справочная_ЛЭД,2,TRUE),0),0)</f>
        <v>50</v>
      </c>
      <c r="DC33">
        <f t="shared" si="30"/>
        <v>50</v>
      </c>
      <c r="DD33" t="str">
        <f t="shared" si="31"/>
        <v>L2</v>
      </c>
      <c r="DE33" t="str" cm="1">
        <f t="array" ref="DE33">IF(D33="","",IFERROR(INDEX({"I особая","I","II","III"},MATCH(TRIM(AA33&amp;""),{"I особая","I","II","III"},0)),"III"))</f>
        <v>III</v>
      </c>
      <c r="DF33" t="str">
        <f>IF(D33="","",IF(TRIM(AB33&amp;"")&lt;&gt;"",IF(LOWER(TRIM(AB33&amp;""))="да","да","нет"),IF(IFERROR(_xlfn.XLOOKUP(AT33,Коды_код,Коды_пожарная),"")="да","да","нет")))</f>
        <v>нет</v>
      </c>
      <c r="DG33" t="str">
        <f t="shared" si="32"/>
        <v/>
      </c>
      <c r="DH33" t="str">
        <f t="shared" si="33"/>
        <v>основная</v>
      </c>
      <c r="DI33">
        <f t="shared" si="34"/>
        <v>1</v>
      </c>
      <c r="DJ33" t="str" cm="1">
        <f t="array" ref="DJ33">IF(D33="","",_xlfn.LET(_xlpm.t,IFERROR(_xlfn.XLOOKUP(1,(Шины[Шина]=DH33)*(((Шины[Щит]=A33)+(Шины[Щит]=""))&gt;0),Шины[Тип]),"")&amp;"",IF(_xlpm.t&lt;&gt;"",_xlpm.t,IF(ISNUMBER(SEARCH("ИБП",DH33)),"ИБП",IF(ISNUMBER(SEARCH("ДГУ",DH33)),"ДГУ","Ввод "&amp;DI33)))))</f>
        <v>Ввод 1</v>
      </c>
      <c r="DK33" t="str">
        <f t="shared" si="35"/>
        <v>Ввод 1</v>
      </c>
      <c r="DL33" t="str">
        <f>IF(D33="","",IF(OR(DJ33="ИБП",DJ33="ДГУ"),"I особая",IF(DJ33="Одиночная","III",_xlfn.XLOOKUP(A33,Щиты[Щит],Щиты[Категория шины «Ввод»],"III"))))</f>
        <v>II</v>
      </c>
      <c r="DM33">
        <f>IF(D33="",0,IFERROR(MATCH(DE33,{"III","II","I","I особая"},0),1))</f>
        <v>1</v>
      </c>
      <c r="DN33">
        <f t="shared" si="36"/>
        <v>1</v>
      </c>
      <c r="DO33" t="str">
        <f>IF(D33="","",IF(DM33&gt;IFERROR(MATCH(DL33,{"III","II","I","I особая"},0),1),"НЕ ОБЕСПЕЧЕНА","ОК"))</f>
        <v>ОК</v>
      </c>
      <c r="DP33" t="str">
        <f>IF(A33="","",_xlfn.XLOOKUP(A33,Щиты[Щит],Щиты[Путь],""))</f>
        <v>|ГРЩ-ЖД|ЩГП|ЩО-001|</v>
      </c>
      <c r="DQ33" t="str">
        <f>IF(D33="","",IF(Z33&lt;&gt;"",Z33,IF(IFERROR(_xlfn.XLOOKUP(AT33,Коды_код,Коды_вид)&amp;"","")="","Прочее",_xlfn.XLOOKUP(AT33,Коды_код,Коды_вид)&amp;"")))</f>
        <v>Рабочее освещение</v>
      </c>
      <c r="DR33" t="str">
        <f>IF(BD33="","",INT((BD33-1)/Столбцов_на_лист)+1)</f>
        <v/>
      </c>
      <c r="DS33" t="str">
        <f t="shared" si="37"/>
        <v>ВВГнг(А)-LS (3х1,5) L=163-0,92%</v>
      </c>
      <c r="DT33">
        <f t="shared" si="38"/>
        <v>0.1</v>
      </c>
      <c r="DU33">
        <f t="shared" si="39"/>
        <v>0.46</v>
      </c>
      <c r="DV33">
        <f t="shared" si="40"/>
        <v>1</v>
      </c>
      <c r="DW33">
        <f>IF(AT33="",0,_xlfn.LET(_xlpm.v,IFERROR(VLOOKUP(D33,УГО_спр,3,FALSE),IFERROR(VLOOKUP(AT33,УГО_спр,3,FALSE),IFERROR(VLOOKUP(LEFT(AT33,2),УГО_спр,3,FALSE),""))),IF(_xlpm.v="да",30,IF(ISNUMBER(_xlpm.v),_xlpm.v,0))))</f>
        <v>0</v>
      </c>
      <c r="DX33">
        <f t="shared" si="41"/>
        <v>0</v>
      </c>
      <c r="DY33" t="str">
        <f>IF(BD33="","",IF(AD33&lt;&gt;"",COUNTIFS(A$3:A33,A33,AD$3:AD33,"?*"),IF(OR(OR(AS33=1,A33&lt;&gt;A32),AL33="вручную"),"",IF(AS33=1,"",DZ32))))</f>
        <v/>
      </c>
      <c r="DZ33" t="str">
        <f t="shared" si="42"/>
        <v/>
      </c>
      <c r="EA33">
        <f>IF(D33="",0,MAX(IFERROR(--X33,0),IFERROR(--VLOOKUP(D33,УГО_спр,4,FALSE),IFERROR(--VLOOKUP(AT33,УГО_спр,4,FALSE),IFERROR(--VLOOKUP(LEFT(AT33,2),УГО_спр,4,FALSE),0)))))</f>
        <v>10</v>
      </c>
      <c r="EB33">
        <f>IF(D33="","",IFERROR(LOOKUP(INDEX(CHOOSE(BR33,Iдоп_1ж,Iдоп_2ж,Iдоп_3ж),MATCH(BS33,Iдоп_S,0))*BP33*BQ33,{6,10,16,20,25,32,40,50,63,80,100,125,160,200,250,315,400,500,630}),""))</f>
        <v>16</v>
      </c>
      <c r="EC33" t="str">
        <f>IF(AD33="","",SUMIFS(Линии[_Ток схемы],Линии[_гр.],DY33,Линии[Щит],A33,Линии[_в кабель выше],0))</f>
        <v/>
      </c>
      <c r="ED33" t="str">
        <f>IF(AD33="","",IFERROR(VLOOKUP(EC33,Автомат_номиналы,2,TRUE),""))</f>
        <v/>
      </c>
      <c r="EE33" t="str">
        <f>IF(AD33="","",MAX(N(ED33),_xlfn.MAXIFS(Линии[_мин. по типу],Линии[_гр.],DY33,Линии[Щит],A33)))</f>
        <v/>
      </c>
      <c r="EF33" t="str">
        <f>IF(AD33="","",_xlfn.MINIFS(Линии[_макс. автомат по кабелю],Линии[_гр.],DY33,Линии[Щит],A33))</f>
        <v/>
      </c>
      <c r="EG33" t="str">
        <f>IF(AD33="","",MAX(1,_xlfn.MAXIFS(Линии[_фаз],Линии[_гр.],DY33,Линии[Щит],A33)))</f>
        <v/>
      </c>
      <c r="EH33" t="str">
        <f>IF(AD33="","",IF(AND(AD33&lt;&gt;"авто",AD33&lt;&gt;"+"),IF(ISNUMBER(SEARCH("мА",AD33)),IFERROR(--TRIM(RIGHT(SUBSTITUTE(LEFT(AD33,SEARCH("мА",AD33)-1)," ",REPT(" ",9)),6)),30),0),IF(AE33="нет",0,IF(ISNUMBER(AE33),AE33,IF(AE33="да",30,_xlfn.MINIFS(Линии[_дифзащита по коду, мА],Линии[_гр.],DY33,Линии[Щит],A33,Линии[_дифзащита по коду, мА],"&gt;0"))))))</f>
        <v/>
      </c>
      <c r="EI33" t="str">
        <f t="shared" si="43"/>
        <v/>
      </c>
      <c r="EJ33" t="str">
        <f t="shared" si="44"/>
        <v/>
      </c>
      <c r="EK33" t="str">
        <f t="shared" si="45"/>
        <v/>
      </c>
      <c r="EL33" t="str">
        <f t="shared" si="46"/>
        <v/>
      </c>
      <c r="EM33">
        <f t="shared" si="47"/>
        <v>0</v>
      </c>
      <c r="EN33" t="str">
        <f>IF(AD33="","",IF(EM33=1,MAX(EE33,Мин_автомат_БП),EE33))</f>
        <v/>
      </c>
      <c r="EO33" t="str">
        <f t="shared" si="48"/>
        <v/>
      </c>
      <c r="EP33" t="str">
        <f t="shared" si="49"/>
        <v/>
      </c>
      <c r="EQ33" t="str">
        <f t="shared" si="50"/>
        <v/>
      </c>
      <c r="ER33" t="str">
        <f>IF(OR(AI33="",AI33="-"),"",IFERROR(VLOOKUP(AI33,Модули_спр,2,FALSE),"R"))</f>
        <v/>
      </c>
      <c r="ES33" t="str">
        <f>IF(ER33="","",ER33&amp;"."&amp;COUNTIFS(A$3:A33,A33,ER$3:ER33,ER33))</f>
        <v/>
      </c>
      <c r="ET33" t="str">
        <f t="shared" si="51"/>
        <v/>
      </c>
      <c r="EU33" t="str">
        <f t="shared" si="52"/>
        <v/>
      </c>
      <c r="EV33" t="str">
        <f t="shared" si="53"/>
        <v/>
      </c>
      <c r="EW33" t="str">
        <f t="shared" si="54"/>
        <v/>
      </c>
      <c r="EX33">
        <f t="shared" si="55"/>
        <v>1</v>
      </c>
      <c r="EY33" t="str">
        <f>IF(AK33="нет","",IF(AK33&lt;&gt;"",AK33,IF(EX33=1,"XT"&amp;COUNTIFS(A$3:A33,A33,EX$3:EX33,1),"")))</f>
        <v>XT2</v>
      </c>
      <c r="EZ33" t="str">
        <f t="shared" si="56"/>
        <v/>
      </c>
      <c r="FA33" t="str">
        <f t="shared" si="57"/>
        <v/>
      </c>
      <c r="FB33" t="str">
        <f t="shared" si="58"/>
        <v/>
      </c>
      <c r="FC33" t="str">
        <f>IF(OR(EV33="",ET33=""),"",IF(EV33&gt;IFERROR(VLOOKUP(EU33,Модули_спр,3,FALSE),99),"ЛИШНИЙ КАНАЛ",IF(AND(AJ33&lt;&gt;"=",COUNTIFS(Линии[_модуль гр.],ET33,Линии[Канал (итог)],EV33,Линии[Канал],"&lt;&gt;=",Линии[Щит],A33)&gt;1),"ДУБЛЬ КАНАЛА","")))</f>
        <v/>
      </c>
      <c r="FD33" t="str">
        <f t="shared" si="59"/>
        <v/>
      </c>
      <c r="FE33" t="str">
        <f t="shared" si="60"/>
        <v/>
      </c>
      <c r="FF33" t="str">
        <f t="shared" si="61"/>
        <v/>
      </c>
      <c r="FG33" t="str">
        <f t="shared" si="62"/>
        <v/>
      </c>
      <c r="FH33" t="str">
        <f t="shared" si="63"/>
        <v/>
      </c>
      <c r="FI33">
        <f t="shared" si="64"/>
        <v>10</v>
      </c>
      <c r="FJ33" t="str">
        <f t="shared" si="65"/>
        <v/>
      </c>
      <c r="FK33" t="str">
        <f>IF(AND(D33="",EZ33=""),"",_xlfn.TEXTJOIN("; ",TRUE,IF(AND(D33&lt;&gt;"",DD33=""),"нет фазы",""),IF(AND(D33&lt;&gt;"",N(DT33)=0,CN33&lt;&gt;"Нет"),"нет мощности",""),IF(AND(EY33&lt;&gt;"",COUNTIFS(Линии[Щит],A33,Линии[Клемма (итог)],EY33)&gt;1),"дубль клеммы "&amp;EY33,""),IF(AND(FB33&lt;&gt;"",FB33&lt;&gt;"ok"),FB33,""),IF(FC33&lt;&gt;"",FC33,""),IF(AND(ISNUMBER(SEARCH("(5х",DS33)),N(DV33)=1),"5 жил на 1 фазе",""),IF(AND(AT33="R",AD33&lt;&gt;"",OR(N(EH33)=0,N(EH33)&gt;30)),"розетка без дифзащиты до 30 мА",""),IFERROR(IF(AND(ISNUMBER(CD33),CD33&gt;CE33),"потери "&amp;FIXED(CD33,1)&amp;" % &gt; "&amp;CE33&amp;" %",""),""),IFERROR(IF(LEFT(FJ33,4)="мало","Iкз мало — отключение &gt; 0,4 с",""),""),IF(AND(D33&lt;&gt;"",BD33=""),"не на схеме","")))</f>
        <v>не на схеме</v>
      </c>
      <c r="FL33" t="str">
        <f>IF(AD33="","",_xlfn.LET(_xlpm.t,IFERROR(_xlfn.XLOOKUP(EP33,Каталог!$U$4:$U$500,Каталог!$G$4:$G$500),""),_xlpm.k,SEARCH("кА",_xlpm.t),IFERROR(--TRIM(RIGHT(SUBSTITUTE(MID(_xlpm.t,MAX(1,_xlpm.k-4),_xlpm.k-MAX(1,_xlpm.k-4))," ",REPT(" ",9)),5)),"")))</f>
        <v/>
      </c>
      <c r="FM33" t="str">
        <f>IF(OR(FL33="",AD33=""),"",IF(_xlfn.XLOOKUP(A33,Щиты[Щит],Щиты[Iкз max на шинах, кА],"")="","",IF(FL33&lt;_xlfn.XLOOKUP(A33,Щиты[Щит],Щиты[Iкз max на шинах, кА]),"Icu "&amp;FL33&amp;" кА &lt; Iкз max","ok")))</f>
        <v/>
      </c>
      <c r="FN33" t="str">
        <f t="shared" si="66"/>
        <v/>
      </c>
      <c r="FO33" t="str">
        <f t="shared" si="67"/>
        <v/>
      </c>
      <c r="FP33" t="str" cm="1">
        <f t="array" ref="FP33">IF(FO33="","",_xlfn.LET(_xlpm.nd,_xlfn.TEXTSPLIT(FO33,"|"),IF(COLUMNS(_xlpm.nd)&gt;1,A33&amp;"¦"&amp;INDEX(_xlpm.nd,1)&amp;"¦"&amp;INDEX(_xlpm.nd,2),"")))</f>
        <v/>
      </c>
      <c r="FQ33" t="str">
        <f t="shared" si="68"/>
        <v/>
      </c>
      <c r="FR33" t="str" cm="1">
        <f t="array" ref="FR33">IF(FO33="","",_xlfn.LET(_xlpm.nd,_xlfn.TEXTSPLIT(FO33,"|"),IF(COLUMNS(_xlpm.nd)&gt;2,A33&amp;"¦"&amp;INDEX(_xlpm.nd,2)&amp;"¦"&amp;INDEX(_xlpm.nd,3),"")))</f>
        <v/>
      </c>
      <c r="FS33" t="str">
        <f t="shared" si="69"/>
        <v/>
      </c>
      <c r="FT33" t="str" cm="1">
        <f t="array" ref="FT33">IF(FO33="","",_xlfn.LET(_xlpm.nd,_xlfn.TEXTSPLIT(FO33,"|"),IF(COLUMNS(_xlpm.nd)&gt;3,A33&amp;"¦"&amp;INDEX(_xlpm.nd,3)&amp;"¦"&amp;INDEX(_xlpm.nd,4),"")))</f>
        <v/>
      </c>
      <c r="FU33" t="str">
        <f t="shared" si="70"/>
        <v/>
      </c>
      <c r="FV33" t="str" cm="1">
        <f t="array" ref="FV33">IF(FO33="","",_xlfn.LET(_xlpm.nd,_xlfn.TEXTSPLIT(FO33,"|"),IF(COLUMNS(_xlpm.nd)&gt;4,A33&amp;"¦"&amp;INDEX(_xlpm.nd,4)&amp;"¦"&amp;INDEX(_xlpm.nd,5),"")))</f>
        <v/>
      </c>
      <c r="FW33" t="str">
        <f t="shared" si="71"/>
        <v/>
      </c>
      <c r="FX33" t="str" cm="1">
        <f t="array" ref="FX33">IF(FO33="","",_xlfn.LET(_xlpm.nd,_xlfn.TEXTSPLIT(FO33,"|"),IF(COLUMNS(_xlpm.nd)&gt;5,A33&amp;"¦"&amp;INDEX(_xlpm.nd,5)&amp;"¦"&amp;INDEX(_xlpm.nd,6),"")))</f>
        <v/>
      </c>
      <c r="FY33" t="str">
        <f t="shared" si="72"/>
        <v/>
      </c>
      <c r="FZ33" t="str" cm="1">
        <f t="array" ref="FZ33">IF(FO33="","",_xlfn.LET(_xlpm.nd,_xlfn.TEXTSPLIT(FO33,"|"),IF(COLUMNS(_xlpm.nd)&gt;6,A33&amp;"¦"&amp;INDEX(_xlpm.nd,6)&amp;"¦"&amp;INDEX(_xlpm.nd,7),"")))</f>
        <v/>
      </c>
      <c r="GA33" t="str">
        <f t="shared" si="73"/>
        <v/>
      </c>
      <c r="GB33" t="str">
        <f t="shared" si="74"/>
        <v/>
      </c>
      <c r="GC33" t="str">
        <f t="shared" si="75"/>
        <v>XT2</v>
      </c>
      <c r="GD33">
        <f t="shared" si="76"/>
        <v>0</v>
      </c>
      <c r="GE33">
        <f t="shared" si="77"/>
        <v>0</v>
      </c>
      <c r="GF33">
        <f t="shared" si="78"/>
        <v>0</v>
      </c>
      <c r="GG33" t="str">
        <f t="shared" si="79"/>
        <v/>
      </c>
      <c r="GH33" t="str">
        <f t="shared" si="80"/>
        <v/>
      </c>
      <c r="GI33" t="str">
        <f t="shared" si="81"/>
        <v/>
      </c>
      <c r="GJ33" t="str">
        <f t="shared" si="82"/>
        <v/>
      </c>
      <c r="GK33" t="str">
        <f>IF(D33="","",IFERROR(VLOOKUP(D33,УГО_спр,2,FALSE),IFERROR(VLOOKUP(AT33,УГО_спр,2,FALSE),IFERROR(VLOOKUP(LEFT(AT33,2),УГО_спр,2,FALSE),""))))</f>
        <v>Светильник</v>
      </c>
      <c r="GL33" t="str">
        <f>IF(D33="","",IF(OR(GK33="",GK33=0),"BOX",IFERROR(IF(VLOOKUP(GK33,УГО_блоки,3,FALSE)&amp;""&lt;&gt;"",VLOOKUP(GK33,УГО_блоки,3,FALSE),VLOOKUP(GK33,УГО_блоки,2,FALSE)),GK33)))</f>
        <v>LAMP</v>
      </c>
      <c r="GM33">
        <f t="shared" si="83"/>
        <v>1</v>
      </c>
      <c r="GN33" t="str">
        <f>IF(EP33="","",IF(COUNTIF(EP$3:EP33,EP33)=1,MAX(GN$2:GN32)+1,""))</f>
        <v/>
      </c>
      <c r="GO33" t="str">
        <f>IF(AF33="","",IF(COUNTIF(AF$3:AF33,AF33)+COUNTIF(AG$2:AG32,AF33)+COUNTIF(AH$2:AH32,AF33)=1,MAX(GO$2:GQ32)+1,""))</f>
        <v/>
      </c>
      <c r="GP33" t="str">
        <f>IF(AG33="","",IF(COUNTIF(AF$3:AF33,AG33)+COUNTIF(AG$3:AG33,AG33)+COUNTIF(AH$2:AH32,AG33)=1,MAX(GO$2:GQ32,GO33)+1,""))</f>
        <v/>
      </c>
      <c r="GQ33" t="str">
        <f>IF(AH33="","",IF(COUNTIF(AF$3:AF33,AH33)+COUNTIF(AG$3:AG33,AH33)+COUNTIF(AH$3:AH33,AH33)=1,MAX(GO$2:GQ32,GO33,GP33)+1,""))</f>
        <v/>
      </c>
      <c r="GR33" t="str">
        <f t="shared" si="84"/>
        <v>3х1,5</v>
      </c>
      <c r="GS33" t="str">
        <f>IF(GR33="","",IF(COUNTIF(GR$3:GR33,GR33)=1,MAX(GS$2:GS32)+1,""))</f>
        <v/>
      </c>
      <c r="GT33" t="str">
        <f>IF(ES33="","",COUNTIF(ES$3:ES33,"?*"))</f>
        <v/>
      </c>
      <c r="GU33" t="str">
        <f>IF(OR(ES33="",EU33=""),"",IF(COUNTIFS(ES$3:ES33,"?*",EU$3:EU33,EU33)=1,MAX(GU$2:GU32)+1,""))</f>
        <v/>
      </c>
      <c r="GV33">
        <f t="shared" si="85"/>
        <v>1</v>
      </c>
      <c r="GW33">
        <f>IF(D33="","",COUNTIF(D$3:D33,"?*"))</f>
        <v>31</v>
      </c>
      <c r="GX33">
        <f>IF(EX33&lt;&gt;1,0,_xlfn.LET(_xlpm.k,MAX(IFERROR(--VLOOKUP(D33,УГО_спр,5,FALSE),0),IFERROR(--VLOOKUP(AT33,УГО_спр,5,FALSE),0),IFERROR(--VLOOKUP(LEFT(AT33,2),УГО_спр,5,FALSE),0)),IF(_xlpm.k&gt;0,_xlpm.k,IF(IFERROR(--LEFT(SUBSTITUTE(GR33,"x","х"),FIND("х",SUBSTITUTE(GR33,"x","х"))-1),3)&gt;3,Каталог!$S$9,1))))</f>
        <v>1</v>
      </c>
      <c r="GY33">
        <f t="shared" si="86"/>
        <v>0</v>
      </c>
    </row>
    <row r="34" spans="1:207" x14ac:dyDescent="0.3">
      <c r="A34" t="s">
        <v>1146</v>
      </c>
      <c r="B34" t="s">
        <v>531</v>
      </c>
      <c r="C34" t="str">
        <f>IF(BD34="","",IF(BE34="вводной узел","узел ","")&amp;"л."&amp;(INT((BD34-1)/Столбцов_на_лист)+1)&amp;" / "&amp;(MOD(BD34-1,Столбцов_на_лист)+1))</f>
        <v/>
      </c>
      <c r="D34" t="s">
        <v>1307</v>
      </c>
      <c r="E34" s="133" t="str">
        <f t="shared" si="87"/>
        <v>Осветительная группа Подвальный этаж Пом. №001Б</v>
      </c>
      <c r="G34">
        <v>0.1</v>
      </c>
      <c r="H34">
        <v>14</v>
      </c>
      <c r="I34">
        <v>1</v>
      </c>
      <c r="J34">
        <v>230</v>
      </c>
      <c r="K34" t="s">
        <v>566</v>
      </c>
      <c r="P34">
        <v>99</v>
      </c>
      <c r="Q34">
        <v>33</v>
      </c>
      <c r="R34">
        <v>0</v>
      </c>
      <c r="S34">
        <v>118</v>
      </c>
      <c r="U34" t="s">
        <v>11</v>
      </c>
      <c r="V34">
        <v>3</v>
      </c>
      <c r="W34">
        <v>1.5</v>
      </c>
      <c r="Z34" t="s">
        <v>559</v>
      </c>
      <c r="AR34" t="str">
        <f t="shared" si="0"/>
        <v>не на схеме</v>
      </c>
      <c r="AS34" cm="1">
        <f t="array" ref="AS34">ROW()-ROW(Линии[#Headers])</f>
        <v>32</v>
      </c>
      <c r="AT34" t="str">
        <f t="shared" si="1"/>
        <v>L</v>
      </c>
      <c r="AU34" t="str">
        <f t="shared" si="2"/>
        <v>00.001Б.3</v>
      </c>
      <c r="AV34" t="str">
        <f t="shared" si="3"/>
        <v>00</v>
      </c>
      <c r="AW34" t="str">
        <f t="shared" si="4"/>
        <v>001Б.3</v>
      </c>
      <c r="AX34" t="str">
        <f t="shared" si="5"/>
        <v>001Б</v>
      </c>
      <c r="AY34" t="str">
        <f>IF(D34="","",IF(ISERROR(SEARCH(".",D34)),IFERROR(VLOOKUP(D34,Потребители_обозначение,2,FALSE)&amp;"",""),IFERROR(IF(VLOOKUP(AT34,Потребители_обозначение,4,FALSE)=1,VLOOKUP(AT34,Потребители_обозначение,2,FALSE)&amp;" "&amp;VLOOKUP(AV34,Этаж_обозначение,2,FALSE)&amp;" Пом. №"&amp;AX34,VLOOKUP(AT34,Потребители_обозначение,2,FALSE)&amp;" Шлейф №"&amp;AV34),IFERROR(VLOOKUP(D34,Потребители_обозначение,2,FALSE),""))))</f>
        <v>Осветительная группа Подвальный этаж Пом. №001Б</v>
      </c>
      <c r="AZ34" t="str">
        <f t="shared" si="6"/>
        <v>Осветительная группа Подвальный этаж Пом. №001Б</v>
      </c>
      <c r="BA34" t="str">
        <f>IF(F34&lt;&gt;"",F34,IF(AND(D34&lt;&gt;"",D34&lt;&gt;A34,ISNUMBER(_xlfn.XMATCH(D34,Щиты[Щит]))),D34,""))</f>
        <v/>
      </c>
      <c r="BB34">
        <f>IFERROR(_xlfn.XMATCH(A34,Щиты[Щит]),0)</f>
        <v>3</v>
      </c>
      <c r="BC34">
        <f>IFERROR(N(_xlfn.XLOOKUP(A34,Щиты[Щит],Щиты[Мест под вводной узел])),15)</f>
        <v>15</v>
      </c>
      <c r="BD34" t="str">
        <f t="shared" si="7"/>
        <v/>
      </c>
      <c r="BE34" t="str">
        <f t="shared" si="8"/>
        <v/>
      </c>
      <c r="BF34">
        <f>IF(D34="","",IF(BA34&lt;&gt;"",IFERROR(_xlfn.XLOOKUP(BA34,Щиты[Щит],Щиты[Руст, кВт]),0),N(G34)))</f>
        <v>0.1</v>
      </c>
      <c r="BG34">
        <f>IF(J34&lt;&gt;"",J34,IF(D34="","",IFERROR(IF(VLOOKUP(AT34,Потребители_обозначение,8,FALSE)=0,"",VLOOKUP(AT34,Потребители_обозначение,8,FALSE)),"")))</f>
        <v>230</v>
      </c>
      <c r="BH34">
        <f>IF(I34&lt;&gt;"",I34,IF(D34="","",IFERROR(IF(VLOOKUP(AT34,Потребители_обозначение,9,FALSE)=0,"",VLOOKUP(AT34,Потребители_обозначение,9,FALSE)),"")))</f>
        <v>1</v>
      </c>
      <c r="BI34" t="str">
        <f>IF(U34&lt;&gt;"",U34,IF(D34="","",IFERROR(IF(VLOOKUP(AT34,Потребители_обозначение,6,FALSE)=0,"",VLOOKUP(AT34,Потребители_обозначение,6,FALSE)),"")))</f>
        <v>мс</v>
      </c>
      <c r="BJ34">
        <f>IF(V34&lt;&gt;"",V34,IF(D34="","",IFERROR(IF(VLOOKUP(AT34,Потребители_обозначение,7,FALSE)=0,"",VLOOKUP(AT34,Потребители_обозначение,7,FALSE)),"")))</f>
        <v>3</v>
      </c>
      <c r="BK34">
        <f>IF(W34&lt;&gt;"",W34,IF(D34="","",IFERROR(IF(VLOOKUP(AT34,Потребители_обозначение,10,FALSE)=0,"",VLOOKUP(AT34,Потребители_обозначение,10,FALSE)),"")))</f>
        <v>1.5</v>
      </c>
      <c r="BL34">
        <f>IFERROR(VLOOKUP(AT34,Потребители_обозначение,5,FALSE),0)</f>
        <v>3</v>
      </c>
      <c r="BM34" cm="1">
        <f t="array" ref="BM34">IF(D34="","",IF(BA34&lt;&gt;"",IFERROR(_xlfn.XLOOKUP(BA34,Щиты[Щит],Щиты[cos φ]),0.95),IF(ISNUMBER(M34),M34,IFERROR(IF(BL34=2,_xlfn.IFS(BH34=3,VLOOKUP(BF34,Справочная_двигатели,8,FALSE),BH34=1,VLOOKUP(BF34,Справочная_двигатели,10,TRUE)),IF(AND(Методика="нормы 2026",CN34="Сил"),0.8,0.95)),0.95))))</f>
        <v>0.95</v>
      </c>
      <c r="BN34" cm="1">
        <f t="array" ref="BN34">IF(D34="","",IF(BA34&lt;&gt;"",IFERROR(_xlfn.XLOOKUP(BA34,Щиты[Щит],Щиты[Iр, А]),""),IFERROR(_xlfn.IFS(BH34=1,BF34/((Uн_лин/SQRT(3))*BM34),BH34=3,BF34/(SQRT(3)*Uн_лин*BM34)),"")))</f>
        <v>0.455802844097073</v>
      </c>
      <c r="BO34">
        <f>IF(D34="","",IF(N(X34)=0,IFERROR(VLOOKUP(BN34,Автомат_номиналы,2,TRUE),""),X34))</f>
        <v>6</v>
      </c>
      <c r="BP34">
        <f t="shared" si="9"/>
        <v>1</v>
      </c>
      <c r="BQ34">
        <f>IF(ISNUMBER(Y34),Y34,К_прокл)</f>
        <v>1</v>
      </c>
      <c r="BR34">
        <f t="shared" si="10"/>
        <v>2</v>
      </c>
      <c r="BS34" cm="1">
        <f t="array" ref="BS34">IF(D34="","",IF(N(BK34)&lt;&gt;0,BK34,IFERROR(_xlfn.LET(_xlpm.need,BO34/(BP34*BQ34),_xlpm.t,CHOOSE(BR34,Iдоп_1ж,Iдоп_2ж,Iдоп_3ж),_xlpm.k,_xlfn.XMATCH(_xlpm.need,_xlpm.t,1),IF(ISNA(_xlpm.k),"Не исп",INDEX(Iдоп_S,_xlpm.k))),"Не исп")))</f>
        <v>1.5</v>
      </c>
      <c r="BT34">
        <f>IFERROR(VLOOKUP(BS34,Кабель_сопротивление,3,FALSE),"")</f>
        <v>2.2499999999999999E-2</v>
      </c>
      <c r="BU34">
        <f>IFERROR(VLOOKUP(BS34,Кабель_сопротивление,2,FALSE),"")</f>
        <v>0.11</v>
      </c>
      <c r="BV34">
        <f t="shared" si="11"/>
        <v>99</v>
      </c>
      <c r="BW34">
        <f>IF(D34="","",IFERROR(IF(VLOOKUP(AT34,Потребители_обозначение,4,FALSE)=1,VLOOKUP(AT34,Потребители_обозначение,3,FALSE)*(H34*2-1)+BV34+VLOOKUP(AV34,Этаж_обозначение,3,FALSE)+VLOOKUP(AV34,Этаж_обозначение,4,FALSE),VLOOKUP(AT34,Потребители_обозначение,3,FALSE)*(H34*2-1)+BV34),BV34))</f>
        <v>126</v>
      </c>
      <c r="BX34">
        <f t="shared" si="12"/>
        <v>0</v>
      </c>
      <c r="BY34">
        <f t="shared" si="13"/>
        <v>118</v>
      </c>
      <c r="BZ34">
        <f t="shared" si="14"/>
        <v>2</v>
      </c>
      <c r="CA34">
        <f t="shared" si="15"/>
        <v>0.31</v>
      </c>
      <c r="CB34">
        <f t="shared" si="16"/>
        <v>1.6407048181524839</v>
      </c>
      <c r="CC34">
        <f>IFERROR(ROUNDUP(CB34/((Uн_лин/SQRT(3))*1000)*100,2),"")</f>
        <v>0.72</v>
      </c>
      <c r="CD34">
        <f>IF(ISNUMBER(CC34),CC34+IFERROR(_xlfn.XLOOKUP(A34,Щиты[Щит],Щиты[ΔU до шин, %]),0),"")</f>
        <v>0.89</v>
      </c>
      <c r="CE34">
        <f>IF(D34="","",IF(IFERROR(VLOOKUP(AT34,УГО_спр,2,FALSE),"")="Светильник",3,4)+IF(Методика="нормы 2026",MIN(0.5,MAX(0,N(BW34)-100)*0.005),0))</f>
        <v>3</v>
      </c>
      <c r="CF34" t="str">
        <f>IFERROR(VLOOKUP(BI34,Кабель_обозначение,2,FALSE),"")</f>
        <v>ВВГнг(А)-LS</v>
      </c>
      <c r="CG34" t="str">
        <f>IFERROR(IF(VLOOKUP(BI34,Кабель_обозначение,3,FALSE)=1,CF34&amp;" ("&amp;BJ34&amp;"х"&amp;BS34&amp;")",CF34),"")</f>
        <v>ВВГнг(А)-LS (3х1,5)</v>
      </c>
      <c r="CH34" t="str">
        <f t="shared" si="17"/>
        <v>ВВГнг(А)-LS (3х1,5)
L=126-0,72%</v>
      </c>
      <c r="CI34">
        <f>IFERROR(2*ρкз_Cu*BW34/BS34,"")</f>
        <v>4.4184000000000001</v>
      </c>
      <c r="CJ34">
        <f t="shared" si="18"/>
        <v>1.47</v>
      </c>
      <c r="CK34" t="str">
        <f>IFERROR(IF(OR(D34="",NOT(ISNUMBER(BS34)),N(BW34)=0),"",_xlfn.XLOOKUP(A34,Щиты[Щит],Щиты[Zпетли на шинах, Ом])+CI34),"")</f>
        <v/>
      </c>
      <c r="CL34" t="str">
        <f>IF(ISNUMBER(CK34),c_min*(Uн_лин*1000/SQRT(3))/CK34,"")</f>
        <v/>
      </c>
      <c r="CM34" t="str">
        <f>IFERROR(IF(OR(D34="",NOT(ISNUMBER(BS34))),"",1.05*(Uн_лин*1000/SQRT(3))/(_xlfn.XLOOKUP(A34,Щиты[Щит],Щиты[Zmax на шинах, Ом])+CJ34)/1000),"")</f>
        <v/>
      </c>
      <c r="CN34" t="str">
        <f>IF(D34="","",IF(BA34&lt;&gt;"","Щит",IF(K34&lt;&gt;"",K34,IF(ISNUMBER(L34),"Сил",IF(IFERROR(_xlfn.XLOOKUP(AT34,Коды_код,Коды_группа)&amp;"","")="","Быт",_xlfn.XLOOKUP(AT34,Коды_код,Коды_группа)&amp;"")))))</f>
        <v>Быт</v>
      </c>
      <c r="CO34">
        <f>IF(CN34="Щит","щит",IF(CN34="","",IF(CN34="Быт",IFERROR(_xlfn.XLOOKUP(A34,Щиты[Щит],Щиты[Кс быт]),1),IF(CN34="Сил",IF(ISNUMBER(L34),L34,IF(Методика="нормы 2026",IFERROR(_xlfn.XLOOKUP(A34,Щиты[Щит],Щиты[Кс силовых (табл. 7.5)]),1),1)),IF(OR(CN34="Пост",CN34="Отоп"),1,IF(CN34="ВНГ",0.7,0))))))</f>
        <v>0.8</v>
      </c>
      <c r="CP34">
        <f t="shared" si="19"/>
        <v>1</v>
      </c>
      <c r="CQ34">
        <f t="shared" si="20"/>
        <v>0.1</v>
      </c>
      <c r="CR34">
        <f t="shared" si="21"/>
        <v>0.1</v>
      </c>
      <c r="CS34">
        <f t="shared" si="22"/>
        <v>0</v>
      </c>
      <c r="CT34">
        <f t="shared" si="23"/>
        <v>0</v>
      </c>
      <c r="CU34">
        <f t="shared" si="24"/>
        <v>0</v>
      </c>
      <c r="CV34">
        <f t="shared" si="25"/>
        <v>0</v>
      </c>
      <c r="CW34">
        <f t="shared" si="26"/>
        <v>0.1</v>
      </c>
      <c r="CX34">
        <f t="shared" si="27"/>
        <v>9.5000000000000001E-2</v>
      </c>
      <c r="CY34">
        <f t="shared" si="28"/>
        <v>3</v>
      </c>
      <c r="CZ34" t="str">
        <f t="shared" si="29"/>
        <v>L3</v>
      </c>
      <c r="DA34" cm="1">
        <f t="array" ref="DA34">IFERROR(IF(BL34=2,_xlfn.IFS(BH34=3,VLOOKUP(BF34,Справочная_двигатели,3,FALSE),BH34=1,VLOOKUP(BF34,Справочная_двигатели,5,TRUE)),0),0)</f>
        <v>0</v>
      </c>
      <c r="DB34">
        <f>IFERROR(IF(BL34=3,VLOOKUP(BF34,Справочная_ЛЭД,2,TRUE),0),0)</f>
        <v>50</v>
      </c>
      <c r="DC34">
        <f t="shared" si="30"/>
        <v>50</v>
      </c>
      <c r="DD34" t="str">
        <f t="shared" si="31"/>
        <v>L3</v>
      </c>
      <c r="DE34" t="str" cm="1">
        <f t="array" ref="DE34">IF(D34="","",IFERROR(INDEX({"I особая","I","II","III"},MATCH(TRIM(AA34&amp;""),{"I особая","I","II","III"},0)),"III"))</f>
        <v>III</v>
      </c>
      <c r="DF34" t="str">
        <f>IF(D34="","",IF(TRIM(AB34&amp;"")&lt;&gt;"",IF(LOWER(TRIM(AB34&amp;""))="да","да","нет"),IF(IFERROR(_xlfn.XLOOKUP(AT34,Коды_код,Коды_пожарная),"")="да","да","нет")))</f>
        <v>нет</v>
      </c>
      <c r="DG34" t="str">
        <f t="shared" si="32"/>
        <v/>
      </c>
      <c r="DH34" t="str">
        <f t="shared" si="33"/>
        <v>основная</v>
      </c>
      <c r="DI34">
        <f t="shared" si="34"/>
        <v>1</v>
      </c>
      <c r="DJ34" t="str" cm="1">
        <f t="array" ref="DJ34">IF(D34="","",_xlfn.LET(_xlpm.t,IFERROR(_xlfn.XLOOKUP(1,(Шины[Шина]=DH34)*(((Шины[Щит]=A34)+(Шины[Щит]=""))&gt;0),Шины[Тип]),"")&amp;"",IF(_xlpm.t&lt;&gt;"",_xlpm.t,IF(ISNUMBER(SEARCH("ИБП",DH34)),"ИБП",IF(ISNUMBER(SEARCH("ДГУ",DH34)),"ДГУ","Ввод "&amp;DI34)))))</f>
        <v>Ввод 1</v>
      </c>
      <c r="DK34" t="str">
        <f t="shared" si="35"/>
        <v>Ввод 1</v>
      </c>
      <c r="DL34" t="str">
        <f>IF(D34="","",IF(OR(DJ34="ИБП",DJ34="ДГУ"),"I особая",IF(DJ34="Одиночная","III",_xlfn.XLOOKUP(A34,Щиты[Щит],Щиты[Категория шины «Ввод»],"III"))))</f>
        <v>II</v>
      </c>
      <c r="DM34">
        <f>IF(D34="",0,IFERROR(MATCH(DE34,{"III","II","I","I особая"},0),1))</f>
        <v>1</v>
      </c>
      <c r="DN34">
        <f t="shared" si="36"/>
        <v>1</v>
      </c>
      <c r="DO34" t="str">
        <f>IF(D34="","",IF(DM34&gt;IFERROR(MATCH(DL34,{"III","II","I","I особая"},0),1),"НЕ ОБЕСПЕЧЕНА","ОК"))</f>
        <v>ОК</v>
      </c>
      <c r="DP34" t="str">
        <f>IF(A34="","",_xlfn.XLOOKUP(A34,Щиты[Щит],Щиты[Путь],""))</f>
        <v>|ГРЩ-ЖД|ЩГП|ЩО-001|</v>
      </c>
      <c r="DQ34" t="str">
        <f>IF(D34="","",IF(Z34&lt;&gt;"",Z34,IF(IFERROR(_xlfn.XLOOKUP(AT34,Коды_код,Коды_вид)&amp;"","")="","Прочее",_xlfn.XLOOKUP(AT34,Коды_код,Коды_вид)&amp;"")))</f>
        <v>Рабочее освещение</v>
      </c>
      <c r="DR34" t="str">
        <f>IF(BD34="","",INT((BD34-1)/Столбцов_на_лист)+1)</f>
        <v/>
      </c>
      <c r="DS34" t="str">
        <f t="shared" si="37"/>
        <v>ВВГнг(А)-LS (3х1,5) L=126-0,72%</v>
      </c>
      <c r="DT34">
        <f t="shared" si="38"/>
        <v>0.1</v>
      </c>
      <c r="DU34">
        <f t="shared" si="39"/>
        <v>0.46</v>
      </c>
      <c r="DV34">
        <f t="shared" si="40"/>
        <v>1</v>
      </c>
      <c r="DW34">
        <f>IF(AT34="",0,_xlfn.LET(_xlpm.v,IFERROR(VLOOKUP(D34,УГО_спр,3,FALSE),IFERROR(VLOOKUP(AT34,УГО_спр,3,FALSE),IFERROR(VLOOKUP(LEFT(AT34,2),УГО_спр,3,FALSE),""))),IF(_xlpm.v="да",30,IF(ISNUMBER(_xlpm.v),_xlpm.v,0))))</f>
        <v>0</v>
      </c>
      <c r="DX34">
        <f t="shared" si="41"/>
        <v>0</v>
      </c>
      <c r="DY34" t="str">
        <f>IF(BD34="","",IF(AD34&lt;&gt;"",COUNTIFS(A$3:A34,A34,AD$3:AD34,"?*"),IF(OR(OR(AS34=1,A34&lt;&gt;A33),AL34="вручную"),"",IF(AS34=1,"",DZ33))))</f>
        <v/>
      </c>
      <c r="DZ34" t="str">
        <f t="shared" si="42"/>
        <v/>
      </c>
      <c r="EA34">
        <f>IF(D34="",0,MAX(IFERROR(--X34,0),IFERROR(--VLOOKUP(D34,УГО_спр,4,FALSE),IFERROR(--VLOOKUP(AT34,УГО_спр,4,FALSE),IFERROR(--VLOOKUP(LEFT(AT34,2),УГО_спр,4,FALSE),0)))))</f>
        <v>10</v>
      </c>
      <c r="EB34">
        <f>IF(D34="","",IFERROR(LOOKUP(INDEX(CHOOSE(BR34,Iдоп_1ж,Iдоп_2ж,Iдоп_3ж),MATCH(BS34,Iдоп_S,0))*BP34*BQ34,{6,10,16,20,25,32,40,50,63,80,100,125,160,200,250,315,400,500,630}),""))</f>
        <v>16</v>
      </c>
      <c r="EC34" t="str">
        <f>IF(AD34="","",SUMIFS(Линии[_Ток схемы],Линии[_гр.],DY34,Линии[Щит],A34,Линии[_в кабель выше],0))</f>
        <v/>
      </c>
      <c r="ED34" t="str">
        <f>IF(AD34="","",IFERROR(VLOOKUP(EC34,Автомат_номиналы,2,TRUE),""))</f>
        <v/>
      </c>
      <c r="EE34" t="str">
        <f>IF(AD34="","",MAX(N(ED34),_xlfn.MAXIFS(Линии[_мин. по типу],Линии[_гр.],DY34,Линии[Щит],A34)))</f>
        <v/>
      </c>
      <c r="EF34" t="str">
        <f>IF(AD34="","",_xlfn.MINIFS(Линии[_макс. автомат по кабелю],Линии[_гр.],DY34,Линии[Щит],A34))</f>
        <v/>
      </c>
      <c r="EG34" t="str">
        <f>IF(AD34="","",MAX(1,_xlfn.MAXIFS(Линии[_фаз],Линии[_гр.],DY34,Линии[Щит],A34)))</f>
        <v/>
      </c>
      <c r="EH34" t="str">
        <f>IF(AD34="","",IF(AND(AD34&lt;&gt;"авто",AD34&lt;&gt;"+"),IF(ISNUMBER(SEARCH("мА",AD34)),IFERROR(--TRIM(RIGHT(SUBSTITUTE(LEFT(AD34,SEARCH("мА",AD34)-1)," ",REPT(" ",9)),6)),30),0),IF(AE34="нет",0,IF(ISNUMBER(AE34),AE34,IF(AE34="да",30,_xlfn.MINIFS(Линии[_дифзащита по коду, мА],Линии[_гр.],DY34,Линии[Щит],A34,Линии[_дифзащита по коду, мА],"&gt;0"))))))</f>
        <v/>
      </c>
      <c r="EI34" t="str">
        <f t="shared" si="43"/>
        <v/>
      </c>
      <c r="EJ34" t="str">
        <f t="shared" si="44"/>
        <v/>
      </c>
      <c r="EK34" t="str">
        <f t="shared" si="45"/>
        <v/>
      </c>
      <c r="EL34" t="str">
        <f t="shared" si="46"/>
        <v/>
      </c>
      <c r="EM34">
        <f t="shared" si="47"/>
        <v>0</v>
      </c>
      <c r="EN34" t="str">
        <f>IF(AD34="","",IF(EM34=1,MAX(EE34,Мин_автомат_БП),EE34))</f>
        <v/>
      </c>
      <c r="EO34" t="str">
        <f t="shared" si="48"/>
        <v/>
      </c>
      <c r="EP34" t="str">
        <f t="shared" si="49"/>
        <v/>
      </c>
      <c r="EQ34" t="str">
        <f t="shared" si="50"/>
        <v/>
      </c>
      <c r="ER34" t="str">
        <f>IF(OR(AI34="",AI34="-"),"",IFERROR(VLOOKUP(AI34,Модули_спр,2,FALSE),"R"))</f>
        <v/>
      </c>
      <c r="ES34" t="str">
        <f>IF(ER34="","",ER34&amp;"."&amp;COUNTIFS(A$3:A34,A34,ER$3:ER34,ER34))</f>
        <v/>
      </c>
      <c r="ET34" t="str">
        <f t="shared" si="51"/>
        <v/>
      </c>
      <c r="EU34" t="str">
        <f t="shared" si="52"/>
        <v/>
      </c>
      <c r="EV34" t="str">
        <f t="shared" si="53"/>
        <v/>
      </c>
      <c r="EW34" t="str">
        <f t="shared" si="54"/>
        <v/>
      </c>
      <c r="EX34">
        <f t="shared" si="55"/>
        <v>1</v>
      </c>
      <c r="EY34" t="str">
        <f>IF(AK34="нет","",IF(AK34&lt;&gt;"",AK34,IF(EX34=1,"XT"&amp;COUNTIFS(A$3:A34,A34,EX$3:EX34,1),"")))</f>
        <v>XT3</v>
      </c>
      <c r="EZ34" t="str">
        <f t="shared" si="56"/>
        <v/>
      </c>
      <c r="FA34" t="str">
        <f t="shared" si="57"/>
        <v/>
      </c>
      <c r="FB34" t="str">
        <f t="shared" si="58"/>
        <v/>
      </c>
      <c r="FC34" t="str">
        <f>IF(OR(EV34="",ET34=""),"",IF(EV34&gt;IFERROR(VLOOKUP(EU34,Модули_спр,3,FALSE),99),"ЛИШНИЙ КАНАЛ",IF(AND(AJ34&lt;&gt;"=",COUNTIFS(Линии[_модуль гр.],ET34,Линии[Канал (итог)],EV34,Линии[Канал],"&lt;&gt;=",Линии[Щит],A34)&gt;1),"ДУБЛЬ КАНАЛА","")))</f>
        <v/>
      </c>
      <c r="FD34" t="str">
        <f t="shared" si="59"/>
        <v/>
      </c>
      <c r="FE34" t="str">
        <f t="shared" si="60"/>
        <v/>
      </c>
      <c r="FF34" t="str">
        <f t="shared" si="61"/>
        <v/>
      </c>
      <c r="FG34" t="str">
        <f t="shared" si="62"/>
        <v/>
      </c>
      <c r="FH34" t="str">
        <f t="shared" si="63"/>
        <v/>
      </c>
      <c r="FI34">
        <f t="shared" si="64"/>
        <v>10</v>
      </c>
      <c r="FJ34" t="str">
        <f t="shared" si="65"/>
        <v/>
      </c>
      <c r="FK34" t="str">
        <f>IF(AND(D34="",EZ34=""),"",_xlfn.TEXTJOIN("; ",TRUE,IF(AND(D34&lt;&gt;"",DD34=""),"нет фазы",""),IF(AND(D34&lt;&gt;"",N(DT34)=0,CN34&lt;&gt;"Нет"),"нет мощности",""),IF(AND(EY34&lt;&gt;"",COUNTIFS(Линии[Щит],A34,Линии[Клемма (итог)],EY34)&gt;1),"дубль клеммы "&amp;EY34,""),IF(AND(FB34&lt;&gt;"",FB34&lt;&gt;"ok"),FB34,""),IF(FC34&lt;&gt;"",FC34,""),IF(AND(ISNUMBER(SEARCH("(5х",DS34)),N(DV34)=1),"5 жил на 1 фазе",""),IF(AND(AT34="R",AD34&lt;&gt;"",OR(N(EH34)=0,N(EH34)&gt;30)),"розетка без дифзащиты до 30 мА",""),IFERROR(IF(AND(ISNUMBER(CD34),CD34&gt;CE34),"потери "&amp;FIXED(CD34,1)&amp;" % &gt; "&amp;CE34&amp;" %",""),""),IFERROR(IF(LEFT(FJ34,4)="мало","Iкз мало — отключение &gt; 0,4 с",""),""),IF(AND(D34&lt;&gt;"",BD34=""),"не на схеме","")))</f>
        <v>не на схеме</v>
      </c>
      <c r="FL34" t="str">
        <f>IF(AD34="","",_xlfn.LET(_xlpm.t,IFERROR(_xlfn.XLOOKUP(EP34,Каталог!$U$4:$U$500,Каталог!$G$4:$G$500),""),_xlpm.k,SEARCH("кА",_xlpm.t),IFERROR(--TRIM(RIGHT(SUBSTITUTE(MID(_xlpm.t,MAX(1,_xlpm.k-4),_xlpm.k-MAX(1,_xlpm.k-4))," ",REPT(" ",9)),5)),"")))</f>
        <v/>
      </c>
      <c r="FM34" t="str">
        <f>IF(OR(FL34="",AD34=""),"",IF(_xlfn.XLOOKUP(A34,Щиты[Щит],Щиты[Iкз max на шинах, кА],"")="","",IF(FL34&lt;_xlfn.XLOOKUP(A34,Щиты[Щит],Щиты[Iкз max на шинах, кА]),"Icu "&amp;FL34&amp;" кА &lt; Iкз max","ok")))</f>
        <v/>
      </c>
      <c r="FN34" t="str">
        <f t="shared" si="66"/>
        <v/>
      </c>
      <c r="FO34" t="str">
        <f t="shared" si="67"/>
        <v/>
      </c>
      <c r="FP34" t="str" cm="1">
        <f t="array" ref="FP34">IF(FO34="","",_xlfn.LET(_xlpm.nd,_xlfn.TEXTSPLIT(FO34,"|"),IF(COLUMNS(_xlpm.nd)&gt;1,A34&amp;"¦"&amp;INDEX(_xlpm.nd,1)&amp;"¦"&amp;INDEX(_xlpm.nd,2),"")))</f>
        <v/>
      </c>
      <c r="FQ34" t="str">
        <f t="shared" si="68"/>
        <v/>
      </c>
      <c r="FR34" t="str" cm="1">
        <f t="array" ref="FR34">IF(FO34="","",_xlfn.LET(_xlpm.nd,_xlfn.TEXTSPLIT(FO34,"|"),IF(COLUMNS(_xlpm.nd)&gt;2,A34&amp;"¦"&amp;INDEX(_xlpm.nd,2)&amp;"¦"&amp;INDEX(_xlpm.nd,3),"")))</f>
        <v/>
      </c>
      <c r="FS34" t="str">
        <f t="shared" si="69"/>
        <v/>
      </c>
      <c r="FT34" t="str" cm="1">
        <f t="array" ref="FT34">IF(FO34="","",_xlfn.LET(_xlpm.nd,_xlfn.TEXTSPLIT(FO34,"|"),IF(COLUMNS(_xlpm.nd)&gt;3,A34&amp;"¦"&amp;INDEX(_xlpm.nd,3)&amp;"¦"&amp;INDEX(_xlpm.nd,4),"")))</f>
        <v/>
      </c>
      <c r="FU34" t="str">
        <f t="shared" si="70"/>
        <v/>
      </c>
      <c r="FV34" t="str" cm="1">
        <f t="array" ref="FV34">IF(FO34="","",_xlfn.LET(_xlpm.nd,_xlfn.TEXTSPLIT(FO34,"|"),IF(COLUMNS(_xlpm.nd)&gt;4,A34&amp;"¦"&amp;INDEX(_xlpm.nd,4)&amp;"¦"&amp;INDEX(_xlpm.nd,5),"")))</f>
        <v/>
      </c>
      <c r="FW34" t="str">
        <f t="shared" si="71"/>
        <v/>
      </c>
      <c r="FX34" t="str" cm="1">
        <f t="array" ref="FX34">IF(FO34="","",_xlfn.LET(_xlpm.nd,_xlfn.TEXTSPLIT(FO34,"|"),IF(COLUMNS(_xlpm.nd)&gt;5,A34&amp;"¦"&amp;INDEX(_xlpm.nd,5)&amp;"¦"&amp;INDEX(_xlpm.nd,6),"")))</f>
        <v/>
      </c>
      <c r="FY34" t="str">
        <f t="shared" si="72"/>
        <v/>
      </c>
      <c r="FZ34" t="str" cm="1">
        <f t="array" ref="FZ34">IF(FO34="","",_xlfn.LET(_xlpm.nd,_xlfn.TEXTSPLIT(FO34,"|"),IF(COLUMNS(_xlpm.nd)&gt;6,A34&amp;"¦"&amp;INDEX(_xlpm.nd,6)&amp;"¦"&amp;INDEX(_xlpm.nd,7),"")))</f>
        <v/>
      </c>
      <c r="GA34" t="str">
        <f t="shared" si="73"/>
        <v/>
      </c>
      <c r="GB34" t="str">
        <f t="shared" si="74"/>
        <v/>
      </c>
      <c r="GC34" t="str">
        <f t="shared" si="75"/>
        <v>XT3</v>
      </c>
      <c r="GD34">
        <f t="shared" si="76"/>
        <v>0</v>
      </c>
      <c r="GE34">
        <f t="shared" si="77"/>
        <v>0</v>
      </c>
      <c r="GF34">
        <f t="shared" si="78"/>
        <v>0</v>
      </c>
      <c r="GG34" t="str">
        <f t="shared" si="79"/>
        <v/>
      </c>
      <c r="GH34" t="str">
        <f t="shared" si="80"/>
        <v/>
      </c>
      <c r="GI34" t="str">
        <f t="shared" si="81"/>
        <v/>
      </c>
      <c r="GJ34" t="str">
        <f t="shared" si="82"/>
        <v/>
      </c>
      <c r="GK34" t="str">
        <f>IF(D34="","",IFERROR(VLOOKUP(D34,УГО_спр,2,FALSE),IFERROR(VLOOKUP(AT34,УГО_спр,2,FALSE),IFERROR(VLOOKUP(LEFT(AT34,2),УГО_спр,2,FALSE),""))))</f>
        <v>Светильник</v>
      </c>
      <c r="GL34" t="str">
        <f>IF(D34="","",IF(OR(GK34="",GK34=0),"BOX",IFERROR(IF(VLOOKUP(GK34,УГО_блоки,3,FALSE)&amp;""&lt;&gt;"",VLOOKUP(GK34,УГО_блоки,3,FALSE),VLOOKUP(GK34,УГО_блоки,2,FALSE)),GK34)))</f>
        <v>LAMP</v>
      </c>
      <c r="GM34">
        <f t="shared" si="83"/>
        <v>1</v>
      </c>
      <c r="GN34" t="str">
        <f>IF(EP34="","",IF(COUNTIF(EP$3:EP34,EP34)=1,MAX(GN$2:GN33)+1,""))</f>
        <v/>
      </c>
      <c r="GO34" t="str">
        <f>IF(AF34="","",IF(COUNTIF(AF$3:AF34,AF34)+COUNTIF(AG$2:AG33,AF34)+COUNTIF(AH$2:AH33,AF34)=1,MAX(GO$2:GQ33)+1,""))</f>
        <v/>
      </c>
      <c r="GP34" t="str">
        <f>IF(AG34="","",IF(COUNTIF(AF$3:AF34,AG34)+COUNTIF(AG$3:AG34,AG34)+COUNTIF(AH$2:AH33,AG34)=1,MAX(GO$2:GQ33,GO34)+1,""))</f>
        <v/>
      </c>
      <c r="GQ34" t="str">
        <f>IF(AH34="","",IF(COUNTIF(AF$3:AF34,AH34)+COUNTIF(AG$3:AG34,AH34)+COUNTIF(AH$3:AH34,AH34)=1,MAX(GO$2:GQ33,GO34,GP34)+1,""))</f>
        <v/>
      </c>
      <c r="GR34" t="str">
        <f t="shared" si="84"/>
        <v>3х1,5</v>
      </c>
      <c r="GS34" t="str">
        <f>IF(GR34="","",IF(COUNTIF(GR$3:GR34,GR34)=1,MAX(GS$2:GS33)+1,""))</f>
        <v/>
      </c>
      <c r="GT34" t="str">
        <f>IF(ES34="","",COUNTIF(ES$3:ES34,"?*"))</f>
        <v/>
      </c>
      <c r="GU34" t="str">
        <f>IF(OR(ES34="",EU34=""),"",IF(COUNTIFS(ES$3:ES34,"?*",EU$3:EU34,EU34)=1,MAX(GU$2:GU33)+1,""))</f>
        <v/>
      </c>
      <c r="GV34">
        <f t="shared" si="85"/>
        <v>1</v>
      </c>
      <c r="GW34">
        <f>IF(D34="","",COUNTIF(D$3:D34,"?*"))</f>
        <v>32</v>
      </c>
      <c r="GX34">
        <f>IF(EX34&lt;&gt;1,0,_xlfn.LET(_xlpm.k,MAX(IFERROR(--VLOOKUP(D34,УГО_спр,5,FALSE),0),IFERROR(--VLOOKUP(AT34,УГО_спр,5,FALSE),0),IFERROR(--VLOOKUP(LEFT(AT34,2),УГО_спр,5,FALSE),0)),IF(_xlpm.k&gt;0,_xlpm.k,IF(IFERROR(--LEFT(SUBSTITUTE(GR34,"x","х"),FIND("х",SUBSTITUTE(GR34,"x","х"))-1),3)&gt;3,Каталог!$S$9,1))))</f>
        <v>1</v>
      </c>
      <c r="GY34">
        <f t="shared" si="86"/>
        <v>0</v>
      </c>
    </row>
    <row r="35" spans="1:207" x14ac:dyDescent="0.3">
      <c r="A35" t="s">
        <v>1146</v>
      </c>
      <c r="B35" t="s">
        <v>531</v>
      </c>
      <c r="C35" t="str">
        <f>IF(BD35="","",IF(BE35="вводной узел","узел ","")&amp;"л."&amp;(INT((BD35-1)/Столбцов_на_лист)+1)&amp;" / "&amp;(MOD(BD35-1,Столбцов_на_лист)+1))</f>
        <v/>
      </c>
      <c r="D35" t="s">
        <v>1308</v>
      </c>
      <c r="E35" s="133" t="str">
        <f t="shared" si="87"/>
        <v>Осветительная группа Подвальный этаж Пом. №001Т</v>
      </c>
      <c r="G35">
        <v>0.1</v>
      </c>
      <c r="H35">
        <v>1</v>
      </c>
      <c r="I35">
        <v>1</v>
      </c>
      <c r="J35">
        <v>230</v>
      </c>
      <c r="K35" t="s">
        <v>566</v>
      </c>
      <c r="P35">
        <v>25</v>
      </c>
      <c r="Q35">
        <v>3</v>
      </c>
      <c r="R35">
        <v>0</v>
      </c>
      <c r="S35">
        <v>27</v>
      </c>
      <c r="U35" t="s">
        <v>11</v>
      </c>
      <c r="V35">
        <v>3</v>
      </c>
      <c r="W35">
        <v>1.5</v>
      </c>
      <c r="Z35" t="s">
        <v>559</v>
      </c>
      <c r="AR35" t="str">
        <f t="shared" si="0"/>
        <v>не на схеме</v>
      </c>
      <c r="AS35" cm="1">
        <f t="array" ref="AS35">ROW()-ROW(Линии[#Headers])</f>
        <v>33</v>
      </c>
      <c r="AT35" t="str">
        <f t="shared" si="1"/>
        <v>L</v>
      </c>
      <c r="AU35" t="str">
        <f t="shared" si="2"/>
        <v>00.001Т.1</v>
      </c>
      <c r="AV35" t="str">
        <f t="shared" si="3"/>
        <v>00</v>
      </c>
      <c r="AW35" t="str">
        <f t="shared" si="4"/>
        <v>001Т.1</v>
      </c>
      <c r="AX35" t="str">
        <f t="shared" si="5"/>
        <v>001Т</v>
      </c>
      <c r="AY35" t="str">
        <f>IF(D35="","",IF(ISERROR(SEARCH(".",D35)),IFERROR(VLOOKUP(D35,Потребители_обозначение,2,FALSE)&amp;"",""),IFERROR(IF(VLOOKUP(AT35,Потребители_обозначение,4,FALSE)=1,VLOOKUP(AT35,Потребители_обозначение,2,FALSE)&amp;" "&amp;VLOOKUP(AV35,Этаж_обозначение,2,FALSE)&amp;" Пом. №"&amp;AX35,VLOOKUP(AT35,Потребители_обозначение,2,FALSE)&amp;" Шлейф №"&amp;AV35),IFERROR(VLOOKUP(D35,Потребители_обозначение,2,FALSE),""))))</f>
        <v>Осветительная группа Подвальный этаж Пом. №001Т</v>
      </c>
      <c r="AZ35" t="str">
        <f t="shared" si="6"/>
        <v>Осветительная группа Подвальный этаж Пом. №001Т</v>
      </c>
      <c r="BA35" t="str">
        <f>IF(F35&lt;&gt;"",F35,IF(AND(D35&lt;&gt;"",D35&lt;&gt;A35,ISNUMBER(_xlfn.XMATCH(D35,Щиты[Щит]))),D35,""))</f>
        <v/>
      </c>
      <c r="BB35">
        <f>IFERROR(_xlfn.XMATCH(A35,Щиты[Щит]),0)</f>
        <v>3</v>
      </c>
      <c r="BC35">
        <f>IFERROR(N(_xlfn.XLOOKUP(A35,Щиты[Щит],Щиты[Мест под вводной узел])),15)</f>
        <v>15</v>
      </c>
      <c r="BD35" t="str">
        <f t="shared" si="7"/>
        <v/>
      </c>
      <c r="BE35" t="str">
        <f t="shared" si="8"/>
        <v/>
      </c>
      <c r="BF35">
        <f>IF(D35="","",IF(BA35&lt;&gt;"",IFERROR(_xlfn.XLOOKUP(BA35,Щиты[Щит],Щиты[Руст, кВт]),0),N(G35)))</f>
        <v>0.1</v>
      </c>
      <c r="BG35">
        <f>IF(J35&lt;&gt;"",J35,IF(D35="","",IFERROR(IF(VLOOKUP(AT35,Потребители_обозначение,8,FALSE)=0,"",VLOOKUP(AT35,Потребители_обозначение,8,FALSE)),"")))</f>
        <v>230</v>
      </c>
      <c r="BH35">
        <f>IF(I35&lt;&gt;"",I35,IF(D35="","",IFERROR(IF(VLOOKUP(AT35,Потребители_обозначение,9,FALSE)=0,"",VLOOKUP(AT35,Потребители_обозначение,9,FALSE)),"")))</f>
        <v>1</v>
      </c>
      <c r="BI35" t="str">
        <f>IF(U35&lt;&gt;"",U35,IF(D35="","",IFERROR(IF(VLOOKUP(AT35,Потребители_обозначение,6,FALSE)=0,"",VLOOKUP(AT35,Потребители_обозначение,6,FALSE)),"")))</f>
        <v>мс</v>
      </c>
      <c r="BJ35">
        <f>IF(V35&lt;&gt;"",V35,IF(D35="","",IFERROR(IF(VLOOKUP(AT35,Потребители_обозначение,7,FALSE)=0,"",VLOOKUP(AT35,Потребители_обозначение,7,FALSE)),"")))</f>
        <v>3</v>
      </c>
      <c r="BK35">
        <f>IF(W35&lt;&gt;"",W35,IF(D35="","",IFERROR(IF(VLOOKUP(AT35,Потребители_обозначение,10,FALSE)=0,"",VLOOKUP(AT35,Потребители_обозначение,10,FALSE)),"")))</f>
        <v>1.5</v>
      </c>
      <c r="BL35">
        <f>IFERROR(VLOOKUP(AT35,Потребители_обозначение,5,FALSE),0)</f>
        <v>3</v>
      </c>
      <c r="BM35" cm="1">
        <f t="array" ref="BM35">IF(D35="","",IF(BA35&lt;&gt;"",IFERROR(_xlfn.XLOOKUP(BA35,Щиты[Щит],Щиты[cos φ]),0.95),IF(ISNUMBER(M35),M35,IFERROR(IF(BL35=2,_xlfn.IFS(BH35=3,VLOOKUP(BF35,Справочная_двигатели,8,FALSE),BH35=1,VLOOKUP(BF35,Справочная_двигатели,10,TRUE)),IF(AND(Методика="нормы 2026",CN35="Сил"),0.8,0.95)),0.95))))</f>
        <v>0.95</v>
      </c>
      <c r="BN35" cm="1">
        <f t="array" ref="BN35">IF(D35="","",IF(BA35&lt;&gt;"",IFERROR(_xlfn.XLOOKUP(BA35,Щиты[Щит],Щиты[Iр, А]),""),IFERROR(_xlfn.IFS(BH35=1,BF35/((Uн_лин/SQRT(3))*BM35),BH35=3,BF35/(SQRT(3)*Uн_лин*BM35)),"")))</f>
        <v>0.455802844097073</v>
      </c>
      <c r="BO35">
        <f>IF(D35="","",IF(N(X35)=0,IFERROR(VLOOKUP(BN35,Автомат_номиналы,2,TRUE),""),X35))</f>
        <v>6</v>
      </c>
      <c r="BP35">
        <f t="shared" si="9"/>
        <v>1</v>
      </c>
      <c r="BQ35">
        <f>IF(ISNUMBER(Y35),Y35,К_прокл)</f>
        <v>1</v>
      </c>
      <c r="BR35">
        <f t="shared" si="10"/>
        <v>2</v>
      </c>
      <c r="BS35" cm="1">
        <f t="array" ref="BS35">IF(D35="","",IF(N(BK35)&lt;&gt;0,BK35,IFERROR(_xlfn.LET(_xlpm.need,BO35/(BP35*BQ35),_xlpm.t,CHOOSE(BR35,Iдоп_1ж,Iдоп_2ж,Iдоп_3ж),_xlpm.k,_xlfn.XMATCH(_xlpm.need,_xlpm.t,1),IF(ISNA(_xlpm.k),"Не исп",INDEX(Iдоп_S,_xlpm.k))),"Не исп")))</f>
        <v>1.5</v>
      </c>
      <c r="BT35">
        <f>IFERROR(VLOOKUP(BS35,Кабель_сопротивление,3,FALSE),"")</f>
        <v>2.2499999999999999E-2</v>
      </c>
      <c r="BU35">
        <f>IFERROR(VLOOKUP(BS35,Кабель_сопротивление,2,FALSE),"")</f>
        <v>0.11</v>
      </c>
      <c r="BV35">
        <f t="shared" si="11"/>
        <v>25</v>
      </c>
      <c r="BW35">
        <f>IF(D35="","",IFERROR(IF(VLOOKUP(AT35,Потребители_обозначение,4,FALSE)=1,VLOOKUP(AT35,Потребители_обозначение,3,FALSE)*(H35*2-1)+BV35+VLOOKUP(AV35,Этаж_обозначение,3,FALSE)+VLOOKUP(AV35,Этаж_обозначение,4,FALSE),VLOOKUP(AT35,Потребители_обозначение,3,FALSE)*(H35*2-1)+BV35),BV35))</f>
        <v>26</v>
      </c>
      <c r="BX35">
        <f t="shared" si="12"/>
        <v>0</v>
      </c>
      <c r="BY35">
        <f t="shared" si="13"/>
        <v>27</v>
      </c>
      <c r="BZ35">
        <f t="shared" si="14"/>
        <v>2</v>
      </c>
      <c r="CA35">
        <f t="shared" si="15"/>
        <v>0.31</v>
      </c>
      <c r="CB35">
        <f t="shared" si="16"/>
        <v>0.338558137079084</v>
      </c>
      <c r="CC35">
        <f>IFERROR(ROUNDUP(CB35/((Uн_лин/SQRT(3))*1000)*100,2),"")</f>
        <v>0.15000000000000002</v>
      </c>
      <c r="CD35">
        <f>IF(ISNUMBER(CC35),CC35+IFERROR(_xlfn.XLOOKUP(A35,Щиты[Щит],Щиты[ΔU до шин, %]),0),"")</f>
        <v>0.32000000000000006</v>
      </c>
      <c r="CE35">
        <f>IF(D35="","",IF(IFERROR(VLOOKUP(AT35,УГО_спр,2,FALSE),"")="Светильник",3,4)+IF(Методика="нормы 2026",MIN(0.5,MAX(0,N(BW35)-100)*0.005),0))</f>
        <v>3</v>
      </c>
      <c r="CF35" t="str">
        <f>IFERROR(VLOOKUP(BI35,Кабель_обозначение,2,FALSE),"")</f>
        <v>ВВГнг(А)-LS</v>
      </c>
      <c r="CG35" t="str">
        <f>IFERROR(IF(VLOOKUP(BI35,Кабель_обозначение,3,FALSE)=1,CF35&amp;" ("&amp;BJ35&amp;"х"&amp;BS35&amp;")",CF35),"")</f>
        <v>ВВГнг(А)-LS (3х1,5)</v>
      </c>
      <c r="CH35" t="str">
        <f t="shared" si="17"/>
        <v>ВВГнг(А)-LS (3х1,5)
L=26-0,15%</v>
      </c>
      <c r="CI35">
        <f>IFERROR(2*ρкз_Cu*BW35/BS35,"")</f>
        <v>0.91173333333333328</v>
      </c>
      <c r="CJ35">
        <f t="shared" si="18"/>
        <v>0.3033333333333334</v>
      </c>
      <c r="CK35" t="str">
        <f>IFERROR(IF(OR(D35="",NOT(ISNUMBER(BS35)),N(BW35)=0),"",_xlfn.XLOOKUP(A35,Щиты[Щит],Щиты[Zпетли на шинах, Ом])+CI35),"")</f>
        <v/>
      </c>
      <c r="CL35" t="str">
        <f>IF(ISNUMBER(CK35),c_min*(Uн_лин*1000/SQRT(3))/CK35,"")</f>
        <v/>
      </c>
      <c r="CM35" t="str">
        <f>IFERROR(IF(OR(D35="",NOT(ISNUMBER(BS35))),"",1.05*(Uн_лин*1000/SQRT(3))/(_xlfn.XLOOKUP(A35,Щиты[Щит],Щиты[Zmax на шинах, Ом])+CJ35)/1000),"")</f>
        <v/>
      </c>
      <c r="CN35" t="str">
        <f>IF(D35="","",IF(BA35&lt;&gt;"","Щит",IF(K35&lt;&gt;"",K35,IF(ISNUMBER(L35),"Сил",IF(IFERROR(_xlfn.XLOOKUP(AT35,Коды_код,Коды_группа)&amp;"","")="","Быт",_xlfn.XLOOKUP(AT35,Коды_код,Коды_группа)&amp;"")))))</f>
        <v>Быт</v>
      </c>
      <c r="CO35">
        <f>IF(CN35="Щит","щит",IF(CN35="","",IF(CN35="Быт",IFERROR(_xlfn.XLOOKUP(A35,Щиты[Щит],Щиты[Кс быт]),1),IF(CN35="Сил",IF(ISNUMBER(L35),L35,IF(Методика="нормы 2026",IFERROR(_xlfn.XLOOKUP(A35,Щиты[Щит],Щиты[Кс силовых (табл. 7.5)]),1),1)),IF(OR(CN35="Пост",CN35="Отоп"),1,IF(CN35="ВНГ",0.7,0))))))</f>
        <v>0.8</v>
      </c>
      <c r="CP35">
        <f t="shared" si="19"/>
        <v>1</v>
      </c>
      <c r="CQ35">
        <f t="shared" si="20"/>
        <v>0.1</v>
      </c>
      <c r="CR35">
        <f t="shared" si="21"/>
        <v>0.1</v>
      </c>
      <c r="CS35">
        <f t="shared" si="22"/>
        <v>0</v>
      </c>
      <c r="CT35">
        <f t="shared" si="23"/>
        <v>0</v>
      </c>
      <c r="CU35">
        <f t="shared" si="24"/>
        <v>0</v>
      </c>
      <c r="CV35">
        <f t="shared" si="25"/>
        <v>0</v>
      </c>
      <c r="CW35">
        <f t="shared" si="26"/>
        <v>0.1</v>
      </c>
      <c r="CX35">
        <f t="shared" si="27"/>
        <v>9.5000000000000001E-2</v>
      </c>
      <c r="CY35">
        <f t="shared" si="28"/>
        <v>1</v>
      </c>
      <c r="CZ35" t="str">
        <f t="shared" si="29"/>
        <v>L1</v>
      </c>
      <c r="DA35" cm="1">
        <f t="array" ref="DA35">IFERROR(IF(BL35=2,_xlfn.IFS(BH35=3,VLOOKUP(BF35,Справочная_двигатели,3,FALSE),BH35=1,VLOOKUP(BF35,Справочная_двигатели,5,TRUE)),0),0)</f>
        <v>0</v>
      </c>
      <c r="DB35">
        <f>IFERROR(IF(BL35=3,VLOOKUP(BF35,Справочная_ЛЭД,2,TRUE),0),0)</f>
        <v>50</v>
      </c>
      <c r="DC35">
        <f t="shared" si="30"/>
        <v>50</v>
      </c>
      <c r="DD35" t="str">
        <f t="shared" si="31"/>
        <v>L1</v>
      </c>
      <c r="DE35" t="str" cm="1">
        <f t="array" ref="DE35">IF(D35="","",IFERROR(INDEX({"I особая","I","II","III"},MATCH(TRIM(AA35&amp;""),{"I особая","I","II","III"},0)),"III"))</f>
        <v>III</v>
      </c>
      <c r="DF35" t="str">
        <f>IF(D35="","",IF(TRIM(AB35&amp;"")&lt;&gt;"",IF(LOWER(TRIM(AB35&amp;""))="да","да","нет"),IF(IFERROR(_xlfn.XLOOKUP(AT35,Коды_код,Коды_пожарная),"")="да","да","нет")))</f>
        <v>нет</v>
      </c>
      <c r="DG35" t="str">
        <f t="shared" si="32"/>
        <v/>
      </c>
      <c r="DH35" t="str">
        <f t="shared" si="33"/>
        <v>основная</v>
      </c>
      <c r="DI35">
        <f t="shared" si="34"/>
        <v>1</v>
      </c>
      <c r="DJ35" t="str" cm="1">
        <f t="array" ref="DJ35">IF(D35="","",_xlfn.LET(_xlpm.t,IFERROR(_xlfn.XLOOKUP(1,(Шины[Шина]=DH35)*(((Шины[Щит]=A35)+(Шины[Щит]=""))&gt;0),Шины[Тип]),"")&amp;"",IF(_xlpm.t&lt;&gt;"",_xlpm.t,IF(ISNUMBER(SEARCH("ИБП",DH35)),"ИБП",IF(ISNUMBER(SEARCH("ДГУ",DH35)),"ДГУ","Ввод "&amp;DI35)))))</f>
        <v>Ввод 1</v>
      </c>
      <c r="DK35" t="str">
        <f t="shared" si="35"/>
        <v>Ввод 1</v>
      </c>
      <c r="DL35" t="str">
        <f>IF(D35="","",IF(OR(DJ35="ИБП",DJ35="ДГУ"),"I особая",IF(DJ35="Одиночная","III",_xlfn.XLOOKUP(A35,Щиты[Щит],Щиты[Категория шины «Ввод»],"III"))))</f>
        <v>II</v>
      </c>
      <c r="DM35">
        <f>IF(D35="",0,IFERROR(MATCH(DE35,{"III","II","I","I особая"},0),1))</f>
        <v>1</v>
      </c>
      <c r="DN35">
        <f t="shared" si="36"/>
        <v>1</v>
      </c>
      <c r="DO35" t="str">
        <f>IF(D35="","",IF(DM35&gt;IFERROR(MATCH(DL35,{"III","II","I","I особая"},0),1),"НЕ ОБЕСПЕЧЕНА","ОК"))</f>
        <v>ОК</v>
      </c>
      <c r="DP35" t="str">
        <f>IF(A35="","",_xlfn.XLOOKUP(A35,Щиты[Щит],Щиты[Путь],""))</f>
        <v>|ГРЩ-ЖД|ЩГП|ЩО-001|</v>
      </c>
      <c r="DQ35" t="str">
        <f>IF(D35="","",IF(Z35&lt;&gt;"",Z35,IF(IFERROR(_xlfn.XLOOKUP(AT35,Коды_код,Коды_вид)&amp;"","")="","Прочее",_xlfn.XLOOKUP(AT35,Коды_код,Коды_вид)&amp;"")))</f>
        <v>Рабочее освещение</v>
      </c>
      <c r="DR35" t="str">
        <f>IF(BD35="","",INT((BD35-1)/Столбцов_на_лист)+1)</f>
        <v/>
      </c>
      <c r="DS35" t="str">
        <f t="shared" si="37"/>
        <v>ВВГнг(А)-LS (3х1,5) L=26-0,15%</v>
      </c>
      <c r="DT35">
        <f t="shared" si="38"/>
        <v>0.1</v>
      </c>
      <c r="DU35">
        <f t="shared" si="39"/>
        <v>0.46</v>
      </c>
      <c r="DV35">
        <f t="shared" si="40"/>
        <v>1</v>
      </c>
      <c r="DW35">
        <f>IF(AT35="",0,_xlfn.LET(_xlpm.v,IFERROR(VLOOKUP(D35,УГО_спр,3,FALSE),IFERROR(VLOOKUP(AT35,УГО_спр,3,FALSE),IFERROR(VLOOKUP(LEFT(AT35,2),УГО_спр,3,FALSE),""))),IF(_xlpm.v="да",30,IF(ISNUMBER(_xlpm.v),_xlpm.v,0))))</f>
        <v>0</v>
      </c>
      <c r="DX35">
        <f t="shared" si="41"/>
        <v>0</v>
      </c>
      <c r="DY35" t="str">
        <f>IF(BD35="","",IF(AD35&lt;&gt;"",COUNTIFS(A$3:A35,A35,AD$3:AD35,"?*"),IF(OR(OR(AS35=1,A35&lt;&gt;A34),AL35="вручную"),"",IF(AS35=1,"",DZ34))))</f>
        <v/>
      </c>
      <c r="DZ35" t="str">
        <f t="shared" si="42"/>
        <v/>
      </c>
      <c r="EA35">
        <f>IF(D35="",0,MAX(IFERROR(--X35,0),IFERROR(--VLOOKUP(D35,УГО_спр,4,FALSE),IFERROR(--VLOOKUP(AT35,УГО_спр,4,FALSE),IFERROR(--VLOOKUP(LEFT(AT35,2),УГО_спр,4,FALSE),0)))))</f>
        <v>10</v>
      </c>
      <c r="EB35">
        <f>IF(D35="","",IFERROR(LOOKUP(INDEX(CHOOSE(BR35,Iдоп_1ж,Iдоп_2ж,Iдоп_3ж),MATCH(BS35,Iдоп_S,0))*BP35*BQ35,{6,10,16,20,25,32,40,50,63,80,100,125,160,200,250,315,400,500,630}),""))</f>
        <v>16</v>
      </c>
      <c r="EC35" t="str">
        <f>IF(AD35="","",SUMIFS(Линии[_Ток схемы],Линии[_гр.],DY35,Линии[Щит],A35,Линии[_в кабель выше],0))</f>
        <v/>
      </c>
      <c r="ED35" t="str">
        <f>IF(AD35="","",IFERROR(VLOOKUP(EC35,Автомат_номиналы,2,TRUE),""))</f>
        <v/>
      </c>
      <c r="EE35" t="str">
        <f>IF(AD35="","",MAX(N(ED35),_xlfn.MAXIFS(Линии[_мин. по типу],Линии[_гр.],DY35,Линии[Щит],A35)))</f>
        <v/>
      </c>
      <c r="EF35" t="str">
        <f>IF(AD35="","",_xlfn.MINIFS(Линии[_макс. автомат по кабелю],Линии[_гр.],DY35,Линии[Щит],A35))</f>
        <v/>
      </c>
      <c r="EG35" t="str">
        <f>IF(AD35="","",MAX(1,_xlfn.MAXIFS(Линии[_фаз],Линии[_гр.],DY35,Линии[Щит],A35)))</f>
        <v/>
      </c>
      <c r="EH35" t="str">
        <f>IF(AD35="","",IF(AND(AD35&lt;&gt;"авто",AD35&lt;&gt;"+"),IF(ISNUMBER(SEARCH("мА",AD35)),IFERROR(--TRIM(RIGHT(SUBSTITUTE(LEFT(AD35,SEARCH("мА",AD35)-1)," ",REPT(" ",9)),6)),30),0),IF(AE35="нет",0,IF(ISNUMBER(AE35),AE35,IF(AE35="да",30,_xlfn.MINIFS(Линии[_дифзащита по коду, мА],Линии[_гр.],DY35,Линии[Щит],A35,Линии[_дифзащита по коду, мА],"&gt;0"))))))</f>
        <v/>
      </c>
      <c r="EI35" t="str">
        <f t="shared" si="43"/>
        <v/>
      </c>
      <c r="EJ35" t="str">
        <f t="shared" si="44"/>
        <v/>
      </c>
      <c r="EK35" t="str">
        <f t="shared" si="45"/>
        <v/>
      </c>
      <c r="EL35" t="str">
        <f t="shared" si="46"/>
        <v/>
      </c>
      <c r="EM35">
        <f t="shared" si="47"/>
        <v>0</v>
      </c>
      <c r="EN35" t="str">
        <f>IF(AD35="","",IF(EM35=1,MAX(EE35,Мин_автомат_БП),EE35))</f>
        <v/>
      </c>
      <c r="EO35" t="str">
        <f t="shared" si="48"/>
        <v/>
      </c>
      <c r="EP35" t="str">
        <f t="shared" si="49"/>
        <v/>
      </c>
      <c r="EQ35" t="str">
        <f t="shared" si="50"/>
        <v/>
      </c>
      <c r="ER35" t="str">
        <f>IF(OR(AI35="",AI35="-"),"",IFERROR(VLOOKUP(AI35,Модули_спр,2,FALSE),"R"))</f>
        <v/>
      </c>
      <c r="ES35" t="str">
        <f>IF(ER35="","",ER35&amp;"."&amp;COUNTIFS(A$3:A35,A35,ER$3:ER35,ER35))</f>
        <v/>
      </c>
      <c r="ET35" t="str">
        <f t="shared" si="51"/>
        <v/>
      </c>
      <c r="EU35" t="str">
        <f t="shared" si="52"/>
        <v/>
      </c>
      <c r="EV35" t="str">
        <f t="shared" si="53"/>
        <v/>
      </c>
      <c r="EW35" t="str">
        <f t="shared" si="54"/>
        <v/>
      </c>
      <c r="EX35">
        <f t="shared" si="55"/>
        <v>1</v>
      </c>
      <c r="EY35" t="str">
        <f>IF(AK35="нет","",IF(AK35&lt;&gt;"",AK35,IF(EX35=1,"XT"&amp;COUNTIFS(A$3:A35,A35,EX$3:EX35,1),"")))</f>
        <v>XT4</v>
      </c>
      <c r="EZ35" t="str">
        <f t="shared" si="56"/>
        <v/>
      </c>
      <c r="FA35" t="str">
        <f t="shared" si="57"/>
        <v/>
      </c>
      <c r="FB35" t="str">
        <f t="shared" si="58"/>
        <v/>
      </c>
      <c r="FC35" t="str">
        <f>IF(OR(EV35="",ET35=""),"",IF(EV35&gt;IFERROR(VLOOKUP(EU35,Модули_спр,3,FALSE),99),"ЛИШНИЙ КАНАЛ",IF(AND(AJ35&lt;&gt;"=",COUNTIFS(Линии[_модуль гр.],ET35,Линии[Канал (итог)],EV35,Линии[Канал],"&lt;&gt;=",Линии[Щит],A35)&gt;1),"ДУБЛЬ КАНАЛА","")))</f>
        <v/>
      </c>
      <c r="FD35" t="str">
        <f t="shared" si="59"/>
        <v/>
      </c>
      <c r="FE35" t="str">
        <f t="shared" si="60"/>
        <v/>
      </c>
      <c r="FF35" t="str">
        <f t="shared" si="61"/>
        <v/>
      </c>
      <c r="FG35" t="str">
        <f t="shared" si="62"/>
        <v/>
      </c>
      <c r="FH35" t="str">
        <f t="shared" si="63"/>
        <v/>
      </c>
      <c r="FI35">
        <f t="shared" si="64"/>
        <v>10</v>
      </c>
      <c r="FJ35" t="str">
        <f t="shared" si="65"/>
        <v/>
      </c>
      <c r="FK35" t="str">
        <f>IF(AND(D35="",EZ35=""),"",_xlfn.TEXTJOIN("; ",TRUE,IF(AND(D35&lt;&gt;"",DD35=""),"нет фазы",""),IF(AND(D35&lt;&gt;"",N(DT35)=0,CN35&lt;&gt;"Нет"),"нет мощности",""),IF(AND(EY35&lt;&gt;"",COUNTIFS(Линии[Щит],A35,Линии[Клемма (итог)],EY35)&gt;1),"дубль клеммы "&amp;EY35,""),IF(AND(FB35&lt;&gt;"",FB35&lt;&gt;"ok"),FB35,""),IF(FC35&lt;&gt;"",FC35,""),IF(AND(ISNUMBER(SEARCH("(5х",DS35)),N(DV35)=1),"5 жил на 1 фазе",""),IF(AND(AT35="R",AD35&lt;&gt;"",OR(N(EH35)=0,N(EH35)&gt;30)),"розетка без дифзащиты до 30 мА",""),IFERROR(IF(AND(ISNUMBER(CD35),CD35&gt;CE35),"потери "&amp;FIXED(CD35,1)&amp;" % &gt; "&amp;CE35&amp;" %",""),""),IFERROR(IF(LEFT(FJ35,4)="мало","Iкз мало — отключение &gt; 0,4 с",""),""),IF(AND(D35&lt;&gt;"",BD35=""),"не на схеме","")))</f>
        <v>не на схеме</v>
      </c>
      <c r="FL35" t="str">
        <f>IF(AD35="","",_xlfn.LET(_xlpm.t,IFERROR(_xlfn.XLOOKUP(EP35,Каталог!$U$4:$U$500,Каталог!$G$4:$G$500),""),_xlpm.k,SEARCH("кА",_xlpm.t),IFERROR(--TRIM(RIGHT(SUBSTITUTE(MID(_xlpm.t,MAX(1,_xlpm.k-4),_xlpm.k-MAX(1,_xlpm.k-4))," ",REPT(" ",9)),5)),"")))</f>
        <v/>
      </c>
      <c r="FM35" t="str">
        <f>IF(OR(FL35="",AD35=""),"",IF(_xlfn.XLOOKUP(A35,Щиты[Щит],Щиты[Iкз max на шинах, кА],"")="","",IF(FL35&lt;_xlfn.XLOOKUP(A35,Щиты[Щит],Щиты[Iкз max на шинах, кА]),"Icu "&amp;FL35&amp;" кА &lt; Iкз max","ok")))</f>
        <v/>
      </c>
      <c r="FN35" t="str">
        <f t="shared" si="66"/>
        <v/>
      </c>
      <c r="FO35" t="str">
        <f t="shared" si="67"/>
        <v/>
      </c>
      <c r="FP35" t="str" cm="1">
        <f t="array" ref="FP35">IF(FO35="","",_xlfn.LET(_xlpm.nd,_xlfn.TEXTSPLIT(FO35,"|"),IF(COLUMNS(_xlpm.nd)&gt;1,A35&amp;"¦"&amp;INDEX(_xlpm.nd,1)&amp;"¦"&amp;INDEX(_xlpm.nd,2),"")))</f>
        <v/>
      </c>
      <c r="FQ35" t="str">
        <f t="shared" si="68"/>
        <v/>
      </c>
      <c r="FR35" t="str" cm="1">
        <f t="array" ref="FR35">IF(FO35="","",_xlfn.LET(_xlpm.nd,_xlfn.TEXTSPLIT(FO35,"|"),IF(COLUMNS(_xlpm.nd)&gt;2,A35&amp;"¦"&amp;INDEX(_xlpm.nd,2)&amp;"¦"&amp;INDEX(_xlpm.nd,3),"")))</f>
        <v/>
      </c>
      <c r="FS35" t="str">
        <f t="shared" si="69"/>
        <v/>
      </c>
      <c r="FT35" t="str" cm="1">
        <f t="array" ref="FT35">IF(FO35="","",_xlfn.LET(_xlpm.nd,_xlfn.TEXTSPLIT(FO35,"|"),IF(COLUMNS(_xlpm.nd)&gt;3,A35&amp;"¦"&amp;INDEX(_xlpm.nd,3)&amp;"¦"&amp;INDEX(_xlpm.nd,4),"")))</f>
        <v/>
      </c>
      <c r="FU35" t="str">
        <f t="shared" si="70"/>
        <v/>
      </c>
      <c r="FV35" t="str" cm="1">
        <f t="array" ref="FV35">IF(FO35="","",_xlfn.LET(_xlpm.nd,_xlfn.TEXTSPLIT(FO35,"|"),IF(COLUMNS(_xlpm.nd)&gt;4,A35&amp;"¦"&amp;INDEX(_xlpm.nd,4)&amp;"¦"&amp;INDEX(_xlpm.nd,5),"")))</f>
        <v/>
      </c>
      <c r="FW35" t="str">
        <f t="shared" si="71"/>
        <v/>
      </c>
      <c r="FX35" t="str" cm="1">
        <f t="array" ref="FX35">IF(FO35="","",_xlfn.LET(_xlpm.nd,_xlfn.TEXTSPLIT(FO35,"|"),IF(COLUMNS(_xlpm.nd)&gt;5,A35&amp;"¦"&amp;INDEX(_xlpm.nd,5)&amp;"¦"&amp;INDEX(_xlpm.nd,6),"")))</f>
        <v/>
      </c>
      <c r="FY35" t="str">
        <f t="shared" si="72"/>
        <v/>
      </c>
      <c r="FZ35" t="str" cm="1">
        <f t="array" ref="FZ35">IF(FO35="","",_xlfn.LET(_xlpm.nd,_xlfn.TEXTSPLIT(FO35,"|"),IF(COLUMNS(_xlpm.nd)&gt;6,A35&amp;"¦"&amp;INDEX(_xlpm.nd,6)&amp;"¦"&amp;INDEX(_xlpm.nd,7),"")))</f>
        <v/>
      </c>
      <c r="GA35" t="str">
        <f t="shared" si="73"/>
        <v/>
      </c>
      <c r="GB35" t="str">
        <f t="shared" si="74"/>
        <v/>
      </c>
      <c r="GC35" t="str">
        <f t="shared" si="75"/>
        <v>XT4</v>
      </c>
      <c r="GD35">
        <f t="shared" si="76"/>
        <v>0</v>
      </c>
      <c r="GE35">
        <f t="shared" si="77"/>
        <v>0</v>
      </c>
      <c r="GF35">
        <f t="shared" si="78"/>
        <v>0</v>
      </c>
      <c r="GG35" t="str">
        <f t="shared" si="79"/>
        <v/>
      </c>
      <c r="GH35" t="str">
        <f t="shared" si="80"/>
        <v/>
      </c>
      <c r="GI35" t="str">
        <f t="shared" si="81"/>
        <v/>
      </c>
      <c r="GJ35" t="str">
        <f t="shared" si="82"/>
        <v/>
      </c>
      <c r="GK35" t="str">
        <f>IF(D35="","",IFERROR(VLOOKUP(D35,УГО_спр,2,FALSE),IFERROR(VLOOKUP(AT35,УГО_спр,2,FALSE),IFERROR(VLOOKUP(LEFT(AT35,2),УГО_спр,2,FALSE),""))))</f>
        <v>Светильник</v>
      </c>
      <c r="GL35" t="str">
        <f>IF(D35="","",IF(OR(GK35="",GK35=0),"BOX",IFERROR(IF(VLOOKUP(GK35,УГО_блоки,3,FALSE)&amp;""&lt;&gt;"",VLOOKUP(GK35,УГО_блоки,3,FALSE),VLOOKUP(GK35,УГО_блоки,2,FALSE)),GK35)))</f>
        <v>LAMP</v>
      </c>
      <c r="GM35">
        <f t="shared" si="83"/>
        <v>1</v>
      </c>
      <c r="GN35" t="str">
        <f>IF(EP35="","",IF(COUNTIF(EP$3:EP35,EP35)=1,MAX(GN$2:GN34)+1,""))</f>
        <v/>
      </c>
      <c r="GO35" t="str">
        <f>IF(AF35="","",IF(COUNTIF(AF$3:AF35,AF35)+COUNTIF(AG$2:AG34,AF35)+COUNTIF(AH$2:AH34,AF35)=1,MAX(GO$2:GQ34)+1,""))</f>
        <v/>
      </c>
      <c r="GP35" t="str">
        <f>IF(AG35="","",IF(COUNTIF(AF$3:AF35,AG35)+COUNTIF(AG$3:AG35,AG35)+COUNTIF(AH$2:AH34,AG35)=1,MAX(GO$2:GQ34,GO35)+1,""))</f>
        <v/>
      </c>
      <c r="GQ35" t="str">
        <f>IF(AH35="","",IF(COUNTIF(AF$3:AF35,AH35)+COUNTIF(AG$3:AG35,AH35)+COUNTIF(AH$3:AH35,AH35)=1,MAX(GO$2:GQ34,GO35,GP35)+1,""))</f>
        <v/>
      </c>
      <c r="GR35" t="str">
        <f t="shared" si="84"/>
        <v>3х1,5</v>
      </c>
      <c r="GS35" t="str">
        <f>IF(GR35="","",IF(COUNTIF(GR$3:GR35,GR35)=1,MAX(GS$2:GS34)+1,""))</f>
        <v/>
      </c>
      <c r="GT35" t="str">
        <f>IF(ES35="","",COUNTIF(ES$3:ES35,"?*"))</f>
        <v/>
      </c>
      <c r="GU35" t="str">
        <f>IF(OR(ES35="",EU35=""),"",IF(COUNTIFS(ES$3:ES35,"?*",EU$3:EU35,EU35)=1,MAX(GU$2:GU34)+1,""))</f>
        <v/>
      </c>
      <c r="GV35">
        <f t="shared" si="85"/>
        <v>1</v>
      </c>
      <c r="GW35">
        <f>IF(D35="","",COUNTIF(D$3:D35,"?*"))</f>
        <v>33</v>
      </c>
      <c r="GX35">
        <f>IF(EX35&lt;&gt;1,0,_xlfn.LET(_xlpm.k,MAX(IFERROR(--VLOOKUP(D35,УГО_спр,5,FALSE),0),IFERROR(--VLOOKUP(AT35,УГО_спр,5,FALSE),0),IFERROR(--VLOOKUP(LEFT(AT35,2),УГО_спр,5,FALSE),0)),IF(_xlpm.k&gt;0,_xlpm.k,IF(IFERROR(--LEFT(SUBSTITUTE(GR35,"x","х"),FIND("х",SUBSTITUTE(GR35,"x","х"))-1),3)&gt;3,Каталог!$S$9,1))))</f>
        <v>1</v>
      </c>
      <c r="GY35">
        <f t="shared" si="86"/>
        <v>0</v>
      </c>
    </row>
    <row r="36" spans="1:207" x14ac:dyDescent="0.3">
      <c r="A36" t="s">
        <v>1146</v>
      </c>
      <c r="B36" t="s">
        <v>531</v>
      </c>
      <c r="C36" t="str">
        <f>IF(BD36="","",IF(BE36="вводной узел","узел ","")&amp;"л."&amp;(INT((BD36-1)/Столбцов_на_лист)+1)&amp;" / "&amp;(MOD(BD36-1,Столбцов_на_лист)+1))</f>
        <v/>
      </c>
      <c r="D36" t="s">
        <v>1309</v>
      </c>
      <c r="E36" s="133" t="str">
        <f t="shared" si="87"/>
        <v>Осветительная группа Подвальный этаж Пом. №002Б</v>
      </c>
      <c r="G36">
        <v>0.1</v>
      </c>
      <c r="H36">
        <v>2</v>
      </c>
      <c r="I36">
        <v>1</v>
      </c>
      <c r="J36">
        <v>230</v>
      </c>
      <c r="K36" t="s">
        <v>566</v>
      </c>
      <c r="P36">
        <v>38</v>
      </c>
      <c r="Q36">
        <v>3</v>
      </c>
      <c r="R36">
        <v>0</v>
      </c>
      <c r="S36">
        <v>39</v>
      </c>
      <c r="U36" t="s">
        <v>11</v>
      </c>
      <c r="V36">
        <v>3</v>
      </c>
      <c r="W36">
        <v>1.5</v>
      </c>
      <c r="Z36" t="s">
        <v>559</v>
      </c>
      <c r="AR36" t="str">
        <f t="shared" si="0"/>
        <v>не на схеме</v>
      </c>
      <c r="AS36" cm="1">
        <f t="array" ref="AS36">ROW()-ROW(Линии[#Headers])</f>
        <v>34</v>
      </c>
      <c r="AT36" t="str">
        <f t="shared" si="1"/>
        <v>L</v>
      </c>
      <c r="AU36" t="str">
        <f t="shared" si="2"/>
        <v>00.002Б.1</v>
      </c>
      <c r="AV36" t="str">
        <f t="shared" si="3"/>
        <v>00</v>
      </c>
      <c r="AW36" t="str">
        <f t="shared" si="4"/>
        <v>002Б.1</v>
      </c>
      <c r="AX36" t="str">
        <f t="shared" si="5"/>
        <v>002Б</v>
      </c>
      <c r="AY36" t="str">
        <f>IF(D36="","",IF(ISERROR(SEARCH(".",D36)),IFERROR(VLOOKUP(D36,Потребители_обозначение,2,FALSE)&amp;"",""),IFERROR(IF(VLOOKUP(AT36,Потребители_обозначение,4,FALSE)=1,VLOOKUP(AT36,Потребители_обозначение,2,FALSE)&amp;" "&amp;VLOOKUP(AV36,Этаж_обозначение,2,FALSE)&amp;" Пом. №"&amp;AX36,VLOOKUP(AT36,Потребители_обозначение,2,FALSE)&amp;" Шлейф №"&amp;AV36),IFERROR(VLOOKUP(D36,Потребители_обозначение,2,FALSE),""))))</f>
        <v>Осветительная группа Подвальный этаж Пом. №002Б</v>
      </c>
      <c r="AZ36" t="str">
        <f t="shared" si="6"/>
        <v>Осветительная группа Подвальный этаж Пом. №002Б</v>
      </c>
      <c r="BA36" t="str">
        <f>IF(F36&lt;&gt;"",F36,IF(AND(D36&lt;&gt;"",D36&lt;&gt;A36,ISNUMBER(_xlfn.XMATCH(D36,Щиты[Щит]))),D36,""))</f>
        <v/>
      </c>
      <c r="BB36">
        <f>IFERROR(_xlfn.XMATCH(A36,Щиты[Щит]),0)</f>
        <v>3</v>
      </c>
      <c r="BC36">
        <f>IFERROR(N(_xlfn.XLOOKUP(A36,Щиты[Щит],Щиты[Мест под вводной узел])),15)</f>
        <v>15</v>
      </c>
      <c r="BD36" t="str">
        <f t="shared" si="7"/>
        <v/>
      </c>
      <c r="BE36" t="str">
        <f t="shared" si="8"/>
        <v/>
      </c>
      <c r="BF36">
        <f>IF(D36="","",IF(BA36&lt;&gt;"",IFERROR(_xlfn.XLOOKUP(BA36,Щиты[Щит],Щиты[Руст, кВт]),0),N(G36)))</f>
        <v>0.1</v>
      </c>
      <c r="BG36">
        <f>IF(J36&lt;&gt;"",J36,IF(D36="","",IFERROR(IF(VLOOKUP(AT36,Потребители_обозначение,8,FALSE)=0,"",VLOOKUP(AT36,Потребители_обозначение,8,FALSE)),"")))</f>
        <v>230</v>
      </c>
      <c r="BH36">
        <f>IF(I36&lt;&gt;"",I36,IF(D36="","",IFERROR(IF(VLOOKUP(AT36,Потребители_обозначение,9,FALSE)=0,"",VLOOKUP(AT36,Потребители_обозначение,9,FALSE)),"")))</f>
        <v>1</v>
      </c>
      <c r="BI36" t="str">
        <f>IF(U36&lt;&gt;"",U36,IF(D36="","",IFERROR(IF(VLOOKUP(AT36,Потребители_обозначение,6,FALSE)=0,"",VLOOKUP(AT36,Потребители_обозначение,6,FALSE)),"")))</f>
        <v>мс</v>
      </c>
      <c r="BJ36">
        <f>IF(V36&lt;&gt;"",V36,IF(D36="","",IFERROR(IF(VLOOKUP(AT36,Потребители_обозначение,7,FALSE)=0,"",VLOOKUP(AT36,Потребители_обозначение,7,FALSE)),"")))</f>
        <v>3</v>
      </c>
      <c r="BK36">
        <f>IF(W36&lt;&gt;"",W36,IF(D36="","",IFERROR(IF(VLOOKUP(AT36,Потребители_обозначение,10,FALSE)=0,"",VLOOKUP(AT36,Потребители_обозначение,10,FALSE)),"")))</f>
        <v>1.5</v>
      </c>
      <c r="BL36">
        <f>IFERROR(VLOOKUP(AT36,Потребители_обозначение,5,FALSE),0)</f>
        <v>3</v>
      </c>
      <c r="BM36" cm="1">
        <f t="array" ref="BM36">IF(D36="","",IF(BA36&lt;&gt;"",IFERROR(_xlfn.XLOOKUP(BA36,Щиты[Щит],Щиты[cos φ]),0.95),IF(ISNUMBER(M36),M36,IFERROR(IF(BL36=2,_xlfn.IFS(BH36=3,VLOOKUP(BF36,Справочная_двигатели,8,FALSE),BH36=1,VLOOKUP(BF36,Справочная_двигатели,10,TRUE)),IF(AND(Методика="нормы 2026",CN36="Сил"),0.8,0.95)),0.95))))</f>
        <v>0.95</v>
      </c>
      <c r="BN36" cm="1">
        <f t="array" ref="BN36">IF(D36="","",IF(BA36&lt;&gt;"",IFERROR(_xlfn.XLOOKUP(BA36,Щиты[Щит],Щиты[Iр, А]),""),IFERROR(_xlfn.IFS(BH36=1,BF36/((Uн_лин/SQRT(3))*BM36),BH36=3,BF36/(SQRT(3)*Uн_лин*BM36)),"")))</f>
        <v>0.455802844097073</v>
      </c>
      <c r="BO36">
        <f>IF(D36="","",IF(N(X36)=0,IFERROR(VLOOKUP(BN36,Автомат_номиналы,2,TRUE),""),X36))</f>
        <v>6</v>
      </c>
      <c r="BP36">
        <f t="shared" si="9"/>
        <v>1</v>
      </c>
      <c r="BQ36">
        <f>IF(ISNUMBER(Y36),Y36,К_прокл)</f>
        <v>1</v>
      </c>
      <c r="BR36">
        <f t="shared" si="10"/>
        <v>2</v>
      </c>
      <c r="BS36" cm="1">
        <f t="array" ref="BS36">IF(D36="","",IF(N(BK36)&lt;&gt;0,BK36,IFERROR(_xlfn.LET(_xlpm.need,BO36/(BP36*BQ36),_xlpm.t,CHOOSE(BR36,Iдоп_1ж,Iдоп_2ж,Iдоп_3ж),_xlpm.k,_xlfn.XMATCH(_xlpm.need,_xlpm.t,1),IF(ISNA(_xlpm.k),"Не исп",INDEX(Iдоп_S,_xlpm.k))),"Не исп")))</f>
        <v>1.5</v>
      </c>
      <c r="BT36">
        <f>IFERROR(VLOOKUP(BS36,Кабель_сопротивление,3,FALSE),"")</f>
        <v>2.2499999999999999E-2</v>
      </c>
      <c r="BU36">
        <f>IFERROR(VLOOKUP(BS36,Кабель_сопротивление,2,FALSE),"")</f>
        <v>0.11</v>
      </c>
      <c r="BV36">
        <f t="shared" si="11"/>
        <v>38</v>
      </c>
      <c r="BW36">
        <f>IF(D36="","",IFERROR(IF(VLOOKUP(AT36,Потребители_обозначение,4,FALSE)=1,VLOOKUP(AT36,Потребители_обозначение,3,FALSE)*(H36*2-1)+BV36+VLOOKUP(AV36,Этаж_обозначение,3,FALSE)+VLOOKUP(AV36,Этаж_обозначение,4,FALSE),VLOOKUP(AT36,Потребители_обозначение,3,FALSE)*(H36*2-1)+BV36),BV36))</f>
        <v>41</v>
      </c>
      <c r="BX36">
        <f t="shared" si="12"/>
        <v>0</v>
      </c>
      <c r="BY36">
        <f t="shared" si="13"/>
        <v>39</v>
      </c>
      <c r="BZ36">
        <f t="shared" si="14"/>
        <v>2</v>
      </c>
      <c r="CA36">
        <f t="shared" si="15"/>
        <v>0.31</v>
      </c>
      <c r="CB36">
        <f t="shared" si="16"/>
        <v>0.53388013924009392</v>
      </c>
      <c r="CC36">
        <f>IFERROR(ROUNDUP(CB36/((Uн_лин/SQRT(3))*1000)*100,2),"")</f>
        <v>0.24000000000000002</v>
      </c>
      <c r="CD36">
        <f>IF(ISNUMBER(CC36),CC36+IFERROR(_xlfn.XLOOKUP(A36,Щиты[Щит],Щиты[ΔU до шин, %]),0),"")</f>
        <v>0.41000000000000003</v>
      </c>
      <c r="CE36">
        <f>IF(D36="","",IF(IFERROR(VLOOKUP(AT36,УГО_спр,2,FALSE),"")="Светильник",3,4)+IF(Методика="нормы 2026",MIN(0.5,MAX(0,N(BW36)-100)*0.005),0))</f>
        <v>3</v>
      </c>
      <c r="CF36" t="str">
        <f>IFERROR(VLOOKUP(BI36,Кабель_обозначение,2,FALSE),"")</f>
        <v>ВВГнг(А)-LS</v>
      </c>
      <c r="CG36" t="str">
        <f>IFERROR(IF(VLOOKUP(BI36,Кабель_обозначение,3,FALSE)=1,CF36&amp;" ("&amp;BJ36&amp;"х"&amp;BS36&amp;")",CF36),"")</f>
        <v>ВВГнг(А)-LS (3х1,5)</v>
      </c>
      <c r="CH36" t="str">
        <f t="shared" si="17"/>
        <v>ВВГнг(А)-LS (3х1,5)
L=41-0,24%</v>
      </c>
      <c r="CI36">
        <f>IFERROR(2*ρкз_Cu*BW36/BS36,"")</f>
        <v>1.4377333333333333</v>
      </c>
      <c r="CJ36">
        <f t="shared" si="18"/>
        <v>0.47833333333333333</v>
      </c>
      <c r="CK36" t="str">
        <f>IFERROR(IF(OR(D36="",NOT(ISNUMBER(BS36)),N(BW36)=0),"",_xlfn.XLOOKUP(A36,Щиты[Щит],Щиты[Zпетли на шинах, Ом])+CI36),"")</f>
        <v/>
      </c>
      <c r="CL36" t="str">
        <f>IF(ISNUMBER(CK36),c_min*(Uн_лин*1000/SQRT(3))/CK36,"")</f>
        <v/>
      </c>
      <c r="CM36" t="str">
        <f>IFERROR(IF(OR(D36="",NOT(ISNUMBER(BS36))),"",1.05*(Uн_лин*1000/SQRT(3))/(_xlfn.XLOOKUP(A36,Щиты[Щит],Щиты[Zmax на шинах, Ом])+CJ36)/1000),"")</f>
        <v/>
      </c>
      <c r="CN36" t="str">
        <f>IF(D36="","",IF(BA36&lt;&gt;"","Щит",IF(K36&lt;&gt;"",K36,IF(ISNUMBER(L36),"Сил",IF(IFERROR(_xlfn.XLOOKUP(AT36,Коды_код,Коды_группа)&amp;"","")="","Быт",_xlfn.XLOOKUP(AT36,Коды_код,Коды_группа)&amp;"")))))</f>
        <v>Быт</v>
      </c>
      <c r="CO36">
        <f>IF(CN36="Щит","щит",IF(CN36="","",IF(CN36="Быт",IFERROR(_xlfn.XLOOKUP(A36,Щиты[Щит],Щиты[Кс быт]),1),IF(CN36="Сил",IF(ISNUMBER(L36),L36,IF(Методика="нормы 2026",IFERROR(_xlfn.XLOOKUP(A36,Щиты[Щит],Щиты[Кс силовых (табл. 7.5)]),1),1)),IF(OR(CN36="Пост",CN36="Отоп"),1,IF(CN36="ВНГ",0.7,0))))))</f>
        <v>0.8</v>
      </c>
      <c r="CP36">
        <f t="shared" si="19"/>
        <v>1</v>
      </c>
      <c r="CQ36">
        <f t="shared" si="20"/>
        <v>0.1</v>
      </c>
      <c r="CR36">
        <f t="shared" si="21"/>
        <v>0.1</v>
      </c>
      <c r="CS36">
        <f t="shared" si="22"/>
        <v>0</v>
      </c>
      <c r="CT36">
        <f t="shared" si="23"/>
        <v>0</v>
      </c>
      <c r="CU36">
        <f t="shared" si="24"/>
        <v>0</v>
      </c>
      <c r="CV36">
        <f t="shared" si="25"/>
        <v>0</v>
      </c>
      <c r="CW36">
        <f t="shared" si="26"/>
        <v>0.1</v>
      </c>
      <c r="CX36">
        <f t="shared" si="27"/>
        <v>9.5000000000000001E-2</v>
      </c>
      <c r="CY36">
        <f t="shared" si="28"/>
        <v>2</v>
      </c>
      <c r="CZ36" t="str">
        <f t="shared" si="29"/>
        <v>L2</v>
      </c>
      <c r="DA36" cm="1">
        <f t="array" ref="DA36">IFERROR(IF(BL36=2,_xlfn.IFS(BH36=3,VLOOKUP(BF36,Справочная_двигатели,3,FALSE),BH36=1,VLOOKUP(BF36,Справочная_двигатели,5,TRUE)),0),0)</f>
        <v>0</v>
      </c>
      <c r="DB36">
        <f>IFERROR(IF(BL36=3,VLOOKUP(BF36,Справочная_ЛЭД,2,TRUE),0),0)</f>
        <v>50</v>
      </c>
      <c r="DC36">
        <f t="shared" si="30"/>
        <v>50</v>
      </c>
      <c r="DD36" t="str">
        <f t="shared" si="31"/>
        <v>L2</v>
      </c>
      <c r="DE36" t="str" cm="1">
        <f t="array" ref="DE36">IF(D36="","",IFERROR(INDEX({"I особая","I","II","III"},MATCH(TRIM(AA36&amp;""),{"I особая","I","II","III"},0)),"III"))</f>
        <v>III</v>
      </c>
      <c r="DF36" t="str">
        <f>IF(D36="","",IF(TRIM(AB36&amp;"")&lt;&gt;"",IF(LOWER(TRIM(AB36&amp;""))="да","да","нет"),IF(IFERROR(_xlfn.XLOOKUP(AT36,Коды_код,Коды_пожарная),"")="да","да","нет")))</f>
        <v>нет</v>
      </c>
      <c r="DG36" t="str">
        <f t="shared" si="32"/>
        <v/>
      </c>
      <c r="DH36" t="str">
        <f t="shared" si="33"/>
        <v>основная</v>
      </c>
      <c r="DI36">
        <f t="shared" si="34"/>
        <v>1</v>
      </c>
      <c r="DJ36" t="str" cm="1">
        <f t="array" ref="DJ36">IF(D36="","",_xlfn.LET(_xlpm.t,IFERROR(_xlfn.XLOOKUP(1,(Шины[Шина]=DH36)*(((Шины[Щит]=A36)+(Шины[Щит]=""))&gt;0),Шины[Тип]),"")&amp;"",IF(_xlpm.t&lt;&gt;"",_xlpm.t,IF(ISNUMBER(SEARCH("ИБП",DH36)),"ИБП",IF(ISNUMBER(SEARCH("ДГУ",DH36)),"ДГУ","Ввод "&amp;DI36)))))</f>
        <v>Ввод 1</v>
      </c>
      <c r="DK36" t="str">
        <f t="shared" si="35"/>
        <v>Ввод 1</v>
      </c>
      <c r="DL36" t="str">
        <f>IF(D36="","",IF(OR(DJ36="ИБП",DJ36="ДГУ"),"I особая",IF(DJ36="Одиночная","III",_xlfn.XLOOKUP(A36,Щиты[Щит],Щиты[Категория шины «Ввод»],"III"))))</f>
        <v>II</v>
      </c>
      <c r="DM36">
        <f>IF(D36="",0,IFERROR(MATCH(DE36,{"III","II","I","I особая"},0),1))</f>
        <v>1</v>
      </c>
      <c r="DN36">
        <f t="shared" si="36"/>
        <v>1</v>
      </c>
      <c r="DO36" t="str">
        <f>IF(D36="","",IF(DM36&gt;IFERROR(MATCH(DL36,{"III","II","I","I особая"},0),1),"НЕ ОБЕСПЕЧЕНА","ОК"))</f>
        <v>ОК</v>
      </c>
      <c r="DP36" t="str">
        <f>IF(A36="","",_xlfn.XLOOKUP(A36,Щиты[Щит],Щиты[Путь],""))</f>
        <v>|ГРЩ-ЖД|ЩГП|ЩО-001|</v>
      </c>
      <c r="DQ36" t="str">
        <f>IF(D36="","",IF(Z36&lt;&gt;"",Z36,IF(IFERROR(_xlfn.XLOOKUP(AT36,Коды_код,Коды_вид)&amp;"","")="","Прочее",_xlfn.XLOOKUP(AT36,Коды_код,Коды_вид)&amp;"")))</f>
        <v>Рабочее освещение</v>
      </c>
      <c r="DR36" t="str">
        <f>IF(BD36="","",INT((BD36-1)/Столбцов_на_лист)+1)</f>
        <v/>
      </c>
      <c r="DS36" t="str">
        <f t="shared" si="37"/>
        <v>ВВГнг(А)-LS (3х1,5) L=41-0,24%</v>
      </c>
      <c r="DT36">
        <f t="shared" si="38"/>
        <v>0.1</v>
      </c>
      <c r="DU36">
        <f t="shared" si="39"/>
        <v>0.46</v>
      </c>
      <c r="DV36">
        <f t="shared" si="40"/>
        <v>1</v>
      </c>
      <c r="DW36">
        <f>IF(AT36="",0,_xlfn.LET(_xlpm.v,IFERROR(VLOOKUP(D36,УГО_спр,3,FALSE),IFERROR(VLOOKUP(AT36,УГО_спр,3,FALSE),IFERROR(VLOOKUP(LEFT(AT36,2),УГО_спр,3,FALSE),""))),IF(_xlpm.v="да",30,IF(ISNUMBER(_xlpm.v),_xlpm.v,0))))</f>
        <v>0</v>
      </c>
      <c r="DX36">
        <f t="shared" si="41"/>
        <v>0</v>
      </c>
      <c r="DY36" t="str">
        <f>IF(BD36="","",IF(AD36&lt;&gt;"",COUNTIFS(A$3:A36,A36,AD$3:AD36,"?*"),IF(OR(OR(AS36=1,A36&lt;&gt;A35),AL36="вручную"),"",IF(AS36=1,"",DZ35))))</f>
        <v/>
      </c>
      <c r="DZ36" t="str">
        <f t="shared" si="42"/>
        <v/>
      </c>
      <c r="EA36">
        <f>IF(D36="",0,MAX(IFERROR(--X36,0),IFERROR(--VLOOKUP(D36,УГО_спр,4,FALSE),IFERROR(--VLOOKUP(AT36,УГО_спр,4,FALSE),IFERROR(--VLOOKUP(LEFT(AT36,2),УГО_спр,4,FALSE),0)))))</f>
        <v>10</v>
      </c>
      <c r="EB36">
        <f>IF(D36="","",IFERROR(LOOKUP(INDEX(CHOOSE(BR36,Iдоп_1ж,Iдоп_2ж,Iдоп_3ж),MATCH(BS36,Iдоп_S,0))*BP36*BQ36,{6,10,16,20,25,32,40,50,63,80,100,125,160,200,250,315,400,500,630}),""))</f>
        <v>16</v>
      </c>
      <c r="EC36" t="str">
        <f>IF(AD36="","",SUMIFS(Линии[_Ток схемы],Линии[_гр.],DY36,Линии[Щит],A36,Линии[_в кабель выше],0))</f>
        <v/>
      </c>
      <c r="ED36" t="str">
        <f>IF(AD36="","",IFERROR(VLOOKUP(EC36,Автомат_номиналы,2,TRUE),""))</f>
        <v/>
      </c>
      <c r="EE36" t="str">
        <f>IF(AD36="","",MAX(N(ED36),_xlfn.MAXIFS(Линии[_мин. по типу],Линии[_гр.],DY36,Линии[Щит],A36)))</f>
        <v/>
      </c>
      <c r="EF36" t="str">
        <f>IF(AD36="","",_xlfn.MINIFS(Линии[_макс. автомат по кабелю],Линии[_гр.],DY36,Линии[Щит],A36))</f>
        <v/>
      </c>
      <c r="EG36" t="str">
        <f>IF(AD36="","",MAX(1,_xlfn.MAXIFS(Линии[_фаз],Линии[_гр.],DY36,Линии[Щит],A36)))</f>
        <v/>
      </c>
      <c r="EH36" t="str">
        <f>IF(AD36="","",IF(AND(AD36&lt;&gt;"авто",AD36&lt;&gt;"+"),IF(ISNUMBER(SEARCH("мА",AD36)),IFERROR(--TRIM(RIGHT(SUBSTITUTE(LEFT(AD36,SEARCH("мА",AD36)-1)," ",REPT(" ",9)),6)),30),0),IF(AE36="нет",0,IF(ISNUMBER(AE36),AE36,IF(AE36="да",30,_xlfn.MINIFS(Линии[_дифзащита по коду, мА],Линии[_гр.],DY36,Линии[Щит],A36,Линии[_дифзащита по коду, мА],"&gt;0"))))))</f>
        <v/>
      </c>
      <c r="EI36" t="str">
        <f t="shared" si="43"/>
        <v/>
      </c>
      <c r="EJ36" t="str">
        <f t="shared" si="44"/>
        <v/>
      </c>
      <c r="EK36" t="str">
        <f t="shared" si="45"/>
        <v/>
      </c>
      <c r="EL36" t="str">
        <f t="shared" si="46"/>
        <v/>
      </c>
      <c r="EM36">
        <f t="shared" si="47"/>
        <v>0</v>
      </c>
      <c r="EN36" t="str">
        <f>IF(AD36="","",IF(EM36=1,MAX(EE36,Мин_автомат_БП),EE36))</f>
        <v/>
      </c>
      <c r="EO36" t="str">
        <f t="shared" si="48"/>
        <v/>
      </c>
      <c r="EP36" t="str">
        <f t="shared" si="49"/>
        <v/>
      </c>
      <c r="EQ36" t="str">
        <f t="shared" si="50"/>
        <v/>
      </c>
      <c r="ER36" t="str">
        <f>IF(OR(AI36="",AI36="-"),"",IFERROR(VLOOKUP(AI36,Модули_спр,2,FALSE),"R"))</f>
        <v/>
      </c>
      <c r="ES36" t="str">
        <f>IF(ER36="","",ER36&amp;"."&amp;COUNTIFS(A$3:A36,A36,ER$3:ER36,ER36))</f>
        <v/>
      </c>
      <c r="ET36" t="str">
        <f t="shared" si="51"/>
        <v/>
      </c>
      <c r="EU36" t="str">
        <f t="shared" si="52"/>
        <v/>
      </c>
      <c r="EV36" t="str">
        <f t="shared" si="53"/>
        <v/>
      </c>
      <c r="EW36" t="str">
        <f t="shared" si="54"/>
        <v/>
      </c>
      <c r="EX36">
        <f t="shared" si="55"/>
        <v>1</v>
      </c>
      <c r="EY36" t="str">
        <f>IF(AK36="нет","",IF(AK36&lt;&gt;"",AK36,IF(EX36=1,"XT"&amp;COUNTIFS(A$3:A36,A36,EX$3:EX36,1),"")))</f>
        <v>XT5</v>
      </c>
      <c r="EZ36" t="str">
        <f t="shared" si="56"/>
        <v/>
      </c>
      <c r="FA36" t="str">
        <f t="shared" si="57"/>
        <v/>
      </c>
      <c r="FB36" t="str">
        <f t="shared" si="58"/>
        <v/>
      </c>
      <c r="FC36" t="str">
        <f>IF(OR(EV36="",ET36=""),"",IF(EV36&gt;IFERROR(VLOOKUP(EU36,Модули_спр,3,FALSE),99),"ЛИШНИЙ КАНАЛ",IF(AND(AJ36&lt;&gt;"=",COUNTIFS(Линии[_модуль гр.],ET36,Линии[Канал (итог)],EV36,Линии[Канал],"&lt;&gt;=",Линии[Щит],A36)&gt;1),"ДУБЛЬ КАНАЛА","")))</f>
        <v/>
      </c>
      <c r="FD36" t="str">
        <f t="shared" si="59"/>
        <v/>
      </c>
      <c r="FE36" t="str">
        <f t="shared" si="60"/>
        <v/>
      </c>
      <c r="FF36" t="str">
        <f t="shared" si="61"/>
        <v/>
      </c>
      <c r="FG36" t="str">
        <f t="shared" si="62"/>
        <v/>
      </c>
      <c r="FH36" t="str">
        <f t="shared" si="63"/>
        <v/>
      </c>
      <c r="FI36">
        <f t="shared" si="64"/>
        <v>10</v>
      </c>
      <c r="FJ36" t="str">
        <f t="shared" si="65"/>
        <v/>
      </c>
      <c r="FK36" t="str">
        <f>IF(AND(D36="",EZ36=""),"",_xlfn.TEXTJOIN("; ",TRUE,IF(AND(D36&lt;&gt;"",DD36=""),"нет фазы",""),IF(AND(D36&lt;&gt;"",N(DT36)=0,CN36&lt;&gt;"Нет"),"нет мощности",""),IF(AND(EY36&lt;&gt;"",COUNTIFS(Линии[Щит],A36,Линии[Клемма (итог)],EY36)&gt;1),"дубль клеммы "&amp;EY36,""),IF(AND(FB36&lt;&gt;"",FB36&lt;&gt;"ok"),FB36,""),IF(FC36&lt;&gt;"",FC36,""),IF(AND(ISNUMBER(SEARCH("(5х",DS36)),N(DV36)=1),"5 жил на 1 фазе",""),IF(AND(AT36="R",AD36&lt;&gt;"",OR(N(EH36)=0,N(EH36)&gt;30)),"розетка без дифзащиты до 30 мА",""),IFERROR(IF(AND(ISNUMBER(CD36),CD36&gt;CE36),"потери "&amp;FIXED(CD36,1)&amp;" % &gt; "&amp;CE36&amp;" %",""),""),IFERROR(IF(LEFT(FJ36,4)="мало","Iкз мало — отключение &gt; 0,4 с",""),""),IF(AND(D36&lt;&gt;"",BD36=""),"не на схеме","")))</f>
        <v>не на схеме</v>
      </c>
      <c r="FL36" t="str">
        <f>IF(AD36="","",_xlfn.LET(_xlpm.t,IFERROR(_xlfn.XLOOKUP(EP36,Каталог!$U$4:$U$500,Каталог!$G$4:$G$500),""),_xlpm.k,SEARCH("кА",_xlpm.t),IFERROR(--TRIM(RIGHT(SUBSTITUTE(MID(_xlpm.t,MAX(1,_xlpm.k-4),_xlpm.k-MAX(1,_xlpm.k-4))," ",REPT(" ",9)),5)),"")))</f>
        <v/>
      </c>
      <c r="FM36" t="str">
        <f>IF(OR(FL36="",AD36=""),"",IF(_xlfn.XLOOKUP(A36,Щиты[Щит],Щиты[Iкз max на шинах, кА],"")="","",IF(FL36&lt;_xlfn.XLOOKUP(A36,Щиты[Щит],Щиты[Iкз max на шинах, кА]),"Icu "&amp;FL36&amp;" кА &lt; Iкз max","ok")))</f>
        <v/>
      </c>
      <c r="FN36" t="str">
        <f t="shared" si="66"/>
        <v/>
      </c>
      <c r="FO36" t="str">
        <f t="shared" si="67"/>
        <v/>
      </c>
      <c r="FP36" t="str" cm="1">
        <f t="array" ref="FP36">IF(FO36="","",_xlfn.LET(_xlpm.nd,_xlfn.TEXTSPLIT(FO36,"|"),IF(COLUMNS(_xlpm.nd)&gt;1,A36&amp;"¦"&amp;INDEX(_xlpm.nd,1)&amp;"¦"&amp;INDEX(_xlpm.nd,2),"")))</f>
        <v/>
      </c>
      <c r="FQ36" t="str">
        <f t="shared" si="68"/>
        <v/>
      </c>
      <c r="FR36" t="str" cm="1">
        <f t="array" ref="FR36">IF(FO36="","",_xlfn.LET(_xlpm.nd,_xlfn.TEXTSPLIT(FO36,"|"),IF(COLUMNS(_xlpm.nd)&gt;2,A36&amp;"¦"&amp;INDEX(_xlpm.nd,2)&amp;"¦"&amp;INDEX(_xlpm.nd,3),"")))</f>
        <v/>
      </c>
      <c r="FS36" t="str">
        <f t="shared" si="69"/>
        <v/>
      </c>
      <c r="FT36" t="str" cm="1">
        <f t="array" ref="FT36">IF(FO36="","",_xlfn.LET(_xlpm.nd,_xlfn.TEXTSPLIT(FO36,"|"),IF(COLUMNS(_xlpm.nd)&gt;3,A36&amp;"¦"&amp;INDEX(_xlpm.nd,3)&amp;"¦"&amp;INDEX(_xlpm.nd,4),"")))</f>
        <v/>
      </c>
      <c r="FU36" t="str">
        <f t="shared" si="70"/>
        <v/>
      </c>
      <c r="FV36" t="str" cm="1">
        <f t="array" ref="FV36">IF(FO36="","",_xlfn.LET(_xlpm.nd,_xlfn.TEXTSPLIT(FO36,"|"),IF(COLUMNS(_xlpm.nd)&gt;4,A36&amp;"¦"&amp;INDEX(_xlpm.nd,4)&amp;"¦"&amp;INDEX(_xlpm.nd,5),"")))</f>
        <v/>
      </c>
      <c r="FW36" t="str">
        <f t="shared" si="71"/>
        <v/>
      </c>
      <c r="FX36" t="str" cm="1">
        <f t="array" ref="FX36">IF(FO36="","",_xlfn.LET(_xlpm.nd,_xlfn.TEXTSPLIT(FO36,"|"),IF(COLUMNS(_xlpm.nd)&gt;5,A36&amp;"¦"&amp;INDEX(_xlpm.nd,5)&amp;"¦"&amp;INDEX(_xlpm.nd,6),"")))</f>
        <v/>
      </c>
      <c r="FY36" t="str">
        <f t="shared" si="72"/>
        <v/>
      </c>
      <c r="FZ36" t="str" cm="1">
        <f t="array" ref="FZ36">IF(FO36="","",_xlfn.LET(_xlpm.nd,_xlfn.TEXTSPLIT(FO36,"|"),IF(COLUMNS(_xlpm.nd)&gt;6,A36&amp;"¦"&amp;INDEX(_xlpm.nd,6)&amp;"¦"&amp;INDEX(_xlpm.nd,7),"")))</f>
        <v/>
      </c>
      <c r="GA36" t="str">
        <f t="shared" si="73"/>
        <v/>
      </c>
      <c r="GB36" t="str">
        <f t="shared" si="74"/>
        <v/>
      </c>
      <c r="GC36" t="str">
        <f t="shared" si="75"/>
        <v>XT5</v>
      </c>
      <c r="GD36">
        <f t="shared" si="76"/>
        <v>0</v>
      </c>
      <c r="GE36">
        <f t="shared" si="77"/>
        <v>0</v>
      </c>
      <c r="GF36">
        <f t="shared" si="78"/>
        <v>0</v>
      </c>
      <c r="GG36" t="str">
        <f t="shared" si="79"/>
        <v/>
      </c>
      <c r="GH36" t="str">
        <f t="shared" si="80"/>
        <v/>
      </c>
      <c r="GI36" t="str">
        <f t="shared" si="81"/>
        <v/>
      </c>
      <c r="GJ36" t="str">
        <f t="shared" si="82"/>
        <v/>
      </c>
      <c r="GK36" t="str">
        <f>IF(D36="","",IFERROR(VLOOKUP(D36,УГО_спр,2,FALSE),IFERROR(VLOOKUP(AT36,УГО_спр,2,FALSE),IFERROR(VLOOKUP(LEFT(AT36,2),УГО_спр,2,FALSE),""))))</f>
        <v>Светильник</v>
      </c>
      <c r="GL36" t="str">
        <f>IF(D36="","",IF(OR(GK36="",GK36=0),"BOX",IFERROR(IF(VLOOKUP(GK36,УГО_блоки,3,FALSE)&amp;""&lt;&gt;"",VLOOKUP(GK36,УГО_блоки,3,FALSE),VLOOKUP(GK36,УГО_блоки,2,FALSE)),GK36)))</f>
        <v>LAMP</v>
      </c>
      <c r="GM36">
        <f t="shared" si="83"/>
        <v>1</v>
      </c>
      <c r="GN36" t="str">
        <f>IF(EP36="","",IF(COUNTIF(EP$3:EP36,EP36)=1,MAX(GN$2:GN35)+1,""))</f>
        <v/>
      </c>
      <c r="GO36" t="str">
        <f>IF(AF36="","",IF(COUNTIF(AF$3:AF36,AF36)+COUNTIF(AG$2:AG35,AF36)+COUNTIF(AH$2:AH35,AF36)=1,MAX(GO$2:GQ35)+1,""))</f>
        <v/>
      </c>
      <c r="GP36" t="str">
        <f>IF(AG36="","",IF(COUNTIF(AF$3:AF36,AG36)+COUNTIF(AG$3:AG36,AG36)+COUNTIF(AH$2:AH35,AG36)=1,MAX(GO$2:GQ35,GO36)+1,""))</f>
        <v/>
      </c>
      <c r="GQ36" t="str">
        <f>IF(AH36="","",IF(COUNTIF(AF$3:AF36,AH36)+COUNTIF(AG$3:AG36,AH36)+COUNTIF(AH$3:AH36,AH36)=1,MAX(GO$2:GQ35,GO36,GP36)+1,""))</f>
        <v/>
      </c>
      <c r="GR36" t="str">
        <f t="shared" si="84"/>
        <v>3х1,5</v>
      </c>
      <c r="GS36" t="str">
        <f>IF(GR36="","",IF(COUNTIF(GR$3:GR36,GR36)=1,MAX(GS$2:GS35)+1,""))</f>
        <v/>
      </c>
      <c r="GT36" t="str">
        <f>IF(ES36="","",COUNTIF(ES$3:ES36,"?*"))</f>
        <v/>
      </c>
      <c r="GU36" t="str">
        <f>IF(OR(ES36="",EU36=""),"",IF(COUNTIFS(ES$3:ES36,"?*",EU$3:EU36,EU36)=1,MAX(GU$2:GU35)+1,""))</f>
        <v/>
      </c>
      <c r="GV36">
        <f t="shared" si="85"/>
        <v>1</v>
      </c>
      <c r="GW36">
        <f>IF(D36="","",COUNTIF(D$3:D36,"?*"))</f>
        <v>34</v>
      </c>
      <c r="GX36">
        <f>IF(EX36&lt;&gt;1,0,_xlfn.LET(_xlpm.k,MAX(IFERROR(--VLOOKUP(D36,УГО_спр,5,FALSE),0),IFERROR(--VLOOKUP(AT36,УГО_спр,5,FALSE),0),IFERROR(--VLOOKUP(LEFT(AT36,2),УГО_спр,5,FALSE),0)),IF(_xlpm.k&gt;0,_xlpm.k,IF(IFERROR(--LEFT(SUBSTITUTE(GR36,"x","х"),FIND("х",SUBSTITUTE(GR36,"x","х"))-1),3)&gt;3,Каталог!$S$9,1))))</f>
        <v>1</v>
      </c>
      <c r="GY36">
        <f t="shared" si="86"/>
        <v>0</v>
      </c>
    </row>
    <row r="37" spans="1:207" x14ac:dyDescent="0.3">
      <c r="A37" t="s">
        <v>1146</v>
      </c>
      <c r="B37" t="s">
        <v>531</v>
      </c>
      <c r="C37" t="str">
        <f>IF(BD37="","",IF(BE37="вводной узел","узел ","")&amp;"л."&amp;(INT((BD37-1)/Столбцов_на_лист)+1)&amp;" / "&amp;(MOD(BD37-1,Столбцов_на_лист)+1))</f>
        <v/>
      </c>
      <c r="D37" t="s">
        <v>1310</v>
      </c>
      <c r="E37" s="133" t="str">
        <f t="shared" si="87"/>
        <v>Осветительная группа Подвальный этаж Пом. №002Т</v>
      </c>
      <c r="G37">
        <v>0.1</v>
      </c>
      <c r="H37">
        <v>8</v>
      </c>
      <c r="I37">
        <v>1</v>
      </c>
      <c r="J37">
        <v>230</v>
      </c>
      <c r="K37" t="s">
        <v>566</v>
      </c>
      <c r="P37">
        <v>48</v>
      </c>
      <c r="Q37">
        <v>15</v>
      </c>
      <c r="R37">
        <v>40</v>
      </c>
      <c r="U37" t="s">
        <v>11</v>
      </c>
      <c r="V37">
        <v>3</v>
      </c>
      <c r="W37">
        <v>1.5</v>
      </c>
      <c r="Z37" t="s">
        <v>559</v>
      </c>
      <c r="AR37" t="str">
        <f t="shared" si="0"/>
        <v>не на схеме</v>
      </c>
      <c r="AS37" cm="1">
        <f t="array" ref="AS37">ROW()-ROW(Линии[#Headers])</f>
        <v>35</v>
      </c>
      <c r="AT37" t="str">
        <f t="shared" si="1"/>
        <v>L</v>
      </c>
      <c r="AU37" t="str">
        <f t="shared" si="2"/>
        <v>00.002Т.1</v>
      </c>
      <c r="AV37" t="str">
        <f t="shared" si="3"/>
        <v>00</v>
      </c>
      <c r="AW37" t="str">
        <f t="shared" si="4"/>
        <v>002Т.1</v>
      </c>
      <c r="AX37" t="str">
        <f t="shared" si="5"/>
        <v>002Т</v>
      </c>
      <c r="AY37" t="str">
        <f>IF(D37="","",IF(ISERROR(SEARCH(".",D37)),IFERROR(VLOOKUP(D37,Потребители_обозначение,2,FALSE)&amp;"",""),IFERROR(IF(VLOOKUP(AT37,Потребители_обозначение,4,FALSE)=1,VLOOKUP(AT37,Потребители_обозначение,2,FALSE)&amp;" "&amp;VLOOKUP(AV37,Этаж_обозначение,2,FALSE)&amp;" Пом. №"&amp;AX37,VLOOKUP(AT37,Потребители_обозначение,2,FALSE)&amp;" Шлейф №"&amp;AV37),IFERROR(VLOOKUP(D37,Потребители_обозначение,2,FALSE),""))))</f>
        <v>Осветительная группа Подвальный этаж Пом. №002Т</v>
      </c>
      <c r="AZ37" t="str">
        <f t="shared" si="6"/>
        <v>Осветительная группа Подвальный этаж Пом. №002Т</v>
      </c>
      <c r="BA37" t="str">
        <f>IF(F37&lt;&gt;"",F37,IF(AND(D37&lt;&gt;"",D37&lt;&gt;A37,ISNUMBER(_xlfn.XMATCH(D37,Щиты[Щит]))),D37,""))</f>
        <v/>
      </c>
      <c r="BB37">
        <f>IFERROR(_xlfn.XMATCH(A37,Щиты[Щит]),0)</f>
        <v>3</v>
      </c>
      <c r="BC37">
        <f>IFERROR(N(_xlfn.XLOOKUP(A37,Щиты[Щит],Щиты[Мест под вводной узел])),15)</f>
        <v>15</v>
      </c>
      <c r="BD37" t="str">
        <f t="shared" si="7"/>
        <v/>
      </c>
      <c r="BE37" t="str">
        <f t="shared" si="8"/>
        <v/>
      </c>
      <c r="BF37">
        <f>IF(D37="","",IF(BA37&lt;&gt;"",IFERROR(_xlfn.XLOOKUP(BA37,Щиты[Щит],Щиты[Руст, кВт]),0),N(G37)))</f>
        <v>0.1</v>
      </c>
      <c r="BG37">
        <f>IF(J37&lt;&gt;"",J37,IF(D37="","",IFERROR(IF(VLOOKUP(AT37,Потребители_обозначение,8,FALSE)=0,"",VLOOKUP(AT37,Потребители_обозначение,8,FALSE)),"")))</f>
        <v>230</v>
      </c>
      <c r="BH37">
        <f>IF(I37&lt;&gt;"",I37,IF(D37="","",IFERROR(IF(VLOOKUP(AT37,Потребители_обозначение,9,FALSE)=0,"",VLOOKUP(AT37,Потребители_обозначение,9,FALSE)),"")))</f>
        <v>1</v>
      </c>
      <c r="BI37" t="str">
        <f>IF(U37&lt;&gt;"",U37,IF(D37="","",IFERROR(IF(VLOOKUP(AT37,Потребители_обозначение,6,FALSE)=0,"",VLOOKUP(AT37,Потребители_обозначение,6,FALSE)),"")))</f>
        <v>мс</v>
      </c>
      <c r="BJ37">
        <f>IF(V37&lt;&gt;"",V37,IF(D37="","",IFERROR(IF(VLOOKUP(AT37,Потребители_обозначение,7,FALSE)=0,"",VLOOKUP(AT37,Потребители_обозначение,7,FALSE)),"")))</f>
        <v>3</v>
      </c>
      <c r="BK37">
        <f>IF(W37&lt;&gt;"",W37,IF(D37="","",IFERROR(IF(VLOOKUP(AT37,Потребители_обозначение,10,FALSE)=0,"",VLOOKUP(AT37,Потребители_обозначение,10,FALSE)),"")))</f>
        <v>1.5</v>
      </c>
      <c r="BL37">
        <f>IFERROR(VLOOKUP(AT37,Потребители_обозначение,5,FALSE),0)</f>
        <v>3</v>
      </c>
      <c r="BM37" cm="1">
        <f t="array" ref="BM37">IF(D37="","",IF(BA37&lt;&gt;"",IFERROR(_xlfn.XLOOKUP(BA37,Щиты[Щит],Щиты[cos φ]),0.95),IF(ISNUMBER(M37),M37,IFERROR(IF(BL37=2,_xlfn.IFS(BH37=3,VLOOKUP(BF37,Справочная_двигатели,8,FALSE),BH37=1,VLOOKUP(BF37,Справочная_двигатели,10,TRUE)),IF(AND(Методика="нормы 2026",CN37="Сил"),0.8,0.95)),0.95))))</f>
        <v>0.95</v>
      </c>
      <c r="BN37" cm="1">
        <f t="array" ref="BN37">IF(D37="","",IF(BA37&lt;&gt;"",IFERROR(_xlfn.XLOOKUP(BA37,Щиты[Щит],Щиты[Iр, А]),""),IFERROR(_xlfn.IFS(BH37=1,BF37/((Uн_лин/SQRT(3))*BM37),BH37=3,BF37/(SQRT(3)*Uн_лин*BM37)),"")))</f>
        <v>0.455802844097073</v>
      </c>
      <c r="BO37">
        <f>IF(D37="","",IF(N(X37)=0,IFERROR(VLOOKUP(BN37,Автомат_номиналы,2,TRUE),""),X37))</f>
        <v>6</v>
      </c>
      <c r="BP37">
        <f t="shared" si="9"/>
        <v>1</v>
      </c>
      <c r="BQ37">
        <f>IF(ISNUMBER(Y37),Y37,К_прокл)</f>
        <v>1</v>
      </c>
      <c r="BR37">
        <f t="shared" si="10"/>
        <v>2</v>
      </c>
      <c r="BS37" cm="1">
        <f t="array" ref="BS37">IF(D37="","",IF(N(BK37)&lt;&gt;0,BK37,IFERROR(_xlfn.LET(_xlpm.need,BO37/(BP37*BQ37),_xlpm.t,CHOOSE(BR37,Iдоп_1ж,Iдоп_2ж,Iдоп_3ж),_xlpm.k,_xlfn.XMATCH(_xlpm.need,_xlpm.t,1),IF(ISNA(_xlpm.k),"Не исп",INDEX(Iдоп_S,_xlpm.k))),"Не исп")))</f>
        <v>1.5</v>
      </c>
      <c r="BT37">
        <f>IFERROR(VLOOKUP(BS37,Кабель_сопротивление,3,FALSE),"")</f>
        <v>2.2499999999999999E-2</v>
      </c>
      <c r="BU37">
        <f>IFERROR(VLOOKUP(BS37,Кабель_сопротивление,2,FALSE),"")</f>
        <v>0.11</v>
      </c>
      <c r="BV37">
        <f t="shared" si="11"/>
        <v>48</v>
      </c>
      <c r="BW37">
        <f>IF(D37="","",IFERROR(IF(VLOOKUP(AT37,Потребители_обозначение,4,FALSE)=1,VLOOKUP(AT37,Потребители_обозначение,3,FALSE)*(H37*2-1)+BV37+VLOOKUP(AV37,Этаж_обозначение,3,FALSE)+VLOOKUP(AV37,Этаж_обозначение,4,FALSE),VLOOKUP(AT37,Потребители_обозначение,3,FALSE)*(H37*2-1)+BV37),BV37))</f>
        <v>63</v>
      </c>
      <c r="BX37">
        <f t="shared" si="12"/>
        <v>40</v>
      </c>
      <c r="BY37" t="str">
        <f t="shared" si="13"/>
        <v/>
      </c>
      <c r="BZ37">
        <f t="shared" si="14"/>
        <v>2</v>
      </c>
      <c r="CA37">
        <f t="shared" si="15"/>
        <v>0.31</v>
      </c>
      <c r="CB37">
        <f t="shared" si="16"/>
        <v>0.82035240907624196</v>
      </c>
      <c r="CC37">
        <f>IFERROR(ROUNDUP(CB37/((Uн_лин/SQRT(3))*1000)*100,2),"")</f>
        <v>0.36</v>
      </c>
      <c r="CD37">
        <f>IF(ISNUMBER(CC37),CC37+IFERROR(_xlfn.XLOOKUP(A37,Щиты[Щит],Щиты[ΔU до шин, %]),0),"")</f>
        <v>0.53</v>
      </c>
      <c r="CE37">
        <f>IF(D37="","",IF(IFERROR(VLOOKUP(AT37,УГО_спр,2,FALSE),"")="Светильник",3,4)+IF(Методика="нормы 2026",MIN(0.5,MAX(0,N(BW37)-100)*0.005),0))</f>
        <v>3</v>
      </c>
      <c r="CF37" t="str">
        <f>IFERROR(VLOOKUP(BI37,Кабель_обозначение,2,FALSE),"")</f>
        <v>ВВГнг(А)-LS</v>
      </c>
      <c r="CG37" t="str">
        <f>IFERROR(IF(VLOOKUP(BI37,Кабель_обозначение,3,FALSE)=1,CF37&amp;" ("&amp;BJ37&amp;"х"&amp;BS37&amp;")",CF37),"")</f>
        <v>ВВГнг(А)-LS (3х1,5)</v>
      </c>
      <c r="CH37" t="str">
        <f t="shared" si="17"/>
        <v>ВВГнг(А)-LS (3х1,5)
L=63-0,36%</v>
      </c>
      <c r="CI37">
        <f>IFERROR(2*ρкз_Cu*BW37/BS37,"")</f>
        <v>2.2092000000000001</v>
      </c>
      <c r="CJ37">
        <f t="shared" si="18"/>
        <v>0.73499999999999999</v>
      </c>
      <c r="CK37" t="str">
        <f>IFERROR(IF(OR(D37="",NOT(ISNUMBER(BS37)),N(BW37)=0),"",_xlfn.XLOOKUP(A37,Щиты[Щит],Щиты[Zпетли на шинах, Ом])+CI37),"")</f>
        <v/>
      </c>
      <c r="CL37" t="str">
        <f>IF(ISNUMBER(CK37),c_min*(Uн_лин*1000/SQRT(3))/CK37,"")</f>
        <v/>
      </c>
      <c r="CM37" t="str">
        <f>IFERROR(IF(OR(D37="",NOT(ISNUMBER(BS37))),"",1.05*(Uн_лин*1000/SQRT(3))/(_xlfn.XLOOKUP(A37,Щиты[Щит],Щиты[Zmax на шинах, Ом])+CJ37)/1000),"")</f>
        <v/>
      </c>
      <c r="CN37" t="str">
        <f>IF(D37="","",IF(BA37&lt;&gt;"","Щит",IF(K37&lt;&gt;"",K37,IF(ISNUMBER(L37),"Сил",IF(IFERROR(_xlfn.XLOOKUP(AT37,Коды_код,Коды_группа)&amp;"","")="","Быт",_xlfn.XLOOKUP(AT37,Коды_код,Коды_группа)&amp;"")))))</f>
        <v>Быт</v>
      </c>
      <c r="CO37">
        <f>IF(CN37="Щит","щит",IF(CN37="","",IF(CN37="Быт",IFERROR(_xlfn.XLOOKUP(A37,Щиты[Щит],Щиты[Кс быт]),1),IF(CN37="Сил",IF(ISNUMBER(L37),L37,IF(Методика="нормы 2026",IFERROR(_xlfn.XLOOKUP(A37,Щиты[Щит],Щиты[Кс силовых (табл. 7.5)]),1),1)),IF(OR(CN37="Пост",CN37="Отоп"),1,IF(CN37="ВНГ",0.7,0))))))</f>
        <v>0.8</v>
      </c>
      <c r="CP37">
        <f t="shared" si="19"/>
        <v>1</v>
      </c>
      <c r="CQ37">
        <f t="shared" si="20"/>
        <v>0.1</v>
      </c>
      <c r="CR37">
        <f t="shared" si="21"/>
        <v>0.1</v>
      </c>
      <c r="CS37">
        <f t="shared" si="22"/>
        <v>0</v>
      </c>
      <c r="CT37">
        <f t="shared" si="23"/>
        <v>0</v>
      </c>
      <c r="CU37">
        <f t="shared" si="24"/>
        <v>0</v>
      </c>
      <c r="CV37">
        <f t="shared" si="25"/>
        <v>0</v>
      </c>
      <c r="CW37">
        <f t="shared" si="26"/>
        <v>0.1</v>
      </c>
      <c r="CX37">
        <f t="shared" si="27"/>
        <v>9.5000000000000001E-2</v>
      </c>
      <c r="CY37">
        <f t="shared" si="28"/>
        <v>3</v>
      </c>
      <c r="CZ37" t="str">
        <f t="shared" si="29"/>
        <v>L3</v>
      </c>
      <c r="DA37" cm="1">
        <f t="array" ref="DA37">IFERROR(IF(BL37=2,_xlfn.IFS(BH37=3,VLOOKUP(BF37,Справочная_двигатели,3,FALSE),BH37=1,VLOOKUP(BF37,Справочная_двигатели,5,TRUE)),0),0)</f>
        <v>0</v>
      </c>
      <c r="DB37">
        <f>IFERROR(IF(BL37=3,VLOOKUP(BF37,Справочная_ЛЭД,2,TRUE),0),0)</f>
        <v>50</v>
      </c>
      <c r="DC37">
        <f t="shared" si="30"/>
        <v>50</v>
      </c>
      <c r="DD37" t="str">
        <f t="shared" si="31"/>
        <v>L3</v>
      </c>
      <c r="DE37" t="str" cm="1">
        <f t="array" ref="DE37">IF(D37="","",IFERROR(INDEX({"I особая","I","II","III"},MATCH(TRIM(AA37&amp;""),{"I особая","I","II","III"},0)),"III"))</f>
        <v>III</v>
      </c>
      <c r="DF37" t="str">
        <f>IF(D37="","",IF(TRIM(AB37&amp;"")&lt;&gt;"",IF(LOWER(TRIM(AB37&amp;""))="да","да","нет"),IF(IFERROR(_xlfn.XLOOKUP(AT37,Коды_код,Коды_пожарная),"")="да","да","нет")))</f>
        <v>нет</v>
      </c>
      <c r="DG37" t="str">
        <f t="shared" si="32"/>
        <v/>
      </c>
      <c r="DH37" t="str">
        <f t="shared" si="33"/>
        <v>основная</v>
      </c>
      <c r="DI37">
        <f t="shared" si="34"/>
        <v>1</v>
      </c>
      <c r="DJ37" t="str" cm="1">
        <f t="array" ref="DJ37">IF(D37="","",_xlfn.LET(_xlpm.t,IFERROR(_xlfn.XLOOKUP(1,(Шины[Шина]=DH37)*(((Шины[Щит]=A37)+(Шины[Щит]=""))&gt;0),Шины[Тип]),"")&amp;"",IF(_xlpm.t&lt;&gt;"",_xlpm.t,IF(ISNUMBER(SEARCH("ИБП",DH37)),"ИБП",IF(ISNUMBER(SEARCH("ДГУ",DH37)),"ДГУ","Ввод "&amp;DI37)))))</f>
        <v>Ввод 1</v>
      </c>
      <c r="DK37" t="str">
        <f t="shared" si="35"/>
        <v>Ввод 1</v>
      </c>
      <c r="DL37" t="str">
        <f>IF(D37="","",IF(OR(DJ37="ИБП",DJ37="ДГУ"),"I особая",IF(DJ37="Одиночная","III",_xlfn.XLOOKUP(A37,Щиты[Щит],Щиты[Категория шины «Ввод»],"III"))))</f>
        <v>II</v>
      </c>
      <c r="DM37">
        <f>IF(D37="",0,IFERROR(MATCH(DE37,{"III","II","I","I особая"},0),1))</f>
        <v>1</v>
      </c>
      <c r="DN37">
        <f t="shared" si="36"/>
        <v>1</v>
      </c>
      <c r="DO37" t="str">
        <f>IF(D37="","",IF(DM37&gt;IFERROR(MATCH(DL37,{"III","II","I","I особая"},0),1),"НЕ ОБЕСПЕЧЕНА","ОК"))</f>
        <v>ОК</v>
      </c>
      <c r="DP37" t="str">
        <f>IF(A37="","",_xlfn.XLOOKUP(A37,Щиты[Щит],Щиты[Путь],""))</f>
        <v>|ГРЩ-ЖД|ЩГП|ЩО-001|</v>
      </c>
      <c r="DQ37" t="str">
        <f>IF(D37="","",IF(Z37&lt;&gt;"",Z37,IF(IFERROR(_xlfn.XLOOKUP(AT37,Коды_код,Коды_вид)&amp;"","")="","Прочее",_xlfn.XLOOKUP(AT37,Коды_код,Коды_вид)&amp;"")))</f>
        <v>Рабочее освещение</v>
      </c>
      <c r="DR37" t="str">
        <f>IF(BD37="","",INT((BD37-1)/Столбцов_на_лист)+1)</f>
        <v/>
      </c>
      <c r="DS37" t="str">
        <f t="shared" si="37"/>
        <v>ВВГнг(А)-LS (3х1,5) L=63-0,36%</v>
      </c>
      <c r="DT37">
        <f t="shared" si="38"/>
        <v>0.1</v>
      </c>
      <c r="DU37">
        <f t="shared" si="39"/>
        <v>0.46</v>
      </c>
      <c r="DV37">
        <f t="shared" si="40"/>
        <v>1</v>
      </c>
      <c r="DW37">
        <f>IF(AT37="",0,_xlfn.LET(_xlpm.v,IFERROR(VLOOKUP(D37,УГО_спр,3,FALSE),IFERROR(VLOOKUP(AT37,УГО_спр,3,FALSE),IFERROR(VLOOKUP(LEFT(AT37,2),УГО_спр,3,FALSE),""))),IF(_xlpm.v="да",30,IF(ISNUMBER(_xlpm.v),_xlpm.v,0))))</f>
        <v>0</v>
      </c>
      <c r="DX37">
        <f t="shared" si="41"/>
        <v>0</v>
      </c>
      <c r="DY37" t="str">
        <f>IF(BD37="","",IF(AD37&lt;&gt;"",COUNTIFS(A$3:A37,A37,AD$3:AD37,"?*"),IF(OR(OR(AS37=1,A37&lt;&gt;A36),AL37="вручную"),"",IF(AS37=1,"",DZ36))))</f>
        <v/>
      </c>
      <c r="DZ37" t="str">
        <f t="shared" si="42"/>
        <v/>
      </c>
      <c r="EA37">
        <f>IF(D37="",0,MAX(IFERROR(--X37,0),IFERROR(--VLOOKUP(D37,УГО_спр,4,FALSE),IFERROR(--VLOOKUP(AT37,УГО_спр,4,FALSE),IFERROR(--VLOOKUP(LEFT(AT37,2),УГО_спр,4,FALSE),0)))))</f>
        <v>10</v>
      </c>
      <c r="EB37">
        <f>IF(D37="","",IFERROR(LOOKUP(INDEX(CHOOSE(BR37,Iдоп_1ж,Iдоп_2ж,Iдоп_3ж),MATCH(BS37,Iдоп_S,0))*BP37*BQ37,{6,10,16,20,25,32,40,50,63,80,100,125,160,200,250,315,400,500,630}),""))</f>
        <v>16</v>
      </c>
      <c r="EC37" t="str">
        <f>IF(AD37="","",SUMIFS(Линии[_Ток схемы],Линии[_гр.],DY37,Линии[Щит],A37,Линии[_в кабель выше],0))</f>
        <v/>
      </c>
      <c r="ED37" t="str">
        <f>IF(AD37="","",IFERROR(VLOOKUP(EC37,Автомат_номиналы,2,TRUE),""))</f>
        <v/>
      </c>
      <c r="EE37" t="str">
        <f>IF(AD37="","",MAX(N(ED37),_xlfn.MAXIFS(Линии[_мин. по типу],Линии[_гр.],DY37,Линии[Щит],A37)))</f>
        <v/>
      </c>
      <c r="EF37" t="str">
        <f>IF(AD37="","",_xlfn.MINIFS(Линии[_макс. автомат по кабелю],Линии[_гр.],DY37,Линии[Щит],A37))</f>
        <v/>
      </c>
      <c r="EG37" t="str">
        <f>IF(AD37="","",MAX(1,_xlfn.MAXIFS(Линии[_фаз],Линии[_гр.],DY37,Линии[Щит],A37)))</f>
        <v/>
      </c>
      <c r="EH37" t="str">
        <f>IF(AD37="","",IF(AND(AD37&lt;&gt;"авто",AD37&lt;&gt;"+"),IF(ISNUMBER(SEARCH("мА",AD37)),IFERROR(--TRIM(RIGHT(SUBSTITUTE(LEFT(AD37,SEARCH("мА",AD37)-1)," ",REPT(" ",9)),6)),30),0),IF(AE37="нет",0,IF(ISNUMBER(AE37),AE37,IF(AE37="да",30,_xlfn.MINIFS(Линии[_дифзащита по коду, мА],Линии[_гр.],DY37,Линии[Щит],A37,Линии[_дифзащита по коду, мА],"&gt;0"))))))</f>
        <v/>
      </c>
      <c r="EI37" t="str">
        <f t="shared" si="43"/>
        <v/>
      </c>
      <c r="EJ37" t="str">
        <f t="shared" si="44"/>
        <v/>
      </c>
      <c r="EK37" t="str">
        <f t="shared" si="45"/>
        <v/>
      </c>
      <c r="EL37" t="str">
        <f t="shared" si="46"/>
        <v/>
      </c>
      <c r="EM37">
        <f t="shared" si="47"/>
        <v>0</v>
      </c>
      <c r="EN37" t="str">
        <f>IF(AD37="","",IF(EM37=1,MAX(EE37,Мин_автомат_БП),EE37))</f>
        <v/>
      </c>
      <c r="EO37" t="str">
        <f t="shared" si="48"/>
        <v/>
      </c>
      <c r="EP37" t="str">
        <f t="shared" si="49"/>
        <v/>
      </c>
      <c r="EQ37" t="str">
        <f t="shared" si="50"/>
        <v/>
      </c>
      <c r="ER37" t="str">
        <f>IF(OR(AI37="",AI37="-"),"",IFERROR(VLOOKUP(AI37,Модули_спр,2,FALSE),"R"))</f>
        <v/>
      </c>
      <c r="ES37" t="str">
        <f>IF(ER37="","",ER37&amp;"."&amp;COUNTIFS(A$3:A37,A37,ER$3:ER37,ER37))</f>
        <v/>
      </c>
      <c r="ET37" t="str">
        <f t="shared" si="51"/>
        <v/>
      </c>
      <c r="EU37" t="str">
        <f t="shared" si="52"/>
        <v/>
      </c>
      <c r="EV37" t="str">
        <f t="shared" si="53"/>
        <v/>
      </c>
      <c r="EW37" t="str">
        <f t="shared" si="54"/>
        <v/>
      </c>
      <c r="EX37">
        <f t="shared" si="55"/>
        <v>1</v>
      </c>
      <c r="EY37" t="str">
        <f>IF(AK37="нет","",IF(AK37&lt;&gt;"",AK37,IF(EX37=1,"XT"&amp;COUNTIFS(A$3:A37,A37,EX$3:EX37,1),"")))</f>
        <v>XT6</v>
      </c>
      <c r="EZ37" t="str">
        <f t="shared" si="56"/>
        <v/>
      </c>
      <c r="FA37" t="str">
        <f t="shared" si="57"/>
        <v/>
      </c>
      <c r="FB37" t="str">
        <f t="shared" si="58"/>
        <v/>
      </c>
      <c r="FC37" t="str">
        <f>IF(OR(EV37="",ET37=""),"",IF(EV37&gt;IFERROR(VLOOKUP(EU37,Модули_спр,3,FALSE),99),"ЛИШНИЙ КАНАЛ",IF(AND(AJ37&lt;&gt;"=",COUNTIFS(Линии[_модуль гр.],ET37,Линии[Канал (итог)],EV37,Линии[Канал],"&lt;&gt;=",Линии[Щит],A37)&gt;1),"ДУБЛЬ КАНАЛА","")))</f>
        <v/>
      </c>
      <c r="FD37" t="str">
        <f t="shared" si="59"/>
        <v/>
      </c>
      <c r="FE37" t="str">
        <f t="shared" si="60"/>
        <v/>
      </c>
      <c r="FF37" t="str">
        <f t="shared" si="61"/>
        <v/>
      </c>
      <c r="FG37" t="str">
        <f t="shared" si="62"/>
        <v/>
      </c>
      <c r="FH37" t="str">
        <f t="shared" si="63"/>
        <v/>
      </c>
      <c r="FI37">
        <f t="shared" si="64"/>
        <v>10</v>
      </c>
      <c r="FJ37" t="str">
        <f t="shared" si="65"/>
        <v/>
      </c>
      <c r="FK37" t="str">
        <f>IF(AND(D37="",EZ37=""),"",_xlfn.TEXTJOIN("; ",TRUE,IF(AND(D37&lt;&gt;"",DD37=""),"нет фазы",""),IF(AND(D37&lt;&gt;"",N(DT37)=0,CN37&lt;&gt;"Нет"),"нет мощности",""),IF(AND(EY37&lt;&gt;"",COUNTIFS(Линии[Щит],A37,Линии[Клемма (итог)],EY37)&gt;1),"дубль клеммы "&amp;EY37,""),IF(AND(FB37&lt;&gt;"",FB37&lt;&gt;"ok"),FB37,""),IF(FC37&lt;&gt;"",FC37,""),IF(AND(ISNUMBER(SEARCH("(5х",DS37)),N(DV37)=1),"5 жил на 1 фазе",""),IF(AND(AT37="R",AD37&lt;&gt;"",OR(N(EH37)=0,N(EH37)&gt;30)),"розетка без дифзащиты до 30 мА",""),IFERROR(IF(AND(ISNUMBER(CD37),CD37&gt;CE37),"потери "&amp;FIXED(CD37,1)&amp;" % &gt; "&amp;CE37&amp;" %",""),""),IFERROR(IF(LEFT(FJ37,4)="мало","Iкз мало — отключение &gt; 0,4 с",""),""),IF(AND(D37&lt;&gt;"",BD37=""),"не на схеме","")))</f>
        <v>не на схеме</v>
      </c>
      <c r="FL37" t="str">
        <f>IF(AD37="","",_xlfn.LET(_xlpm.t,IFERROR(_xlfn.XLOOKUP(EP37,Каталог!$U$4:$U$500,Каталог!$G$4:$G$500),""),_xlpm.k,SEARCH("кА",_xlpm.t),IFERROR(--TRIM(RIGHT(SUBSTITUTE(MID(_xlpm.t,MAX(1,_xlpm.k-4),_xlpm.k-MAX(1,_xlpm.k-4))," ",REPT(" ",9)),5)),"")))</f>
        <v/>
      </c>
      <c r="FM37" t="str">
        <f>IF(OR(FL37="",AD37=""),"",IF(_xlfn.XLOOKUP(A37,Щиты[Щит],Щиты[Iкз max на шинах, кА],"")="","",IF(FL37&lt;_xlfn.XLOOKUP(A37,Щиты[Щит],Щиты[Iкз max на шинах, кА]),"Icu "&amp;FL37&amp;" кА &lt; Iкз max","ok")))</f>
        <v/>
      </c>
      <c r="FN37" t="str">
        <f t="shared" si="66"/>
        <v/>
      </c>
      <c r="FO37" t="str">
        <f t="shared" si="67"/>
        <v/>
      </c>
      <c r="FP37" t="str" cm="1">
        <f t="array" ref="FP37">IF(FO37="","",_xlfn.LET(_xlpm.nd,_xlfn.TEXTSPLIT(FO37,"|"),IF(COLUMNS(_xlpm.nd)&gt;1,A37&amp;"¦"&amp;INDEX(_xlpm.nd,1)&amp;"¦"&amp;INDEX(_xlpm.nd,2),"")))</f>
        <v/>
      </c>
      <c r="FQ37" t="str">
        <f t="shared" si="68"/>
        <v/>
      </c>
      <c r="FR37" t="str" cm="1">
        <f t="array" ref="FR37">IF(FO37="","",_xlfn.LET(_xlpm.nd,_xlfn.TEXTSPLIT(FO37,"|"),IF(COLUMNS(_xlpm.nd)&gt;2,A37&amp;"¦"&amp;INDEX(_xlpm.nd,2)&amp;"¦"&amp;INDEX(_xlpm.nd,3),"")))</f>
        <v/>
      </c>
      <c r="FS37" t="str">
        <f t="shared" si="69"/>
        <v/>
      </c>
      <c r="FT37" t="str" cm="1">
        <f t="array" ref="FT37">IF(FO37="","",_xlfn.LET(_xlpm.nd,_xlfn.TEXTSPLIT(FO37,"|"),IF(COLUMNS(_xlpm.nd)&gt;3,A37&amp;"¦"&amp;INDEX(_xlpm.nd,3)&amp;"¦"&amp;INDEX(_xlpm.nd,4),"")))</f>
        <v/>
      </c>
      <c r="FU37" t="str">
        <f t="shared" si="70"/>
        <v/>
      </c>
      <c r="FV37" t="str" cm="1">
        <f t="array" ref="FV37">IF(FO37="","",_xlfn.LET(_xlpm.nd,_xlfn.TEXTSPLIT(FO37,"|"),IF(COLUMNS(_xlpm.nd)&gt;4,A37&amp;"¦"&amp;INDEX(_xlpm.nd,4)&amp;"¦"&amp;INDEX(_xlpm.nd,5),"")))</f>
        <v/>
      </c>
      <c r="FW37" t="str">
        <f t="shared" si="71"/>
        <v/>
      </c>
      <c r="FX37" t="str" cm="1">
        <f t="array" ref="FX37">IF(FO37="","",_xlfn.LET(_xlpm.nd,_xlfn.TEXTSPLIT(FO37,"|"),IF(COLUMNS(_xlpm.nd)&gt;5,A37&amp;"¦"&amp;INDEX(_xlpm.nd,5)&amp;"¦"&amp;INDEX(_xlpm.nd,6),"")))</f>
        <v/>
      </c>
      <c r="FY37" t="str">
        <f t="shared" si="72"/>
        <v/>
      </c>
      <c r="FZ37" t="str" cm="1">
        <f t="array" ref="FZ37">IF(FO37="","",_xlfn.LET(_xlpm.nd,_xlfn.TEXTSPLIT(FO37,"|"),IF(COLUMNS(_xlpm.nd)&gt;6,A37&amp;"¦"&amp;INDEX(_xlpm.nd,6)&amp;"¦"&amp;INDEX(_xlpm.nd,7),"")))</f>
        <v/>
      </c>
      <c r="GA37" t="str">
        <f t="shared" si="73"/>
        <v/>
      </c>
      <c r="GB37" t="str">
        <f t="shared" si="74"/>
        <v/>
      </c>
      <c r="GC37" t="str">
        <f t="shared" si="75"/>
        <v>XT6</v>
      </c>
      <c r="GD37">
        <f t="shared" si="76"/>
        <v>0</v>
      </c>
      <c r="GE37">
        <f t="shared" si="77"/>
        <v>0</v>
      </c>
      <c r="GF37">
        <f t="shared" si="78"/>
        <v>0</v>
      </c>
      <c r="GG37" t="str">
        <f t="shared" si="79"/>
        <v/>
      </c>
      <c r="GH37" t="str">
        <f t="shared" si="80"/>
        <v/>
      </c>
      <c r="GI37" t="str">
        <f t="shared" si="81"/>
        <v/>
      </c>
      <c r="GJ37" t="str">
        <f t="shared" si="82"/>
        <v/>
      </c>
      <c r="GK37" t="str">
        <f>IF(D37="","",IFERROR(VLOOKUP(D37,УГО_спр,2,FALSE),IFERROR(VLOOKUP(AT37,УГО_спр,2,FALSE),IFERROR(VLOOKUP(LEFT(AT37,2),УГО_спр,2,FALSE),""))))</f>
        <v>Светильник</v>
      </c>
      <c r="GL37" t="str">
        <f>IF(D37="","",IF(OR(GK37="",GK37=0),"BOX",IFERROR(IF(VLOOKUP(GK37,УГО_блоки,3,FALSE)&amp;""&lt;&gt;"",VLOOKUP(GK37,УГО_блоки,3,FALSE),VLOOKUP(GK37,УГО_блоки,2,FALSE)),GK37)))</f>
        <v>LAMP</v>
      </c>
      <c r="GM37">
        <f t="shared" si="83"/>
        <v>1</v>
      </c>
      <c r="GN37" t="str">
        <f>IF(EP37="","",IF(COUNTIF(EP$3:EP37,EP37)=1,MAX(GN$2:GN36)+1,""))</f>
        <v/>
      </c>
      <c r="GO37" t="str">
        <f>IF(AF37="","",IF(COUNTIF(AF$3:AF37,AF37)+COUNTIF(AG$2:AG36,AF37)+COUNTIF(AH$2:AH36,AF37)=1,MAX(GO$2:GQ36)+1,""))</f>
        <v/>
      </c>
      <c r="GP37" t="str">
        <f>IF(AG37="","",IF(COUNTIF(AF$3:AF37,AG37)+COUNTIF(AG$3:AG37,AG37)+COUNTIF(AH$2:AH36,AG37)=1,MAX(GO$2:GQ36,GO37)+1,""))</f>
        <v/>
      </c>
      <c r="GQ37" t="str">
        <f>IF(AH37="","",IF(COUNTIF(AF$3:AF37,AH37)+COUNTIF(AG$3:AG37,AH37)+COUNTIF(AH$3:AH37,AH37)=1,MAX(GO$2:GQ36,GO37,GP37)+1,""))</f>
        <v/>
      </c>
      <c r="GR37" t="str">
        <f t="shared" si="84"/>
        <v>3х1,5</v>
      </c>
      <c r="GS37" t="str">
        <f>IF(GR37="","",IF(COUNTIF(GR$3:GR37,GR37)=1,MAX(GS$2:GS36)+1,""))</f>
        <v/>
      </c>
      <c r="GT37" t="str">
        <f>IF(ES37="","",COUNTIF(ES$3:ES37,"?*"))</f>
        <v/>
      </c>
      <c r="GU37" t="str">
        <f>IF(OR(ES37="",EU37=""),"",IF(COUNTIFS(ES$3:ES37,"?*",EU$3:EU37,EU37)=1,MAX(GU$2:GU36)+1,""))</f>
        <v/>
      </c>
      <c r="GV37">
        <f t="shared" si="85"/>
        <v>1</v>
      </c>
      <c r="GW37">
        <f>IF(D37="","",COUNTIF(D$3:D37,"?*"))</f>
        <v>35</v>
      </c>
      <c r="GX37">
        <f>IF(EX37&lt;&gt;1,0,_xlfn.LET(_xlpm.k,MAX(IFERROR(--VLOOKUP(D37,УГО_спр,5,FALSE),0),IFERROR(--VLOOKUP(AT37,УГО_спр,5,FALSE),0),IFERROR(--VLOOKUP(LEFT(AT37,2),УГО_спр,5,FALSE),0)),IF(_xlpm.k&gt;0,_xlpm.k,IF(IFERROR(--LEFT(SUBSTITUTE(GR37,"x","х"),FIND("х",SUBSTITUTE(GR37,"x","х"))-1),3)&gt;3,Каталог!$S$9,1))))</f>
        <v>1</v>
      </c>
      <c r="GY37">
        <f t="shared" si="86"/>
        <v>0</v>
      </c>
    </row>
    <row r="38" spans="1:207" x14ac:dyDescent="0.3">
      <c r="A38" t="s">
        <v>1146</v>
      </c>
      <c r="B38" t="s">
        <v>531</v>
      </c>
      <c r="C38" t="str">
        <f>IF(BD38="","",IF(BE38="вводной узел","узел ","")&amp;"л."&amp;(INT((BD38-1)/Столбцов_на_лист)+1)&amp;" / "&amp;(MOD(BD38-1,Столбцов_на_лист)+1))</f>
        <v/>
      </c>
      <c r="D38" t="s">
        <v>1311</v>
      </c>
      <c r="E38" s="133" t="str">
        <f t="shared" si="87"/>
        <v>Осветительная группа Подвальный этаж Пом. №003Б</v>
      </c>
      <c r="G38">
        <v>0.1</v>
      </c>
      <c r="H38">
        <v>15</v>
      </c>
      <c r="I38">
        <v>1</v>
      </c>
      <c r="J38">
        <v>230</v>
      </c>
      <c r="K38" t="s">
        <v>566</v>
      </c>
      <c r="P38">
        <v>62</v>
      </c>
      <c r="Q38">
        <v>38</v>
      </c>
      <c r="R38">
        <v>0</v>
      </c>
      <c r="S38">
        <v>85</v>
      </c>
      <c r="U38" t="s">
        <v>11</v>
      </c>
      <c r="V38">
        <v>3</v>
      </c>
      <c r="W38">
        <v>1.5</v>
      </c>
      <c r="Z38" t="s">
        <v>559</v>
      </c>
      <c r="AR38" t="str">
        <f t="shared" si="0"/>
        <v>не на схеме</v>
      </c>
      <c r="AS38" cm="1">
        <f t="array" ref="AS38">ROW()-ROW(Линии[#Headers])</f>
        <v>36</v>
      </c>
      <c r="AT38" t="str">
        <f t="shared" si="1"/>
        <v>L</v>
      </c>
      <c r="AU38" t="str">
        <f t="shared" si="2"/>
        <v>00.003Б.1</v>
      </c>
      <c r="AV38" t="str">
        <f t="shared" si="3"/>
        <v>00</v>
      </c>
      <c r="AW38" t="str">
        <f t="shared" si="4"/>
        <v>003Б.1</v>
      </c>
      <c r="AX38" t="str">
        <f t="shared" si="5"/>
        <v>003Б</v>
      </c>
      <c r="AY38" t="str">
        <f>IF(D38="","",IF(ISERROR(SEARCH(".",D38)),IFERROR(VLOOKUP(D38,Потребители_обозначение,2,FALSE)&amp;"",""),IFERROR(IF(VLOOKUP(AT38,Потребители_обозначение,4,FALSE)=1,VLOOKUP(AT38,Потребители_обозначение,2,FALSE)&amp;" "&amp;VLOOKUP(AV38,Этаж_обозначение,2,FALSE)&amp;" Пом. №"&amp;AX38,VLOOKUP(AT38,Потребители_обозначение,2,FALSE)&amp;" Шлейф №"&amp;AV38),IFERROR(VLOOKUP(D38,Потребители_обозначение,2,FALSE),""))))</f>
        <v>Осветительная группа Подвальный этаж Пом. №003Б</v>
      </c>
      <c r="AZ38" t="str">
        <f t="shared" si="6"/>
        <v>Осветительная группа Подвальный этаж Пом. №003Б</v>
      </c>
      <c r="BA38" t="str">
        <f>IF(F38&lt;&gt;"",F38,IF(AND(D38&lt;&gt;"",D38&lt;&gt;A38,ISNUMBER(_xlfn.XMATCH(D38,Щиты[Щит]))),D38,""))</f>
        <v/>
      </c>
      <c r="BB38">
        <f>IFERROR(_xlfn.XMATCH(A38,Щиты[Щит]),0)</f>
        <v>3</v>
      </c>
      <c r="BC38">
        <f>IFERROR(N(_xlfn.XLOOKUP(A38,Щиты[Щит],Щиты[Мест под вводной узел])),15)</f>
        <v>15</v>
      </c>
      <c r="BD38" t="str">
        <f t="shared" si="7"/>
        <v/>
      </c>
      <c r="BE38" t="str">
        <f t="shared" si="8"/>
        <v/>
      </c>
      <c r="BF38">
        <f>IF(D38="","",IF(BA38&lt;&gt;"",IFERROR(_xlfn.XLOOKUP(BA38,Щиты[Щит],Щиты[Руст, кВт]),0),N(G38)))</f>
        <v>0.1</v>
      </c>
      <c r="BG38">
        <f>IF(J38&lt;&gt;"",J38,IF(D38="","",IFERROR(IF(VLOOKUP(AT38,Потребители_обозначение,8,FALSE)=0,"",VLOOKUP(AT38,Потребители_обозначение,8,FALSE)),"")))</f>
        <v>230</v>
      </c>
      <c r="BH38">
        <f>IF(I38&lt;&gt;"",I38,IF(D38="","",IFERROR(IF(VLOOKUP(AT38,Потребители_обозначение,9,FALSE)=0,"",VLOOKUP(AT38,Потребители_обозначение,9,FALSE)),"")))</f>
        <v>1</v>
      </c>
      <c r="BI38" t="str">
        <f>IF(U38&lt;&gt;"",U38,IF(D38="","",IFERROR(IF(VLOOKUP(AT38,Потребители_обозначение,6,FALSE)=0,"",VLOOKUP(AT38,Потребители_обозначение,6,FALSE)),"")))</f>
        <v>мс</v>
      </c>
      <c r="BJ38">
        <f>IF(V38&lt;&gt;"",V38,IF(D38="","",IFERROR(IF(VLOOKUP(AT38,Потребители_обозначение,7,FALSE)=0,"",VLOOKUP(AT38,Потребители_обозначение,7,FALSE)),"")))</f>
        <v>3</v>
      </c>
      <c r="BK38">
        <f>IF(W38&lt;&gt;"",W38,IF(D38="","",IFERROR(IF(VLOOKUP(AT38,Потребители_обозначение,10,FALSE)=0,"",VLOOKUP(AT38,Потребители_обозначение,10,FALSE)),"")))</f>
        <v>1.5</v>
      </c>
      <c r="BL38">
        <f>IFERROR(VLOOKUP(AT38,Потребители_обозначение,5,FALSE),0)</f>
        <v>3</v>
      </c>
      <c r="BM38" cm="1">
        <f t="array" ref="BM38">IF(D38="","",IF(BA38&lt;&gt;"",IFERROR(_xlfn.XLOOKUP(BA38,Щиты[Щит],Щиты[cos φ]),0.95),IF(ISNUMBER(M38),M38,IFERROR(IF(BL38=2,_xlfn.IFS(BH38=3,VLOOKUP(BF38,Справочная_двигатели,8,FALSE),BH38=1,VLOOKUP(BF38,Справочная_двигатели,10,TRUE)),IF(AND(Методика="нормы 2026",CN38="Сил"),0.8,0.95)),0.95))))</f>
        <v>0.95</v>
      </c>
      <c r="BN38" cm="1">
        <f t="array" ref="BN38">IF(D38="","",IF(BA38&lt;&gt;"",IFERROR(_xlfn.XLOOKUP(BA38,Щиты[Щит],Щиты[Iр, А]),""),IFERROR(_xlfn.IFS(BH38=1,BF38/((Uн_лин/SQRT(3))*BM38),BH38=3,BF38/(SQRT(3)*Uн_лин*BM38)),"")))</f>
        <v>0.455802844097073</v>
      </c>
      <c r="BO38">
        <f>IF(D38="","",IF(N(X38)=0,IFERROR(VLOOKUP(BN38,Автомат_номиналы,2,TRUE),""),X38))</f>
        <v>6</v>
      </c>
      <c r="BP38">
        <f t="shared" si="9"/>
        <v>1</v>
      </c>
      <c r="BQ38">
        <f>IF(ISNUMBER(Y38),Y38,К_прокл)</f>
        <v>1</v>
      </c>
      <c r="BR38">
        <f t="shared" si="10"/>
        <v>2</v>
      </c>
      <c r="BS38" cm="1">
        <f t="array" ref="BS38">IF(D38="","",IF(N(BK38)&lt;&gt;0,BK38,IFERROR(_xlfn.LET(_xlpm.need,BO38/(BP38*BQ38),_xlpm.t,CHOOSE(BR38,Iдоп_1ж,Iдоп_2ж,Iдоп_3ж),_xlpm.k,_xlfn.XMATCH(_xlpm.need,_xlpm.t,1),IF(ISNA(_xlpm.k),"Не исп",INDEX(Iдоп_S,_xlpm.k))),"Не исп")))</f>
        <v>1.5</v>
      </c>
      <c r="BT38">
        <f>IFERROR(VLOOKUP(BS38,Кабель_сопротивление,3,FALSE),"")</f>
        <v>2.2499999999999999E-2</v>
      </c>
      <c r="BU38">
        <f>IFERROR(VLOOKUP(BS38,Кабель_сопротивление,2,FALSE),"")</f>
        <v>0.11</v>
      </c>
      <c r="BV38">
        <f t="shared" si="11"/>
        <v>62</v>
      </c>
      <c r="BW38">
        <f>IF(D38="","",IFERROR(IF(VLOOKUP(AT38,Потребители_обозначение,4,FALSE)=1,VLOOKUP(AT38,Потребители_обозначение,3,FALSE)*(H38*2-1)+BV38+VLOOKUP(AV38,Этаж_обозначение,3,FALSE)+VLOOKUP(AV38,Этаж_обозначение,4,FALSE),VLOOKUP(AT38,Потребители_обозначение,3,FALSE)*(H38*2-1)+BV38),BV38))</f>
        <v>91</v>
      </c>
      <c r="BX38">
        <f t="shared" si="12"/>
        <v>0</v>
      </c>
      <c r="BY38">
        <f t="shared" si="13"/>
        <v>85</v>
      </c>
      <c r="BZ38">
        <f t="shared" si="14"/>
        <v>2</v>
      </c>
      <c r="CA38">
        <f t="shared" si="15"/>
        <v>0.31</v>
      </c>
      <c r="CB38">
        <f t="shared" si="16"/>
        <v>1.1849534797767938</v>
      </c>
      <c r="CC38">
        <f>IFERROR(ROUNDUP(CB38/((Uн_лин/SQRT(3))*1000)*100,2),"")</f>
        <v>0.52</v>
      </c>
      <c r="CD38">
        <f>IF(ISNUMBER(CC38),CC38+IFERROR(_xlfn.XLOOKUP(A38,Щиты[Щит],Щиты[ΔU до шин, %]),0),"")</f>
        <v>0.69000000000000006</v>
      </c>
      <c r="CE38">
        <f>IF(D38="","",IF(IFERROR(VLOOKUP(AT38,УГО_спр,2,FALSE),"")="Светильник",3,4)+IF(Методика="нормы 2026",MIN(0.5,MAX(0,N(BW38)-100)*0.005),0))</f>
        <v>3</v>
      </c>
      <c r="CF38" t="str">
        <f>IFERROR(VLOOKUP(BI38,Кабель_обозначение,2,FALSE),"")</f>
        <v>ВВГнг(А)-LS</v>
      </c>
      <c r="CG38" t="str">
        <f>IFERROR(IF(VLOOKUP(BI38,Кабель_обозначение,3,FALSE)=1,CF38&amp;" ("&amp;BJ38&amp;"х"&amp;BS38&amp;")",CF38),"")</f>
        <v>ВВГнг(А)-LS (3х1,5)</v>
      </c>
      <c r="CH38" t="str">
        <f t="shared" si="17"/>
        <v>ВВГнг(А)-LS (3х1,5)
L=91-0,52%</v>
      </c>
      <c r="CI38">
        <f>IFERROR(2*ρкз_Cu*BW38/BS38,"")</f>
        <v>3.1910666666666665</v>
      </c>
      <c r="CJ38">
        <f t="shared" si="18"/>
        <v>1.0616666666666668</v>
      </c>
      <c r="CK38" t="str">
        <f>IFERROR(IF(OR(D38="",NOT(ISNUMBER(BS38)),N(BW38)=0),"",_xlfn.XLOOKUP(A38,Щиты[Щит],Щиты[Zпетли на шинах, Ом])+CI38),"")</f>
        <v/>
      </c>
      <c r="CL38" t="str">
        <f>IF(ISNUMBER(CK38),c_min*(Uн_лин*1000/SQRT(3))/CK38,"")</f>
        <v/>
      </c>
      <c r="CM38" t="str">
        <f>IFERROR(IF(OR(D38="",NOT(ISNUMBER(BS38))),"",1.05*(Uн_лин*1000/SQRT(3))/(_xlfn.XLOOKUP(A38,Щиты[Щит],Щиты[Zmax на шинах, Ом])+CJ38)/1000),"")</f>
        <v/>
      </c>
      <c r="CN38" t="str">
        <f>IF(D38="","",IF(BA38&lt;&gt;"","Щит",IF(K38&lt;&gt;"",K38,IF(ISNUMBER(L38),"Сил",IF(IFERROR(_xlfn.XLOOKUP(AT38,Коды_код,Коды_группа)&amp;"","")="","Быт",_xlfn.XLOOKUP(AT38,Коды_код,Коды_группа)&amp;"")))))</f>
        <v>Быт</v>
      </c>
      <c r="CO38">
        <f>IF(CN38="Щит","щит",IF(CN38="","",IF(CN38="Быт",IFERROR(_xlfn.XLOOKUP(A38,Щиты[Щит],Щиты[Кс быт]),1),IF(CN38="Сил",IF(ISNUMBER(L38),L38,IF(Методика="нормы 2026",IFERROR(_xlfn.XLOOKUP(A38,Щиты[Щит],Щиты[Кс силовых (табл. 7.5)]),1),1)),IF(OR(CN38="Пост",CN38="Отоп"),1,IF(CN38="ВНГ",0.7,0))))))</f>
        <v>0.8</v>
      </c>
      <c r="CP38">
        <f t="shared" si="19"/>
        <v>1</v>
      </c>
      <c r="CQ38">
        <f t="shared" si="20"/>
        <v>0.1</v>
      </c>
      <c r="CR38">
        <f t="shared" si="21"/>
        <v>0.1</v>
      </c>
      <c r="CS38">
        <f t="shared" si="22"/>
        <v>0</v>
      </c>
      <c r="CT38">
        <f t="shared" si="23"/>
        <v>0</v>
      </c>
      <c r="CU38">
        <f t="shared" si="24"/>
        <v>0</v>
      </c>
      <c r="CV38">
        <f t="shared" si="25"/>
        <v>0</v>
      </c>
      <c r="CW38">
        <f t="shared" si="26"/>
        <v>0.1</v>
      </c>
      <c r="CX38">
        <f t="shared" si="27"/>
        <v>9.5000000000000001E-2</v>
      </c>
      <c r="CY38">
        <f t="shared" si="28"/>
        <v>1</v>
      </c>
      <c r="CZ38" t="str">
        <f t="shared" si="29"/>
        <v>L1</v>
      </c>
      <c r="DA38" cm="1">
        <f t="array" ref="DA38">IFERROR(IF(BL38=2,_xlfn.IFS(BH38=3,VLOOKUP(BF38,Справочная_двигатели,3,FALSE),BH38=1,VLOOKUP(BF38,Справочная_двигатели,5,TRUE)),0),0)</f>
        <v>0</v>
      </c>
      <c r="DB38">
        <f>IFERROR(IF(BL38=3,VLOOKUP(BF38,Справочная_ЛЭД,2,TRUE),0),0)</f>
        <v>50</v>
      </c>
      <c r="DC38">
        <f t="shared" si="30"/>
        <v>50</v>
      </c>
      <c r="DD38" t="str">
        <f t="shared" si="31"/>
        <v>L1</v>
      </c>
      <c r="DE38" t="str" cm="1">
        <f t="array" ref="DE38">IF(D38="","",IFERROR(INDEX({"I особая","I","II","III"},MATCH(TRIM(AA38&amp;""),{"I особая","I","II","III"},0)),"III"))</f>
        <v>III</v>
      </c>
      <c r="DF38" t="str">
        <f>IF(D38="","",IF(TRIM(AB38&amp;"")&lt;&gt;"",IF(LOWER(TRIM(AB38&amp;""))="да","да","нет"),IF(IFERROR(_xlfn.XLOOKUP(AT38,Коды_код,Коды_пожарная),"")="да","да","нет")))</f>
        <v>нет</v>
      </c>
      <c r="DG38" t="str">
        <f t="shared" si="32"/>
        <v/>
      </c>
      <c r="DH38" t="str">
        <f t="shared" si="33"/>
        <v>основная</v>
      </c>
      <c r="DI38">
        <f t="shared" si="34"/>
        <v>1</v>
      </c>
      <c r="DJ38" t="str" cm="1">
        <f t="array" ref="DJ38">IF(D38="","",_xlfn.LET(_xlpm.t,IFERROR(_xlfn.XLOOKUP(1,(Шины[Шина]=DH38)*(((Шины[Щит]=A38)+(Шины[Щит]=""))&gt;0),Шины[Тип]),"")&amp;"",IF(_xlpm.t&lt;&gt;"",_xlpm.t,IF(ISNUMBER(SEARCH("ИБП",DH38)),"ИБП",IF(ISNUMBER(SEARCH("ДГУ",DH38)),"ДГУ","Ввод "&amp;DI38)))))</f>
        <v>Ввод 1</v>
      </c>
      <c r="DK38" t="str">
        <f t="shared" si="35"/>
        <v>Ввод 1</v>
      </c>
      <c r="DL38" t="str">
        <f>IF(D38="","",IF(OR(DJ38="ИБП",DJ38="ДГУ"),"I особая",IF(DJ38="Одиночная","III",_xlfn.XLOOKUP(A38,Щиты[Щит],Щиты[Категория шины «Ввод»],"III"))))</f>
        <v>II</v>
      </c>
      <c r="DM38">
        <f>IF(D38="",0,IFERROR(MATCH(DE38,{"III","II","I","I особая"},0),1))</f>
        <v>1</v>
      </c>
      <c r="DN38">
        <f t="shared" si="36"/>
        <v>1</v>
      </c>
      <c r="DO38" t="str">
        <f>IF(D38="","",IF(DM38&gt;IFERROR(MATCH(DL38,{"III","II","I","I особая"},0),1),"НЕ ОБЕСПЕЧЕНА","ОК"))</f>
        <v>ОК</v>
      </c>
      <c r="DP38" t="str">
        <f>IF(A38="","",_xlfn.XLOOKUP(A38,Щиты[Щит],Щиты[Путь],""))</f>
        <v>|ГРЩ-ЖД|ЩГП|ЩО-001|</v>
      </c>
      <c r="DQ38" t="str">
        <f>IF(D38="","",IF(Z38&lt;&gt;"",Z38,IF(IFERROR(_xlfn.XLOOKUP(AT38,Коды_код,Коды_вид)&amp;"","")="","Прочее",_xlfn.XLOOKUP(AT38,Коды_код,Коды_вид)&amp;"")))</f>
        <v>Рабочее освещение</v>
      </c>
      <c r="DR38" t="str">
        <f>IF(BD38="","",INT((BD38-1)/Столбцов_на_лист)+1)</f>
        <v/>
      </c>
      <c r="DS38" t="str">
        <f t="shared" si="37"/>
        <v>ВВГнг(А)-LS (3х1,5) L=91-0,52%</v>
      </c>
      <c r="DT38">
        <f t="shared" si="38"/>
        <v>0.1</v>
      </c>
      <c r="DU38">
        <f t="shared" si="39"/>
        <v>0.46</v>
      </c>
      <c r="DV38">
        <f t="shared" si="40"/>
        <v>1</v>
      </c>
      <c r="DW38">
        <f>IF(AT38="",0,_xlfn.LET(_xlpm.v,IFERROR(VLOOKUP(D38,УГО_спр,3,FALSE),IFERROR(VLOOKUP(AT38,УГО_спр,3,FALSE),IFERROR(VLOOKUP(LEFT(AT38,2),УГО_спр,3,FALSE),""))),IF(_xlpm.v="да",30,IF(ISNUMBER(_xlpm.v),_xlpm.v,0))))</f>
        <v>0</v>
      </c>
      <c r="DX38">
        <f t="shared" si="41"/>
        <v>0</v>
      </c>
      <c r="DY38" t="str">
        <f>IF(BD38="","",IF(AD38&lt;&gt;"",COUNTIFS(A$3:A38,A38,AD$3:AD38,"?*"),IF(OR(OR(AS38=1,A38&lt;&gt;A37),AL38="вручную"),"",IF(AS38=1,"",DZ37))))</f>
        <v/>
      </c>
      <c r="DZ38" t="str">
        <f t="shared" si="42"/>
        <v/>
      </c>
      <c r="EA38">
        <f>IF(D38="",0,MAX(IFERROR(--X38,0),IFERROR(--VLOOKUP(D38,УГО_спр,4,FALSE),IFERROR(--VLOOKUP(AT38,УГО_спр,4,FALSE),IFERROR(--VLOOKUP(LEFT(AT38,2),УГО_спр,4,FALSE),0)))))</f>
        <v>10</v>
      </c>
      <c r="EB38">
        <f>IF(D38="","",IFERROR(LOOKUP(INDEX(CHOOSE(BR38,Iдоп_1ж,Iдоп_2ж,Iдоп_3ж),MATCH(BS38,Iдоп_S,0))*BP38*BQ38,{6,10,16,20,25,32,40,50,63,80,100,125,160,200,250,315,400,500,630}),""))</f>
        <v>16</v>
      </c>
      <c r="EC38" t="str">
        <f>IF(AD38="","",SUMIFS(Линии[_Ток схемы],Линии[_гр.],DY38,Линии[Щит],A38,Линии[_в кабель выше],0))</f>
        <v/>
      </c>
      <c r="ED38" t="str">
        <f>IF(AD38="","",IFERROR(VLOOKUP(EC38,Автомат_номиналы,2,TRUE),""))</f>
        <v/>
      </c>
      <c r="EE38" t="str">
        <f>IF(AD38="","",MAX(N(ED38),_xlfn.MAXIFS(Линии[_мин. по типу],Линии[_гр.],DY38,Линии[Щит],A38)))</f>
        <v/>
      </c>
      <c r="EF38" t="str">
        <f>IF(AD38="","",_xlfn.MINIFS(Линии[_макс. автомат по кабелю],Линии[_гр.],DY38,Линии[Щит],A38))</f>
        <v/>
      </c>
      <c r="EG38" t="str">
        <f>IF(AD38="","",MAX(1,_xlfn.MAXIFS(Линии[_фаз],Линии[_гр.],DY38,Линии[Щит],A38)))</f>
        <v/>
      </c>
      <c r="EH38" t="str">
        <f>IF(AD38="","",IF(AND(AD38&lt;&gt;"авто",AD38&lt;&gt;"+"),IF(ISNUMBER(SEARCH("мА",AD38)),IFERROR(--TRIM(RIGHT(SUBSTITUTE(LEFT(AD38,SEARCH("мА",AD38)-1)," ",REPT(" ",9)),6)),30),0),IF(AE38="нет",0,IF(ISNUMBER(AE38),AE38,IF(AE38="да",30,_xlfn.MINIFS(Линии[_дифзащита по коду, мА],Линии[_гр.],DY38,Линии[Щит],A38,Линии[_дифзащита по коду, мА],"&gt;0"))))))</f>
        <v/>
      </c>
      <c r="EI38" t="str">
        <f t="shared" si="43"/>
        <v/>
      </c>
      <c r="EJ38" t="str">
        <f t="shared" si="44"/>
        <v/>
      </c>
      <c r="EK38" t="str">
        <f t="shared" si="45"/>
        <v/>
      </c>
      <c r="EL38" t="str">
        <f t="shared" si="46"/>
        <v/>
      </c>
      <c r="EM38">
        <f t="shared" si="47"/>
        <v>0</v>
      </c>
      <c r="EN38" t="str">
        <f>IF(AD38="","",IF(EM38=1,MAX(EE38,Мин_автомат_БП),EE38))</f>
        <v/>
      </c>
      <c r="EO38" t="str">
        <f t="shared" si="48"/>
        <v/>
      </c>
      <c r="EP38" t="str">
        <f t="shared" si="49"/>
        <v/>
      </c>
      <c r="EQ38" t="str">
        <f t="shared" si="50"/>
        <v/>
      </c>
      <c r="ER38" t="str">
        <f>IF(OR(AI38="",AI38="-"),"",IFERROR(VLOOKUP(AI38,Модули_спр,2,FALSE),"R"))</f>
        <v/>
      </c>
      <c r="ES38" t="str">
        <f>IF(ER38="","",ER38&amp;"."&amp;COUNTIFS(A$3:A38,A38,ER$3:ER38,ER38))</f>
        <v/>
      </c>
      <c r="ET38" t="str">
        <f t="shared" si="51"/>
        <v/>
      </c>
      <c r="EU38" t="str">
        <f t="shared" si="52"/>
        <v/>
      </c>
      <c r="EV38" t="str">
        <f t="shared" si="53"/>
        <v/>
      </c>
      <c r="EW38" t="str">
        <f t="shared" si="54"/>
        <v/>
      </c>
      <c r="EX38">
        <f t="shared" si="55"/>
        <v>1</v>
      </c>
      <c r="EY38" t="str">
        <f>IF(AK38="нет","",IF(AK38&lt;&gt;"",AK38,IF(EX38=1,"XT"&amp;COUNTIFS(A$3:A38,A38,EX$3:EX38,1),"")))</f>
        <v>XT7</v>
      </c>
      <c r="EZ38" t="str">
        <f t="shared" si="56"/>
        <v/>
      </c>
      <c r="FA38" t="str">
        <f t="shared" si="57"/>
        <v/>
      </c>
      <c r="FB38" t="str">
        <f t="shared" si="58"/>
        <v/>
      </c>
      <c r="FC38" t="str">
        <f>IF(OR(EV38="",ET38=""),"",IF(EV38&gt;IFERROR(VLOOKUP(EU38,Модули_спр,3,FALSE),99),"ЛИШНИЙ КАНАЛ",IF(AND(AJ38&lt;&gt;"=",COUNTIFS(Линии[_модуль гр.],ET38,Линии[Канал (итог)],EV38,Линии[Канал],"&lt;&gt;=",Линии[Щит],A38)&gt;1),"ДУБЛЬ КАНАЛА","")))</f>
        <v/>
      </c>
      <c r="FD38" t="str">
        <f t="shared" si="59"/>
        <v/>
      </c>
      <c r="FE38" t="str">
        <f t="shared" si="60"/>
        <v/>
      </c>
      <c r="FF38" t="str">
        <f t="shared" si="61"/>
        <v/>
      </c>
      <c r="FG38" t="str">
        <f t="shared" si="62"/>
        <v/>
      </c>
      <c r="FH38" t="str">
        <f t="shared" si="63"/>
        <v/>
      </c>
      <c r="FI38">
        <f t="shared" si="64"/>
        <v>10</v>
      </c>
      <c r="FJ38" t="str">
        <f t="shared" si="65"/>
        <v/>
      </c>
      <c r="FK38" t="str">
        <f>IF(AND(D38="",EZ38=""),"",_xlfn.TEXTJOIN("; ",TRUE,IF(AND(D38&lt;&gt;"",DD38=""),"нет фазы",""),IF(AND(D38&lt;&gt;"",N(DT38)=0,CN38&lt;&gt;"Нет"),"нет мощности",""),IF(AND(EY38&lt;&gt;"",COUNTIFS(Линии[Щит],A38,Линии[Клемма (итог)],EY38)&gt;1),"дубль клеммы "&amp;EY38,""),IF(AND(FB38&lt;&gt;"",FB38&lt;&gt;"ok"),FB38,""),IF(FC38&lt;&gt;"",FC38,""),IF(AND(ISNUMBER(SEARCH("(5х",DS38)),N(DV38)=1),"5 жил на 1 фазе",""),IF(AND(AT38="R",AD38&lt;&gt;"",OR(N(EH38)=0,N(EH38)&gt;30)),"розетка без дифзащиты до 30 мА",""),IFERROR(IF(AND(ISNUMBER(CD38),CD38&gt;CE38),"потери "&amp;FIXED(CD38,1)&amp;" % &gt; "&amp;CE38&amp;" %",""),""),IFERROR(IF(LEFT(FJ38,4)="мало","Iкз мало — отключение &gt; 0,4 с",""),""),IF(AND(D38&lt;&gt;"",BD38=""),"не на схеме","")))</f>
        <v>не на схеме</v>
      </c>
      <c r="FL38" t="str">
        <f>IF(AD38="","",_xlfn.LET(_xlpm.t,IFERROR(_xlfn.XLOOKUP(EP38,Каталог!$U$4:$U$500,Каталог!$G$4:$G$500),""),_xlpm.k,SEARCH("кА",_xlpm.t),IFERROR(--TRIM(RIGHT(SUBSTITUTE(MID(_xlpm.t,MAX(1,_xlpm.k-4),_xlpm.k-MAX(1,_xlpm.k-4))," ",REPT(" ",9)),5)),"")))</f>
        <v/>
      </c>
      <c r="FM38" t="str">
        <f>IF(OR(FL38="",AD38=""),"",IF(_xlfn.XLOOKUP(A38,Щиты[Щит],Щиты[Iкз max на шинах, кА],"")="","",IF(FL38&lt;_xlfn.XLOOKUP(A38,Щиты[Щит],Щиты[Iкз max на шинах, кА]),"Icu "&amp;FL38&amp;" кА &lt; Iкз max","ok")))</f>
        <v/>
      </c>
      <c r="FN38" t="str">
        <f t="shared" si="66"/>
        <v/>
      </c>
      <c r="FO38" t="str">
        <f t="shared" si="67"/>
        <v/>
      </c>
      <c r="FP38" t="str" cm="1">
        <f t="array" ref="FP38">IF(FO38="","",_xlfn.LET(_xlpm.nd,_xlfn.TEXTSPLIT(FO38,"|"),IF(COLUMNS(_xlpm.nd)&gt;1,A38&amp;"¦"&amp;INDEX(_xlpm.nd,1)&amp;"¦"&amp;INDEX(_xlpm.nd,2),"")))</f>
        <v/>
      </c>
      <c r="FQ38" t="str">
        <f t="shared" si="68"/>
        <v/>
      </c>
      <c r="FR38" t="str" cm="1">
        <f t="array" ref="FR38">IF(FO38="","",_xlfn.LET(_xlpm.nd,_xlfn.TEXTSPLIT(FO38,"|"),IF(COLUMNS(_xlpm.nd)&gt;2,A38&amp;"¦"&amp;INDEX(_xlpm.nd,2)&amp;"¦"&amp;INDEX(_xlpm.nd,3),"")))</f>
        <v/>
      </c>
      <c r="FS38" t="str">
        <f t="shared" si="69"/>
        <v/>
      </c>
      <c r="FT38" t="str" cm="1">
        <f t="array" ref="FT38">IF(FO38="","",_xlfn.LET(_xlpm.nd,_xlfn.TEXTSPLIT(FO38,"|"),IF(COLUMNS(_xlpm.nd)&gt;3,A38&amp;"¦"&amp;INDEX(_xlpm.nd,3)&amp;"¦"&amp;INDEX(_xlpm.nd,4),"")))</f>
        <v/>
      </c>
      <c r="FU38" t="str">
        <f t="shared" si="70"/>
        <v/>
      </c>
      <c r="FV38" t="str" cm="1">
        <f t="array" ref="FV38">IF(FO38="","",_xlfn.LET(_xlpm.nd,_xlfn.TEXTSPLIT(FO38,"|"),IF(COLUMNS(_xlpm.nd)&gt;4,A38&amp;"¦"&amp;INDEX(_xlpm.nd,4)&amp;"¦"&amp;INDEX(_xlpm.nd,5),"")))</f>
        <v/>
      </c>
      <c r="FW38" t="str">
        <f t="shared" si="71"/>
        <v/>
      </c>
      <c r="FX38" t="str" cm="1">
        <f t="array" ref="FX38">IF(FO38="","",_xlfn.LET(_xlpm.nd,_xlfn.TEXTSPLIT(FO38,"|"),IF(COLUMNS(_xlpm.nd)&gt;5,A38&amp;"¦"&amp;INDEX(_xlpm.nd,5)&amp;"¦"&amp;INDEX(_xlpm.nd,6),"")))</f>
        <v/>
      </c>
      <c r="FY38" t="str">
        <f t="shared" si="72"/>
        <v/>
      </c>
      <c r="FZ38" t="str" cm="1">
        <f t="array" ref="FZ38">IF(FO38="","",_xlfn.LET(_xlpm.nd,_xlfn.TEXTSPLIT(FO38,"|"),IF(COLUMNS(_xlpm.nd)&gt;6,A38&amp;"¦"&amp;INDEX(_xlpm.nd,6)&amp;"¦"&amp;INDEX(_xlpm.nd,7),"")))</f>
        <v/>
      </c>
      <c r="GA38" t="str">
        <f t="shared" si="73"/>
        <v/>
      </c>
      <c r="GB38" t="str">
        <f t="shared" si="74"/>
        <v/>
      </c>
      <c r="GC38" t="str">
        <f t="shared" si="75"/>
        <v>XT7</v>
      </c>
      <c r="GD38">
        <f t="shared" si="76"/>
        <v>0</v>
      </c>
      <c r="GE38">
        <f t="shared" si="77"/>
        <v>0</v>
      </c>
      <c r="GF38">
        <f t="shared" si="78"/>
        <v>0</v>
      </c>
      <c r="GG38" t="str">
        <f t="shared" si="79"/>
        <v/>
      </c>
      <c r="GH38" t="str">
        <f t="shared" si="80"/>
        <v/>
      </c>
      <c r="GI38" t="str">
        <f t="shared" si="81"/>
        <v/>
      </c>
      <c r="GJ38" t="str">
        <f t="shared" si="82"/>
        <v/>
      </c>
      <c r="GK38" t="str">
        <f>IF(D38="","",IFERROR(VLOOKUP(D38,УГО_спр,2,FALSE),IFERROR(VLOOKUP(AT38,УГО_спр,2,FALSE),IFERROR(VLOOKUP(LEFT(AT38,2),УГО_спр,2,FALSE),""))))</f>
        <v>Светильник</v>
      </c>
      <c r="GL38" t="str">
        <f>IF(D38="","",IF(OR(GK38="",GK38=0),"BOX",IFERROR(IF(VLOOKUP(GK38,УГО_блоки,3,FALSE)&amp;""&lt;&gt;"",VLOOKUP(GK38,УГО_блоки,3,FALSE),VLOOKUP(GK38,УГО_блоки,2,FALSE)),GK38)))</f>
        <v>LAMP</v>
      </c>
      <c r="GM38">
        <f t="shared" si="83"/>
        <v>1</v>
      </c>
      <c r="GN38" t="str">
        <f>IF(EP38="","",IF(COUNTIF(EP$3:EP38,EP38)=1,MAX(GN$2:GN37)+1,""))</f>
        <v/>
      </c>
      <c r="GO38" t="str">
        <f>IF(AF38="","",IF(COUNTIF(AF$3:AF38,AF38)+COUNTIF(AG$2:AG37,AF38)+COUNTIF(AH$2:AH37,AF38)=1,MAX(GO$2:GQ37)+1,""))</f>
        <v/>
      </c>
      <c r="GP38" t="str">
        <f>IF(AG38="","",IF(COUNTIF(AF$3:AF38,AG38)+COUNTIF(AG$3:AG38,AG38)+COUNTIF(AH$2:AH37,AG38)=1,MAX(GO$2:GQ37,GO38)+1,""))</f>
        <v/>
      </c>
      <c r="GQ38" t="str">
        <f>IF(AH38="","",IF(COUNTIF(AF$3:AF38,AH38)+COUNTIF(AG$3:AG38,AH38)+COUNTIF(AH$3:AH38,AH38)=1,MAX(GO$2:GQ37,GO38,GP38)+1,""))</f>
        <v/>
      </c>
      <c r="GR38" t="str">
        <f t="shared" si="84"/>
        <v>3х1,5</v>
      </c>
      <c r="GS38" t="str">
        <f>IF(GR38="","",IF(COUNTIF(GR$3:GR38,GR38)=1,MAX(GS$2:GS37)+1,""))</f>
        <v/>
      </c>
      <c r="GT38" t="str">
        <f>IF(ES38="","",COUNTIF(ES$3:ES38,"?*"))</f>
        <v/>
      </c>
      <c r="GU38" t="str">
        <f>IF(OR(ES38="",EU38=""),"",IF(COUNTIFS(ES$3:ES38,"?*",EU$3:EU38,EU38)=1,MAX(GU$2:GU37)+1,""))</f>
        <v/>
      </c>
      <c r="GV38">
        <f t="shared" si="85"/>
        <v>1</v>
      </c>
      <c r="GW38">
        <f>IF(D38="","",COUNTIF(D$3:D38,"?*"))</f>
        <v>36</v>
      </c>
      <c r="GX38">
        <f>IF(EX38&lt;&gt;1,0,_xlfn.LET(_xlpm.k,MAX(IFERROR(--VLOOKUP(D38,УГО_спр,5,FALSE),0),IFERROR(--VLOOKUP(AT38,УГО_спр,5,FALSE),0),IFERROR(--VLOOKUP(LEFT(AT38,2),УГО_спр,5,FALSE),0)),IF(_xlpm.k&gt;0,_xlpm.k,IF(IFERROR(--LEFT(SUBSTITUTE(GR38,"x","х"),FIND("х",SUBSTITUTE(GR38,"x","х"))-1),3)&gt;3,Каталог!$S$9,1))))</f>
        <v>1</v>
      </c>
      <c r="GY38">
        <f t="shared" si="86"/>
        <v>0</v>
      </c>
    </row>
    <row r="39" spans="1:207" x14ac:dyDescent="0.3">
      <c r="A39" t="s">
        <v>1146</v>
      </c>
      <c r="B39" t="s">
        <v>531</v>
      </c>
      <c r="C39" t="str">
        <f>IF(BD39="","",IF(BE39="вводной узел","узел ","")&amp;"л."&amp;(INT((BD39-1)/Столбцов_на_лист)+1)&amp;" / "&amp;(MOD(BD39-1,Столбцов_на_лист)+1))</f>
        <v/>
      </c>
      <c r="D39" t="s">
        <v>1312</v>
      </c>
      <c r="E39" s="133" t="str">
        <f t="shared" si="87"/>
        <v>Осветительная группа Подвальный этаж Пом. №003Tб</v>
      </c>
      <c r="G39">
        <v>0.1</v>
      </c>
      <c r="H39">
        <v>3</v>
      </c>
      <c r="I39">
        <v>1</v>
      </c>
      <c r="J39">
        <v>230</v>
      </c>
      <c r="K39" t="s">
        <v>566</v>
      </c>
      <c r="P39">
        <v>32</v>
      </c>
      <c r="Q39">
        <v>13</v>
      </c>
      <c r="R39">
        <v>0</v>
      </c>
      <c r="S39">
        <v>42</v>
      </c>
      <c r="U39" t="s">
        <v>11</v>
      </c>
      <c r="V39">
        <v>3</v>
      </c>
      <c r="W39">
        <v>1.5</v>
      </c>
      <c r="Z39" t="s">
        <v>559</v>
      </c>
      <c r="AR39" t="str">
        <f t="shared" si="0"/>
        <v>не на схеме</v>
      </c>
      <c r="AS39" cm="1">
        <f t="array" ref="AS39">ROW()-ROW(Линии[#Headers])</f>
        <v>37</v>
      </c>
      <c r="AT39" t="str">
        <f t="shared" si="1"/>
        <v>L</v>
      </c>
      <c r="AU39" t="str">
        <f t="shared" si="2"/>
        <v>00.003Tб.1</v>
      </c>
      <c r="AV39" t="str">
        <f t="shared" si="3"/>
        <v>00</v>
      </c>
      <c r="AW39" t="str">
        <f t="shared" si="4"/>
        <v>003Tб.1</v>
      </c>
      <c r="AX39" t="str">
        <f t="shared" si="5"/>
        <v>003Tб</v>
      </c>
      <c r="AY39" t="str">
        <f>IF(D39="","",IF(ISERROR(SEARCH(".",D39)),IFERROR(VLOOKUP(D39,Потребители_обозначение,2,FALSE)&amp;"",""),IFERROR(IF(VLOOKUP(AT39,Потребители_обозначение,4,FALSE)=1,VLOOKUP(AT39,Потребители_обозначение,2,FALSE)&amp;" "&amp;VLOOKUP(AV39,Этаж_обозначение,2,FALSE)&amp;" Пом. №"&amp;AX39,VLOOKUP(AT39,Потребители_обозначение,2,FALSE)&amp;" Шлейф №"&amp;AV39),IFERROR(VLOOKUP(D39,Потребители_обозначение,2,FALSE),""))))</f>
        <v>Осветительная группа Подвальный этаж Пом. №003Tб</v>
      </c>
      <c r="AZ39" t="str">
        <f t="shared" si="6"/>
        <v>Осветительная группа Подвальный этаж Пом. №003Tб</v>
      </c>
      <c r="BA39" t="str">
        <f>IF(F39&lt;&gt;"",F39,IF(AND(D39&lt;&gt;"",D39&lt;&gt;A39,ISNUMBER(_xlfn.XMATCH(D39,Щиты[Щит]))),D39,""))</f>
        <v/>
      </c>
      <c r="BB39">
        <f>IFERROR(_xlfn.XMATCH(A39,Щиты[Щит]),0)</f>
        <v>3</v>
      </c>
      <c r="BC39">
        <f>IFERROR(N(_xlfn.XLOOKUP(A39,Щиты[Щит],Щиты[Мест под вводной узел])),15)</f>
        <v>15</v>
      </c>
      <c r="BD39" t="str">
        <f t="shared" si="7"/>
        <v/>
      </c>
      <c r="BE39" t="str">
        <f t="shared" si="8"/>
        <v/>
      </c>
      <c r="BF39">
        <f>IF(D39="","",IF(BA39&lt;&gt;"",IFERROR(_xlfn.XLOOKUP(BA39,Щиты[Щит],Щиты[Руст, кВт]),0),N(G39)))</f>
        <v>0.1</v>
      </c>
      <c r="BG39">
        <f>IF(J39&lt;&gt;"",J39,IF(D39="","",IFERROR(IF(VLOOKUP(AT39,Потребители_обозначение,8,FALSE)=0,"",VLOOKUP(AT39,Потребители_обозначение,8,FALSE)),"")))</f>
        <v>230</v>
      </c>
      <c r="BH39">
        <f>IF(I39&lt;&gt;"",I39,IF(D39="","",IFERROR(IF(VLOOKUP(AT39,Потребители_обозначение,9,FALSE)=0,"",VLOOKUP(AT39,Потребители_обозначение,9,FALSE)),"")))</f>
        <v>1</v>
      </c>
      <c r="BI39" t="str">
        <f>IF(U39&lt;&gt;"",U39,IF(D39="","",IFERROR(IF(VLOOKUP(AT39,Потребители_обозначение,6,FALSE)=0,"",VLOOKUP(AT39,Потребители_обозначение,6,FALSE)),"")))</f>
        <v>мс</v>
      </c>
      <c r="BJ39">
        <f>IF(V39&lt;&gt;"",V39,IF(D39="","",IFERROR(IF(VLOOKUP(AT39,Потребители_обозначение,7,FALSE)=0,"",VLOOKUP(AT39,Потребители_обозначение,7,FALSE)),"")))</f>
        <v>3</v>
      </c>
      <c r="BK39">
        <f>IF(W39&lt;&gt;"",W39,IF(D39="","",IFERROR(IF(VLOOKUP(AT39,Потребители_обозначение,10,FALSE)=0,"",VLOOKUP(AT39,Потребители_обозначение,10,FALSE)),"")))</f>
        <v>1.5</v>
      </c>
      <c r="BL39">
        <f>IFERROR(VLOOKUP(AT39,Потребители_обозначение,5,FALSE),0)</f>
        <v>3</v>
      </c>
      <c r="BM39" cm="1">
        <f t="array" ref="BM39">IF(D39="","",IF(BA39&lt;&gt;"",IFERROR(_xlfn.XLOOKUP(BA39,Щиты[Щит],Щиты[cos φ]),0.95),IF(ISNUMBER(M39),M39,IFERROR(IF(BL39=2,_xlfn.IFS(BH39=3,VLOOKUP(BF39,Справочная_двигатели,8,FALSE),BH39=1,VLOOKUP(BF39,Справочная_двигатели,10,TRUE)),IF(AND(Методика="нормы 2026",CN39="Сил"),0.8,0.95)),0.95))))</f>
        <v>0.95</v>
      </c>
      <c r="BN39" cm="1">
        <f t="array" ref="BN39">IF(D39="","",IF(BA39&lt;&gt;"",IFERROR(_xlfn.XLOOKUP(BA39,Щиты[Щит],Щиты[Iр, А]),""),IFERROR(_xlfn.IFS(BH39=1,BF39/((Uн_лин/SQRT(3))*BM39),BH39=3,BF39/(SQRT(3)*Uн_лин*BM39)),"")))</f>
        <v>0.455802844097073</v>
      </c>
      <c r="BO39">
        <f>IF(D39="","",IF(N(X39)=0,IFERROR(VLOOKUP(BN39,Автомат_номиналы,2,TRUE),""),X39))</f>
        <v>6</v>
      </c>
      <c r="BP39">
        <f t="shared" si="9"/>
        <v>1</v>
      </c>
      <c r="BQ39">
        <f>IF(ISNUMBER(Y39),Y39,К_прокл)</f>
        <v>1</v>
      </c>
      <c r="BR39">
        <f t="shared" si="10"/>
        <v>2</v>
      </c>
      <c r="BS39" cm="1">
        <f t="array" ref="BS39">IF(D39="","",IF(N(BK39)&lt;&gt;0,BK39,IFERROR(_xlfn.LET(_xlpm.need,BO39/(BP39*BQ39),_xlpm.t,CHOOSE(BR39,Iдоп_1ж,Iдоп_2ж,Iдоп_3ж),_xlpm.k,_xlfn.XMATCH(_xlpm.need,_xlpm.t,1),IF(ISNA(_xlpm.k),"Не исп",INDEX(Iдоп_S,_xlpm.k))),"Не исп")))</f>
        <v>1.5</v>
      </c>
      <c r="BT39">
        <f>IFERROR(VLOOKUP(BS39,Кабель_сопротивление,3,FALSE),"")</f>
        <v>2.2499999999999999E-2</v>
      </c>
      <c r="BU39">
        <f>IFERROR(VLOOKUP(BS39,Кабель_сопротивление,2,FALSE),"")</f>
        <v>0.11</v>
      </c>
      <c r="BV39">
        <f t="shared" si="11"/>
        <v>32</v>
      </c>
      <c r="BW39">
        <f>IF(D39="","",IFERROR(IF(VLOOKUP(AT39,Потребители_обозначение,4,FALSE)=1,VLOOKUP(AT39,Потребители_обозначение,3,FALSE)*(H39*2-1)+BV39+VLOOKUP(AV39,Этаж_обозначение,3,FALSE)+VLOOKUP(AV39,Этаж_обозначение,4,FALSE),VLOOKUP(AT39,Потребители_обозначение,3,FALSE)*(H39*2-1)+BV39),BV39))</f>
        <v>37</v>
      </c>
      <c r="BX39">
        <f t="shared" si="12"/>
        <v>0</v>
      </c>
      <c r="BY39">
        <f t="shared" si="13"/>
        <v>42</v>
      </c>
      <c r="BZ39">
        <f t="shared" si="14"/>
        <v>2</v>
      </c>
      <c r="CA39">
        <f t="shared" si="15"/>
        <v>0.31</v>
      </c>
      <c r="CB39">
        <f t="shared" si="16"/>
        <v>0.48179427199715807</v>
      </c>
      <c r="CC39">
        <f>IFERROR(ROUNDUP(CB39/((Uн_лин/SQRT(3))*1000)*100,2),"")</f>
        <v>0.21000000000000002</v>
      </c>
      <c r="CD39">
        <f>IF(ISNUMBER(CC39),CC39+IFERROR(_xlfn.XLOOKUP(A39,Щиты[Щит],Щиты[ΔU до шин, %]),0),"")</f>
        <v>0.38</v>
      </c>
      <c r="CE39">
        <f>IF(D39="","",IF(IFERROR(VLOOKUP(AT39,УГО_спр,2,FALSE),"")="Светильник",3,4)+IF(Методика="нормы 2026",MIN(0.5,MAX(0,N(BW39)-100)*0.005),0))</f>
        <v>3</v>
      </c>
      <c r="CF39" t="str">
        <f>IFERROR(VLOOKUP(BI39,Кабель_обозначение,2,FALSE),"")</f>
        <v>ВВГнг(А)-LS</v>
      </c>
      <c r="CG39" t="str">
        <f>IFERROR(IF(VLOOKUP(BI39,Кабель_обозначение,3,FALSE)=1,CF39&amp;" ("&amp;BJ39&amp;"х"&amp;BS39&amp;")",CF39),"")</f>
        <v>ВВГнг(А)-LS (3х1,5)</v>
      </c>
      <c r="CH39" t="str">
        <f t="shared" si="17"/>
        <v>ВВГнг(А)-LS (3х1,5)
L=37-0,21%</v>
      </c>
      <c r="CI39">
        <f>IFERROR(2*ρкз_Cu*BW39/BS39,"")</f>
        <v>1.2974666666666665</v>
      </c>
      <c r="CJ39">
        <f t="shared" si="18"/>
        <v>0.4316666666666667</v>
      </c>
      <c r="CK39" t="str">
        <f>IFERROR(IF(OR(D39="",NOT(ISNUMBER(BS39)),N(BW39)=0),"",_xlfn.XLOOKUP(A39,Щиты[Щит],Щиты[Zпетли на шинах, Ом])+CI39),"")</f>
        <v/>
      </c>
      <c r="CL39" t="str">
        <f>IF(ISNUMBER(CK39),c_min*(Uн_лин*1000/SQRT(3))/CK39,"")</f>
        <v/>
      </c>
      <c r="CM39" t="str">
        <f>IFERROR(IF(OR(D39="",NOT(ISNUMBER(BS39))),"",1.05*(Uн_лин*1000/SQRT(3))/(_xlfn.XLOOKUP(A39,Щиты[Щит],Щиты[Zmax на шинах, Ом])+CJ39)/1000),"")</f>
        <v/>
      </c>
      <c r="CN39" t="str">
        <f>IF(D39="","",IF(BA39&lt;&gt;"","Щит",IF(K39&lt;&gt;"",K39,IF(ISNUMBER(L39),"Сил",IF(IFERROR(_xlfn.XLOOKUP(AT39,Коды_код,Коды_группа)&amp;"","")="","Быт",_xlfn.XLOOKUP(AT39,Коды_код,Коды_группа)&amp;"")))))</f>
        <v>Быт</v>
      </c>
      <c r="CO39">
        <f>IF(CN39="Щит","щит",IF(CN39="","",IF(CN39="Быт",IFERROR(_xlfn.XLOOKUP(A39,Щиты[Щит],Щиты[Кс быт]),1),IF(CN39="Сил",IF(ISNUMBER(L39),L39,IF(Методика="нормы 2026",IFERROR(_xlfn.XLOOKUP(A39,Щиты[Щит],Щиты[Кс силовых (табл. 7.5)]),1),1)),IF(OR(CN39="Пост",CN39="Отоп"),1,IF(CN39="ВНГ",0.7,0))))))</f>
        <v>0.8</v>
      </c>
      <c r="CP39">
        <f t="shared" si="19"/>
        <v>1</v>
      </c>
      <c r="CQ39">
        <f t="shared" si="20"/>
        <v>0.1</v>
      </c>
      <c r="CR39">
        <f t="shared" si="21"/>
        <v>0.1</v>
      </c>
      <c r="CS39">
        <f t="shared" si="22"/>
        <v>0</v>
      </c>
      <c r="CT39">
        <f t="shared" si="23"/>
        <v>0</v>
      </c>
      <c r="CU39">
        <f t="shared" si="24"/>
        <v>0</v>
      </c>
      <c r="CV39">
        <f t="shared" si="25"/>
        <v>0</v>
      </c>
      <c r="CW39">
        <f t="shared" si="26"/>
        <v>0.1</v>
      </c>
      <c r="CX39">
        <f t="shared" si="27"/>
        <v>9.5000000000000001E-2</v>
      </c>
      <c r="CY39">
        <f t="shared" si="28"/>
        <v>2</v>
      </c>
      <c r="CZ39" t="str">
        <f t="shared" si="29"/>
        <v>L2</v>
      </c>
      <c r="DA39" cm="1">
        <f t="array" ref="DA39">IFERROR(IF(BL39=2,_xlfn.IFS(BH39=3,VLOOKUP(BF39,Справочная_двигатели,3,FALSE),BH39=1,VLOOKUP(BF39,Справочная_двигатели,5,TRUE)),0),0)</f>
        <v>0</v>
      </c>
      <c r="DB39">
        <f>IFERROR(IF(BL39=3,VLOOKUP(BF39,Справочная_ЛЭД,2,TRUE),0),0)</f>
        <v>50</v>
      </c>
      <c r="DC39">
        <f t="shared" si="30"/>
        <v>50</v>
      </c>
      <c r="DD39" t="str">
        <f t="shared" si="31"/>
        <v>L2</v>
      </c>
      <c r="DE39" t="str" cm="1">
        <f t="array" ref="DE39">IF(D39="","",IFERROR(INDEX({"I особая","I","II","III"},MATCH(TRIM(AA39&amp;""),{"I особая","I","II","III"},0)),"III"))</f>
        <v>III</v>
      </c>
      <c r="DF39" t="str">
        <f>IF(D39="","",IF(TRIM(AB39&amp;"")&lt;&gt;"",IF(LOWER(TRIM(AB39&amp;""))="да","да","нет"),IF(IFERROR(_xlfn.XLOOKUP(AT39,Коды_код,Коды_пожарная),"")="да","да","нет")))</f>
        <v>нет</v>
      </c>
      <c r="DG39" t="str">
        <f t="shared" si="32"/>
        <v/>
      </c>
      <c r="DH39" t="str">
        <f t="shared" si="33"/>
        <v>основная</v>
      </c>
      <c r="DI39">
        <f t="shared" si="34"/>
        <v>1</v>
      </c>
      <c r="DJ39" t="str" cm="1">
        <f t="array" ref="DJ39">IF(D39="","",_xlfn.LET(_xlpm.t,IFERROR(_xlfn.XLOOKUP(1,(Шины[Шина]=DH39)*(((Шины[Щит]=A39)+(Шины[Щит]=""))&gt;0),Шины[Тип]),"")&amp;"",IF(_xlpm.t&lt;&gt;"",_xlpm.t,IF(ISNUMBER(SEARCH("ИБП",DH39)),"ИБП",IF(ISNUMBER(SEARCH("ДГУ",DH39)),"ДГУ","Ввод "&amp;DI39)))))</f>
        <v>Ввод 1</v>
      </c>
      <c r="DK39" t="str">
        <f t="shared" si="35"/>
        <v>Ввод 1</v>
      </c>
      <c r="DL39" t="str">
        <f>IF(D39="","",IF(OR(DJ39="ИБП",DJ39="ДГУ"),"I особая",IF(DJ39="Одиночная","III",_xlfn.XLOOKUP(A39,Щиты[Щит],Щиты[Категория шины «Ввод»],"III"))))</f>
        <v>II</v>
      </c>
      <c r="DM39">
        <f>IF(D39="",0,IFERROR(MATCH(DE39,{"III","II","I","I особая"},0),1))</f>
        <v>1</v>
      </c>
      <c r="DN39">
        <f t="shared" si="36"/>
        <v>1</v>
      </c>
      <c r="DO39" t="str">
        <f>IF(D39="","",IF(DM39&gt;IFERROR(MATCH(DL39,{"III","II","I","I особая"},0),1),"НЕ ОБЕСПЕЧЕНА","ОК"))</f>
        <v>ОК</v>
      </c>
      <c r="DP39" t="str">
        <f>IF(A39="","",_xlfn.XLOOKUP(A39,Щиты[Щит],Щиты[Путь],""))</f>
        <v>|ГРЩ-ЖД|ЩГП|ЩО-001|</v>
      </c>
      <c r="DQ39" t="str">
        <f>IF(D39="","",IF(Z39&lt;&gt;"",Z39,IF(IFERROR(_xlfn.XLOOKUP(AT39,Коды_код,Коды_вид)&amp;"","")="","Прочее",_xlfn.XLOOKUP(AT39,Коды_код,Коды_вид)&amp;"")))</f>
        <v>Рабочее освещение</v>
      </c>
      <c r="DR39" t="str">
        <f>IF(BD39="","",INT((BD39-1)/Столбцов_на_лист)+1)</f>
        <v/>
      </c>
      <c r="DS39" t="str">
        <f t="shared" si="37"/>
        <v>ВВГнг(А)-LS (3х1,5) L=37-0,21%</v>
      </c>
      <c r="DT39">
        <f t="shared" si="38"/>
        <v>0.1</v>
      </c>
      <c r="DU39">
        <f t="shared" si="39"/>
        <v>0.46</v>
      </c>
      <c r="DV39">
        <f t="shared" si="40"/>
        <v>1</v>
      </c>
      <c r="DW39">
        <f>IF(AT39="",0,_xlfn.LET(_xlpm.v,IFERROR(VLOOKUP(D39,УГО_спр,3,FALSE),IFERROR(VLOOKUP(AT39,УГО_спр,3,FALSE),IFERROR(VLOOKUP(LEFT(AT39,2),УГО_спр,3,FALSE),""))),IF(_xlpm.v="да",30,IF(ISNUMBER(_xlpm.v),_xlpm.v,0))))</f>
        <v>0</v>
      </c>
      <c r="DX39">
        <f t="shared" si="41"/>
        <v>0</v>
      </c>
      <c r="DY39" t="str">
        <f>IF(BD39="","",IF(AD39&lt;&gt;"",COUNTIFS(A$3:A39,A39,AD$3:AD39,"?*"),IF(OR(OR(AS39=1,A39&lt;&gt;A38),AL39="вручную"),"",IF(AS39=1,"",DZ38))))</f>
        <v/>
      </c>
      <c r="DZ39" t="str">
        <f t="shared" si="42"/>
        <v/>
      </c>
      <c r="EA39">
        <f>IF(D39="",0,MAX(IFERROR(--X39,0),IFERROR(--VLOOKUP(D39,УГО_спр,4,FALSE),IFERROR(--VLOOKUP(AT39,УГО_спр,4,FALSE),IFERROR(--VLOOKUP(LEFT(AT39,2),УГО_спр,4,FALSE),0)))))</f>
        <v>10</v>
      </c>
      <c r="EB39">
        <f>IF(D39="","",IFERROR(LOOKUP(INDEX(CHOOSE(BR39,Iдоп_1ж,Iдоп_2ж,Iдоп_3ж),MATCH(BS39,Iдоп_S,0))*BP39*BQ39,{6,10,16,20,25,32,40,50,63,80,100,125,160,200,250,315,400,500,630}),""))</f>
        <v>16</v>
      </c>
      <c r="EC39" t="str">
        <f>IF(AD39="","",SUMIFS(Линии[_Ток схемы],Линии[_гр.],DY39,Линии[Щит],A39,Линии[_в кабель выше],0))</f>
        <v/>
      </c>
      <c r="ED39" t="str">
        <f>IF(AD39="","",IFERROR(VLOOKUP(EC39,Автомат_номиналы,2,TRUE),""))</f>
        <v/>
      </c>
      <c r="EE39" t="str">
        <f>IF(AD39="","",MAX(N(ED39),_xlfn.MAXIFS(Линии[_мин. по типу],Линии[_гр.],DY39,Линии[Щит],A39)))</f>
        <v/>
      </c>
      <c r="EF39" t="str">
        <f>IF(AD39="","",_xlfn.MINIFS(Линии[_макс. автомат по кабелю],Линии[_гр.],DY39,Линии[Щит],A39))</f>
        <v/>
      </c>
      <c r="EG39" t="str">
        <f>IF(AD39="","",MAX(1,_xlfn.MAXIFS(Линии[_фаз],Линии[_гр.],DY39,Линии[Щит],A39)))</f>
        <v/>
      </c>
      <c r="EH39" t="str">
        <f>IF(AD39="","",IF(AND(AD39&lt;&gt;"авто",AD39&lt;&gt;"+"),IF(ISNUMBER(SEARCH("мА",AD39)),IFERROR(--TRIM(RIGHT(SUBSTITUTE(LEFT(AD39,SEARCH("мА",AD39)-1)," ",REPT(" ",9)),6)),30),0),IF(AE39="нет",0,IF(ISNUMBER(AE39),AE39,IF(AE39="да",30,_xlfn.MINIFS(Линии[_дифзащита по коду, мА],Линии[_гр.],DY39,Линии[Щит],A39,Линии[_дифзащита по коду, мА],"&gt;0"))))))</f>
        <v/>
      </c>
      <c r="EI39" t="str">
        <f t="shared" si="43"/>
        <v/>
      </c>
      <c r="EJ39" t="str">
        <f t="shared" si="44"/>
        <v/>
      </c>
      <c r="EK39" t="str">
        <f t="shared" si="45"/>
        <v/>
      </c>
      <c r="EL39" t="str">
        <f t="shared" si="46"/>
        <v/>
      </c>
      <c r="EM39">
        <f t="shared" si="47"/>
        <v>0</v>
      </c>
      <c r="EN39" t="str">
        <f>IF(AD39="","",IF(EM39=1,MAX(EE39,Мин_автомат_БП),EE39))</f>
        <v/>
      </c>
      <c r="EO39" t="str">
        <f t="shared" si="48"/>
        <v/>
      </c>
      <c r="EP39" t="str">
        <f t="shared" si="49"/>
        <v/>
      </c>
      <c r="EQ39" t="str">
        <f t="shared" si="50"/>
        <v/>
      </c>
      <c r="ER39" t="str">
        <f>IF(OR(AI39="",AI39="-"),"",IFERROR(VLOOKUP(AI39,Модули_спр,2,FALSE),"R"))</f>
        <v/>
      </c>
      <c r="ES39" t="str">
        <f>IF(ER39="","",ER39&amp;"."&amp;COUNTIFS(A$3:A39,A39,ER$3:ER39,ER39))</f>
        <v/>
      </c>
      <c r="ET39" t="str">
        <f t="shared" si="51"/>
        <v/>
      </c>
      <c r="EU39" t="str">
        <f t="shared" si="52"/>
        <v/>
      </c>
      <c r="EV39" t="str">
        <f t="shared" si="53"/>
        <v/>
      </c>
      <c r="EW39" t="str">
        <f t="shared" si="54"/>
        <v/>
      </c>
      <c r="EX39">
        <f t="shared" si="55"/>
        <v>1</v>
      </c>
      <c r="EY39" t="str">
        <f>IF(AK39="нет","",IF(AK39&lt;&gt;"",AK39,IF(EX39=1,"XT"&amp;COUNTIFS(A$3:A39,A39,EX$3:EX39,1),"")))</f>
        <v>XT8</v>
      </c>
      <c r="EZ39" t="str">
        <f t="shared" si="56"/>
        <v/>
      </c>
      <c r="FA39" t="str">
        <f t="shared" si="57"/>
        <v/>
      </c>
      <c r="FB39" t="str">
        <f t="shared" si="58"/>
        <v/>
      </c>
      <c r="FC39" t="str">
        <f>IF(OR(EV39="",ET39=""),"",IF(EV39&gt;IFERROR(VLOOKUP(EU39,Модули_спр,3,FALSE),99),"ЛИШНИЙ КАНАЛ",IF(AND(AJ39&lt;&gt;"=",COUNTIFS(Линии[_модуль гр.],ET39,Линии[Канал (итог)],EV39,Линии[Канал],"&lt;&gt;=",Линии[Щит],A39)&gt;1),"ДУБЛЬ КАНАЛА","")))</f>
        <v/>
      </c>
      <c r="FD39" t="str">
        <f t="shared" si="59"/>
        <v/>
      </c>
      <c r="FE39" t="str">
        <f t="shared" si="60"/>
        <v/>
      </c>
      <c r="FF39" t="str">
        <f t="shared" si="61"/>
        <v/>
      </c>
      <c r="FG39" t="str">
        <f t="shared" si="62"/>
        <v/>
      </c>
      <c r="FH39" t="str">
        <f t="shared" si="63"/>
        <v/>
      </c>
      <c r="FI39">
        <f t="shared" si="64"/>
        <v>10</v>
      </c>
      <c r="FJ39" t="str">
        <f t="shared" si="65"/>
        <v/>
      </c>
      <c r="FK39" t="str">
        <f>IF(AND(D39="",EZ39=""),"",_xlfn.TEXTJOIN("; ",TRUE,IF(AND(D39&lt;&gt;"",DD39=""),"нет фазы",""),IF(AND(D39&lt;&gt;"",N(DT39)=0,CN39&lt;&gt;"Нет"),"нет мощности",""),IF(AND(EY39&lt;&gt;"",COUNTIFS(Линии[Щит],A39,Линии[Клемма (итог)],EY39)&gt;1),"дубль клеммы "&amp;EY39,""),IF(AND(FB39&lt;&gt;"",FB39&lt;&gt;"ok"),FB39,""),IF(FC39&lt;&gt;"",FC39,""),IF(AND(ISNUMBER(SEARCH("(5х",DS39)),N(DV39)=1),"5 жил на 1 фазе",""),IF(AND(AT39="R",AD39&lt;&gt;"",OR(N(EH39)=0,N(EH39)&gt;30)),"розетка без дифзащиты до 30 мА",""),IFERROR(IF(AND(ISNUMBER(CD39),CD39&gt;CE39),"потери "&amp;FIXED(CD39,1)&amp;" % &gt; "&amp;CE39&amp;" %",""),""),IFERROR(IF(LEFT(FJ39,4)="мало","Iкз мало — отключение &gt; 0,4 с",""),""),IF(AND(D39&lt;&gt;"",BD39=""),"не на схеме","")))</f>
        <v>не на схеме</v>
      </c>
      <c r="FL39" t="str">
        <f>IF(AD39="","",_xlfn.LET(_xlpm.t,IFERROR(_xlfn.XLOOKUP(EP39,Каталог!$U$4:$U$500,Каталог!$G$4:$G$500),""),_xlpm.k,SEARCH("кА",_xlpm.t),IFERROR(--TRIM(RIGHT(SUBSTITUTE(MID(_xlpm.t,MAX(1,_xlpm.k-4),_xlpm.k-MAX(1,_xlpm.k-4))," ",REPT(" ",9)),5)),"")))</f>
        <v/>
      </c>
      <c r="FM39" t="str">
        <f>IF(OR(FL39="",AD39=""),"",IF(_xlfn.XLOOKUP(A39,Щиты[Щит],Щиты[Iкз max на шинах, кА],"")="","",IF(FL39&lt;_xlfn.XLOOKUP(A39,Щиты[Щит],Щиты[Iкз max на шинах, кА]),"Icu "&amp;FL39&amp;" кА &lt; Iкз max","ok")))</f>
        <v/>
      </c>
      <c r="FN39" t="str">
        <f t="shared" si="66"/>
        <v/>
      </c>
      <c r="FO39" t="str">
        <f t="shared" si="67"/>
        <v/>
      </c>
      <c r="FP39" t="str" cm="1">
        <f t="array" ref="FP39">IF(FO39="","",_xlfn.LET(_xlpm.nd,_xlfn.TEXTSPLIT(FO39,"|"),IF(COLUMNS(_xlpm.nd)&gt;1,A39&amp;"¦"&amp;INDEX(_xlpm.nd,1)&amp;"¦"&amp;INDEX(_xlpm.nd,2),"")))</f>
        <v/>
      </c>
      <c r="FQ39" t="str">
        <f t="shared" si="68"/>
        <v/>
      </c>
      <c r="FR39" t="str" cm="1">
        <f t="array" ref="FR39">IF(FO39="","",_xlfn.LET(_xlpm.nd,_xlfn.TEXTSPLIT(FO39,"|"),IF(COLUMNS(_xlpm.nd)&gt;2,A39&amp;"¦"&amp;INDEX(_xlpm.nd,2)&amp;"¦"&amp;INDEX(_xlpm.nd,3),"")))</f>
        <v/>
      </c>
      <c r="FS39" t="str">
        <f t="shared" si="69"/>
        <v/>
      </c>
      <c r="FT39" t="str" cm="1">
        <f t="array" ref="FT39">IF(FO39="","",_xlfn.LET(_xlpm.nd,_xlfn.TEXTSPLIT(FO39,"|"),IF(COLUMNS(_xlpm.nd)&gt;3,A39&amp;"¦"&amp;INDEX(_xlpm.nd,3)&amp;"¦"&amp;INDEX(_xlpm.nd,4),"")))</f>
        <v/>
      </c>
      <c r="FU39" t="str">
        <f t="shared" si="70"/>
        <v/>
      </c>
      <c r="FV39" t="str" cm="1">
        <f t="array" ref="FV39">IF(FO39="","",_xlfn.LET(_xlpm.nd,_xlfn.TEXTSPLIT(FO39,"|"),IF(COLUMNS(_xlpm.nd)&gt;4,A39&amp;"¦"&amp;INDEX(_xlpm.nd,4)&amp;"¦"&amp;INDEX(_xlpm.nd,5),"")))</f>
        <v/>
      </c>
      <c r="FW39" t="str">
        <f t="shared" si="71"/>
        <v/>
      </c>
      <c r="FX39" t="str" cm="1">
        <f t="array" ref="FX39">IF(FO39="","",_xlfn.LET(_xlpm.nd,_xlfn.TEXTSPLIT(FO39,"|"),IF(COLUMNS(_xlpm.nd)&gt;5,A39&amp;"¦"&amp;INDEX(_xlpm.nd,5)&amp;"¦"&amp;INDEX(_xlpm.nd,6),"")))</f>
        <v/>
      </c>
      <c r="FY39" t="str">
        <f t="shared" si="72"/>
        <v/>
      </c>
      <c r="FZ39" t="str" cm="1">
        <f t="array" ref="FZ39">IF(FO39="","",_xlfn.LET(_xlpm.nd,_xlfn.TEXTSPLIT(FO39,"|"),IF(COLUMNS(_xlpm.nd)&gt;6,A39&amp;"¦"&amp;INDEX(_xlpm.nd,6)&amp;"¦"&amp;INDEX(_xlpm.nd,7),"")))</f>
        <v/>
      </c>
      <c r="GA39" t="str">
        <f t="shared" si="73"/>
        <v/>
      </c>
      <c r="GB39" t="str">
        <f t="shared" si="74"/>
        <v/>
      </c>
      <c r="GC39" t="str">
        <f t="shared" si="75"/>
        <v>XT8</v>
      </c>
      <c r="GD39">
        <f t="shared" si="76"/>
        <v>0</v>
      </c>
      <c r="GE39">
        <f t="shared" si="77"/>
        <v>0</v>
      </c>
      <c r="GF39">
        <f t="shared" si="78"/>
        <v>0</v>
      </c>
      <c r="GG39" t="str">
        <f t="shared" si="79"/>
        <v/>
      </c>
      <c r="GH39" t="str">
        <f t="shared" si="80"/>
        <v/>
      </c>
      <c r="GI39" t="str">
        <f t="shared" si="81"/>
        <v/>
      </c>
      <c r="GJ39" t="str">
        <f t="shared" si="82"/>
        <v/>
      </c>
      <c r="GK39" t="str">
        <f>IF(D39="","",IFERROR(VLOOKUP(D39,УГО_спр,2,FALSE),IFERROR(VLOOKUP(AT39,УГО_спр,2,FALSE),IFERROR(VLOOKUP(LEFT(AT39,2),УГО_спр,2,FALSE),""))))</f>
        <v>Светильник</v>
      </c>
      <c r="GL39" t="str">
        <f>IF(D39="","",IF(OR(GK39="",GK39=0),"BOX",IFERROR(IF(VLOOKUP(GK39,УГО_блоки,3,FALSE)&amp;""&lt;&gt;"",VLOOKUP(GK39,УГО_блоки,3,FALSE),VLOOKUP(GK39,УГО_блоки,2,FALSE)),GK39)))</f>
        <v>LAMP</v>
      </c>
      <c r="GM39">
        <f t="shared" si="83"/>
        <v>1</v>
      </c>
      <c r="GN39" t="str">
        <f>IF(EP39="","",IF(COUNTIF(EP$3:EP39,EP39)=1,MAX(GN$2:GN38)+1,""))</f>
        <v/>
      </c>
      <c r="GO39" t="str">
        <f>IF(AF39="","",IF(COUNTIF(AF$3:AF39,AF39)+COUNTIF(AG$2:AG38,AF39)+COUNTIF(AH$2:AH38,AF39)=1,MAX(GO$2:GQ38)+1,""))</f>
        <v/>
      </c>
      <c r="GP39" t="str">
        <f>IF(AG39="","",IF(COUNTIF(AF$3:AF39,AG39)+COUNTIF(AG$3:AG39,AG39)+COUNTIF(AH$2:AH38,AG39)=1,MAX(GO$2:GQ38,GO39)+1,""))</f>
        <v/>
      </c>
      <c r="GQ39" t="str">
        <f>IF(AH39="","",IF(COUNTIF(AF$3:AF39,AH39)+COUNTIF(AG$3:AG39,AH39)+COUNTIF(AH$3:AH39,AH39)=1,MAX(GO$2:GQ38,GO39,GP39)+1,""))</f>
        <v/>
      </c>
      <c r="GR39" t="str">
        <f t="shared" si="84"/>
        <v>3х1,5</v>
      </c>
      <c r="GS39" t="str">
        <f>IF(GR39="","",IF(COUNTIF(GR$3:GR39,GR39)=1,MAX(GS$2:GS38)+1,""))</f>
        <v/>
      </c>
      <c r="GT39" t="str">
        <f>IF(ES39="","",COUNTIF(ES$3:ES39,"?*"))</f>
        <v/>
      </c>
      <c r="GU39" t="str">
        <f>IF(OR(ES39="",EU39=""),"",IF(COUNTIFS(ES$3:ES39,"?*",EU$3:EU39,EU39)=1,MAX(GU$2:GU38)+1,""))</f>
        <v/>
      </c>
      <c r="GV39">
        <f t="shared" si="85"/>
        <v>1</v>
      </c>
      <c r="GW39">
        <f>IF(D39="","",COUNTIF(D$3:D39,"?*"))</f>
        <v>37</v>
      </c>
      <c r="GX39">
        <f>IF(EX39&lt;&gt;1,0,_xlfn.LET(_xlpm.k,MAX(IFERROR(--VLOOKUP(D39,УГО_спр,5,FALSE),0),IFERROR(--VLOOKUP(AT39,УГО_спр,5,FALSE),0),IFERROR(--VLOOKUP(LEFT(AT39,2),УГО_спр,5,FALSE),0)),IF(_xlpm.k&gt;0,_xlpm.k,IF(IFERROR(--LEFT(SUBSTITUTE(GR39,"x","х"),FIND("х",SUBSTITUTE(GR39,"x","х"))-1),3)&gt;3,Каталог!$S$9,1))))</f>
        <v>1</v>
      </c>
      <c r="GY39">
        <f t="shared" si="86"/>
        <v>0</v>
      </c>
    </row>
    <row r="40" spans="1:207" x14ac:dyDescent="0.3">
      <c r="A40" t="s">
        <v>1146</v>
      </c>
      <c r="B40" t="s">
        <v>531</v>
      </c>
      <c r="C40" t="str">
        <f>IF(BD40="","",IF(BE40="вводной узел","узел ","")&amp;"л."&amp;(INT((BD40-1)/Столбцов_на_лист)+1)&amp;" / "&amp;(MOD(BD40-1,Столбцов_на_лист)+1))</f>
        <v/>
      </c>
      <c r="D40" t="s">
        <v>1313</v>
      </c>
      <c r="E40" s="133" t="str">
        <f t="shared" si="87"/>
        <v>Осветительная группа Подвальный этаж Пом. №004Б</v>
      </c>
      <c r="G40">
        <v>0.1</v>
      </c>
      <c r="H40">
        <v>8</v>
      </c>
      <c r="I40">
        <v>1</v>
      </c>
      <c r="J40">
        <v>230</v>
      </c>
      <c r="K40" t="s">
        <v>566</v>
      </c>
      <c r="P40">
        <v>51</v>
      </c>
      <c r="Q40">
        <v>17</v>
      </c>
      <c r="R40">
        <v>0</v>
      </c>
      <c r="S40">
        <v>60</v>
      </c>
      <c r="U40" t="s">
        <v>11</v>
      </c>
      <c r="V40">
        <v>3</v>
      </c>
      <c r="W40">
        <v>1.5</v>
      </c>
      <c r="Z40" t="s">
        <v>559</v>
      </c>
      <c r="AR40" t="str">
        <f t="shared" si="0"/>
        <v>не на схеме</v>
      </c>
      <c r="AS40" cm="1">
        <f t="array" ref="AS40">ROW()-ROW(Линии[#Headers])</f>
        <v>38</v>
      </c>
      <c r="AT40" t="str">
        <f t="shared" si="1"/>
        <v>L</v>
      </c>
      <c r="AU40" t="str">
        <f t="shared" si="2"/>
        <v>00.004Б.1</v>
      </c>
      <c r="AV40" t="str">
        <f t="shared" si="3"/>
        <v>00</v>
      </c>
      <c r="AW40" t="str">
        <f t="shared" si="4"/>
        <v>004Б.1</v>
      </c>
      <c r="AX40" t="str">
        <f t="shared" si="5"/>
        <v>004Б</v>
      </c>
      <c r="AY40" t="str">
        <f>IF(D40="","",IF(ISERROR(SEARCH(".",D40)),IFERROR(VLOOKUP(D40,Потребители_обозначение,2,FALSE)&amp;"",""),IFERROR(IF(VLOOKUP(AT40,Потребители_обозначение,4,FALSE)=1,VLOOKUP(AT40,Потребители_обозначение,2,FALSE)&amp;" "&amp;VLOOKUP(AV40,Этаж_обозначение,2,FALSE)&amp;" Пом. №"&amp;AX40,VLOOKUP(AT40,Потребители_обозначение,2,FALSE)&amp;" Шлейф №"&amp;AV40),IFERROR(VLOOKUP(D40,Потребители_обозначение,2,FALSE),""))))</f>
        <v>Осветительная группа Подвальный этаж Пом. №004Б</v>
      </c>
      <c r="AZ40" t="str">
        <f t="shared" si="6"/>
        <v>Осветительная группа Подвальный этаж Пом. №004Б</v>
      </c>
      <c r="BA40" t="str">
        <f>IF(F40&lt;&gt;"",F40,IF(AND(D40&lt;&gt;"",D40&lt;&gt;A40,ISNUMBER(_xlfn.XMATCH(D40,Щиты[Щит]))),D40,""))</f>
        <v/>
      </c>
      <c r="BB40">
        <f>IFERROR(_xlfn.XMATCH(A40,Щиты[Щит]),0)</f>
        <v>3</v>
      </c>
      <c r="BC40">
        <f>IFERROR(N(_xlfn.XLOOKUP(A40,Щиты[Щит],Щиты[Мест под вводной узел])),15)</f>
        <v>15</v>
      </c>
      <c r="BD40" t="str">
        <f t="shared" si="7"/>
        <v/>
      </c>
      <c r="BE40" t="str">
        <f t="shared" si="8"/>
        <v/>
      </c>
      <c r="BF40">
        <f>IF(D40="","",IF(BA40&lt;&gt;"",IFERROR(_xlfn.XLOOKUP(BA40,Щиты[Щит],Щиты[Руст, кВт]),0),N(G40)))</f>
        <v>0.1</v>
      </c>
      <c r="BG40">
        <f>IF(J40&lt;&gt;"",J40,IF(D40="","",IFERROR(IF(VLOOKUP(AT40,Потребители_обозначение,8,FALSE)=0,"",VLOOKUP(AT40,Потребители_обозначение,8,FALSE)),"")))</f>
        <v>230</v>
      </c>
      <c r="BH40">
        <f>IF(I40&lt;&gt;"",I40,IF(D40="","",IFERROR(IF(VLOOKUP(AT40,Потребители_обозначение,9,FALSE)=0,"",VLOOKUP(AT40,Потребители_обозначение,9,FALSE)),"")))</f>
        <v>1</v>
      </c>
      <c r="BI40" t="str">
        <f>IF(U40&lt;&gt;"",U40,IF(D40="","",IFERROR(IF(VLOOKUP(AT40,Потребители_обозначение,6,FALSE)=0,"",VLOOKUP(AT40,Потребители_обозначение,6,FALSE)),"")))</f>
        <v>мс</v>
      </c>
      <c r="BJ40">
        <f>IF(V40&lt;&gt;"",V40,IF(D40="","",IFERROR(IF(VLOOKUP(AT40,Потребители_обозначение,7,FALSE)=0,"",VLOOKUP(AT40,Потребители_обозначение,7,FALSE)),"")))</f>
        <v>3</v>
      </c>
      <c r="BK40">
        <f>IF(W40&lt;&gt;"",W40,IF(D40="","",IFERROR(IF(VLOOKUP(AT40,Потребители_обозначение,10,FALSE)=0,"",VLOOKUP(AT40,Потребители_обозначение,10,FALSE)),"")))</f>
        <v>1.5</v>
      </c>
      <c r="BL40">
        <f>IFERROR(VLOOKUP(AT40,Потребители_обозначение,5,FALSE),0)</f>
        <v>3</v>
      </c>
      <c r="BM40" cm="1">
        <f t="array" ref="BM40">IF(D40="","",IF(BA40&lt;&gt;"",IFERROR(_xlfn.XLOOKUP(BA40,Щиты[Щит],Щиты[cos φ]),0.95),IF(ISNUMBER(M40),M40,IFERROR(IF(BL40=2,_xlfn.IFS(BH40=3,VLOOKUP(BF40,Справочная_двигатели,8,FALSE),BH40=1,VLOOKUP(BF40,Справочная_двигатели,10,TRUE)),IF(AND(Методика="нормы 2026",CN40="Сил"),0.8,0.95)),0.95))))</f>
        <v>0.95</v>
      </c>
      <c r="BN40" cm="1">
        <f t="array" ref="BN40">IF(D40="","",IF(BA40&lt;&gt;"",IFERROR(_xlfn.XLOOKUP(BA40,Щиты[Щит],Щиты[Iр, А]),""),IFERROR(_xlfn.IFS(BH40=1,BF40/((Uн_лин/SQRT(3))*BM40),BH40=3,BF40/(SQRT(3)*Uн_лин*BM40)),"")))</f>
        <v>0.455802844097073</v>
      </c>
      <c r="BO40">
        <f>IF(D40="","",IF(N(X40)=0,IFERROR(VLOOKUP(BN40,Автомат_номиналы,2,TRUE),""),X40))</f>
        <v>6</v>
      </c>
      <c r="BP40">
        <f t="shared" si="9"/>
        <v>1</v>
      </c>
      <c r="BQ40">
        <f>IF(ISNUMBER(Y40),Y40,К_прокл)</f>
        <v>1</v>
      </c>
      <c r="BR40">
        <f t="shared" si="10"/>
        <v>2</v>
      </c>
      <c r="BS40" cm="1">
        <f t="array" ref="BS40">IF(D40="","",IF(N(BK40)&lt;&gt;0,BK40,IFERROR(_xlfn.LET(_xlpm.need,BO40/(BP40*BQ40),_xlpm.t,CHOOSE(BR40,Iдоп_1ж,Iдоп_2ж,Iдоп_3ж),_xlpm.k,_xlfn.XMATCH(_xlpm.need,_xlpm.t,1),IF(ISNA(_xlpm.k),"Не исп",INDEX(Iдоп_S,_xlpm.k))),"Не исп")))</f>
        <v>1.5</v>
      </c>
      <c r="BT40">
        <f>IFERROR(VLOOKUP(BS40,Кабель_сопротивление,3,FALSE),"")</f>
        <v>2.2499999999999999E-2</v>
      </c>
      <c r="BU40">
        <f>IFERROR(VLOOKUP(BS40,Кабель_сопротивление,2,FALSE),"")</f>
        <v>0.11</v>
      </c>
      <c r="BV40">
        <f t="shared" si="11"/>
        <v>51</v>
      </c>
      <c r="BW40">
        <f>IF(D40="","",IFERROR(IF(VLOOKUP(AT40,Потребители_обозначение,4,FALSE)=1,VLOOKUP(AT40,Потребители_обозначение,3,FALSE)*(H40*2-1)+BV40+VLOOKUP(AV40,Этаж_обозначение,3,FALSE)+VLOOKUP(AV40,Этаж_обозначение,4,FALSE),VLOOKUP(AT40,Потребители_обозначение,3,FALSE)*(H40*2-1)+BV40),BV40))</f>
        <v>66</v>
      </c>
      <c r="BX40">
        <f t="shared" si="12"/>
        <v>0</v>
      </c>
      <c r="BY40">
        <f t="shared" si="13"/>
        <v>60</v>
      </c>
      <c r="BZ40">
        <f t="shared" si="14"/>
        <v>2</v>
      </c>
      <c r="CA40">
        <f t="shared" si="15"/>
        <v>0.31</v>
      </c>
      <c r="CB40">
        <f t="shared" si="16"/>
        <v>0.8594168095084439</v>
      </c>
      <c r="CC40">
        <f>IFERROR(ROUNDUP(CB40/((Uн_лин/SQRT(3))*1000)*100,2),"")</f>
        <v>0.38</v>
      </c>
      <c r="CD40">
        <f>IF(ISNUMBER(CC40),CC40+IFERROR(_xlfn.XLOOKUP(A40,Щиты[Щит],Щиты[ΔU до шин, %]),0),"")</f>
        <v>0.55000000000000004</v>
      </c>
      <c r="CE40">
        <f>IF(D40="","",IF(IFERROR(VLOOKUP(AT40,УГО_спр,2,FALSE),"")="Светильник",3,4)+IF(Методика="нормы 2026",MIN(0.5,MAX(0,N(BW40)-100)*0.005),0))</f>
        <v>3</v>
      </c>
      <c r="CF40" t="str">
        <f>IFERROR(VLOOKUP(BI40,Кабель_обозначение,2,FALSE),"")</f>
        <v>ВВГнг(А)-LS</v>
      </c>
      <c r="CG40" t="str">
        <f>IFERROR(IF(VLOOKUP(BI40,Кабель_обозначение,3,FALSE)=1,CF40&amp;" ("&amp;BJ40&amp;"х"&amp;BS40&amp;")",CF40),"")</f>
        <v>ВВГнг(А)-LS (3х1,5)</v>
      </c>
      <c r="CH40" t="str">
        <f t="shared" si="17"/>
        <v>ВВГнг(А)-LS (3х1,5)
L=66-0,38%</v>
      </c>
      <c r="CI40">
        <f>IFERROR(2*ρкз_Cu*BW40/BS40,"")</f>
        <v>2.3144</v>
      </c>
      <c r="CJ40">
        <f t="shared" si="18"/>
        <v>0.77</v>
      </c>
      <c r="CK40" t="str">
        <f>IFERROR(IF(OR(D40="",NOT(ISNUMBER(BS40)),N(BW40)=0),"",_xlfn.XLOOKUP(A40,Щиты[Щит],Щиты[Zпетли на шинах, Ом])+CI40),"")</f>
        <v/>
      </c>
      <c r="CL40" t="str">
        <f>IF(ISNUMBER(CK40),c_min*(Uн_лин*1000/SQRT(3))/CK40,"")</f>
        <v/>
      </c>
      <c r="CM40" t="str">
        <f>IFERROR(IF(OR(D40="",NOT(ISNUMBER(BS40))),"",1.05*(Uн_лин*1000/SQRT(3))/(_xlfn.XLOOKUP(A40,Щиты[Щит],Щиты[Zmax на шинах, Ом])+CJ40)/1000),"")</f>
        <v/>
      </c>
      <c r="CN40" t="str">
        <f>IF(D40="","",IF(BA40&lt;&gt;"","Щит",IF(K40&lt;&gt;"",K40,IF(ISNUMBER(L40),"Сил",IF(IFERROR(_xlfn.XLOOKUP(AT40,Коды_код,Коды_группа)&amp;"","")="","Быт",_xlfn.XLOOKUP(AT40,Коды_код,Коды_группа)&amp;"")))))</f>
        <v>Быт</v>
      </c>
      <c r="CO40">
        <f>IF(CN40="Щит","щит",IF(CN40="","",IF(CN40="Быт",IFERROR(_xlfn.XLOOKUP(A40,Щиты[Щит],Щиты[Кс быт]),1),IF(CN40="Сил",IF(ISNUMBER(L40),L40,IF(Методика="нормы 2026",IFERROR(_xlfn.XLOOKUP(A40,Щиты[Щит],Щиты[Кс силовых (табл. 7.5)]),1),1)),IF(OR(CN40="Пост",CN40="Отоп"),1,IF(CN40="ВНГ",0.7,0))))))</f>
        <v>0.8</v>
      </c>
      <c r="CP40">
        <f t="shared" si="19"/>
        <v>1</v>
      </c>
      <c r="CQ40">
        <f t="shared" si="20"/>
        <v>0.1</v>
      </c>
      <c r="CR40">
        <f t="shared" si="21"/>
        <v>0.1</v>
      </c>
      <c r="CS40">
        <f t="shared" si="22"/>
        <v>0</v>
      </c>
      <c r="CT40">
        <f t="shared" si="23"/>
        <v>0</v>
      </c>
      <c r="CU40">
        <f t="shared" si="24"/>
        <v>0</v>
      </c>
      <c r="CV40">
        <f t="shared" si="25"/>
        <v>0</v>
      </c>
      <c r="CW40">
        <f t="shared" si="26"/>
        <v>0.1</v>
      </c>
      <c r="CX40">
        <f t="shared" si="27"/>
        <v>9.5000000000000001E-2</v>
      </c>
      <c r="CY40">
        <f t="shared" si="28"/>
        <v>3</v>
      </c>
      <c r="CZ40" t="str">
        <f t="shared" si="29"/>
        <v>L3</v>
      </c>
      <c r="DA40" cm="1">
        <f t="array" ref="DA40">IFERROR(IF(BL40=2,_xlfn.IFS(BH40=3,VLOOKUP(BF40,Справочная_двигатели,3,FALSE),BH40=1,VLOOKUP(BF40,Справочная_двигатели,5,TRUE)),0),0)</f>
        <v>0</v>
      </c>
      <c r="DB40">
        <f>IFERROR(IF(BL40=3,VLOOKUP(BF40,Справочная_ЛЭД,2,TRUE),0),0)</f>
        <v>50</v>
      </c>
      <c r="DC40">
        <f t="shared" si="30"/>
        <v>50</v>
      </c>
      <c r="DD40" t="str">
        <f t="shared" si="31"/>
        <v>L3</v>
      </c>
      <c r="DE40" t="str" cm="1">
        <f t="array" ref="DE40">IF(D40="","",IFERROR(INDEX({"I особая","I","II","III"},MATCH(TRIM(AA40&amp;""),{"I особая","I","II","III"},0)),"III"))</f>
        <v>III</v>
      </c>
      <c r="DF40" t="str">
        <f>IF(D40="","",IF(TRIM(AB40&amp;"")&lt;&gt;"",IF(LOWER(TRIM(AB40&amp;""))="да","да","нет"),IF(IFERROR(_xlfn.XLOOKUP(AT40,Коды_код,Коды_пожарная),"")="да","да","нет")))</f>
        <v>нет</v>
      </c>
      <c r="DG40" t="str">
        <f t="shared" si="32"/>
        <v/>
      </c>
      <c r="DH40" t="str">
        <f t="shared" si="33"/>
        <v>основная</v>
      </c>
      <c r="DI40">
        <f t="shared" si="34"/>
        <v>1</v>
      </c>
      <c r="DJ40" t="str" cm="1">
        <f t="array" ref="DJ40">IF(D40="","",_xlfn.LET(_xlpm.t,IFERROR(_xlfn.XLOOKUP(1,(Шины[Шина]=DH40)*(((Шины[Щит]=A40)+(Шины[Щит]=""))&gt;0),Шины[Тип]),"")&amp;"",IF(_xlpm.t&lt;&gt;"",_xlpm.t,IF(ISNUMBER(SEARCH("ИБП",DH40)),"ИБП",IF(ISNUMBER(SEARCH("ДГУ",DH40)),"ДГУ","Ввод "&amp;DI40)))))</f>
        <v>Ввод 1</v>
      </c>
      <c r="DK40" t="str">
        <f t="shared" si="35"/>
        <v>Ввод 1</v>
      </c>
      <c r="DL40" t="str">
        <f>IF(D40="","",IF(OR(DJ40="ИБП",DJ40="ДГУ"),"I особая",IF(DJ40="Одиночная","III",_xlfn.XLOOKUP(A40,Щиты[Щит],Щиты[Категория шины «Ввод»],"III"))))</f>
        <v>II</v>
      </c>
      <c r="DM40">
        <f>IF(D40="",0,IFERROR(MATCH(DE40,{"III","II","I","I особая"},0),1))</f>
        <v>1</v>
      </c>
      <c r="DN40">
        <f t="shared" si="36"/>
        <v>1</v>
      </c>
      <c r="DO40" t="str">
        <f>IF(D40="","",IF(DM40&gt;IFERROR(MATCH(DL40,{"III","II","I","I особая"},0),1),"НЕ ОБЕСПЕЧЕНА","ОК"))</f>
        <v>ОК</v>
      </c>
      <c r="DP40" t="str">
        <f>IF(A40="","",_xlfn.XLOOKUP(A40,Щиты[Щит],Щиты[Путь],""))</f>
        <v>|ГРЩ-ЖД|ЩГП|ЩО-001|</v>
      </c>
      <c r="DQ40" t="str">
        <f>IF(D40="","",IF(Z40&lt;&gt;"",Z40,IF(IFERROR(_xlfn.XLOOKUP(AT40,Коды_код,Коды_вид)&amp;"","")="","Прочее",_xlfn.XLOOKUP(AT40,Коды_код,Коды_вид)&amp;"")))</f>
        <v>Рабочее освещение</v>
      </c>
      <c r="DR40" t="str">
        <f>IF(BD40="","",INT((BD40-1)/Столбцов_на_лист)+1)</f>
        <v/>
      </c>
      <c r="DS40" t="str">
        <f t="shared" si="37"/>
        <v>ВВГнг(А)-LS (3х1,5) L=66-0,38%</v>
      </c>
      <c r="DT40">
        <f t="shared" si="38"/>
        <v>0.1</v>
      </c>
      <c r="DU40">
        <f t="shared" si="39"/>
        <v>0.46</v>
      </c>
      <c r="DV40">
        <f t="shared" si="40"/>
        <v>1</v>
      </c>
      <c r="DW40">
        <f>IF(AT40="",0,_xlfn.LET(_xlpm.v,IFERROR(VLOOKUP(D40,УГО_спр,3,FALSE),IFERROR(VLOOKUP(AT40,УГО_спр,3,FALSE),IFERROR(VLOOKUP(LEFT(AT40,2),УГО_спр,3,FALSE),""))),IF(_xlpm.v="да",30,IF(ISNUMBER(_xlpm.v),_xlpm.v,0))))</f>
        <v>0</v>
      </c>
      <c r="DX40">
        <f t="shared" si="41"/>
        <v>0</v>
      </c>
      <c r="DY40" t="str">
        <f>IF(BD40="","",IF(AD40&lt;&gt;"",COUNTIFS(A$3:A40,A40,AD$3:AD40,"?*"),IF(OR(OR(AS40=1,A40&lt;&gt;A39),AL40="вручную"),"",IF(AS40=1,"",DZ39))))</f>
        <v/>
      </c>
      <c r="DZ40" t="str">
        <f t="shared" si="42"/>
        <v/>
      </c>
      <c r="EA40">
        <f>IF(D40="",0,MAX(IFERROR(--X40,0),IFERROR(--VLOOKUP(D40,УГО_спр,4,FALSE),IFERROR(--VLOOKUP(AT40,УГО_спр,4,FALSE),IFERROR(--VLOOKUP(LEFT(AT40,2),УГО_спр,4,FALSE),0)))))</f>
        <v>10</v>
      </c>
      <c r="EB40">
        <f>IF(D40="","",IFERROR(LOOKUP(INDEX(CHOOSE(BR40,Iдоп_1ж,Iдоп_2ж,Iдоп_3ж),MATCH(BS40,Iдоп_S,0))*BP40*BQ40,{6,10,16,20,25,32,40,50,63,80,100,125,160,200,250,315,400,500,630}),""))</f>
        <v>16</v>
      </c>
      <c r="EC40" t="str">
        <f>IF(AD40="","",SUMIFS(Линии[_Ток схемы],Линии[_гр.],DY40,Линии[Щит],A40,Линии[_в кабель выше],0))</f>
        <v/>
      </c>
      <c r="ED40" t="str">
        <f>IF(AD40="","",IFERROR(VLOOKUP(EC40,Автомат_номиналы,2,TRUE),""))</f>
        <v/>
      </c>
      <c r="EE40" t="str">
        <f>IF(AD40="","",MAX(N(ED40),_xlfn.MAXIFS(Линии[_мин. по типу],Линии[_гр.],DY40,Линии[Щит],A40)))</f>
        <v/>
      </c>
      <c r="EF40" t="str">
        <f>IF(AD40="","",_xlfn.MINIFS(Линии[_макс. автомат по кабелю],Линии[_гр.],DY40,Линии[Щит],A40))</f>
        <v/>
      </c>
      <c r="EG40" t="str">
        <f>IF(AD40="","",MAX(1,_xlfn.MAXIFS(Линии[_фаз],Линии[_гр.],DY40,Линии[Щит],A40)))</f>
        <v/>
      </c>
      <c r="EH40" t="str">
        <f>IF(AD40="","",IF(AND(AD40&lt;&gt;"авто",AD40&lt;&gt;"+"),IF(ISNUMBER(SEARCH("мА",AD40)),IFERROR(--TRIM(RIGHT(SUBSTITUTE(LEFT(AD40,SEARCH("мА",AD40)-1)," ",REPT(" ",9)),6)),30),0),IF(AE40="нет",0,IF(ISNUMBER(AE40),AE40,IF(AE40="да",30,_xlfn.MINIFS(Линии[_дифзащита по коду, мА],Линии[_гр.],DY40,Линии[Щит],A40,Линии[_дифзащита по коду, мА],"&gt;0"))))))</f>
        <v/>
      </c>
      <c r="EI40" t="str">
        <f t="shared" si="43"/>
        <v/>
      </c>
      <c r="EJ40" t="str">
        <f t="shared" si="44"/>
        <v/>
      </c>
      <c r="EK40" t="str">
        <f t="shared" si="45"/>
        <v/>
      </c>
      <c r="EL40" t="str">
        <f t="shared" si="46"/>
        <v/>
      </c>
      <c r="EM40">
        <f t="shared" si="47"/>
        <v>0</v>
      </c>
      <c r="EN40" t="str">
        <f>IF(AD40="","",IF(EM40=1,MAX(EE40,Мин_автомат_БП),EE40))</f>
        <v/>
      </c>
      <c r="EO40" t="str">
        <f t="shared" si="48"/>
        <v/>
      </c>
      <c r="EP40" t="str">
        <f t="shared" si="49"/>
        <v/>
      </c>
      <c r="EQ40" t="str">
        <f t="shared" si="50"/>
        <v/>
      </c>
      <c r="ER40" t="str">
        <f>IF(OR(AI40="",AI40="-"),"",IFERROR(VLOOKUP(AI40,Модули_спр,2,FALSE),"R"))</f>
        <v/>
      </c>
      <c r="ES40" t="str">
        <f>IF(ER40="","",ER40&amp;"."&amp;COUNTIFS(A$3:A40,A40,ER$3:ER40,ER40))</f>
        <v/>
      </c>
      <c r="ET40" t="str">
        <f t="shared" si="51"/>
        <v/>
      </c>
      <c r="EU40" t="str">
        <f t="shared" si="52"/>
        <v/>
      </c>
      <c r="EV40" t="str">
        <f t="shared" si="53"/>
        <v/>
      </c>
      <c r="EW40" t="str">
        <f t="shared" si="54"/>
        <v/>
      </c>
      <c r="EX40">
        <f t="shared" si="55"/>
        <v>1</v>
      </c>
      <c r="EY40" t="str">
        <f>IF(AK40="нет","",IF(AK40&lt;&gt;"",AK40,IF(EX40=1,"XT"&amp;COUNTIFS(A$3:A40,A40,EX$3:EX40,1),"")))</f>
        <v>XT9</v>
      </c>
      <c r="EZ40" t="str">
        <f t="shared" si="56"/>
        <v/>
      </c>
      <c r="FA40" t="str">
        <f t="shared" si="57"/>
        <v/>
      </c>
      <c r="FB40" t="str">
        <f t="shared" si="58"/>
        <v/>
      </c>
      <c r="FC40" t="str">
        <f>IF(OR(EV40="",ET40=""),"",IF(EV40&gt;IFERROR(VLOOKUP(EU40,Модули_спр,3,FALSE),99),"ЛИШНИЙ КАНАЛ",IF(AND(AJ40&lt;&gt;"=",COUNTIFS(Линии[_модуль гр.],ET40,Линии[Канал (итог)],EV40,Линии[Канал],"&lt;&gt;=",Линии[Щит],A40)&gt;1),"ДУБЛЬ КАНАЛА","")))</f>
        <v/>
      </c>
      <c r="FD40" t="str">
        <f t="shared" si="59"/>
        <v/>
      </c>
      <c r="FE40" t="str">
        <f t="shared" si="60"/>
        <v/>
      </c>
      <c r="FF40" t="str">
        <f t="shared" si="61"/>
        <v/>
      </c>
      <c r="FG40" t="str">
        <f t="shared" si="62"/>
        <v/>
      </c>
      <c r="FH40" t="str">
        <f t="shared" si="63"/>
        <v/>
      </c>
      <c r="FI40">
        <f t="shared" si="64"/>
        <v>10</v>
      </c>
      <c r="FJ40" t="str">
        <f t="shared" si="65"/>
        <v/>
      </c>
      <c r="FK40" t="str">
        <f>IF(AND(D40="",EZ40=""),"",_xlfn.TEXTJOIN("; ",TRUE,IF(AND(D40&lt;&gt;"",DD40=""),"нет фазы",""),IF(AND(D40&lt;&gt;"",N(DT40)=0,CN40&lt;&gt;"Нет"),"нет мощности",""),IF(AND(EY40&lt;&gt;"",COUNTIFS(Линии[Щит],A40,Линии[Клемма (итог)],EY40)&gt;1),"дубль клеммы "&amp;EY40,""),IF(AND(FB40&lt;&gt;"",FB40&lt;&gt;"ok"),FB40,""),IF(FC40&lt;&gt;"",FC40,""),IF(AND(ISNUMBER(SEARCH("(5х",DS40)),N(DV40)=1),"5 жил на 1 фазе",""),IF(AND(AT40="R",AD40&lt;&gt;"",OR(N(EH40)=0,N(EH40)&gt;30)),"розетка без дифзащиты до 30 мА",""),IFERROR(IF(AND(ISNUMBER(CD40),CD40&gt;CE40),"потери "&amp;FIXED(CD40,1)&amp;" % &gt; "&amp;CE40&amp;" %",""),""),IFERROR(IF(LEFT(FJ40,4)="мало","Iкз мало — отключение &gt; 0,4 с",""),""),IF(AND(D40&lt;&gt;"",BD40=""),"не на схеме","")))</f>
        <v>не на схеме</v>
      </c>
      <c r="FL40" t="str">
        <f>IF(AD40="","",_xlfn.LET(_xlpm.t,IFERROR(_xlfn.XLOOKUP(EP40,Каталог!$U$4:$U$500,Каталог!$G$4:$G$500),""),_xlpm.k,SEARCH("кА",_xlpm.t),IFERROR(--TRIM(RIGHT(SUBSTITUTE(MID(_xlpm.t,MAX(1,_xlpm.k-4),_xlpm.k-MAX(1,_xlpm.k-4))," ",REPT(" ",9)),5)),"")))</f>
        <v/>
      </c>
      <c r="FM40" t="str">
        <f>IF(OR(FL40="",AD40=""),"",IF(_xlfn.XLOOKUP(A40,Щиты[Щит],Щиты[Iкз max на шинах, кА],"")="","",IF(FL40&lt;_xlfn.XLOOKUP(A40,Щиты[Щит],Щиты[Iкз max на шинах, кА]),"Icu "&amp;FL40&amp;" кА &lt; Iкз max","ok")))</f>
        <v/>
      </c>
      <c r="FN40" t="str">
        <f t="shared" si="66"/>
        <v/>
      </c>
      <c r="FO40" t="str">
        <f t="shared" si="67"/>
        <v/>
      </c>
      <c r="FP40" t="str" cm="1">
        <f t="array" ref="FP40">IF(FO40="","",_xlfn.LET(_xlpm.nd,_xlfn.TEXTSPLIT(FO40,"|"),IF(COLUMNS(_xlpm.nd)&gt;1,A40&amp;"¦"&amp;INDEX(_xlpm.nd,1)&amp;"¦"&amp;INDEX(_xlpm.nd,2),"")))</f>
        <v/>
      </c>
      <c r="FQ40" t="str">
        <f t="shared" si="68"/>
        <v/>
      </c>
      <c r="FR40" t="str" cm="1">
        <f t="array" ref="FR40">IF(FO40="","",_xlfn.LET(_xlpm.nd,_xlfn.TEXTSPLIT(FO40,"|"),IF(COLUMNS(_xlpm.nd)&gt;2,A40&amp;"¦"&amp;INDEX(_xlpm.nd,2)&amp;"¦"&amp;INDEX(_xlpm.nd,3),"")))</f>
        <v/>
      </c>
      <c r="FS40" t="str">
        <f t="shared" si="69"/>
        <v/>
      </c>
      <c r="FT40" t="str" cm="1">
        <f t="array" ref="FT40">IF(FO40="","",_xlfn.LET(_xlpm.nd,_xlfn.TEXTSPLIT(FO40,"|"),IF(COLUMNS(_xlpm.nd)&gt;3,A40&amp;"¦"&amp;INDEX(_xlpm.nd,3)&amp;"¦"&amp;INDEX(_xlpm.nd,4),"")))</f>
        <v/>
      </c>
      <c r="FU40" t="str">
        <f t="shared" si="70"/>
        <v/>
      </c>
      <c r="FV40" t="str" cm="1">
        <f t="array" ref="FV40">IF(FO40="","",_xlfn.LET(_xlpm.nd,_xlfn.TEXTSPLIT(FO40,"|"),IF(COLUMNS(_xlpm.nd)&gt;4,A40&amp;"¦"&amp;INDEX(_xlpm.nd,4)&amp;"¦"&amp;INDEX(_xlpm.nd,5),"")))</f>
        <v/>
      </c>
      <c r="FW40" t="str">
        <f t="shared" si="71"/>
        <v/>
      </c>
      <c r="FX40" t="str" cm="1">
        <f t="array" ref="FX40">IF(FO40="","",_xlfn.LET(_xlpm.nd,_xlfn.TEXTSPLIT(FO40,"|"),IF(COLUMNS(_xlpm.nd)&gt;5,A40&amp;"¦"&amp;INDEX(_xlpm.nd,5)&amp;"¦"&amp;INDEX(_xlpm.nd,6),"")))</f>
        <v/>
      </c>
      <c r="FY40" t="str">
        <f t="shared" si="72"/>
        <v/>
      </c>
      <c r="FZ40" t="str" cm="1">
        <f t="array" ref="FZ40">IF(FO40="","",_xlfn.LET(_xlpm.nd,_xlfn.TEXTSPLIT(FO40,"|"),IF(COLUMNS(_xlpm.nd)&gt;6,A40&amp;"¦"&amp;INDEX(_xlpm.nd,6)&amp;"¦"&amp;INDEX(_xlpm.nd,7),"")))</f>
        <v/>
      </c>
      <c r="GA40" t="str">
        <f t="shared" si="73"/>
        <v/>
      </c>
      <c r="GB40" t="str">
        <f t="shared" si="74"/>
        <v/>
      </c>
      <c r="GC40" t="str">
        <f t="shared" si="75"/>
        <v>XT9</v>
      </c>
      <c r="GD40">
        <f t="shared" si="76"/>
        <v>0</v>
      </c>
      <c r="GE40">
        <f t="shared" si="77"/>
        <v>0</v>
      </c>
      <c r="GF40">
        <f t="shared" si="78"/>
        <v>0</v>
      </c>
      <c r="GG40" t="str">
        <f t="shared" si="79"/>
        <v/>
      </c>
      <c r="GH40" t="str">
        <f t="shared" si="80"/>
        <v/>
      </c>
      <c r="GI40" t="str">
        <f t="shared" si="81"/>
        <v/>
      </c>
      <c r="GJ40" t="str">
        <f t="shared" si="82"/>
        <v/>
      </c>
      <c r="GK40" t="str">
        <f>IF(D40="","",IFERROR(VLOOKUP(D40,УГО_спр,2,FALSE),IFERROR(VLOOKUP(AT40,УГО_спр,2,FALSE),IFERROR(VLOOKUP(LEFT(AT40,2),УГО_спр,2,FALSE),""))))</f>
        <v>Светильник</v>
      </c>
      <c r="GL40" t="str">
        <f>IF(D40="","",IF(OR(GK40="",GK40=0),"BOX",IFERROR(IF(VLOOKUP(GK40,УГО_блоки,3,FALSE)&amp;""&lt;&gt;"",VLOOKUP(GK40,УГО_блоки,3,FALSE),VLOOKUP(GK40,УГО_блоки,2,FALSE)),GK40)))</f>
        <v>LAMP</v>
      </c>
      <c r="GM40">
        <f t="shared" si="83"/>
        <v>1</v>
      </c>
      <c r="GN40" t="str">
        <f>IF(EP40="","",IF(COUNTIF(EP$3:EP40,EP40)=1,MAX(GN$2:GN39)+1,""))</f>
        <v/>
      </c>
      <c r="GO40" t="str">
        <f>IF(AF40="","",IF(COUNTIF(AF$3:AF40,AF40)+COUNTIF(AG$2:AG39,AF40)+COUNTIF(AH$2:AH39,AF40)=1,MAX(GO$2:GQ39)+1,""))</f>
        <v/>
      </c>
      <c r="GP40" t="str">
        <f>IF(AG40="","",IF(COUNTIF(AF$3:AF40,AG40)+COUNTIF(AG$3:AG40,AG40)+COUNTIF(AH$2:AH39,AG40)=1,MAX(GO$2:GQ39,GO40)+1,""))</f>
        <v/>
      </c>
      <c r="GQ40" t="str">
        <f>IF(AH40="","",IF(COUNTIF(AF$3:AF40,AH40)+COUNTIF(AG$3:AG40,AH40)+COUNTIF(AH$3:AH40,AH40)=1,MAX(GO$2:GQ39,GO40,GP40)+1,""))</f>
        <v/>
      </c>
      <c r="GR40" t="str">
        <f t="shared" si="84"/>
        <v>3х1,5</v>
      </c>
      <c r="GS40" t="str">
        <f>IF(GR40="","",IF(COUNTIF(GR$3:GR40,GR40)=1,MAX(GS$2:GS39)+1,""))</f>
        <v/>
      </c>
      <c r="GT40" t="str">
        <f>IF(ES40="","",COUNTIF(ES$3:ES40,"?*"))</f>
        <v/>
      </c>
      <c r="GU40" t="str">
        <f>IF(OR(ES40="",EU40=""),"",IF(COUNTIFS(ES$3:ES40,"?*",EU$3:EU40,EU40)=1,MAX(GU$2:GU39)+1,""))</f>
        <v/>
      </c>
      <c r="GV40">
        <f t="shared" si="85"/>
        <v>1</v>
      </c>
      <c r="GW40">
        <f>IF(D40="","",COUNTIF(D$3:D40,"?*"))</f>
        <v>38</v>
      </c>
      <c r="GX40">
        <f>IF(EX40&lt;&gt;1,0,_xlfn.LET(_xlpm.k,MAX(IFERROR(--VLOOKUP(D40,УГО_спр,5,FALSE),0),IFERROR(--VLOOKUP(AT40,УГО_спр,5,FALSE),0),IFERROR(--VLOOKUP(LEFT(AT40,2),УГО_спр,5,FALSE),0)),IF(_xlpm.k&gt;0,_xlpm.k,IF(IFERROR(--LEFT(SUBSTITUTE(GR40,"x","х"),FIND("х",SUBSTITUTE(GR40,"x","х"))-1),3)&gt;3,Каталог!$S$9,1))))</f>
        <v>1</v>
      </c>
      <c r="GY40">
        <f t="shared" si="86"/>
        <v>0</v>
      </c>
    </row>
    <row r="41" spans="1:207" x14ac:dyDescent="0.3">
      <c r="A41" t="s">
        <v>1146</v>
      </c>
      <c r="B41" t="s">
        <v>531</v>
      </c>
      <c r="C41" t="str">
        <f>IF(BD41="","",IF(BE41="вводной узел","узел ","")&amp;"л."&amp;(INT((BD41-1)/Столбцов_на_лист)+1)&amp;" / "&amp;(MOD(BD41-1,Столбцов_на_лист)+1))</f>
        <v/>
      </c>
      <c r="D41" t="s">
        <v>1314</v>
      </c>
      <c r="E41" s="133" t="str">
        <f t="shared" si="87"/>
        <v>Осветительная группа Подвальный этаж Пом. №004Т</v>
      </c>
      <c r="G41">
        <v>0.1</v>
      </c>
      <c r="H41">
        <v>5</v>
      </c>
      <c r="I41">
        <v>1</v>
      </c>
      <c r="J41">
        <v>230</v>
      </c>
      <c r="K41" t="s">
        <v>566</v>
      </c>
      <c r="P41">
        <v>10</v>
      </c>
      <c r="Q41">
        <v>10</v>
      </c>
      <c r="R41">
        <v>0</v>
      </c>
      <c r="S41">
        <v>15</v>
      </c>
      <c r="U41" t="s">
        <v>11</v>
      </c>
      <c r="V41">
        <v>3</v>
      </c>
      <c r="W41">
        <v>1.5</v>
      </c>
      <c r="Z41" t="s">
        <v>559</v>
      </c>
      <c r="AR41" t="str">
        <f t="shared" si="0"/>
        <v>не на схеме</v>
      </c>
      <c r="AS41" cm="1">
        <f t="array" ref="AS41">ROW()-ROW(Линии[#Headers])</f>
        <v>39</v>
      </c>
      <c r="AT41" t="str">
        <f t="shared" si="1"/>
        <v>L</v>
      </c>
      <c r="AU41" t="str">
        <f t="shared" si="2"/>
        <v>00.004Т.1</v>
      </c>
      <c r="AV41" t="str">
        <f t="shared" si="3"/>
        <v>00</v>
      </c>
      <c r="AW41" t="str">
        <f t="shared" si="4"/>
        <v>004Т.1</v>
      </c>
      <c r="AX41" t="str">
        <f t="shared" si="5"/>
        <v>004Т</v>
      </c>
      <c r="AY41" t="str">
        <f>IF(D41="","",IF(ISERROR(SEARCH(".",D41)),IFERROR(VLOOKUP(D41,Потребители_обозначение,2,FALSE)&amp;"",""),IFERROR(IF(VLOOKUP(AT41,Потребители_обозначение,4,FALSE)=1,VLOOKUP(AT41,Потребители_обозначение,2,FALSE)&amp;" "&amp;VLOOKUP(AV41,Этаж_обозначение,2,FALSE)&amp;" Пом. №"&amp;AX41,VLOOKUP(AT41,Потребители_обозначение,2,FALSE)&amp;" Шлейф №"&amp;AV41),IFERROR(VLOOKUP(D41,Потребители_обозначение,2,FALSE),""))))</f>
        <v>Осветительная группа Подвальный этаж Пом. №004Т</v>
      </c>
      <c r="AZ41" t="str">
        <f t="shared" si="6"/>
        <v>Осветительная группа Подвальный этаж Пом. №004Т</v>
      </c>
      <c r="BA41" t="str">
        <f>IF(F41&lt;&gt;"",F41,IF(AND(D41&lt;&gt;"",D41&lt;&gt;A41,ISNUMBER(_xlfn.XMATCH(D41,Щиты[Щит]))),D41,""))</f>
        <v/>
      </c>
      <c r="BB41">
        <f>IFERROR(_xlfn.XMATCH(A41,Щиты[Щит]),0)</f>
        <v>3</v>
      </c>
      <c r="BC41">
        <f>IFERROR(N(_xlfn.XLOOKUP(A41,Щиты[Щит],Щиты[Мест под вводной узел])),15)</f>
        <v>15</v>
      </c>
      <c r="BD41" t="str">
        <f t="shared" si="7"/>
        <v/>
      </c>
      <c r="BE41" t="str">
        <f t="shared" si="8"/>
        <v/>
      </c>
      <c r="BF41">
        <f>IF(D41="","",IF(BA41&lt;&gt;"",IFERROR(_xlfn.XLOOKUP(BA41,Щиты[Щит],Щиты[Руст, кВт]),0),N(G41)))</f>
        <v>0.1</v>
      </c>
      <c r="BG41">
        <f>IF(J41&lt;&gt;"",J41,IF(D41="","",IFERROR(IF(VLOOKUP(AT41,Потребители_обозначение,8,FALSE)=0,"",VLOOKUP(AT41,Потребители_обозначение,8,FALSE)),"")))</f>
        <v>230</v>
      </c>
      <c r="BH41">
        <f>IF(I41&lt;&gt;"",I41,IF(D41="","",IFERROR(IF(VLOOKUP(AT41,Потребители_обозначение,9,FALSE)=0,"",VLOOKUP(AT41,Потребители_обозначение,9,FALSE)),"")))</f>
        <v>1</v>
      </c>
      <c r="BI41" t="str">
        <f>IF(U41&lt;&gt;"",U41,IF(D41="","",IFERROR(IF(VLOOKUP(AT41,Потребители_обозначение,6,FALSE)=0,"",VLOOKUP(AT41,Потребители_обозначение,6,FALSE)),"")))</f>
        <v>мс</v>
      </c>
      <c r="BJ41">
        <f>IF(V41&lt;&gt;"",V41,IF(D41="","",IFERROR(IF(VLOOKUP(AT41,Потребители_обозначение,7,FALSE)=0,"",VLOOKUP(AT41,Потребители_обозначение,7,FALSE)),"")))</f>
        <v>3</v>
      </c>
      <c r="BK41">
        <f>IF(W41&lt;&gt;"",W41,IF(D41="","",IFERROR(IF(VLOOKUP(AT41,Потребители_обозначение,10,FALSE)=0,"",VLOOKUP(AT41,Потребители_обозначение,10,FALSE)),"")))</f>
        <v>1.5</v>
      </c>
      <c r="BL41">
        <f>IFERROR(VLOOKUP(AT41,Потребители_обозначение,5,FALSE),0)</f>
        <v>3</v>
      </c>
      <c r="BM41" cm="1">
        <f t="array" ref="BM41">IF(D41="","",IF(BA41&lt;&gt;"",IFERROR(_xlfn.XLOOKUP(BA41,Щиты[Щит],Щиты[cos φ]),0.95),IF(ISNUMBER(M41),M41,IFERROR(IF(BL41=2,_xlfn.IFS(BH41=3,VLOOKUP(BF41,Справочная_двигатели,8,FALSE),BH41=1,VLOOKUP(BF41,Справочная_двигатели,10,TRUE)),IF(AND(Методика="нормы 2026",CN41="Сил"),0.8,0.95)),0.95))))</f>
        <v>0.95</v>
      </c>
      <c r="BN41" cm="1">
        <f t="array" ref="BN41">IF(D41="","",IF(BA41&lt;&gt;"",IFERROR(_xlfn.XLOOKUP(BA41,Щиты[Щит],Щиты[Iр, А]),""),IFERROR(_xlfn.IFS(BH41=1,BF41/((Uн_лин/SQRT(3))*BM41),BH41=3,BF41/(SQRT(3)*Uн_лин*BM41)),"")))</f>
        <v>0.455802844097073</v>
      </c>
      <c r="BO41">
        <f>IF(D41="","",IF(N(X41)=0,IFERROR(VLOOKUP(BN41,Автомат_номиналы,2,TRUE),""),X41))</f>
        <v>6</v>
      </c>
      <c r="BP41">
        <f t="shared" si="9"/>
        <v>1</v>
      </c>
      <c r="BQ41">
        <f>IF(ISNUMBER(Y41),Y41,К_прокл)</f>
        <v>1</v>
      </c>
      <c r="BR41">
        <f t="shared" si="10"/>
        <v>2</v>
      </c>
      <c r="BS41" cm="1">
        <f t="array" ref="BS41">IF(D41="","",IF(N(BK41)&lt;&gt;0,BK41,IFERROR(_xlfn.LET(_xlpm.need,BO41/(BP41*BQ41),_xlpm.t,CHOOSE(BR41,Iдоп_1ж,Iдоп_2ж,Iдоп_3ж),_xlpm.k,_xlfn.XMATCH(_xlpm.need,_xlpm.t,1),IF(ISNA(_xlpm.k),"Не исп",INDEX(Iдоп_S,_xlpm.k))),"Не исп")))</f>
        <v>1.5</v>
      </c>
      <c r="BT41">
        <f>IFERROR(VLOOKUP(BS41,Кабель_сопротивление,3,FALSE),"")</f>
        <v>2.2499999999999999E-2</v>
      </c>
      <c r="BU41">
        <f>IFERROR(VLOOKUP(BS41,Кабель_сопротивление,2,FALSE),"")</f>
        <v>0.11</v>
      </c>
      <c r="BV41">
        <f t="shared" si="11"/>
        <v>10</v>
      </c>
      <c r="BW41">
        <f>IF(D41="","",IFERROR(IF(VLOOKUP(AT41,Потребители_обозначение,4,FALSE)=1,VLOOKUP(AT41,Потребители_обозначение,3,FALSE)*(H41*2-1)+BV41+VLOOKUP(AV41,Этаж_обозначение,3,FALSE)+VLOOKUP(AV41,Этаж_обозначение,4,FALSE),VLOOKUP(AT41,Потребители_обозначение,3,FALSE)*(H41*2-1)+BV41),BV41))</f>
        <v>19</v>
      </c>
      <c r="BX41">
        <f t="shared" si="12"/>
        <v>0</v>
      </c>
      <c r="BY41">
        <f t="shared" si="13"/>
        <v>15</v>
      </c>
      <c r="BZ41">
        <f t="shared" si="14"/>
        <v>2</v>
      </c>
      <c r="CA41">
        <f t="shared" si="15"/>
        <v>0.31</v>
      </c>
      <c r="CB41">
        <f t="shared" si="16"/>
        <v>0.24740786940394599</v>
      </c>
      <c r="CC41">
        <f>IFERROR(ROUNDUP(CB41/((Uн_лин/SQRT(3))*1000)*100,2),"")</f>
        <v>0.11</v>
      </c>
      <c r="CD41">
        <f>IF(ISNUMBER(CC41),CC41+IFERROR(_xlfn.XLOOKUP(A41,Щиты[Щит],Щиты[ΔU до шин, %]),0),"")</f>
        <v>0.28000000000000003</v>
      </c>
      <c r="CE41">
        <f>IF(D41="","",IF(IFERROR(VLOOKUP(AT41,УГО_спр,2,FALSE),"")="Светильник",3,4)+IF(Методика="нормы 2026",MIN(0.5,MAX(0,N(BW41)-100)*0.005),0))</f>
        <v>3</v>
      </c>
      <c r="CF41" t="str">
        <f>IFERROR(VLOOKUP(BI41,Кабель_обозначение,2,FALSE),"")</f>
        <v>ВВГнг(А)-LS</v>
      </c>
      <c r="CG41" t="str">
        <f>IFERROR(IF(VLOOKUP(BI41,Кабель_обозначение,3,FALSE)=1,CF41&amp;" ("&amp;BJ41&amp;"х"&amp;BS41&amp;")",CF41),"")</f>
        <v>ВВГнг(А)-LS (3х1,5)</v>
      </c>
      <c r="CH41" t="str">
        <f t="shared" si="17"/>
        <v>ВВГнг(А)-LS (3х1,5)
L=19-0,11%</v>
      </c>
      <c r="CI41">
        <f>IFERROR(2*ρкз_Cu*BW41/BS41,"")</f>
        <v>0.66626666666666667</v>
      </c>
      <c r="CJ41">
        <f t="shared" si="18"/>
        <v>0.22166666666666668</v>
      </c>
      <c r="CK41" t="str">
        <f>IFERROR(IF(OR(D41="",NOT(ISNUMBER(BS41)),N(BW41)=0),"",_xlfn.XLOOKUP(A41,Щиты[Щит],Щиты[Zпетли на шинах, Ом])+CI41),"")</f>
        <v/>
      </c>
      <c r="CL41" t="str">
        <f>IF(ISNUMBER(CK41),c_min*(Uн_лин*1000/SQRT(3))/CK41,"")</f>
        <v/>
      </c>
      <c r="CM41" t="str">
        <f>IFERROR(IF(OR(D41="",NOT(ISNUMBER(BS41))),"",1.05*(Uн_лин*1000/SQRT(3))/(_xlfn.XLOOKUP(A41,Щиты[Щит],Щиты[Zmax на шинах, Ом])+CJ41)/1000),"")</f>
        <v/>
      </c>
      <c r="CN41" t="str">
        <f>IF(D41="","",IF(BA41&lt;&gt;"","Щит",IF(K41&lt;&gt;"",K41,IF(ISNUMBER(L41),"Сил",IF(IFERROR(_xlfn.XLOOKUP(AT41,Коды_код,Коды_группа)&amp;"","")="","Быт",_xlfn.XLOOKUP(AT41,Коды_код,Коды_группа)&amp;"")))))</f>
        <v>Быт</v>
      </c>
      <c r="CO41">
        <f>IF(CN41="Щит","щит",IF(CN41="","",IF(CN41="Быт",IFERROR(_xlfn.XLOOKUP(A41,Щиты[Щит],Щиты[Кс быт]),1),IF(CN41="Сил",IF(ISNUMBER(L41),L41,IF(Методика="нормы 2026",IFERROR(_xlfn.XLOOKUP(A41,Щиты[Щит],Щиты[Кс силовых (табл. 7.5)]),1),1)),IF(OR(CN41="Пост",CN41="Отоп"),1,IF(CN41="ВНГ",0.7,0))))))</f>
        <v>0.8</v>
      </c>
      <c r="CP41">
        <f t="shared" si="19"/>
        <v>1</v>
      </c>
      <c r="CQ41">
        <f t="shared" si="20"/>
        <v>0.1</v>
      </c>
      <c r="CR41">
        <f t="shared" si="21"/>
        <v>0.1</v>
      </c>
      <c r="CS41">
        <f t="shared" si="22"/>
        <v>0</v>
      </c>
      <c r="CT41">
        <f t="shared" si="23"/>
        <v>0</v>
      </c>
      <c r="CU41">
        <f t="shared" si="24"/>
        <v>0</v>
      </c>
      <c r="CV41">
        <f t="shared" si="25"/>
        <v>0</v>
      </c>
      <c r="CW41">
        <f t="shared" si="26"/>
        <v>0.1</v>
      </c>
      <c r="CX41">
        <f t="shared" si="27"/>
        <v>9.5000000000000001E-2</v>
      </c>
      <c r="CY41">
        <f t="shared" si="28"/>
        <v>1</v>
      </c>
      <c r="CZ41" t="str">
        <f t="shared" si="29"/>
        <v>L1</v>
      </c>
      <c r="DA41" cm="1">
        <f t="array" ref="DA41">IFERROR(IF(BL41=2,_xlfn.IFS(BH41=3,VLOOKUP(BF41,Справочная_двигатели,3,FALSE),BH41=1,VLOOKUP(BF41,Справочная_двигатели,5,TRUE)),0),0)</f>
        <v>0</v>
      </c>
      <c r="DB41">
        <f>IFERROR(IF(BL41=3,VLOOKUP(BF41,Справочная_ЛЭД,2,TRUE),0),0)</f>
        <v>50</v>
      </c>
      <c r="DC41">
        <f t="shared" si="30"/>
        <v>50</v>
      </c>
      <c r="DD41" t="str">
        <f t="shared" si="31"/>
        <v>L1</v>
      </c>
      <c r="DE41" t="str" cm="1">
        <f t="array" ref="DE41">IF(D41="","",IFERROR(INDEX({"I особая","I","II","III"},MATCH(TRIM(AA41&amp;""),{"I особая","I","II","III"},0)),"III"))</f>
        <v>III</v>
      </c>
      <c r="DF41" t="str">
        <f>IF(D41="","",IF(TRIM(AB41&amp;"")&lt;&gt;"",IF(LOWER(TRIM(AB41&amp;""))="да","да","нет"),IF(IFERROR(_xlfn.XLOOKUP(AT41,Коды_код,Коды_пожарная),"")="да","да","нет")))</f>
        <v>нет</v>
      </c>
      <c r="DG41" t="str">
        <f t="shared" si="32"/>
        <v/>
      </c>
      <c r="DH41" t="str">
        <f t="shared" si="33"/>
        <v>основная</v>
      </c>
      <c r="DI41">
        <f t="shared" si="34"/>
        <v>1</v>
      </c>
      <c r="DJ41" t="str" cm="1">
        <f t="array" ref="DJ41">IF(D41="","",_xlfn.LET(_xlpm.t,IFERROR(_xlfn.XLOOKUP(1,(Шины[Шина]=DH41)*(((Шины[Щит]=A41)+(Шины[Щит]=""))&gt;0),Шины[Тип]),"")&amp;"",IF(_xlpm.t&lt;&gt;"",_xlpm.t,IF(ISNUMBER(SEARCH("ИБП",DH41)),"ИБП",IF(ISNUMBER(SEARCH("ДГУ",DH41)),"ДГУ","Ввод "&amp;DI41)))))</f>
        <v>Ввод 1</v>
      </c>
      <c r="DK41" t="str">
        <f t="shared" si="35"/>
        <v>Ввод 1</v>
      </c>
      <c r="DL41" t="str">
        <f>IF(D41="","",IF(OR(DJ41="ИБП",DJ41="ДГУ"),"I особая",IF(DJ41="Одиночная","III",_xlfn.XLOOKUP(A41,Щиты[Щит],Щиты[Категория шины «Ввод»],"III"))))</f>
        <v>II</v>
      </c>
      <c r="DM41">
        <f>IF(D41="",0,IFERROR(MATCH(DE41,{"III","II","I","I особая"},0),1))</f>
        <v>1</v>
      </c>
      <c r="DN41">
        <f t="shared" si="36"/>
        <v>1</v>
      </c>
      <c r="DO41" t="str">
        <f>IF(D41="","",IF(DM41&gt;IFERROR(MATCH(DL41,{"III","II","I","I особая"},0),1),"НЕ ОБЕСПЕЧЕНА","ОК"))</f>
        <v>ОК</v>
      </c>
      <c r="DP41" t="str">
        <f>IF(A41="","",_xlfn.XLOOKUP(A41,Щиты[Щит],Щиты[Путь],""))</f>
        <v>|ГРЩ-ЖД|ЩГП|ЩО-001|</v>
      </c>
      <c r="DQ41" t="str">
        <f>IF(D41="","",IF(Z41&lt;&gt;"",Z41,IF(IFERROR(_xlfn.XLOOKUP(AT41,Коды_код,Коды_вид)&amp;"","")="","Прочее",_xlfn.XLOOKUP(AT41,Коды_код,Коды_вид)&amp;"")))</f>
        <v>Рабочее освещение</v>
      </c>
      <c r="DR41" t="str">
        <f>IF(BD41="","",INT((BD41-1)/Столбцов_на_лист)+1)</f>
        <v/>
      </c>
      <c r="DS41" t="str">
        <f t="shared" si="37"/>
        <v>ВВГнг(А)-LS (3х1,5) L=19-0,11%</v>
      </c>
      <c r="DT41">
        <f t="shared" si="38"/>
        <v>0.1</v>
      </c>
      <c r="DU41">
        <f t="shared" si="39"/>
        <v>0.46</v>
      </c>
      <c r="DV41">
        <f t="shared" si="40"/>
        <v>1</v>
      </c>
      <c r="DW41">
        <f>IF(AT41="",0,_xlfn.LET(_xlpm.v,IFERROR(VLOOKUP(D41,УГО_спр,3,FALSE),IFERROR(VLOOKUP(AT41,УГО_спр,3,FALSE),IFERROR(VLOOKUP(LEFT(AT41,2),УГО_спр,3,FALSE),""))),IF(_xlpm.v="да",30,IF(ISNUMBER(_xlpm.v),_xlpm.v,0))))</f>
        <v>0</v>
      </c>
      <c r="DX41">
        <f t="shared" si="41"/>
        <v>0</v>
      </c>
      <c r="DY41" t="str">
        <f>IF(BD41="","",IF(AD41&lt;&gt;"",COUNTIFS(A$3:A41,A41,AD$3:AD41,"?*"),IF(OR(OR(AS41=1,A41&lt;&gt;A40),AL41="вручную"),"",IF(AS41=1,"",DZ40))))</f>
        <v/>
      </c>
      <c r="DZ41" t="str">
        <f t="shared" si="42"/>
        <v/>
      </c>
      <c r="EA41">
        <f>IF(D41="",0,MAX(IFERROR(--X41,0),IFERROR(--VLOOKUP(D41,УГО_спр,4,FALSE),IFERROR(--VLOOKUP(AT41,УГО_спр,4,FALSE),IFERROR(--VLOOKUP(LEFT(AT41,2),УГО_спр,4,FALSE),0)))))</f>
        <v>10</v>
      </c>
      <c r="EB41">
        <f>IF(D41="","",IFERROR(LOOKUP(INDEX(CHOOSE(BR41,Iдоп_1ж,Iдоп_2ж,Iдоп_3ж),MATCH(BS41,Iдоп_S,0))*BP41*BQ41,{6,10,16,20,25,32,40,50,63,80,100,125,160,200,250,315,400,500,630}),""))</f>
        <v>16</v>
      </c>
      <c r="EC41" t="str">
        <f>IF(AD41="","",SUMIFS(Линии[_Ток схемы],Линии[_гр.],DY41,Линии[Щит],A41,Линии[_в кабель выше],0))</f>
        <v/>
      </c>
      <c r="ED41" t="str">
        <f>IF(AD41="","",IFERROR(VLOOKUP(EC41,Автомат_номиналы,2,TRUE),""))</f>
        <v/>
      </c>
      <c r="EE41" t="str">
        <f>IF(AD41="","",MAX(N(ED41),_xlfn.MAXIFS(Линии[_мин. по типу],Линии[_гр.],DY41,Линии[Щит],A41)))</f>
        <v/>
      </c>
      <c r="EF41" t="str">
        <f>IF(AD41="","",_xlfn.MINIFS(Линии[_макс. автомат по кабелю],Линии[_гр.],DY41,Линии[Щит],A41))</f>
        <v/>
      </c>
      <c r="EG41" t="str">
        <f>IF(AD41="","",MAX(1,_xlfn.MAXIFS(Линии[_фаз],Линии[_гр.],DY41,Линии[Щит],A41)))</f>
        <v/>
      </c>
      <c r="EH41" t="str">
        <f>IF(AD41="","",IF(AND(AD41&lt;&gt;"авто",AD41&lt;&gt;"+"),IF(ISNUMBER(SEARCH("мА",AD41)),IFERROR(--TRIM(RIGHT(SUBSTITUTE(LEFT(AD41,SEARCH("мА",AD41)-1)," ",REPT(" ",9)),6)),30),0),IF(AE41="нет",0,IF(ISNUMBER(AE41),AE41,IF(AE41="да",30,_xlfn.MINIFS(Линии[_дифзащита по коду, мА],Линии[_гр.],DY41,Линии[Щит],A41,Линии[_дифзащита по коду, мА],"&gt;0"))))))</f>
        <v/>
      </c>
      <c r="EI41" t="str">
        <f t="shared" si="43"/>
        <v/>
      </c>
      <c r="EJ41" t="str">
        <f t="shared" si="44"/>
        <v/>
      </c>
      <c r="EK41" t="str">
        <f t="shared" si="45"/>
        <v/>
      </c>
      <c r="EL41" t="str">
        <f t="shared" si="46"/>
        <v/>
      </c>
      <c r="EM41">
        <f t="shared" si="47"/>
        <v>0</v>
      </c>
      <c r="EN41" t="str">
        <f>IF(AD41="","",IF(EM41=1,MAX(EE41,Мин_автомат_БП),EE41))</f>
        <v/>
      </c>
      <c r="EO41" t="str">
        <f t="shared" si="48"/>
        <v/>
      </c>
      <c r="EP41" t="str">
        <f t="shared" si="49"/>
        <v/>
      </c>
      <c r="EQ41" t="str">
        <f t="shared" si="50"/>
        <v/>
      </c>
      <c r="ER41" t="str">
        <f>IF(OR(AI41="",AI41="-"),"",IFERROR(VLOOKUP(AI41,Модули_спр,2,FALSE),"R"))</f>
        <v/>
      </c>
      <c r="ES41" t="str">
        <f>IF(ER41="","",ER41&amp;"."&amp;COUNTIFS(A$3:A41,A41,ER$3:ER41,ER41))</f>
        <v/>
      </c>
      <c r="ET41" t="str">
        <f t="shared" si="51"/>
        <v/>
      </c>
      <c r="EU41" t="str">
        <f t="shared" si="52"/>
        <v/>
      </c>
      <c r="EV41" t="str">
        <f t="shared" si="53"/>
        <v/>
      </c>
      <c r="EW41" t="str">
        <f t="shared" si="54"/>
        <v/>
      </c>
      <c r="EX41">
        <f t="shared" si="55"/>
        <v>1</v>
      </c>
      <c r="EY41" t="str">
        <f>IF(AK41="нет","",IF(AK41&lt;&gt;"",AK41,IF(EX41=1,"XT"&amp;COUNTIFS(A$3:A41,A41,EX$3:EX41,1),"")))</f>
        <v>XT10</v>
      </c>
      <c r="EZ41" t="str">
        <f t="shared" si="56"/>
        <v/>
      </c>
      <c r="FA41" t="str">
        <f t="shared" si="57"/>
        <v/>
      </c>
      <c r="FB41" t="str">
        <f t="shared" si="58"/>
        <v/>
      </c>
      <c r="FC41" t="str">
        <f>IF(OR(EV41="",ET41=""),"",IF(EV41&gt;IFERROR(VLOOKUP(EU41,Модули_спр,3,FALSE),99),"ЛИШНИЙ КАНАЛ",IF(AND(AJ41&lt;&gt;"=",COUNTIFS(Линии[_модуль гр.],ET41,Линии[Канал (итог)],EV41,Линии[Канал],"&lt;&gt;=",Линии[Щит],A41)&gt;1),"ДУБЛЬ КАНАЛА","")))</f>
        <v/>
      </c>
      <c r="FD41" t="str">
        <f t="shared" si="59"/>
        <v/>
      </c>
      <c r="FE41" t="str">
        <f t="shared" si="60"/>
        <v/>
      </c>
      <c r="FF41" t="str">
        <f t="shared" si="61"/>
        <v/>
      </c>
      <c r="FG41" t="str">
        <f t="shared" si="62"/>
        <v/>
      </c>
      <c r="FH41" t="str">
        <f t="shared" si="63"/>
        <v/>
      </c>
      <c r="FI41">
        <f t="shared" si="64"/>
        <v>10</v>
      </c>
      <c r="FJ41" t="str">
        <f t="shared" si="65"/>
        <v/>
      </c>
      <c r="FK41" t="str">
        <f>IF(AND(D41="",EZ41=""),"",_xlfn.TEXTJOIN("; ",TRUE,IF(AND(D41&lt;&gt;"",DD41=""),"нет фазы",""),IF(AND(D41&lt;&gt;"",N(DT41)=0,CN41&lt;&gt;"Нет"),"нет мощности",""),IF(AND(EY41&lt;&gt;"",COUNTIFS(Линии[Щит],A41,Линии[Клемма (итог)],EY41)&gt;1),"дубль клеммы "&amp;EY41,""),IF(AND(FB41&lt;&gt;"",FB41&lt;&gt;"ok"),FB41,""),IF(FC41&lt;&gt;"",FC41,""),IF(AND(ISNUMBER(SEARCH("(5х",DS41)),N(DV41)=1),"5 жил на 1 фазе",""),IF(AND(AT41="R",AD41&lt;&gt;"",OR(N(EH41)=0,N(EH41)&gt;30)),"розетка без дифзащиты до 30 мА",""),IFERROR(IF(AND(ISNUMBER(CD41),CD41&gt;CE41),"потери "&amp;FIXED(CD41,1)&amp;" % &gt; "&amp;CE41&amp;" %",""),""),IFERROR(IF(LEFT(FJ41,4)="мало","Iкз мало — отключение &gt; 0,4 с",""),""),IF(AND(D41&lt;&gt;"",BD41=""),"не на схеме","")))</f>
        <v>не на схеме</v>
      </c>
      <c r="FL41" t="str">
        <f>IF(AD41="","",_xlfn.LET(_xlpm.t,IFERROR(_xlfn.XLOOKUP(EP41,Каталог!$U$4:$U$500,Каталог!$G$4:$G$500),""),_xlpm.k,SEARCH("кА",_xlpm.t),IFERROR(--TRIM(RIGHT(SUBSTITUTE(MID(_xlpm.t,MAX(1,_xlpm.k-4),_xlpm.k-MAX(1,_xlpm.k-4))," ",REPT(" ",9)),5)),"")))</f>
        <v/>
      </c>
      <c r="FM41" t="str">
        <f>IF(OR(FL41="",AD41=""),"",IF(_xlfn.XLOOKUP(A41,Щиты[Щит],Щиты[Iкз max на шинах, кА],"")="","",IF(FL41&lt;_xlfn.XLOOKUP(A41,Щиты[Щит],Щиты[Iкз max на шинах, кА]),"Icu "&amp;FL41&amp;" кА &lt; Iкз max","ok")))</f>
        <v/>
      </c>
      <c r="FN41" t="str">
        <f t="shared" si="66"/>
        <v/>
      </c>
      <c r="FO41" t="str">
        <f t="shared" si="67"/>
        <v/>
      </c>
      <c r="FP41" t="str" cm="1">
        <f t="array" ref="FP41">IF(FO41="","",_xlfn.LET(_xlpm.nd,_xlfn.TEXTSPLIT(FO41,"|"),IF(COLUMNS(_xlpm.nd)&gt;1,A41&amp;"¦"&amp;INDEX(_xlpm.nd,1)&amp;"¦"&amp;INDEX(_xlpm.nd,2),"")))</f>
        <v/>
      </c>
      <c r="FQ41" t="str">
        <f t="shared" si="68"/>
        <v/>
      </c>
      <c r="FR41" t="str" cm="1">
        <f t="array" ref="FR41">IF(FO41="","",_xlfn.LET(_xlpm.nd,_xlfn.TEXTSPLIT(FO41,"|"),IF(COLUMNS(_xlpm.nd)&gt;2,A41&amp;"¦"&amp;INDEX(_xlpm.nd,2)&amp;"¦"&amp;INDEX(_xlpm.nd,3),"")))</f>
        <v/>
      </c>
      <c r="FS41" t="str">
        <f t="shared" si="69"/>
        <v/>
      </c>
      <c r="FT41" t="str" cm="1">
        <f t="array" ref="FT41">IF(FO41="","",_xlfn.LET(_xlpm.nd,_xlfn.TEXTSPLIT(FO41,"|"),IF(COLUMNS(_xlpm.nd)&gt;3,A41&amp;"¦"&amp;INDEX(_xlpm.nd,3)&amp;"¦"&amp;INDEX(_xlpm.nd,4),"")))</f>
        <v/>
      </c>
      <c r="FU41" t="str">
        <f t="shared" si="70"/>
        <v/>
      </c>
      <c r="FV41" t="str" cm="1">
        <f t="array" ref="FV41">IF(FO41="","",_xlfn.LET(_xlpm.nd,_xlfn.TEXTSPLIT(FO41,"|"),IF(COLUMNS(_xlpm.nd)&gt;4,A41&amp;"¦"&amp;INDEX(_xlpm.nd,4)&amp;"¦"&amp;INDEX(_xlpm.nd,5),"")))</f>
        <v/>
      </c>
      <c r="FW41" t="str">
        <f t="shared" si="71"/>
        <v/>
      </c>
      <c r="FX41" t="str" cm="1">
        <f t="array" ref="FX41">IF(FO41="","",_xlfn.LET(_xlpm.nd,_xlfn.TEXTSPLIT(FO41,"|"),IF(COLUMNS(_xlpm.nd)&gt;5,A41&amp;"¦"&amp;INDEX(_xlpm.nd,5)&amp;"¦"&amp;INDEX(_xlpm.nd,6),"")))</f>
        <v/>
      </c>
      <c r="FY41" t="str">
        <f t="shared" si="72"/>
        <v/>
      </c>
      <c r="FZ41" t="str" cm="1">
        <f t="array" ref="FZ41">IF(FO41="","",_xlfn.LET(_xlpm.nd,_xlfn.TEXTSPLIT(FO41,"|"),IF(COLUMNS(_xlpm.nd)&gt;6,A41&amp;"¦"&amp;INDEX(_xlpm.nd,6)&amp;"¦"&amp;INDEX(_xlpm.nd,7),"")))</f>
        <v/>
      </c>
      <c r="GA41" t="str">
        <f t="shared" si="73"/>
        <v/>
      </c>
      <c r="GB41" t="str">
        <f t="shared" si="74"/>
        <v/>
      </c>
      <c r="GC41" t="str">
        <f t="shared" si="75"/>
        <v>XT10</v>
      </c>
      <c r="GD41">
        <f t="shared" si="76"/>
        <v>0</v>
      </c>
      <c r="GE41">
        <f t="shared" si="77"/>
        <v>0</v>
      </c>
      <c r="GF41">
        <f t="shared" si="78"/>
        <v>0</v>
      </c>
      <c r="GG41" t="str">
        <f t="shared" si="79"/>
        <v/>
      </c>
      <c r="GH41" t="str">
        <f t="shared" si="80"/>
        <v/>
      </c>
      <c r="GI41" t="str">
        <f t="shared" si="81"/>
        <v/>
      </c>
      <c r="GJ41" t="str">
        <f t="shared" si="82"/>
        <v/>
      </c>
      <c r="GK41" t="str">
        <f>IF(D41="","",IFERROR(VLOOKUP(D41,УГО_спр,2,FALSE),IFERROR(VLOOKUP(AT41,УГО_спр,2,FALSE),IFERROR(VLOOKUP(LEFT(AT41,2),УГО_спр,2,FALSE),""))))</f>
        <v>Светильник</v>
      </c>
      <c r="GL41" t="str">
        <f>IF(D41="","",IF(OR(GK41="",GK41=0),"BOX",IFERROR(IF(VLOOKUP(GK41,УГО_блоки,3,FALSE)&amp;""&lt;&gt;"",VLOOKUP(GK41,УГО_блоки,3,FALSE),VLOOKUP(GK41,УГО_блоки,2,FALSE)),GK41)))</f>
        <v>LAMP</v>
      </c>
      <c r="GM41">
        <f t="shared" si="83"/>
        <v>1</v>
      </c>
      <c r="GN41" t="str">
        <f>IF(EP41="","",IF(COUNTIF(EP$3:EP41,EP41)=1,MAX(GN$2:GN40)+1,""))</f>
        <v/>
      </c>
      <c r="GO41" t="str">
        <f>IF(AF41="","",IF(COUNTIF(AF$3:AF41,AF41)+COUNTIF(AG$2:AG40,AF41)+COUNTIF(AH$2:AH40,AF41)=1,MAX(GO$2:GQ40)+1,""))</f>
        <v/>
      </c>
      <c r="GP41" t="str">
        <f>IF(AG41="","",IF(COUNTIF(AF$3:AF41,AG41)+COUNTIF(AG$3:AG41,AG41)+COUNTIF(AH$2:AH40,AG41)=1,MAX(GO$2:GQ40,GO41)+1,""))</f>
        <v/>
      </c>
      <c r="GQ41" t="str">
        <f>IF(AH41="","",IF(COUNTIF(AF$3:AF41,AH41)+COUNTIF(AG$3:AG41,AH41)+COUNTIF(AH$3:AH41,AH41)=1,MAX(GO$2:GQ40,GO41,GP41)+1,""))</f>
        <v/>
      </c>
      <c r="GR41" t="str">
        <f t="shared" si="84"/>
        <v>3х1,5</v>
      </c>
      <c r="GS41" t="str">
        <f>IF(GR41="","",IF(COUNTIF(GR$3:GR41,GR41)=1,MAX(GS$2:GS40)+1,""))</f>
        <v/>
      </c>
      <c r="GT41" t="str">
        <f>IF(ES41="","",COUNTIF(ES$3:ES41,"?*"))</f>
        <v/>
      </c>
      <c r="GU41" t="str">
        <f>IF(OR(ES41="",EU41=""),"",IF(COUNTIFS(ES$3:ES41,"?*",EU$3:EU41,EU41)=1,MAX(GU$2:GU40)+1,""))</f>
        <v/>
      </c>
      <c r="GV41">
        <f t="shared" si="85"/>
        <v>1</v>
      </c>
      <c r="GW41">
        <f>IF(D41="","",COUNTIF(D$3:D41,"?*"))</f>
        <v>39</v>
      </c>
      <c r="GX41">
        <f>IF(EX41&lt;&gt;1,0,_xlfn.LET(_xlpm.k,MAX(IFERROR(--VLOOKUP(D41,УГО_спр,5,FALSE),0),IFERROR(--VLOOKUP(AT41,УГО_спр,5,FALSE),0),IFERROR(--VLOOKUP(LEFT(AT41,2),УГО_спр,5,FALSE),0)),IF(_xlpm.k&gt;0,_xlpm.k,IF(IFERROR(--LEFT(SUBSTITUTE(GR41,"x","х"),FIND("х",SUBSTITUTE(GR41,"x","х"))-1),3)&gt;3,Каталог!$S$9,1))))</f>
        <v>1</v>
      </c>
      <c r="GY41">
        <f t="shared" si="86"/>
        <v>0</v>
      </c>
    </row>
    <row r="42" spans="1:207" x14ac:dyDescent="0.3">
      <c r="A42" t="s">
        <v>1146</v>
      </c>
      <c r="B42" t="s">
        <v>531</v>
      </c>
      <c r="C42" t="str">
        <f>IF(BD42="","",IF(BE42="вводной узел","узел ","")&amp;"л."&amp;(INT((BD42-1)/Столбцов_на_лист)+1)&amp;" / "&amp;(MOD(BD42-1,Столбцов_на_лист)+1))</f>
        <v/>
      </c>
      <c r="D42" t="s">
        <v>1315</v>
      </c>
      <c r="E42" s="133" t="str">
        <f t="shared" si="87"/>
        <v>Осветительная группа Подвальный этаж Пом. №005Б</v>
      </c>
      <c r="G42">
        <v>0.1</v>
      </c>
      <c r="H42">
        <v>8</v>
      </c>
      <c r="I42">
        <v>1</v>
      </c>
      <c r="J42">
        <v>230</v>
      </c>
      <c r="K42" t="s">
        <v>566</v>
      </c>
      <c r="P42">
        <v>47</v>
      </c>
      <c r="Q42">
        <v>17</v>
      </c>
      <c r="R42">
        <v>0</v>
      </c>
      <c r="S42">
        <v>56</v>
      </c>
      <c r="U42" t="s">
        <v>11</v>
      </c>
      <c r="V42">
        <v>3</v>
      </c>
      <c r="W42">
        <v>1.5</v>
      </c>
      <c r="Z42" t="s">
        <v>559</v>
      </c>
      <c r="AR42" t="str">
        <f t="shared" si="0"/>
        <v>не на схеме</v>
      </c>
      <c r="AS42" cm="1">
        <f t="array" ref="AS42">ROW()-ROW(Линии[#Headers])</f>
        <v>40</v>
      </c>
      <c r="AT42" t="str">
        <f t="shared" si="1"/>
        <v>L</v>
      </c>
      <c r="AU42" t="str">
        <f t="shared" si="2"/>
        <v>00.005Б.1</v>
      </c>
      <c r="AV42" t="str">
        <f t="shared" si="3"/>
        <v>00</v>
      </c>
      <c r="AW42" t="str">
        <f t="shared" si="4"/>
        <v>005Б.1</v>
      </c>
      <c r="AX42" t="str">
        <f t="shared" si="5"/>
        <v>005Б</v>
      </c>
      <c r="AY42" t="str">
        <f>IF(D42="","",IF(ISERROR(SEARCH(".",D42)),IFERROR(VLOOKUP(D42,Потребители_обозначение,2,FALSE)&amp;"",""),IFERROR(IF(VLOOKUP(AT42,Потребители_обозначение,4,FALSE)=1,VLOOKUP(AT42,Потребители_обозначение,2,FALSE)&amp;" "&amp;VLOOKUP(AV42,Этаж_обозначение,2,FALSE)&amp;" Пом. №"&amp;AX42,VLOOKUP(AT42,Потребители_обозначение,2,FALSE)&amp;" Шлейф №"&amp;AV42),IFERROR(VLOOKUP(D42,Потребители_обозначение,2,FALSE),""))))</f>
        <v>Осветительная группа Подвальный этаж Пом. №005Б</v>
      </c>
      <c r="AZ42" t="str">
        <f t="shared" si="6"/>
        <v>Осветительная группа Подвальный этаж Пом. №005Б</v>
      </c>
      <c r="BA42" t="str">
        <f>IF(F42&lt;&gt;"",F42,IF(AND(D42&lt;&gt;"",D42&lt;&gt;A42,ISNUMBER(_xlfn.XMATCH(D42,Щиты[Щит]))),D42,""))</f>
        <v/>
      </c>
      <c r="BB42">
        <f>IFERROR(_xlfn.XMATCH(A42,Щиты[Щит]),0)</f>
        <v>3</v>
      </c>
      <c r="BC42">
        <f>IFERROR(N(_xlfn.XLOOKUP(A42,Щиты[Щит],Щиты[Мест под вводной узел])),15)</f>
        <v>15</v>
      </c>
      <c r="BD42" t="str">
        <f t="shared" si="7"/>
        <v/>
      </c>
      <c r="BE42" t="str">
        <f t="shared" si="8"/>
        <v/>
      </c>
      <c r="BF42">
        <f>IF(D42="","",IF(BA42&lt;&gt;"",IFERROR(_xlfn.XLOOKUP(BA42,Щиты[Щит],Щиты[Руст, кВт]),0),N(G42)))</f>
        <v>0.1</v>
      </c>
      <c r="BG42">
        <f>IF(J42&lt;&gt;"",J42,IF(D42="","",IFERROR(IF(VLOOKUP(AT42,Потребители_обозначение,8,FALSE)=0,"",VLOOKUP(AT42,Потребители_обозначение,8,FALSE)),"")))</f>
        <v>230</v>
      </c>
      <c r="BH42">
        <f>IF(I42&lt;&gt;"",I42,IF(D42="","",IFERROR(IF(VLOOKUP(AT42,Потребители_обозначение,9,FALSE)=0,"",VLOOKUP(AT42,Потребители_обозначение,9,FALSE)),"")))</f>
        <v>1</v>
      </c>
      <c r="BI42" t="str">
        <f>IF(U42&lt;&gt;"",U42,IF(D42="","",IFERROR(IF(VLOOKUP(AT42,Потребители_обозначение,6,FALSE)=0,"",VLOOKUP(AT42,Потребители_обозначение,6,FALSE)),"")))</f>
        <v>мс</v>
      </c>
      <c r="BJ42">
        <f>IF(V42&lt;&gt;"",V42,IF(D42="","",IFERROR(IF(VLOOKUP(AT42,Потребители_обозначение,7,FALSE)=0,"",VLOOKUP(AT42,Потребители_обозначение,7,FALSE)),"")))</f>
        <v>3</v>
      </c>
      <c r="BK42">
        <f>IF(W42&lt;&gt;"",W42,IF(D42="","",IFERROR(IF(VLOOKUP(AT42,Потребители_обозначение,10,FALSE)=0,"",VLOOKUP(AT42,Потребители_обозначение,10,FALSE)),"")))</f>
        <v>1.5</v>
      </c>
      <c r="BL42">
        <f>IFERROR(VLOOKUP(AT42,Потребители_обозначение,5,FALSE),0)</f>
        <v>3</v>
      </c>
      <c r="BM42" cm="1">
        <f t="array" ref="BM42">IF(D42="","",IF(BA42&lt;&gt;"",IFERROR(_xlfn.XLOOKUP(BA42,Щиты[Щит],Щиты[cos φ]),0.95),IF(ISNUMBER(M42),M42,IFERROR(IF(BL42=2,_xlfn.IFS(BH42=3,VLOOKUP(BF42,Справочная_двигатели,8,FALSE),BH42=1,VLOOKUP(BF42,Справочная_двигатели,10,TRUE)),IF(AND(Методика="нормы 2026",CN42="Сил"),0.8,0.95)),0.95))))</f>
        <v>0.95</v>
      </c>
      <c r="BN42" cm="1">
        <f t="array" ref="BN42">IF(D42="","",IF(BA42&lt;&gt;"",IFERROR(_xlfn.XLOOKUP(BA42,Щиты[Щит],Щиты[Iр, А]),""),IFERROR(_xlfn.IFS(BH42=1,BF42/((Uн_лин/SQRT(3))*BM42),BH42=3,BF42/(SQRT(3)*Uн_лин*BM42)),"")))</f>
        <v>0.455802844097073</v>
      </c>
      <c r="BO42">
        <f>IF(D42="","",IF(N(X42)=0,IFERROR(VLOOKUP(BN42,Автомат_номиналы,2,TRUE),""),X42))</f>
        <v>6</v>
      </c>
      <c r="BP42">
        <f t="shared" si="9"/>
        <v>1</v>
      </c>
      <c r="BQ42">
        <f>IF(ISNUMBER(Y42),Y42,К_прокл)</f>
        <v>1</v>
      </c>
      <c r="BR42">
        <f t="shared" si="10"/>
        <v>2</v>
      </c>
      <c r="BS42" cm="1">
        <f t="array" ref="BS42">IF(D42="","",IF(N(BK42)&lt;&gt;0,BK42,IFERROR(_xlfn.LET(_xlpm.need,BO42/(BP42*BQ42),_xlpm.t,CHOOSE(BR42,Iдоп_1ж,Iдоп_2ж,Iдоп_3ж),_xlpm.k,_xlfn.XMATCH(_xlpm.need,_xlpm.t,1),IF(ISNA(_xlpm.k),"Не исп",INDEX(Iдоп_S,_xlpm.k))),"Не исп")))</f>
        <v>1.5</v>
      </c>
      <c r="BT42">
        <f>IFERROR(VLOOKUP(BS42,Кабель_сопротивление,3,FALSE),"")</f>
        <v>2.2499999999999999E-2</v>
      </c>
      <c r="BU42">
        <f>IFERROR(VLOOKUP(BS42,Кабель_сопротивление,2,FALSE),"")</f>
        <v>0.11</v>
      </c>
      <c r="BV42">
        <f t="shared" si="11"/>
        <v>47</v>
      </c>
      <c r="BW42">
        <f>IF(D42="","",IFERROR(IF(VLOOKUP(AT42,Потребители_обозначение,4,FALSE)=1,VLOOKUP(AT42,Потребители_обозначение,3,FALSE)*(H42*2-1)+BV42+VLOOKUP(AV42,Этаж_обозначение,3,FALSE)+VLOOKUP(AV42,Этаж_обозначение,4,FALSE),VLOOKUP(AT42,Потребители_обозначение,3,FALSE)*(H42*2-1)+BV42),BV42))</f>
        <v>62</v>
      </c>
      <c r="BX42">
        <f t="shared" si="12"/>
        <v>0</v>
      </c>
      <c r="BY42">
        <f t="shared" si="13"/>
        <v>56</v>
      </c>
      <c r="BZ42">
        <f t="shared" si="14"/>
        <v>2</v>
      </c>
      <c r="CA42">
        <f t="shared" si="15"/>
        <v>0.31</v>
      </c>
      <c r="CB42">
        <f t="shared" si="16"/>
        <v>0.80733094226550794</v>
      </c>
      <c r="CC42">
        <f>IFERROR(ROUNDUP(CB42/((Uн_лин/SQRT(3))*1000)*100,2),"")</f>
        <v>0.35000000000000003</v>
      </c>
      <c r="CD42">
        <f>IF(ISNUMBER(CC42),CC42+IFERROR(_xlfn.XLOOKUP(A42,Щиты[Щит],Щиты[ΔU до шин, %]),0),"")</f>
        <v>0.52</v>
      </c>
      <c r="CE42">
        <f>IF(D42="","",IF(IFERROR(VLOOKUP(AT42,УГО_спр,2,FALSE),"")="Светильник",3,4)+IF(Методика="нормы 2026",MIN(0.5,MAX(0,N(BW42)-100)*0.005),0))</f>
        <v>3</v>
      </c>
      <c r="CF42" t="str">
        <f>IFERROR(VLOOKUP(BI42,Кабель_обозначение,2,FALSE),"")</f>
        <v>ВВГнг(А)-LS</v>
      </c>
      <c r="CG42" t="str">
        <f>IFERROR(IF(VLOOKUP(BI42,Кабель_обозначение,3,FALSE)=1,CF42&amp;" ("&amp;BJ42&amp;"х"&amp;BS42&amp;")",CF42),"")</f>
        <v>ВВГнг(А)-LS (3х1,5)</v>
      </c>
      <c r="CH42" t="str">
        <f t="shared" si="17"/>
        <v>ВВГнг(А)-LS (3х1,5)
L=62-0,35%</v>
      </c>
      <c r="CI42">
        <f>IFERROR(2*ρкз_Cu*BW42/BS42,"")</f>
        <v>2.1741333333333333</v>
      </c>
      <c r="CJ42">
        <f t="shared" si="18"/>
        <v>0.72333333333333349</v>
      </c>
      <c r="CK42" t="str">
        <f>IFERROR(IF(OR(D42="",NOT(ISNUMBER(BS42)),N(BW42)=0),"",_xlfn.XLOOKUP(A42,Щиты[Щит],Щиты[Zпетли на шинах, Ом])+CI42),"")</f>
        <v/>
      </c>
      <c r="CL42" t="str">
        <f>IF(ISNUMBER(CK42),c_min*(Uн_лин*1000/SQRT(3))/CK42,"")</f>
        <v/>
      </c>
      <c r="CM42" t="str">
        <f>IFERROR(IF(OR(D42="",NOT(ISNUMBER(BS42))),"",1.05*(Uн_лин*1000/SQRT(3))/(_xlfn.XLOOKUP(A42,Щиты[Щит],Щиты[Zmax на шинах, Ом])+CJ42)/1000),"")</f>
        <v/>
      </c>
      <c r="CN42" t="str">
        <f>IF(D42="","",IF(BA42&lt;&gt;"","Щит",IF(K42&lt;&gt;"",K42,IF(ISNUMBER(L42),"Сил",IF(IFERROR(_xlfn.XLOOKUP(AT42,Коды_код,Коды_группа)&amp;"","")="","Быт",_xlfn.XLOOKUP(AT42,Коды_код,Коды_группа)&amp;"")))))</f>
        <v>Быт</v>
      </c>
      <c r="CO42">
        <f>IF(CN42="Щит","щит",IF(CN42="","",IF(CN42="Быт",IFERROR(_xlfn.XLOOKUP(A42,Щиты[Щит],Щиты[Кс быт]),1),IF(CN42="Сил",IF(ISNUMBER(L42),L42,IF(Методика="нормы 2026",IFERROR(_xlfn.XLOOKUP(A42,Щиты[Щит],Щиты[Кс силовых (табл. 7.5)]),1),1)),IF(OR(CN42="Пост",CN42="Отоп"),1,IF(CN42="ВНГ",0.7,0))))))</f>
        <v>0.8</v>
      </c>
      <c r="CP42">
        <f t="shared" si="19"/>
        <v>1</v>
      </c>
      <c r="CQ42">
        <f t="shared" si="20"/>
        <v>0.1</v>
      </c>
      <c r="CR42">
        <f t="shared" si="21"/>
        <v>0.1</v>
      </c>
      <c r="CS42">
        <f t="shared" si="22"/>
        <v>0</v>
      </c>
      <c r="CT42">
        <f t="shared" si="23"/>
        <v>0</v>
      </c>
      <c r="CU42">
        <f t="shared" si="24"/>
        <v>0</v>
      </c>
      <c r="CV42">
        <f t="shared" si="25"/>
        <v>0</v>
      </c>
      <c r="CW42">
        <f t="shared" si="26"/>
        <v>0.1</v>
      </c>
      <c r="CX42">
        <f t="shared" si="27"/>
        <v>9.5000000000000001E-2</v>
      </c>
      <c r="CY42">
        <f t="shared" si="28"/>
        <v>2</v>
      </c>
      <c r="CZ42" t="str">
        <f t="shared" si="29"/>
        <v>L2</v>
      </c>
      <c r="DA42" cm="1">
        <f t="array" ref="DA42">IFERROR(IF(BL42=2,_xlfn.IFS(BH42=3,VLOOKUP(BF42,Справочная_двигатели,3,FALSE),BH42=1,VLOOKUP(BF42,Справочная_двигатели,5,TRUE)),0),0)</f>
        <v>0</v>
      </c>
      <c r="DB42">
        <f>IFERROR(IF(BL42=3,VLOOKUP(BF42,Справочная_ЛЭД,2,TRUE),0),0)</f>
        <v>50</v>
      </c>
      <c r="DC42">
        <f t="shared" si="30"/>
        <v>50</v>
      </c>
      <c r="DD42" t="str">
        <f t="shared" si="31"/>
        <v>L2</v>
      </c>
      <c r="DE42" t="str" cm="1">
        <f t="array" ref="DE42">IF(D42="","",IFERROR(INDEX({"I особая","I","II","III"},MATCH(TRIM(AA42&amp;""),{"I особая","I","II","III"},0)),"III"))</f>
        <v>III</v>
      </c>
      <c r="DF42" t="str">
        <f>IF(D42="","",IF(TRIM(AB42&amp;"")&lt;&gt;"",IF(LOWER(TRIM(AB42&amp;""))="да","да","нет"),IF(IFERROR(_xlfn.XLOOKUP(AT42,Коды_код,Коды_пожарная),"")="да","да","нет")))</f>
        <v>нет</v>
      </c>
      <c r="DG42" t="str">
        <f t="shared" si="32"/>
        <v/>
      </c>
      <c r="DH42" t="str">
        <f t="shared" si="33"/>
        <v>основная</v>
      </c>
      <c r="DI42">
        <f t="shared" si="34"/>
        <v>1</v>
      </c>
      <c r="DJ42" t="str" cm="1">
        <f t="array" ref="DJ42">IF(D42="","",_xlfn.LET(_xlpm.t,IFERROR(_xlfn.XLOOKUP(1,(Шины[Шина]=DH42)*(((Шины[Щит]=A42)+(Шины[Щит]=""))&gt;0),Шины[Тип]),"")&amp;"",IF(_xlpm.t&lt;&gt;"",_xlpm.t,IF(ISNUMBER(SEARCH("ИБП",DH42)),"ИБП",IF(ISNUMBER(SEARCH("ДГУ",DH42)),"ДГУ","Ввод "&amp;DI42)))))</f>
        <v>Ввод 1</v>
      </c>
      <c r="DK42" t="str">
        <f t="shared" si="35"/>
        <v>Ввод 1</v>
      </c>
      <c r="DL42" t="str">
        <f>IF(D42="","",IF(OR(DJ42="ИБП",DJ42="ДГУ"),"I особая",IF(DJ42="Одиночная","III",_xlfn.XLOOKUP(A42,Щиты[Щит],Щиты[Категория шины «Ввод»],"III"))))</f>
        <v>II</v>
      </c>
      <c r="DM42">
        <f>IF(D42="",0,IFERROR(MATCH(DE42,{"III","II","I","I особая"},0),1))</f>
        <v>1</v>
      </c>
      <c r="DN42">
        <f t="shared" si="36"/>
        <v>1</v>
      </c>
      <c r="DO42" t="str">
        <f>IF(D42="","",IF(DM42&gt;IFERROR(MATCH(DL42,{"III","II","I","I особая"},0),1),"НЕ ОБЕСПЕЧЕНА","ОК"))</f>
        <v>ОК</v>
      </c>
      <c r="DP42" t="str">
        <f>IF(A42="","",_xlfn.XLOOKUP(A42,Щиты[Щит],Щиты[Путь],""))</f>
        <v>|ГРЩ-ЖД|ЩГП|ЩО-001|</v>
      </c>
      <c r="DQ42" t="str">
        <f>IF(D42="","",IF(Z42&lt;&gt;"",Z42,IF(IFERROR(_xlfn.XLOOKUP(AT42,Коды_код,Коды_вид)&amp;"","")="","Прочее",_xlfn.XLOOKUP(AT42,Коды_код,Коды_вид)&amp;"")))</f>
        <v>Рабочее освещение</v>
      </c>
      <c r="DR42" t="str">
        <f>IF(BD42="","",INT((BD42-1)/Столбцов_на_лист)+1)</f>
        <v/>
      </c>
      <c r="DS42" t="str">
        <f t="shared" si="37"/>
        <v>ВВГнг(А)-LS (3х1,5) L=62-0,35%</v>
      </c>
      <c r="DT42">
        <f t="shared" si="38"/>
        <v>0.1</v>
      </c>
      <c r="DU42">
        <f t="shared" si="39"/>
        <v>0.46</v>
      </c>
      <c r="DV42">
        <f t="shared" si="40"/>
        <v>1</v>
      </c>
      <c r="DW42">
        <f>IF(AT42="",0,_xlfn.LET(_xlpm.v,IFERROR(VLOOKUP(D42,УГО_спр,3,FALSE),IFERROR(VLOOKUP(AT42,УГО_спр,3,FALSE),IFERROR(VLOOKUP(LEFT(AT42,2),УГО_спр,3,FALSE),""))),IF(_xlpm.v="да",30,IF(ISNUMBER(_xlpm.v),_xlpm.v,0))))</f>
        <v>0</v>
      </c>
      <c r="DX42">
        <f t="shared" si="41"/>
        <v>0</v>
      </c>
      <c r="DY42" t="str">
        <f>IF(BD42="","",IF(AD42&lt;&gt;"",COUNTIFS(A$3:A42,A42,AD$3:AD42,"?*"),IF(OR(OR(AS42=1,A42&lt;&gt;A41),AL42="вручную"),"",IF(AS42=1,"",DZ41))))</f>
        <v/>
      </c>
      <c r="DZ42" t="str">
        <f t="shared" si="42"/>
        <v/>
      </c>
      <c r="EA42">
        <f>IF(D42="",0,MAX(IFERROR(--X42,0),IFERROR(--VLOOKUP(D42,УГО_спр,4,FALSE),IFERROR(--VLOOKUP(AT42,УГО_спр,4,FALSE),IFERROR(--VLOOKUP(LEFT(AT42,2),УГО_спр,4,FALSE),0)))))</f>
        <v>10</v>
      </c>
      <c r="EB42">
        <f>IF(D42="","",IFERROR(LOOKUP(INDEX(CHOOSE(BR42,Iдоп_1ж,Iдоп_2ж,Iдоп_3ж),MATCH(BS42,Iдоп_S,0))*BP42*BQ42,{6,10,16,20,25,32,40,50,63,80,100,125,160,200,250,315,400,500,630}),""))</f>
        <v>16</v>
      </c>
      <c r="EC42" t="str">
        <f>IF(AD42="","",SUMIFS(Линии[_Ток схемы],Линии[_гр.],DY42,Линии[Щит],A42,Линии[_в кабель выше],0))</f>
        <v/>
      </c>
      <c r="ED42" t="str">
        <f>IF(AD42="","",IFERROR(VLOOKUP(EC42,Автомат_номиналы,2,TRUE),""))</f>
        <v/>
      </c>
      <c r="EE42" t="str">
        <f>IF(AD42="","",MAX(N(ED42),_xlfn.MAXIFS(Линии[_мин. по типу],Линии[_гр.],DY42,Линии[Щит],A42)))</f>
        <v/>
      </c>
      <c r="EF42" t="str">
        <f>IF(AD42="","",_xlfn.MINIFS(Линии[_макс. автомат по кабелю],Линии[_гр.],DY42,Линии[Щит],A42))</f>
        <v/>
      </c>
      <c r="EG42" t="str">
        <f>IF(AD42="","",MAX(1,_xlfn.MAXIFS(Линии[_фаз],Линии[_гр.],DY42,Линии[Щит],A42)))</f>
        <v/>
      </c>
      <c r="EH42" t="str">
        <f>IF(AD42="","",IF(AND(AD42&lt;&gt;"авто",AD42&lt;&gt;"+"),IF(ISNUMBER(SEARCH("мА",AD42)),IFERROR(--TRIM(RIGHT(SUBSTITUTE(LEFT(AD42,SEARCH("мА",AD42)-1)," ",REPT(" ",9)),6)),30),0),IF(AE42="нет",0,IF(ISNUMBER(AE42),AE42,IF(AE42="да",30,_xlfn.MINIFS(Линии[_дифзащита по коду, мА],Линии[_гр.],DY42,Линии[Щит],A42,Линии[_дифзащита по коду, мА],"&gt;0"))))))</f>
        <v/>
      </c>
      <c r="EI42" t="str">
        <f t="shared" si="43"/>
        <v/>
      </c>
      <c r="EJ42" t="str">
        <f t="shared" si="44"/>
        <v/>
      </c>
      <c r="EK42" t="str">
        <f t="shared" si="45"/>
        <v/>
      </c>
      <c r="EL42" t="str">
        <f t="shared" si="46"/>
        <v/>
      </c>
      <c r="EM42">
        <f t="shared" si="47"/>
        <v>0</v>
      </c>
      <c r="EN42" t="str">
        <f>IF(AD42="","",IF(EM42=1,MAX(EE42,Мин_автомат_БП),EE42))</f>
        <v/>
      </c>
      <c r="EO42" t="str">
        <f t="shared" si="48"/>
        <v/>
      </c>
      <c r="EP42" t="str">
        <f t="shared" si="49"/>
        <v/>
      </c>
      <c r="EQ42" t="str">
        <f t="shared" si="50"/>
        <v/>
      </c>
      <c r="ER42" t="str">
        <f>IF(OR(AI42="",AI42="-"),"",IFERROR(VLOOKUP(AI42,Модули_спр,2,FALSE),"R"))</f>
        <v/>
      </c>
      <c r="ES42" t="str">
        <f>IF(ER42="","",ER42&amp;"."&amp;COUNTIFS(A$3:A42,A42,ER$3:ER42,ER42))</f>
        <v/>
      </c>
      <c r="ET42" t="str">
        <f t="shared" si="51"/>
        <v/>
      </c>
      <c r="EU42" t="str">
        <f t="shared" si="52"/>
        <v/>
      </c>
      <c r="EV42" t="str">
        <f t="shared" si="53"/>
        <v/>
      </c>
      <c r="EW42" t="str">
        <f t="shared" si="54"/>
        <v/>
      </c>
      <c r="EX42">
        <f t="shared" si="55"/>
        <v>1</v>
      </c>
      <c r="EY42" t="str">
        <f>IF(AK42="нет","",IF(AK42&lt;&gt;"",AK42,IF(EX42=1,"XT"&amp;COUNTIFS(A$3:A42,A42,EX$3:EX42,1),"")))</f>
        <v>XT11</v>
      </c>
      <c r="EZ42" t="str">
        <f t="shared" si="56"/>
        <v/>
      </c>
      <c r="FA42" t="str">
        <f t="shared" si="57"/>
        <v/>
      </c>
      <c r="FB42" t="str">
        <f t="shared" si="58"/>
        <v/>
      </c>
      <c r="FC42" t="str">
        <f>IF(OR(EV42="",ET42=""),"",IF(EV42&gt;IFERROR(VLOOKUP(EU42,Модули_спр,3,FALSE),99),"ЛИШНИЙ КАНАЛ",IF(AND(AJ42&lt;&gt;"=",COUNTIFS(Линии[_модуль гр.],ET42,Линии[Канал (итог)],EV42,Линии[Канал],"&lt;&gt;=",Линии[Щит],A42)&gt;1),"ДУБЛЬ КАНАЛА","")))</f>
        <v/>
      </c>
      <c r="FD42" t="str">
        <f t="shared" si="59"/>
        <v/>
      </c>
      <c r="FE42" t="str">
        <f t="shared" si="60"/>
        <v/>
      </c>
      <c r="FF42" t="str">
        <f t="shared" si="61"/>
        <v/>
      </c>
      <c r="FG42" t="str">
        <f t="shared" si="62"/>
        <v/>
      </c>
      <c r="FH42" t="str">
        <f t="shared" si="63"/>
        <v/>
      </c>
      <c r="FI42">
        <f t="shared" si="64"/>
        <v>10</v>
      </c>
      <c r="FJ42" t="str">
        <f t="shared" si="65"/>
        <v/>
      </c>
      <c r="FK42" t="str">
        <f>IF(AND(D42="",EZ42=""),"",_xlfn.TEXTJOIN("; ",TRUE,IF(AND(D42&lt;&gt;"",DD42=""),"нет фазы",""),IF(AND(D42&lt;&gt;"",N(DT42)=0,CN42&lt;&gt;"Нет"),"нет мощности",""),IF(AND(EY42&lt;&gt;"",COUNTIFS(Линии[Щит],A42,Линии[Клемма (итог)],EY42)&gt;1),"дубль клеммы "&amp;EY42,""),IF(AND(FB42&lt;&gt;"",FB42&lt;&gt;"ok"),FB42,""),IF(FC42&lt;&gt;"",FC42,""),IF(AND(ISNUMBER(SEARCH("(5х",DS42)),N(DV42)=1),"5 жил на 1 фазе",""),IF(AND(AT42="R",AD42&lt;&gt;"",OR(N(EH42)=0,N(EH42)&gt;30)),"розетка без дифзащиты до 30 мА",""),IFERROR(IF(AND(ISNUMBER(CD42),CD42&gt;CE42),"потери "&amp;FIXED(CD42,1)&amp;" % &gt; "&amp;CE42&amp;" %",""),""),IFERROR(IF(LEFT(FJ42,4)="мало","Iкз мало — отключение &gt; 0,4 с",""),""),IF(AND(D42&lt;&gt;"",BD42=""),"не на схеме","")))</f>
        <v>не на схеме</v>
      </c>
      <c r="FL42" t="str">
        <f>IF(AD42="","",_xlfn.LET(_xlpm.t,IFERROR(_xlfn.XLOOKUP(EP42,Каталог!$U$4:$U$500,Каталог!$G$4:$G$500),""),_xlpm.k,SEARCH("кА",_xlpm.t),IFERROR(--TRIM(RIGHT(SUBSTITUTE(MID(_xlpm.t,MAX(1,_xlpm.k-4),_xlpm.k-MAX(1,_xlpm.k-4))," ",REPT(" ",9)),5)),"")))</f>
        <v/>
      </c>
      <c r="FM42" t="str">
        <f>IF(OR(FL42="",AD42=""),"",IF(_xlfn.XLOOKUP(A42,Щиты[Щит],Щиты[Iкз max на шинах, кА],"")="","",IF(FL42&lt;_xlfn.XLOOKUP(A42,Щиты[Щит],Щиты[Iкз max на шинах, кА]),"Icu "&amp;FL42&amp;" кА &lt; Iкз max","ok")))</f>
        <v/>
      </c>
      <c r="FN42" t="str">
        <f t="shared" si="66"/>
        <v/>
      </c>
      <c r="FO42" t="str">
        <f t="shared" si="67"/>
        <v/>
      </c>
      <c r="FP42" t="str" cm="1">
        <f t="array" ref="FP42">IF(FO42="","",_xlfn.LET(_xlpm.nd,_xlfn.TEXTSPLIT(FO42,"|"),IF(COLUMNS(_xlpm.nd)&gt;1,A42&amp;"¦"&amp;INDEX(_xlpm.nd,1)&amp;"¦"&amp;INDEX(_xlpm.nd,2),"")))</f>
        <v/>
      </c>
      <c r="FQ42" t="str">
        <f t="shared" si="68"/>
        <v/>
      </c>
      <c r="FR42" t="str" cm="1">
        <f t="array" ref="FR42">IF(FO42="","",_xlfn.LET(_xlpm.nd,_xlfn.TEXTSPLIT(FO42,"|"),IF(COLUMNS(_xlpm.nd)&gt;2,A42&amp;"¦"&amp;INDEX(_xlpm.nd,2)&amp;"¦"&amp;INDEX(_xlpm.nd,3),"")))</f>
        <v/>
      </c>
      <c r="FS42" t="str">
        <f t="shared" si="69"/>
        <v/>
      </c>
      <c r="FT42" t="str" cm="1">
        <f t="array" ref="FT42">IF(FO42="","",_xlfn.LET(_xlpm.nd,_xlfn.TEXTSPLIT(FO42,"|"),IF(COLUMNS(_xlpm.nd)&gt;3,A42&amp;"¦"&amp;INDEX(_xlpm.nd,3)&amp;"¦"&amp;INDEX(_xlpm.nd,4),"")))</f>
        <v/>
      </c>
      <c r="FU42" t="str">
        <f t="shared" si="70"/>
        <v/>
      </c>
      <c r="FV42" t="str" cm="1">
        <f t="array" ref="FV42">IF(FO42="","",_xlfn.LET(_xlpm.nd,_xlfn.TEXTSPLIT(FO42,"|"),IF(COLUMNS(_xlpm.nd)&gt;4,A42&amp;"¦"&amp;INDEX(_xlpm.nd,4)&amp;"¦"&amp;INDEX(_xlpm.nd,5),"")))</f>
        <v/>
      </c>
      <c r="FW42" t="str">
        <f t="shared" si="71"/>
        <v/>
      </c>
      <c r="FX42" t="str" cm="1">
        <f t="array" ref="FX42">IF(FO42="","",_xlfn.LET(_xlpm.nd,_xlfn.TEXTSPLIT(FO42,"|"),IF(COLUMNS(_xlpm.nd)&gt;5,A42&amp;"¦"&amp;INDEX(_xlpm.nd,5)&amp;"¦"&amp;INDEX(_xlpm.nd,6),"")))</f>
        <v/>
      </c>
      <c r="FY42" t="str">
        <f t="shared" si="72"/>
        <v/>
      </c>
      <c r="FZ42" t="str" cm="1">
        <f t="array" ref="FZ42">IF(FO42="","",_xlfn.LET(_xlpm.nd,_xlfn.TEXTSPLIT(FO42,"|"),IF(COLUMNS(_xlpm.nd)&gt;6,A42&amp;"¦"&amp;INDEX(_xlpm.nd,6)&amp;"¦"&amp;INDEX(_xlpm.nd,7),"")))</f>
        <v/>
      </c>
      <c r="GA42" t="str">
        <f t="shared" si="73"/>
        <v/>
      </c>
      <c r="GB42" t="str">
        <f t="shared" si="74"/>
        <v/>
      </c>
      <c r="GC42" t="str">
        <f t="shared" si="75"/>
        <v>XT11</v>
      </c>
      <c r="GD42">
        <f t="shared" si="76"/>
        <v>0</v>
      </c>
      <c r="GE42">
        <f t="shared" si="77"/>
        <v>0</v>
      </c>
      <c r="GF42">
        <f t="shared" si="78"/>
        <v>0</v>
      </c>
      <c r="GG42" t="str">
        <f t="shared" si="79"/>
        <v/>
      </c>
      <c r="GH42" t="str">
        <f t="shared" si="80"/>
        <v/>
      </c>
      <c r="GI42" t="str">
        <f t="shared" si="81"/>
        <v/>
      </c>
      <c r="GJ42" t="str">
        <f t="shared" si="82"/>
        <v/>
      </c>
      <c r="GK42" t="str">
        <f>IF(D42="","",IFERROR(VLOOKUP(D42,УГО_спр,2,FALSE),IFERROR(VLOOKUP(AT42,УГО_спр,2,FALSE),IFERROR(VLOOKUP(LEFT(AT42,2),УГО_спр,2,FALSE),""))))</f>
        <v>Светильник</v>
      </c>
      <c r="GL42" t="str">
        <f>IF(D42="","",IF(OR(GK42="",GK42=0),"BOX",IFERROR(IF(VLOOKUP(GK42,УГО_блоки,3,FALSE)&amp;""&lt;&gt;"",VLOOKUP(GK42,УГО_блоки,3,FALSE),VLOOKUP(GK42,УГО_блоки,2,FALSE)),GK42)))</f>
        <v>LAMP</v>
      </c>
      <c r="GM42">
        <f t="shared" si="83"/>
        <v>1</v>
      </c>
      <c r="GN42" t="str">
        <f>IF(EP42="","",IF(COUNTIF(EP$3:EP42,EP42)=1,MAX(GN$2:GN41)+1,""))</f>
        <v/>
      </c>
      <c r="GO42" t="str">
        <f>IF(AF42="","",IF(COUNTIF(AF$3:AF42,AF42)+COUNTIF(AG$2:AG41,AF42)+COUNTIF(AH$2:AH41,AF42)=1,MAX(GO$2:GQ41)+1,""))</f>
        <v/>
      </c>
      <c r="GP42" t="str">
        <f>IF(AG42="","",IF(COUNTIF(AF$3:AF42,AG42)+COUNTIF(AG$3:AG42,AG42)+COUNTIF(AH$2:AH41,AG42)=1,MAX(GO$2:GQ41,GO42)+1,""))</f>
        <v/>
      </c>
      <c r="GQ42" t="str">
        <f>IF(AH42="","",IF(COUNTIF(AF$3:AF42,AH42)+COUNTIF(AG$3:AG42,AH42)+COUNTIF(AH$3:AH42,AH42)=1,MAX(GO$2:GQ41,GO42,GP42)+1,""))</f>
        <v/>
      </c>
      <c r="GR42" t="str">
        <f t="shared" si="84"/>
        <v>3х1,5</v>
      </c>
      <c r="GS42" t="str">
        <f>IF(GR42="","",IF(COUNTIF(GR$3:GR42,GR42)=1,MAX(GS$2:GS41)+1,""))</f>
        <v/>
      </c>
      <c r="GT42" t="str">
        <f>IF(ES42="","",COUNTIF(ES$3:ES42,"?*"))</f>
        <v/>
      </c>
      <c r="GU42" t="str">
        <f>IF(OR(ES42="",EU42=""),"",IF(COUNTIFS(ES$3:ES42,"?*",EU$3:EU42,EU42)=1,MAX(GU$2:GU41)+1,""))</f>
        <v/>
      </c>
      <c r="GV42">
        <f t="shared" si="85"/>
        <v>1</v>
      </c>
      <c r="GW42">
        <f>IF(D42="","",COUNTIF(D$3:D42,"?*"))</f>
        <v>40</v>
      </c>
      <c r="GX42">
        <f>IF(EX42&lt;&gt;1,0,_xlfn.LET(_xlpm.k,MAX(IFERROR(--VLOOKUP(D42,УГО_спр,5,FALSE),0),IFERROR(--VLOOKUP(AT42,УГО_спр,5,FALSE),0),IFERROR(--VLOOKUP(LEFT(AT42,2),УГО_спр,5,FALSE),0)),IF(_xlpm.k&gt;0,_xlpm.k,IF(IFERROR(--LEFT(SUBSTITUTE(GR42,"x","х"),FIND("х",SUBSTITUTE(GR42,"x","х"))-1),3)&gt;3,Каталог!$S$9,1))))</f>
        <v>1</v>
      </c>
      <c r="GY42">
        <f t="shared" si="86"/>
        <v>0</v>
      </c>
    </row>
    <row r="43" spans="1:207" x14ac:dyDescent="0.3">
      <c r="A43" t="s">
        <v>1146</v>
      </c>
      <c r="B43" t="s">
        <v>531</v>
      </c>
      <c r="C43" t="str">
        <f>IF(BD43="","",IF(BE43="вводной узел","узел ","")&amp;"л."&amp;(INT((BD43-1)/Столбцов_на_лист)+1)&amp;" / "&amp;(MOD(BD43-1,Столбцов_на_лист)+1))</f>
        <v/>
      </c>
      <c r="D43" t="s">
        <v>1316</v>
      </c>
      <c r="E43" s="133" t="str">
        <f t="shared" si="87"/>
        <v>Осветительная группа Подвальный этаж Пом. №005Т</v>
      </c>
      <c r="G43">
        <v>0.1</v>
      </c>
      <c r="H43">
        <v>10</v>
      </c>
      <c r="I43">
        <v>1</v>
      </c>
      <c r="J43">
        <v>230</v>
      </c>
      <c r="K43" t="s">
        <v>566</v>
      </c>
      <c r="P43">
        <v>61</v>
      </c>
      <c r="Q43">
        <v>19</v>
      </c>
      <c r="R43">
        <v>53</v>
      </c>
      <c r="U43" t="s">
        <v>11</v>
      </c>
      <c r="V43">
        <v>3</v>
      </c>
      <c r="W43">
        <v>1.5</v>
      </c>
      <c r="Z43" t="s">
        <v>559</v>
      </c>
      <c r="AR43" t="str">
        <f t="shared" si="0"/>
        <v>не на схеме</v>
      </c>
      <c r="AS43" cm="1">
        <f t="array" ref="AS43">ROW()-ROW(Линии[#Headers])</f>
        <v>41</v>
      </c>
      <c r="AT43" t="str">
        <f t="shared" si="1"/>
        <v>L</v>
      </c>
      <c r="AU43" t="str">
        <f t="shared" si="2"/>
        <v>00.005Т.1</v>
      </c>
      <c r="AV43" t="str">
        <f t="shared" si="3"/>
        <v>00</v>
      </c>
      <c r="AW43" t="str">
        <f t="shared" si="4"/>
        <v>005Т.1</v>
      </c>
      <c r="AX43" t="str">
        <f t="shared" si="5"/>
        <v>005Т</v>
      </c>
      <c r="AY43" t="str">
        <f>IF(D43="","",IF(ISERROR(SEARCH(".",D43)),IFERROR(VLOOKUP(D43,Потребители_обозначение,2,FALSE)&amp;"",""),IFERROR(IF(VLOOKUP(AT43,Потребители_обозначение,4,FALSE)=1,VLOOKUP(AT43,Потребители_обозначение,2,FALSE)&amp;" "&amp;VLOOKUP(AV43,Этаж_обозначение,2,FALSE)&amp;" Пом. №"&amp;AX43,VLOOKUP(AT43,Потребители_обозначение,2,FALSE)&amp;" Шлейф №"&amp;AV43),IFERROR(VLOOKUP(D43,Потребители_обозначение,2,FALSE),""))))</f>
        <v>Осветительная группа Подвальный этаж Пом. №005Т</v>
      </c>
      <c r="AZ43" t="str">
        <f t="shared" si="6"/>
        <v>Осветительная группа Подвальный этаж Пом. №005Т</v>
      </c>
      <c r="BA43" t="str">
        <f>IF(F43&lt;&gt;"",F43,IF(AND(D43&lt;&gt;"",D43&lt;&gt;A43,ISNUMBER(_xlfn.XMATCH(D43,Щиты[Щит]))),D43,""))</f>
        <v/>
      </c>
      <c r="BB43">
        <f>IFERROR(_xlfn.XMATCH(A43,Щиты[Щит]),0)</f>
        <v>3</v>
      </c>
      <c r="BC43">
        <f>IFERROR(N(_xlfn.XLOOKUP(A43,Щиты[Щит],Щиты[Мест под вводной узел])),15)</f>
        <v>15</v>
      </c>
      <c r="BD43" t="str">
        <f t="shared" si="7"/>
        <v/>
      </c>
      <c r="BE43" t="str">
        <f t="shared" si="8"/>
        <v/>
      </c>
      <c r="BF43">
        <f>IF(D43="","",IF(BA43&lt;&gt;"",IFERROR(_xlfn.XLOOKUP(BA43,Щиты[Щит],Щиты[Руст, кВт]),0),N(G43)))</f>
        <v>0.1</v>
      </c>
      <c r="BG43">
        <f>IF(J43&lt;&gt;"",J43,IF(D43="","",IFERROR(IF(VLOOKUP(AT43,Потребители_обозначение,8,FALSE)=0,"",VLOOKUP(AT43,Потребители_обозначение,8,FALSE)),"")))</f>
        <v>230</v>
      </c>
      <c r="BH43">
        <f>IF(I43&lt;&gt;"",I43,IF(D43="","",IFERROR(IF(VLOOKUP(AT43,Потребители_обозначение,9,FALSE)=0,"",VLOOKUP(AT43,Потребители_обозначение,9,FALSE)),"")))</f>
        <v>1</v>
      </c>
      <c r="BI43" t="str">
        <f>IF(U43&lt;&gt;"",U43,IF(D43="","",IFERROR(IF(VLOOKUP(AT43,Потребители_обозначение,6,FALSE)=0,"",VLOOKUP(AT43,Потребители_обозначение,6,FALSE)),"")))</f>
        <v>мс</v>
      </c>
      <c r="BJ43">
        <f>IF(V43&lt;&gt;"",V43,IF(D43="","",IFERROR(IF(VLOOKUP(AT43,Потребители_обозначение,7,FALSE)=0,"",VLOOKUP(AT43,Потребители_обозначение,7,FALSE)),"")))</f>
        <v>3</v>
      </c>
      <c r="BK43">
        <f>IF(W43&lt;&gt;"",W43,IF(D43="","",IFERROR(IF(VLOOKUP(AT43,Потребители_обозначение,10,FALSE)=0,"",VLOOKUP(AT43,Потребители_обозначение,10,FALSE)),"")))</f>
        <v>1.5</v>
      </c>
      <c r="BL43">
        <f>IFERROR(VLOOKUP(AT43,Потребители_обозначение,5,FALSE),0)</f>
        <v>3</v>
      </c>
      <c r="BM43" cm="1">
        <f t="array" ref="BM43">IF(D43="","",IF(BA43&lt;&gt;"",IFERROR(_xlfn.XLOOKUP(BA43,Щиты[Щит],Щиты[cos φ]),0.95),IF(ISNUMBER(M43),M43,IFERROR(IF(BL43=2,_xlfn.IFS(BH43=3,VLOOKUP(BF43,Справочная_двигатели,8,FALSE),BH43=1,VLOOKUP(BF43,Справочная_двигатели,10,TRUE)),IF(AND(Методика="нормы 2026",CN43="Сил"),0.8,0.95)),0.95))))</f>
        <v>0.95</v>
      </c>
      <c r="BN43" cm="1">
        <f t="array" ref="BN43">IF(D43="","",IF(BA43&lt;&gt;"",IFERROR(_xlfn.XLOOKUP(BA43,Щиты[Щит],Щиты[Iр, А]),""),IFERROR(_xlfn.IFS(BH43=1,BF43/((Uн_лин/SQRT(3))*BM43),BH43=3,BF43/(SQRT(3)*Uн_лин*BM43)),"")))</f>
        <v>0.455802844097073</v>
      </c>
      <c r="BO43">
        <f>IF(D43="","",IF(N(X43)=0,IFERROR(VLOOKUP(BN43,Автомат_номиналы,2,TRUE),""),X43))</f>
        <v>6</v>
      </c>
      <c r="BP43">
        <f t="shared" si="9"/>
        <v>1</v>
      </c>
      <c r="BQ43">
        <f>IF(ISNUMBER(Y43),Y43,К_прокл)</f>
        <v>1</v>
      </c>
      <c r="BR43">
        <f t="shared" si="10"/>
        <v>2</v>
      </c>
      <c r="BS43" cm="1">
        <f t="array" ref="BS43">IF(D43="","",IF(N(BK43)&lt;&gt;0,BK43,IFERROR(_xlfn.LET(_xlpm.need,BO43/(BP43*BQ43),_xlpm.t,CHOOSE(BR43,Iдоп_1ж,Iдоп_2ж,Iдоп_3ж),_xlpm.k,_xlfn.XMATCH(_xlpm.need,_xlpm.t,1),IF(ISNA(_xlpm.k),"Не исп",INDEX(Iдоп_S,_xlpm.k))),"Не исп")))</f>
        <v>1.5</v>
      </c>
      <c r="BT43">
        <f>IFERROR(VLOOKUP(BS43,Кабель_сопротивление,3,FALSE),"")</f>
        <v>2.2499999999999999E-2</v>
      </c>
      <c r="BU43">
        <f>IFERROR(VLOOKUP(BS43,Кабель_сопротивление,2,FALSE),"")</f>
        <v>0.11</v>
      </c>
      <c r="BV43">
        <f t="shared" si="11"/>
        <v>61</v>
      </c>
      <c r="BW43">
        <f>IF(D43="","",IFERROR(IF(VLOOKUP(AT43,Потребители_обозначение,4,FALSE)=1,VLOOKUP(AT43,Потребители_обозначение,3,FALSE)*(H43*2-1)+BV43+VLOOKUP(AV43,Этаж_обозначение,3,FALSE)+VLOOKUP(AV43,Этаж_обозначение,4,FALSE),VLOOKUP(AT43,Потребители_обозначение,3,FALSE)*(H43*2-1)+BV43),BV43))</f>
        <v>80</v>
      </c>
      <c r="BX43">
        <f t="shared" si="12"/>
        <v>53</v>
      </c>
      <c r="BY43" t="str">
        <f t="shared" si="13"/>
        <v/>
      </c>
      <c r="BZ43">
        <f t="shared" si="14"/>
        <v>2</v>
      </c>
      <c r="CA43">
        <f t="shared" si="15"/>
        <v>0.31</v>
      </c>
      <c r="CB43">
        <f t="shared" si="16"/>
        <v>1.04171734485872</v>
      </c>
      <c r="CC43">
        <f>IFERROR(ROUNDUP(CB43/((Uн_лин/SQRT(3))*1000)*100,2),"")</f>
        <v>0.46</v>
      </c>
      <c r="CD43">
        <f>IF(ISNUMBER(CC43),CC43+IFERROR(_xlfn.XLOOKUP(A43,Щиты[Щит],Щиты[ΔU до шин, %]),0),"")</f>
        <v>0.63</v>
      </c>
      <c r="CE43">
        <f>IF(D43="","",IF(IFERROR(VLOOKUP(AT43,УГО_спр,2,FALSE),"")="Светильник",3,4)+IF(Методика="нормы 2026",MIN(0.5,MAX(0,N(BW43)-100)*0.005),0))</f>
        <v>3</v>
      </c>
      <c r="CF43" t="str">
        <f>IFERROR(VLOOKUP(BI43,Кабель_обозначение,2,FALSE),"")</f>
        <v>ВВГнг(А)-LS</v>
      </c>
      <c r="CG43" t="str">
        <f>IFERROR(IF(VLOOKUP(BI43,Кабель_обозначение,3,FALSE)=1,CF43&amp;" ("&amp;BJ43&amp;"х"&amp;BS43&amp;")",CF43),"")</f>
        <v>ВВГнг(А)-LS (3х1,5)</v>
      </c>
      <c r="CH43" t="str">
        <f t="shared" si="17"/>
        <v>ВВГнг(А)-LS (3х1,5)
L=80-0,46%</v>
      </c>
      <c r="CI43">
        <f>IFERROR(2*ρкз_Cu*BW43/BS43,"")</f>
        <v>2.8053333333333335</v>
      </c>
      <c r="CJ43">
        <f t="shared" si="18"/>
        <v>0.93333333333333346</v>
      </c>
      <c r="CK43" t="str">
        <f>IFERROR(IF(OR(D43="",NOT(ISNUMBER(BS43)),N(BW43)=0),"",_xlfn.XLOOKUP(A43,Щиты[Щит],Щиты[Zпетли на шинах, Ом])+CI43),"")</f>
        <v/>
      </c>
      <c r="CL43" t="str">
        <f>IF(ISNUMBER(CK43),c_min*(Uн_лин*1000/SQRT(3))/CK43,"")</f>
        <v/>
      </c>
      <c r="CM43" t="str">
        <f>IFERROR(IF(OR(D43="",NOT(ISNUMBER(BS43))),"",1.05*(Uн_лин*1000/SQRT(3))/(_xlfn.XLOOKUP(A43,Щиты[Щит],Щиты[Zmax на шинах, Ом])+CJ43)/1000),"")</f>
        <v/>
      </c>
      <c r="CN43" t="str">
        <f>IF(D43="","",IF(BA43&lt;&gt;"","Щит",IF(K43&lt;&gt;"",K43,IF(ISNUMBER(L43),"Сил",IF(IFERROR(_xlfn.XLOOKUP(AT43,Коды_код,Коды_группа)&amp;"","")="","Быт",_xlfn.XLOOKUP(AT43,Коды_код,Коды_группа)&amp;"")))))</f>
        <v>Быт</v>
      </c>
      <c r="CO43">
        <f>IF(CN43="Щит","щит",IF(CN43="","",IF(CN43="Быт",IFERROR(_xlfn.XLOOKUP(A43,Щиты[Щит],Щиты[Кс быт]),1),IF(CN43="Сил",IF(ISNUMBER(L43),L43,IF(Методика="нормы 2026",IFERROR(_xlfn.XLOOKUP(A43,Щиты[Щит],Щиты[Кс силовых (табл. 7.5)]),1),1)),IF(OR(CN43="Пост",CN43="Отоп"),1,IF(CN43="ВНГ",0.7,0))))))</f>
        <v>0.8</v>
      </c>
      <c r="CP43">
        <f t="shared" si="19"/>
        <v>1</v>
      </c>
      <c r="CQ43">
        <f t="shared" si="20"/>
        <v>0.1</v>
      </c>
      <c r="CR43">
        <f t="shared" si="21"/>
        <v>0.1</v>
      </c>
      <c r="CS43">
        <f t="shared" si="22"/>
        <v>0</v>
      </c>
      <c r="CT43">
        <f t="shared" si="23"/>
        <v>0</v>
      </c>
      <c r="CU43">
        <f t="shared" si="24"/>
        <v>0</v>
      </c>
      <c r="CV43">
        <f t="shared" si="25"/>
        <v>0</v>
      </c>
      <c r="CW43">
        <f t="shared" si="26"/>
        <v>0.1</v>
      </c>
      <c r="CX43">
        <f t="shared" si="27"/>
        <v>9.5000000000000001E-2</v>
      </c>
      <c r="CY43">
        <f t="shared" si="28"/>
        <v>3</v>
      </c>
      <c r="CZ43" t="str">
        <f t="shared" si="29"/>
        <v>L3</v>
      </c>
      <c r="DA43" cm="1">
        <f t="array" ref="DA43">IFERROR(IF(BL43=2,_xlfn.IFS(BH43=3,VLOOKUP(BF43,Справочная_двигатели,3,FALSE),BH43=1,VLOOKUP(BF43,Справочная_двигатели,5,TRUE)),0),0)</f>
        <v>0</v>
      </c>
      <c r="DB43">
        <f>IFERROR(IF(BL43=3,VLOOKUP(BF43,Справочная_ЛЭД,2,TRUE),0),0)</f>
        <v>50</v>
      </c>
      <c r="DC43">
        <f t="shared" si="30"/>
        <v>50</v>
      </c>
      <c r="DD43" t="str">
        <f t="shared" si="31"/>
        <v>L3</v>
      </c>
      <c r="DE43" t="str" cm="1">
        <f t="array" ref="DE43">IF(D43="","",IFERROR(INDEX({"I особая","I","II","III"},MATCH(TRIM(AA43&amp;""),{"I особая","I","II","III"},0)),"III"))</f>
        <v>III</v>
      </c>
      <c r="DF43" t="str">
        <f>IF(D43="","",IF(TRIM(AB43&amp;"")&lt;&gt;"",IF(LOWER(TRIM(AB43&amp;""))="да","да","нет"),IF(IFERROR(_xlfn.XLOOKUP(AT43,Коды_код,Коды_пожарная),"")="да","да","нет")))</f>
        <v>нет</v>
      </c>
      <c r="DG43" t="str">
        <f t="shared" si="32"/>
        <v/>
      </c>
      <c r="DH43" t="str">
        <f t="shared" si="33"/>
        <v>основная</v>
      </c>
      <c r="DI43">
        <f t="shared" si="34"/>
        <v>1</v>
      </c>
      <c r="DJ43" t="str" cm="1">
        <f t="array" ref="DJ43">IF(D43="","",_xlfn.LET(_xlpm.t,IFERROR(_xlfn.XLOOKUP(1,(Шины[Шина]=DH43)*(((Шины[Щит]=A43)+(Шины[Щит]=""))&gt;0),Шины[Тип]),"")&amp;"",IF(_xlpm.t&lt;&gt;"",_xlpm.t,IF(ISNUMBER(SEARCH("ИБП",DH43)),"ИБП",IF(ISNUMBER(SEARCH("ДГУ",DH43)),"ДГУ","Ввод "&amp;DI43)))))</f>
        <v>Ввод 1</v>
      </c>
      <c r="DK43" t="str">
        <f t="shared" si="35"/>
        <v>Ввод 1</v>
      </c>
      <c r="DL43" t="str">
        <f>IF(D43="","",IF(OR(DJ43="ИБП",DJ43="ДГУ"),"I особая",IF(DJ43="Одиночная","III",_xlfn.XLOOKUP(A43,Щиты[Щит],Щиты[Категория шины «Ввод»],"III"))))</f>
        <v>II</v>
      </c>
      <c r="DM43">
        <f>IF(D43="",0,IFERROR(MATCH(DE43,{"III","II","I","I особая"},0),1))</f>
        <v>1</v>
      </c>
      <c r="DN43">
        <f t="shared" si="36"/>
        <v>1</v>
      </c>
      <c r="DO43" t="str">
        <f>IF(D43="","",IF(DM43&gt;IFERROR(MATCH(DL43,{"III","II","I","I особая"},0),1),"НЕ ОБЕСПЕЧЕНА","ОК"))</f>
        <v>ОК</v>
      </c>
      <c r="DP43" t="str">
        <f>IF(A43="","",_xlfn.XLOOKUP(A43,Щиты[Щит],Щиты[Путь],""))</f>
        <v>|ГРЩ-ЖД|ЩГП|ЩО-001|</v>
      </c>
      <c r="DQ43" t="str">
        <f>IF(D43="","",IF(Z43&lt;&gt;"",Z43,IF(IFERROR(_xlfn.XLOOKUP(AT43,Коды_код,Коды_вид)&amp;"","")="","Прочее",_xlfn.XLOOKUP(AT43,Коды_код,Коды_вид)&amp;"")))</f>
        <v>Рабочее освещение</v>
      </c>
      <c r="DR43" t="str">
        <f>IF(BD43="","",INT((BD43-1)/Столбцов_на_лист)+1)</f>
        <v/>
      </c>
      <c r="DS43" t="str">
        <f t="shared" si="37"/>
        <v>ВВГнг(А)-LS (3х1,5) L=80-0,46%</v>
      </c>
      <c r="DT43">
        <f t="shared" si="38"/>
        <v>0.1</v>
      </c>
      <c r="DU43">
        <f t="shared" si="39"/>
        <v>0.46</v>
      </c>
      <c r="DV43">
        <f t="shared" si="40"/>
        <v>1</v>
      </c>
      <c r="DW43">
        <f>IF(AT43="",0,_xlfn.LET(_xlpm.v,IFERROR(VLOOKUP(D43,УГО_спр,3,FALSE),IFERROR(VLOOKUP(AT43,УГО_спр,3,FALSE),IFERROR(VLOOKUP(LEFT(AT43,2),УГО_спр,3,FALSE),""))),IF(_xlpm.v="да",30,IF(ISNUMBER(_xlpm.v),_xlpm.v,0))))</f>
        <v>0</v>
      </c>
      <c r="DX43">
        <f t="shared" si="41"/>
        <v>0</v>
      </c>
      <c r="DY43" t="str">
        <f>IF(BD43="","",IF(AD43&lt;&gt;"",COUNTIFS(A$3:A43,A43,AD$3:AD43,"?*"),IF(OR(OR(AS43=1,A43&lt;&gt;A42),AL43="вручную"),"",IF(AS43=1,"",DZ42))))</f>
        <v/>
      </c>
      <c r="DZ43" t="str">
        <f t="shared" si="42"/>
        <v/>
      </c>
      <c r="EA43">
        <f>IF(D43="",0,MAX(IFERROR(--X43,0),IFERROR(--VLOOKUP(D43,УГО_спр,4,FALSE),IFERROR(--VLOOKUP(AT43,УГО_спр,4,FALSE),IFERROR(--VLOOKUP(LEFT(AT43,2),УГО_спр,4,FALSE),0)))))</f>
        <v>10</v>
      </c>
      <c r="EB43">
        <f>IF(D43="","",IFERROR(LOOKUP(INDEX(CHOOSE(BR43,Iдоп_1ж,Iдоп_2ж,Iдоп_3ж),MATCH(BS43,Iдоп_S,0))*BP43*BQ43,{6,10,16,20,25,32,40,50,63,80,100,125,160,200,250,315,400,500,630}),""))</f>
        <v>16</v>
      </c>
      <c r="EC43" t="str">
        <f>IF(AD43="","",SUMIFS(Линии[_Ток схемы],Линии[_гр.],DY43,Линии[Щит],A43,Линии[_в кабель выше],0))</f>
        <v/>
      </c>
      <c r="ED43" t="str">
        <f>IF(AD43="","",IFERROR(VLOOKUP(EC43,Автомат_номиналы,2,TRUE),""))</f>
        <v/>
      </c>
      <c r="EE43" t="str">
        <f>IF(AD43="","",MAX(N(ED43),_xlfn.MAXIFS(Линии[_мин. по типу],Линии[_гр.],DY43,Линии[Щит],A43)))</f>
        <v/>
      </c>
      <c r="EF43" t="str">
        <f>IF(AD43="","",_xlfn.MINIFS(Линии[_макс. автомат по кабелю],Линии[_гр.],DY43,Линии[Щит],A43))</f>
        <v/>
      </c>
      <c r="EG43" t="str">
        <f>IF(AD43="","",MAX(1,_xlfn.MAXIFS(Линии[_фаз],Линии[_гр.],DY43,Линии[Щит],A43)))</f>
        <v/>
      </c>
      <c r="EH43" t="str">
        <f>IF(AD43="","",IF(AND(AD43&lt;&gt;"авто",AD43&lt;&gt;"+"),IF(ISNUMBER(SEARCH("мА",AD43)),IFERROR(--TRIM(RIGHT(SUBSTITUTE(LEFT(AD43,SEARCH("мА",AD43)-1)," ",REPT(" ",9)),6)),30),0),IF(AE43="нет",0,IF(ISNUMBER(AE43),AE43,IF(AE43="да",30,_xlfn.MINIFS(Линии[_дифзащита по коду, мА],Линии[_гр.],DY43,Линии[Щит],A43,Линии[_дифзащита по коду, мА],"&gt;0"))))))</f>
        <v/>
      </c>
      <c r="EI43" t="str">
        <f t="shared" si="43"/>
        <v/>
      </c>
      <c r="EJ43" t="str">
        <f t="shared" si="44"/>
        <v/>
      </c>
      <c r="EK43" t="str">
        <f t="shared" si="45"/>
        <v/>
      </c>
      <c r="EL43" t="str">
        <f t="shared" si="46"/>
        <v/>
      </c>
      <c r="EM43">
        <f t="shared" si="47"/>
        <v>0</v>
      </c>
      <c r="EN43" t="str">
        <f>IF(AD43="","",IF(EM43=1,MAX(EE43,Мин_автомат_БП),EE43))</f>
        <v/>
      </c>
      <c r="EO43" t="str">
        <f t="shared" si="48"/>
        <v/>
      </c>
      <c r="EP43" t="str">
        <f t="shared" si="49"/>
        <v/>
      </c>
      <c r="EQ43" t="str">
        <f t="shared" si="50"/>
        <v/>
      </c>
      <c r="ER43" t="str">
        <f>IF(OR(AI43="",AI43="-"),"",IFERROR(VLOOKUP(AI43,Модули_спр,2,FALSE),"R"))</f>
        <v/>
      </c>
      <c r="ES43" t="str">
        <f>IF(ER43="","",ER43&amp;"."&amp;COUNTIFS(A$3:A43,A43,ER$3:ER43,ER43))</f>
        <v/>
      </c>
      <c r="ET43" t="str">
        <f t="shared" si="51"/>
        <v/>
      </c>
      <c r="EU43" t="str">
        <f t="shared" si="52"/>
        <v/>
      </c>
      <c r="EV43" t="str">
        <f t="shared" si="53"/>
        <v/>
      </c>
      <c r="EW43" t="str">
        <f t="shared" si="54"/>
        <v/>
      </c>
      <c r="EX43">
        <f t="shared" si="55"/>
        <v>1</v>
      </c>
      <c r="EY43" t="str">
        <f>IF(AK43="нет","",IF(AK43&lt;&gt;"",AK43,IF(EX43=1,"XT"&amp;COUNTIFS(A$3:A43,A43,EX$3:EX43,1),"")))</f>
        <v>XT12</v>
      </c>
      <c r="EZ43" t="str">
        <f t="shared" si="56"/>
        <v/>
      </c>
      <c r="FA43" t="str">
        <f t="shared" si="57"/>
        <v/>
      </c>
      <c r="FB43" t="str">
        <f t="shared" si="58"/>
        <v/>
      </c>
      <c r="FC43" t="str">
        <f>IF(OR(EV43="",ET43=""),"",IF(EV43&gt;IFERROR(VLOOKUP(EU43,Модули_спр,3,FALSE),99),"ЛИШНИЙ КАНАЛ",IF(AND(AJ43&lt;&gt;"=",COUNTIFS(Линии[_модуль гр.],ET43,Линии[Канал (итог)],EV43,Линии[Канал],"&lt;&gt;=",Линии[Щит],A43)&gt;1),"ДУБЛЬ КАНАЛА","")))</f>
        <v/>
      </c>
      <c r="FD43" t="str">
        <f t="shared" si="59"/>
        <v/>
      </c>
      <c r="FE43" t="str">
        <f t="shared" si="60"/>
        <v/>
      </c>
      <c r="FF43" t="str">
        <f t="shared" si="61"/>
        <v/>
      </c>
      <c r="FG43" t="str">
        <f t="shared" si="62"/>
        <v/>
      </c>
      <c r="FH43" t="str">
        <f t="shared" si="63"/>
        <v/>
      </c>
      <c r="FI43">
        <f t="shared" si="64"/>
        <v>10</v>
      </c>
      <c r="FJ43" t="str">
        <f t="shared" si="65"/>
        <v/>
      </c>
      <c r="FK43" t="str">
        <f>IF(AND(D43="",EZ43=""),"",_xlfn.TEXTJOIN("; ",TRUE,IF(AND(D43&lt;&gt;"",DD43=""),"нет фазы",""),IF(AND(D43&lt;&gt;"",N(DT43)=0,CN43&lt;&gt;"Нет"),"нет мощности",""),IF(AND(EY43&lt;&gt;"",COUNTIFS(Линии[Щит],A43,Линии[Клемма (итог)],EY43)&gt;1),"дубль клеммы "&amp;EY43,""),IF(AND(FB43&lt;&gt;"",FB43&lt;&gt;"ok"),FB43,""),IF(FC43&lt;&gt;"",FC43,""),IF(AND(ISNUMBER(SEARCH("(5х",DS43)),N(DV43)=1),"5 жил на 1 фазе",""),IF(AND(AT43="R",AD43&lt;&gt;"",OR(N(EH43)=0,N(EH43)&gt;30)),"розетка без дифзащиты до 30 мА",""),IFERROR(IF(AND(ISNUMBER(CD43),CD43&gt;CE43),"потери "&amp;FIXED(CD43,1)&amp;" % &gt; "&amp;CE43&amp;" %",""),""),IFERROR(IF(LEFT(FJ43,4)="мало","Iкз мало — отключение &gt; 0,4 с",""),""),IF(AND(D43&lt;&gt;"",BD43=""),"не на схеме","")))</f>
        <v>не на схеме</v>
      </c>
      <c r="FL43" t="str">
        <f>IF(AD43="","",_xlfn.LET(_xlpm.t,IFERROR(_xlfn.XLOOKUP(EP43,Каталог!$U$4:$U$500,Каталог!$G$4:$G$500),""),_xlpm.k,SEARCH("кА",_xlpm.t),IFERROR(--TRIM(RIGHT(SUBSTITUTE(MID(_xlpm.t,MAX(1,_xlpm.k-4),_xlpm.k-MAX(1,_xlpm.k-4))," ",REPT(" ",9)),5)),"")))</f>
        <v/>
      </c>
      <c r="FM43" t="str">
        <f>IF(OR(FL43="",AD43=""),"",IF(_xlfn.XLOOKUP(A43,Щиты[Щит],Щиты[Iкз max на шинах, кА],"")="","",IF(FL43&lt;_xlfn.XLOOKUP(A43,Щиты[Щит],Щиты[Iкз max на шинах, кА]),"Icu "&amp;FL43&amp;" кА &lt; Iкз max","ok")))</f>
        <v/>
      </c>
      <c r="FN43" t="str">
        <f t="shared" si="66"/>
        <v/>
      </c>
      <c r="FO43" t="str">
        <f t="shared" si="67"/>
        <v/>
      </c>
      <c r="FP43" t="str" cm="1">
        <f t="array" ref="FP43">IF(FO43="","",_xlfn.LET(_xlpm.nd,_xlfn.TEXTSPLIT(FO43,"|"),IF(COLUMNS(_xlpm.nd)&gt;1,A43&amp;"¦"&amp;INDEX(_xlpm.nd,1)&amp;"¦"&amp;INDEX(_xlpm.nd,2),"")))</f>
        <v/>
      </c>
      <c r="FQ43" t="str">
        <f t="shared" si="68"/>
        <v/>
      </c>
      <c r="FR43" t="str" cm="1">
        <f t="array" ref="FR43">IF(FO43="","",_xlfn.LET(_xlpm.nd,_xlfn.TEXTSPLIT(FO43,"|"),IF(COLUMNS(_xlpm.nd)&gt;2,A43&amp;"¦"&amp;INDEX(_xlpm.nd,2)&amp;"¦"&amp;INDEX(_xlpm.nd,3),"")))</f>
        <v/>
      </c>
      <c r="FS43" t="str">
        <f t="shared" si="69"/>
        <v/>
      </c>
      <c r="FT43" t="str" cm="1">
        <f t="array" ref="FT43">IF(FO43="","",_xlfn.LET(_xlpm.nd,_xlfn.TEXTSPLIT(FO43,"|"),IF(COLUMNS(_xlpm.nd)&gt;3,A43&amp;"¦"&amp;INDEX(_xlpm.nd,3)&amp;"¦"&amp;INDEX(_xlpm.nd,4),"")))</f>
        <v/>
      </c>
      <c r="FU43" t="str">
        <f t="shared" si="70"/>
        <v/>
      </c>
      <c r="FV43" t="str" cm="1">
        <f t="array" ref="FV43">IF(FO43="","",_xlfn.LET(_xlpm.nd,_xlfn.TEXTSPLIT(FO43,"|"),IF(COLUMNS(_xlpm.nd)&gt;4,A43&amp;"¦"&amp;INDEX(_xlpm.nd,4)&amp;"¦"&amp;INDEX(_xlpm.nd,5),"")))</f>
        <v/>
      </c>
      <c r="FW43" t="str">
        <f t="shared" si="71"/>
        <v/>
      </c>
      <c r="FX43" t="str" cm="1">
        <f t="array" ref="FX43">IF(FO43="","",_xlfn.LET(_xlpm.nd,_xlfn.TEXTSPLIT(FO43,"|"),IF(COLUMNS(_xlpm.nd)&gt;5,A43&amp;"¦"&amp;INDEX(_xlpm.nd,5)&amp;"¦"&amp;INDEX(_xlpm.nd,6),"")))</f>
        <v/>
      </c>
      <c r="FY43" t="str">
        <f t="shared" si="72"/>
        <v/>
      </c>
      <c r="FZ43" t="str" cm="1">
        <f t="array" ref="FZ43">IF(FO43="","",_xlfn.LET(_xlpm.nd,_xlfn.TEXTSPLIT(FO43,"|"),IF(COLUMNS(_xlpm.nd)&gt;6,A43&amp;"¦"&amp;INDEX(_xlpm.nd,6)&amp;"¦"&amp;INDEX(_xlpm.nd,7),"")))</f>
        <v/>
      </c>
      <c r="GA43" t="str">
        <f t="shared" si="73"/>
        <v/>
      </c>
      <c r="GB43" t="str">
        <f t="shared" si="74"/>
        <v/>
      </c>
      <c r="GC43" t="str">
        <f t="shared" si="75"/>
        <v>XT12</v>
      </c>
      <c r="GD43">
        <f t="shared" si="76"/>
        <v>0</v>
      </c>
      <c r="GE43">
        <f t="shared" si="77"/>
        <v>0</v>
      </c>
      <c r="GF43">
        <f t="shared" si="78"/>
        <v>0</v>
      </c>
      <c r="GG43" t="str">
        <f t="shared" si="79"/>
        <v/>
      </c>
      <c r="GH43" t="str">
        <f t="shared" si="80"/>
        <v/>
      </c>
      <c r="GI43" t="str">
        <f t="shared" si="81"/>
        <v/>
      </c>
      <c r="GJ43" t="str">
        <f t="shared" si="82"/>
        <v/>
      </c>
      <c r="GK43" t="str">
        <f>IF(D43="","",IFERROR(VLOOKUP(D43,УГО_спр,2,FALSE),IFERROR(VLOOKUP(AT43,УГО_спр,2,FALSE),IFERROR(VLOOKUP(LEFT(AT43,2),УГО_спр,2,FALSE),""))))</f>
        <v>Светильник</v>
      </c>
      <c r="GL43" t="str">
        <f>IF(D43="","",IF(OR(GK43="",GK43=0),"BOX",IFERROR(IF(VLOOKUP(GK43,УГО_блоки,3,FALSE)&amp;""&lt;&gt;"",VLOOKUP(GK43,УГО_блоки,3,FALSE),VLOOKUP(GK43,УГО_блоки,2,FALSE)),GK43)))</f>
        <v>LAMP</v>
      </c>
      <c r="GM43">
        <f t="shared" si="83"/>
        <v>1</v>
      </c>
      <c r="GN43" t="str">
        <f>IF(EP43="","",IF(COUNTIF(EP$3:EP43,EP43)=1,MAX(GN$2:GN42)+1,""))</f>
        <v/>
      </c>
      <c r="GO43" t="str">
        <f>IF(AF43="","",IF(COUNTIF(AF$3:AF43,AF43)+COUNTIF(AG$2:AG42,AF43)+COUNTIF(AH$2:AH42,AF43)=1,MAX(GO$2:GQ42)+1,""))</f>
        <v/>
      </c>
      <c r="GP43" t="str">
        <f>IF(AG43="","",IF(COUNTIF(AF$3:AF43,AG43)+COUNTIF(AG$3:AG43,AG43)+COUNTIF(AH$2:AH42,AG43)=1,MAX(GO$2:GQ42,GO43)+1,""))</f>
        <v/>
      </c>
      <c r="GQ43" t="str">
        <f>IF(AH43="","",IF(COUNTIF(AF$3:AF43,AH43)+COUNTIF(AG$3:AG43,AH43)+COUNTIF(AH$3:AH43,AH43)=1,MAX(GO$2:GQ42,GO43,GP43)+1,""))</f>
        <v/>
      </c>
      <c r="GR43" t="str">
        <f t="shared" si="84"/>
        <v>3х1,5</v>
      </c>
      <c r="GS43" t="str">
        <f>IF(GR43="","",IF(COUNTIF(GR$3:GR43,GR43)=1,MAX(GS$2:GS42)+1,""))</f>
        <v/>
      </c>
      <c r="GT43" t="str">
        <f>IF(ES43="","",COUNTIF(ES$3:ES43,"?*"))</f>
        <v/>
      </c>
      <c r="GU43" t="str">
        <f>IF(OR(ES43="",EU43=""),"",IF(COUNTIFS(ES$3:ES43,"?*",EU$3:EU43,EU43)=1,MAX(GU$2:GU42)+1,""))</f>
        <v/>
      </c>
      <c r="GV43">
        <f t="shared" si="85"/>
        <v>1</v>
      </c>
      <c r="GW43">
        <f>IF(D43="","",COUNTIF(D$3:D43,"?*"))</f>
        <v>41</v>
      </c>
      <c r="GX43">
        <f>IF(EX43&lt;&gt;1,0,_xlfn.LET(_xlpm.k,MAX(IFERROR(--VLOOKUP(D43,УГО_спр,5,FALSE),0),IFERROR(--VLOOKUP(AT43,УГО_спр,5,FALSE),0),IFERROR(--VLOOKUP(LEFT(AT43,2),УГО_спр,5,FALSE),0)),IF(_xlpm.k&gt;0,_xlpm.k,IF(IFERROR(--LEFT(SUBSTITUTE(GR43,"x","х"),FIND("х",SUBSTITUTE(GR43,"x","х"))-1),3)&gt;3,Каталог!$S$9,1))))</f>
        <v>1</v>
      </c>
      <c r="GY43">
        <f t="shared" si="86"/>
        <v>0</v>
      </c>
    </row>
    <row r="44" spans="1:207" x14ac:dyDescent="0.3">
      <c r="A44" t="s">
        <v>1146</v>
      </c>
      <c r="B44" t="s">
        <v>531</v>
      </c>
      <c r="C44" t="str">
        <f>IF(BD44="","",IF(BE44="вводной узел","узел ","")&amp;"л."&amp;(INT((BD44-1)/Столбцов_на_лист)+1)&amp;" / "&amp;(MOD(BD44-1,Столбцов_на_лист)+1))</f>
        <v/>
      </c>
      <c r="D44" t="s">
        <v>1317</v>
      </c>
      <c r="E44" s="133" t="str">
        <f t="shared" si="87"/>
        <v>Осветительная группа Подвальный этаж Пом. №006Б</v>
      </c>
      <c r="G44">
        <v>0.1</v>
      </c>
      <c r="H44">
        <v>4</v>
      </c>
      <c r="I44">
        <v>1</v>
      </c>
      <c r="J44">
        <v>230</v>
      </c>
      <c r="K44" t="s">
        <v>566</v>
      </c>
      <c r="P44">
        <v>25</v>
      </c>
      <c r="Q44">
        <v>7</v>
      </c>
      <c r="R44">
        <v>0</v>
      </c>
      <c r="S44">
        <v>28</v>
      </c>
      <c r="U44" t="s">
        <v>11</v>
      </c>
      <c r="V44">
        <v>3</v>
      </c>
      <c r="W44">
        <v>1.5</v>
      </c>
      <c r="Z44" t="s">
        <v>559</v>
      </c>
      <c r="AR44" t="str">
        <f t="shared" si="0"/>
        <v>не на схеме</v>
      </c>
      <c r="AS44" cm="1">
        <f t="array" ref="AS44">ROW()-ROW(Линии[#Headers])</f>
        <v>42</v>
      </c>
      <c r="AT44" t="str">
        <f t="shared" si="1"/>
        <v>L</v>
      </c>
      <c r="AU44" t="str">
        <f t="shared" si="2"/>
        <v>00.006Б.1</v>
      </c>
      <c r="AV44" t="str">
        <f t="shared" si="3"/>
        <v>00</v>
      </c>
      <c r="AW44" t="str">
        <f t="shared" si="4"/>
        <v>006Б.1</v>
      </c>
      <c r="AX44" t="str">
        <f t="shared" si="5"/>
        <v>006Б</v>
      </c>
      <c r="AY44" t="str">
        <f>IF(D44="","",IF(ISERROR(SEARCH(".",D44)),IFERROR(VLOOKUP(D44,Потребители_обозначение,2,FALSE)&amp;"",""),IFERROR(IF(VLOOKUP(AT44,Потребители_обозначение,4,FALSE)=1,VLOOKUP(AT44,Потребители_обозначение,2,FALSE)&amp;" "&amp;VLOOKUP(AV44,Этаж_обозначение,2,FALSE)&amp;" Пом. №"&amp;AX44,VLOOKUP(AT44,Потребители_обозначение,2,FALSE)&amp;" Шлейф №"&amp;AV44),IFERROR(VLOOKUP(D44,Потребители_обозначение,2,FALSE),""))))</f>
        <v>Осветительная группа Подвальный этаж Пом. №006Б</v>
      </c>
      <c r="AZ44" t="str">
        <f t="shared" si="6"/>
        <v>Осветительная группа Подвальный этаж Пом. №006Б</v>
      </c>
      <c r="BA44" t="str">
        <f>IF(F44&lt;&gt;"",F44,IF(AND(D44&lt;&gt;"",D44&lt;&gt;A44,ISNUMBER(_xlfn.XMATCH(D44,Щиты[Щит]))),D44,""))</f>
        <v/>
      </c>
      <c r="BB44">
        <f>IFERROR(_xlfn.XMATCH(A44,Щиты[Щит]),0)</f>
        <v>3</v>
      </c>
      <c r="BC44">
        <f>IFERROR(N(_xlfn.XLOOKUP(A44,Щиты[Щит],Щиты[Мест под вводной узел])),15)</f>
        <v>15</v>
      </c>
      <c r="BD44" t="str">
        <f t="shared" si="7"/>
        <v/>
      </c>
      <c r="BE44" t="str">
        <f t="shared" si="8"/>
        <v/>
      </c>
      <c r="BF44">
        <f>IF(D44="","",IF(BA44&lt;&gt;"",IFERROR(_xlfn.XLOOKUP(BA44,Щиты[Щит],Щиты[Руст, кВт]),0),N(G44)))</f>
        <v>0.1</v>
      </c>
      <c r="BG44">
        <f>IF(J44&lt;&gt;"",J44,IF(D44="","",IFERROR(IF(VLOOKUP(AT44,Потребители_обозначение,8,FALSE)=0,"",VLOOKUP(AT44,Потребители_обозначение,8,FALSE)),"")))</f>
        <v>230</v>
      </c>
      <c r="BH44">
        <f>IF(I44&lt;&gt;"",I44,IF(D44="","",IFERROR(IF(VLOOKUP(AT44,Потребители_обозначение,9,FALSE)=0,"",VLOOKUP(AT44,Потребители_обозначение,9,FALSE)),"")))</f>
        <v>1</v>
      </c>
      <c r="BI44" t="str">
        <f>IF(U44&lt;&gt;"",U44,IF(D44="","",IFERROR(IF(VLOOKUP(AT44,Потребители_обозначение,6,FALSE)=0,"",VLOOKUP(AT44,Потребители_обозначение,6,FALSE)),"")))</f>
        <v>мс</v>
      </c>
      <c r="BJ44">
        <f>IF(V44&lt;&gt;"",V44,IF(D44="","",IFERROR(IF(VLOOKUP(AT44,Потребители_обозначение,7,FALSE)=0,"",VLOOKUP(AT44,Потребители_обозначение,7,FALSE)),"")))</f>
        <v>3</v>
      </c>
      <c r="BK44">
        <f>IF(W44&lt;&gt;"",W44,IF(D44="","",IFERROR(IF(VLOOKUP(AT44,Потребители_обозначение,10,FALSE)=0,"",VLOOKUP(AT44,Потребители_обозначение,10,FALSE)),"")))</f>
        <v>1.5</v>
      </c>
      <c r="BL44">
        <f>IFERROR(VLOOKUP(AT44,Потребители_обозначение,5,FALSE),0)</f>
        <v>3</v>
      </c>
      <c r="BM44" cm="1">
        <f t="array" ref="BM44">IF(D44="","",IF(BA44&lt;&gt;"",IFERROR(_xlfn.XLOOKUP(BA44,Щиты[Щит],Щиты[cos φ]),0.95),IF(ISNUMBER(M44),M44,IFERROR(IF(BL44=2,_xlfn.IFS(BH44=3,VLOOKUP(BF44,Справочная_двигатели,8,FALSE),BH44=1,VLOOKUP(BF44,Справочная_двигатели,10,TRUE)),IF(AND(Методика="нормы 2026",CN44="Сил"),0.8,0.95)),0.95))))</f>
        <v>0.95</v>
      </c>
      <c r="BN44" cm="1">
        <f t="array" ref="BN44">IF(D44="","",IF(BA44&lt;&gt;"",IFERROR(_xlfn.XLOOKUP(BA44,Щиты[Щит],Щиты[Iр, А]),""),IFERROR(_xlfn.IFS(BH44=1,BF44/((Uн_лин/SQRT(3))*BM44),BH44=3,BF44/(SQRT(3)*Uн_лин*BM44)),"")))</f>
        <v>0.455802844097073</v>
      </c>
      <c r="BO44">
        <f>IF(D44="","",IF(N(X44)=0,IFERROR(VLOOKUP(BN44,Автомат_номиналы,2,TRUE),""),X44))</f>
        <v>6</v>
      </c>
      <c r="BP44">
        <f t="shared" si="9"/>
        <v>1</v>
      </c>
      <c r="BQ44">
        <f>IF(ISNUMBER(Y44),Y44,К_прокл)</f>
        <v>1</v>
      </c>
      <c r="BR44">
        <f t="shared" si="10"/>
        <v>2</v>
      </c>
      <c r="BS44" cm="1">
        <f t="array" ref="BS44">IF(D44="","",IF(N(BK44)&lt;&gt;0,BK44,IFERROR(_xlfn.LET(_xlpm.need,BO44/(BP44*BQ44),_xlpm.t,CHOOSE(BR44,Iдоп_1ж,Iдоп_2ж,Iдоп_3ж),_xlpm.k,_xlfn.XMATCH(_xlpm.need,_xlpm.t,1),IF(ISNA(_xlpm.k),"Не исп",INDEX(Iдоп_S,_xlpm.k))),"Не исп")))</f>
        <v>1.5</v>
      </c>
      <c r="BT44">
        <f>IFERROR(VLOOKUP(BS44,Кабель_сопротивление,3,FALSE),"")</f>
        <v>2.2499999999999999E-2</v>
      </c>
      <c r="BU44">
        <f>IFERROR(VLOOKUP(BS44,Кабель_сопротивление,2,FALSE),"")</f>
        <v>0.11</v>
      </c>
      <c r="BV44">
        <f t="shared" si="11"/>
        <v>25</v>
      </c>
      <c r="BW44">
        <f>IF(D44="","",IFERROR(IF(VLOOKUP(AT44,Потребители_обозначение,4,FALSE)=1,VLOOKUP(AT44,Потребители_обозначение,3,FALSE)*(H44*2-1)+BV44+VLOOKUP(AV44,Этаж_обозначение,3,FALSE)+VLOOKUP(AV44,Этаж_обозначение,4,FALSE),VLOOKUP(AT44,Потребители_обозначение,3,FALSE)*(H44*2-1)+BV44),BV44))</f>
        <v>32</v>
      </c>
      <c r="BX44">
        <f t="shared" si="12"/>
        <v>0</v>
      </c>
      <c r="BY44">
        <f t="shared" si="13"/>
        <v>28</v>
      </c>
      <c r="BZ44">
        <f t="shared" si="14"/>
        <v>2</v>
      </c>
      <c r="CA44">
        <f t="shared" si="15"/>
        <v>0.31</v>
      </c>
      <c r="CB44">
        <f t="shared" si="16"/>
        <v>0.41668693794348799</v>
      </c>
      <c r="CC44">
        <f>IFERROR(ROUNDUP(CB44/((Uн_лин/SQRT(3))*1000)*100,2),"")</f>
        <v>0.19</v>
      </c>
      <c r="CD44">
        <f>IF(ISNUMBER(CC44),CC44+IFERROR(_xlfn.XLOOKUP(A44,Щиты[Щит],Щиты[ΔU до шин, %]),0),"")</f>
        <v>0.36</v>
      </c>
      <c r="CE44">
        <f>IF(D44="","",IF(IFERROR(VLOOKUP(AT44,УГО_спр,2,FALSE),"")="Светильник",3,4)+IF(Методика="нормы 2026",MIN(0.5,MAX(0,N(BW44)-100)*0.005),0))</f>
        <v>3</v>
      </c>
      <c r="CF44" t="str">
        <f>IFERROR(VLOOKUP(BI44,Кабель_обозначение,2,FALSE),"")</f>
        <v>ВВГнг(А)-LS</v>
      </c>
      <c r="CG44" t="str">
        <f>IFERROR(IF(VLOOKUP(BI44,Кабель_обозначение,3,FALSE)=1,CF44&amp;" ("&amp;BJ44&amp;"х"&amp;BS44&amp;")",CF44),"")</f>
        <v>ВВГнг(А)-LS (3х1,5)</v>
      </c>
      <c r="CH44" t="str">
        <f t="shared" si="17"/>
        <v>ВВГнг(А)-LS (3х1,5)
L=32-0,19%</v>
      </c>
      <c r="CI44">
        <f>IFERROR(2*ρкз_Cu*BW44/BS44,"")</f>
        <v>1.1221333333333334</v>
      </c>
      <c r="CJ44">
        <f t="shared" si="18"/>
        <v>0.37333333333333335</v>
      </c>
      <c r="CK44" t="str">
        <f>IFERROR(IF(OR(D44="",NOT(ISNUMBER(BS44)),N(BW44)=0),"",_xlfn.XLOOKUP(A44,Щиты[Щит],Щиты[Zпетли на шинах, Ом])+CI44),"")</f>
        <v/>
      </c>
      <c r="CL44" t="str">
        <f>IF(ISNUMBER(CK44),c_min*(Uн_лин*1000/SQRT(3))/CK44,"")</f>
        <v/>
      </c>
      <c r="CM44" t="str">
        <f>IFERROR(IF(OR(D44="",NOT(ISNUMBER(BS44))),"",1.05*(Uн_лин*1000/SQRT(3))/(_xlfn.XLOOKUP(A44,Щиты[Щит],Щиты[Zmax на шинах, Ом])+CJ44)/1000),"")</f>
        <v/>
      </c>
      <c r="CN44" t="str">
        <f>IF(D44="","",IF(BA44&lt;&gt;"","Щит",IF(K44&lt;&gt;"",K44,IF(ISNUMBER(L44),"Сил",IF(IFERROR(_xlfn.XLOOKUP(AT44,Коды_код,Коды_группа)&amp;"","")="","Быт",_xlfn.XLOOKUP(AT44,Коды_код,Коды_группа)&amp;"")))))</f>
        <v>Быт</v>
      </c>
      <c r="CO44">
        <f>IF(CN44="Щит","щит",IF(CN44="","",IF(CN44="Быт",IFERROR(_xlfn.XLOOKUP(A44,Щиты[Щит],Щиты[Кс быт]),1),IF(CN44="Сил",IF(ISNUMBER(L44),L44,IF(Методика="нормы 2026",IFERROR(_xlfn.XLOOKUP(A44,Щиты[Щит],Щиты[Кс силовых (табл. 7.5)]),1),1)),IF(OR(CN44="Пост",CN44="Отоп"),1,IF(CN44="ВНГ",0.7,0))))))</f>
        <v>0.8</v>
      </c>
      <c r="CP44">
        <f t="shared" si="19"/>
        <v>1</v>
      </c>
      <c r="CQ44">
        <f t="shared" si="20"/>
        <v>0.1</v>
      </c>
      <c r="CR44">
        <f t="shared" si="21"/>
        <v>0.1</v>
      </c>
      <c r="CS44">
        <f t="shared" si="22"/>
        <v>0</v>
      </c>
      <c r="CT44">
        <f t="shared" si="23"/>
        <v>0</v>
      </c>
      <c r="CU44">
        <f t="shared" si="24"/>
        <v>0</v>
      </c>
      <c r="CV44">
        <f t="shared" si="25"/>
        <v>0</v>
      </c>
      <c r="CW44">
        <f t="shared" si="26"/>
        <v>0.1</v>
      </c>
      <c r="CX44">
        <f t="shared" si="27"/>
        <v>9.5000000000000001E-2</v>
      </c>
      <c r="CY44">
        <f t="shared" si="28"/>
        <v>1</v>
      </c>
      <c r="CZ44" t="str">
        <f t="shared" si="29"/>
        <v>L1</v>
      </c>
      <c r="DA44" cm="1">
        <f t="array" ref="DA44">IFERROR(IF(BL44=2,_xlfn.IFS(BH44=3,VLOOKUP(BF44,Справочная_двигатели,3,FALSE),BH44=1,VLOOKUP(BF44,Справочная_двигатели,5,TRUE)),0),0)</f>
        <v>0</v>
      </c>
      <c r="DB44">
        <f>IFERROR(IF(BL44=3,VLOOKUP(BF44,Справочная_ЛЭД,2,TRUE),0),0)</f>
        <v>50</v>
      </c>
      <c r="DC44">
        <f t="shared" si="30"/>
        <v>50</v>
      </c>
      <c r="DD44" t="str">
        <f t="shared" si="31"/>
        <v>L1</v>
      </c>
      <c r="DE44" t="str" cm="1">
        <f t="array" ref="DE44">IF(D44="","",IFERROR(INDEX({"I особая","I","II","III"},MATCH(TRIM(AA44&amp;""),{"I особая","I","II","III"},0)),"III"))</f>
        <v>III</v>
      </c>
      <c r="DF44" t="str">
        <f>IF(D44="","",IF(TRIM(AB44&amp;"")&lt;&gt;"",IF(LOWER(TRIM(AB44&amp;""))="да","да","нет"),IF(IFERROR(_xlfn.XLOOKUP(AT44,Коды_код,Коды_пожарная),"")="да","да","нет")))</f>
        <v>нет</v>
      </c>
      <c r="DG44" t="str">
        <f t="shared" si="32"/>
        <v/>
      </c>
      <c r="DH44" t="str">
        <f t="shared" si="33"/>
        <v>основная</v>
      </c>
      <c r="DI44">
        <f t="shared" si="34"/>
        <v>1</v>
      </c>
      <c r="DJ44" t="str" cm="1">
        <f t="array" ref="DJ44">IF(D44="","",_xlfn.LET(_xlpm.t,IFERROR(_xlfn.XLOOKUP(1,(Шины[Шина]=DH44)*(((Шины[Щит]=A44)+(Шины[Щит]=""))&gt;0),Шины[Тип]),"")&amp;"",IF(_xlpm.t&lt;&gt;"",_xlpm.t,IF(ISNUMBER(SEARCH("ИБП",DH44)),"ИБП",IF(ISNUMBER(SEARCH("ДГУ",DH44)),"ДГУ","Ввод "&amp;DI44)))))</f>
        <v>Ввод 1</v>
      </c>
      <c r="DK44" t="str">
        <f t="shared" si="35"/>
        <v>Ввод 1</v>
      </c>
      <c r="DL44" t="str">
        <f>IF(D44="","",IF(OR(DJ44="ИБП",DJ44="ДГУ"),"I особая",IF(DJ44="Одиночная","III",_xlfn.XLOOKUP(A44,Щиты[Щит],Щиты[Категория шины «Ввод»],"III"))))</f>
        <v>II</v>
      </c>
      <c r="DM44">
        <f>IF(D44="",0,IFERROR(MATCH(DE44,{"III","II","I","I особая"},0),1))</f>
        <v>1</v>
      </c>
      <c r="DN44">
        <f t="shared" si="36"/>
        <v>1</v>
      </c>
      <c r="DO44" t="str">
        <f>IF(D44="","",IF(DM44&gt;IFERROR(MATCH(DL44,{"III","II","I","I особая"},0),1),"НЕ ОБЕСПЕЧЕНА","ОК"))</f>
        <v>ОК</v>
      </c>
      <c r="DP44" t="str">
        <f>IF(A44="","",_xlfn.XLOOKUP(A44,Щиты[Щит],Щиты[Путь],""))</f>
        <v>|ГРЩ-ЖД|ЩГП|ЩО-001|</v>
      </c>
      <c r="DQ44" t="str">
        <f>IF(D44="","",IF(Z44&lt;&gt;"",Z44,IF(IFERROR(_xlfn.XLOOKUP(AT44,Коды_код,Коды_вид)&amp;"","")="","Прочее",_xlfn.XLOOKUP(AT44,Коды_код,Коды_вид)&amp;"")))</f>
        <v>Рабочее освещение</v>
      </c>
      <c r="DR44" t="str">
        <f>IF(BD44="","",INT((BD44-1)/Столбцов_на_лист)+1)</f>
        <v/>
      </c>
      <c r="DS44" t="str">
        <f t="shared" si="37"/>
        <v>ВВГнг(А)-LS (3х1,5) L=32-0,19%</v>
      </c>
      <c r="DT44">
        <f t="shared" si="38"/>
        <v>0.1</v>
      </c>
      <c r="DU44">
        <f t="shared" si="39"/>
        <v>0.46</v>
      </c>
      <c r="DV44">
        <f t="shared" si="40"/>
        <v>1</v>
      </c>
      <c r="DW44">
        <f>IF(AT44="",0,_xlfn.LET(_xlpm.v,IFERROR(VLOOKUP(D44,УГО_спр,3,FALSE),IFERROR(VLOOKUP(AT44,УГО_спр,3,FALSE),IFERROR(VLOOKUP(LEFT(AT44,2),УГО_спр,3,FALSE),""))),IF(_xlpm.v="да",30,IF(ISNUMBER(_xlpm.v),_xlpm.v,0))))</f>
        <v>0</v>
      </c>
      <c r="DX44">
        <f t="shared" si="41"/>
        <v>0</v>
      </c>
      <c r="DY44" t="str">
        <f>IF(BD44="","",IF(AD44&lt;&gt;"",COUNTIFS(A$3:A44,A44,AD$3:AD44,"?*"),IF(OR(OR(AS44=1,A44&lt;&gt;A43),AL44="вручную"),"",IF(AS44=1,"",DZ43))))</f>
        <v/>
      </c>
      <c r="DZ44" t="str">
        <f t="shared" si="42"/>
        <v/>
      </c>
      <c r="EA44">
        <f>IF(D44="",0,MAX(IFERROR(--X44,0),IFERROR(--VLOOKUP(D44,УГО_спр,4,FALSE),IFERROR(--VLOOKUP(AT44,УГО_спр,4,FALSE),IFERROR(--VLOOKUP(LEFT(AT44,2),УГО_спр,4,FALSE),0)))))</f>
        <v>10</v>
      </c>
      <c r="EB44">
        <f>IF(D44="","",IFERROR(LOOKUP(INDEX(CHOOSE(BR44,Iдоп_1ж,Iдоп_2ж,Iдоп_3ж),MATCH(BS44,Iдоп_S,0))*BP44*BQ44,{6,10,16,20,25,32,40,50,63,80,100,125,160,200,250,315,400,500,630}),""))</f>
        <v>16</v>
      </c>
      <c r="EC44" t="str">
        <f>IF(AD44="","",SUMIFS(Линии[_Ток схемы],Линии[_гр.],DY44,Линии[Щит],A44,Линии[_в кабель выше],0))</f>
        <v/>
      </c>
      <c r="ED44" t="str">
        <f>IF(AD44="","",IFERROR(VLOOKUP(EC44,Автомат_номиналы,2,TRUE),""))</f>
        <v/>
      </c>
      <c r="EE44" t="str">
        <f>IF(AD44="","",MAX(N(ED44),_xlfn.MAXIFS(Линии[_мин. по типу],Линии[_гр.],DY44,Линии[Щит],A44)))</f>
        <v/>
      </c>
      <c r="EF44" t="str">
        <f>IF(AD44="","",_xlfn.MINIFS(Линии[_макс. автомат по кабелю],Линии[_гр.],DY44,Линии[Щит],A44))</f>
        <v/>
      </c>
      <c r="EG44" t="str">
        <f>IF(AD44="","",MAX(1,_xlfn.MAXIFS(Линии[_фаз],Линии[_гр.],DY44,Линии[Щит],A44)))</f>
        <v/>
      </c>
      <c r="EH44" t="str">
        <f>IF(AD44="","",IF(AND(AD44&lt;&gt;"авто",AD44&lt;&gt;"+"),IF(ISNUMBER(SEARCH("мА",AD44)),IFERROR(--TRIM(RIGHT(SUBSTITUTE(LEFT(AD44,SEARCH("мА",AD44)-1)," ",REPT(" ",9)),6)),30),0),IF(AE44="нет",0,IF(ISNUMBER(AE44),AE44,IF(AE44="да",30,_xlfn.MINIFS(Линии[_дифзащита по коду, мА],Линии[_гр.],DY44,Линии[Щит],A44,Линии[_дифзащита по коду, мА],"&gt;0"))))))</f>
        <v/>
      </c>
      <c r="EI44" t="str">
        <f t="shared" si="43"/>
        <v/>
      </c>
      <c r="EJ44" t="str">
        <f t="shared" si="44"/>
        <v/>
      </c>
      <c r="EK44" t="str">
        <f t="shared" si="45"/>
        <v/>
      </c>
      <c r="EL44" t="str">
        <f t="shared" si="46"/>
        <v/>
      </c>
      <c r="EM44">
        <f t="shared" si="47"/>
        <v>0</v>
      </c>
      <c r="EN44" t="str">
        <f>IF(AD44="","",IF(EM44=1,MAX(EE44,Мин_автомат_БП),EE44))</f>
        <v/>
      </c>
      <c r="EO44" t="str">
        <f t="shared" si="48"/>
        <v/>
      </c>
      <c r="EP44" t="str">
        <f t="shared" si="49"/>
        <v/>
      </c>
      <c r="EQ44" t="str">
        <f t="shared" si="50"/>
        <v/>
      </c>
      <c r="ER44" t="str">
        <f>IF(OR(AI44="",AI44="-"),"",IFERROR(VLOOKUP(AI44,Модули_спр,2,FALSE),"R"))</f>
        <v/>
      </c>
      <c r="ES44" t="str">
        <f>IF(ER44="","",ER44&amp;"."&amp;COUNTIFS(A$3:A44,A44,ER$3:ER44,ER44))</f>
        <v/>
      </c>
      <c r="ET44" t="str">
        <f t="shared" si="51"/>
        <v/>
      </c>
      <c r="EU44" t="str">
        <f t="shared" si="52"/>
        <v/>
      </c>
      <c r="EV44" t="str">
        <f t="shared" si="53"/>
        <v/>
      </c>
      <c r="EW44" t="str">
        <f t="shared" si="54"/>
        <v/>
      </c>
      <c r="EX44">
        <f t="shared" si="55"/>
        <v>1</v>
      </c>
      <c r="EY44" t="str">
        <f>IF(AK44="нет","",IF(AK44&lt;&gt;"",AK44,IF(EX44=1,"XT"&amp;COUNTIFS(A$3:A44,A44,EX$3:EX44,1),"")))</f>
        <v>XT13</v>
      </c>
      <c r="EZ44" t="str">
        <f t="shared" si="56"/>
        <v/>
      </c>
      <c r="FA44" t="str">
        <f t="shared" si="57"/>
        <v/>
      </c>
      <c r="FB44" t="str">
        <f t="shared" si="58"/>
        <v/>
      </c>
      <c r="FC44" t="str">
        <f>IF(OR(EV44="",ET44=""),"",IF(EV44&gt;IFERROR(VLOOKUP(EU44,Модули_спр,3,FALSE),99),"ЛИШНИЙ КАНАЛ",IF(AND(AJ44&lt;&gt;"=",COUNTIFS(Линии[_модуль гр.],ET44,Линии[Канал (итог)],EV44,Линии[Канал],"&lt;&gt;=",Линии[Щит],A44)&gt;1),"ДУБЛЬ КАНАЛА","")))</f>
        <v/>
      </c>
      <c r="FD44" t="str">
        <f t="shared" si="59"/>
        <v/>
      </c>
      <c r="FE44" t="str">
        <f t="shared" si="60"/>
        <v/>
      </c>
      <c r="FF44" t="str">
        <f t="shared" si="61"/>
        <v/>
      </c>
      <c r="FG44" t="str">
        <f t="shared" si="62"/>
        <v/>
      </c>
      <c r="FH44" t="str">
        <f t="shared" si="63"/>
        <v/>
      </c>
      <c r="FI44">
        <f t="shared" si="64"/>
        <v>10</v>
      </c>
      <c r="FJ44" t="str">
        <f t="shared" si="65"/>
        <v/>
      </c>
      <c r="FK44" t="str">
        <f>IF(AND(D44="",EZ44=""),"",_xlfn.TEXTJOIN("; ",TRUE,IF(AND(D44&lt;&gt;"",DD44=""),"нет фазы",""),IF(AND(D44&lt;&gt;"",N(DT44)=0,CN44&lt;&gt;"Нет"),"нет мощности",""),IF(AND(EY44&lt;&gt;"",COUNTIFS(Линии[Щит],A44,Линии[Клемма (итог)],EY44)&gt;1),"дубль клеммы "&amp;EY44,""),IF(AND(FB44&lt;&gt;"",FB44&lt;&gt;"ok"),FB44,""),IF(FC44&lt;&gt;"",FC44,""),IF(AND(ISNUMBER(SEARCH("(5х",DS44)),N(DV44)=1),"5 жил на 1 фазе",""),IF(AND(AT44="R",AD44&lt;&gt;"",OR(N(EH44)=0,N(EH44)&gt;30)),"розетка без дифзащиты до 30 мА",""),IFERROR(IF(AND(ISNUMBER(CD44),CD44&gt;CE44),"потери "&amp;FIXED(CD44,1)&amp;" % &gt; "&amp;CE44&amp;" %",""),""),IFERROR(IF(LEFT(FJ44,4)="мало","Iкз мало — отключение &gt; 0,4 с",""),""),IF(AND(D44&lt;&gt;"",BD44=""),"не на схеме","")))</f>
        <v>не на схеме</v>
      </c>
      <c r="FL44" t="str">
        <f>IF(AD44="","",_xlfn.LET(_xlpm.t,IFERROR(_xlfn.XLOOKUP(EP44,Каталог!$U$4:$U$500,Каталог!$G$4:$G$500),""),_xlpm.k,SEARCH("кА",_xlpm.t),IFERROR(--TRIM(RIGHT(SUBSTITUTE(MID(_xlpm.t,MAX(1,_xlpm.k-4),_xlpm.k-MAX(1,_xlpm.k-4))," ",REPT(" ",9)),5)),"")))</f>
        <v/>
      </c>
      <c r="FM44" t="str">
        <f>IF(OR(FL44="",AD44=""),"",IF(_xlfn.XLOOKUP(A44,Щиты[Щит],Щиты[Iкз max на шинах, кА],"")="","",IF(FL44&lt;_xlfn.XLOOKUP(A44,Щиты[Щит],Щиты[Iкз max на шинах, кА]),"Icu "&amp;FL44&amp;" кА &lt; Iкз max","ok")))</f>
        <v/>
      </c>
      <c r="FN44" t="str">
        <f t="shared" si="66"/>
        <v/>
      </c>
      <c r="FO44" t="str">
        <f t="shared" si="67"/>
        <v/>
      </c>
      <c r="FP44" t="str" cm="1">
        <f t="array" ref="FP44">IF(FO44="","",_xlfn.LET(_xlpm.nd,_xlfn.TEXTSPLIT(FO44,"|"),IF(COLUMNS(_xlpm.nd)&gt;1,A44&amp;"¦"&amp;INDEX(_xlpm.nd,1)&amp;"¦"&amp;INDEX(_xlpm.nd,2),"")))</f>
        <v/>
      </c>
      <c r="FQ44" t="str">
        <f t="shared" si="68"/>
        <v/>
      </c>
      <c r="FR44" t="str" cm="1">
        <f t="array" ref="FR44">IF(FO44="","",_xlfn.LET(_xlpm.nd,_xlfn.TEXTSPLIT(FO44,"|"),IF(COLUMNS(_xlpm.nd)&gt;2,A44&amp;"¦"&amp;INDEX(_xlpm.nd,2)&amp;"¦"&amp;INDEX(_xlpm.nd,3),"")))</f>
        <v/>
      </c>
      <c r="FS44" t="str">
        <f t="shared" si="69"/>
        <v/>
      </c>
      <c r="FT44" t="str" cm="1">
        <f t="array" ref="FT44">IF(FO44="","",_xlfn.LET(_xlpm.nd,_xlfn.TEXTSPLIT(FO44,"|"),IF(COLUMNS(_xlpm.nd)&gt;3,A44&amp;"¦"&amp;INDEX(_xlpm.nd,3)&amp;"¦"&amp;INDEX(_xlpm.nd,4),"")))</f>
        <v/>
      </c>
      <c r="FU44" t="str">
        <f t="shared" si="70"/>
        <v/>
      </c>
      <c r="FV44" t="str" cm="1">
        <f t="array" ref="FV44">IF(FO44="","",_xlfn.LET(_xlpm.nd,_xlfn.TEXTSPLIT(FO44,"|"),IF(COLUMNS(_xlpm.nd)&gt;4,A44&amp;"¦"&amp;INDEX(_xlpm.nd,4)&amp;"¦"&amp;INDEX(_xlpm.nd,5),"")))</f>
        <v/>
      </c>
      <c r="FW44" t="str">
        <f t="shared" si="71"/>
        <v/>
      </c>
      <c r="FX44" t="str" cm="1">
        <f t="array" ref="FX44">IF(FO44="","",_xlfn.LET(_xlpm.nd,_xlfn.TEXTSPLIT(FO44,"|"),IF(COLUMNS(_xlpm.nd)&gt;5,A44&amp;"¦"&amp;INDEX(_xlpm.nd,5)&amp;"¦"&amp;INDEX(_xlpm.nd,6),"")))</f>
        <v/>
      </c>
      <c r="FY44" t="str">
        <f t="shared" si="72"/>
        <v/>
      </c>
      <c r="FZ44" t="str" cm="1">
        <f t="array" ref="FZ44">IF(FO44="","",_xlfn.LET(_xlpm.nd,_xlfn.TEXTSPLIT(FO44,"|"),IF(COLUMNS(_xlpm.nd)&gt;6,A44&amp;"¦"&amp;INDEX(_xlpm.nd,6)&amp;"¦"&amp;INDEX(_xlpm.nd,7),"")))</f>
        <v/>
      </c>
      <c r="GA44" t="str">
        <f t="shared" si="73"/>
        <v/>
      </c>
      <c r="GB44" t="str">
        <f t="shared" si="74"/>
        <v/>
      </c>
      <c r="GC44" t="str">
        <f t="shared" si="75"/>
        <v>XT13</v>
      </c>
      <c r="GD44">
        <f t="shared" si="76"/>
        <v>0</v>
      </c>
      <c r="GE44">
        <f t="shared" si="77"/>
        <v>0</v>
      </c>
      <c r="GF44">
        <f t="shared" si="78"/>
        <v>0</v>
      </c>
      <c r="GG44" t="str">
        <f t="shared" si="79"/>
        <v/>
      </c>
      <c r="GH44" t="str">
        <f t="shared" si="80"/>
        <v/>
      </c>
      <c r="GI44" t="str">
        <f t="shared" si="81"/>
        <v/>
      </c>
      <c r="GJ44" t="str">
        <f t="shared" si="82"/>
        <v/>
      </c>
      <c r="GK44" t="str">
        <f>IF(D44="","",IFERROR(VLOOKUP(D44,УГО_спр,2,FALSE),IFERROR(VLOOKUP(AT44,УГО_спр,2,FALSE),IFERROR(VLOOKUP(LEFT(AT44,2),УГО_спр,2,FALSE),""))))</f>
        <v>Светильник</v>
      </c>
      <c r="GL44" t="str">
        <f>IF(D44="","",IF(OR(GK44="",GK44=0),"BOX",IFERROR(IF(VLOOKUP(GK44,УГО_блоки,3,FALSE)&amp;""&lt;&gt;"",VLOOKUP(GK44,УГО_блоки,3,FALSE),VLOOKUP(GK44,УГО_блоки,2,FALSE)),GK44)))</f>
        <v>LAMP</v>
      </c>
      <c r="GM44">
        <f t="shared" si="83"/>
        <v>1</v>
      </c>
      <c r="GN44" t="str">
        <f>IF(EP44="","",IF(COUNTIF(EP$3:EP44,EP44)=1,MAX(GN$2:GN43)+1,""))</f>
        <v/>
      </c>
      <c r="GO44" t="str">
        <f>IF(AF44="","",IF(COUNTIF(AF$3:AF44,AF44)+COUNTIF(AG$2:AG43,AF44)+COUNTIF(AH$2:AH43,AF44)=1,MAX(GO$2:GQ43)+1,""))</f>
        <v/>
      </c>
      <c r="GP44" t="str">
        <f>IF(AG44="","",IF(COUNTIF(AF$3:AF44,AG44)+COUNTIF(AG$3:AG44,AG44)+COUNTIF(AH$2:AH43,AG44)=1,MAX(GO$2:GQ43,GO44)+1,""))</f>
        <v/>
      </c>
      <c r="GQ44" t="str">
        <f>IF(AH44="","",IF(COUNTIF(AF$3:AF44,AH44)+COUNTIF(AG$3:AG44,AH44)+COUNTIF(AH$3:AH44,AH44)=1,MAX(GO$2:GQ43,GO44,GP44)+1,""))</f>
        <v/>
      </c>
      <c r="GR44" t="str">
        <f t="shared" si="84"/>
        <v>3х1,5</v>
      </c>
      <c r="GS44" t="str">
        <f>IF(GR44="","",IF(COUNTIF(GR$3:GR44,GR44)=1,MAX(GS$2:GS43)+1,""))</f>
        <v/>
      </c>
      <c r="GT44" t="str">
        <f>IF(ES44="","",COUNTIF(ES$3:ES44,"?*"))</f>
        <v/>
      </c>
      <c r="GU44" t="str">
        <f>IF(OR(ES44="",EU44=""),"",IF(COUNTIFS(ES$3:ES44,"?*",EU$3:EU44,EU44)=1,MAX(GU$2:GU43)+1,""))</f>
        <v/>
      </c>
      <c r="GV44">
        <f t="shared" si="85"/>
        <v>1</v>
      </c>
      <c r="GW44">
        <f>IF(D44="","",COUNTIF(D$3:D44,"?*"))</f>
        <v>42</v>
      </c>
      <c r="GX44">
        <f>IF(EX44&lt;&gt;1,0,_xlfn.LET(_xlpm.k,MAX(IFERROR(--VLOOKUP(D44,УГО_спр,5,FALSE),0),IFERROR(--VLOOKUP(AT44,УГО_спр,5,FALSE),0),IFERROR(--VLOOKUP(LEFT(AT44,2),УГО_спр,5,FALSE),0)),IF(_xlpm.k&gt;0,_xlpm.k,IF(IFERROR(--LEFT(SUBSTITUTE(GR44,"x","х"),FIND("х",SUBSTITUTE(GR44,"x","х"))-1),3)&gt;3,Каталог!$S$9,1))))</f>
        <v>1</v>
      </c>
      <c r="GY44">
        <f t="shared" si="86"/>
        <v>0</v>
      </c>
    </row>
    <row r="45" spans="1:207" x14ac:dyDescent="0.3">
      <c r="A45" t="s">
        <v>1146</v>
      </c>
      <c r="B45" t="s">
        <v>531</v>
      </c>
      <c r="C45" t="str">
        <f>IF(BD45="","",IF(BE45="вводной узел","узел ","")&amp;"л."&amp;(INT((BD45-1)/Столбцов_на_лист)+1)&amp;" / "&amp;(MOD(BD45-1,Столбцов_на_лист)+1))</f>
        <v/>
      </c>
      <c r="D45" t="s">
        <v>1318</v>
      </c>
      <c r="E45" s="133" t="str">
        <f t="shared" si="87"/>
        <v>Осветительная группа Подвальный этаж Пом. №006Т</v>
      </c>
      <c r="G45">
        <v>0.1</v>
      </c>
      <c r="H45">
        <v>22</v>
      </c>
      <c r="I45">
        <v>1</v>
      </c>
      <c r="J45">
        <v>230</v>
      </c>
      <c r="K45" t="s">
        <v>566</v>
      </c>
      <c r="P45">
        <v>84</v>
      </c>
      <c r="Q45">
        <v>33</v>
      </c>
      <c r="R45">
        <v>89</v>
      </c>
      <c r="U45" t="s">
        <v>11</v>
      </c>
      <c r="V45">
        <v>3</v>
      </c>
      <c r="W45">
        <v>1.5</v>
      </c>
      <c r="Z45" t="s">
        <v>559</v>
      </c>
      <c r="AR45" t="str">
        <f t="shared" si="0"/>
        <v>не на схеме</v>
      </c>
      <c r="AS45" cm="1">
        <f t="array" ref="AS45">ROW()-ROW(Линии[#Headers])</f>
        <v>43</v>
      </c>
      <c r="AT45" t="str">
        <f t="shared" si="1"/>
        <v>L</v>
      </c>
      <c r="AU45" t="str">
        <f t="shared" si="2"/>
        <v>00.006Т.1</v>
      </c>
      <c r="AV45" t="str">
        <f t="shared" si="3"/>
        <v>00</v>
      </c>
      <c r="AW45" t="str">
        <f t="shared" si="4"/>
        <v>006Т.1</v>
      </c>
      <c r="AX45" t="str">
        <f t="shared" si="5"/>
        <v>006Т</v>
      </c>
      <c r="AY45" t="str">
        <f>IF(D45="","",IF(ISERROR(SEARCH(".",D45)),IFERROR(VLOOKUP(D45,Потребители_обозначение,2,FALSE)&amp;"",""),IFERROR(IF(VLOOKUP(AT45,Потребители_обозначение,4,FALSE)=1,VLOOKUP(AT45,Потребители_обозначение,2,FALSE)&amp;" "&amp;VLOOKUP(AV45,Этаж_обозначение,2,FALSE)&amp;" Пом. №"&amp;AX45,VLOOKUP(AT45,Потребители_обозначение,2,FALSE)&amp;" Шлейф №"&amp;AV45),IFERROR(VLOOKUP(D45,Потребители_обозначение,2,FALSE),""))))</f>
        <v>Осветительная группа Подвальный этаж Пом. №006Т</v>
      </c>
      <c r="AZ45" t="str">
        <f t="shared" si="6"/>
        <v>Осветительная группа Подвальный этаж Пом. №006Т</v>
      </c>
      <c r="BA45" t="str">
        <f>IF(F45&lt;&gt;"",F45,IF(AND(D45&lt;&gt;"",D45&lt;&gt;A45,ISNUMBER(_xlfn.XMATCH(D45,Щиты[Щит]))),D45,""))</f>
        <v/>
      </c>
      <c r="BB45">
        <f>IFERROR(_xlfn.XMATCH(A45,Щиты[Щит]),0)</f>
        <v>3</v>
      </c>
      <c r="BC45">
        <f>IFERROR(N(_xlfn.XLOOKUP(A45,Щиты[Щит],Щиты[Мест под вводной узел])),15)</f>
        <v>15</v>
      </c>
      <c r="BD45" t="str">
        <f t="shared" si="7"/>
        <v/>
      </c>
      <c r="BE45" t="str">
        <f t="shared" si="8"/>
        <v/>
      </c>
      <c r="BF45">
        <f>IF(D45="","",IF(BA45&lt;&gt;"",IFERROR(_xlfn.XLOOKUP(BA45,Щиты[Щит],Щиты[Руст, кВт]),0),N(G45)))</f>
        <v>0.1</v>
      </c>
      <c r="BG45">
        <f>IF(J45&lt;&gt;"",J45,IF(D45="","",IFERROR(IF(VLOOKUP(AT45,Потребители_обозначение,8,FALSE)=0,"",VLOOKUP(AT45,Потребители_обозначение,8,FALSE)),"")))</f>
        <v>230</v>
      </c>
      <c r="BH45">
        <f>IF(I45&lt;&gt;"",I45,IF(D45="","",IFERROR(IF(VLOOKUP(AT45,Потребители_обозначение,9,FALSE)=0,"",VLOOKUP(AT45,Потребители_обозначение,9,FALSE)),"")))</f>
        <v>1</v>
      </c>
      <c r="BI45" t="str">
        <f>IF(U45&lt;&gt;"",U45,IF(D45="","",IFERROR(IF(VLOOKUP(AT45,Потребители_обозначение,6,FALSE)=0,"",VLOOKUP(AT45,Потребители_обозначение,6,FALSE)),"")))</f>
        <v>мс</v>
      </c>
      <c r="BJ45">
        <f>IF(V45&lt;&gt;"",V45,IF(D45="","",IFERROR(IF(VLOOKUP(AT45,Потребители_обозначение,7,FALSE)=0,"",VLOOKUP(AT45,Потребители_обозначение,7,FALSE)),"")))</f>
        <v>3</v>
      </c>
      <c r="BK45">
        <f>IF(W45&lt;&gt;"",W45,IF(D45="","",IFERROR(IF(VLOOKUP(AT45,Потребители_обозначение,10,FALSE)=0,"",VLOOKUP(AT45,Потребители_обозначение,10,FALSE)),"")))</f>
        <v>1.5</v>
      </c>
      <c r="BL45">
        <f>IFERROR(VLOOKUP(AT45,Потребители_обозначение,5,FALSE),0)</f>
        <v>3</v>
      </c>
      <c r="BM45" cm="1">
        <f t="array" ref="BM45">IF(D45="","",IF(BA45&lt;&gt;"",IFERROR(_xlfn.XLOOKUP(BA45,Щиты[Щит],Щиты[cos φ]),0.95),IF(ISNUMBER(M45),M45,IFERROR(IF(BL45=2,_xlfn.IFS(BH45=3,VLOOKUP(BF45,Справочная_двигатели,8,FALSE),BH45=1,VLOOKUP(BF45,Справочная_двигатели,10,TRUE)),IF(AND(Методика="нормы 2026",CN45="Сил"),0.8,0.95)),0.95))))</f>
        <v>0.95</v>
      </c>
      <c r="BN45" cm="1">
        <f t="array" ref="BN45">IF(D45="","",IF(BA45&lt;&gt;"",IFERROR(_xlfn.XLOOKUP(BA45,Щиты[Щит],Щиты[Iр, А]),""),IFERROR(_xlfn.IFS(BH45=1,BF45/((Uн_лин/SQRT(3))*BM45),BH45=3,BF45/(SQRT(3)*Uн_лин*BM45)),"")))</f>
        <v>0.455802844097073</v>
      </c>
      <c r="BO45">
        <f>IF(D45="","",IF(N(X45)=0,IFERROR(VLOOKUP(BN45,Автомат_номиналы,2,TRUE),""),X45))</f>
        <v>6</v>
      </c>
      <c r="BP45">
        <f t="shared" si="9"/>
        <v>1</v>
      </c>
      <c r="BQ45">
        <f>IF(ISNUMBER(Y45),Y45,К_прокл)</f>
        <v>1</v>
      </c>
      <c r="BR45">
        <f t="shared" si="10"/>
        <v>2</v>
      </c>
      <c r="BS45" cm="1">
        <f t="array" ref="BS45">IF(D45="","",IF(N(BK45)&lt;&gt;0,BK45,IFERROR(_xlfn.LET(_xlpm.need,BO45/(BP45*BQ45),_xlpm.t,CHOOSE(BR45,Iдоп_1ж,Iдоп_2ж,Iдоп_3ж),_xlpm.k,_xlfn.XMATCH(_xlpm.need,_xlpm.t,1),IF(ISNA(_xlpm.k),"Не исп",INDEX(Iдоп_S,_xlpm.k))),"Не исп")))</f>
        <v>1.5</v>
      </c>
      <c r="BT45">
        <f>IFERROR(VLOOKUP(BS45,Кабель_сопротивление,3,FALSE),"")</f>
        <v>2.2499999999999999E-2</v>
      </c>
      <c r="BU45">
        <f>IFERROR(VLOOKUP(BS45,Кабель_сопротивление,2,FALSE),"")</f>
        <v>0.11</v>
      </c>
      <c r="BV45">
        <f t="shared" si="11"/>
        <v>84</v>
      </c>
      <c r="BW45">
        <f>IF(D45="","",IFERROR(IF(VLOOKUP(AT45,Потребители_обозначение,4,FALSE)=1,VLOOKUP(AT45,Потребители_обозначение,3,FALSE)*(H45*2-1)+BV45+VLOOKUP(AV45,Этаж_обозначение,3,FALSE)+VLOOKUP(AV45,Этаж_обозначение,4,FALSE),VLOOKUP(AT45,Потребители_обозначение,3,FALSE)*(H45*2-1)+BV45),BV45))</f>
        <v>127</v>
      </c>
      <c r="BX45">
        <f t="shared" si="12"/>
        <v>89</v>
      </c>
      <c r="BY45" t="str">
        <f t="shared" si="13"/>
        <v/>
      </c>
      <c r="BZ45">
        <f t="shared" si="14"/>
        <v>2</v>
      </c>
      <c r="CA45">
        <f t="shared" si="15"/>
        <v>0.31</v>
      </c>
      <c r="CB45">
        <f t="shared" si="16"/>
        <v>1.6537262849632179</v>
      </c>
      <c r="CC45">
        <f>IFERROR(ROUNDUP(CB45/((Uн_лин/SQRT(3))*1000)*100,2),"")</f>
        <v>0.72</v>
      </c>
      <c r="CD45">
        <f>IF(ISNUMBER(CC45),CC45+IFERROR(_xlfn.XLOOKUP(A45,Щиты[Щит],Щиты[ΔU до шин, %]),0),"")</f>
        <v>0.89</v>
      </c>
      <c r="CE45">
        <f>IF(D45="","",IF(IFERROR(VLOOKUP(AT45,УГО_спр,2,FALSE),"")="Светильник",3,4)+IF(Методика="нормы 2026",MIN(0.5,MAX(0,N(BW45)-100)*0.005),0))</f>
        <v>3</v>
      </c>
      <c r="CF45" t="str">
        <f>IFERROR(VLOOKUP(BI45,Кабель_обозначение,2,FALSE),"")</f>
        <v>ВВГнг(А)-LS</v>
      </c>
      <c r="CG45" t="str">
        <f>IFERROR(IF(VLOOKUP(BI45,Кабель_обозначение,3,FALSE)=1,CF45&amp;" ("&amp;BJ45&amp;"х"&amp;BS45&amp;")",CF45),"")</f>
        <v>ВВГнг(А)-LS (3х1,5)</v>
      </c>
      <c r="CH45" t="str">
        <f t="shared" si="17"/>
        <v>ВВГнг(А)-LS (3х1,5)
L=127-0,72%</v>
      </c>
      <c r="CI45">
        <f>IFERROR(2*ρкз_Cu*BW45/BS45,"")</f>
        <v>4.4534666666666665</v>
      </c>
      <c r="CJ45">
        <f t="shared" si="18"/>
        <v>1.4816666666666667</v>
      </c>
      <c r="CK45" t="str">
        <f>IFERROR(IF(OR(D45="",NOT(ISNUMBER(BS45)),N(BW45)=0),"",_xlfn.XLOOKUP(A45,Щиты[Щит],Щиты[Zпетли на шинах, Ом])+CI45),"")</f>
        <v/>
      </c>
      <c r="CL45" t="str">
        <f>IF(ISNUMBER(CK45),c_min*(Uн_лин*1000/SQRT(3))/CK45,"")</f>
        <v/>
      </c>
      <c r="CM45" t="str">
        <f>IFERROR(IF(OR(D45="",NOT(ISNUMBER(BS45))),"",1.05*(Uн_лин*1000/SQRT(3))/(_xlfn.XLOOKUP(A45,Щиты[Щит],Щиты[Zmax на шинах, Ом])+CJ45)/1000),"")</f>
        <v/>
      </c>
      <c r="CN45" t="str">
        <f>IF(D45="","",IF(BA45&lt;&gt;"","Щит",IF(K45&lt;&gt;"",K45,IF(ISNUMBER(L45),"Сил",IF(IFERROR(_xlfn.XLOOKUP(AT45,Коды_код,Коды_группа)&amp;"","")="","Быт",_xlfn.XLOOKUP(AT45,Коды_код,Коды_группа)&amp;"")))))</f>
        <v>Быт</v>
      </c>
      <c r="CO45">
        <f>IF(CN45="Щит","щит",IF(CN45="","",IF(CN45="Быт",IFERROR(_xlfn.XLOOKUP(A45,Щиты[Щит],Щиты[Кс быт]),1),IF(CN45="Сил",IF(ISNUMBER(L45),L45,IF(Методика="нормы 2026",IFERROR(_xlfn.XLOOKUP(A45,Щиты[Щит],Щиты[Кс силовых (табл. 7.5)]),1),1)),IF(OR(CN45="Пост",CN45="Отоп"),1,IF(CN45="ВНГ",0.7,0))))))</f>
        <v>0.8</v>
      </c>
      <c r="CP45">
        <f t="shared" si="19"/>
        <v>1</v>
      </c>
      <c r="CQ45">
        <f t="shared" si="20"/>
        <v>0.1</v>
      </c>
      <c r="CR45">
        <f t="shared" si="21"/>
        <v>0.1</v>
      </c>
      <c r="CS45">
        <f t="shared" si="22"/>
        <v>0</v>
      </c>
      <c r="CT45">
        <f t="shared" si="23"/>
        <v>0</v>
      </c>
      <c r="CU45">
        <f t="shared" si="24"/>
        <v>0</v>
      </c>
      <c r="CV45">
        <f t="shared" si="25"/>
        <v>0</v>
      </c>
      <c r="CW45">
        <f t="shared" si="26"/>
        <v>0.1</v>
      </c>
      <c r="CX45">
        <f t="shared" si="27"/>
        <v>9.5000000000000001E-2</v>
      </c>
      <c r="CY45">
        <f t="shared" si="28"/>
        <v>2</v>
      </c>
      <c r="CZ45" t="str">
        <f t="shared" si="29"/>
        <v>L2</v>
      </c>
      <c r="DA45" cm="1">
        <f t="array" ref="DA45">IFERROR(IF(BL45=2,_xlfn.IFS(BH45=3,VLOOKUP(BF45,Справочная_двигатели,3,FALSE),BH45=1,VLOOKUP(BF45,Справочная_двигатели,5,TRUE)),0),0)</f>
        <v>0</v>
      </c>
      <c r="DB45">
        <f>IFERROR(IF(BL45=3,VLOOKUP(BF45,Справочная_ЛЭД,2,TRUE),0),0)</f>
        <v>50</v>
      </c>
      <c r="DC45">
        <f t="shared" si="30"/>
        <v>50</v>
      </c>
      <c r="DD45" t="str">
        <f t="shared" si="31"/>
        <v>L2</v>
      </c>
      <c r="DE45" t="str" cm="1">
        <f t="array" ref="DE45">IF(D45="","",IFERROR(INDEX({"I особая","I","II","III"},MATCH(TRIM(AA45&amp;""),{"I особая","I","II","III"},0)),"III"))</f>
        <v>III</v>
      </c>
      <c r="DF45" t="str">
        <f>IF(D45="","",IF(TRIM(AB45&amp;"")&lt;&gt;"",IF(LOWER(TRIM(AB45&amp;""))="да","да","нет"),IF(IFERROR(_xlfn.XLOOKUP(AT45,Коды_код,Коды_пожарная),"")="да","да","нет")))</f>
        <v>нет</v>
      </c>
      <c r="DG45" t="str">
        <f t="shared" si="32"/>
        <v/>
      </c>
      <c r="DH45" t="str">
        <f t="shared" si="33"/>
        <v>основная</v>
      </c>
      <c r="DI45">
        <f t="shared" si="34"/>
        <v>1</v>
      </c>
      <c r="DJ45" t="str" cm="1">
        <f t="array" ref="DJ45">IF(D45="","",_xlfn.LET(_xlpm.t,IFERROR(_xlfn.XLOOKUP(1,(Шины[Шина]=DH45)*(((Шины[Щит]=A45)+(Шины[Щит]=""))&gt;0),Шины[Тип]),"")&amp;"",IF(_xlpm.t&lt;&gt;"",_xlpm.t,IF(ISNUMBER(SEARCH("ИБП",DH45)),"ИБП",IF(ISNUMBER(SEARCH("ДГУ",DH45)),"ДГУ","Ввод "&amp;DI45)))))</f>
        <v>Ввод 1</v>
      </c>
      <c r="DK45" t="str">
        <f t="shared" si="35"/>
        <v>Ввод 1</v>
      </c>
      <c r="DL45" t="str">
        <f>IF(D45="","",IF(OR(DJ45="ИБП",DJ45="ДГУ"),"I особая",IF(DJ45="Одиночная","III",_xlfn.XLOOKUP(A45,Щиты[Щит],Щиты[Категория шины «Ввод»],"III"))))</f>
        <v>II</v>
      </c>
      <c r="DM45">
        <f>IF(D45="",0,IFERROR(MATCH(DE45,{"III","II","I","I особая"},0),1))</f>
        <v>1</v>
      </c>
      <c r="DN45">
        <f t="shared" si="36"/>
        <v>1</v>
      </c>
      <c r="DO45" t="str">
        <f>IF(D45="","",IF(DM45&gt;IFERROR(MATCH(DL45,{"III","II","I","I особая"},0),1),"НЕ ОБЕСПЕЧЕНА","ОК"))</f>
        <v>ОК</v>
      </c>
      <c r="DP45" t="str">
        <f>IF(A45="","",_xlfn.XLOOKUP(A45,Щиты[Щит],Щиты[Путь],""))</f>
        <v>|ГРЩ-ЖД|ЩГП|ЩО-001|</v>
      </c>
      <c r="DQ45" t="str">
        <f>IF(D45="","",IF(Z45&lt;&gt;"",Z45,IF(IFERROR(_xlfn.XLOOKUP(AT45,Коды_код,Коды_вид)&amp;"","")="","Прочее",_xlfn.XLOOKUP(AT45,Коды_код,Коды_вид)&amp;"")))</f>
        <v>Рабочее освещение</v>
      </c>
      <c r="DR45" t="str">
        <f>IF(BD45="","",INT((BD45-1)/Столбцов_на_лист)+1)</f>
        <v/>
      </c>
      <c r="DS45" t="str">
        <f t="shared" si="37"/>
        <v>ВВГнг(А)-LS (3х1,5) L=127-0,72%</v>
      </c>
      <c r="DT45">
        <f t="shared" si="38"/>
        <v>0.1</v>
      </c>
      <c r="DU45">
        <f t="shared" si="39"/>
        <v>0.46</v>
      </c>
      <c r="DV45">
        <f t="shared" si="40"/>
        <v>1</v>
      </c>
      <c r="DW45">
        <f>IF(AT45="",0,_xlfn.LET(_xlpm.v,IFERROR(VLOOKUP(D45,УГО_спр,3,FALSE),IFERROR(VLOOKUP(AT45,УГО_спр,3,FALSE),IFERROR(VLOOKUP(LEFT(AT45,2),УГО_спр,3,FALSE),""))),IF(_xlpm.v="да",30,IF(ISNUMBER(_xlpm.v),_xlpm.v,0))))</f>
        <v>0</v>
      </c>
      <c r="DX45">
        <f t="shared" si="41"/>
        <v>0</v>
      </c>
      <c r="DY45" t="str">
        <f>IF(BD45="","",IF(AD45&lt;&gt;"",COUNTIFS(A$3:A45,A45,AD$3:AD45,"?*"),IF(OR(OR(AS45=1,A45&lt;&gt;A44),AL45="вручную"),"",IF(AS45=1,"",DZ44))))</f>
        <v/>
      </c>
      <c r="DZ45" t="str">
        <f t="shared" si="42"/>
        <v/>
      </c>
      <c r="EA45">
        <f>IF(D45="",0,MAX(IFERROR(--X45,0),IFERROR(--VLOOKUP(D45,УГО_спр,4,FALSE),IFERROR(--VLOOKUP(AT45,УГО_спр,4,FALSE),IFERROR(--VLOOKUP(LEFT(AT45,2),УГО_спр,4,FALSE),0)))))</f>
        <v>10</v>
      </c>
      <c r="EB45">
        <f>IF(D45="","",IFERROR(LOOKUP(INDEX(CHOOSE(BR45,Iдоп_1ж,Iдоп_2ж,Iдоп_3ж),MATCH(BS45,Iдоп_S,0))*BP45*BQ45,{6,10,16,20,25,32,40,50,63,80,100,125,160,200,250,315,400,500,630}),""))</f>
        <v>16</v>
      </c>
      <c r="EC45" t="str">
        <f>IF(AD45="","",SUMIFS(Линии[_Ток схемы],Линии[_гр.],DY45,Линии[Щит],A45,Линии[_в кабель выше],0))</f>
        <v/>
      </c>
      <c r="ED45" t="str">
        <f>IF(AD45="","",IFERROR(VLOOKUP(EC45,Автомат_номиналы,2,TRUE),""))</f>
        <v/>
      </c>
      <c r="EE45" t="str">
        <f>IF(AD45="","",MAX(N(ED45),_xlfn.MAXIFS(Линии[_мин. по типу],Линии[_гр.],DY45,Линии[Щит],A45)))</f>
        <v/>
      </c>
      <c r="EF45" t="str">
        <f>IF(AD45="","",_xlfn.MINIFS(Линии[_макс. автомат по кабелю],Линии[_гр.],DY45,Линии[Щит],A45))</f>
        <v/>
      </c>
      <c r="EG45" t="str">
        <f>IF(AD45="","",MAX(1,_xlfn.MAXIFS(Линии[_фаз],Линии[_гр.],DY45,Линии[Щит],A45)))</f>
        <v/>
      </c>
      <c r="EH45" t="str">
        <f>IF(AD45="","",IF(AND(AD45&lt;&gt;"авто",AD45&lt;&gt;"+"),IF(ISNUMBER(SEARCH("мА",AD45)),IFERROR(--TRIM(RIGHT(SUBSTITUTE(LEFT(AD45,SEARCH("мА",AD45)-1)," ",REPT(" ",9)),6)),30),0),IF(AE45="нет",0,IF(ISNUMBER(AE45),AE45,IF(AE45="да",30,_xlfn.MINIFS(Линии[_дифзащита по коду, мА],Линии[_гр.],DY45,Линии[Щит],A45,Линии[_дифзащита по коду, мА],"&gt;0"))))))</f>
        <v/>
      </c>
      <c r="EI45" t="str">
        <f t="shared" si="43"/>
        <v/>
      </c>
      <c r="EJ45" t="str">
        <f t="shared" si="44"/>
        <v/>
      </c>
      <c r="EK45" t="str">
        <f t="shared" si="45"/>
        <v/>
      </c>
      <c r="EL45" t="str">
        <f t="shared" si="46"/>
        <v/>
      </c>
      <c r="EM45">
        <f t="shared" si="47"/>
        <v>0</v>
      </c>
      <c r="EN45" t="str">
        <f>IF(AD45="","",IF(EM45=1,MAX(EE45,Мин_автомат_БП),EE45))</f>
        <v/>
      </c>
      <c r="EO45" t="str">
        <f t="shared" si="48"/>
        <v/>
      </c>
      <c r="EP45" t="str">
        <f t="shared" si="49"/>
        <v/>
      </c>
      <c r="EQ45" t="str">
        <f t="shared" si="50"/>
        <v/>
      </c>
      <c r="ER45" t="str">
        <f>IF(OR(AI45="",AI45="-"),"",IFERROR(VLOOKUP(AI45,Модули_спр,2,FALSE),"R"))</f>
        <v/>
      </c>
      <c r="ES45" t="str">
        <f>IF(ER45="","",ER45&amp;"."&amp;COUNTIFS(A$3:A45,A45,ER$3:ER45,ER45))</f>
        <v/>
      </c>
      <c r="ET45" t="str">
        <f t="shared" si="51"/>
        <v/>
      </c>
      <c r="EU45" t="str">
        <f t="shared" si="52"/>
        <v/>
      </c>
      <c r="EV45" t="str">
        <f t="shared" si="53"/>
        <v/>
      </c>
      <c r="EW45" t="str">
        <f t="shared" si="54"/>
        <v/>
      </c>
      <c r="EX45">
        <f t="shared" si="55"/>
        <v>1</v>
      </c>
      <c r="EY45" t="str">
        <f>IF(AK45="нет","",IF(AK45&lt;&gt;"",AK45,IF(EX45=1,"XT"&amp;COUNTIFS(A$3:A45,A45,EX$3:EX45,1),"")))</f>
        <v>XT14</v>
      </c>
      <c r="EZ45" t="str">
        <f t="shared" si="56"/>
        <v/>
      </c>
      <c r="FA45" t="str">
        <f t="shared" si="57"/>
        <v/>
      </c>
      <c r="FB45" t="str">
        <f t="shared" si="58"/>
        <v/>
      </c>
      <c r="FC45" t="str">
        <f>IF(OR(EV45="",ET45=""),"",IF(EV45&gt;IFERROR(VLOOKUP(EU45,Модули_спр,3,FALSE),99),"ЛИШНИЙ КАНАЛ",IF(AND(AJ45&lt;&gt;"=",COUNTIFS(Линии[_модуль гр.],ET45,Линии[Канал (итог)],EV45,Линии[Канал],"&lt;&gt;=",Линии[Щит],A45)&gt;1),"ДУБЛЬ КАНАЛА","")))</f>
        <v/>
      </c>
      <c r="FD45" t="str">
        <f t="shared" si="59"/>
        <v/>
      </c>
      <c r="FE45" t="str">
        <f t="shared" si="60"/>
        <v/>
      </c>
      <c r="FF45" t="str">
        <f t="shared" si="61"/>
        <v/>
      </c>
      <c r="FG45" t="str">
        <f t="shared" si="62"/>
        <v/>
      </c>
      <c r="FH45" t="str">
        <f t="shared" si="63"/>
        <v/>
      </c>
      <c r="FI45">
        <f t="shared" si="64"/>
        <v>10</v>
      </c>
      <c r="FJ45" t="str">
        <f t="shared" si="65"/>
        <v/>
      </c>
      <c r="FK45" t="str">
        <f>IF(AND(D45="",EZ45=""),"",_xlfn.TEXTJOIN("; ",TRUE,IF(AND(D45&lt;&gt;"",DD45=""),"нет фазы",""),IF(AND(D45&lt;&gt;"",N(DT45)=0,CN45&lt;&gt;"Нет"),"нет мощности",""),IF(AND(EY45&lt;&gt;"",COUNTIFS(Линии[Щит],A45,Линии[Клемма (итог)],EY45)&gt;1),"дубль клеммы "&amp;EY45,""),IF(AND(FB45&lt;&gt;"",FB45&lt;&gt;"ok"),FB45,""),IF(FC45&lt;&gt;"",FC45,""),IF(AND(ISNUMBER(SEARCH("(5х",DS45)),N(DV45)=1),"5 жил на 1 фазе",""),IF(AND(AT45="R",AD45&lt;&gt;"",OR(N(EH45)=0,N(EH45)&gt;30)),"розетка без дифзащиты до 30 мА",""),IFERROR(IF(AND(ISNUMBER(CD45),CD45&gt;CE45),"потери "&amp;FIXED(CD45,1)&amp;" % &gt; "&amp;CE45&amp;" %",""),""),IFERROR(IF(LEFT(FJ45,4)="мало","Iкз мало — отключение &gt; 0,4 с",""),""),IF(AND(D45&lt;&gt;"",BD45=""),"не на схеме","")))</f>
        <v>не на схеме</v>
      </c>
      <c r="FL45" t="str">
        <f>IF(AD45="","",_xlfn.LET(_xlpm.t,IFERROR(_xlfn.XLOOKUP(EP45,Каталог!$U$4:$U$500,Каталог!$G$4:$G$500),""),_xlpm.k,SEARCH("кА",_xlpm.t),IFERROR(--TRIM(RIGHT(SUBSTITUTE(MID(_xlpm.t,MAX(1,_xlpm.k-4),_xlpm.k-MAX(1,_xlpm.k-4))," ",REPT(" ",9)),5)),"")))</f>
        <v/>
      </c>
      <c r="FM45" t="str">
        <f>IF(OR(FL45="",AD45=""),"",IF(_xlfn.XLOOKUP(A45,Щиты[Щит],Щиты[Iкз max на шинах, кА],"")="","",IF(FL45&lt;_xlfn.XLOOKUP(A45,Щиты[Щит],Щиты[Iкз max на шинах, кА]),"Icu "&amp;FL45&amp;" кА &lt; Iкз max","ok")))</f>
        <v/>
      </c>
      <c r="FN45" t="str">
        <f t="shared" si="66"/>
        <v/>
      </c>
      <c r="FO45" t="str">
        <f t="shared" si="67"/>
        <v/>
      </c>
      <c r="FP45" t="str" cm="1">
        <f t="array" ref="FP45">IF(FO45="","",_xlfn.LET(_xlpm.nd,_xlfn.TEXTSPLIT(FO45,"|"),IF(COLUMNS(_xlpm.nd)&gt;1,A45&amp;"¦"&amp;INDEX(_xlpm.nd,1)&amp;"¦"&amp;INDEX(_xlpm.nd,2),"")))</f>
        <v/>
      </c>
      <c r="FQ45" t="str">
        <f t="shared" si="68"/>
        <v/>
      </c>
      <c r="FR45" t="str" cm="1">
        <f t="array" ref="FR45">IF(FO45="","",_xlfn.LET(_xlpm.nd,_xlfn.TEXTSPLIT(FO45,"|"),IF(COLUMNS(_xlpm.nd)&gt;2,A45&amp;"¦"&amp;INDEX(_xlpm.nd,2)&amp;"¦"&amp;INDEX(_xlpm.nd,3),"")))</f>
        <v/>
      </c>
      <c r="FS45" t="str">
        <f t="shared" si="69"/>
        <v/>
      </c>
      <c r="FT45" t="str" cm="1">
        <f t="array" ref="FT45">IF(FO45="","",_xlfn.LET(_xlpm.nd,_xlfn.TEXTSPLIT(FO45,"|"),IF(COLUMNS(_xlpm.nd)&gt;3,A45&amp;"¦"&amp;INDEX(_xlpm.nd,3)&amp;"¦"&amp;INDEX(_xlpm.nd,4),"")))</f>
        <v/>
      </c>
      <c r="FU45" t="str">
        <f t="shared" si="70"/>
        <v/>
      </c>
      <c r="FV45" t="str" cm="1">
        <f t="array" ref="FV45">IF(FO45="","",_xlfn.LET(_xlpm.nd,_xlfn.TEXTSPLIT(FO45,"|"),IF(COLUMNS(_xlpm.nd)&gt;4,A45&amp;"¦"&amp;INDEX(_xlpm.nd,4)&amp;"¦"&amp;INDEX(_xlpm.nd,5),"")))</f>
        <v/>
      </c>
      <c r="FW45" t="str">
        <f t="shared" si="71"/>
        <v/>
      </c>
      <c r="FX45" t="str" cm="1">
        <f t="array" ref="FX45">IF(FO45="","",_xlfn.LET(_xlpm.nd,_xlfn.TEXTSPLIT(FO45,"|"),IF(COLUMNS(_xlpm.nd)&gt;5,A45&amp;"¦"&amp;INDEX(_xlpm.nd,5)&amp;"¦"&amp;INDEX(_xlpm.nd,6),"")))</f>
        <v/>
      </c>
      <c r="FY45" t="str">
        <f t="shared" si="72"/>
        <v/>
      </c>
      <c r="FZ45" t="str" cm="1">
        <f t="array" ref="FZ45">IF(FO45="","",_xlfn.LET(_xlpm.nd,_xlfn.TEXTSPLIT(FO45,"|"),IF(COLUMNS(_xlpm.nd)&gt;6,A45&amp;"¦"&amp;INDEX(_xlpm.nd,6)&amp;"¦"&amp;INDEX(_xlpm.nd,7),"")))</f>
        <v/>
      </c>
      <c r="GA45" t="str">
        <f t="shared" si="73"/>
        <v/>
      </c>
      <c r="GB45" t="str">
        <f t="shared" si="74"/>
        <v/>
      </c>
      <c r="GC45" t="str">
        <f t="shared" si="75"/>
        <v>XT14</v>
      </c>
      <c r="GD45">
        <f t="shared" si="76"/>
        <v>0</v>
      </c>
      <c r="GE45">
        <f t="shared" si="77"/>
        <v>0</v>
      </c>
      <c r="GF45">
        <f t="shared" si="78"/>
        <v>0</v>
      </c>
      <c r="GG45" t="str">
        <f t="shared" si="79"/>
        <v/>
      </c>
      <c r="GH45" t="str">
        <f t="shared" si="80"/>
        <v/>
      </c>
      <c r="GI45" t="str">
        <f t="shared" si="81"/>
        <v/>
      </c>
      <c r="GJ45" t="str">
        <f t="shared" si="82"/>
        <v/>
      </c>
      <c r="GK45" t="str">
        <f>IF(D45="","",IFERROR(VLOOKUP(D45,УГО_спр,2,FALSE),IFERROR(VLOOKUP(AT45,УГО_спр,2,FALSE),IFERROR(VLOOKUP(LEFT(AT45,2),УГО_спр,2,FALSE),""))))</f>
        <v>Светильник</v>
      </c>
      <c r="GL45" t="str">
        <f>IF(D45="","",IF(OR(GK45="",GK45=0),"BOX",IFERROR(IF(VLOOKUP(GK45,УГО_блоки,3,FALSE)&amp;""&lt;&gt;"",VLOOKUP(GK45,УГО_блоки,3,FALSE),VLOOKUP(GK45,УГО_блоки,2,FALSE)),GK45)))</f>
        <v>LAMP</v>
      </c>
      <c r="GM45">
        <f t="shared" si="83"/>
        <v>1</v>
      </c>
      <c r="GN45" t="str">
        <f>IF(EP45="","",IF(COUNTIF(EP$3:EP45,EP45)=1,MAX(GN$2:GN44)+1,""))</f>
        <v/>
      </c>
      <c r="GO45" t="str">
        <f>IF(AF45="","",IF(COUNTIF(AF$3:AF45,AF45)+COUNTIF(AG$2:AG44,AF45)+COUNTIF(AH$2:AH44,AF45)=1,MAX(GO$2:GQ44)+1,""))</f>
        <v/>
      </c>
      <c r="GP45" t="str">
        <f>IF(AG45="","",IF(COUNTIF(AF$3:AF45,AG45)+COUNTIF(AG$3:AG45,AG45)+COUNTIF(AH$2:AH44,AG45)=1,MAX(GO$2:GQ44,GO45)+1,""))</f>
        <v/>
      </c>
      <c r="GQ45" t="str">
        <f>IF(AH45="","",IF(COUNTIF(AF$3:AF45,AH45)+COUNTIF(AG$3:AG45,AH45)+COUNTIF(AH$3:AH45,AH45)=1,MAX(GO$2:GQ44,GO45,GP45)+1,""))</f>
        <v/>
      </c>
      <c r="GR45" t="str">
        <f t="shared" si="84"/>
        <v>3х1,5</v>
      </c>
      <c r="GS45" t="str">
        <f>IF(GR45="","",IF(COUNTIF(GR$3:GR45,GR45)=1,MAX(GS$2:GS44)+1,""))</f>
        <v/>
      </c>
      <c r="GT45" t="str">
        <f>IF(ES45="","",COUNTIF(ES$3:ES45,"?*"))</f>
        <v/>
      </c>
      <c r="GU45" t="str">
        <f>IF(OR(ES45="",EU45=""),"",IF(COUNTIFS(ES$3:ES45,"?*",EU$3:EU45,EU45)=1,MAX(GU$2:GU44)+1,""))</f>
        <v/>
      </c>
      <c r="GV45">
        <f t="shared" si="85"/>
        <v>1</v>
      </c>
      <c r="GW45">
        <f>IF(D45="","",COUNTIF(D$3:D45,"?*"))</f>
        <v>43</v>
      </c>
      <c r="GX45">
        <f>IF(EX45&lt;&gt;1,0,_xlfn.LET(_xlpm.k,MAX(IFERROR(--VLOOKUP(D45,УГО_спр,5,FALSE),0),IFERROR(--VLOOKUP(AT45,УГО_спр,5,FALSE),0),IFERROR(--VLOOKUP(LEFT(AT45,2),УГО_спр,5,FALSE),0)),IF(_xlpm.k&gt;0,_xlpm.k,IF(IFERROR(--LEFT(SUBSTITUTE(GR45,"x","х"),FIND("х",SUBSTITUTE(GR45,"x","х"))-1),3)&gt;3,Каталог!$S$9,1))))</f>
        <v>1</v>
      </c>
      <c r="GY45">
        <f t="shared" si="86"/>
        <v>0</v>
      </c>
    </row>
    <row r="46" spans="1:207" x14ac:dyDescent="0.3">
      <c r="A46" t="s">
        <v>1146</v>
      </c>
      <c r="B46" t="s">
        <v>531</v>
      </c>
      <c r="C46" t="str">
        <f>IF(BD46="","",IF(BE46="вводной узел","узел ","")&amp;"л."&amp;(INT((BD46-1)/Столбцов_на_лист)+1)&amp;" / "&amp;(MOD(BD46-1,Столбцов_на_лист)+1))</f>
        <v/>
      </c>
      <c r="D46" t="s">
        <v>1319</v>
      </c>
      <c r="E46" s="133" t="str">
        <f t="shared" si="87"/>
        <v>Осветительная группа Подвальный этаж Пом. №007Б</v>
      </c>
      <c r="G46">
        <v>0.1</v>
      </c>
      <c r="H46">
        <v>12</v>
      </c>
      <c r="I46">
        <v>1</v>
      </c>
      <c r="J46">
        <v>230</v>
      </c>
      <c r="K46" t="s">
        <v>566</v>
      </c>
      <c r="P46">
        <v>72</v>
      </c>
      <c r="Q46">
        <v>33</v>
      </c>
      <c r="R46">
        <v>57</v>
      </c>
      <c r="U46" t="s">
        <v>11</v>
      </c>
      <c r="V46">
        <v>3</v>
      </c>
      <c r="W46">
        <v>1.5</v>
      </c>
      <c r="Z46" t="s">
        <v>559</v>
      </c>
      <c r="AR46" t="str">
        <f t="shared" si="0"/>
        <v>не на схеме</v>
      </c>
      <c r="AS46" cm="1">
        <f t="array" ref="AS46">ROW()-ROW(Линии[#Headers])</f>
        <v>44</v>
      </c>
      <c r="AT46" t="str">
        <f t="shared" si="1"/>
        <v>L</v>
      </c>
      <c r="AU46" t="str">
        <f t="shared" si="2"/>
        <v>00.007Б.1</v>
      </c>
      <c r="AV46" t="str">
        <f t="shared" si="3"/>
        <v>00</v>
      </c>
      <c r="AW46" t="str">
        <f t="shared" si="4"/>
        <v>007Б.1</v>
      </c>
      <c r="AX46" t="str">
        <f t="shared" si="5"/>
        <v>007Б</v>
      </c>
      <c r="AY46" t="str">
        <f>IF(D46="","",IF(ISERROR(SEARCH(".",D46)),IFERROR(VLOOKUP(D46,Потребители_обозначение,2,FALSE)&amp;"",""),IFERROR(IF(VLOOKUP(AT46,Потребители_обозначение,4,FALSE)=1,VLOOKUP(AT46,Потребители_обозначение,2,FALSE)&amp;" "&amp;VLOOKUP(AV46,Этаж_обозначение,2,FALSE)&amp;" Пом. №"&amp;AX46,VLOOKUP(AT46,Потребители_обозначение,2,FALSE)&amp;" Шлейф №"&amp;AV46),IFERROR(VLOOKUP(D46,Потребители_обозначение,2,FALSE),""))))</f>
        <v>Осветительная группа Подвальный этаж Пом. №007Б</v>
      </c>
      <c r="AZ46" t="str">
        <f t="shared" si="6"/>
        <v>Осветительная группа Подвальный этаж Пом. №007Б</v>
      </c>
      <c r="BA46" t="str">
        <f>IF(F46&lt;&gt;"",F46,IF(AND(D46&lt;&gt;"",D46&lt;&gt;A46,ISNUMBER(_xlfn.XMATCH(D46,Щиты[Щит]))),D46,""))</f>
        <v/>
      </c>
      <c r="BB46">
        <f>IFERROR(_xlfn.XMATCH(A46,Щиты[Щит]),0)</f>
        <v>3</v>
      </c>
      <c r="BC46">
        <f>IFERROR(N(_xlfn.XLOOKUP(A46,Щиты[Щит],Щиты[Мест под вводной узел])),15)</f>
        <v>15</v>
      </c>
      <c r="BD46" t="str">
        <f t="shared" si="7"/>
        <v/>
      </c>
      <c r="BE46" t="str">
        <f t="shared" si="8"/>
        <v/>
      </c>
      <c r="BF46">
        <f>IF(D46="","",IF(BA46&lt;&gt;"",IFERROR(_xlfn.XLOOKUP(BA46,Щиты[Щит],Щиты[Руст, кВт]),0),N(G46)))</f>
        <v>0.1</v>
      </c>
      <c r="BG46">
        <f>IF(J46&lt;&gt;"",J46,IF(D46="","",IFERROR(IF(VLOOKUP(AT46,Потребители_обозначение,8,FALSE)=0,"",VLOOKUP(AT46,Потребители_обозначение,8,FALSE)),"")))</f>
        <v>230</v>
      </c>
      <c r="BH46">
        <f>IF(I46&lt;&gt;"",I46,IF(D46="","",IFERROR(IF(VLOOKUP(AT46,Потребители_обозначение,9,FALSE)=0,"",VLOOKUP(AT46,Потребители_обозначение,9,FALSE)),"")))</f>
        <v>1</v>
      </c>
      <c r="BI46" t="str">
        <f>IF(U46&lt;&gt;"",U46,IF(D46="","",IFERROR(IF(VLOOKUP(AT46,Потребители_обозначение,6,FALSE)=0,"",VLOOKUP(AT46,Потребители_обозначение,6,FALSE)),"")))</f>
        <v>мс</v>
      </c>
      <c r="BJ46">
        <f>IF(V46&lt;&gt;"",V46,IF(D46="","",IFERROR(IF(VLOOKUP(AT46,Потребители_обозначение,7,FALSE)=0,"",VLOOKUP(AT46,Потребители_обозначение,7,FALSE)),"")))</f>
        <v>3</v>
      </c>
      <c r="BK46">
        <f>IF(W46&lt;&gt;"",W46,IF(D46="","",IFERROR(IF(VLOOKUP(AT46,Потребители_обозначение,10,FALSE)=0,"",VLOOKUP(AT46,Потребители_обозначение,10,FALSE)),"")))</f>
        <v>1.5</v>
      </c>
      <c r="BL46">
        <f>IFERROR(VLOOKUP(AT46,Потребители_обозначение,5,FALSE),0)</f>
        <v>3</v>
      </c>
      <c r="BM46" cm="1">
        <f t="array" ref="BM46">IF(D46="","",IF(BA46&lt;&gt;"",IFERROR(_xlfn.XLOOKUP(BA46,Щиты[Щит],Щиты[cos φ]),0.95),IF(ISNUMBER(M46),M46,IFERROR(IF(BL46=2,_xlfn.IFS(BH46=3,VLOOKUP(BF46,Справочная_двигатели,8,FALSE),BH46=1,VLOOKUP(BF46,Справочная_двигатели,10,TRUE)),IF(AND(Методика="нормы 2026",CN46="Сил"),0.8,0.95)),0.95))))</f>
        <v>0.95</v>
      </c>
      <c r="BN46" cm="1">
        <f t="array" ref="BN46">IF(D46="","",IF(BA46&lt;&gt;"",IFERROR(_xlfn.XLOOKUP(BA46,Щиты[Щит],Щиты[Iр, А]),""),IFERROR(_xlfn.IFS(BH46=1,BF46/((Uн_лин/SQRT(3))*BM46),BH46=3,BF46/(SQRT(3)*Uн_лин*BM46)),"")))</f>
        <v>0.455802844097073</v>
      </c>
      <c r="BO46">
        <f>IF(D46="","",IF(N(X46)=0,IFERROR(VLOOKUP(BN46,Автомат_номиналы,2,TRUE),""),X46))</f>
        <v>6</v>
      </c>
      <c r="BP46">
        <f t="shared" si="9"/>
        <v>1</v>
      </c>
      <c r="BQ46">
        <f>IF(ISNUMBER(Y46),Y46,К_прокл)</f>
        <v>1</v>
      </c>
      <c r="BR46">
        <f t="shared" si="10"/>
        <v>2</v>
      </c>
      <c r="BS46" cm="1">
        <f t="array" ref="BS46">IF(D46="","",IF(N(BK46)&lt;&gt;0,BK46,IFERROR(_xlfn.LET(_xlpm.need,BO46/(BP46*BQ46),_xlpm.t,CHOOSE(BR46,Iдоп_1ж,Iдоп_2ж,Iдоп_3ж),_xlpm.k,_xlfn.XMATCH(_xlpm.need,_xlpm.t,1),IF(ISNA(_xlpm.k),"Не исп",INDEX(Iдоп_S,_xlpm.k))),"Не исп")))</f>
        <v>1.5</v>
      </c>
      <c r="BT46">
        <f>IFERROR(VLOOKUP(BS46,Кабель_сопротивление,3,FALSE),"")</f>
        <v>2.2499999999999999E-2</v>
      </c>
      <c r="BU46">
        <f>IFERROR(VLOOKUP(BS46,Кабель_сопротивление,2,FALSE),"")</f>
        <v>0.11</v>
      </c>
      <c r="BV46">
        <f t="shared" si="11"/>
        <v>72</v>
      </c>
      <c r="BW46">
        <f>IF(D46="","",IFERROR(IF(VLOOKUP(AT46,Потребители_обозначение,4,FALSE)=1,VLOOKUP(AT46,Потребители_обозначение,3,FALSE)*(H46*2-1)+BV46+VLOOKUP(AV46,Этаж_обозначение,3,FALSE)+VLOOKUP(AV46,Этаж_обозначение,4,FALSE),VLOOKUP(AT46,Потребители_обозначение,3,FALSE)*(H46*2-1)+BV46),BV46))</f>
        <v>95</v>
      </c>
      <c r="BX46">
        <f t="shared" si="12"/>
        <v>57</v>
      </c>
      <c r="BY46" t="str">
        <f t="shared" si="13"/>
        <v/>
      </c>
      <c r="BZ46">
        <f t="shared" si="14"/>
        <v>2</v>
      </c>
      <c r="CA46">
        <f t="shared" si="15"/>
        <v>0.31</v>
      </c>
      <c r="CB46">
        <f t="shared" si="16"/>
        <v>1.2370393470197298</v>
      </c>
      <c r="CC46">
        <f>IFERROR(ROUNDUP(CB46/((Uн_лин/SQRT(3))*1000)*100,2),"")</f>
        <v>0.54</v>
      </c>
      <c r="CD46">
        <f>IF(ISNUMBER(CC46),CC46+IFERROR(_xlfn.XLOOKUP(A46,Щиты[Щит],Щиты[ΔU до шин, %]),0),"")</f>
        <v>0.71000000000000008</v>
      </c>
      <c r="CE46">
        <f>IF(D46="","",IF(IFERROR(VLOOKUP(AT46,УГО_спр,2,FALSE),"")="Светильник",3,4)+IF(Методика="нормы 2026",MIN(0.5,MAX(0,N(BW46)-100)*0.005),0))</f>
        <v>3</v>
      </c>
      <c r="CF46" t="str">
        <f>IFERROR(VLOOKUP(BI46,Кабель_обозначение,2,FALSE),"")</f>
        <v>ВВГнг(А)-LS</v>
      </c>
      <c r="CG46" t="str">
        <f>IFERROR(IF(VLOOKUP(BI46,Кабель_обозначение,3,FALSE)=1,CF46&amp;" ("&amp;BJ46&amp;"х"&amp;BS46&amp;")",CF46),"")</f>
        <v>ВВГнг(А)-LS (3х1,5)</v>
      </c>
      <c r="CH46" t="str">
        <f t="shared" si="17"/>
        <v>ВВГнг(А)-LS (3х1,5)
L=95-0,54%</v>
      </c>
      <c r="CI46">
        <f>IFERROR(2*ρкз_Cu*BW46/BS46,"")</f>
        <v>3.3313333333333333</v>
      </c>
      <c r="CJ46">
        <f t="shared" si="18"/>
        <v>1.1083333333333334</v>
      </c>
      <c r="CK46" t="str">
        <f>IFERROR(IF(OR(D46="",NOT(ISNUMBER(BS46)),N(BW46)=0),"",_xlfn.XLOOKUP(A46,Щиты[Щит],Щиты[Zпетли на шинах, Ом])+CI46),"")</f>
        <v/>
      </c>
      <c r="CL46" t="str">
        <f>IF(ISNUMBER(CK46),c_min*(Uн_лин*1000/SQRT(3))/CK46,"")</f>
        <v/>
      </c>
      <c r="CM46" t="str">
        <f>IFERROR(IF(OR(D46="",NOT(ISNUMBER(BS46))),"",1.05*(Uн_лин*1000/SQRT(3))/(_xlfn.XLOOKUP(A46,Щиты[Щит],Щиты[Zmax на шинах, Ом])+CJ46)/1000),"")</f>
        <v/>
      </c>
      <c r="CN46" t="str">
        <f>IF(D46="","",IF(BA46&lt;&gt;"","Щит",IF(K46&lt;&gt;"",K46,IF(ISNUMBER(L46),"Сил",IF(IFERROR(_xlfn.XLOOKUP(AT46,Коды_код,Коды_группа)&amp;"","")="","Быт",_xlfn.XLOOKUP(AT46,Коды_код,Коды_группа)&amp;"")))))</f>
        <v>Быт</v>
      </c>
      <c r="CO46">
        <f>IF(CN46="Щит","щит",IF(CN46="","",IF(CN46="Быт",IFERROR(_xlfn.XLOOKUP(A46,Щиты[Щит],Щиты[Кс быт]),1),IF(CN46="Сил",IF(ISNUMBER(L46),L46,IF(Методика="нормы 2026",IFERROR(_xlfn.XLOOKUP(A46,Щиты[Щит],Щиты[Кс силовых (табл. 7.5)]),1),1)),IF(OR(CN46="Пост",CN46="Отоп"),1,IF(CN46="ВНГ",0.7,0))))))</f>
        <v>0.8</v>
      </c>
      <c r="CP46">
        <f t="shared" si="19"/>
        <v>1</v>
      </c>
      <c r="CQ46">
        <f t="shared" si="20"/>
        <v>0.1</v>
      </c>
      <c r="CR46">
        <f t="shared" si="21"/>
        <v>0.1</v>
      </c>
      <c r="CS46">
        <f t="shared" si="22"/>
        <v>0</v>
      </c>
      <c r="CT46">
        <f t="shared" si="23"/>
        <v>0</v>
      </c>
      <c r="CU46">
        <f t="shared" si="24"/>
        <v>0</v>
      </c>
      <c r="CV46">
        <f t="shared" si="25"/>
        <v>0</v>
      </c>
      <c r="CW46">
        <f t="shared" si="26"/>
        <v>0.1</v>
      </c>
      <c r="CX46">
        <f t="shared" si="27"/>
        <v>9.5000000000000001E-2</v>
      </c>
      <c r="CY46">
        <f t="shared" si="28"/>
        <v>3</v>
      </c>
      <c r="CZ46" t="str">
        <f t="shared" si="29"/>
        <v>L3</v>
      </c>
      <c r="DA46" cm="1">
        <f t="array" ref="DA46">IFERROR(IF(BL46=2,_xlfn.IFS(BH46=3,VLOOKUP(BF46,Справочная_двигатели,3,FALSE),BH46=1,VLOOKUP(BF46,Справочная_двигатели,5,TRUE)),0),0)</f>
        <v>0</v>
      </c>
      <c r="DB46">
        <f>IFERROR(IF(BL46=3,VLOOKUP(BF46,Справочная_ЛЭД,2,TRUE),0),0)</f>
        <v>50</v>
      </c>
      <c r="DC46">
        <f t="shared" si="30"/>
        <v>50</v>
      </c>
      <c r="DD46" t="str">
        <f t="shared" si="31"/>
        <v>L3</v>
      </c>
      <c r="DE46" t="str" cm="1">
        <f t="array" ref="DE46">IF(D46="","",IFERROR(INDEX({"I особая","I","II","III"},MATCH(TRIM(AA46&amp;""),{"I особая","I","II","III"},0)),"III"))</f>
        <v>III</v>
      </c>
      <c r="DF46" t="str">
        <f>IF(D46="","",IF(TRIM(AB46&amp;"")&lt;&gt;"",IF(LOWER(TRIM(AB46&amp;""))="да","да","нет"),IF(IFERROR(_xlfn.XLOOKUP(AT46,Коды_код,Коды_пожарная),"")="да","да","нет")))</f>
        <v>нет</v>
      </c>
      <c r="DG46" t="str">
        <f t="shared" si="32"/>
        <v/>
      </c>
      <c r="DH46" t="str">
        <f t="shared" si="33"/>
        <v>основная</v>
      </c>
      <c r="DI46">
        <f t="shared" si="34"/>
        <v>1</v>
      </c>
      <c r="DJ46" t="str" cm="1">
        <f t="array" ref="DJ46">IF(D46="","",_xlfn.LET(_xlpm.t,IFERROR(_xlfn.XLOOKUP(1,(Шины[Шина]=DH46)*(((Шины[Щит]=A46)+(Шины[Щит]=""))&gt;0),Шины[Тип]),"")&amp;"",IF(_xlpm.t&lt;&gt;"",_xlpm.t,IF(ISNUMBER(SEARCH("ИБП",DH46)),"ИБП",IF(ISNUMBER(SEARCH("ДГУ",DH46)),"ДГУ","Ввод "&amp;DI46)))))</f>
        <v>Ввод 1</v>
      </c>
      <c r="DK46" t="str">
        <f t="shared" si="35"/>
        <v>Ввод 1</v>
      </c>
      <c r="DL46" t="str">
        <f>IF(D46="","",IF(OR(DJ46="ИБП",DJ46="ДГУ"),"I особая",IF(DJ46="Одиночная","III",_xlfn.XLOOKUP(A46,Щиты[Щит],Щиты[Категория шины «Ввод»],"III"))))</f>
        <v>II</v>
      </c>
      <c r="DM46">
        <f>IF(D46="",0,IFERROR(MATCH(DE46,{"III","II","I","I особая"},0),1))</f>
        <v>1</v>
      </c>
      <c r="DN46">
        <f t="shared" si="36"/>
        <v>1</v>
      </c>
      <c r="DO46" t="str">
        <f>IF(D46="","",IF(DM46&gt;IFERROR(MATCH(DL46,{"III","II","I","I особая"},0),1),"НЕ ОБЕСПЕЧЕНА","ОК"))</f>
        <v>ОК</v>
      </c>
      <c r="DP46" t="str">
        <f>IF(A46="","",_xlfn.XLOOKUP(A46,Щиты[Щит],Щиты[Путь],""))</f>
        <v>|ГРЩ-ЖД|ЩГП|ЩО-001|</v>
      </c>
      <c r="DQ46" t="str">
        <f>IF(D46="","",IF(Z46&lt;&gt;"",Z46,IF(IFERROR(_xlfn.XLOOKUP(AT46,Коды_код,Коды_вид)&amp;"","")="","Прочее",_xlfn.XLOOKUP(AT46,Коды_код,Коды_вид)&amp;"")))</f>
        <v>Рабочее освещение</v>
      </c>
      <c r="DR46" t="str">
        <f>IF(BD46="","",INT((BD46-1)/Столбцов_на_лист)+1)</f>
        <v/>
      </c>
      <c r="DS46" t="str">
        <f t="shared" si="37"/>
        <v>ВВГнг(А)-LS (3х1,5) L=95-0,54%</v>
      </c>
      <c r="DT46">
        <f t="shared" si="38"/>
        <v>0.1</v>
      </c>
      <c r="DU46">
        <f t="shared" si="39"/>
        <v>0.46</v>
      </c>
      <c r="DV46">
        <f t="shared" si="40"/>
        <v>1</v>
      </c>
      <c r="DW46">
        <f>IF(AT46="",0,_xlfn.LET(_xlpm.v,IFERROR(VLOOKUP(D46,УГО_спр,3,FALSE),IFERROR(VLOOKUP(AT46,УГО_спр,3,FALSE),IFERROR(VLOOKUP(LEFT(AT46,2),УГО_спр,3,FALSE),""))),IF(_xlpm.v="да",30,IF(ISNUMBER(_xlpm.v),_xlpm.v,0))))</f>
        <v>0</v>
      </c>
      <c r="DX46">
        <f t="shared" si="41"/>
        <v>0</v>
      </c>
      <c r="DY46" t="str">
        <f>IF(BD46="","",IF(AD46&lt;&gt;"",COUNTIFS(A$3:A46,A46,AD$3:AD46,"?*"),IF(OR(OR(AS46=1,A46&lt;&gt;A45),AL46="вручную"),"",IF(AS46=1,"",DZ45))))</f>
        <v/>
      </c>
      <c r="DZ46" t="str">
        <f t="shared" si="42"/>
        <v/>
      </c>
      <c r="EA46">
        <f>IF(D46="",0,MAX(IFERROR(--X46,0),IFERROR(--VLOOKUP(D46,УГО_спр,4,FALSE),IFERROR(--VLOOKUP(AT46,УГО_спр,4,FALSE),IFERROR(--VLOOKUP(LEFT(AT46,2),УГО_спр,4,FALSE),0)))))</f>
        <v>10</v>
      </c>
      <c r="EB46">
        <f>IF(D46="","",IFERROR(LOOKUP(INDEX(CHOOSE(BR46,Iдоп_1ж,Iдоп_2ж,Iдоп_3ж),MATCH(BS46,Iдоп_S,0))*BP46*BQ46,{6,10,16,20,25,32,40,50,63,80,100,125,160,200,250,315,400,500,630}),""))</f>
        <v>16</v>
      </c>
      <c r="EC46" t="str">
        <f>IF(AD46="","",SUMIFS(Линии[_Ток схемы],Линии[_гр.],DY46,Линии[Щит],A46,Линии[_в кабель выше],0))</f>
        <v/>
      </c>
      <c r="ED46" t="str">
        <f>IF(AD46="","",IFERROR(VLOOKUP(EC46,Автомат_номиналы,2,TRUE),""))</f>
        <v/>
      </c>
      <c r="EE46" t="str">
        <f>IF(AD46="","",MAX(N(ED46),_xlfn.MAXIFS(Линии[_мин. по типу],Линии[_гр.],DY46,Линии[Щит],A46)))</f>
        <v/>
      </c>
      <c r="EF46" t="str">
        <f>IF(AD46="","",_xlfn.MINIFS(Линии[_макс. автомат по кабелю],Линии[_гр.],DY46,Линии[Щит],A46))</f>
        <v/>
      </c>
      <c r="EG46" t="str">
        <f>IF(AD46="","",MAX(1,_xlfn.MAXIFS(Линии[_фаз],Линии[_гр.],DY46,Линии[Щит],A46)))</f>
        <v/>
      </c>
      <c r="EH46" t="str">
        <f>IF(AD46="","",IF(AND(AD46&lt;&gt;"авто",AD46&lt;&gt;"+"),IF(ISNUMBER(SEARCH("мА",AD46)),IFERROR(--TRIM(RIGHT(SUBSTITUTE(LEFT(AD46,SEARCH("мА",AD46)-1)," ",REPT(" ",9)),6)),30),0),IF(AE46="нет",0,IF(ISNUMBER(AE46),AE46,IF(AE46="да",30,_xlfn.MINIFS(Линии[_дифзащита по коду, мА],Линии[_гр.],DY46,Линии[Щит],A46,Линии[_дифзащита по коду, мА],"&gt;0"))))))</f>
        <v/>
      </c>
      <c r="EI46" t="str">
        <f t="shared" si="43"/>
        <v/>
      </c>
      <c r="EJ46" t="str">
        <f t="shared" si="44"/>
        <v/>
      </c>
      <c r="EK46" t="str">
        <f t="shared" si="45"/>
        <v/>
      </c>
      <c r="EL46" t="str">
        <f t="shared" si="46"/>
        <v/>
      </c>
      <c r="EM46">
        <f t="shared" si="47"/>
        <v>0</v>
      </c>
      <c r="EN46" t="str">
        <f>IF(AD46="","",IF(EM46=1,MAX(EE46,Мин_автомат_БП),EE46))</f>
        <v/>
      </c>
      <c r="EO46" t="str">
        <f t="shared" si="48"/>
        <v/>
      </c>
      <c r="EP46" t="str">
        <f t="shared" si="49"/>
        <v/>
      </c>
      <c r="EQ46" t="str">
        <f t="shared" si="50"/>
        <v/>
      </c>
      <c r="ER46" t="str">
        <f>IF(OR(AI46="",AI46="-"),"",IFERROR(VLOOKUP(AI46,Модули_спр,2,FALSE),"R"))</f>
        <v/>
      </c>
      <c r="ES46" t="str">
        <f>IF(ER46="","",ER46&amp;"."&amp;COUNTIFS(A$3:A46,A46,ER$3:ER46,ER46))</f>
        <v/>
      </c>
      <c r="ET46" t="str">
        <f t="shared" si="51"/>
        <v/>
      </c>
      <c r="EU46" t="str">
        <f t="shared" si="52"/>
        <v/>
      </c>
      <c r="EV46" t="str">
        <f t="shared" si="53"/>
        <v/>
      </c>
      <c r="EW46" t="str">
        <f t="shared" si="54"/>
        <v/>
      </c>
      <c r="EX46">
        <f t="shared" si="55"/>
        <v>1</v>
      </c>
      <c r="EY46" t="str">
        <f>IF(AK46="нет","",IF(AK46&lt;&gt;"",AK46,IF(EX46=1,"XT"&amp;COUNTIFS(A$3:A46,A46,EX$3:EX46,1),"")))</f>
        <v>XT15</v>
      </c>
      <c r="EZ46" t="str">
        <f t="shared" si="56"/>
        <v/>
      </c>
      <c r="FA46" t="str">
        <f t="shared" si="57"/>
        <v/>
      </c>
      <c r="FB46" t="str">
        <f t="shared" si="58"/>
        <v/>
      </c>
      <c r="FC46" t="str">
        <f>IF(OR(EV46="",ET46=""),"",IF(EV46&gt;IFERROR(VLOOKUP(EU46,Модули_спр,3,FALSE),99),"ЛИШНИЙ КАНАЛ",IF(AND(AJ46&lt;&gt;"=",COUNTIFS(Линии[_модуль гр.],ET46,Линии[Канал (итог)],EV46,Линии[Канал],"&lt;&gt;=",Линии[Щит],A46)&gt;1),"ДУБЛЬ КАНАЛА","")))</f>
        <v/>
      </c>
      <c r="FD46" t="str">
        <f t="shared" si="59"/>
        <v/>
      </c>
      <c r="FE46" t="str">
        <f t="shared" si="60"/>
        <v/>
      </c>
      <c r="FF46" t="str">
        <f t="shared" si="61"/>
        <v/>
      </c>
      <c r="FG46" t="str">
        <f t="shared" si="62"/>
        <v/>
      </c>
      <c r="FH46" t="str">
        <f t="shared" si="63"/>
        <v/>
      </c>
      <c r="FI46">
        <f t="shared" si="64"/>
        <v>10</v>
      </c>
      <c r="FJ46" t="str">
        <f t="shared" si="65"/>
        <v/>
      </c>
      <c r="FK46" t="str">
        <f>IF(AND(D46="",EZ46=""),"",_xlfn.TEXTJOIN("; ",TRUE,IF(AND(D46&lt;&gt;"",DD46=""),"нет фазы",""),IF(AND(D46&lt;&gt;"",N(DT46)=0,CN46&lt;&gt;"Нет"),"нет мощности",""),IF(AND(EY46&lt;&gt;"",COUNTIFS(Линии[Щит],A46,Линии[Клемма (итог)],EY46)&gt;1),"дубль клеммы "&amp;EY46,""),IF(AND(FB46&lt;&gt;"",FB46&lt;&gt;"ok"),FB46,""),IF(FC46&lt;&gt;"",FC46,""),IF(AND(ISNUMBER(SEARCH("(5х",DS46)),N(DV46)=1),"5 жил на 1 фазе",""),IF(AND(AT46="R",AD46&lt;&gt;"",OR(N(EH46)=0,N(EH46)&gt;30)),"розетка без дифзащиты до 30 мА",""),IFERROR(IF(AND(ISNUMBER(CD46),CD46&gt;CE46),"потери "&amp;FIXED(CD46,1)&amp;" % &gt; "&amp;CE46&amp;" %",""),""),IFERROR(IF(LEFT(FJ46,4)="мало","Iкз мало — отключение &gt; 0,4 с",""),""),IF(AND(D46&lt;&gt;"",BD46=""),"не на схеме","")))</f>
        <v>не на схеме</v>
      </c>
      <c r="FL46" t="str">
        <f>IF(AD46="","",_xlfn.LET(_xlpm.t,IFERROR(_xlfn.XLOOKUP(EP46,Каталог!$U$4:$U$500,Каталог!$G$4:$G$500),""),_xlpm.k,SEARCH("кА",_xlpm.t),IFERROR(--TRIM(RIGHT(SUBSTITUTE(MID(_xlpm.t,MAX(1,_xlpm.k-4),_xlpm.k-MAX(1,_xlpm.k-4))," ",REPT(" ",9)),5)),"")))</f>
        <v/>
      </c>
      <c r="FM46" t="str">
        <f>IF(OR(FL46="",AD46=""),"",IF(_xlfn.XLOOKUP(A46,Щиты[Щит],Щиты[Iкз max на шинах, кА],"")="","",IF(FL46&lt;_xlfn.XLOOKUP(A46,Щиты[Щит],Щиты[Iкз max на шинах, кА]),"Icu "&amp;FL46&amp;" кА &lt; Iкз max","ok")))</f>
        <v/>
      </c>
      <c r="FN46" t="str">
        <f t="shared" si="66"/>
        <v/>
      </c>
      <c r="FO46" t="str">
        <f t="shared" si="67"/>
        <v/>
      </c>
      <c r="FP46" t="str" cm="1">
        <f t="array" ref="FP46">IF(FO46="","",_xlfn.LET(_xlpm.nd,_xlfn.TEXTSPLIT(FO46,"|"),IF(COLUMNS(_xlpm.nd)&gt;1,A46&amp;"¦"&amp;INDEX(_xlpm.nd,1)&amp;"¦"&amp;INDEX(_xlpm.nd,2),"")))</f>
        <v/>
      </c>
      <c r="FQ46" t="str">
        <f t="shared" si="68"/>
        <v/>
      </c>
      <c r="FR46" t="str" cm="1">
        <f t="array" ref="FR46">IF(FO46="","",_xlfn.LET(_xlpm.nd,_xlfn.TEXTSPLIT(FO46,"|"),IF(COLUMNS(_xlpm.nd)&gt;2,A46&amp;"¦"&amp;INDEX(_xlpm.nd,2)&amp;"¦"&amp;INDEX(_xlpm.nd,3),"")))</f>
        <v/>
      </c>
      <c r="FS46" t="str">
        <f t="shared" si="69"/>
        <v/>
      </c>
      <c r="FT46" t="str" cm="1">
        <f t="array" ref="FT46">IF(FO46="","",_xlfn.LET(_xlpm.nd,_xlfn.TEXTSPLIT(FO46,"|"),IF(COLUMNS(_xlpm.nd)&gt;3,A46&amp;"¦"&amp;INDEX(_xlpm.nd,3)&amp;"¦"&amp;INDEX(_xlpm.nd,4),"")))</f>
        <v/>
      </c>
      <c r="FU46" t="str">
        <f t="shared" si="70"/>
        <v/>
      </c>
      <c r="FV46" t="str" cm="1">
        <f t="array" ref="FV46">IF(FO46="","",_xlfn.LET(_xlpm.nd,_xlfn.TEXTSPLIT(FO46,"|"),IF(COLUMNS(_xlpm.nd)&gt;4,A46&amp;"¦"&amp;INDEX(_xlpm.nd,4)&amp;"¦"&amp;INDEX(_xlpm.nd,5),"")))</f>
        <v/>
      </c>
      <c r="FW46" t="str">
        <f t="shared" si="71"/>
        <v/>
      </c>
      <c r="FX46" t="str" cm="1">
        <f t="array" ref="FX46">IF(FO46="","",_xlfn.LET(_xlpm.nd,_xlfn.TEXTSPLIT(FO46,"|"),IF(COLUMNS(_xlpm.nd)&gt;5,A46&amp;"¦"&amp;INDEX(_xlpm.nd,5)&amp;"¦"&amp;INDEX(_xlpm.nd,6),"")))</f>
        <v/>
      </c>
      <c r="FY46" t="str">
        <f t="shared" si="72"/>
        <v/>
      </c>
      <c r="FZ46" t="str" cm="1">
        <f t="array" ref="FZ46">IF(FO46="","",_xlfn.LET(_xlpm.nd,_xlfn.TEXTSPLIT(FO46,"|"),IF(COLUMNS(_xlpm.nd)&gt;6,A46&amp;"¦"&amp;INDEX(_xlpm.nd,6)&amp;"¦"&amp;INDEX(_xlpm.nd,7),"")))</f>
        <v/>
      </c>
      <c r="GA46" t="str">
        <f t="shared" si="73"/>
        <v/>
      </c>
      <c r="GB46" t="str">
        <f t="shared" si="74"/>
        <v/>
      </c>
      <c r="GC46" t="str">
        <f t="shared" si="75"/>
        <v>XT15</v>
      </c>
      <c r="GD46">
        <f t="shared" si="76"/>
        <v>0</v>
      </c>
      <c r="GE46">
        <f t="shared" si="77"/>
        <v>0</v>
      </c>
      <c r="GF46">
        <f t="shared" si="78"/>
        <v>0</v>
      </c>
      <c r="GG46" t="str">
        <f t="shared" si="79"/>
        <v/>
      </c>
      <c r="GH46" t="str">
        <f t="shared" si="80"/>
        <v/>
      </c>
      <c r="GI46" t="str">
        <f t="shared" si="81"/>
        <v/>
      </c>
      <c r="GJ46" t="str">
        <f t="shared" si="82"/>
        <v/>
      </c>
      <c r="GK46" t="str">
        <f>IF(D46="","",IFERROR(VLOOKUP(D46,УГО_спр,2,FALSE),IFERROR(VLOOKUP(AT46,УГО_спр,2,FALSE),IFERROR(VLOOKUP(LEFT(AT46,2),УГО_спр,2,FALSE),""))))</f>
        <v>Светильник</v>
      </c>
      <c r="GL46" t="str">
        <f>IF(D46="","",IF(OR(GK46="",GK46=0),"BOX",IFERROR(IF(VLOOKUP(GK46,УГО_блоки,3,FALSE)&amp;""&lt;&gt;"",VLOOKUP(GK46,УГО_блоки,3,FALSE),VLOOKUP(GK46,УГО_блоки,2,FALSE)),GK46)))</f>
        <v>LAMP</v>
      </c>
      <c r="GM46">
        <f t="shared" si="83"/>
        <v>1</v>
      </c>
      <c r="GN46" t="str">
        <f>IF(EP46="","",IF(COUNTIF(EP$3:EP46,EP46)=1,MAX(GN$2:GN45)+1,""))</f>
        <v/>
      </c>
      <c r="GO46" t="str">
        <f>IF(AF46="","",IF(COUNTIF(AF$3:AF46,AF46)+COUNTIF(AG$2:AG45,AF46)+COUNTIF(AH$2:AH45,AF46)=1,MAX(GO$2:GQ45)+1,""))</f>
        <v/>
      </c>
      <c r="GP46" t="str">
        <f>IF(AG46="","",IF(COUNTIF(AF$3:AF46,AG46)+COUNTIF(AG$3:AG46,AG46)+COUNTIF(AH$2:AH45,AG46)=1,MAX(GO$2:GQ45,GO46)+1,""))</f>
        <v/>
      </c>
      <c r="GQ46" t="str">
        <f>IF(AH46="","",IF(COUNTIF(AF$3:AF46,AH46)+COUNTIF(AG$3:AG46,AH46)+COUNTIF(AH$3:AH46,AH46)=1,MAX(GO$2:GQ45,GO46,GP46)+1,""))</f>
        <v/>
      </c>
      <c r="GR46" t="str">
        <f t="shared" si="84"/>
        <v>3х1,5</v>
      </c>
      <c r="GS46" t="str">
        <f>IF(GR46="","",IF(COUNTIF(GR$3:GR46,GR46)=1,MAX(GS$2:GS45)+1,""))</f>
        <v/>
      </c>
      <c r="GT46" t="str">
        <f>IF(ES46="","",COUNTIF(ES$3:ES46,"?*"))</f>
        <v/>
      </c>
      <c r="GU46" t="str">
        <f>IF(OR(ES46="",EU46=""),"",IF(COUNTIFS(ES$3:ES46,"?*",EU$3:EU46,EU46)=1,MAX(GU$2:GU45)+1,""))</f>
        <v/>
      </c>
      <c r="GV46">
        <f t="shared" si="85"/>
        <v>1</v>
      </c>
      <c r="GW46">
        <f>IF(D46="","",COUNTIF(D$3:D46,"?*"))</f>
        <v>44</v>
      </c>
      <c r="GX46">
        <f>IF(EX46&lt;&gt;1,0,_xlfn.LET(_xlpm.k,MAX(IFERROR(--VLOOKUP(D46,УГО_спр,5,FALSE),0),IFERROR(--VLOOKUP(AT46,УГО_спр,5,FALSE),0),IFERROR(--VLOOKUP(LEFT(AT46,2),УГО_спр,5,FALSE),0)),IF(_xlpm.k&gt;0,_xlpm.k,IF(IFERROR(--LEFT(SUBSTITUTE(GR46,"x","х"),FIND("х",SUBSTITUTE(GR46,"x","х"))-1),3)&gt;3,Каталог!$S$9,1))))</f>
        <v>1</v>
      </c>
      <c r="GY46">
        <f t="shared" si="86"/>
        <v>0</v>
      </c>
    </row>
    <row r="47" spans="1:207" x14ac:dyDescent="0.3">
      <c r="A47" t="s">
        <v>1146</v>
      </c>
      <c r="B47" t="s">
        <v>531</v>
      </c>
      <c r="C47" t="str">
        <f>IF(BD47="","",IF(BE47="вводной узел","узел ","")&amp;"л."&amp;(INT((BD47-1)/Столбцов_на_лист)+1)&amp;" / "&amp;(MOD(BD47-1,Столбцов_на_лист)+1))</f>
        <v/>
      </c>
      <c r="D47" t="s">
        <v>1320</v>
      </c>
      <c r="E47" s="133" t="str">
        <f t="shared" si="87"/>
        <v>Осветительная группа Подвальный этаж Пом. №007Т</v>
      </c>
      <c r="G47">
        <v>0.1</v>
      </c>
      <c r="H47">
        <v>4</v>
      </c>
      <c r="I47">
        <v>1</v>
      </c>
      <c r="J47">
        <v>230</v>
      </c>
      <c r="K47" t="s">
        <v>566</v>
      </c>
      <c r="P47">
        <v>39</v>
      </c>
      <c r="Q47">
        <v>7</v>
      </c>
      <c r="R47">
        <v>0</v>
      </c>
      <c r="S47">
        <v>42</v>
      </c>
      <c r="U47" t="s">
        <v>11</v>
      </c>
      <c r="V47">
        <v>3</v>
      </c>
      <c r="W47">
        <v>1.5</v>
      </c>
      <c r="Z47" t="s">
        <v>559</v>
      </c>
      <c r="AR47" t="str">
        <f t="shared" si="0"/>
        <v>не на схеме</v>
      </c>
      <c r="AS47" cm="1">
        <f t="array" ref="AS47">ROW()-ROW(Линии[#Headers])</f>
        <v>45</v>
      </c>
      <c r="AT47" t="str">
        <f t="shared" si="1"/>
        <v>L</v>
      </c>
      <c r="AU47" t="str">
        <f t="shared" si="2"/>
        <v>00.007Т.1</v>
      </c>
      <c r="AV47" t="str">
        <f t="shared" si="3"/>
        <v>00</v>
      </c>
      <c r="AW47" t="str">
        <f t="shared" si="4"/>
        <v>007Т.1</v>
      </c>
      <c r="AX47" t="str">
        <f t="shared" si="5"/>
        <v>007Т</v>
      </c>
      <c r="AY47" t="str">
        <f>IF(D47="","",IF(ISERROR(SEARCH(".",D47)),IFERROR(VLOOKUP(D47,Потребители_обозначение,2,FALSE)&amp;"",""),IFERROR(IF(VLOOKUP(AT47,Потребители_обозначение,4,FALSE)=1,VLOOKUP(AT47,Потребители_обозначение,2,FALSE)&amp;" "&amp;VLOOKUP(AV47,Этаж_обозначение,2,FALSE)&amp;" Пом. №"&amp;AX47,VLOOKUP(AT47,Потребители_обозначение,2,FALSE)&amp;" Шлейф №"&amp;AV47),IFERROR(VLOOKUP(D47,Потребители_обозначение,2,FALSE),""))))</f>
        <v>Осветительная группа Подвальный этаж Пом. №007Т</v>
      </c>
      <c r="AZ47" t="str">
        <f t="shared" si="6"/>
        <v>Осветительная группа Подвальный этаж Пом. №007Т</v>
      </c>
      <c r="BA47" t="str">
        <f>IF(F47&lt;&gt;"",F47,IF(AND(D47&lt;&gt;"",D47&lt;&gt;A47,ISNUMBER(_xlfn.XMATCH(D47,Щиты[Щит]))),D47,""))</f>
        <v/>
      </c>
      <c r="BB47">
        <f>IFERROR(_xlfn.XMATCH(A47,Щиты[Щит]),0)</f>
        <v>3</v>
      </c>
      <c r="BC47">
        <f>IFERROR(N(_xlfn.XLOOKUP(A47,Щиты[Щит],Щиты[Мест под вводной узел])),15)</f>
        <v>15</v>
      </c>
      <c r="BD47" t="str">
        <f t="shared" si="7"/>
        <v/>
      </c>
      <c r="BE47" t="str">
        <f t="shared" si="8"/>
        <v/>
      </c>
      <c r="BF47">
        <f>IF(D47="","",IF(BA47&lt;&gt;"",IFERROR(_xlfn.XLOOKUP(BA47,Щиты[Щит],Щиты[Руст, кВт]),0),N(G47)))</f>
        <v>0.1</v>
      </c>
      <c r="BG47">
        <f>IF(J47&lt;&gt;"",J47,IF(D47="","",IFERROR(IF(VLOOKUP(AT47,Потребители_обозначение,8,FALSE)=0,"",VLOOKUP(AT47,Потребители_обозначение,8,FALSE)),"")))</f>
        <v>230</v>
      </c>
      <c r="BH47">
        <f>IF(I47&lt;&gt;"",I47,IF(D47="","",IFERROR(IF(VLOOKUP(AT47,Потребители_обозначение,9,FALSE)=0,"",VLOOKUP(AT47,Потребители_обозначение,9,FALSE)),"")))</f>
        <v>1</v>
      </c>
      <c r="BI47" t="str">
        <f>IF(U47&lt;&gt;"",U47,IF(D47="","",IFERROR(IF(VLOOKUP(AT47,Потребители_обозначение,6,FALSE)=0,"",VLOOKUP(AT47,Потребители_обозначение,6,FALSE)),"")))</f>
        <v>мс</v>
      </c>
      <c r="BJ47">
        <f>IF(V47&lt;&gt;"",V47,IF(D47="","",IFERROR(IF(VLOOKUP(AT47,Потребители_обозначение,7,FALSE)=0,"",VLOOKUP(AT47,Потребители_обозначение,7,FALSE)),"")))</f>
        <v>3</v>
      </c>
      <c r="BK47">
        <f>IF(W47&lt;&gt;"",W47,IF(D47="","",IFERROR(IF(VLOOKUP(AT47,Потребители_обозначение,10,FALSE)=0,"",VLOOKUP(AT47,Потребители_обозначение,10,FALSE)),"")))</f>
        <v>1.5</v>
      </c>
      <c r="BL47">
        <f>IFERROR(VLOOKUP(AT47,Потребители_обозначение,5,FALSE),0)</f>
        <v>3</v>
      </c>
      <c r="BM47" cm="1">
        <f t="array" ref="BM47">IF(D47="","",IF(BA47&lt;&gt;"",IFERROR(_xlfn.XLOOKUP(BA47,Щиты[Щит],Щиты[cos φ]),0.95),IF(ISNUMBER(M47),M47,IFERROR(IF(BL47=2,_xlfn.IFS(BH47=3,VLOOKUP(BF47,Справочная_двигатели,8,FALSE),BH47=1,VLOOKUP(BF47,Справочная_двигатели,10,TRUE)),IF(AND(Методика="нормы 2026",CN47="Сил"),0.8,0.95)),0.95))))</f>
        <v>0.95</v>
      </c>
      <c r="BN47" cm="1">
        <f t="array" ref="BN47">IF(D47="","",IF(BA47&lt;&gt;"",IFERROR(_xlfn.XLOOKUP(BA47,Щиты[Щит],Щиты[Iр, А]),""),IFERROR(_xlfn.IFS(BH47=1,BF47/((Uн_лин/SQRT(3))*BM47),BH47=3,BF47/(SQRT(3)*Uн_лин*BM47)),"")))</f>
        <v>0.455802844097073</v>
      </c>
      <c r="BO47">
        <f>IF(D47="","",IF(N(X47)=0,IFERROR(VLOOKUP(BN47,Автомат_номиналы,2,TRUE),""),X47))</f>
        <v>6</v>
      </c>
      <c r="BP47">
        <f t="shared" si="9"/>
        <v>1</v>
      </c>
      <c r="BQ47">
        <f>IF(ISNUMBER(Y47),Y47,К_прокл)</f>
        <v>1</v>
      </c>
      <c r="BR47">
        <f t="shared" si="10"/>
        <v>2</v>
      </c>
      <c r="BS47" cm="1">
        <f t="array" ref="BS47">IF(D47="","",IF(N(BK47)&lt;&gt;0,BK47,IFERROR(_xlfn.LET(_xlpm.need,BO47/(BP47*BQ47),_xlpm.t,CHOOSE(BR47,Iдоп_1ж,Iдоп_2ж,Iдоп_3ж),_xlpm.k,_xlfn.XMATCH(_xlpm.need,_xlpm.t,1),IF(ISNA(_xlpm.k),"Не исп",INDEX(Iдоп_S,_xlpm.k))),"Не исп")))</f>
        <v>1.5</v>
      </c>
      <c r="BT47">
        <f>IFERROR(VLOOKUP(BS47,Кабель_сопротивление,3,FALSE),"")</f>
        <v>2.2499999999999999E-2</v>
      </c>
      <c r="BU47">
        <f>IFERROR(VLOOKUP(BS47,Кабель_сопротивление,2,FALSE),"")</f>
        <v>0.11</v>
      </c>
      <c r="BV47">
        <f t="shared" si="11"/>
        <v>39</v>
      </c>
      <c r="BW47">
        <f>IF(D47="","",IFERROR(IF(VLOOKUP(AT47,Потребители_обозначение,4,FALSE)=1,VLOOKUP(AT47,Потребители_обозначение,3,FALSE)*(H47*2-1)+BV47+VLOOKUP(AV47,Этаж_обозначение,3,FALSE)+VLOOKUP(AV47,Этаж_обозначение,4,FALSE),VLOOKUP(AT47,Потребители_обозначение,3,FALSE)*(H47*2-1)+BV47),BV47))</f>
        <v>46</v>
      </c>
      <c r="BX47">
        <f t="shared" si="12"/>
        <v>0</v>
      </c>
      <c r="BY47">
        <f t="shared" si="13"/>
        <v>42</v>
      </c>
      <c r="BZ47">
        <f t="shared" si="14"/>
        <v>2</v>
      </c>
      <c r="CA47">
        <f t="shared" si="15"/>
        <v>0.31</v>
      </c>
      <c r="CB47">
        <f t="shared" si="16"/>
        <v>0.59898747329376401</v>
      </c>
      <c r="CC47">
        <f>IFERROR(ROUNDUP(CB47/((Uн_лин/SQRT(3))*1000)*100,2),"")</f>
        <v>0.26</v>
      </c>
      <c r="CD47">
        <f>IF(ISNUMBER(CC47),CC47+IFERROR(_xlfn.XLOOKUP(A47,Щиты[Щит],Щиты[ΔU до шин, %]),0),"")</f>
        <v>0.43000000000000005</v>
      </c>
      <c r="CE47">
        <f>IF(D47="","",IF(IFERROR(VLOOKUP(AT47,УГО_спр,2,FALSE),"")="Светильник",3,4)+IF(Методика="нормы 2026",MIN(0.5,MAX(0,N(BW47)-100)*0.005),0))</f>
        <v>3</v>
      </c>
      <c r="CF47" t="str">
        <f>IFERROR(VLOOKUP(BI47,Кабель_обозначение,2,FALSE),"")</f>
        <v>ВВГнг(А)-LS</v>
      </c>
      <c r="CG47" t="str">
        <f>IFERROR(IF(VLOOKUP(BI47,Кабель_обозначение,3,FALSE)=1,CF47&amp;" ("&amp;BJ47&amp;"х"&amp;BS47&amp;")",CF47),"")</f>
        <v>ВВГнг(А)-LS (3х1,5)</v>
      </c>
      <c r="CH47" t="str">
        <f t="shared" si="17"/>
        <v>ВВГнг(А)-LS (3х1,5)
L=46-0,26%</v>
      </c>
      <c r="CI47">
        <f>IFERROR(2*ρкз_Cu*BW47/BS47,"")</f>
        <v>1.6130666666666666</v>
      </c>
      <c r="CJ47">
        <f t="shared" si="18"/>
        <v>0.53666666666666674</v>
      </c>
      <c r="CK47" t="str">
        <f>IFERROR(IF(OR(D47="",NOT(ISNUMBER(BS47)),N(BW47)=0),"",_xlfn.XLOOKUP(A47,Щиты[Щит],Щиты[Zпетли на шинах, Ом])+CI47),"")</f>
        <v/>
      </c>
      <c r="CL47" t="str">
        <f>IF(ISNUMBER(CK47),c_min*(Uн_лин*1000/SQRT(3))/CK47,"")</f>
        <v/>
      </c>
      <c r="CM47" t="str">
        <f>IFERROR(IF(OR(D47="",NOT(ISNUMBER(BS47))),"",1.05*(Uн_лин*1000/SQRT(3))/(_xlfn.XLOOKUP(A47,Щиты[Щит],Щиты[Zmax на шинах, Ом])+CJ47)/1000),"")</f>
        <v/>
      </c>
      <c r="CN47" t="str">
        <f>IF(D47="","",IF(BA47&lt;&gt;"","Щит",IF(K47&lt;&gt;"",K47,IF(ISNUMBER(L47),"Сил",IF(IFERROR(_xlfn.XLOOKUP(AT47,Коды_код,Коды_группа)&amp;"","")="","Быт",_xlfn.XLOOKUP(AT47,Коды_код,Коды_группа)&amp;"")))))</f>
        <v>Быт</v>
      </c>
      <c r="CO47">
        <f>IF(CN47="Щит","щит",IF(CN47="","",IF(CN47="Быт",IFERROR(_xlfn.XLOOKUP(A47,Щиты[Щит],Щиты[Кс быт]),1),IF(CN47="Сил",IF(ISNUMBER(L47),L47,IF(Методика="нормы 2026",IFERROR(_xlfn.XLOOKUP(A47,Щиты[Щит],Щиты[Кс силовых (табл. 7.5)]),1),1)),IF(OR(CN47="Пост",CN47="Отоп"),1,IF(CN47="ВНГ",0.7,0))))))</f>
        <v>0.8</v>
      </c>
      <c r="CP47">
        <f t="shared" si="19"/>
        <v>1</v>
      </c>
      <c r="CQ47">
        <f t="shared" si="20"/>
        <v>0.1</v>
      </c>
      <c r="CR47">
        <f t="shared" si="21"/>
        <v>0.1</v>
      </c>
      <c r="CS47">
        <f t="shared" si="22"/>
        <v>0</v>
      </c>
      <c r="CT47">
        <f t="shared" si="23"/>
        <v>0</v>
      </c>
      <c r="CU47">
        <f t="shared" si="24"/>
        <v>0</v>
      </c>
      <c r="CV47">
        <f t="shared" si="25"/>
        <v>0</v>
      </c>
      <c r="CW47">
        <f t="shared" si="26"/>
        <v>0.1</v>
      </c>
      <c r="CX47">
        <f t="shared" si="27"/>
        <v>9.5000000000000001E-2</v>
      </c>
      <c r="CY47">
        <f t="shared" si="28"/>
        <v>1</v>
      </c>
      <c r="CZ47" t="str">
        <f t="shared" si="29"/>
        <v>L1</v>
      </c>
      <c r="DA47" cm="1">
        <f t="array" ref="DA47">IFERROR(IF(BL47=2,_xlfn.IFS(BH47=3,VLOOKUP(BF47,Справочная_двигатели,3,FALSE),BH47=1,VLOOKUP(BF47,Справочная_двигатели,5,TRUE)),0),0)</f>
        <v>0</v>
      </c>
      <c r="DB47">
        <f>IFERROR(IF(BL47=3,VLOOKUP(BF47,Справочная_ЛЭД,2,TRUE),0),0)</f>
        <v>50</v>
      </c>
      <c r="DC47">
        <f t="shared" si="30"/>
        <v>50</v>
      </c>
      <c r="DD47" t="str">
        <f t="shared" si="31"/>
        <v>L1</v>
      </c>
      <c r="DE47" t="str" cm="1">
        <f t="array" ref="DE47">IF(D47="","",IFERROR(INDEX({"I особая","I","II","III"},MATCH(TRIM(AA47&amp;""),{"I особая","I","II","III"},0)),"III"))</f>
        <v>III</v>
      </c>
      <c r="DF47" t="str">
        <f>IF(D47="","",IF(TRIM(AB47&amp;"")&lt;&gt;"",IF(LOWER(TRIM(AB47&amp;""))="да","да","нет"),IF(IFERROR(_xlfn.XLOOKUP(AT47,Коды_код,Коды_пожарная),"")="да","да","нет")))</f>
        <v>нет</v>
      </c>
      <c r="DG47" t="str">
        <f t="shared" si="32"/>
        <v/>
      </c>
      <c r="DH47" t="str">
        <f t="shared" si="33"/>
        <v>основная</v>
      </c>
      <c r="DI47">
        <f t="shared" si="34"/>
        <v>1</v>
      </c>
      <c r="DJ47" t="str" cm="1">
        <f t="array" ref="DJ47">IF(D47="","",_xlfn.LET(_xlpm.t,IFERROR(_xlfn.XLOOKUP(1,(Шины[Шина]=DH47)*(((Шины[Щит]=A47)+(Шины[Щит]=""))&gt;0),Шины[Тип]),"")&amp;"",IF(_xlpm.t&lt;&gt;"",_xlpm.t,IF(ISNUMBER(SEARCH("ИБП",DH47)),"ИБП",IF(ISNUMBER(SEARCH("ДГУ",DH47)),"ДГУ","Ввод "&amp;DI47)))))</f>
        <v>Ввод 1</v>
      </c>
      <c r="DK47" t="str">
        <f t="shared" si="35"/>
        <v>Ввод 1</v>
      </c>
      <c r="DL47" t="str">
        <f>IF(D47="","",IF(OR(DJ47="ИБП",DJ47="ДГУ"),"I особая",IF(DJ47="Одиночная","III",_xlfn.XLOOKUP(A47,Щиты[Щит],Щиты[Категория шины «Ввод»],"III"))))</f>
        <v>II</v>
      </c>
      <c r="DM47">
        <f>IF(D47="",0,IFERROR(MATCH(DE47,{"III","II","I","I особая"},0),1))</f>
        <v>1</v>
      </c>
      <c r="DN47">
        <f t="shared" si="36"/>
        <v>1</v>
      </c>
      <c r="DO47" t="str">
        <f>IF(D47="","",IF(DM47&gt;IFERROR(MATCH(DL47,{"III","II","I","I особая"},0),1),"НЕ ОБЕСПЕЧЕНА","ОК"))</f>
        <v>ОК</v>
      </c>
      <c r="DP47" t="str">
        <f>IF(A47="","",_xlfn.XLOOKUP(A47,Щиты[Щит],Щиты[Путь],""))</f>
        <v>|ГРЩ-ЖД|ЩГП|ЩО-001|</v>
      </c>
      <c r="DQ47" t="str">
        <f>IF(D47="","",IF(Z47&lt;&gt;"",Z47,IF(IFERROR(_xlfn.XLOOKUP(AT47,Коды_код,Коды_вид)&amp;"","")="","Прочее",_xlfn.XLOOKUP(AT47,Коды_код,Коды_вид)&amp;"")))</f>
        <v>Рабочее освещение</v>
      </c>
      <c r="DR47" t="str">
        <f>IF(BD47="","",INT((BD47-1)/Столбцов_на_лист)+1)</f>
        <v/>
      </c>
      <c r="DS47" t="str">
        <f t="shared" si="37"/>
        <v>ВВГнг(А)-LS (3х1,5) L=46-0,26%</v>
      </c>
      <c r="DT47">
        <f t="shared" si="38"/>
        <v>0.1</v>
      </c>
      <c r="DU47">
        <f t="shared" si="39"/>
        <v>0.46</v>
      </c>
      <c r="DV47">
        <f t="shared" si="40"/>
        <v>1</v>
      </c>
      <c r="DW47">
        <f>IF(AT47="",0,_xlfn.LET(_xlpm.v,IFERROR(VLOOKUP(D47,УГО_спр,3,FALSE),IFERROR(VLOOKUP(AT47,УГО_спр,3,FALSE),IFERROR(VLOOKUP(LEFT(AT47,2),УГО_спр,3,FALSE),""))),IF(_xlpm.v="да",30,IF(ISNUMBER(_xlpm.v),_xlpm.v,0))))</f>
        <v>0</v>
      </c>
      <c r="DX47">
        <f t="shared" si="41"/>
        <v>0</v>
      </c>
      <c r="DY47" t="str">
        <f>IF(BD47="","",IF(AD47&lt;&gt;"",COUNTIFS(A$3:A47,A47,AD$3:AD47,"?*"),IF(OR(OR(AS47=1,A47&lt;&gt;A46),AL47="вручную"),"",IF(AS47=1,"",DZ46))))</f>
        <v/>
      </c>
      <c r="DZ47" t="str">
        <f t="shared" si="42"/>
        <v/>
      </c>
      <c r="EA47">
        <f>IF(D47="",0,MAX(IFERROR(--X47,0),IFERROR(--VLOOKUP(D47,УГО_спр,4,FALSE),IFERROR(--VLOOKUP(AT47,УГО_спр,4,FALSE),IFERROR(--VLOOKUP(LEFT(AT47,2),УГО_спр,4,FALSE),0)))))</f>
        <v>10</v>
      </c>
      <c r="EB47">
        <f>IF(D47="","",IFERROR(LOOKUP(INDEX(CHOOSE(BR47,Iдоп_1ж,Iдоп_2ж,Iдоп_3ж),MATCH(BS47,Iдоп_S,0))*BP47*BQ47,{6,10,16,20,25,32,40,50,63,80,100,125,160,200,250,315,400,500,630}),""))</f>
        <v>16</v>
      </c>
      <c r="EC47" t="str">
        <f>IF(AD47="","",SUMIFS(Линии[_Ток схемы],Линии[_гр.],DY47,Линии[Щит],A47,Линии[_в кабель выше],0))</f>
        <v/>
      </c>
      <c r="ED47" t="str">
        <f>IF(AD47="","",IFERROR(VLOOKUP(EC47,Автомат_номиналы,2,TRUE),""))</f>
        <v/>
      </c>
      <c r="EE47" t="str">
        <f>IF(AD47="","",MAX(N(ED47),_xlfn.MAXIFS(Линии[_мин. по типу],Линии[_гр.],DY47,Линии[Щит],A47)))</f>
        <v/>
      </c>
      <c r="EF47" t="str">
        <f>IF(AD47="","",_xlfn.MINIFS(Линии[_макс. автомат по кабелю],Линии[_гр.],DY47,Линии[Щит],A47))</f>
        <v/>
      </c>
      <c r="EG47" t="str">
        <f>IF(AD47="","",MAX(1,_xlfn.MAXIFS(Линии[_фаз],Линии[_гр.],DY47,Линии[Щит],A47)))</f>
        <v/>
      </c>
      <c r="EH47" t="str">
        <f>IF(AD47="","",IF(AND(AD47&lt;&gt;"авто",AD47&lt;&gt;"+"),IF(ISNUMBER(SEARCH("мА",AD47)),IFERROR(--TRIM(RIGHT(SUBSTITUTE(LEFT(AD47,SEARCH("мА",AD47)-1)," ",REPT(" ",9)),6)),30),0),IF(AE47="нет",0,IF(ISNUMBER(AE47),AE47,IF(AE47="да",30,_xlfn.MINIFS(Линии[_дифзащита по коду, мА],Линии[_гр.],DY47,Линии[Щит],A47,Линии[_дифзащита по коду, мА],"&gt;0"))))))</f>
        <v/>
      </c>
      <c r="EI47" t="str">
        <f t="shared" si="43"/>
        <v/>
      </c>
      <c r="EJ47" t="str">
        <f t="shared" si="44"/>
        <v/>
      </c>
      <c r="EK47" t="str">
        <f t="shared" si="45"/>
        <v/>
      </c>
      <c r="EL47" t="str">
        <f t="shared" si="46"/>
        <v/>
      </c>
      <c r="EM47">
        <f t="shared" si="47"/>
        <v>0</v>
      </c>
      <c r="EN47" t="str">
        <f>IF(AD47="","",IF(EM47=1,MAX(EE47,Мин_автомат_БП),EE47))</f>
        <v/>
      </c>
      <c r="EO47" t="str">
        <f t="shared" si="48"/>
        <v/>
      </c>
      <c r="EP47" t="str">
        <f t="shared" si="49"/>
        <v/>
      </c>
      <c r="EQ47" t="str">
        <f t="shared" si="50"/>
        <v/>
      </c>
      <c r="ER47" t="str">
        <f>IF(OR(AI47="",AI47="-"),"",IFERROR(VLOOKUP(AI47,Модули_спр,2,FALSE),"R"))</f>
        <v/>
      </c>
      <c r="ES47" t="str">
        <f>IF(ER47="","",ER47&amp;"."&amp;COUNTIFS(A$3:A47,A47,ER$3:ER47,ER47))</f>
        <v/>
      </c>
      <c r="ET47" t="str">
        <f t="shared" si="51"/>
        <v/>
      </c>
      <c r="EU47" t="str">
        <f t="shared" si="52"/>
        <v/>
      </c>
      <c r="EV47" t="str">
        <f t="shared" si="53"/>
        <v/>
      </c>
      <c r="EW47" t="str">
        <f t="shared" si="54"/>
        <v/>
      </c>
      <c r="EX47">
        <f t="shared" si="55"/>
        <v>1</v>
      </c>
      <c r="EY47" t="str">
        <f>IF(AK47="нет","",IF(AK47&lt;&gt;"",AK47,IF(EX47=1,"XT"&amp;COUNTIFS(A$3:A47,A47,EX$3:EX47,1),"")))</f>
        <v>XT16</v>
      </c>
      <c r="EZ47" t="str">
        <f t="shared" si="56"/>
        <v/>
      </c>
      <c r="FA47" t="str">
        <f t="shared" si="57"/>
        <v/>
      </c>
      <c r="FB47" t="str">
        <f t="shared" si="58"/>
        <v/>
      </c>
      <c r="FC47" t="str">
        <f>IF(OR(EV47="",ET47=""),"",IF(EV47&gt;IFERROR(VLOOKUP(EU47,Модули_спр,3,FALSE),99),"ЛИШНИЙ КАНАЛ",IF(AND(AJ47&lt;&gt;"=",COUNTIFS(Линии[_модуль гр.],ET47,Линии[Канал (итог)],EV47,Линии[Канал],"&lt;&gt;=",Линии[Щит],A47)&gt;1),"ДУБЛЬ КАНАЛА","")))</f>
        <v/>
      </c>
      <c r="FD47" t="str">
        <f t="shared" si="59"/>
        <v/>
      </c>
      <c r="FE47" t="str">
        <f t="shared" si="60"/>
        <v/>
      </c>
      <c r="FF47" t="str">
        <f t="shared" si="61"/>
        <v/>
      </c>
      <c r="FG47" t="str">
        <f t="shared" si="62"/>
        <v/>
      </c>
      <c r="FH47" t="str">
        <f t="shared" si="63"/>
        <v/>
      </c>
      <c r="FI47">
        <f t="shared" si="64"/>
        <v>10</v>
      </c>
      <c r="FJ47" t="str">
        <f t="shared" si="65"/>
        <v/>
      </c>
      <c r="FK47" t="str">
        <f>IF(AND(D47="",EZ47=""),"",_xlfn.TEXTJOIN("; ",TRUE,IF(AND(D47&lt;&gt;"",DD47=""),"нет фазы",""),IF(AND(D47&lt;&gt;"",N(DT47)=0,CN47&lt;&gt;"Нет"),"нет мощности",""),IF(AND(EY47&lt;&gt;"",COUNTIFS(Линии[Щит],A47,Линии[Клемма (итог)],EY47)&gt;1),"дубль клеммы "&amp;EY47,""),IF(AND(FB47&lt;&gt;"",FB47&lt;&gt;"ok"),FB47,""),IF(FC47&lt;&gt;"",FC47,""),IF(AND(ISNUMBER(SEARCH("(5х",DS47)),N(DV47)=1),"5 жил на 1 фазе",""),IF(AND(AT47="R",AD47&lt;&gt;"",OR(N(EH47)=0,N(EH47)&gt;30)),"розетка без дифзащиты до 30 мА",""),IFERROR(IF(AND(ISNUMBER(CD47),CD47&gt;CE47),"потери "&amp;FIXED(CD47,1)&amp;" % &gt; "&amp;CE47&amp;" %",""),""),IFERROR(IF(LEFT(FJ47,4)="мало","Iкз мало — отключение &gt; 0,4 с",""),""),IF(AND(D47&lt;&gt;"",BD47=""),"не на схеме","")))</f>
        <v>не на схеме</v>
      </c>
      <c r="FL47" t="str">
        <f>IF(AD47="","",_xlfn.LET(_xlpm.t,IFERROR(_xlfn.XLOOKUP(EP47,Каталог!$U$4:$U$500,Каталог!$G$4:$G$500),""),_xlpm.k,SEARCH("кА",_xlpm.t),IFERROR(--TRIM(RIGHT(SUBSTITUTE(MID(_xlpm.t,MAX(1,_xlpm.k-4),_xlpm.k-MAX(1,_xlpm.k-4))," ",REPT(" ",9)),5)),"")))</f>
        <v/>
      </c>
      <c r="FM47" t="str">
        <f>IF(OR(FL47="",AD47=""),"",IF(_xlfn.XLOOKUP(A47,Щиты[Щит],Щиты[Iкз max на шинах, кА],"")="","",IF(FL47&lt;_xlfn.XLOOKUP(A47,Щиты[Щит],Щиты[Iкз max на шинах, кА]),"Icu "&amp;FL47&amp;" кА &lt; Iкз max","ok")))</f>
        <v/>
      </c>
      <c r="FN47" t="str">
        <f t="shared" si="66"/>
        <v/>
      </c>
      <c r="FO47" t="str">
        <f t="shared" si="67"/>
        <v/>
      </c>
      <c r="FP47" t="str" cm="1">
        <f t="array" ref="FP47">IF(FO47="","",_xlfn.LET(_xlpm.nd,_xlfn.TEXTSPLIT(FO47,"|"),IF(COLUMNS(_xlpm.nd)&gt;1,A47&amp;"¦"&amp;INDEX(_xlpm.nd,1)&amp;"¦"&amp;INDEX(_xlpm.nd,2),"")))</f>
        <v/>
      </c>
      <c r="FQ47" t="str">
        <f t="shared" si="68"/>
        <v/>
      </c>
      <c r="FR47" t="str" cm="1">
        <f t="array" ref="FR47">IF(FO47="","",_xlfn.LET(_xlpm.nd,_xlfn.TEXTSPLIT(FO47,"|"),IF(COLUMNS(_xlpm.nd)&gt;2,A47&amp;"¦"&amp;INDEX(_xlpm.nd,2)&amp;"¦"&amp;INDEX(_xlpm.nd,3),"")))</f>
        <v/>
      </c>
      <c r="FS47" t="str">
        <f t="shared" si="69"/>
        <v/>
      </c>
      <c r="FT47" t="str" cm="1">
        <f t="array" ref="FT47">IF(FO47="","",_xlfn.LET(_xlpm.nd,_xlfn.TEXTSPLIT(FO47,"|"),IF(COLUMNS(_xlpm.nd)&gt;3,A47&amp;"¦"&amp;INDEX(_xlpm.nd,3)&amp;"¦"&amp;INDEX(_xlpm.nd,4),"")))</f>
        <v/>
      </c>
      <c r="FU47" t="str">
        <f t="shared" si="70"/>
        <v/>
      </c>
      <c r="FV47" t="str" cm="1">
        <f t="array" ref="FV47">IF(FO47="","",_xlfn.LET(_xlpm.nd,_xlfn.TEXTSPLIT(FO47,"|"),IF(COLUMNS(_xlpm.nd)&gt;4,A47&amp;"¦"&amp;INDEX(_xlpm.nd,4)&amp;"¦"&amp;INDEX(_xlpm.nd,5),"")))</f>
        <v/>
      </c>
      <c r="FW47" t="str">
        <f t="shared" si="71"/>
        <v/>
      </c>
      <c r="FX47" t="str" cm="1">
        <f t="array" ref="FX47">IF(FO47="","",_xlfn.LET(_xlpm.nd,_xlfn.TEXTSPLIT(FO47,"|"),IF(COLUMNS(_xlpm.nd)&gt;5,A47&amp;"¦"&amp;INDEX(_xlpm.nd,5)&amp;"¦"&amp;INDEX(_xlpm.nd,6),"")))</f>
        <v/>
      </c>
      <c r="FY47" t="str">
        <f t="shared" si="72"/>
        <v/>
      </c>
      <c r="FZ47" t="str" cm="1">
        <f t="array" ref="FZ47">IF(FO47="","",_xlfn.LET(_xlpm.nd,_xlfn.TEXTSPLIT(FO47,"|"),IF(COLUMNS(_xlpm.nd)&gt;6,A47&amp;"¦"&amp;INDEX(_xlpm.nd,6)&amp;"¦"&amp;INDEX(_xlpm.nd,7),"")))</f>
        <v/>
      </c>
      <c r="GA47" t="str">
        <f t="shared" si="73"/>
        <v/>
      </c>
      <c r="GB47" t="str">
        <f t="shared" si="74"/>
        <v/>
      </c>
      <c r="GC47" t="str">
        <f t="shared" si="75"/>
        <v>XT16</v>
      </c>
      <c r="GD47">
        <f t="shared" si="76"/>
        <v>0</v>
      </c>
      <c r="GE47">
        <f t="shared" si="77"/>
        <v>0</v>
      </c>
      <c r="GF47">
        <f t="shared" si="78"/>
        <v>0</v>
      </c>
      <c r="GG47" t="str">
        <f t="shared" si="79"/>
        <v/>
      </c>
      <c r="GH47" t="str">
        <f t="shared" si="80"/>
        <v/>
      </c>
      <c r="GI47" t="str">
        <f t="shared" si="81"/>
        <v/>
      </c>
      <c r="GJ47" t="str">
        <f t="shared" si="82"/>
        <v/>
      </c>
      <c r="GK47" t="str">
        <f>IF(D47="","",IFERROR(VLOOKUP(D47,УГО_спр,2,FALSE),IFERROR(VLOOKUP(AT47,УГО_спр,2,FALSE),IFERROR(VLOOKUP(LEFT(AT47,2),УГО_спр,2,FALSE),""))))</f>
        <v>Светильник</v>
      </c>
      <c r="GL47" t="str">
        <f>IF(D47="","",IF(OR(GK47="",GK47=0),"BOX",IFERROR(IF(VLOOKUP(GK47,УГО_блоки,3,FALSE)&amp;""&lt;&gt;"",VLOOKUP(GK47,УГО_блоки,3,FALSE),VLOOKUP(GK47,УГО_блоки,2,FALSE)),GK47)))</f>
        <v>LAMP</v>
      </c>
      <c r="GM47">
        <f t="shared" si="83"/>
        <v>1</v>
      </c>
      <c r="GN47" t="str">
        <f>IF(EP47="","",IF(COUNTIF(EP$3:EP47,EP47)=1,MAX(GN$2:GN46)+1,""))</f>
        <v/>
      </c>
      <c r="GO47" t="str">
        <f>IF(AF47="","",IF(COUNTIF(AF$3:AF47,AF47)+COUNTIF(AG$2:AG46,AF47)+COUNTIF(AH$2:AH46,AF47)=1,MAX(GO$2:GQ46)+1,""))</f>
        <v/>
      </c>
      <c r="GP47" t="str">
        <f>IF(AG47="","",IF(COUNTIF(AF$3:AF47,AG47)+COUNTIF(AG$3:AG47,AG47)+COUNTIF(AH$2:AH46,AG47)=1,MAX(GO$2:GQ46,GO47)+1,""))</f>
        <v/>
      </c>
      <c r="GQ47" t="str">
        <f>IF(AH47="","",IF(COUNTIF(AF$3:AF47,AH47)+COUNTIF(AG$3:AG47,AH47)+COUNTIF(AH$3:AH47,AH47)=1,MAX(GO$2:GQ46,GO47,GP47)+1,""))</f>
        <v/>
      </c>
      <c r="GR47" t="str">
        <f t="shared" si="84"/>
        <v>3х1,5</v>
      </c>
      <c r="GS47" t="str">
        <f>IF(GR47="","",IF(COUNTIF(GR$3:GR47,GR47)=1,MAX(GS$2:GS46)+1,""))</f>
        <v/>
      </c>
      <c r="GT47" t="str">
        <f>IF(ES47="","",COUNTIF(ES$3:ES47,"?*"))</f>
        <v/>
      </c>
      <c r="GU47" t="str">
        <f>IF(OR(ES47="",EU47=""),"",IF(COUNTIFS(ES$3:ES47,"?*",EU$3:EU47,EU47)=1,MAX(GU$2:GU46)+1,""))</f>
        <v/>
      </c>
      <c r="GV47">
        <f t="shared" si="85"/>
        <v>1</v>
      </c>
      <c r="GW47">
        <f>IF(D47="","",COUNTIF(D$3:D47,"?*"))</f>
        <v>45</v>
      </c>
      <c r="GX47">
        <f>IF(EX47&lt;&gt;1,0,_xlfn.LET(_xlpm.k,MAX(IFERROR(--VLOOKUP(D47,УГО_спр,5,FALSE),0),IFERROR(--VLOOKUP(AT47,УГО_спр,5,FALSE),0),IFERROR(--VLOOKUP(LEFT(AT47,2),УГО_спр,5,FALSE),0)),IF(_xlpm.k&gt;0,_xlpm.k,IF(IFERROR(--LEFT(SUBSTITUTE(GR47,"x","х"),FIND("х",SUBSTITUTE(GR47,"x","х"))-1),3)&gt;3,Каталог!$S$9,1))))</f>
        <v>1</v>
      </c>
      <c r="GY47">
        <f t="shared" si="86"/>
        <v>0</v>
      </c>
    </row>
    <row r="48" spans="1:207" x14ac:dyDescent="0.3">
      <c r="A48" t="s">
        <v>1146</v>
      </c>
      <c r="B48" t="s">
        <v>531</v>
      </c>
      <c r="C48" t="str">
        <f>IF(BD48="","",IF(BE48="вводной узел","узел ","")&amp;"л."&amp;(INT((BD48-1)/Столбцов_на_лист)+1)&amp;" / "&amp;(MOD(BD48-1,Столбцов_на_лист)+1))</f>
        <v/>
      </c>
      <c r="D48" t="s">
        <v>1321</v>
      </c>
      <c r="E48" s="133" t="str">
        <f t="shared" si="87"/>
        <v>Осветительная группа Подвальный этаж Пом. №008T</v>
      </c>
      <c r="G48">
        <v>0.1</v>
      </c>
      <c r="H48">
        <v>3</v>
      </c>
      <c r="I48">
        <v>1</v>
      </c>
      <c r="J48">
        <v>230</v>
      </c>
      <c r="K48" t="s">
        <v>566</v>
      </c>
      <c r="P48">
        <v>58</v>
      </c>
      <c r="Q48">
        <v>14</v>
      </c>
      <c r="R48">
        <v>0</v>
      </c>
      <c r="S48">
        <v>69</v>
      </c>
      <c r="U48" t="s">
        <v>11</v>
      </c>
      <c r="V48">
        <v>3</v>
      </c>
      <c r="W48">
        <v>1.5</v>
      </c>
      <c r="Z48" t="s">
        <v>559</v>
      </c>
      <c r="AR48" t="str">
        <f t="shared" si="0"/>
        <v>не на схеме</v>
      </c>
      <c r="AS48" cm="1">
        <f t="array" ref="AS48">ROW()-ROW(Линии[#Headers])</f>
        <v>46</v>
      </c>
      <c r="AT48" t="str">
        <f t="shared" si="1"/>
        <v>L</v>
      </c>
      <c r="AU48" t="str">
        <f t="shared" si="2"/>
        <v>00.008T.1</v>
      </c>
      <c r="AV48" t="str">
        <f t="shared" si="3"/>
        <v>00</v>
      </c>
      <c r="AW48" t="str">
        <f t="shared" si="4"/>
        <v>008T.1</v>
      </c>
      <c r="AX48" t="str">
        <f t="shared" si="5"/>
        <v>008T</v>
      </c>
      <c r="AY48" t="str">
        <f>IF(D48="","",IF(ISERROR(SEARCH(".",D48)),IFERROR(VLOOKUP(D48,Потребители_обозначение,2,FALSE)&amp;"",""),IFERROR(IF(VLOOKUP(AT48,Потребители_обозначение,4,FALSE)=1,VLOOKUP(AT48,Потребители_обозначение,2,FALSE)&amp;" "&amp;VLOOKUP(AV48,Этаж_обозначение,2,FALSE)&amp;" Пом. №"&amp;AX48,VLOOKUP(AT48,Потребители_обозначение,2,FALSE)&amp;" Шлейф №"&amp;AV48),IFERROR(VLOOKUP(D48,Потребители_обозначение,2,FALSE),""))))</f>
        <v>Осветительная группа Подвальный этаж Пом. №008T</v>
      </c>
      <c r="AZ48" t="str">
        <f t="shared" si="6"/>
        <v>Осветительная группа Подвальный этаж Пом. №008T</v>
      </c>
      <c r="BA48" t="str">
        <f>IF(F48&lt;&gt;"",F48,IF(AND(D48&lt;&gt;"",D48&lt;&gt;A48,ISNUMBER(_xlfn.XMATCH(D48,Щиты[Щит]))),D48,""))</f>
        <v/>
      </c>
      <c r="BB48">
        <f>IFERROR(_xlfn.XMATCH(A48,Щиты[Щит]),0)</f>
        <v>3</v>
      </c>
      <c r="BC48">
        <f>IFERROR(N(_xlfn.XLOOKUP(A48,Щиты[Щит],Щиты[Мест под вводной узел])),15)</f>
        <v>15</v>
      </c>
      <c r="BD48" t="str">
        <f t="shared" si="7"/>
        <v/>
      </c>
      <c r="BE48" t="str">
        <f t="shared" si="8"/>
        <v/>
      </c>
      <c r="BF48">
        <f>IF(D48="","",IF(BA48&lt;&gt;"",IFERROR(_xlfn.XLOOKUP(BA48,Щиты[Щит],Щиты[Руст, кВт]),0),N(G48)))</f>
        <v>0.1</v>
      </c>
      <c r="BG48">
        <f>IF(J48&lt;&gt;"",J48,IF(D48="","",IFERROR(IF(VLOOKUP(AT48,Потребители_обозначение,8,FALSE)=0,"",VLOOKUP(AT48,Потребители_обозначение,8,FALSE)),"")))</f>
        <v>230</v>
      </c>
      <c r="BH48">
        <f>IF(I48&lt;&gt;"",I48,IF(D48="","",IFERROR(IF(VLOOKUP(AT48,Потребители_обозначение,9,FALSE)=0,"",VLOOKUP(AT48,Потребители_обозначение,9,FALSE)),"")))</f>
        <v>1</v>
      </c>
      <c r="BI48" t="str">
        <f>IF(U48&lt;&gt;"",U48,IF(D48="","",IFERROR(IF(VLOOKUP(AT48,Потребители_обозначение,6,FALSE)=0,"",VLOOKUP(AT48,Потребители_обозначение,6,FALSE)),"")))</f>
        <v>мс</v>
      </c>
      <c r="BJ48">
        <f>IF(V48&lt;&gt;"",V48,IF(D48="","",IFERROR(IF(VLOOKUP(AT48,Потребители_обозначение,7,FALSE)=0,"",VLOOKUP(AT48,Потребители_обозначение,7,FALSE)),"")))</f>
        <v>3</v>
      </c>
      <c r="BK48">
        <f>IF(W48&lt;&gt;"",W48,IF(D48="","",IFERROR(IF(VLOOKUP(AT48,Потребители_обозначение,10,FALSE)=0,"",VLOOKUP(AT48,Потребители_обозначение,10,FALSE)),"")))</f>
        <v>1.5</v>
      </c>
      <c r="BL48">
        <f>IFERROR(VLOOKUP(AT48,Потребители_обозначение,5,FALSE),0)</f>
        <v>3</v>
      </c>
      <c r="BM48" cm="1">
        <f t="array" ref="BM48">IF(D48="","",IF(BA48&lt;&gt;"",IFERROR(_xlfn.XLOOKUP(BA48,Щиты[Щит],Щиты[cos φ]),0.95),IF(ISNUMBER(M48),M48,IFERROR(IF(BL48=2,_xlfn.IFS(BH48=3,VLOOKUP(BF48,Справочная_двигатели,8,FALSE),BH48=1,VLOOKUP(BF48,Справочная_двигатели,10,TRUE)),IF(AND(Методика="нормы 2026",CN48="Сил"),0.8,0.95)),0.95))))</f>
        <v>0.95</v>
      </c>
      <c r="BN48" cm="1">
        <f t="array" ref="BN48">IF(D48="","",IF(BA48&lt;&gt;"",IFERROR(_xlfn.XLOOKUP(BA48,Щиты[Щит],Щиты[Iр, А]),""),IFERROR(_xlfn.IFS(BH48=1,BF48/((Uн_лин/SQRT(3))*BM48),BH48=3,BF48/(SQRT(3)*Uн_лин*BM48)),"")))</f>
        <v>0.455802844097073</v>
      </c>
      <c r="BO48">
        <f>IF(D48="","",IF(N(X48)=0,IFERROR(VLOOKUP(BN48,Автомат_номиналы,2,TRUE),""),X48))</f>
        <v>6</v>
      </c>
      <c r="BP48">
        <f t="shared" si="9"/>
        <v>1</v>
      </c>
      <c r="BQ48">
        <f>IF(ISNUMBER(Y48),Y48,К_прокл)</f>
        <v>1</v>
      </c>
      <c r="BR48">
        <f t="shared" si="10"/>
        <v>2</v>
      </c>
      <c r="BS48" cm="1">
        <f t="array" ref="BS48">IF(D48="","",IF(N(BK48)&lt;&gt;0,BK48,IFERROR(_xlfn.LET(_xlpm.need,BO48/(BP48*BQ48),_xlpm.t,CHOOSE(BR48,Iдоп_1ж,Iдоп_2ж,Iдоп_3ж),_xlpm.k,_xlfn.XMATCH(_xlpm.need,_xlpm.t,1),IF(ISNA(_xlpm.k),"Не исп",INDEX(Iдоп_S,_xlpm.k))),"Не исп")))</f>
        <v>1.5</v>
      </c>
      <c r="BT48">
        <f>IFERROR(VLOOKUP(BS48,Кабель_сопротивление,3,FALSE),"")</f>
        <v>2.2499999999999999E-2</v>
      </c>
      <c r="BU48">
        <f>IFERROR(VLOOKUP(BS48,Кабель_сопротивление,2,FALSE),"")</f>
        <v>0.11</v>
      </c>
      <c r="BV48">
        <f t="shared" si="11"/>
        <v>58</v>
      </c>
      <c r="BW48">
        <f>IF(D48="","",IFERROR(IF(VLOOKUP(AT48,Потребители_обозначение,4,FALSE)=1,VLOOKUP(AT48,Потребители_обозначение,3,FALSE)*(H48*2-1)+BV48+VLOOKUP(AV48,Этаж_обозначение,3,FALSE)+VLOOKUP(AV48,Этаж_обозначение,4,FALSE),VLOOKUP(AT48,Потребители_обозначение,3,FALSE)*(H48*2-1)+BV48),BV48))</f>
        <v>63</v>
      </c>
      <c r="BX48">
        <f t="shared" si="12"/>
        <v>0</v>
      </c>
      <c r="BY48">
        <f t="shared" si="13"/>
        <v>69</v>
      </c>
      <c r="BZ48">
        <f t="shared" si="14"/>
        <v>2</v>
      </c>
      <c r="CA48">
        <f t="shared" si="15"/>
        <v>0.31</v>
      </c>
      <c r="CB48">
        <f t="shared" si="16"/>
        <v>0.82035240907624196</v>
      </c>
      <c r="CC48">
        <f>IFERROR(ROUNDUP(CB48/((Uн_лин/SQRT(3))*1000)*100,2),"")</f>
        <v>0.36</v>
      </c>
      <c r="CD48">
        <f>IF(ISNUMBER(CC48),CC48+IFERROR(_xlfn.XLOOKUP(A48,Щиты[Щит],Щиты[ΔU до шин, %]),0),"")</f>
        <v>0.53</v>
      </c>
      <c r="CE48">
        <f>IF(D48="","",IF(IFERROR(VLOOKUP(AT48,УГО_спр,2,FALSE),"")="Светильник",3,4)+IF(Методика="нормы 2026",MIN(0.5,MAX(0,N(BW48)-100)*0.005),0))</f>
        <v>3</v>
      </c>
      <c r="CF48" t="str">
        <f>IFERROR(VLOOKUP(BI48,Кабель_обозначение,2,FALSE),"")</f>
        <v>ВВГнг(А)-LS</v>
      </c>
      <c r="CG48" t="str">
        <f>IFERROR(IF(VLOOKUP(BI48,Кабель_обозначение,3,FALSE)=1,CF48&amp;" ("&amp;BJ48&amp;"х"&amp;BS48&amp;")",CF48),"")</f>
        <v>ВВГнг(А)-LS (3х1,5)</v>
      </c>
      <c r="CH48" t="str">
        <f t="shared" si="17"/>
        <v>ВВГнг(А)-LS (3х1,5)
L=63-0,36%</v>
      </c>
      <c r="CI48">
        <f>IFERROR(2*ρкз_Cu*BW48/BS48,"")</f>
        <v>2.2092000000000001</v>
      </c>
      <c r="CJ48">
        <f t="shared" si="18"/>
        <v>0.73499999999999999</v>
      </c>
      <c r="CK48" t="str">
        <f>IFERROR(IF(OR(D48="",NOT(ISNUMBER(BS48)),N(BW48)=0),"",_xlfn.XLOOKUP(A48,Щиты[Щит],Щиты[Zпетли на шинах, Ом])+CI48),"")</f>
        <v/>
      </c>
      <c r="CL48" t="str">
        <f>IF(ISNUMBER(CK48),c_min*(Uн_лин*1000/SQRT(3))/CK48,"")</f>
        <v/>
      </c>
      <c r="CM48" t="str">
        <f>IFERROR(IF(OR(D48="",NOT(ISNUMBER(BS48))),"",1.05*(Uн_лин*1000/SQRT(3))/(_xlfn.XLOOKUP(A48,Щиты[Щит],Щиты[Zmax на шинах, Ом])+CJ48)/1000),"")</f>
        <v/>
      </c>
      <c r="CN48" t="str">
        <f>IF(D48="","",IF(BA48&lt;&gt;"","Щит",IF(K48&lt;&gt;"",K48,IF(ISNUMBER(L48),"Сил",IF(IFERROR(_xlfn.XLOOKUP(AT48,Коды_код,Коды_группа)&amp;"","")="","Быт",_xlfn.XLOOKUP(AT48,Коды_код,Коды_группа)&amp;"")))))</f>
        <v>Быт</v>
      </c>
      <c r="CO48">
        <f>IF(CN48="Щит","щит",IF(CN48="","",IF(CN48="Быт",IFERROR(_xlfn.XLOOKUP(A48,Щиты[Щит],Щиты[Кс быт]),1),IF(CN48="Сил",IF(ISNUMBER(L48),L48,IF(Методика="нормы 2026",IFERROR(_xlfn.XLOOKUP(A48,Щиты[Щит],Щиты[Кс силовых (табл. 7.5)]),1),1)),IF(OR(CN48="Пост",CN48="Отоп"),1,IF(CN48="ВНГ",0.7,0))))))</f>
        <v>0.8</v>
      </c>
      <c r="CP48">
        <f t="shared" si="19"/>
        <v>1</v>
      </c>
      <c r="CQ48">
        <f t="shared" si="20"/>
        <v>0.1</v>
      </c>
      <c r="CR48">
        <f t="shared" si="21"/>
        <v>0.1</v>
      </c>
      <c r="CS48">
        <f t="shared" si="22"/>
        <v>0</v>
      </c>
      <c r="CT48">
        <f t="shared" si="23"/>
        <v>0</v>
      </c>
      <c r="CU48">
        <f t="shared" si="24"/>
        <v>0</v>
      </c>
      <c r="CV48">
        <f t="shared" si="25"/>
        <v>0</v>
      </c>
      <c r="CW48">
        <f t="shared" si="26"/>
        <v>0.1</v>
      </c>
      <c r="CX48">
        <f t="shared" si="27"/>
        <v>9.5000000000000001E-2</v>
      </c>
      <c r="CY48">
        <f t="shared" si="28"/>
        <v>2</v>
      </c>
      <c r="CZ48" t="str">
        <f t="shared" si="29"/>
        <v>L2</v>
      </c>
      <c r="DA48" cm="1">
        <f t="array" ref="DA48">IFERROR(IF(BL48=2,_xlfn.IFS(BH48=3,VLOOKUP(BF48,Справочная_двигатели,3,FALSE),BH48=1,VLOOKUP(BF48,Справочная_двигатели,5,TRUE)),0),0)</f>
        <v>0</v>
      </c>
      <c r="DB48">
        <f>IFERROR(IF(BL48=3,VLOOKUP(BF48,Справочная_ЛЭД,2,TRUE),0),0)</f>
        <v>50</v>
      </c>
      <c r="DC48">
        <f t="shared" si="30"/>
        <v>50</v>
      </c>
      <c r="DD48" t="str">
        <f t="shared" si="31"/>
        <v>L2</v>
      </c>
      <c r="DE48" t="str" cm="1">
        <f t="array" ref="DE48">IF(D48="","",IFERROR(INDEX({"I особая","I","II","III"},MATCH(TRIM(AA48&amp;""),{"I особая","I","II","III"},0)),"III"))</f>
        <v>III</v>
      </c>
      <c r="DF48" t="str">
        <f>IF(D48="","",IF(TRIM(AB48&amp;"")&lt;&gt;"",IF(LOWER(TRIM(AB48&amp;""))="да","да","нет"),IF(IFERROR(_xlfn.XLOOKUP(AT48,Коды_код,Коды_пожарная),"")="да","да","нет")))</f>
        <v>нет</v>
      </c>
      <c r="DG48" t="str">
        <f t="shared" si="32"/>
        <v/>
      </c>
      <c r="DH48" t="str">
        <f t="shared" si="33"/>
        <v>основная</v>
      </c>
      <c r="DI48">
        <f t="shared" si="34"/>
        <v>1</v>
      </c>
      <c r="DJ48" t="str" cm="1">
        <f t="array" ref="DJ48">IF(D48="","",_xlfn.LET(_xlpm.t,IFERROR(_xlfn.XLOOKUP(1,(Шины[Шина]=DH48)*(((Шины[Щит]=A48)+(Шины[Щит]=""))&gt;0),Шины[Тип]),"")&amp;"",IF(_xlpm.t&lt;&gt;"",_xlpm.t,IF(ISNUMBER(SEARCH("ИБП",DH48)),"ИБП",IF(ISNUMBER(SEARCH("ДГУ",DH48)),"ДГУ","Ввод "&amp;DI48)))))</f>
        <v>Ввод 1</v>
      </c>
      <c r="DK48" t="str">
        <f t="shared" si="35"/>
        <v>Ввод 1</v>
      </c>
      <c r="DL48" t="str">
        <f>IF(D48="","",IF(OR(DJ48="ИБП",DJ48="ДГУ"),"I особая",IF(DJ48="Одиночная","III",_xlfn.XLOOKUP(A48,Щиты[Щит],Щиты[Категория шины «Ввод»],"III"))))</f>
        <v>II</v>
      </c>
      <c r="DM48">
        <f>IF(D48="",0,IFERROR(MATCH(DE48,{"III","II","I","I особая"},0),1))</f>
        <v>1</v>
      </c>
      <c r="DN48">
        <f t="shared" si="36"/>
        <v>1</v>
      </c>
      <c r="DO48" t="str">
        <f>IF(D48="","",IF(DM48&gt;IFERROR(MATCH(DL48,{"III","II","I","I особая"},0),1),"НЕ ОБЕСПЕЧЕНА","ОК"))</f>
        <v>ОК</v>
      </c>
      <c r="DP48" t="str">
        <f>IF(A48="","",_xlfn.XLOOKUP(A48,Щиты[Щит],Щиты[Путь],""))</f>
        <v>|ГРЩ-ЖД|ЩГП|ЩО-001|</v>
      </c>
      <c r="DQ48" t="str">
        <f>IF(D48="","",IF(Z48&lt;&gt;"",Z48,IF(IFERROR(_xlfn.XLOOKUP(AT48,Коды_код,Коды_вид)&amp;"","")="","Прочее",_xlfn.XLOOKUP(AT48,Коды_код,Коды_вид)&amp;"")))</f>
        <v>Рабочее освещение</v>
      </c>
      <c r="DR48" t="str">
        <f>IF(BD48="","",INT((BD48-1)/Столбцов_на_лист)+1)</f>
        <v/>
      </c>
      <c r="DS48" t="str">
        <f t="shared" si="37"/>
        <v>ВВГнг(А)-LS (3х1,5) L=63-0,36%</v>
      </c>
      <c r="DT48">
        <f t="shared" si="38"/>
        <v>0.1</v>
      </c>
      <c r="DU48">
        <f t="shared" si="39"/>
        <v>0.46</v>
      </c>
      <c r="DV48">
        <f t="shared" si="40"/>
        <v>1</v>
      </c>
      <c r="DW48">
        <f>IF(AT48="",0,_xlfn.LET(_xlpm.v,IFERROR(VLOOKUP(D48,УГО_спр,3,FALSE),IFERROR(VLOOKUP(AT48,УГО_спр,3,FALSE),IFERROR(VLOOKUP(LEFT(AT48,2),УГО_спр,3,FALSE),""))),IF(_xlpm.v="да",30,IF(ISNUMBER(_xlpm.v),_xlpm.v,0))))</f>
        <v>0</v>
      </c>
      <c r="DX48">
        <f t="shared" si="41"/>
        <v>0</v>
      </c>
      <c r="DY48" t="str">
        <f>IF(BD48="","",IF(AD48&lt;&gt;"",COUNTIFS(A$3:A48,A48,AD$3:AD48,"?*"),IF(OR(OR(AS48=1,A48&lt;&gt;A47),AL48="вручную"),"",IF(AS48=1,"",DZ47))))</f>
        <v/>
      </c>
      <c r="DZ48" t="str">
        <f t="shared" si="42"/>
        <v/>
      </c>
      <c r="EA48">
        <f>IF(D48="",0,MAX(IFERROR(--X48,0),IFERROR(--VLOOKUP(D48,УГО_спр,4,FALSE),IFERROR(--VLOOKUP(AT48,УГО_спр,4,FALSE),IFERROR(--VLOOKUP(LEFT(AT48,2),УГО_спр,4,FALSE),0)))))</f>
        <v>10</v>
      </c>
      <c r="EB48">
        <f>IF(D48="","",IFERROR(LOOKUP(INDEX(CHOOSE(BR48,Iдоп_1ж,Iдоп_2ж,Iдоп_3ж),MATCH(BS48,Iдоп_S,0))*BP48*BQ48,{6,10,16,20,25,32,40,50,63,80,100,125,160,200,250,315,400,500,630}),""))</f>
        <v>16</v>
      </c>
      <c r="EC48" t="str">
        <f>IF(AD48="","",SUMIFS(Линии[_Ток схемы],Линии[_гр.],DY48,Линии[Щит],A48,Линии[_в кабель выше],0))</f>
        <v/>
      </c>
      <c r="ED48" t="str">
        <f>IF(AD48="","",IFERROR(VLOOKUP(EC48,Автомат_номиналы,2,TRUE),""))</f>
        <v/>
      </c>
      <c r="EE48" t="str">
        <f>IF(AD48="","",MAX(N(ED48),_xlfn.MAXIFS(Линии[_мин. по типу],Линии[_гр.],DY48,Линии[Щит],A48)))</f>
        <v/>
      </c>
      <c r="EF48" t="str">
        <f>IF(AD48="","",_xlfn.MINIFS(Линии[_макс. автомат по кабелю],Линии[_гр.],DY48,Линии[Щит],A48))</f>
        <v/>
      </c>
      <c r="EG48" t="str">
        <f>IF(AD48="","",MAX(1,_xlfn.MAXIFS(Линии[_фаз],Линии[_гр.],DY48,Линии[Щит],A48)))</f>
        <v/>
      </c>
      <c r="EH48" t="str">
        <f>IF(AD48="","",IF(AND(AD48&lt;&gt;"авто",AD48&lt;&gt;"+"),IF(ISNUMBER(SEARCH("мА",AD48)),IFERROR(--TRIM(RIGHT(SUBSTITUTE(LEFT(AD48,SEARCH("мА",AD48)-1)," ",REPT(" ",9)),6)),30),0),IF(AE48="нет",0,IF(ISNUMBER(AE48),AE48,IF(AE48="да",30,_xlfn.MINIFS(Линии[_дифзащита по коду, мА],Линии[_гр.],DY48,Линии[Щит],A48,Линии[_дифзащита по коду, мА],"&gt;0"))))))</f>
        <v/>
      </c>
      <c r="EI48" t="str">
        <f t="shared" si="43"/>
        <v/>
      </c>
      <c r="EJ48" t="str">
        <f t="shared" si="44"/>
        <v/>
      </c>
      <c r="EK48" t="str">
        <f t="shared" si="45"/>
        <v/>
      </c>
      <c r="EL48" t="str">
        <f t="shared" si="46"/>
        <v/>
      </c>
      <c r="EM48">
        <f t="shared" si="47"/>
        <v>0</v>
      </c>
      <c r="EN48" t="str">
        <f>IF(AD48="","",IF(EM48=1,MAX(EE48,Мин_автомат_БП),EE48))</f>
        <v/>
      </c>
      <c r="EO48" t="str">
        <f t="shared" si="48"/>
        <v/>
      </c>
      <c r="EP48" t="str">
        <f t="shared" si="49"/>
        <v/>
      </c>
      <c r="EQ48" t="str">
        <f t="shared" si="50"/>
        <v/>
      </c>
      <c r="ER48" t="str">
        <f>IF(OR(AI48="",AI48="-"),"",IFERROR(VLOOKUP(AI48,Модули_спр,2,FALSE),"R"))</f>
        <v/>
      </c>
      <c r="ES48" t="str">
        <f>IF(ER48="","",ER48&amp;"."&amp;COUNTIFS(A$3:A48,A48,ER$3:ER48,ER48))</f>
        <v/>
      </c>
      <c r="ET48" t="str">
        <f t="shared" si="51"/>
        <v/>
      </c>
      <c r="EU48" t="str">
        <f t="shared" si="52"/>
        <v/>
      </c>
      <c r="EV48" t="str">
        <f t="shared" si="53"/>
        <v/>
      </c>
      <c r="EW48" t="str">
        <f t="shared" si="54"/>
        <v/>
      </c>
      <c r="EX48">
        <f t="shared" si="55"/>
        <v>1</v>
      </c>
      <c r="EY48" t="str">
        <f>IF(AK48="нет","",IF(AK48&lt;&gt;"",AK48,IF(EX48=1,"XT"&amp;COUNTIFS(A$3:A48,A48,EX$3:EX48,1),"")))</f>
        <v>XT17</v>
      </c>
      <c r="EZ48" t="str">
        <f t="shared" si="56"/>
        <v/>
      </c>
      <c r="FA48" t="str">
        <f t="shared" si="57"/>
        <v/>
      </c>
      <c r="FB48" t="str">
        <f t="shared" si="58"/>
        <v/>
      </c>
      <c r="FC48" t="str">
        <f>IF(OR(EV48="",ET48=""),"",IF(EV48&gt;IFERROR(VLOOKUP(EU48,Модули_спр,3,FALSE),99),"ЛИШНИЙ КАНАЛ",IF(AND(AJ48&lt;&gt;"=",COUNTIFS(Линии[_модуль гр.],ET48,Линии[Канал (итог)],EV48,Линии[Канал],"&lt;&gt;=",Линии[Щит],A48)&gt;1),"ДУБЛЬ КАНАЛА","")))</f>
        <v/>
      </c>
      <c r="FD48" t="str">
        <f t="shared" si="59"/>
        <v/>
      </c>
      <c r="FE48" t="str">
        <f t="shared" si="60"/>
        <v/>
      </c>
      <c r="FF48" t="str">
        <f t="shared" si="61"/>
        <v/>
      </c>
      <c r="FG48" t="str">
        <f t="shared" si="62"/>
        <v/>
      </c>
      <c r="FH48" t="str">
        <f t="shared" si="63"/>
        <v/>
      </c>
      <c r="FI48">
        <f t="shared" si="64"/>
        <v>10</v>
      </c>
      <c r="FJ48" t="str">
        <f t="shared" si="65"/>
        <v/>
      </c>
      <c r="FK48" t="str">
        <f>IF(AND(D48="",EZ48=""),"",_xlfn.TEXTJOIN("; ",TRUE,IF(AND(D48&lt;&gt;"",DD48=""),"нет фазы",""),IF(AND(D48&lt;&gt;"",N(DT48)=0,CN48&lt;&gt;"Нет"),"нет мощности",""),IF(AND(EY48&lt;&gt;"",COUNTIFS(Линии[Щит],A48,Линии[Клемма (итог)],EY48)&gt;1),"дубль клеммы "&amp;EY48,""),IF(AND(FB48&lt;&gt;"",FB48&lt;&gt;"ok"),FB48,""),IF(FC48&lt;&gt;"",FC48,""),IF(AND(ISNUMBER(SEARCH("(5х",DS48)),N(DV48)=1),"5 жил на 1 фазе",""),IF(AND(AT48="R",AD48&lt;&gt;"",OR(N(EH48)=0,N(EH48)&gt;30)),"розетка без дифзащиты до 30 мА",""),IFERROR(IF(AND(ISNUMBER(CD48),CD48&gt;CE48),"потери "&amp;FIXED(CD48,1)&amp;" % &gt; "&amp;CE48&amp;" %",""),""),IFERROR(IF(LEFT(FJ48,4)="мало","Iкз мало — отключение &gt; 0,4 с",""),""),IF(AND(D48&lt;&gt;"",BD48=""),"не на схеме","")))</f>
        <v>не на схеме</v>
      </c>
      <c r="FL48" t="str">
        <f>IF(AD48="","",_xlfn.LET(_xlpm.t,IFERROR(_xlfn.XLOOKUP(EP48,Каталог!$U$4:$U$500,Каталог!$G$4:$G$500),""),_xlpm.k,SEARCH("кА",_xlpm.t),IFERROR(--TRIM(RIGHT(SUBSTITUTE(MID(_xlpm.t,MAX(1,_xlpm.k-4),_xlpm.k-MAX(1,_xlpm.k-4))," ",REPT(" ",9)),5)),"")))</f>
        <v/>
      </c>
      <c r="FM48" t="str">
        <f>IF(OR(FL48="",AD48=""),"",IF(_xlfn.XLOOKUP(A48,Щиты[Щит],Щиты[Iкз max на шинах, кА],"")="","",IF(FL48&lt;_xlfn.XLOOKUP(A48,Щиты[Щит],Щиты[Iкз max на шинах, кА]),"Icu "&amp;FL48&amp;" кА &lt; Iкз max","ok")))</f>
        <v/>
      </c>
      <c r="FN48" t="str">
        <f t="shared" si="66"/>
        <v/>
      </c>
      <c r="FO48" t="str">
        <f t="shared" si="67"/>
        <v/>
      </c>
      <c r="FP48" t="str" cm="1">
        <f t="array" ref="FP48">IF(FO48="","",_xlfn.LET(_xlpm.nd,_xlfn.TEXTSPLIT(FO48,"|"),IF(COLUMNS(_xlpm.nd)&gt;1,A48&amp;"¦"&amp;INDEX(_xlpm.nd,1)&amp;"¦"&amp;INDEX(_xlpm.nd,2),"")))</f>
        <v/>
      </c>
      <c r="FQ48" t="str">
        <f t="shared" si="68"/>
        <v/>
      </c>
      <c r="FR48" t="str" cm="1">
        <f t="array" ref="FR48">IF(FO48="","",_xlfn.LET(_xlpm.nd,_xlfn.TEXTSPLIT(FO48,"|"),IF(COLUMNS(_xlpm.nd)&gt;2,A48&amp;"¦"&amp;INDEX(_xlpm.nd,2)&amp;"¦"&amp;INDEX(_xlpm.nd,3),"")))</f>
        <v/>
      </c>
      <c r="FS48" t="str">
        <f t="shared" si="69"/>
        <v/>
      </c>
      <c r="FT48" t="str" cm="1">
        <f t="array" ref="FT48">IF(FO48="","",_xlfn.LET(_xlpm.nd,_xlfn.TEXTSPLIT(FO48,"|"),IF(COLUMNS(_xlpm.nd)&gt;3,A48&amp;"¦"&amp;INDEX(_xlpm.nd,3)&amp;"¦"&amp;INDEX(_xlpm.nd,4),"")))</f>
        <v/>
      </c>
      <c r="FU48" t="str">
        <f t="shared" si="70"/>
        <v/>
      </c>
      <c r="FV48" t="str" cm="1">
        <f t="array" ref="FV48">IF(FO48="","",_xlfn.LET(_xlpm.nd,_xlfn.TEXTSPLIT(FO48,"|"),IF(COLUMNS(_xlpm.nd)&gt;4,A48&amp;"¦"&amp;INDEX(_xlpm.nd,4)&amp;"¦"&amp;INDEX(_xlpm.nd,5),"")))</f>
        <v/>
      </c>
      <c r="FW48" t="str">
        <f t="shared" si="71"/>
        <v/>
      </c>
      <c r="FX48" t="str" cm="1">
        <f t="array" ref="FX48">IF(FO48="","",_xlfn.LET(_xlpm.nd,_xlfn.TEXTSPLIT(FO48,"|"),IF(COLUMNS(_xlpm.nd)&gt;5,A48&amp;"¦"&amp;INDEX(_xlpm.nd,5)&amp;"¦"&amp;INDEX(_xlpm.nd,6),"")))</f>
        <v/>
      </c>
      <c r="FY48" t="str">
        <f t="shared" si="72"/>
        <v/>
      </c>
      <c r="FZ48" t="str" cm="1">
        <f t="array" ref="FZ48">IF(FO48="","",_xlfn.LET(_xlpm.nd,_xlfn.TEXTSPLIT(FO48,"|"),IF(COLUMNS(_xlpm.nd)&gt;6,A48&amp;"¦"&amp;INDEX(_xlpm.nd,6)&amp;"¦"&amp;INDEX(_xlpm.nd,7),"")))</f>
        <v/>
      </c>
      <c r="GA48" t="str">
        <f t="shared" si="73"/>
        <v/>
      </c>
      <c r="GB48" t="str">
        <f t="shared" si="74"/>
        <v/>
      </c>
      <c r="GC48" t="str">
        <f t="shared" si="75"/>
        <v>XT17</v>
      </c>
      <c r="GD48">
        <f t="shared" si="76"/>
        <v>0</v>
      </c>
      <c r="GE48">
        <f t="shared" si="77"/>
        <v>0</v>
      </c>
      <c r="GF48">
        <f t="shared" si="78"/>
        <v>0</v>
      </c>
      <c r="GG48" t="str">
        <f t="shared" si="79"/>
        <v/>
      </c>
      <c r="GH48" t="str">
        <f t="shared" si="80"/>
        <v/>
      </c>
      <c r="GI48" t="str">
        <f t="shared" si="81"/>
        <v/>
      </c>
      <c r="GJ48" t="str">
        <f t="shared" si="82"/>
        <v/>
      </c>
      <c r="GK48" t="str">
        <f>IF(D48="","",IFERROR(VLOOKUP(D48,УГО_спр,2,FALSE),IFERROR(VLOOKUP(AT48,УГО_спр,2,FALSE),IFERROR(VLOOKUP(LEFT(AT48,2),УГО_спр,2,FALSE),""))))</f>
        <v>Светильник</v>
      </c>
      <c r="GL48" t="str">
        <f>IF(D48="","",IF(OR(GK48="",GK48=0),"BOX",IFERROR(IF(VLOOKUP(GK48,УГО_блоки,3,FALSE)&amp;""&lt;&gt;"",VLOOKUP(GK48,УГО_блоки,3,FALSE),VLOOKUP(GK48,УГО_блоки,2,FALSE)),GK48)))</f>
        <v>LAMP</v>
      </c>
      <c r="GM48">
        <f t="shared" si="83"/>
        <v>1</v>
      </c>
      <c r="GN48" t="str">
        <f>IF(EP48="","",IF(COUNTIF(EP$3:EP48,EP48)=1,MAX(GN$2:GN47)+1,""))</f>
        <v/>
      </c>
      <c r="GO48" t="str">
        <f>IF(AF48="","",IF(COUNTIF(AF$3:AF48,AF48)+COUNTIF(AG$2:AG47,AF48)+COUNTIF(AH$2:AH47,AF48)=1,MAX(GO$2:GQ47)+1,""))</f>
        <v/>
      </c>
      <c r="GP48" t="str">
        <f>IF(AG48="","",IF(COUNTIF(AF$3:AF48,AG48)+COUNTIF(AG$3:AG48,AG48)+COUNTIF(AH$2:AH47,AG48)=1,MAX(GO$2:GQ47,GO48)+1,""))</f>
        <v/>
      </c>
      <c r="GQ48" t="str">
        <f>IF(AH48="","",IF(COUNTIF(AF$3:AF48,AH48)+COUNTIF(AG$3:AG48,AH48)+COUNTIF(AH$3:AH48,AH48)=1,MAX(GO$2:GQ47,GO48,GP48)+1,""))</f>
        <v/>
      </c>
      <c r="GR48" t="str">
        <f t="shared" si="84"/>
        <v>3х1,5</v>
      </c>
      <c r="GS48" t="str">
        <f>IF(GR48="","",IF(COUNTIF(GR$3:GR48,GR48)=1,MAX(GS$2:GS47)+1,""))</f>
        <v/>
      </c>
      <c r="GT48" t="str">
        <f>IF(ES48="","",COUNTIF(ES$3:ES48,"?*"))</f>
        <v/>
      </c>
      <c r="GU48" t="str">
        <f>IF(OR(ES48="",EU48=""),"",IF(COUNTIFS(ES$3:ES48,"?*",EU$3:EU48,EU48)=1,MAX(GU$2:GU47)+1,""))</f>
        <v/>
      </c>
      <c r="GV48">
        <f t="shared" si="85"/>
        <v>1</v>
      </c>
      <c r="GW48">
        <f>IF(D48="","",COUNTIF(D$3:D48,"?*"))</f>
        <v>46</v>
      </c>
      <c r="GX48">
        <f>IF(EX48&lt;&gt;1,0,_xlfn.LET(_xlpm.k,MAX(IFERROR(--VLOOKUP(D48,УГО_спр,5,FALSE),0),IFERROR(--VLOOKUP(AT48,УГО_спр,5,FALSE),0),IFERROR(--VLOOKUP(LEFT(AT48,2),УГО_спр,5,FALSE),0)),IF(_xlpm.k&gt;0,_xlpm.k,IF(IFERROR(--LEFT(SUBSTITUTE(GR48,"x","х"),FIND("х",SUBSTITUTE(GR48,"x","х"))-1),3)&gt;3,Каталог!$S$9,1))))</f>
        <v>1</v>
      </c>
      <c r="GY48">
        <f t="shared" si="86"/>
        <v>0</v>
      </c>
    </row>
    <row r="49" spans="1:207" x14ac:dyDescent="0.3">
      <c r="A49" t="s">
        <v>1146</v>
      </c>
      <c r="B49" t="s">
        <v>531</v>
      </c>
      <c r="C49" t="str">
        <f>IF(BD49="","",IF(BE49="вводной узел","узел ","")&amp;"л."&amp;(INT((BD49-1)/Столбцов_на_лист)+1)&amp;" / "&amp;(MOD(BD49-1,Столбцов_на_лист)+1))</f>
        <v/>
      </c>
      <c r="D49" t="s">
        <v>1322</v>
      </c>
      <c r="E49" s="133" t="str">
        <f t="shared" si="87"/>
        <v>Осветительная группа Подвальный этаж Пом. №009Б</v>
      </c>
      <c r="G49">
        <v>0.1</v>
      </c>
      <c r="H49">
        <v>3</v>
      </c>
      <c r="I49">
        <v>1</v>
      </c>
      <c r="J49">
        <v>230</v>
      </c>
      <c r="K49" t="s">
        <v>566</v>
      </c>
      <c r="P49">
        <v>28</v>
      </c>
      <c r="Q49">
        <v>6</v>
      </c>
      <c r="R49">
        <v>0</v>
      </c>
      <c r="S49">
        <v>31</v>
      </c>
      <c r="U49" t="s">
        <v>11</v>
      </c>
      <c r="V49">
        <v>3</v>
      </c>
      <c r="W49">
        <v>1.5</v>
      </c>
      <c r="Z49" t="s">
        <v>559</v>
      </c>
      <c r="AR49" t="str">
        <f t="shared" si="0"/>
        <v>не на схеме</v>
      </c>
      <c r="AS49" cm="1">
        <f t="array" ref="AS49">ROW()-ROW(Линии[#Headers])</f>
        <v>47</v>
      </c>
      <c r="AT49" t="str">
        <f t="shared" si="1"/>
        <v>L</v>
      </c>
      <c r="AU49" t="str">
        <f t="shared" si="2"/>
        <v>00.009Б.1</v>
      </c>
      <c r="AV49" t="str">
        <f t="shared" si="3"/>
        <v>00</v>
      </c>
      <c r="AW49" t="str">
        <f t="shared" si="4"/>
        <v>009Б.1</v>
      </c>
      <c r="AX49" t="str">
        <f t="shared" si="5"/>
        <v>009Б</v>
      </c>
      <c r="AY49" t="str">
        <f>IF(D49="","",IF(ISERROR(SEARCH(".",D49)),IFERROR(VLOOKUP(D49,Потребители_обозначение,2,FALSE)&amp;"",""),IFERROR(IF(VLOOKUP(AT49,Потребители_обозначение,4,FALSE)=1,VLOOKUP(AT49,Потребители_обозначение,2,FALSE)&amp;" "&amp;VLOOKUP(AV49,Этаж_обозначение,2,FALSE)&amp;" Пом. №"&amp;AX49,VLOOKUP(AT49,Потребители_обозначение,2,FALSE)&amp;" Шлейф №"&amp;AV49),IFERROR(VLOOKUP(D49,Потребители_обозначение,2,FALSE),""))))</f>
        <v>Осветительная группа Подвальный этаж Пом. №009Б</v>
      </c>
      <c r="AZ49" t="str">
        <f t="shared" si="6"/>
        <v>Осветительная группа Подвальный этаж Пом. №009Б</v>
      </c>
      <c r="BA49" t="str">
        <f>IF(F49&lt;&gt;"",F49,IF(AND(D49&lt;&gt;"",D49&lt;&gt;A49,ISNUMBER(_xlfn.XMATCH(D49,Щиты[Щит]))),D49,""))</f>
        <v/>
      </c>
      <c r="BB49">
        <f>IFERROR(_xlfn.XMATCH(A49,Щиты[Щит]),0)</f>
        <v>3</v>
      </c>
      <c r="BC49">
        <f>IFERROR(N(_xlfn.XLOOKUP(A49,Щиты[Щит],Щиты[Мест под вводной узел])),15)</f>
        <v>15</v>
      </c>
      <c r="BD49" t="str">
        <f t="shared" si="7"/>
        <v/>
      </c>
      <c r="BE49" t="str">
        <f t="shared" si="8"/>
        <v/>
      </c>
      <c r="BF49">
        <f>IF(D49="","",IF(BA49&lt;&gt;"",IFERROR(_xlfn.XLOOKUP(BA49,Щиты[Щит],Щиты[Руст, кВт]),0),N(G49)))</f>
        <v>0.1</v>
      </c>
      <c r="BG49">
        <f>IF(J49&lt;&gt;"",J49,IF(D49="","",IFERROR(IF(VLOOKUP(AT49,Потребители_обозначение,8,FALSE)=0,"",VLOOKUP(AT49,Потребители_обозначение,8,FALSE)),"")))</f>
        <v>230</v>
      </c>
      <c r="BH49">
        <f>IF(I49&lt;&gt;"",I49,IF(D49="","",IFERROR(IF(VLOOKUP(AT49,Потребители_обозначение,9,FALSE)=0,"",VLOOKUP(AT49,Потребители_обозначение,9,FALSE)),"")))</f>
        <v>1</v>
      </c>
      <c r="BI49" t="str">
        <f>IF(U49&lt;&gt;"",U49,IF(D49="","",IFERROR(IF(VLOOKUP(AT49,Потребители_обозначение,6,FALSE)=0,"",VLOOKUP(AT49,Потребители_обозначение,6,FALSE)),"")))</f>
        <v>мс</v>
      </c>
      <c r="BJ49">
        <f>IF(V49&lt;&gt;"",V49,IF(D49="","",IFERROR(IF(VLOOKUP(AT49,Потребители_обозначение,7,FALSE)=0,"",VLOOKUP(AT49,Потребители_обозначение,7,FALSE)),"")))</f>
        <v>3</v>
      </c>
      <c r="BK49">
        <f>IF(W49&lt;&gt;"",W49,IF(D49="","",IFERROR(IF(VLOOKUP(AT49,Потребители_обозначение,10,FALSE)=0,"",VLOOKUP(AT49,Потребители_обозначение,10,FALSE)),"")))</f>
        <v>1.5</v>
      </c>
      <c r="BL49">
        <f>IFERROR(VLOOKUP(AT49,Потребители_обозначение,5,FALSE),0)</f>
        <v>3</v>
      </c>
      <c r="BM49" cm="1">
        <f t="array" ref="BM49">IF(D49="","",IF(BA49&lt;&gt;"",IFERROR(_xlfn.XLOOKUP(BA49,Щиты[Щит],Щиты[cos φ]),0.95),IF(ISNUMBER(M49),M49,IFERROR(IF(BL49=2,_xlfn.IFS(BH49=3,VLOOKUP(BF49,Справочная_двигатели,8,FALSE),BH49=1,VLOOKUP(BF49,Справочная_двигатели,10,TRUE)),IF(AND(Методика="нормы 2026",CN49="Сил"),0.8,0.95)),0.95))))</f>
        <v>0.95</v>
      </c>
      <c r="BN49" cm="1">
        <f t="array" ref="BN49">IF(D49="","",IF(BA49&lt;&gt;"",IFERROR(_xlfn.XLOOKUP(BA49,Щиты[Щит],Щиты[Iр, А]),""),IFERROR(_xlfn.IFS(BH49=1,BF49/((Uн_лин/SQRT(3))*BM49),BH49=3,BF49/(SQRT(3)*Uн_лин*BM49)),"")))</f>
        <v>0.455802844097073</v>
      </c>
      <c r="BO49">
        <f>IF(D49="","",IF(N(X49)=0,IFERROR(VLOOKUP(BN49,Автомат_номиналы,2,TRUE),""),X49))</f>
        <v>6</v>
      </c>
      <c r="BP49">
        <f t="shared" si="9"/>
        <v>1</v>
      </c>
      <c r="BQ49">
        <f>IF(ISNUMBER(Y49),Y49,К_прокл)</f>
        <v>1</v>
      </c>
      <c r="BR49">
        <f t="shared" si="10"/>
        <v>2</v>
      </c>
      <c r="BS49" cm="1">
        <f t="array" ref="BS49">IF(D49="","",IF(N(BK49)&lt;&gt;0,BK49,IFERROR(_xlfn.LET(_xlpm.need,BO49/(BP49*BQ49),_xlpm.t,CHOOSE(BR49,Iдоп_1ж,Iдоп_2ж,Iдоп_3ж),_xlpm.k,_xlfn.XMATCH(_xlpm.need,_xlpm.t,1),IF(ISNA(_xlpm.k),"Не исп",INDEX(Iдоп_S,_xlpm.k))),"Не исп")))</f>
        <v>1.5</v>
      </c>
      <c r="BT49">
        <f>IFERROR(VLOOKUP(BS49,Кабель_сопротивление,3,FALSE),"")</f>
        <v>2.2499999999999999E-2</v>
      </c>
      <c r="BU49">
        <f>IFERROR(VLOOKUP(BS49,Кабель_сопротивление,2,FALSE),"")</f>
        <v>0.11</v>
      </c>
      <c r="BV49">
        <f t="shared" si="11"/>
        <v>28</v>
      </c>
      <c r="BW49">
        <f>IF(D49="","",IFERROR(IF(VLOOKUP(AT49,Потребители_обозначение,4,FALSE)=1,VLOOKUP(AT49,Потребители_обозначение,3,FALSE)*(H49*2-1)+BV49+VLOOKUP(AV49,Этаж_обозначение,3,FALSE)+VLOOKUP(AV49,Этаж_обозначение,4,FALSE),VLOOKUP(AT49,Потребители_обозначение,3,FALSE)*(H49*2-1)+BV49),BV49))</f>
        <v>33</v>
      </c>
      <c r="BX49">
        <f t="shared" si="12"/>
        <v>0</v>
      </c>
      <c r="BY49">
        <f t="shared" si="13"/>
        <v>31</v>
      </c>
      <c r="BZ49">
        <f t="shared" si="14"/>
        <v>2</v>
      </c>
      <c r="CA49">
        <f t="shared" si="15"/>
        <v>0.31</v>
      </c>
      <c r="CB49">
        <f t="shared" si="16"/>
        <v>0.42970840475422195</v>
      </c>
      <c r="CC49">
        <f>IFERROR(ROUNDUP(CB49/((Uн_лин/SQRT(3))*1000)*100,2),"")</f>
        <v>0.19</v>
      </c>
      <c r="CD49">
        <f>IF(ISNUMBER(CC49),CC49+IFERROR(_xlfn.XLOOKUP(A49,Щиты[Щит],Щиты[ΔU до шин, %]),0),"")</f>
        <v>0.36</v>
      </c>
      <c r="CE49">
        <f>IF(D49="","",IF(IFERROR(VLOOKUP(AT49,УГО_спр,2,FALSE),"")="Светильник",3,4)+IF(Методика="нормы 2026",MIN(0.5,MAX(0,N(BW49)-100)*0.005),0))</f>
        <v>3</v>
      </c>
      <c r="CF49" t="str">
        <f>IFERROR(VLOOKUP(BI49,Кабель_обозначение,2,FALSE),"")</f>
        <v>ВВГнг(А)-LS</v>
      </c>
      <c r="CG49" t="str">
        <f>IFERROR(IF(VLOOKUP(BI49,Кабель_обозначение,3,FALSE)=1,CF49&amp;" ("&amp;BJ49&amp;"х"&amp;BS49&amp;")",CF49),"")</f>
        <v>ВВГнг(А)-LS (3х1,5)</v>
      </c>
      <c r="CH49" t="str">
        <f t="shared" si="17"/>
        <v>ВВГнг(А)-LS (3х1,5)
L=33-0,19%</v>
      </c>
      <c r="CI49">
        <f>IFERROR(2*ρкз_Cu*BW49/BS49,"")</f>
        <v>1.1572</v>
      </c>
      <c r="CJ49">
        <f t="shared" si="18"/>
        <v>0.38500000000000001</v>
      </c>
      <c r="CK49" t="str">
        <f>IFERROR(IF(OR(D49="",NOT(ISNUMBER(BS49)),N(BW49)=0),"",_xlfn.XLOOKUP(A49,Щиты[Щит],Щиты[Zпетли на шинах, Ом])+CI49),"")</f>
        <v/>
      </c>
      <c r="CL49" t="str">
        <f>IF(ISNUMBER(CK49),c_min*(Uн_лин*1000/SQRT(3))/CK49,"")</f>
        <v/>
      </c>
      <c r="CM49" t="str">
        <f>IFERROR(IF(OR(D49="",NOT(ISNUMBER(BS49))),"",1.05*(Uн_лин*1000/SQRT(3))/(_xlfn.XLOOKUP(A49,Щиты[Щит],Щиты[Zmax на шинах, Ом])+CJ49)/1000),"")</f>
        <v/>
      </c>
      <c r="CN49" t="str">
        <f>IF(D49="","",IF(BA49&lt;&gt;"","Щит",IF(K49&lt;&gt;"",K49,IF(ISNUMBER(L49),"Сил",IF(IFERROR(_xlfn.XLOOKUP(AT49,Коды_код,Коды_группа)&amp;"","")="","Быт",_xlfn.XLOOKUP(AT49,Коды_код,Коды_группа)&amp;"")))))</f>
        <v>Быт</v>
      </c>
      <c r="CO49">
        <f>IF(CN49="Щит","щит",IF(CN49="","",IF(CN49="Быт",IFERROR(_xlfn.XLOOKUP(A49,Щиты[Щит],Щиты[Кс быт]),1),IF(CN49="Сил",IF(ISNUMBER(L49),L49,IF(Методика="нормы 2026",IFERROR(_xlfn.XLOOKUP(A49,Щиты[Щит],Щиты[Кс силовых (табл. 7.5)]),1),1)),IF(OR(CN49="Пост",CN49="Отоп"),1,IF(CN49="ВНГ",0.7,0))))))</f>
        <v>0.8</v>
      </c>
      <c r="CP49">
        <f t="shared" si="19"/>
        <v>1</v>
      </c>
      <c r="CQ49">
        <f t="shared" si="20"/>
        <v>0.1</v>
      </c>
      <c r="CR49">
        <f t="shared" si="21"/>
        <v>0.1</v>
      </c>
      <c r="CS49">
        <f t="shared" si="22"/>
        <v>0</v>
      </c>
      <c r="CT49">
        <f t="shared" si="23"/>
        <v>0</v>
      </c>
      <c r="CU49">
        <f t="shared" si="24"/>
        <v>0</v>
      </c>
      <c r="CV49">
        <f t="shared" si="25"/>
        <v>0</v>
      </c>
      <c r="CW49">
        <f t="shared" si="26"/>
        <v>0.1</v>
      </c>
      <c r="CX49">
        <f t="shared" si="27"/>
        <v>9.5000000000000001E-2</v>
      </c>
      <c r="CY49">
        <f t="shared" si="28"/>
        <v>3</v>
      </c>
      <c r="CZ49" t="str">
        <f t="shared" si="29"/>
        <v>L3</v>
      </c>
      <c r="DA49" cm="1">
        <f t="array" ref="DA49">IFERROR(IF(BL49=2,_xlfn.IFS(BH49=3,VLOOKUP(BF49,Справочная_двигатели,3,FALSE),BH49=1,VLOOKUP(BF49,Справочная_двигатели,5,TRUE)),0),0)</f>
        <v>0</v>
      </c>
      <c r="DB49">
        <f>IFERROR(IF(BL49=3,VLOOKUP(BF49,Справочная_ЛЭД,2,TRUE),0),0)</f>
        <v>50</v>
      </c>
      <c r="DC49">
        <f t="shared" si="30"/>
        <v>50</v>
      </c>
      <c r="DD49" t="str">
        <f t="shared" si="31"/>
        <v>L3</v>
      </c>
      <c r="DE49" t="str" cm="1">
        <f t="array" ref="DE49">IF(D49="","",IFERROR(INDEX({"I особая","I","II","III"},MATCH(TRIM(AA49&amp;""),{"I особая","I","II","III"},0)),"III"))</f>
        <v>III</v>
      </c>
      <c r="DF49" t="str">
        <f>IF(D49="","",IF(TRIM(AB49&amp;"")&lt;&gt;"",IF(LOWER(TRIM(AB49&amp;""))="да","да","нет"),IF(IFERROR(_xlfn.XLOOKUP(AT49,Коды_код,Коды_пожарная),"")="да","да","нет")))</f>
        <v>нет</v>
      </c>
      <c r="DG49" t="str">
        <f t="shared" si="32"/>
        <v/>
      </c>
      <c r="DH49" t="str">
        <f t="shared" si="33"/>
        <v>основная</v>
      </c>
      <c r="DI49">
        <f t="shared" si="34"/>
        <v>1</v>
      </c>
      <c r="DJ49" t="str" cm="1">
        <f t="array" ref="DJ49">IF(D49="","",_xlfn.LET(_xlpm.t,IFERROR(_xlfn.XLOOKUP(1,(Шины[Шина]=DH49)*(((Шины[Щит]=A49)+(Шины[Щит]=""))&gt;0),Шины[Тип]),"")&amp;"",IF(_xlpm.t&lt;&gt;"",_xlpm.t,IF(ISNUMBER(SEARCH("ИБП",DH49)),"ИБП",IF(ISNUMBER(SEARCH("ДГУ",DH49)),"ДГУ","Ввод "&amp;DI49)))))</f>
        <v>Ввод 1</v>
      </c>
      <c r="DK49" t="str">
        <f t="shared" si="35"/>
        <v>Ввод 1</v>
      </c>
      <c r="DL49" t="str">
        <f>IF(D49="","",IF(OR(DJ49="ИБП",DJ49="ДГУ"),"I особая",IF(DJ49="Одиночная","III",_xlfn.XLOOKUP(A49,Щиты[Щит],Щиты[Категория шины «Ввод»],"III"))))</f>
        <v>II</v>
      </c>
      <c r="DM49">
        <f>IF(D49="",0,IFERROR(MATCH(DE49,{"III","II","I","I особая"},0),1))</f>
        <v>1</v>
      </c>
      <c r="DN49">
        <f t="shared" si="36"/>
        <v>1</v>
      </c>
      <c r="DO49" t="str">
        <f>IF(D49="","",IF(DM49&gt;IFERROR(MATCH(DL49,{"III","II","I","I особая"},0),1),"НЕ ОБЕСПЕЧЕНА","ОК"))</f>
        <v>ОК</v>
      </c>
      <c r="DP49" t="str">
        <f>IF(A49="","",_xlfn.XLOOKUP(A49,Щиты[Щит],Щиты[Путь],""))</f>
        <v>|ГРЩ-ЖД|ЩГП|ЩО-001|</v>
      </c>
      <c r="DQ49" t="str">
        <f>IF(D49="","",IF(Z49&lt;&gt;"",Z49,IF(IFERROR(_xlfn.XLOOKUP(AT49,Коды_код,Коды_вид)&amp;"","")="","Прочее",_xlfn.XLOOKUP(AT49,Коды_код,Коды_вид)&amp;"")))</f>
        <v>Рабочее освещение</v>
      </c>
      <c r="DR49" t="str">
        <f>IF(BD49="","",INT((BD49-1)/Столбцов_на_лист)+1)</f>
        <v/>
      </c>
      <c r="DS49" t="str">
        <f t="shared" si="37"/>
        <v>ВВГнг(А)-LS (3х1,5) L=33-0,19%</v>
      </c>
      <c r="DT49">
        <f t="shared" si="38"/>
        <v>0.1</v>
      </c>
      <c r="DU49">
        <f t="shared" si="39"/>
        <v>0.46</v>
      </c>
      <c r="DV49">
        <f t="shared" si="40"/>
        <v>1</v>
      </c>
      <c r="DW49">
        <f>IF(AT49="",0,_xlfn.LET(_xlpm.v,IFERROR(VLOOKUP(D49,УГО_спр,3,FALSE),IFERROR(VLOOKUP(AT49,УГО_спр,3,FALSE),IFERROR(VLOOKUP(LEFT(AT49,2),УГО_спр,3,FALSE),""))),IF(_xlpm.v="да",30,IF(ISNUMBER(_xlpm.v),_xlpm.v,0))))</f>
        <v>0</v>
      </c>
      <c r="DX49">
        <f t="shared" si="41"/>
        <v>0</v>
      </c>
      <c r="DY49" t="str">
        <f>IF(BD49="","",IF(AD49&lt;&gt;"",COUNTIFS(A$3:A49,A49,AD$3:AD49,"?*"),IF(OR(OR(AS49=1,A49&lt;&gt;A48),AL49="вручную"),"",IF(AS49=1,"",DZ48))))</f>
        <v/>
      </c>
      <c r="DZ49" t="str">
        <f t="shared" si="42"/>
        <v/>
      </c>
      <c r="EA49">
        <f>IF(D49="",0,MAX(IFERROR(--X49,0),IFERROR(--VLOOKUP(D49,УГО_спр,4,FALSE),IFERROR(--VLOOKUP(AT49,УГО_спр,4,FALSE),IFERROR(--VLOOKUP(LEFT(AT49,2),УГО_спр,4,FALSE),0)))))</f>
        <v>10</v>
      </c>
      <c r="EB49">
        <f>IF(D49="","",IFERROR(LOOKUP(INDEX(CHOOSE(BR49,Iдоп_1ж,Iдоп_2ж,Iдоп_3ж),MATCH(BS49,Iдоп_S,0))*BP49*BQ49,{6,10,16,20,25,32,40,50,63,80,100,125,160,200,250,315,400,500,630}),""))</f>
        <v>16</v>
      </c>
      <c r="EC49" t="str">
        <f>IF(AD49="","",SUMIFS(Линии[_Ток схемы],Линии[_гр.],DY49,Линии[Щит],A49,Линии[_в кабель выше],0))</f>
        <v/>
      </c>
      <c r="ED49" t="str">
        <f>IF(AD49="","",IFERROR(VLOOKUP(EC49,Автомат_номиналы,2,TRUE),""))</f>
        <v/>
      </c>
      <c r="EE49" t="str">
        <f>IF(AD49="","",MAX(N(ED49),_xlfn.MAXIFS(Линии[_мин. по типу],Линии[_гр.],DY49,Линии[Щит],A49)))</f>
        <v/>
      </c>
      <c r="EF49" t="str">
        <f>IF(AD49="","",_xlfn.MINIFS(Линии[_макс. автомат по кабелю],Линии[_гр.],DY49,Линии[Щит],A49))</f>
        <v/>
      </c>
      <c r="EG49" t="str">
        <f>IF(AD49="","",MAX(1,_xlfn.MAXIFS(Линии[_фаз],Линии[_гр.],DY49,Линии[Щит],A49)))</f>
        <v/>
      </c>
      <c r="EH49" t="str">
        <f>IF(AD49="","",IF(AND(AD49&lt;&gt;"авто",AD49&lt;&gt;"+"),IF(ISNUMBER(SEARCH("мА",AD49)),IFERROR(--TRIM(RIGHT(SUBSTITUTE(LEFT(AD49,SEARCH("мА",AD49)-1)," ",REPT(" ",9)),6)),30),0),IF(AE49="нет",0,IF(ISNUMBER(AE49),AE49,IF(AE49="да",30,_xlfn.MINIFS(Линии[_дифзащита по коду, мА],Линии[_гр.],DY49,Линии[Щит],A49,Линии[_дифзащита по коду, мА],"&gt;0"))))))</f>
        <v/>
      </c>
      <c r="EI49" t="str">
        <f t="shared" si="43"/>
        <v/>
      </c>
      <c r="EJ49" t="str">
        <f t="shared" si="44"/>
        <v/>
      </c>
      <c r="EK49" t="str">
        <f t="shared" si="45"/>
        <v/>
      </c>
      <c r="EL49" t="str">
        <f t="shared" si="46"/>
        <v/>
      </c>
      <c r="EM49">
        <f t="shared" si="47"/>
        <v>0</v>
      </c>
      <c r="EN49" t="str">
        <f>IF(AD49="","",IF(EM49=1,MAX(EE49,Мин_автомат_БП),EE49))</f>
        <v/>
      </c>
      <c r="EO49" t="str">
        <f t="shared" si="48"/>
        <v/>
      </c>
      <c r="EP49" t="str">
        <f t="shared" si="49"/>
        <v/>
      </c>
      <c r="EQ49" t="str">
        <f t="shared" si="50"/>
        <v/>
      </c>
      <c r="ER49" t="str">
        <f>IF(OR(AI49="",AI49="-"),"",IFERROR(VLOOKUP(AI49,Модули_спр,2,FALSE),"R"))</f>
        <v/>
      </c>
      <c r="ES49" t="str">
        <f>IF(ER49="","",ER49&amp;"."&amp;COUNTIFS(A$3:A49,A49,ER$3:ER49,ER49))</f>
        <v/>
      </c>
      <c r="ET49" t="str">
        <f t="shared" si="51"/>
        <v/>
      </c>
      <c r="EU49" t="str">
        <f t="shared" si="52"/>
        <v/>
      </c>
      <c r="EV49" t="str">
        <f t="shared" si="53"/>
        <v/>
      </c>
      <c r="EW49" t="str">
        <f t="shared" si="54"/>
        <v/>
      </c>
      <c r="EX49">
        <f t="shared" si="55"/>
        <v>1</v>
      </c>
      <c r="EY49" t="str">
        <f>IF(AK49="нет","",IF(AK49&lt;&gt;"",AK49,IF(EX49=1,"XT"&amp;COUNTIFS(A$3:A49,A49,EX$3:EX49,1),"")))</f>
        <v>XT18</v>
      </c>
      <c r="EZ49" t="str">
        <f t="shared" si="56"/>
        <v/>
      </c>
      <c r="FA49" t="str">
        <f t="shared" si="57"/>
        <v/>
      </c>
      <c r="FB49" t="str">
        <f t="shared" si="58"/>
        <v/>
      </c>
      <c r="FC49" t="str">
        <f>IF(OR(EV49="",ET49=""),"",IF(EV49&gt;IFERROR(VLOOKUP(EU49,Модули_спр,3,FALSE),99),"ЛИШНИЙ КАНАЛ",IF(AND(AJ49&lt;&gt;"=",COUNTIFS(Линии[_модуль гр.],ET49,Линии[Канал (итог)],EV49,Линии[Канал],"&lt;&gt;=",Линии[Щит],A49)&gt;1),"ДУБЛЬ КАНАЛА","")))</f>
        <v/>
      </c>
      <c r="FD49" t="str">
        <f t="shared" si="59"/>
        <v/>
      </c>
      <c r="FE49" t="str">
        <f t="shared" si="60"/>
        <v/>
      </c>
      <c r="FF49" t="str">
        <f t="shared" si="61"/>
        <v/>
      </c>
      <c r="FG49" t="str">
        <f t="shared" si="62"/>
        <v/>
      </c>
      <c r="FH49" t="str">
        <f t="shared" si="63"/>
        <v/>
      </c>
      <c r="FI49">
        <f t="shared" si="64"/>
        <v>10</v>
      </c>
      <c r="FJ49" t="str">
        <f t="shared" si="65"/>
        <v/>
      </c>
      <c r="FK49" t="str">
        <f>IF(AND(D49="",EZ49=""),"",_xlfn.TEXTJOIN("; ",TRUE,IF(AND(D49&lt;&gt;"",DD49=""),"нет фазы",""),IF(AND(D49&lt;&gt;"",N(DT49)=0,CN49&lt;&gt;"Нет"),"нет мощности",""),IF(AND(EY49&lt;&gt;"",COUNTIFS(Линии[Щит],A49,Линии[Клемма (итог)],EY49)&gt;1),"дубль клеммы "&amp;EY49,""),IF(AND(FB49&lt;&gt;"",FB49&lt;&gt;"ok"),FB49,""),IF(FC49&lt;&gt;"",FC49,""),IF(AND(ISNUMBER(SEARCH("(5х",DS49)),N(DV49)=1),"5 жил на 1 фазе",""),IF(AND(AT49="R",AD49&lt;&gt;"",OR(N(EH49)=0,N(EH49)&gt;30)),"розетка без дифзащиты до 30 мА",""),IFERROR(IF(AND(ISNUMBER(CD49),CD49&gt;CE49),"потери "&amp;FIXED(CD49,1)&amp;" % &gt; "&amp;CE49&amp;" %",""),""),IFERROR(IF(LEFT(FJ49,4)="мало","Iкз мало — отключение &gt; 0,4 с",""),""),IF(AND(D49&lt;&gt;"",BD49=""),"не на схеме","")))</f>
        <v>не на схеме</v>
      </c>
      <c r="FL49" t="str">
        <f>IF(AD49="","",_xlfn.LET(_xlpm.t,IFERROR(_xlfn.XLOOKUP(EP49,Каталог!$U$4:$U$500,Каталог!$G$4:$G$500),""),_xlpm.k,SEARCH("кА",_xlpm.t),IFERROR(--TRIM(RIGHT(SUBSTITUTE(MID(_xlpm.t,MAX(1,_xlpm.k-4),_xlpm.k-MAX(1,_xlpm.k-4))," ",REPT(" ",9)),5)),"")))</f>
        <v/>
      </c>
      <c r="FM49" t="str">
        <f>IF(OR(FL49="",AD49=""),"",IF(_xlfn.XLOOKUP(A49,Щиты[Щит],Щиты[Iкз max на шинах, кА],"")="","",IF(FL49&lt;_xlfn.XLOOKUP(A49,Щиты[Щит],Щиты[Iкз max на шинах, кА]),"Icu "&amp;FL49&amp;" кА &lt; Iкз max","ok")))</f>
        <v/>
      </c>
      <c r="FN49" t="str">
        <f t="shared" si="66"/>
        <v/>
      </c>
      <c r="FO49" t="str">
        <f t="shared" si="67"/>
        <v/>
      </c>
      <c r="FP49" t="str" cm="1">
        <f t="array" ref="FP49">IF(FO49="","",_xlfn.LET(_xlpm.nd,_xlfn.TEXTSPLIT(FO49,"|"),IF(COLUMNS(_xlpm.nd)&gt;1,A49&amp;"¦"&amp;INDEX(_xlpm.nd,1)&amp;"¦"&amp;INDEX(_xlpm.nd,2),"")))</f>
        <v/>
      </c>
      <c r="FQ49" t="str">
        <f t="shared" si="68"/>
        <v/>
      </c>
      <c r="FR49" t="str" cm="1">
        <f t="array" ref="FR49">IF(FO49="","",_xlfn.LET(_xlpm.nd,_xlfn.TEXTSPLIT(FO49,"|"),IF(COLUMNS(_xlpm.nd)&gt;2,A49&amp;"¦"&amp;INDEX(_xlpm.nd,2)&amp;"¦"&amp;INDEX(_xlpm.nd,3),"")))</f>
        <v/>
      </c>
      <c r="FS49" t="str">
        <f t="shared" si="69"/>
        <v/>
      </c>
      <c r="FT49" t="str" cm="1">
        <f t="array" ref="FT49">IF(FO49="","",_xlfn.LET(_xlpm.nd,_xlfn.TEXTSPLIT(FO49,"|"),IF(COLUMNS(_xlpm.nd)&gt;3,A49&amp;"¦"&amp;INDEX(_xlpm.nd,3)&amp;"¦"&amp;INDEX(_xlpm.nd,4),"")))</f>
        <v/>
      </c>
      <c r="FU49" t="str">
        <f t="shared" si="70"/>
        <v/>
      </c>
      <c r="FV49" t="str" cm="1">
        <f t="array" ref="FV49">IF(FO49="","",_xlfn.LET(_xlpm.nd,_xlfn.TEXTSPLIT(FO49,"|"),IF(COLUMNS(_xlpm.nd)&gt;4,A49&amp;"¦"&amp;INDEX(_xlpm.nd,4)&amp;"¦"&amp;INDEX(_xlpm.nd,5),"")))</f>
        <v/>
      </c>
      <c r="FW49" t="str">
        <f t="shared" si="71"/>
        <v/>
      </c>
      <c r="FX49" t="str" cm="1">
        <f t="array" ref="FX49">IF(FO49="","",_xlfn.LET(_xlpm.nd,_xlfn.TEXTSPLIT(FO49,"|"),IF(COLUMNS(_xlpm.nd)&gt;5,A49&amp;"¦"&amp;INDEX(_xlpm.nd,5)&amp;"¦"&amp;INDEX(_xlpm.nd,6),"")))</f>
        <v/>
      </c>
      <c r="FY49" t="str">
        <f t="shared" si="72"/>
        <v/>
      </c>
      <c r="FZ49" t="str" cm="1">
        <f t="array" ref="FZ49">IF(FO49="","",_xlfn.LET(_xlpm.nd,_xlfn.TEXTSPLIT(FO49,"|"),IF(COLUMNS(_xlpm.nd)&gt;6,A49&amp;"¦"&amp;INDEX(_xlpm.nd,6)&amp;"¦"&amp;INDEX(_xlpm.nd,7),"")))</f>
        <v/>
      </c>
      <c r="GA49" t="str">
        <f t="shared" si="73"/>
        <v/>
      </c>
      <c r="GB49" t="str">
        <f t="shared" si="74"/>
        <v/>
      </c>
      <c r="GC49" t="str">
        <f t="shared" si="75"/>
        <v>XT18</v>
      </c>
      <c r="GD49">
        <f t="shared" si="76"/>
        <v>0</v>
      </c>
      <c r="GE49">
        <f t="shared" si="77"/>
        <v>0</v>
      </c>
      <c r="GF49">
        <f t="shared" si="78"/>
        <v>0</v>
      </c>
      <c r="GG49" t="str">
        <f t="shared" si="79"/>
        <v/>
      </c>
      <c r="GH49" t="str">
        <f t="shared" si="80"/>
        <v/>
      </c>
      <c r="GI49" t="str">
        <f t="shared" si="81"/>
        <v/>
      </c>
      <c r="GJ49" t="str">
        <f t="shared" si="82"/>
        <v/>
      </c>
      <c r="GK49" t="str">
        <f>IF(D49="","",IFERROR(VLOOKUP(D49,УГО_спр,2,FALSE),IFERROR(VLOOKUP(AT49,УГО_спр,2,FALSE),IFERROR(VLOOKUP(LEFT(AT49,2),УГО_спр,2,FALSE),""))))</f>
        <v>Светильник</v>
      </c>
      <c r="GL49" t="str">
        <f>IF(D49="","",IF(OR(GK49="",GK49=0),"BOX",IFERROR(IF(VLOOKUP(GK49,УГО_блоки,3,FALSE)&amp;""&lt;&gt;"",VLOOKUP(GK49,УГО_блоки,3,FALSE),VLOOKUP(GK49,УГО_блоки,2,FALSE)),GK49)))</f>
        <v>LAMP</v>
      </c>
      <c r="GM49">
        <f t="shared" si="83"/>
        <v>1</v>
      </c>
      <c r="GN49" t="str">
        <f>IF(EP49="","",IF(COUNTIF(EP$3:EP49,EP49)=1,MAX(GN$2:GN48)+1,""))</f>
        <v/>
      </c>
      <c r="GO49" t="str">
        <f>IF(AF49="","",IF(COUNTIF(AF$3:AF49,AF49)+COUNTIF(AG$2:AG48,AF49)+COUNTIF(AH$2:AH48,AF49)=1,MAX(GO$2:GQ48)+1,""))</f>
        <v/>
      </c>
      <c r="GP49" t="str">
        <f>IF(AG49="","",IF(COUNTIF(AF$3:AF49,AG49)+COUNTIF(AG$3:AG49,AG49)+COUNTIF(AH$2:AH48,AG49)=1,MAX(GO$2:GQ48,GO49)+1,""))</f>
        <v/>
      </c>
      <c r="GQ49" t="str">
        <f>IF(AH49="","",IF(COUNTIF(AF$3:AF49,AH49)+COUNTIF(AG$3:AG49,AH49)+COUNTIF(AH$3:AH49,AH49)=1,MAX(GO$2:GQ48,GO49,GP49)+1,""))</f>
        <v/>
      </c>
      <c r="GR49" t="str">
        <f t="shared" si="84"/>
        <v>3х1,5</v>
      </c>
      <c r="GS49" t="str">
        <f>IF(GR49="","",IF(COUNTIF(GR$3:GR49,GR49)=1,MAX(GS$2:GS48)+1,""))</f>
        <v/>
      </c>
      <c r="GT49" t="str">
        <f>IF(ES49="","",COUNTIF(ES$3:ES49,"?*"))</f>
        <v/>
      </c>
      <c r="GU49" t="str">
        <f>IF(OR(ES49="",EU49=""),"",IF(COUNTIFS(ES$3:ES49,"?*",EU$3:EU49,EU49)=1,MAX(GU$2:GU48)+1,""))</f>
        <v/>
      </c>
      <c r="GV49">
        <f t="shared" si="85"/>
        <v>1</v>
      </c>
      <c r="GW49">
        <f>IF(D49="","",COUNTIF(D$3:D49,"?*"))</f>
        <v>47</v>
      </c>
      <c r="GX49">
        <f>IF(EX49&lt;&gt;1,0,_xlfn.LET(_xlpm.k,MAX(IFERROR(--VLOOKUP(D49,УГО_спр,5,FALSE),0),IFERROR(--VLOOKUP(AT49,УГО_спр,5,FALSE),0),IFERROR(--VLOOKUP(LEFT(AT49,2),УГО_спр,5,FALSE),0)),IF(_xlpm.k&gt;0,_xlpm.k,IF(IFERROR(--LEFT(SUBSTITUTE(GR49,"x","х"),FIND("х",SUBSTITUTE(GR49,"x","х"))-1),3)&gt;3,Каталог!$S$9,1))))</f>
        <v>1</v>
      </c>
      <c r="GY49">
        <f t="shared" si="86"/>
        <v>0</v>
      </c>
    </row>
    <row r="50" spans="1:207" x14ac:dyDescent="0.3">
      <c r="A50" t="s">
        <v>1146</v>
      </c>
      <c r="B50" t="s">
        <v>531</v>
      </c>
      <c r="C50" t="str">
        <f>IF(BD50="","",IF(BE50="вводной узел","узел ","")&amp;"л."&amp;(INT((BD50-1)/Столбцов_на_лист)+1)&amp;" / "&amp;(MOD(BD50-1,Столбцов_на_лист)+1))</f>
        <v/>
      </c>
      <c r="D50" t="s">
        <v>1323</v>
      </c>
      <c r="E50" s="133" t="str">
        <f t="shared" si="87"/>
        <v>Осветительная группа Подвальный этаж Пом. №008Б</v>
      </c>
      <c r="H50">
        <v>4</v>
      </c>
      <c r="I50">
        <v>1</v>
      </c>
      <c r="J50">
        <v>230</v>
      </c>
      <c r="K50" t="s">
        <v>566</v>
      </c>
      <c r="P50">
        <v>5</v>
      </c>
      <c r="Z50" t="s">
        <v>559</v>
      </c>
      <c r="AR50" t="str">
        <f t="shared" si="0"/>
        <v>нет мощности; не на схеме</v>
      </c>
      <c r="AS50" cm="1">
        <f t="array" ref="AS50">ROW()-ROW(Линии[#Headers])</f>
        <v>48</v>
      </c>
      <c r="AT50" t="str">
        <f t="shared" si="1"/>
        <v>L</v>
      </c>
      <c r="AU50" t="str">
        <f t="shared" si="2"/>
        <v>00.008Б.1</v>
      </c>
      <c r="AV50" t="str">
        <f t="shared" si="3"/>
        <v>00</v>
      </c>
      <c r="AW50" t="str">
        <f t="shared" si="4"/>
        <v>008Б.1</v>
      </c>
      <c r="AX50" t="str">
        <f t="shared" si="5"/>
        <v>008Б</v>
      </c>
      <c r="AY50" t="str">
        <f>IF(D50="","",IF(ISERROR(SEARCH(".",D50)),IFERROR(VLOOKUP(D50,Потребители_обозначение,2,FALSE)&amp;"",""),IFERROR(IF(VLOOKUP(AT50,Потребители_обозначение,4,FALSE)=1,VLOOKUP(AT50,Потребители_обозначение,2,FALSE)&amp;" "&amp;VLOOKUP(AV50,Этаж_обозначение,2,FALSE)&amp;" Пом. №"&amp;AX50,VLOOKUP(AT50,Потребители_обозначение,2,FALSE)&amp;" Шлейф №"&amp;AV50),IFERROR(VLOOKUP(D50,Потребители_обозначение,2,FALSE),""))))</f>
        <v>Осветительная группа Подвальный этаж Пом. №008Б</v>
      </c>
      <c r="AZ50" t="str">
        <f t="shared" si="6"/>
        <v>Осветительная группа Подвальный этаж Пом. №008Б</v>
      </c>
      <c r="BA50" t="str">
        <f>IF(F50&lt;&gt;"",F50,IF(AND(D50&lt;&gt;"",D50&lt;&gt;A50,ISNUMBER(_xlfn.XMATCH(D50,Щиты[Щит]))),D50,""))</f>
        <v/>
      </c>
      <c r="BB50">
        <f>IFERROR(_xlfn.XMATCH(A50,Щиты[Щит]),0)</f>
        <v>3</v>
      </c>
      <c r="BC50">
        <f>IFERROR(N(_xlfn.XLOOKUP(A50,Щиты[Щит],Щиты[Мест под вводной узел])),15)</f>
        <v>15</v>
      </c>
      <c r="BD50" t="str">
        <f t="shared" si="7"/>
        <v/>
      </c>
      <c r="BE50" t="str">
        <f t="shared" si="8"/>
        <v/>
      </c>
      <c r="BF50">
        <f>IF(D50="","",IF(BA50&lt;&gt;"",IFERROR(_xlfn.XLOOKUP(BA50,Щиты[Щит],Щиты[Руст, кВт]),0),N(G50)))</f>
        <v>0</v>
      </c>
      <c r="BG50">
        <f>IF(J50&lt;&gt;"",J50,IF(D50="","",IFERROR(IF(VLOOKUP(AT50,Потребители_обозначение,8,FALSE)=0,"",VLOOKUP(AT50,Потребители_обозначение,8,FALSE)),"")))</f>
        <v>230</v>
      </c>
      <c r="BH50">
        <f>IF(I50&lt;&gt;"",I50,IF(D50="","",IFERROR(IF(VLOOKUP(AT50,Потребители_обозначение,9,FALSE)=0,"",VLOOKUP(AT50,Потребители_обозначение,9,FALSE)),"")))</f>
        <v>1</v>
      </c>
      <c r="BI50" t="str">
        <f>IF(U50&lt;&gt;"",U50,IF(D50="","",IFERROR(IF(VLOOKUP(AT50,Потребители_обозначение,6,FALSE)=0,"",VLOOKUP(AT50,Потребители_обозначение,6,FALSE)),"")))</f>
        <v/>
      </c>
      <c r="BJ50" t="str">
        <f>IF(V50&lt;&gt;"",V50,IF(D50="","",IFERROR(IF(VLOOKUP(AT50,Потребители_обозначение,7,FALSE)=0,"",VLOOKUP(AT50,Потребители_обозначение,7,FALSE)),"")))</f>
        <v/>
      </c>
      <c r="BK50" t="str">
        <f>IF(W50&lt;&gt;"",W50,IF(D50="","",IFERROR(IF(VLOOKUP(AT50,Потребители_обозначение,10,FALSE)=0,"",VLOOKUP(AT50,Потребители_обозначение,10,FALSE)),"")))</f>
        <v/>
      </c>
      <c r="BL50">
        <f>IFERROR(VLOOKUP(AT50,Потребители_обозначение,5,FALSE),0)</f>
        <v>3</v>
      </c>
      <c r="BM50" cm="1">
        <f t="array" ref="BM50">IF(D50="","",IF(BA50&lt;&gt;"",IFERROR(_xlfn.XLOOKUP(BA50,Щиты[Щит],Щиты[cos φ]),0.95),IF(ISNUMBER(M50),M50,IFERROR(IF(BL50=2,_xlfn.IFS(BH50=3,VLOOKUP(BF50,Справочная_двигатели,8,FALSE),BH50=1,VLOOKUP(BF50,Справочная_двигатели,10,TRUE)),IF(AND(Методика="нормы 2026",CN50="Сил"),0.8,0.95)),0.95))))</f>
        <v>0.95</v>
      </c>
      <c r="BN50" cm="1">
        <f t="array" ref="BN50">IF(D50="","",IF(BA50&lt;&gt;"",IFERROR(_xlfn.XLOOKUP(BA50,Щиты[Щит],Щиты[Iр, А]),""),IFERROR(_xlfn.IFS(BH50=1,BF50/((Uн_лин/SQRT(3))*BM50),BH50=3,BF50/(SQRT(3)*Uн_лин*BM50)),"")))</f>
        <v>0</v>
      </c>
      <c r="BO50">
        <f>IF(D50="","",IF(N(X50)=0,IFERROR(VLOOKUP(BN50,Автомат_номиналы,2,TRUE),""),X50))</f>
        <v>6</v>
      </c>
      <c r="BP50">
        <f t="shared" si="9"/>
        <v>1</v>
      </c>
      <c r="BQ50">
        <f>IF(ISNUMBER(Y50),Y50,К_прокл)</f>
        <v>1</v>
      </c>
      <c r="BR50">
        <f t="shared" si="10"/>
        <v>2</v>
      </c>
      <c r="BS50" cm="1">
        <f t="array" ref="BS50">IF(D50="","",IF(N(BK50)&lt;&gt;0,BK50,IFERROR(_xlfn.LET(_xlpm.need,BO50/(BP50*BQ50),_xlpm.t,CHOOSE(BR50,Iдоп_1ж,Iдоп_2ж,Iдоп_3ж),_xlpm.k,_xlfn.XMATCH(_xlpm.need,_xlpm.t,1),IF(ISNA(_xlpm.k),"Не исп",INDEX(Iдоп_S,_xlpm.k))),"Не исп")))</f>
        <v>1.5</v>
      </c>
      <c r="BT50">
        <f>IFERROR(VLOOKUP(BS50,Кабель_сопротивление,3,FALSE),"")</f>
        <v>2.2499999999999999E-2</v>
      </c>
      <c r="BU50">
        <f>IFERROR(VLOOKUP(BS50,Кабель_сопротивление,2,FALSE),"")</f>
        <v>0.11</v>
      </c>
      <c r="BV50">
        <f t="shared" si="11"/>
        <v>5</v>
      </c>
      <c r="BW50">
        <f>IF(D50="","",IFERROR(IF(VLOOKUP(AT50,Потребители_обозначение,4,FALSE)=1,VLOOKUP(AT50,Потребители_обозначение,3,FALSE)*(H50*2-1)+BV50+VLOOKUP(AV50,Этаж_обозначение,3,FALSE)+VLOOKUP(AV50,Этаж_обозначение,4,FALSE),VLOOKUP(AT50,Потребители_обозначение,3,FALSE)*(H50*2-1)+BV50),BV50))</f>
        <v>12</v>
      </c>
      <c r="BX50" t="str">
        <f t="shared" si="12"/>
        <v/>
      </c>
      <c r="BY50" t="str">
        <f t="shared" si="13"/>
        <v/>
      </c>
      <c r="BZ50">
        <f t="shared" si="14"/>
        <v>2</v>
      </c>
      <c r="CA50">
        <f t="shared" si="15"/>
        <v>0.31</v>
      </c>
      <c r="CB50">
        <f t="shared" si="16"/>
        <v>0</v>
      </c>
      <c r="CC50">
        <f>IFERROR(ROUNDUP(CB50/((Uн_лин/SQRT(3))*1000)*100,2),"")</f>
        <v>0</v>
      </c>
      <c r="CD50">
        <f>IF(ISNUMBER(CC50),CC50+IFERROR(_xlfn.XLOOKUP(A50,Щиты[Щит],Щиты[ΔU до шин, %]),0),"")</f>
        <v>0.17</v>
      </c>
      <c r="CE50">
        <f>IF(D50="","",IF(IFERROR(VLOOKUP(AT50,УГО_спр,2,FALSE),"")="Светильник",3,4)+IF(Методика="нормы 2026",MIN(0.5,MAX(0,N(BW50)-100)*0.005),0))</f>
        <v>3</v>
      </c>
      <c r="CF50" t="str">
        <f>IFERROR(VLOOKUP(BI50,Кабель_обозначение,2,FALSE),"")</f>
        <v/>
      </c>
      <c r="CG50" t="str">
        <f>IFERROR(IF(VLOOKUP(BI50,Кабель_обозначение,3,FALSE)=1,CF50&amp;" ("&amp;BJ50&amp;"х"&amp;BS50&amp;")",CF50),"")</f>
        <v/>
      </c>
      <c r="CH50" t="str">
        <f t="shared" si="17"/>
        <v/>
      </c>
      <c r="CI50">
        <f>IFERROR(2*ρкз_Cu*BW50/BS50,"")</f>
        <v>0.42080000000000001</v>
      </c>
      <c r="CJ50">
        <f t="shared" si="18"/>
        <v>0.14000000000000001</v>
      </c>
      <c r="CK50" t="str">
        <f>IFERROR(IF(OR(D50="",NOT(ISNUMBER(BS50)),N(BW50)=0),"",_xlfn.XLOOKUP(A50,Щиты[Щит],Щиты[Zпетли на шинах, Ом])+CI50),"")</f>
        <v/>
      </c>
      <c r="CL50" t="str">
        <f>IF(ISNUMBER(CK50),c_min*(Uн_лин*1000/SQRT(3))/CK50,"")</f>
        <v/>
      </c>
      <c r="CM50" t="str">
        <f>IFERROR(IF(OR(D50="",NOT(ISNUMBER(BS50))),"",1.05*(Uн_лин*1000/SQRT(3))/(_xlfn.XLOOKUP(A50,Щиты[Щит],Щиты[Zmax на шинах, Ом])+CJ50)/1000),"")</f>
        <v/>
      </c>
      <c r="CN50" t="str">
        <f>IF(D50="","",IF(BA50&lt;&gt;"","Щит",IF(K50&lt;&gt;"",K50,IF(ISNUMBER(L50),"Сил",IF(IFERROR(_xlfn.XLOOKUP(AT50,Коды_код,Коды_группа)&amp;"","")="","Быт",_xlfn.XLOOKUP(AT50,Коды_код,Коды_группа)&amp;"")))))</f>
        <v>Быт</v>
      </c>
      <c r="CO50">
        <f>IF(CN50="Щит","щит",IF(CN50="","",IF(CN50="Быт",IFERROR(_xlfn.XLOOKUP(A50,Щиты[Щит],Щиты[Кс быт]),1),IF(CN50="Сил",IF(ISNUMBER(L50),L50,IF(Методика="нормы 2026",IFERROR(_xlfn.XLOOKUP(A50,Щиты[Щит],Щиты[Кс силовых (табл. 7.5)]),1),1)),IF(OR(CN50="Пост",CN50="Отоп"),1,IF(CN50="ВНГ",0.7,0))))))</f>
        <v>0.8</v>
      </c>
      <c r="CP50">
        <f t="shared" si="19"/>
        <v>1</v>
      </c>
      <c r="CQ50">
        <f t="shared" si="20"/>
        <v>0</v>
      </c>
      <c r="CR50">
        <f t="shared" si="21"/>
        <v>0</v>
      </c>
      <c r="CS50">
        <f t="shared" si="22"/>
        <v>0</v>
      </c>
      <c r="CT50">
        <f t="shared" si="23"/>
        <v>0</v>
      </c>
      <c r="CU50">
        <f t="shared" si="24"/>
        <v>0</v>
      </c>
      <c r="CV50">
        <f t="shared" si="25"/>
        <v>0</v>
      </c>
      <c r="CW50">
        <f t="shared" si="26"/>
        <v>0</v>
      </c>
      <c r="CX50">
        <f t="shared" si="27"/>
        <v>0</v>
      </c>
      <c r="CY50">
        <f t="shared" si="28"/>
        <v>1</v>
      </c>
      <c r="CZ50" t="str">
        <f t="shared" si="29"/>
        <v>L1</v>
      </c>
      <c r="DA50" cm="1">
        <f t="array" ref="DA50">IFERROR(IF(BL50=2,_xlfn.IFS(BH50=3,VLOOKUP(BF50,Справочная_двигатели,3,FALSE),BH50=1,VLOOKUP(BF50,Справочная_двигатели,5,TRUE)),0),0)</f>
        <v>0</v>
      </c>
      <c r="DB50">
        <f>IFERROR(IF(BL50=3,VLOOKUP(BF50,Справочная_ЛЭД,2,TRUE),0),0)</f>
        <v>0</v>
      </c>
      <c r="DC50">
        <f t="shared" si="30"/>
        <v>0</v>
      </c>
      <c r="DD50" t="str">
        <f t="shared" si="31"/>
        <v>L1</v>
      </c>
      <c r="DE50" t="str" cm="1">
        <f t="array" ref="DE50">IF(D50="","",IFERROR(INDEX({"I особая","I","II","III"},MATCH(TRIM(AA50&amp;""),{"I особая","I","II","III"},0)),"III"))</f>
        <v>III</v>
      </c>
      <c r="DF50" t="str">
        <f>IF(D50="","",IF(TRIM(AB50&amp;"")&lt;&gt;"",IF(LOWER(TRIM(AB50&amp;""))="да","да","нет"),IF(IFERROR(_xlfn.XLOOKUP(AT50,Коды_код,Коды_пожарная),"")="да","да","нет")))</f>
        <v>нет</v>
      </c>
      <c r="DG50" t="str">
        <f t="shared" si="32"/>
        <v/>
      </c>
      <c r="DH50" t="str">
        <f t="shared" si="33"/>
        <v>основная</v>
      </c>
      <c r="DI50">
        <f t="shared" si="34"/>
        <v>1</v>
      </c>
      <c r="DJ50" t="str" cm="1">
        <f t="array" ref="DJ50">IF(D50="","",_xlfn.LET(_xlpm.t,IFERROR(_xlfn.XLOOKUP(1,(Шины[Шина]=DH50)*(((Шины[Щит]=A50)+(Шины[Щит]=""))&gt;0),Шины[Тип]),"")&amp;"",IF(_xlpm.t&lt;&gt;"",_xlpm.t,IF(ISNUMBER(SEARCH("ИБП",DH50)),"ИБП",IF(ISNUMBER(SEARCH("ДГУ",DH50)),"ДГУ","Ввод "&amp;DI50)))))</f>
        <v>Ввод 1</v>
      </c>
      <c r="DK50" t="str">
        <f t="shared" si="35"/>
        <v>Ввод 1</v>
      </c>
      <c r="DL50" t="str">
        <f>IF(D50="","",IF(OR(DJ50="ИБП",DJ50="ДГУ"),"I особая",IF(DJ50="Одиночная","III",_xlfn.XLOOKUP(A50,Щиты[Щит],Щиты[Категория шины «Ввод»],"III"))))</f>
        <v>II</v>
      </c>
      <c r="DM50">
        <f>IF(D50="",0,IFERROR(MATCH(DE50,{"III","II","I","I особая"},0),1))</f>
        <v>1</v>
      </c>
      <c r="DN50">
        <f t="shared" si="36"/>
        <v>1</v>
      </c>
      <c r="DO50" t="str">
        <f>IF(D50="","",IF(DM50&gt;IFERROR(MATCH(DL50,{"III","II","I","I особая"},0),1),"НЕ ОБЕСПЕЧЕНА","ОК"))</f>
        <v>ОК</v>
      </c>
      <c r="DP50" t="str">
        <f>IF(A50="","",_xlfn.XLOOKUP(A50,Щиты[Щит],Щиты[Путь],""))</f>
        <v>|ГРЩ-ЖД|ЩГП|ЩО-001|</v>
      </c>
      <c r="DQ50" t="str">
        <f>IF(D50="","",IF(Z50&lt;&gt;"",Z50,IF(IFERROR(_xlfn.XLOOKUP(AT50,Коды_код,Коды_вид)&amp;"","")="","Прочее",_xlfn.XLOOKUP(AT50,Коды_код,Коды_вид)&amp;"")))</f>
        <v>Рабочее освещение</v>
      </c>
      <c r="DR50" t="str">
        <f>IF(BD50="","",INT((BD50-1)/Столбцов_на_лист)+1)</f>
        <v/>
      </c>
      <c r="DS50" t="str">
        <f t="shared" si="37"/>
        <v/>
      </c>
      <c r="DT50">
        <f t="shared" si="38"/>
        <v>0</v>
      </c>
      <c r="DU50">
        <f t="shared" si="39"/>
        <v>0</v>
      </c>
      <c r="DV50">
        <f t="shared" si="40"/>
        <v>1</v>
      </c>
      <c r="DW50">
        <f>IF(AT50="",0,_xlfn.LET(_xlpm.v,IFERROR(VLOOKUP(D50,УГО_спр,3,FALSE),IFERROR(VLOOKUP(AT50,УГО_спр,3,FALSE),IFERROR(VLOOKUP(LEFT(AT50,2),УГО_спр,3,FALSE),""))),IF(_xlpm.v="да",30,IF(ISNUMBER(_xlpm.v),_xlpm.v,0))))</f>
        <v>0</v>
      </c>
      <c r="DX50">
        <f t="shared" si="41"/>
        <v>0</v>
      </c>
      <c r="DY50" t="str">
        <f>IF(BD50="","",IF(AD50&lt;&gt;"",COUNTIFS(A$3:A50,A50,AD$3:AD50,"?*"),IF(OR(OR(AS50=1,A50&lt;&gt;A49),AL50="вручную"),"",IF(AS50=1,"",DZ49))))</f>
        <v/>
      </c>
      <c r="DZ50" t="str">
        <f t="shared" si="42"/>
        <v/>
      </c>
      <c r="EA50">
        <f>IF(D50="",0,MAX(IFERROR(--X50,0),IFERROR(--VLOOKUP(D50,УГО_спр,4,FALSE),IFERROR(--VLOOKUP(AT50,УГО_спр,4,FALSE),IFERROR(--VLOOKUP(LEFT(AT50,2),УГО_спр,4,FALSE),0)))))</f>
        <v>10</v>
      </c>
      <c r="EB50">
        <f>IF(D50="","",IFERROR(LOOKUP(INDEX(CHOOSE(BR50,Iдоп_1ж,Iдоп_2ж,Iдоп_3ж),MATCH(BS50,Iдоп_S,0))*BP50*BQ50,{6,10,16,20,25,32,40,50,63,80,100,125,160,200,250,315,400,500,630}),""))</f>
        <v>16</v>
      </c>
      <c r="EC50" t="str">
        <f>IF(AD50="","",SUMIFS(Линии[_Ток схемы],Линии[_гр.],DY50,Линии[Щит],A50,Линии[_в кабель выше],0))</f>
        <v/>
      </c>
      <c r="ED50" t="str">
        <f>IF(AD50="","",IFERROR(VLOOKUP(EC50,Автомат_номиналы,2,TRUE),""))</f>
        <v/>
      </c>
      <c r="EE50" t="str">
        <f>IF(AD50="","",MAX(N(ED50),_xlfn.MAXIFS(Линии[_мин. по типу],Линии[_гр.],DY50,Линии[Щит],A50)))</f>
        <v/>
      </c>
      <c r="EF50" t="str">
        <f>IF(AD50="","",_xlfn.MINIFS(Линии[_макс. автомат по кабелю],Линии[_гр.],DY50,Линии[Щит],A50))</f>
        <v/>
      </c>
      <c r="EG50" t="str">
        <f>IF(AD50="","",MAX(1,_xlfn.MAXIFS(Линии[_фаз],Линии[_гр.],DY50,Линии[Щит],A50)))</f>
        <v/>
      </c>
      <c r="EH50" t="str">
        <f>IF(AD50="","",IF(AND(AD50&lt;&gt;"авто",AD50&lt;&gt;"+"),IF(ISNUMBER(SEARCH("мА",AD50)),IFERROR(--TRIM(RIGHT(SUBSTITUTE(LEFT(AD50,SEARCH("мА",AD50)-1)," ",REPT(" ",9)),6)),30),0),IF(AE50="нет",0,IF(ISNUMBER(AE50),AE50,IF(AE50="да",30,_xlfn.MINIFS(Линии[_дифзащита по коду, мА],Линии[_гр.],DY50,Линии[Щит],A50,Линии[_дифзащита по коду, мА],"&gt;0"))))))</f>
        <v/>
      </c>
      <c r="EI50" t="str">
        <f t="shared" si="43"/>
        <v/>
      </c>
      <c r="EJ50" t="str">
        <f t="shared" si="44"/>
        <v/>
      </c>
      <c r="EK50" t="str">
        <f t="shared" si="45"/>
        <v/>
      </c>
      <c r="EL50" t="str">
        <f t="shared" si="46"/>
        <v/>
      </c>
      <c r="EM50">
        <f t="shared" si="47"/>
        <v>0</v>
      </c>
      <c r="EN50" t="str">
        <f>IF(AD50="","",IF(EM50=1,MAX(EE50,Мин_автомат_БП),EE50))</f>
        <v/>
      </c>
      <c r="EO50" t="str">
        <f t="shared" si="48"/>
        <v/>
      </c>
      <c r="EP50" t="str">
        <f t="shared" si="49"/>
        <v/>
      </c>
      <c r="EQ50" t="str">
        <f t="shared" si="50"/>
        <v/>
      </c>
      <c r="ER50" t="str">
        <f>IF(OR(AI50="",AI50="-"),"",IFERROR(VLOOKUP(AI50,Модули_спр,2,FALSE),"R"))</f>
        <v/>
      </c>
      <c r="ES50" t="str">
        <f>IF(ER50="","",ER50&amp;"."&amp;COUNTIFS(A$3:A50,A50,ER$3:ER50,ER50))</f>
        <v/>
      </c>
      <c r="ET50" t="str">
        <f t="shared" si="51"/>
        <v/>
      </c>
      <c r="EU50" t="str">
        <f t="shared" si="52"/>
        <v/>
      </c>
      <c r="EV50" t="str">
        <f t="shared" si="53"/>
        <v/>
      </c>
      <c r="EW50" t="str">
        <f t="shared" si="54"/>
        <v/>
      </c>
      <c r="EX50">
        <f t="shared" si="55"/>
        <v>0</v>
      </c>
      <c r="EY50" t="str">
        <f>IF(AK50="нет","",IF(AK50&lt;&gt;"",AK50,IF(EX50=1,"XT"&amp;COUNTIFS(A$3:A50,A50,EX$3:EX50,1),"")))</f>
        <v/>
      </c>
      <c r="EZ50" t="str">
        <f t="shared" si="56"/>
        <v/>
      </c>
      <c r="FA50" t="str">
        <f t="shared" si="57"/>
        <v/>
      </c>
      <c r="FB50" t="str">
        <f t="shared" si="58"/>
        <v/>
      </c>
      <c r="FC50" t="str">
        <f>IF(OR(EV50="",ET50=""),"",IF(EV50&gt;IFERROR(VLOOKUP(EU50,Модули_спр,3,FALSE),99),"ЛИШНИЙ КАНАЛ",IF(AND(AJ50&lt;&gt;"=",COUNTIFS(Линии[_модуль гр.],ET50,Линии[Канал (итог)],EV50,Линии[Канал],"&lt;&gt;=",Линии[Щит],A50)&gt;1),"ДУБЛЬ КАНАЛА","")))</f>
        <v/>
      </c>
      <c r="FD50" t="str">
        <f t="shared" si="59"/>
        <v/>
      </c>
      <c r="FE50" t="str">
        <f t="shared" si="60"/>
        <v/>
      </c>
      <c r="FF50" t="str">
        <f t="shared" si="61"/>
        <v/>
      </c>
      <c r="FG50" t="str">
        <f t="shared" si="62"/>
        <v/>
      </c>
      <c r="FH50" t="str">
        <f t="shared" si="63"/>
        <v/>
      </c>
      <c r="FI50">
        <f t="shared" si="64"/>
        <v>10</v>
      </c>
      <c r="FJ50" t="str">
        <f t="shared" si="65"/>
        <v/>
      </c>
      <c r="FK50" t="str">
        <f>IF(AND(D50="",EZ50=""),"",_xlfn.TEXTJOIN("; ",TRUE,IF(AND(D50&lt;&gt;"",DD50=""),"нет фазы",""),IF(AND(D50&lt;&gt;"",N(DT50)=0,CN50&lt;&gt;"Нет"),"нет мощности",""),IF(AND(EY50&lt;&gt;"",COUNTIFS(Линии[Щит],A50,Линии[Клемма (итог)],EY50)&gt;1),"дубль клеммы "&amp;EY50,""),IF(AND(FB50&lt;&gt;"",FB50&lt;&gt;"ok"),FB50,""),IF(FC50&lt;&gt;"",FC50,""),IF(AND(ISNUMBER(SEARCH("(5х",DS50)),N(DV50)=1),"5 жил на 1 фазе",""),IF(AND(AT50="R",AD50&lt;&gt;"",OR(N(EH50)=0,N(EH50)&gt;30)),"розетка без дифзащиты до 30 мА",""),IFERROR(IF(AND(ISNUMBER(CD50),CD50&gt;CE50),"потери "&amp;FIXED(CD50,1)&amp;" % &gt; "&amp;CE50&amp;" %",""),""),IFERROR(IF(LEFT(FJ50,4)="мало","Iкз мало — отключение &gt; 0,4 с",""),""),IF(AND(D50&lt;&gt;"",BD50=""),"не на схеме","")))</f>
        <v>нет мощности; не на схеме</v>
      </c>
      <c r="FL50" t="str">
        <f>IF(AD50="","",_xlfn.LET(_xlpm.t,IFERROR(_xlfn.XLOOKUP(EP50,Каталог!$U$4:$U$500,Каталог!$G$4:$G$500),""),_xlpm.k,SEARCH("кА",_xlpm.t),IFERROR(--TRIM(RIGHT(SUBSTITUTE(MID(_xlpm.t,MAX(1,_xlpm.k-4),_xlpm.k-MAX(1,_xlpm.k-4))," ",REPT(" ",9)),5)),"")))</f>
        <v/>
      </c>
      <c r="FM50" t="str">
        <f>IF(OR(FL50="",AD50=""),"",IF(_xlfn.XLOOKUP(A50,Щиты[Щит],Щиты[Iкз max на шинах, кА],"")="","",IF(FL50&lt;_xlfn.XLOOKUP(A50,Щиты[Щит],Щиты[Iкз max на шинах, кА]),"Icu "&amp;FL50&amp;" кА &lt; Iкз max","ok")))</f>
        <v/>
      </c>
      <c r="FN50" t="str">
        <f t="shared" si="66"/>
        <v/>
      </c>
      <c r="FO50" t="str">
        <f t="shared" si="67"/>
        <v/>
      </c>
      <c r="FP50" t="str" cm="1">
        <f t="array" ref="FP50">IF(FO50="","",_xlfn.LET(_xlpm.nd,_xlfn.TEXTSPLIT(FO50,"|"),IF(COLUMNS(_xlpm.nd)&gt;1,A50&amp;"¦"&amp;INDEX(_xlpm.nd,1)&amp;"¦"&amp;INDEX(_xlpm.nd,2),"")))</f>
        <v/>
      </c>
      <c r="FQ50" t="str">
        <f t="shared" si="68"/>
        <v/>
      </c>
      <c r="FR50" t="str" cm="1">
        <f t="array" ref="FR50">IF(FO50="","",_xlfn.LET(_xlpm.nd,_xlfn.TEXTSPLIT(FO50,"|"),IF(COLUMNS(_xlpm.nd)&gt;2,A50&amp;"¦"&amp;INDEX(_xlpm.nd,2)&amp;"¦"&amp;INDEX(_xlpm.nd,3),"")))</f>
        <v/>
      </c>
      <c r="FS50" t="str">
        <f t="shared" si="69"/>
        <v/>
      </c>
      <c r="FT50" t="str" cm="1">
        <f t="array" ref="FT50">IF(FO50="","",_xlfn.LET(_xlpm.nd,_xlfn.TEXTSPLIT(FO50,"|"),IF(COLUMNS(_xlpm.nd)&gt;3,A50&amp;"¦"&amp;INDEX(_xlpm.nd,3)&amp;"¦"&amp;INDEX(_xlpm.nd,4),"")))</f>
        <v/>
      </c>
      <c r="FU50" t="str">
        <f t="shared" si="70"/>
        <v/>
      </c>
      <c r="FV50" t="str" cm="1">
        <f t="array" ref="FV50">IF(FO50="","",_xlfn.LET(_xlpm.nd,_xlfn.TEXTSPLIT(FO50,"|"),IF(COLUMNS(_xlpm.nd)&gt;4,A50&amp;"¦"&amp;INDEX(_xlpm.nd,4)&amp;"¦"&amp;INDEX(_xlpm.nd,5),"")))</f>
        <v/>
      </c>
      <c r="FW50" t="str">
        <f t="shared" si="71"/>
        <v/>
      </c>
      <c r="FX50" t="str" cm="1">
        <f t="array" ref="FX50">IF(FO50="","",_xlfn.LET(_xlpm.nd,_xlfn.TEXTSPLIT(FO50,"|"),IF(COLUMNS(_xlpm.nd)&gt;5,A50&amp;"¦"&amp;INDEX(_xlpm.nd,5)&amp;"¦"&amp;INDEX(_xlpm.nd,6),"")))</f>
        <v/>
      </c>
      <c r="FY50" t="str">
        <f t="shared" si="72"/>
        <v/>
      </c>
      <c r="FZ50" t="str" cm="1">
        <f t="array" ref="FZ50">IF(FO50="","",_xlfn.LET(_xlpm.nd,_xlfn.TEXTSPLIT(FO50,"|"),IF(COLUMNS(_xlpm.nd)&gt;6,A50&amp;"¦"&amp;INDEX(_xlpm.nd,6)&amp;"¦"&amp;INDEX(_xlpm.nd,7),"")))</f>
        <v/>
      </c>
      <c r="GA50" t="str">
        <f t="shared" si="73"/>
        <v/>
      </c>
      <c r="GB50" t="str">
        <f t="shared" si="74"/>
        <v/>
      </c>
      <c r="GC50" t="str">
        <f t="shared" si="75"/>
        <v/>
      </c>
      <c r="GD50">
        <f t="shared" si="76"/>
        <v>0</v>
      </c>
      <c r="GE50">
        <f t="shared" si="77"/>
        <v>0</v>
      </c>
      <c r="GF50">
        <f t="shared" si="78"/>
        <v>0</v>
      </c>
      <c r="GG50" t="str">
        <f t="shared" si="79"/>
        <v/>
      </c>
      <c r="GH50" t="str">
        <f t="shared" si="80"/>
        <v/>
      </c>
      <c r="GI50" t="str">
        <f t="shared" si="81"/>
        <v/>
      </c>
      <c r="GJ50" t="str">
        <f t="shared" si="82"/>
        <v/>
      </c>
      <c r="GK50" t="str">
        <f>IF(D50="","",IFERROR(VLOOKUP(D50,УГО_спр,2,FALSE),IFERROR(VLOOKUP(AT50,УГО_спр,2,FALSE),IFERROR(VLOOKUP(LEFT(AT50,2),УГО_спр,2,FALSE),""))))</f>
        <v>Светильник</v>
      </c>
      <c r="GL50" t="str">
        <f>IF(D50="","",IF(OR(GK50="",GK50=0),"BOX",IFERROR(IF(VLOOKUP(GK50,УГО_блоки,3,FALSE)&amp;""&lt;&gt;"",VLOOKUP(GK50,УГО_блоки,3,FALSE),VLOOKUP(GK50,УГО_блоки,2,FALSE)),GK50)))</f>
        <v>LAMP</v>
      </c>
      <c r="GM50">
        <f t="shared" si="83"/>
        <v>1</v>
      </c>
      <c r="GN50" t="str">
        <f>IF(EP50="","",IF(COUNTIF(EP$3:EP50,EP50)=1,MAX(GN$2:GN49)+1,""))</f>
        <v/>
      </c>
      <c r="GO50" t="str">
        <f>IF(AF50="","",IF(COUNTIF(AF$3:AF50,AF50)+COUNTIF(AG$2:AG49,AF50)+COUNTIF(AH$2:AH49,AF50)=1,MAX(GO$2:GQ49)+1,""))</f>
        <v/>
      </c>
      <c r="GP50" t="str">
        <f>IF(AG50="","",IF(COUNTIF(AF$3:AF50,AG50)+COUNTIF(AG$3:AG50,AG50)+COUNTIF(AH$2:AH49,AG50)=1,MAX(GO$2:GQ49,GO50)+1,""))</f>
        <v/>
      </c>
      <c r="GQ50" t="str">
        <f>IF(AH50="","",IF(COUNTIF(AF$3:AF50,AH50)+COUNTIF(AG$3:AG50,AH50)+COUNTIF(AH$3:AH50,AH50)=1,MAX(GO$2:GQ49,GO50,GP50)+1,""))</f>
        <v/>
      </c>
      <c r="GR50" t="str">
        <f t="shared" si="84"/>
        <v/>
      </c>
      <c r="GS50" t="str">
        <f>IF(GR50="","",IF(COUNTIF(GR$3:GR50,GR50)=1,MAX(GS$2:GS49)+1,""))</f>
        <v/>
      </c>
      <c r="GT50" t="str">
        <f>IF(ES50="","",COUNTIF(ES$3:ES50,"?*"))</f>
        <v/>
      </c>
      <c r="GU50" t="str">
        <f>IF(OR(ES50="",EU50=""),"",IF(COUNTIFS(ES$3:ES50,"?*",EU$3:EU50,EU50)=1,MAX(GU$2:GU49)+1,""))</f>
        <v/>
      </c>
      <c r="GV50">
        <f t="shared" si="85"/>
        <v>1</v>
      </c>
      <c r="GW50">
        <f>IF(D50="","",COUNTIF(D$3:D50,"?*"))</f>
        <v>48</v>
      </c>
      <c r="GX50">
        <f>IF(EX50&lt;&gt;1,0,_xlfn.LET(_xlpm.k,MAX(IFERROR(--VLOOKUP(D50,УГО_спр,5,FALSE),0),IFERROR(--VLOOKUP(AT50,УГО_спр,5,FALSE),0),IFERROR(--VLOOKUP(LEFT(AT50,2),УГО_спр,5,FALSE),0)),IF(_xlpm.k&gt;0,_xlpm.k,IF(IFERROR(--LEFT(SUBSTITUTE(GR50,"x","х"),FIND("х",SUBSTITUTE(GR50,"x","х"))-1),3)&gt;3,Каталог!$S$9,1))))</f>
        <v>0</v>
      </c>
      <c r="GY50">
        <f t="shared" si="86"/>
        <v>0</v>
      </c>
    </row>
    <row r="51" spans="1:207" x14ac:dyDescent="0.3">
      <c r="A51" t="s">
        <v>1146</v>
      </c>
      <c r="B51" t="s">
        <v>531</v>
      </c>
      <c r="C51" t="str">
        <f>IF(BD51="","",IF(BE51="вводной узел","узел ","")&amp;"л."&amp;(INT((BD51-1)/Столбцов_на_лист)+1)&amp;" / "&amp;(MOD(BD51-1,Столбцов_на_лист)+1))</f>
        <v/>
      </c>
      <c r="D51" t="s">
        <v>1324</v>
      </c>
      <c r="E51" s="133" t="str">
        <f t="shared" si="87"/>
        <v>Осветительная группа Подвальный этаж Пом. №010Б</v>
      </c>
      <c r="H51">
        <v>12</v>
      </c>
      <c r="I51">
        <v>1</v>
      </c>
      <c r="J51">
        <v>230</v>
      </c>
      <c r="K51" t="s">
        <v>566</v>
      </c>
      <c r="P51">
        <v>55</v>
      </c>
      <c r="R51">
        <v>70</v>
      </c>
      <c r="U51" t="s">
        <v>11</v>
      </c>
      <c r="V51">
        <v>3</v>
      </c>
      <c r="W51">
        <v>1.5</v>
      </c>
      <c r="Z51" t="s">
        <v>559</v>
      </c>
      <c r="AR51" t="str">
        <f t="shared" si="0"/>
        <v>нет мощности; не на схеме</v>
      </c>
      <c r="AS51" cm="1">
        <f t="array" ref="AS51">ROW()-ROW(Линии[#Headers])</f>
        <v>49</v>
      </c>
      <c r="AT51" t="str">
        <f t="shared" si="1"/>
        <v>L</v>
      </c>
      <c r="AU51" t="str">
        <f t="shared" si="2"/>
        <v>00.010Б.1</v>
      </c>
      <c r="AV51" t="str">
        <f t="shared" si="3"/>
        <v>00</v>
      </c>
      <c r="AW51" t="str">
        <f t="shared" si="4"/>
        <v>010Б.1</v>
      </c>
      <c r="AX51" t="str">
        <f t="shared" si="5"/>
        <v>010Б</v>
      </c>
      <c r="AY51" t="str">
        <f>IF(D51="","",IF(ISERROR(SEARCH(".",D51)),IFERROR(VLOOKUP(D51,Потребители_обозначение,2,FALSE)&amp;"",""),IFERROR(IF(VLOOKUP(AT51,Потребители_обозначение,4,FALSE)=1,VLOOKUP(AT51,Потребители_обозначение,2,FALSE)&amp;" "&amp;VLOOKUP(AV51,Этаж_обозначение,2,FALSE)&amp;" Пом. №"&amp;AX51,VLOOKUP(AT51,Потребители_обозначение,2,FALSE)&amp;" Шлейф №"&amp;AV51),IFERROR(VLOOKUP(D51,Потребители_обозначение,2,FALSE),""))))</f>
        <v>Осветительная группа Подвальный этаж Пом. №010Б</v>
      </c>
      <c r="AZ51" t="str">
        <f t="shared" si="6"/>
        <v>Осветительная группа Подвальный этаж Пом. №010Б</v>
      </c>
      <c r="BA51" t="str">
        <f>IF(F51&lt;&gt;"",F51,IF(AND(D51&lt;&gt;"",D51&lt;&gt;A51,ISNUMBER(_xlfn.XMATCH(D51,Щиты[Щит]))),D51,""))</f>
        <v/>
      </c>
      <c r="BB51">
        <f>IFERROR(_xlfn.XMATCH(A51,Щиты[Щит]),0)</f>
        <v>3</v>
      </c>
      <c r="BC51">
        <f>IFERROR(N(_xlfn.XLOOKUP(A51,Щиты[Щит],Щиты[Мест под вводной узел])),15)</f>
        <v>15</v>
      </c>
      <c r="BD51" t="str">
        <f t="shared" si="7"/>
        <v/>
      </c>
      <c r="BE51" t="str">
        <f t="shared" si="8"/>
        <v/>
      </c>
      <c r="BF51">
        <f>IF(D51="","",IF(BA51&lt;&gt;"",IFERROR(_xlfn.XLOOKUP(BA51,Щиты[Щит],Щиты[Руст, кВт]),0),N(G51)))</f>
        <v>0</v>
      </c>
      <c r="BG51">
        <f>IF(J51&lt;&gt;"",J51,IF(D51="","",IFERROR(IF(VLOOKUP(AT51,Потребители_обозначение,8,FALSE)=0,"",VLOOKUP(AT51,Потребители_обозначение,8,FALSE)),"")))</f>
        <v>230</v>
      </c>
      <c r="BH51">
        <f>IF(I51&lt;&gt;"",I51,IF(D51="","",IFERROR(IF(VLOOKUP(AT51,Потребители_обозначение,9,FALSE)=0,"",VLOOKUP(AT51,Потребители_обозначение,9,FALSE)),"")))</f>
        <v>1</v>
      </c>
      <c r="BI51" t="str">
        <f>IF(U51&lt;&gt;"",U51,IF(D51="","",IFERROR(IF(VLOOKUP(AT51,Потребители_обозначение,6,FALSE)=0,"",VLOOKUP(AT51,Потребители_обозначение,6,FALSE)),"")))</f>
        <v>мс</v>
      </c>
      <c r="BJ51">
        <f>IF(V51&lt;&gt;"",V51,IF(D51="","",IFERROR(IF(VLOOKUP(AT51,Потребители_обозначение,7,FALSE)=0,"",VLOOKUP(AT51,Потребители_обозначение,7,FALSE)),"")))</f>
        <v>3</v>
      </c>
      <c r="BK51">
        <f>IF(W51&lt;&gt;"",W51,IF(D51="","",IFERROR(IF(VLOOKUP(AT51,Потребители_обозначение,10,FALSE)=0,"",VLOOKUP(AT51,Потребители_обозначение,10,FALSE)),"")))</f>
        <v>1.5</v>
      </c>
      <c r="BL51">
        <f>IFERROR(VLOOKUP(AT51,Потребители_обозначение,5,FALSE),0)</f>
        <v>3</v>
      </c>
      <c r="BM51" cm="1">
        <f t="array" ref="BM51">IF(D51="","",IF(BA51&lt;&gt;"",IFERROR(_xlfn.XLOOKUP(BA51,Щиты[Щит],Щиты[cos φ]),0.95),IF(ISNUMBER(M51),M51,IFERROR(IF(BL51=2,_xlfn.IFS(BH51=3,VLOOKUP(BF51,Справочная_двигатели,8,FALSE),BH51=1,VLOOKUP(BF51,Справочная_двигатели,10,TRUE)),IF(AND(Методика="нормы 2026",CN51="Сил"),0.8,0.95)),0.95))))</f>
        <v>0.95</v>
      </c>
      <c r="BN51" cm="1">
        <f t="array" ref="BN51">IF(D51="","",IF(BA51&lt;&gt;"",IFERROR(_xlfn.XLOOKUP(BA51,Щиты[Щит],Щиты[Iр, А]),""),IFERROR(_xlfn.IFS(BH51=1,BF51/((Uн_лин/SQRT(3))*BM51),BH51=3,BF51/(SQRT(3)*Uн_лин*BM51)),"")))</f>
        <v>0</v>
      </c>
      <c r="BO51">
        <f>IF(D51="","",IF(N(X51)=0,IFERROR(VLOOKUP(BN51,Автомат_номиналы,2,TRUE),""),X51))</f>
        <v>6</v>
      </c>
      <c r="BP51">
        <f t="shared" si="9"/>
        <v>1</v>
      </c>
      <c r="BQ51">
        <f>IF(ISNUMBER(Y51),Y51,К_прокл)</f>
        <v>1</v>
      </c>
      <c r="BR51">
        <f t="shared" si="10"/>
        <v>2</v>
      </c>
      <c r="BS51" cm="1">
        <f t="array" ref="BS51">IF(D51="","",IF(N(BK51)&lt;&gt;0,BK51,IFERROR(_xlfn.LET(_xlpm.need,BO51/(BP51*BQ51),_xlpm.t,CHOOSE(BR51,Iдоп_1ж,Iдоп_2ж,Iдоп_3ж),_xlpm.k,_xlfn.XMATCH(_xlpm.need,_xlpm.t,1),IF(ISNA(_xlpm.k),"Не исп",INDEX(Iдоп_S,_xlpm.k))),"Не исп")))</f>
        <v>1.5</v>
      </c>
      <c r="BT51">
        <f>IFERROR(VLOOKUP(BS51,Кабель_сопротивление,3,FALSE),"")</f>
        <v>2.2499999999999999E-2</v>
      </c>
      <c r="BU51">
        <f>IFERROR(VLOOKUP(BS51,Кабель_сопротивление,2,FALSE),"")</f>
        <v>0.11</v>
      </c>
      <c r="BV51">
        <f t="shared" si="11"/>
        <v>55</v>
      </c>
      <c r="BW51">
        <f>IF(D51="","",IFERROR(IF(VLOOKUP(AT51,Потребители_обозначение,4,FALSE)=1,VLOOKUP(AT51,Потребители_обозначение,3,FALSE)*(H51*2-1)+BV51+VLOOKUP(AV51,Этаж_обозначение,3,FALSE)+VLOOKUP(AV51,Этаж_обозначение,4,FALSE),VLOOKUP(AT51,Потребители_обозначение,3,FALSE)*(H51*2-1)+BV51),BV51))</f>
        <v>78</v>
      </c>
      <c r="BX51">
        <f t="shared" si="12"/>
        <v>70</v>
      </c>
      <c r="BY51" t="str">
        <f t="shared" si="13"/>
        <v/>
      </c>
      <c r="BZ51">
        <f t="shared" si="14"/>
        <v>2</v>
      </c>
      <c r="CA51">
        <f t="shared" si="15"/>
        <v>0.31</v>
      </c>
      <c r="CB51">
        <f t="shared" si="16"/>
        <v>0</v>
      </c>
      <c r="CC51">
        <f>IFERROR(ROUNDUP(CB51/((Uн_лин/SQRT(3))*1000)*100,2),"")</f>
        <v>0</v>
      </c>
      <c r="CD51">
        <f>IF(ISNUMBER(CC51),CC51+IFERROR(_xlfn.XLOOKUP(A51,Щиты[Щит],Щиты[ΔU до шин, %]),0),"")</f>
        <v>0.17</v>
      </c>
      <c r="CE51">
        <f>IF(D51="","",IF(IFERROR(VLOOKUP(AT51,УГО_спр,2,FALSE),"")="Светильник",3,4)+IF(Методика="нормы 2026",MIN(0.5,MAX(0,N(BW51)-100)*0.005),0))</f>
        <v>3</v>
      </c>
      <c r="CF51" t="str">
        <f>IFERROR(VLOOKUP(BI51,Кабель_обозначение,2,FALSE),"")</f>
        <v>ВВГнг(А)-LS</v>
      </c>
      <c r="CG51" t="str">
        <f>IFERROR(IF(VLOOKUP(BI51,Кабель_обозначение,3,FALSE)=1,CF51&amp;" ("&amp;BJ51&amp;"х"&amp;BS51&amp;")",CF51),"")</f>
        <v>ВВГнг(А)-LS (3х1,5)</v>
      </c>
      <c r="CH51" t="str">
        <f t="shared" si="17"/>
        <v>ВВГнг(А)-LS (3х1,5)
L=78-0%</v>
      </c>
      <c r="CI51">
        <f>IFERROR(2*ρкз_Cu*BW51/BS51,"")</f>
        <v>2.7352000000000003</v>
      </c>
      <c r="CJ51">
        <f t="shared" si="18"/>
        <v>0.91000000000000014</v>
      </c>
      <c r="CK51" t="str">
        <f>IFERROR(IF(OR(D51="",NOT(ISNUMBER(BS51)),N(BW51)=0),"",_xlfn.XLOOKUP(A51,Щиты[Щит],Щиты[Zпетли на шинах, Ом])+CI51),"")</f>
        <v/>
      </c>
      <c r="CL51" t="str">
        <f>IF(ISNUMBER(CK51),c_min*(Uн_лин*1000/SQRT(3))/CK51,"")</f>
        <v/>
      </c>
      <c r="CM51" t="str">
        <f>IFERROR(IF(OR(D51="",NOT(ISNUMBER(BS51))),"",1.05*(Uн_лин*1000/SQRT(3))/(_xlfn.XLOOKUP(A51,Щиты[Щит],Щиты[Zmax на шинах, Ом])+CJ51)/1000),"")</f>
        <v/>
      </c>
      <c r="CN51" t="str">
        <f>IF(D51="","",IF(BA51&lt;&gt;"","Щит",IF(K51&lt;&gt;"",K51,IF(ISNUMBER(L51),"Сил",IF(IFERROR(_xlfn.XLOOKUP(AT51,Коды_код,Коды_группа)&amp;"","")="","Быт",_xlfn.XLOOKUP(AT51,Коды_код,Коды_группа)&amp;"")))))</f>
        <v>Быт</v>
      </c>
      <c r="CO51">
        <f>IF(CN51="Щит","щит",IF(CN51="","",IF(CN51="Быт",IFERROR(_xlfn.XLOOKUP(A51,Щиты[Щит],Щиты[Кс быт]),1),IF(CN51="Сил",IF(ISNUMBER(L51),L51,IF(Методика="нормы 2026",IFERROR(_xlfn.XLOOKUP(A51,Щиты[Щит],Щиты[Кс силовых (табл. 7.5)]),1),1)),IF(OR(CN51="Пост",CN51="Отоп"),1,IF(CN51="ВНГ",0.7,0))))))</f>
        <v>0.8</v>
      </c>
      <c r="CP51">
        <f t="shared" si="19"/>
        <v>1</v>
      </c>
      <c r="CQ51">
        <f t="shared" si="20"/>
        <v>0</v>
      </c>
      <c r="CR51">
        <f t="shared" si="21"/>
        <v>0</v>
      </c>
      <c r="CS51">
        <f t="shared" si="22"/>
        <v>0</v>
      </c>
      <c r="CT51">
        <f t="shared" si="23"/>
        <v>0</v>
      </c>
      <c r="CU51">
        <f t="shared" si="24"/>
        <v>0</v>
      </c>
      <c r="CV51">
        <f t="shared" si="25"/>
        <v>0</v>
      </c>
      <c r="CW51">
        <f t="shared" si="26"/>
        <v>0</v>
      </c>
      <c r="CX51">
        <f t="shared" si="27"/>
        <v>0</v>
      </c>
      <c r="CY51">
        <f t="shared" si="28"/>
        <v>2</v>
      </c>
      <c r="CZ51" t="str">
        <f t="shared" si="29"/>
        <v>L2</v>
      </c>
      <c r="DA51" cm="1">
        <f t="array" ref="DA51">IFERROR(IF(BL51=2,_xlfn.IFS(BH51=3,VLOOKUP(BF51,Справочная_двигатели,3,FALSE),BH51=1,VLOOKUP(BF51,Справочная_двигатели,5,TRUE)),0),0)</f>
        <v>0</v>
      </c>
      <c r="DB51">
        <f>IFERROR(IF(BL51=3,VLOOKUP(BF51,Справочная_ЛЭД,2,TRUE),0),0)</f>
        <v>0</v>
      </c>
      <c r="DC51">
        <f t="shared" si="30"/>
        <v>0</v>
      </c>
      <c r="DD51" t="str">
        <f t="shared" si="31"/>
        <v>L2</v>
      </c>
      <c r="DE51" t="str" cm="1">
        <f t="array" ref="DE51">IF(D51="","",IFERROR(INDEX({"I особая","I","II","III"},MATCH(TRIM(AA51&amp;""),{"I особая","I","II","III"},0)),"III"))</f>
        <v>III</v>
      </c>
      <c r="DF51" t="str">
        <f>IF(D51="","",IF(TRIM(AB51&amp;"")&lt;&gt;"",IF(LOWER(TRIM(AB51&amp;""))="да","да","нет"),IF(IFERROR(_xlfn.XLOOKUP(AT51,Коды_код,Коды_пожарная),"")="да","да","нет")))</f>
        <v>нет</v>
      </c>
      <c r="DG51" t="str">
        <f t="shared" si="32"/>
        <v/>
      </c>
      <c r="DH51" t="str">
        <f t="shared" si="33"/>
        <v>основная</v>
      </c>
      <c r="DI51">
        <f t="shared" si="34"/>
        <v>1</v>
      </c>
      <c r="DJ51" t="str" cm="1">
        <f t="array" ref="DJ51">IF(D51="","",_xlfn.LET(_xlpm.t,IFERROR(_xlfn.XLOOKUP(1,(Шины[Шина]=DH51)*(((Шины[Щит]=A51)+(Шины[Щит]=""))&gt;0),Шины[Тип]),"")&amp;"",IF(_xlpm.t&lt;&gt;"",_xlpm.t,IF(ISNUMBER(SEARCH("ИБП",DH51)),"ИБП",IF(ISNUMBER(SEARCH("ДГУ",DH51)),"ДГУ","Ввод "&amp;DI51)))))</f>
        <v>Ввод 1</v>
      </c>
      <c r="DK51" t="str">
        <f t="shared" si="35"/>
        <v>Ввод 1</v>
      </c>
      <c r="DL51" t="str">
        <f>IF(D51="","",IF(OR(DJ51="ИБП",DJ51="ДГУ"),"I особая",IF(DJ51="Одиночная","III",_xlfn.XLOOKUP(A51,Щиты[Щит],Щиты[Категория шины «Ввод»],"III"))))</f>
        <v>II</v>
      </c>
      <c r="DM51">
        <f>IF(D51="",0,IFERROR(MATCH(DE51,{"III","II","I","I особая"},0),1))</f>
        <v>1</v>
      </c>
      <c r="DN51">
        <f t="shared" si="36"/>
        <v>1</v>
      </c>
      <c r="DO51" t="str">
        <f>IF(D51="","",IF(DM51&gt;IFERROR(MATCH(DL51,{"III","II","I","I особая"},0),1),"НЕ ОБЕСПЕЧЕНА","ОК"))</f>
        <v>ОК</v>
      </c>
      <c r="DP51" t="str">
        <f>IF(A51="","",_xlfn.XLOOKUP(A51,Щиты[Щит],Щиты[Путь],""))</f>
        <v>|ГРЩ-ЖД|ЩГП|ЩО-001|</v>
      </c>
      <c r="DQ51" t="str">
        <f>IF(D51="","",IF(Z51&lt;&gt;"",Z51,IF(IFERROR(_xlfn.XLOOKUP(AT51,Коды_код,Коды_вид)&amp;"","")="","Прочее",_xlfn.XLOOKUP(AT51,Коды_код,Коды_вид)&amp;"")))</f>
        <v>Рабочее освещение</v>
      </c>
      <c r="DR51" t="str">
        <f>IF(BD51="","",INT((BD51-1)/Столбцов_на_лист)+1)</f>
        <v/>
      </c>
      <c r="DS51" t="str">
        <f t="shared" si="37"/>
        <v>ВВГнг(А)-LS (3х1,5) L=78-0%</v>
      </c>
      <c r="DT51">
        <f t="shared" si="38"/>
        <v>0</v>
      </c>
      <c r="DU51">
        <f t="shared" si="39"/>
        <v>0</v>
      </c>
      <c r="DV51">
        <f t="shared" si="40"/>
        <v>1</v>
      </c>
      <c r="DW51">
        <f>IF(AT51="",0,_xlfn.LET(_xlpm.v,IFERROR(VLOOKUP(D51,УГО_спр,3,FALSE),IFERROR(VLOOKUP(AT51,УГО_спр,3,FALSE),IFERROR(VLOOKUP(LEFT(AT51,2),УГО_спр,3,FALSE),""))),IF(_xlpm.v="да",30,IF(ISNUMBER(_xlpm.v),_xlpm.v,0))))</f>
        <v>0</v>
      </c>
      <c r="DX51">
        <f t="shared" si="41"/>
        <v>0</v>
      </c>
      <c r="DY51" t="str">
        <f>IF(BD51="","",IF(AD51&lt;&gt;"",COUNTIFS(A$3:A51,A51,AD$3:AD51,"?*"),IF(OR(OR(AS51=1,A51&lt;&gt;A50),AL51="вручную"),"",IF(AS51=1,"",DZ50))))</f>
        <v/>
      </c>
      <c r="DZ51" t="str">
        <f t="shared" si="42"/>
        <v/>
      </c>
      <c r="EA51">
        <f>IF(D51="",0,MAX(IFERROR(--X51,0),IFERROR(--VLOOKUP(D51,УГО_спр,4,FALSE),IFERROR(--VLOOKUP(AT51,УГО_спр,4,FALSE),IFERROR(--VLOOKUP(LEFT(AT51,2),УГО_спр,4,FALSE),0)))))</f>
        <v>10</v>
      </c>
      <c r="EB51">
        <f>IF(D51="","",IFERROR(LOOKUP(INDEX(CHOOSE(BR51,Iдоп_1ж,Iдоп_2ж,Iдоп_3ж),MATCH(BS51,Iдоп_S,0))*BP51*BQ51,{6,10,16,20,25,32,40,50,63,80,100,125,160,200,250,315,400,500,630}),""))</f>
        <v>16</v>
      </c>
      <c r="EC51" t="str">
        <f>IF(AD51="","",SUMIFS(Линии[_Ток схемы],Линии[_гр.],DY51,Линии[Щит],A51,Линии[_в кабель выше],0))</f>
        <v/>
      </c>
      <c r="ED51" t="str">
        <f>IF(AD51="","",IFERROR(VLOOKUP(EC51,Автомат_номиналы,2,TRUE),""))</f>
        <v/>
      </c>
      <c r="EE51" t="str">
        <f>IF(AD51="","",MAX(N(ED51),_xlfn.MAXIFS(Линии[_мин. по типу],Линии[_гр.],DY51,Линии[Щит],A51)))</f>
        <v/>
      </c>
      <c r="EF51" t="str">
        <f>IF(AD51="","",_xlfn.MINIFS(Линии[_макс. автомат по кабелю],Линии[_гр.],DY51,Линии[Щит],A51))</f>
        <v/>
      </c>
      <c r="EG51" t="str">
        <f>IF(AD51="","",MAX(1,_xlfn.MAXIFS(Линии[_фаз],Линии[_гр.],DY51,Линии[Щит],A51)))</f>
        <v/>
      </c>
      <c r="EH51" t="str">
        <f>IF(AD51="","",IF(AND(AD51&lt;&gt;"авто",AD51&lt;&gt;"+"),IF(ISNUMBER(SEARCH("мА",AD51)),IFERROR(--TRIM(RIGHT(SUBSTITUTE(LEFT(AD51,SEARCH("мА",AD51)-1)," ",REPT(" ",9)),6)),30),0),IF(AE51="нет",0,IF(ISNUMBER(AE51),AE51,IF(AE51="да",30,_xlfn.MINIFS(Линии[_дифзащита по коду, мА],Линии[_гр.],DY51,Линии[Щит],A51,Линии[_дифзащита по коду, мА],"&gt;0"))))))</f>
        <v/>
      </c>
      <c r="EI51" t="str">
        <f t="shared" si="43"/>
        <v/>
      </c>
      <c r="EJ51" t="str">
        <f t="shared" si="44"/>
        <v/>
      </c>
      <c r="EK51" t="str">
        <f t="shared" si="45"/>
        <v/>
      </c>
      <c r="EL51" t="str">
        <f t="shared" si="46"/>
        <v/>
      </c>
      <c r="EM51">
        <f t="shared" si="47"/>
        <v>0</v>
      </c>
      <c r="EN51" t="str">
        <f>IF(AD51="","",IF(EM51=1,MAX(EE51,Мин_автомат_БП),EE51))</f>
        <v/>
      </c>
      <c r="EO51" t="str">
        <f t="shared" si="48"/>
        <v/>
      </c>
      <c r="EP51" t="str">
        <f t="shared" si="49"/>
        <v/>
      </c>
      <c r="EQ51" t="str">
        <f t="shared" si="50"/>
        <v/>
      </c>
      <c r="ER51" t="str">
        <f>IF(OR(AI51="",AI51="-"),"",IFERROR(VLOOKUP(AI51,Модули_спр,2,FALSE),"R"))</f>
        <v/>
      </c>
      <c r="ES51" t="str">
        <f>IF(ER51="","",ER51&amp;"."&amp;COUNTIFS(A$3:A51,A51,ER$3:ER51,ER51))</f>
        <v/>
      </c>
      <c r="ET51" t="str">
        <f t="shared" si="51"/>
        <v/>
      </c>
      <c r="EU51" t="str">
        <f t="shared" si="52"/>
        <v/>
      </c>
      <c r="EV51" t="str">
        <f t="shared" si="53"/>
        <v/>
      </c>
      <c r="EW51" t="str">
        <f t="shared" si="54"/>
        <v/>
      </c>
      <c r="EX51">
        <f t="shared" si="55"/>
        <v>1</v>
      </c>
      <c r="EY51" t="str">
        <f>IF(AK51="нет","",IF(AK51&lt;&gt;"",AK51,IF(EX51=1,"XT"&amp;COUNTIFS(A$3:A51,A51,EX$3:EX51,1),"")))</f>
        <v>XT19</v>
      </c>
      <c r="EZ51" t="str">
        <f t="shared" si="56"/>
        <v/>
      </c>
      <c r="FA51" t="str">
        <f t="shared" si="57"/>
        <v/>
      </c>
      <c r="FB51" t="str">
        <f t="shared" si="58"/>
        <v/>
      </c>
      <c r="FC51" t="str">
        <f>IF(OR(EV51="",ET51=""),"",IF(EV51&gt;IFERROR(VLOOKUP(EU51,Модули_спр,3,FALSE),99),"ЛИШНИЙ КАНАЛ",IF(AND(AJ51&lt;&gt;"=",COUNTIFS(Линии[_модуль гр.],ET51,Линии[Канал (итог)],EV51,Линии[Канал],"&lt;&gt;=",Линии[Щит],A51)&gt;1),"ДУБЛЬ КАНАЛА","")))</f>
        <v/>
      </c>
      <c r="FD51" t="str">
        <f t="shared" si="59"/>
        <v/>
      </c>
      <c r="FE51" t="str">
        <f t="shared" si="60"/>
        <v/>
      </c>
      <c r="FF51" t="str">
        <f t="shared" si="61"/>
        <v/>
      </c>
      <c r="FG51" t="str">
        <f t="shared" si="62"/>
        <v/>
      </c>
      <c r="FH51" t="str">
        <f t="shared" si="63"/>
        <v/>
      </c>
      <c r="FI51">
        <f t="shared" si="64"/>
        <v>10</v>
      </c>
      <c r="FJ51" t="str">
        <f t="shared" si="65"/>
        <v/>
      </c>
      <c r="FK51" t="str">
        <f>IF(AND(D51="",EZ51=""),"",_xlfn.TEXTJOIN("; ",TRUE,IF(AND(D51&lt;&gt;"",DD51=""),"нет фазы",""),IF(AND(D51&lt;&gt;"",N(DT51)=0,CN51&lt;&gt;"Нет"),"нет мощности",""),IF(AND(EY51&lt;&gt;"",COUNTIFS(Линии[Щит],A51,Линии[Клемма (итог)],EY51)&gt;1),"дубль клеммы "&amp;EY51,""),IF(AND(FB51&lt;&gt;"",FB51&lt;&gt;"ok"),FB51,""),IF(FC51&lt;&gt;"",FC51,""),IF(AND(ISNUMBER(SEARCH("(5х",DS51)),N(DV51)=1),"5 жил на 1 фазе",""),IF(AND(AT51="R",AD51&lt;&gt;"",OR(N(EH51)=0,N(EH51)&gt;30)),"розетка без дифзащиты до 30 мА",""),IFERROR(IF(AND(ISNUMBER(CD51),CD51&gt;CE51),"потери "&amp;FIXED(CD51,1)&amp;" % &gt; "&amp;CE51&amp;" %",""),""),IFERROR(IF(LEFT(FJ51,4)="мало","Iкз мало — отключение &gt; 0,4 с",""),""),IF(AND(D51&lt;&gt;"",BD51=""),"не на схеме","")))</f>
        <v>нет мощности; не на схеме</v>
      </c>
      <c r="FL51" t="str">
        <f>IF(AD51="","",_xlfn.LET(_xlpm.t,IFERROR(_xlfn.XLOOKUP(EP51,Каталог!$U$4:$U$500,Каталог!$G$4:$G$500),""),_xlpm.k,SEARCH("кА",_xlpm.t),IFERROR(--TRIM(RIGHT(SUBSTITUTE(MID(_xlpm.t,MAX(1,_xlpm.k-4),_xlpm.k-MAX(1,_xlpm.k-4))," ",REPT(" ",9)),5)),"")))</f>
        <v/>
      </c>
      <c r="FM51" t="str">
        <f>IF(OR(FL51="",AD51=""),"",IF(_xlfn.XLOOKUP(A51,Щиты[Щит],Щиты[Iкз max на шинах, кА],"")="","",IF(FL51&lt;_xlfn.XLOOKUP(A51,Щиты[Щит],Щиты[Iкз max на шинах, кА]),"Icu "&amp;FL51&amp;" кА &lt; Iкз max","ok")))</f>
        <v/>
      </c>
      <c r="FN51" t="str">
        <f t="shared" si="66"/>
        <v/>
      </c>
      <c r="FO51" t="str">
        <f t="shared" si="67"/>
        <v/>
      </c>
      <c r="FP51" t="str" cm="1">
        <f t="array" ref="FP51">IF(FO51="","",_xlfn.LET(_xlpm.nd,_xlfn.TEXTSPLIT(FO51,"|"),IF(COLUMNS(_xlpm.nd)&gt;1,A51&amp;"¦"&amp;INDEX(_xlpm.nd,1)&amp;"¦"&amp;INDEX(_xlpm.nd,2),"")))</f>
        <v/>
      </c>
      <c r="FQ51" t="str">
        <f t="shared" si="68"/>
        <v/>
      </c>
      <c r="FR51" t="str" cm="1">
        <f t="array" ref="FR51">IF(FO51="","",_xlfn.LET(_xlpm.nd,_xlfn.TEXTSPLIT(FO51,"|"),IF(COLUMNS(_xlpm.nd)&gt;2,A51&amp;"¦"&amp;INDEX(_xlpm.nd,2)&amp;"¦"&amp;INDEX(_xlpm.nd,3),"")))</f>
        <v/>
      </c>
      <c r="FS51" t="str">
        <f t="shared" si="69"/>
        <v/>
      </c>
      <c r="FT51" t="str" cm="1">
        <f t="array" ref="FT51">IF(FO51="","",_xlfn.LET(_xlpm.nd,_xlfn.TEXTSPLIT(FO51,"|"),IF(COLUMNS(_xlpm.nd)&gt;3,A51&amp;"¦"&amp;INDEX(_xlpm.nd,3)&amp;"¦"&amp;INDEX(_xlpm.nd,4),"")))</f>
        <v/>
      </c>
      <c r="FU51" t="str">
        <f t="shared" si="70"/>
        <v/>
      </c>
      <c r="FV51" t="str" cm="1">
        <f t="array" ref="FV51">IF(FO51="","",_xlfn.LET(_xlpm.nd,_xlfn.TEXTSPLIT(FO51,"|"),IF(COLUMNS(_xlpm.nd)&gt;4,A51&amp;"¦"&amp;INDEX(_xlpm.nd,4)&amp;"¦"&amp;INDEX(_xlpm.nd,5),"")))</f>
        <v/>
      </c>
      <c r="FW51" t="str">
        <f t="shared" si="71"/>
        <v/>
      </c>
      <c r="FX51" t="str" cm="1">
        <f t="array" ref="FX51">IF(FO51="","",_xlfn.LET(_xlpm.nd,_xlfn.TEXTSPLIT(FO51,"|"),IF(COLUMNS(_xlpm.nd)&gt;5,A51&amp;"¦"&amp;INDEX(_xlpm.nd,5)&amp;"¦"&amp;INDEX(_xlpm.nd,6),"")))</f>
        <v/>
      </c>
      <c r="FY51" t="str">
        <f t="shared" si="72"/>
        <v/>
      </c>
      <c r="FZ51" t="str" cm="1">
        <f t="array" ref="FZ51">IF(FO51="","",_xlfn.LET(_xlpm.nd,_xlfn.TEXTSPLIT(FO51,"|"),IF(COLUMNS(_xlpm.nd)&gt;6,A51&amp;"¦"&amp;INDEX(_xlpm.nd,6)&amp;"¦"&amp;INDEX(_xlpm.nd,7),"")))</f>
        <v/>
      </c>
      <c r="GA51" t="str">
        <f t="shared" si="73"/>
        <v/>
      </c>
      <c r="GB51" t="str">
        <f t="shared" si="74"/>
        <v/>
      </c>
      <c r="GC51" t="str">
        <f t="shared" si="75"/>
        <v>XT19</v>
      </c>
      <c r="GD51">
        <f t="shared" si="76"/>
        <v>0</v>
      </c>
      <c r="GE51">
        <f t="shared" si="77"/>
        <v>0</v>
      </c>
      <c r="GF51">
        <f t="shared" si="78"/>
        <v>0</v>
      </c>
      <c r="GG51" t="str">
        <f t="shared" si="79"/>
        <v/>
      </c>
      <c r="GH51" t="str">
        <f t="shared" si="80"/>
        <v/>
      </c>
      <c r="GI51" t="str">
        <f t="shared" si="81"/>
        <v/>
      </c>
      <c r="GJ51" t="str">
        <f t="shared" si="82"/>
        <v/>
      </c>
      <c r="GK51" t="str">
        <f>IF(D51="","",IFERROR(VLOOKUP(D51,УГО_спр,2,FALSE),IFERROR(VLOOKUP(AT51,УГО_спр,2,FALSE),IFERROR(VLOOKUP(LEFT(AT51,2),УГО_спр,2,FALSE),""))))</f>
        <v>Светильник</v>
      </c>
      <c r="GL51" t="str">
        <f>IF(D51="","",IF(OR(GK51="",GK51=0),"BOX",IFERROR(IF(VLOOKUP(GK51,УГО_блоки,3,FALSE)&amp;""&lt;&gt;"",VLOOKUP(GK51,УГО_блоки,3,FALSE),VLOOKUP(GK51,УГО_блоки,2,FALSE)),GK51)))</f>
        <v>LAMP</v>
      </c>
      <c r="GM51">
        <f t="shared" si="83"/>
        <v>1</v>
      </c>
      <c r="GN51" t="str">
        <f>IF(EP51="","",IF(COUNTIF(EP$3:EP51,EP51)=1,MAX(GN$2:GN50)+1,""))</f>
        <v/>
      </c>
      <c r="GO51" t="str">
        <f>IF(AF51="","",IF(COUNTIF(AF$3:AF51,AF51)+COUNTIF(AG$2:AG50,AF51)+COUNTIF(AH$2:AH50,AF51)=1,MAX(GO$2:GQ50)+1,""))</f>
        <v/>
      </c>
      <c r="GP51" t="str">
        <f>IF(AG51="","",IF(COUNTIF(AF$3:AF51,AG51)+COUNTIF(AG$3:AG51,AG51)+COUNTIF(AH$2:AH50,AG51)=1,MAX(GO$2:GQ50,GO51)+1,""))</f>
        <v/>
      </c>
      <c r="GQ51" t="str">
        <f>IF(AH51="","",IF(COUNTIF(AF$3:AF51,AH51)+COUNTIF(AG$3:AG51,AH51)+COUNTIF(AH$3:AH51,AH51)=1,MAX(GO$2:GQ50,GO51,GP51)+1,""))</f>
        <v/>
      </c>
      <c r="GR51" t="str">
        <f t="shared" si="84"/>
        <v>3х1,5</v>
      </c>
      <c r="GS51" t="str">
        <f>IF(GR51="","",IF(COUNTIF(GR$3:GR51,GR51)=1,MAX(GS$2:GS50)+1,""))</f>
        <v/>
      </c>
      <c r="GT51" t="str">
        <f>IF(ES51="","",COUNTIF(ES$3:ES51,"?*"))</f>
        <v/>
      </c>
      <c r="GU51" t="str">
        <f>IF(OR(ES51="",EU51=""),"",IF(COUNTIFS(ES$3:ES51,"?*",EU$3:EU51,EU51)=1,MAX(GU$2:GU50)+1,""))</f>
        <v/>
      </c>
      <c r="GV51">
        <f t="shared" si="85"/>
        <v>1</v>
      </c>
      <c r="GW51">
        <f>IF(D51="","",COUNTIF(D$3:D51,"?*"))</f>
        <v>49</v>
      </c>
      <c r="GX51">
        <f>IF(EX51&lt;&gt;1,0,_xlfn.LET(_xlpm.k,MAX(IFERROR(--VLOOKUP(D51,УГО_спр,5,FALSE),0),IFERROR(--VLOOKUP(AT51,УГО_спр,5,FALSE),0),IFERROR(--VLOOKUP(LEFT(AT51,2),УГО_спр,5,FALSE),0)),IF(_xlpm.k&gt;0,_xlpm.k,IF(IFERROR(--LEFT(SUBSTITUTE(GR51,"x","х"),FIND("х",SUBSTITUTE(GR51,"x","х"))-1),3)&gt;3,Каталог!$S$9,1))))</f>
        <v>1</v>
      </c>
      <c r="GY51">
        <f t="shared" si="86"/>
        <v>0</v>
      </c>
    </row>
    <row r="52" spans="1:207" x14ac:dyDescent="0.3">
      <c r="A52" t="s">
        <v>1146</v>
      </c>
      <c r="B52" t="s">
        <v>531</v>
      </c>
      <c r="C52" t="str">
        <f>IF(BD52="","",IF(BE52="вводной узел","узел ","")&amp;"л."&amp;(INT((BD52-1)/Столбцов_на_лист)+1)&amp;" / "&amp;(MOD(BD52-1,Столбцов_на_лист)+1))</f>
        <v/>
      </c>
      <c r="D52" t="s">
        <v>1325</v>
      </c>
      <c r="E52" s="133" t="str">
        <f t="shared" si="87"/>
        <v>Осветительная группа Подвальный этаж Пом. №003T</v>
      </c>
      <c r="G52">
        <v>0.1</v>
      </c>
      <c r="H52">
        <v>16</v>
      </c>
      <c r="I52">
        <v>1</v>
      </c>
      <c r="J52">
        <v>230</v>
      </c>
      <c r="K52" t="s">
        <v>566</v>
      </c>
      <c r="P52">
        <v>56</v>
      </c>
      <c r="Q52">
        <v>8</v>
      </c>
      <c r="R52">
        <v>71</v>
      </c>
      <c r="U52" t="s">
        <v>11</v>
      </c>
      <c r="V52">
        <v>3</v>
      </c>
      <c r="W52">
        <v>1.5</v>
      </c>
      <c r="Z52" t="s">
        <v>559</v>
      </c>
      <c r="AR52" t="str">
        <f t="shared" si="0"/>
        <v>не на схеме</v>
      </c>
      <c r="AS52" cm="1">
        <f t="array" ref="AS52">ROW()-ROW(Линии[#Headers])</f>
        <v>50</v>
      </c>
      <c r="AT52" t="str">
        <f t="shared" si="1"/>
        <v>L</v>
      </c>
      <c r="AU52" t="str">
        <f t="shared" si="2"/>
        <v>00.003T.1</v>
      </c>
      <c r="AV52" t="str">
        <f t="shared" si="3"/>
        <v>00</v>
      </c>
      <c r="AW52" t="str">
        <f t="shared" si="4"/>
        <v>003T.1</v>
      </c>
      <c r="AX52" t="str">
        <f t="shared" si="5"/>
        <v>003T</v>
      </c>
      <c r="AY52" t="str">
        <f>IF(D52="","",IF(ISERROR(SEARCH(".",D52)),IFERROR(VLOOKUP(D52,Потребители_обозначение,2,FALSE)&amp;"",""),IFERROR(IF(VLOOKUP(AT52,Потребители_обозначение,4,FALSE)=1,VLOOKUP(AT52,Потребители_обозначение,2,FALSE)&amp;" "&amp;VLOOKUP(AV52,Этаж_обозначение,2,FALSE)&amp;" Пом. №"&amp;AX52,VLOOKUP(AT52,Потребители_обозначение,2,FALSE)&amp;" Шлейф №"&amp;AV52),IFERROR(VLOOKUP(D52,Потребители_обозначение,2,FALSE),""))))</f>
        <v>Осветительная группа Подвальный этаж Пом. №003T</v>
      </c>
      <c r="AZ52" t="str">
        <f t="shared" si="6"/>
        <v>Осветительная группа Подвальный этаж Пом. №003T</v>
      </c>
      <c r="BA52" t="str">
        <f>IF(F52&lt;&gt;"",F52,IF(AND(D52&lt;&gt;"",D52&lt;&gt;A52,ISNUMBER(_xlfn.XMATCH(D52,Щиты[Щит]))),D52,""))</f>
        <v/>
      </c>
      <c r="BB52">
        <f>IFERROR(_xlfn.XMATCH(A52,Щиты[Щит]),0)</f>
        <v>3</v>
      </c>
      <c r="BC52">
        <f>IFERROR(N(_xlfn.XLOOKUP(A52,Щиты[Щит],Щиты[Мест под вводной узел])),15)</f>
        <v>15</v>
      </c>
      <c r="BD52" t="str">
        <f t="shared" si="7"/>
        <v/>
      </c>
      <c r="BE52" t="str">
        <f t="shared" si="8"/>
        <v/>
      </c>
      <c r="BF52">
        <f>IF(D52="","",IF(BA52&lt;&gt;"",IFERROR(_xlfn.XLOOKUP(BA52,Щиты[Щит],Щиты[Руст, кВт]),0),N(G52)))</f>
        <v>0.1</v>
      </c>
      <c r="BG52">
        <f>IF(J52&lt;&gt;"",J52,IF(D52="","",IFERROR(IF(VLOOKUP(AT52,Потребители_обозначение,8,FALSE)=0,"",VLOOKUP(AT52,Потребители_обозначение,8,FALSE)),"")))</f>
        <v>230</v>
      </c>
      <c r="BH52">
        <f>IF(I52&lt;&gt;"",I52,IF(D52="","",IFERROR(IF(VLOOKUP(AT52,Потребители_обозначение,9,FALSE)=0,"",VLOOKUP(AT52,Потребители_обозначение,9,FALSE)),"")))</f>
        <v>1</v>
      </c>
      <c r="BI52" t="str">
        <f>IF(U52&lt;&gt;"",U52,IF(D52="","",IFERROR(IF(VLOOKUP(AT52,Потребители_обозначение,6,FALSE)=0,"",VLOOKUP(AT52,Потребители_обозначение,6,FALSE)),"")))</f>
        <v>мс</v>
      </c>
      <c r="BJ52">
        <f>IF(V52&lt;&gt;"",V52,IF(D52="","",IFERROR(IF(VLOOKUP(AT52,Потребители_обозначение,7,FALSE)=0,"",VLOOKUP(AT52,Потребители_обозначение,7,FALSE)),"")))</f>
        <v>3</v>
      </c>
      <c r="BK52">
        <f>IF(W52&lt;&gt;"",W52,IF(D52="","",IFERROR(IF(VLOOKUP(AT52,Потребители_обозначение,10,FALSE)=0,"",VLOOKUP(AT52,Потребители_обозначение,10,FALSE)),"")))</f>
        <v>1.5</v>
      </c>
      <c r="BL52">
        <f>IFERROR(VLOOKUP(AT52,Потребители_обозначение,5,FALSE),0)</f>
        <v>3</v>
      </c>
      <c r="BM52" cm="1">
        <f t="array" ref="BM52">IF(D52="","",IF(BA52&lt;&gt;"",IFERROR(_xlfn.XLOOKUP(BA52,Щиты[Щит],Щиты[cos φ]),0.95),IF(ISNUMBER(M52),M52,IFERROR(IF(BL52=2,_xlfn.IFS(BH52=3,VLOOKUP(BF52,Справочная_двигатели,8,FALSE),BH52=1,VLOOKUP(BF52,Справочная_двигатели,10,TRUE)),IF(AND(Методика="нормы 2026",CN52="Сил"),0.8,0.95)),0.95))))</f>
        <v>0.95</v>
      </c>
      <c r="BN52" cm="1">
        <f t="array" ref="BN52">IF(D52="","",IF(BA52&lt;&gt;"",IFERROR(_xlfn.XLOOKUP(BA52,Щиты[Щит],Щиты[Iр, А]),""),IFERROR(_xlfn.IFS(BH52=1,BF52/((Uн_лин/SQRT(3))*BM52),BH52=3,BF52/(SQRT(3)*Uн_лин*BM52)),"")))</f>
        <v>0.455802844097073</v>
      </c>
      <c r="BO52">
        <f>IF(D52="","",IF(N(X52)=0,IFERROR(VLOOKUP(BN52,Автомат_номиналы,2,TRUE),""),X52))</f>
        <v>6</v>
      </c>
      <c r="BP52">
        <f t="shared" si="9"/>
        <v>1</v>
      </c>
      <c r="BQ52">
        <f>IF(ISNUMBER(Y52),Y52,К_прокл)</f>
        <v>1</v>
      </c>
      <c r="BR52">
        <f t="shared" si="10"/>
        <v>2</v>
      </c>
      <c r="BS52" cm="1">
        <f t="array" ref="BS52">IF(D52="","",IF(N(BK52)&lt;&gt;0,BK52,IFERROR(_xlfn.LET(_xlpm.need,BO52/(BP52*BQ52),_xlpm.t,CHOOSE(BR52,Iдоп_1ж,Iдоп_2ж,Iдоп_3ж),_xlpm.k,_xlfn.XMATCH(_xlpm.need,_xlpm.t,1),IF(ISNA(_xlpm.k),"Не исп",INDEX(Iдоп_S,_xlpm.k))),"Не исп")))</f>
        <v>1.5</v>
      </c>
      <c r="BT52">
        <f>IFERROR(VLOOKUP(BS52,Кабель_сопротивление,3,FALSE),"")</f>
        <v>2.2499999999999999E-2</v>
      </c>
      <c r="BU52">
        <f>IFERROR(VLOOKUP(BS52,Кабель_сопротивление,2,FALSE),"")</f>
        <v>0.11</v>
      </c>
      <c r="BV52">
        <f t="shared" si="11"/>
        <v>56</v>
      </c>
      <c r="BW52">
        <f>IF(D52="","",IFERROR(IF(VLOOKUP(AT52,Потребители_обозначение,4,FALSE)=1,VLOOKUP(AT52,Потребители_обозначение,3,FALSE)*(H52*2-1)+BV52+VLOOKUP(AV52,Этаж_обозначение,3,FALSE)+VLOOKUP(AV52,Этаж_обозначение,4,FALSE),VLOOKUP(AT52,Потребители_обозначение,3,FALSE)*(H52*2-1)+BV52),BV52))</f>
        <v>87</v>
      </c>
      <c r="BX52">
        <f t="shared" si="12"/>
        <v>71</v>
      </c>
      <c r="BY52" t="str">
        <f t="shared" si="13"/>
        <v/>
      </c>
      <c r="BZ52">
        <f t="shared" si="14"/>
        <v>2</v>
      </c>
      <c r="CA52">
        <f t="shared" si="15"/>
        <v>0.31</v>
      </c>
      <c r="CB52">
        <f t="shared" si="16"/>
        <v>1.1328676125338579</v>
      </c>
      <c r="CC52">
        <f>IFERROR(ROUNDUP(CB52/((Uн_лин/SQRT(3))*1000)*100,2),"")</f>
        <v>0.5</v>
      </c>
      <c r="CD52">
        <f>IF(ISNUMBER(CC52),CC52+IFERROR(_xlfn.XLOOKUP(A52,Щиты[Щит],Щиты[ΔU до шин, %]),0),"")</f>
        <v>0.67</v>
      </c>
      <c r="CE52">
        <f>IF(D52="","",IF(IFERROR(VLOOKUP(AT52,УГО_спр,2,FALSE),"")="Светильник",3,4)+IF(Методика="нормы 2026",MIN(0.5,MAX(0,N(BW52)-100)*0.005),0))</f>
        <v>3</v>
      </c>
      <c r="CF52" t="str">
        <f>IFERROR(VLOOKUP(BI52,Кабель_обозначение,2,FALSE),"")</f>
        <v>ВВГнг(А)-LS</v>
      </c>
      <c r="CG52" t="str">
        <f>IFERROR(IF(VLOOKUP(BI52,Кабель_обозначение,3,FALSE)=1,CF52&amp;" ("&amp;BJ52&amp;"х"&amp;BS52&amp;")",CF52),"")</f>
        <v>ВВГнг(А)-LS (3х1,5)</v>
      </c>
      <c r="CH52" t="str">
        <f t="shared" si="17"/>
        <v>ВВГнг(А)-LS (3х1,5)
L=87-0,5%</v>
      </c>
      <c r="CI52">
        <f>IFERROR(2*ρкз_Cu*BW52/BS52,"")</f>
        <v>3.0508000000000002</v>
      </c>
      <c r="CJ52">
        <f t="shared" si="18"/>
        <v>1.0150000000000001</v>
      </c>
      <c r="CK52" t="str">
        <f>IFERROR(IF(OR(D52="",NOT(ISNUMBER(BS52)),N(BW52)=0),"",_xlfn.XLOOKUP(A52,Щиты[Щит],Щиты[Zпетли на шинах, Ом])+CI52),"")</f>
        <v/>
      </c>
      <c r="CL52" t="str">
        <f>IF(ISNUMBER(CK52),c_min*(Uн_лин*1000/SQRT(3))/CK52,"")</f>
        <v/>
      </c>
      <c r="CM52" t="str">
        <f>IFERROR(IF(OR(D52="",NOT(ISNUMBER(BS52))),"",1.05*(Uн_лин*1000/SQRT(3))/(_xlfn.XLOOKUP(A52,Щиты[Щит],Щиты[Zmax на шинах, Ом])+CJ52)/1000),"")</f>
        <v/>
      </c>
      <c r="CN52" t="str">
        <f>IF(D52="","",IF(BA52&lt;&gt;"","Щит",IF(K52&lt;&gt;"",K52,IF(ISNUMBER(L52),"Сил",IF(IFERROR(_xlfn.XLOOKUP(AT52,Коды_код,Коды_группа)&amp;"","")="","Быт",_xlfn.XLOOKUP(AT52,Коды_код,Коды_группа)&amp;"")))))</f>
        <v>Быт</v>
      </c>
      <c r="CO52">
        <f>IF(CN52="Щит","щит",IF(CN52="","",IF(CN52="Быт",IFERROR(_xlfn.XLOOKUP(A52,Щиты[Щит],Щиты[Кс быт]),1),IF(CN52="Сил",IF(ISNUMBER(L52),L52,IF(Методика="нормы 2026",IFERROR(_xlfn.XLOOKUP(A52,Щиты[Щит],Щиты[Кс силовых (табл. 7.5)]),1),1)),IF(OR(CN52="Пост",CN52="Отоп"),1,IF(CN52="ВНГ",0.7,0))))))</f>
        <v>0.8</v>
      </c>
      <c r="CP52">
        <f t="shared" si="19"/>
        <v>1</v>
      </c>
      <c r="CQ52">
        <f t="shared" si="20"/>
        <v>0.1</v>
      </c>
      <c r="CR52">
        <f t="shared" si="21"/>
        <v>0.1</v>
      </c>
      <c r="CS52">
        <f t="shared" si="22"/>
        <v>0</v>
      </c>
      <c r="CT52">
        <f t="shared" si="23"/>
        <v>0</v>
      </c>
      <c r="CU52">
        <f t="shared" si="24"/>
        <v>0</v>
      </c>
      <c r="CV52">
        <f t="shared" si="25"/>
        <v>0</v>
      </c>
      <c r="CW52">
        <f t="shared" si="26"/>
        <v>0.1</v>
      </c>
      <c r="CX52">
        <f t="shared" si="27"/>
        <v>9.5000000000000001E-2</v>
      </c>
      <c r="CY52">
        <f t="shared" si="28"/>
        <v>3</v>
      </c>
      <c r="CZ52" t="str">
        <f t="shared" si="29"/>
        <v>L3</v>
      </c>
      <c r="DA52" cm="1">
        <f t="array" ref="DA52">IFERROR(IF(BL52=2,_xlfn.IFS(BH52=3,VLOOKUP(BF52,Справочная_двигатели,3,FALSE),BH52=1,VLOOKUP(BF52,Справочная_двигатели,5,TRUE)),0),0)</f>
        <v>0</v>
      </c>
      <c r="DB52">
        <f>IFERROR(IF(BL52=3,VLOOKUP(BF52,Справочная_ЛЭД,2,TRUE),0),0)</f>
        <v>50</v>
      </c>
      <c r="DC52">
        <f t="shared" si="30"/>
        <v>50</v>
      </c>
      <c r="DD52" t="str">
        <f t="shared" si="31"/>
        <v>L3</v>
      </c>
      <c r="DE52" t="str" cm="1">
        <f t="array" ref="DE52">IF(D52="","",IFERROR(INDEX({"I особая","I","II","III"},MATCH(TRIM(AA52&amp;""),{"I особая","I","II","III"},0)),"III"))</f>
        <v>III</v>
      </c>
      <c r="DF52" t="str">
        <f>IF(D52="","",IF(TRIM(AB52&amp;"")&lt;&gt;"",IF(LOWER(TRIM(AB52&amp;""))="да","да","нет"),IF(IFERROR(_xlfn.XLOOKUP(AT52,Коды_код,Коды_пожарная),"")="да","да","нет")))</f>
        <v>нет</v>
      </c>
      <c r="DG52" t="str">
        <f t="shared" si="32"/>
        <v/>
      </c>
      <c r="DH52" t="str">
        <f t="shared" si="33"/>
        <v>основная</v>
      </c>
      <c r="DI52">
        <f t="shared" si="34"/>
        <v>1</v>
      </c>
      <c r="DJ52" t="str" cm="1">
        <f t="array" ref="DJ52">IF(D52="","",_xlfn.LET(_xlpm.t,IFERROR(_xlfn.XLOOKUP(1,(Шины[Шина]=DH52)*(((Шины[Щит]=A52)+(Шины[Щит]=""))&gt;0),Шины[Тип]),"")&amp;"",IF(_xlpm.t&lt;&gt;"",_xlpm.t,IF(ISNUMBER(SEARCH("ИБП",DH52)),"ИБП",IF(ISNUMBER(SEARCH("ДГУ",DH52)),"ДГУ","Ввод "&amp;DI52)))))</f>
        <v>Ввод 1</v>
      </c>
      <c r="DK52" t="str">
        <f t="shared" si="35"/>
        <v>Ввод 1</v>
      </c>
      <c r="DL52" t="str">
        <f>IF(D52="","",IF(OR(DJ52="ИБП",DJ52="ДГУ"),"I особая",IF(DJ52="Одиночная","III",_xlfn.XLOOKUP(A52,Щиты[Щит],Щиты[Категория шины «Ввод»],"III"))))</f>
        <v>II</v>
      </c>
      <c r="DM52">
        <f>IF(D52="",0,IFERROR(MATCH(DE52,{"III","II","I","I особая"},0),1))</f>
        <v>1</v>
      </c>
      <c r="DN52">
        <f t="shared" si="36"/>
        <v>1</v>
      </c>
      <c r="DO52" t="str">
        <f>IF(D52="","",IF(DM52&gt;IFERROR(MATCH(DL52,{"III","II","I","I особая"},0),1),"НЕ ОБЕСПЕЧЕНА","ОК"))</f>
        <v>ОК</v>
      </c>
      <c r="DP52" t="str">
        <f>IF(A52="","",_xlfn.XLOOKUP(A52,Щиты[Щит],Щиты[Путь],""))</f>
        <v>|ГРЩ-ЖД|ЩГП|ЩО-001|</v>
      </c>
      <c r="DQ52" t="str">
        <f>IF(D52="","",IF(Z52&lt;&gt;"",Z52,IF(IFERROR(_xlfn.XLOOKUP(AT52,Коды_код,Коды_вид)&amp;"","")="","Прочее",_xlfn.XLOOKUP(AT52,Коды_код,Коды_вид)&amp;"")))</f>
        <v>Рабочее освещение</v>
      </c>
      <c r="DR52" t="str">
        <f>IF(BD52="","",INT((BD52-1)/Столбцов_на_лист)+1)</f>
        <v/>
      </c>
      <c r="DS52" t="str">
        <f t="shared" si="37"/>
        <v>ВВГнг(А)-LS (3х1,5) L=87-0,5%</v>
      </c>
      <c r="DT52">
        <f t="shared" si="38"/>
        <v>0.1</v>
      </c>
      <c r="DU52">
        <f t="shared" si="39"/>
        <v>0.46</v>
      </c>
      <c r="DV52">
        <f t="shared" si="40"/>
        <v>1</v>
      </c>
      <c r="DW52">
        <f>IF(AT52="",0,_xlfn.LET(_xlpm.v,IFERROR(VLOOKUP(D52,УГО_спр,3,FALSE),IFERROR(VLOOKUP(AT52,УГО_спр,3,FALSE),IFERROR(VLOOKUP(LEFT(AT52,2),УГО_спр,3,FALSE),""))),IF(_xlpm.v="да",30,IF(ISNUMBER(_xlpm.v),_xlpm.v,0))))</f>
        <v>0</v>
      </c>
      <c r="DX52">
        <f t="shared" si="41"/>
        <v>0</v>
      </c>
      <c r="DY52" t="str">
        <f>IF(BD52="","",IF(AD52&lt;&gt;"",COUNTIFS(A$3:A52,A52,AD$3:AD52,"?*"),IF(OR(OR(AS52=1,A52&lt;&gt;A51),AL52="вручную"),"",IF(AS52=1,"",DZ51))))</f>
        <v/>
      </c>
      <c r="DZ52" t="str">
        <f t="shared" si="42"/>
        <v/>
      </c>
      <c r="EA52">
        <f>IF(D52="",0,MAX(IFERROR(--X52,0),IFERROR(--VLOOKUP(D52,УГО_спр,4,FALSE),IFERROR(--VLOOKUP(AT52,УГО_спр,4,FALSE),IFERROR(--VLOOKUP(LEFT(AT52,2),УГО_спр,4,FALSE),0)))))</f>
        <v>10</v>
      </c>
      <c r="EB52">
        <f>IF(D52="","",IFERROR(LOOKUP(INDEX(CHOOSE(BR52,Iдоп_1ж,Iдоп_2ж,Iдоп_3ж),MATCH(BS52,Iдоп_S,0))*BP52*BQ52,{6,10,16,20,25,32,40,50,63,80,100,125,160,200,250,315,400,500,630}),""))</f>
        <v>16</v>
      </c>
      <c r="EC52" t="str">
        <f>IF(AD52="","",SUMIFS(Линии[_Ток схемы],Линии[_гр.],DY52,Линии[Щит],A52,Линии[_в кабель выше],0))</f>
        <v/>
      </c>
      <c r="ED52" t="str">
        <f>IF(AD52="","",IFERROR(VLOOKUP(EC52,Автомат_номиналы,2,TRUE),""))</f>
        <v/>
      </c>
      <c r="EE52" t="str">
        <f>IF(AD52="","",MAX(N(ED52),_xlfn.MAXIFS(Линии[_мин. по типу],Линии[_гр.],DY52,Линии[Щит],A52)))</f>
        <v/>
      </c>
      <c r="EF52" t="str">
        <f>IF(AD52="","",_xlfn.MINIFS(Линии[_макс. автомат по кабелю],Линии[_гр.],DY52,Линии[Щит],A52))</f>
        <v/>
      </c>
      <c r="EG52" t="str">
        <f>IF(AD52="","",MAX(1,_xlfn.MAXIFS(Линии[_фаз],Линии[_гр.],DY52,Линии[Щит],A52)))</f>
        <v/>
      </c>
      <c r="EH52" t="str">
        <f>IF(AD52="","",IF(AND(AD52&lt;&gt;"авто",AD52&lt;&gt;"+"),IF(ISNUMBER(SEARCH("мА",AD52)),IFERROR(--TRIM(RIGHT(SUBSTITUTE(LEFT(AD52,SEARCH("мА",AD52)-1)," ",REPT(" ",9)),6)),30),0),IF(AE52="нет",0,IF(ISNUMBER(AE52),AE52,IF(AE52="да",30,_xlfn.MINIFS(Линии[_дифзащита по коду, мА],Линии[_гр.],DY52,Линии[Щит],A52,Линии[_дифзащита по коду, мА],"&gt;0"))))))</f>
        <v/>
      </c>
      <c r="EI52" t="str">
        <f t="shared" si="43"/>
        <v/>
      </c>
      <c r="EJ52" t="str">
        <f t="shared" si="44"/>
        <v/>
      </c>
      <c r="EK52" t="str">
        <f t="shared" si="45"/>
        <v/>
      </c>
      <c r="EL52" t="str">
        <f t="shared" si="46"/>
        <v/>
      </c>
      <c r="EM52">
        <f t="shared" si="47"/>
        <v>0</v>
      </c>
      <c r="EN52" t="str">
        <f>IF(AD52="","",IF(EM52=1,MAX(EE52,Мин_автомат_БП),EE52))</f>
        <v/>
      </c>
      <c r="EO52" t="str">
        <f t="shared" si="48"/>
        <v/>
      </c>
      <c r="EP52" t="str">
        <f t="shared" si="49"/>
        <v/>
      </c>
      <c r="EQ52" t="str">
        <f t="shared" si="50"/>
        <v/>
      </c>
      <c r="ER52" t="str">
        <f>IF(OR(AI52="",AI52="-"),"",IFERROR(VLOOKUP(AI52,Модули_спр,2,FALSE),"R"))</f>
        <v/>
      </c>
      <c r="ES52" t="str">
        <f>IF(ER52="","",ER52&amp;"."&amp;COUNTIFS(A$3:A52,A52,ER$3:ER52,ER52))</f>
        <v/>
      </c>
      <c r="ET52" t="str">
        <f t="shared" si="51"/>
        <v/>
      </c>
      <c r="EU52" t="str">
        <f t="shared" si="52"/>
        <v/>
      </c>
      <c r="EV52" t="str">
        <f t="shared" si="53"/>
        <v/>
      </c>
      <c r="EW52" t="str">
        <f t="shared" si="54"/>
        <v/>
      </c>
      <c r="EX52">
        <f t="shared" si="55"/>
        <v>1</v>
      </c>
      <c r="EY52" t="str">
        <f>IF(AK52="нет","",IF(AK52&lt;&gt;"",AK52,IF(EX52=1,"XT"&amp;COUNTIFS(A$3:A52,A52,EX$3:EX52,1),"")))</f>
        <v>XT20</v>
      </c>
      <c r="EZ52" t="str">
        <f t="shared" si="56"/>
        <v/>
      </c>
      <c r="FA52" t="str">
        <f t="shared" si="57"/>
        <v/>
      </c>
      <c r="FB52" t="str">
        <f t="shared" si="58"/>
        <v/>
      </c>
      <c r="FC52" t="str">
        <f>IF(OR(EV52="",ET52=""),"",IF(EV52&gt;IFERROR(VLOOKUP(EU52,Модули_спр,3,FALSE),99),"ЛИШНИЙ КАНАЛ",IF(AND(AJ52&lt;&gt;"=",COUNTIFS(Линии[_модуль гр.],ET52,Линии[Канал (итог)],EV52,Линии[Канал],"&lt;&gt;=",Линии[Щит],A52)&gt;1),"ДУБЛЬ КАНАЛА","")))</f>
        <v/>
      </c>
      <c r="FD52" t="str">
        <f t="shared" si="59"/>
        <v/>
      </c>
      <c r="FE52" t="str">
        <f t="shared" si="60"/>
        <v/>
      </c>
      <c r="FF52" t="str">
        <f t="shared" si="61"/>
        <v/>
      </c>
      <c r="FG52" t="str">
        <f t="shared" si="62"/>
        <v/>
      </c>
      <c r="FH52" t="str">
        <f t="shared" si="63"/>
        <v/>
      </c>
      <c r="FI52">
        <f t="shared" si="64"/>
        <v>10</v>
      </c>
      <c r="FJ52" t="str">
        <f t="shared" si="65"/>
        <v/>
      </c>
      <c r="FK52" t="str">
        <f>IF(AND(D52="",EZ52=""),"",_xlfn.TEXTJOIN("; ",TRUE,IF(AND(D52&lt;&gt;"",DD52=""),"нет фазы",""),IF(AND(D52&lt;&gt;"",N(DT52)=0,CN52&lt;&gt;"Нет"),"нет мощности",""),IF(AND(EY52&lt;&gt;"",COUNTIFS(Линии[Щит],A52,Линии[Клемма (итог)],EY52)&gt;1),"дубль клеммы "&amp;EY52,""),IF(AND(FB52&lt;&gt;"",FB52&lt;&gt;"ok"),FB52,""),IF(FC52&lt;&gt;"",FC52,""),IF(AND(ISNUMBER(SEARCH("(5х",DS52)),N(DV52)=1),"5 жил на 1 фазе",""),IF(AND(AT52="R",AD52&lt;&gt;"",OR(N(EH52)=0,N(EH52)&gt;30)),"розетка без дифзащиты до 30 мА",""),IFERROR(IF(AND(ISNUMBER(CD52),CD52&gt;CE52),"потери "&amp;FIXED(CD52,1)&amp;" % &gt; "&amp;CE52&amp;" %",""),""),IFERROR(IF(LEFT(FJ52,4)="мало","Iкз мало — отключение &gt; 0,4 с",""),""),IF(AND(D52&lt;&gt;"",BD52=""),"не на схеме","")))</f>
        <v>не на схеме</v>
      </c>
      <c r="FL52" t="str">
        <f>IF(AD52="","",_xlfn.LET(_xlpm.t,IFERROR(_xlfn.XLOOKUP(EP52,Каталог!$U$4:$U$500,Каталог!$G$4:$G$500),""),_xlpm.k,SEARCH("кА",_xlpm.t),IFERROR(--TRIM(RIGHT(SUBSTITUTE(MID(_xlpm.t,MAX(1,_xlpm.k-4),_xlpm.k-MAX(1,_xlpm.k-4))," ",REPT(" ",9)),5)),"")))</f>
        <v/>
      </c>
      <c r="FM52" t="str">
        <f>IF(OR(FL52="",AD52=""),"",IF(_xlfn.XLOOKUP(A52,Щиты[Щит],Щиты[Iкз max на шинах, кА],"")="","",IF(FL52&lt;_xlfn.XLOOKUP(A52,Щиты[Щит],Щиты[Iкз max на шинах, кА]),"Icu "&amp;FL52&amp;" кА &lt; Iкз max","ok")))</f>
        <v/>
      </c>
      <c r="FN52" t="str">
        <f t="shared" si="66"/>
        <v/>
      </c>
      <c r="FO52" t="str">
        <f t="shared" si="67"/>
        <v/>
      </c>
      <c r="FP52" t="str" cm="1">
        <f t="array" ref="FP52">IF(FO52="","",_xlfn.LET(_xlpm.nd,_xlfn.TEXTSPLIT(FO52,"|"),IF(COLUMNS(_xlpm.nd)&gt;1,A52&amp;"¦"&amp;INDEX(_xlpm.nd,1)&amp;"¦"&amp;INDEX(_xlpm.nd,2),"")))</f>
        <v/>
      </c>
      <c r="FQ52" t="str">
        <f t="shared" si="68"/>
        <v/>
      </c>
      <c r="FR52" t="str" cm="1">
        <f t="array" ref="FR52">IF(FO52="","",_xlfn.LET(_xlpm.nd,_xlfn.TEXTSPLIT(FO52,"|"),IF(COLUMNS(_xlpm.nd)&gt;2,A52&amp;"¦"&amp;INDEX(_xlpm.nd,2)&amp;"¦"&amp;INDEX(_xlpm.nd,3),"")))</f>
        <v/>
      </c>
      <c r="FS52" t="str">
        <f t="shared" si="69"/>
        <v/>
      </c>
      <c r="FT52" t="str" cm="1">
        <f t="array" ref="FT52">IF(FO52="","",_xlfn.LET(_xlpm.nd,_xlfn.TEXTSPLIT(FO52,"|"),IF(COLUMNS(_xlpm.nd)&gt;3,A52&amp;"¦"&amp;INDEX(_xlpm.nd,3)&amp;"¦"&amp;INDEX(_xlpm.nd,4),"")))</f>
        <v/>
      </c>
      <c r="FU52" t="str">
        <f t="shared" si="70"/>
        <v/>
      </c>
      <c r="FV52" t="str" cm="1">
        <f t="array" ref="FV52">IF(FO52="","",_xlfn.LET(_xlpm.nd,_xlfn.TEXTSPLIT(FO52,"|"),IF(COLUMNS(_xlpm.nd)&gt;4,A52&amp;"¦"&amp;INDEX(_xlpm.nd,4)&amp;"¦"&amp;INDEX(_xlpm.nd,5),"")))</f>
        <v/>
      </c>
      <c r="FW52" t="str">
        <f t="shared" si="71"/>
        <v/>
      </c>
      <c r="FX52" t="str" cm="1">
        <f t="array" ref="FX52">IF(FO52="","",_xlfn.LET(_xlpm.nd,_xlfn.TEXTSPLIT(FO52,"|"),IF(COLUMNS(_xlpm.nd)&gt;5,A52&amp;"¦"&amp;INDEX(_xlpm.nd,5)&amp;"¦"&amp;INDEX(_xlpm.nd,6),"")))</f>
        <v/>
      </c>
      <c r="FY52" t="str">
        <f t="shared" si="72"/>
        <v/>
      </c>
      <c r="FZ52" t="str" cm="1">
        <f t="array" ref="FZ52">IF(FO52="","",_xlfn.LET(_xlpm.nd,_xlfn.TEXTSPLIT(FO52,"|"),IF(COLUMNS(_xlpm.nd)&gt;6,A52&amp;"¦"&amp;INDEX(_xlpm.nd,6)&amp;"¦"&amp;INDEX(_xlpm.nd,7),"")))</f>
        <v/>
      </c>
      <c r="GA52" t="str">
        <f t="shared" si="73"/>
        <v/>
      </c>
      <c r="GB52" t="str">
        <f t="shared" si="74"/>
        <v/>
      </c>
      <c r="GC52" t="str">
        <f t="shared" si="75"/>
        <v>XT20</v>
      </c>
      <c r="GD52">
        <f t="shared" si="76"/>
        <v>0</v>
      </c>
      <c r="GE52">
        <f t="shared" si="77"/>
        <v>0</v>
      </c>
      <c r="GF52">
        <f t="shared" si="78"/>
        <v>0</v>
      </c>
      <c r="GG52" t="str">
        <f t="shared" si="79"/>
        <v/>
      </c>
      <c r="GH52" t="str">
        <f t="shared" si="80"/>
        <v/>
      </c>
      <c r="GI52" t="str">
        <f t="shared" si="81"/>
        <v/>
      </c>
      <c r="GJ52" t="str">
        <f t="shared" si="82"/>
        <v/>
      </c>
      <c r="GK52" t="str">
        <f>IF(D52="","",IFERROR(VLOOKUP(D52,УГО_спр,2,FALSE),IFERROR(VLOOKUP(AT52,УГО_спр,2,FALSE),IFERROR(VLOOKUP(LEFT(AT52,2),УГО_спр,2,FALSE),""))))</f>
        <v>Светильник</v>
      </c>
      <c r="GL52" t="str">
        <f>IF(D52="","",IF(OR(GK52="",GK52=0),"BOX",IFERROR(IF(VLOOKUP(GK52,УГО_блоки,3,FALSE)&amp;""&lt;&gt;"",VLOOKUP(GK52,УГО_блоки,3,FALSE),VLOOKUP(GK52,УГО_блоки,2,FALSE)),GK52)))</f>
        <v>LAMP</v>
      </c>
      <c r="GM52">
        <f t="shared" si="83"/>
        <v>1</v>
      </c>
      <c r="GN52" t="str">
        <f>IF(EP52="","",IF(COUNTIF(EP$3:EP52,EP52)=1,MAX(GN$2:GN51)+1,""))</f>
        <v/>
      </c>
      <c r="GO52" t="str">
        <f>IF(AF52="","",IF(COUNTIF(AF$3:AF52,AF52)+COUNTIF(AG$2:AG51,AF52)+COUNTIF(AH$2:AH51,AF52)=1,MAX(GO$2:GQ51)+1,""))</f>
        <v/>
      </c>
      <c r="GP52" t="str">
        <f>IF(AG52="","",IF(COUNTIF(AF$3:AF52,AG52)+COUNTIF(AG$3:AG52,AG52)+COUNTIF(AH$2:AH51,AG52)=1,MAX(GO$2:GQ51,GO52)+1,""))</f>
        <v/>
      </c>
      <c r="GQ52" t="str">
        <f>IF(AH52="","",IF(COUNTIF(AF$3:AF52,AH52)+COUNTIF(AG$3:AG52,AH52)+COUNTIF(AH$3:AH52,AH52)=1,MAX(GO$2:GQ51,GO52,GP52)+1,""))</f>
        <v/>
      </c>
      <c r="GR52" t="str">
        <f t="shared" si="84"/>
        <v>3х1,5</v>
      </c>
      <c r="GS52" t="str">
        <f>IF(GR52="","",IF(COUNTIF(GR$3:GR52,GR52)=1,MAX(GS$2:GS51)+1,""))</f>
        <v/>
      </c>
      <c r="GT52" t="str">
        <f>IF(ES52="","",COUNTIF(ES$3:ES52,"?*"))</f>
        <v/>
      </c>
      <c r="GU52" t="str">
        <f>IF(OR(ES52="",EU52=""),"",IF(COUNTIFS(ES$3:ES52,"?*",EU$3:EU52,EU52)=1,MAX(GU$2:GU51)+1,""))</f>
        <v/>
      </c>
      <c r="GV52">
        <f t="shared" si="85"/>
        <v>1</v>
      </c>
      <c r="GW52">
        <f>IF(D52="","",COUNTIF(D$3:D52,"?*"))</f>
        <v>50</v>
      </c>
      <c r="GX52">
        <f>IF(EX52&lt;&gt;1,0,_xlfn.LET(_xlpm.k,MAX(IFERROR(--VLOOKUP(D52,УГО_спр,5,FALSE),0),IFERROR(--VLOOKUP(AT52,УГО_спр,5,FALSE),0),IFERROR(--VLOOKUP(LEFT(AT52,2),УГО_спр,5,FALSE),0)),IF(_xlpm.k&gt;0,_xlpm.k,IF(IFERROR(--LEFT(SUBSTITUTE(GR52,"x","х"),FIND("х",SUBSTITUTE(GR52,"x","х"))-1),3)&gt;3,Каталог!$S$9,1))))</f>
        <v>1</v>
      </c>
      <c r="GY52">
        <f t="shared" si="86"/>
        <v>0</v>
      </c>
    </row>
    <row r="53" spans="1:207" x14ac:dyDescent="0.3">
      <c r="A53" t="s">
        <v>752</v>
      </c>
      <c r="B53">
        <v>2</v>
      </c>
      <c r="C53" t="str">
        <f>IF(BD53="","",IF(BE53="вводной узел","узел ","")&amp;"л."&amp;(INT((BD53-1)/Столбцов_на_лист)+1)&amp;" / "&amp;(MOD(BD53-1,Столбцов_на_лист)+1))</f>
        <v>узел л.1 / 2</v>
      </c>
      <c r="D53" t="s">
        <v>746</v>
      </c>
      <c r="E53" s="133" t="s">
        <v>58</v>
      </c>
      <c r="G53">
        <v>0</v>
      </c>
      <c r="H53">
        <v>1</v>
      </c>
      <c r="I53">
        <v>3</v>
      </c>
      <c r="J53">
        <v>400</v>
      </c>
      <c r="K53" t="s">
        <v>551</v>
      </c>
      <c r="O53" t="s">
        <v>1298</v>
      </c>
      <c r="P53">
        <v>51</v>
      </c>
      <c r="Q53">
        <v>37</v>
      </c>
      <c r="R53">
        <v>14</v>
      </c>
      <c r="T53">
        <v>1</v>
      </c>
      <c r="U53" t="s">
        <v>11</v>
      </c>
      <c r="V53">
        <v>5</v>
      </c>
      <c r="W53">
        <v>185</v>
      </c>
      <c r="X53">
        <v>320</v>
      </c>
      <c r="AL53" t="s">
        <v>1301</v>
      </c>
      <c r="AR53" t="str">
        <f t="shared" si="0"/>
        <v/>
      </c>
      <c r="AS53" cm="1">
        <f t="array" ref="AS53">ROW()-ROW(Линии[#Headers])</f>
        <v>51</v>
      </c>
      <c r="AT53" t="str">
        <f t="shared" si="1"/>
        <v>Ввод</v>
      </c>
      <c r="AU53" t="str">
        <f t="shared" si="2"/>
        <v>1</v>
      </c>
      <c r="AV53" t="str">
        <f t="shared" si="3"/>
        <v>1</v>
      </c>
      <c r="AW53" t="str">
        <f t="shared" si="4"/>
        <v/>
      </c>
      <c r="AX53" t="str">
        <f t="shared" si="5"/>
        <v/>
      </c>
      <c r="AY53" t="str">
        <f>IF(D53="","",IF(ISERROR(SEARCH(".",D53)),IFERROR(VLOOKUP(D53,Потребители_обозначение,2,FALSE)&amp;"",""),IFERROR(IF(VLOOKUP(AT53,Потребители_обозначение,4,FALSE)=1,VLOOKUP(AT53,Потребители_обозначение,2,FALSE)&amp;" "&amp;VLOOKUP(AV53,Этаж_обозначение,2,FALSE)&amp;" Пом. №"&amp;AX53,VLOOKUP(AT53,Потребители_обозначение,2,FALSE)&amp;" Шлейф №"&amp;AV53),IFERROR(VLOOKUP(D53,Потребители_обозначение,2,FALSE),""))))</f>
        <v>Вводной кабель Шлейф №1</v>
      </c>
      <c r="AZ53" t="str">
        <f t="shared" si="6"/>
        <v>Ввод</v>
      </c>
      <c r="BA53" t="str">
        <f>IF(F53&lt;&gt;"",F53,IF(AND(D53&lt;&gt;"",D53&lt;&gt;A53,ISNUMBER(_xlfn.XMATCH(D53,Щиты[Щит]))),D53,""))</f>
        <v/>
      </c>
      <c r="BB53">
        <f>IFERROR(_xlfn.XMATCH(A53,Щиты[Щит]),0)</f>
        <v>4</v>
      </c>
      <c r="BC53">
        <f>IFERROR(N(_xlfn.XLOOKUP(A53,Щиты[Щит],Щиты[Мест под вводной узел])),15)</f>
        <v>13</v>
      </c>
      <c r="BD53">
        <f t="shared" si="7"/>
        <v>2</v>
      </c>
      <c r="BE53" t="str">
        <f t="shared" si="8"/>
        <v>вводной узел</v>
      </c>
      <c r="BF53">
        <f>IF(D53="","",IF(BA53&lt;&gt;"",IFERROR(_xlfn.XLOOKUP(BA53,Щиты[Щит],Щиты[Руст, кВт]),0),N(G53)))</f>
        <v>0</v>
      </c>
      <c r="BG53">
        <f>IF(J53&lt;&gt;"",J53,IF(D53="","",IFERROR(IF(VLOOKUP(AT53,Потребители_обозначение,8,FALSE)=0,"",VLOOKUP(AT53,Потребители_обозначение,8,FALSE)),"")))</f>
        <v>400</v>
      </c>
      <c r="BH53">
        <f>IF(I53&lt;&gt;"",I53,IF(D53="","",IFERROR(IF(VLOOKUP(AT53,Потребители_обозначение,9,FALSE)=0,"",VLOOKUP(AT53,Потребители_обозначение,9,FALSE)),"")))</f>
        <v>3</v>
      </c>
      <c r="BI53" t="str">
        <f>IF(U53&lt;&gt;"",U53,IF(D53="","",IFERROR(IF(VLOOKUP(AT53,Потребители_обозначение,6,FALSE)=0,"",VLOOKUP(AT53,Потребители_обозначение,6,FALSE)),"")))</f>
        <v>мс</v>
      </c>
      <c r="BJ53">
        <f>IF(V53&lt;&gt;"",V53,IF(D53="","",IFERROR(IF(VLOOKUP(AT53,Потребители_обозначение,7,FALSE)=0,"",VLOOKUP(AT53,Потребители_обозначение,7,FALSE)),"")))</f>
        <v>5</v>
      </c>
      <c r="BK53">
        <f>IF(W53&lt;&gt;"",W53,IF(D53="","",IFERROR(IF(VLOOKUP(AT53,Потребители_обозначение,10,FALSE)=0,"",VLOOKUP(AT53,Потребители_обозначение,10,FALSE)),"")))</f>
        <v>185</v>
      </c>
      <c r="BL53">
        <f>IFERROR(VLOOKUP(AT53,Потребители_обозначение,5,FALSE),0)</f>
        <v>1</v>
      </c>
      <c r="BM53" cm="1">
        <f t="array" ref="BM53">IF(D53="","",IF(BA53&lt;&gt;"",IFERROR(_xlfn.XLOOKUP(BA53,Щиты[Щит],Щиты[cos φ]),0.95),IF(ISNUMBER(M53),M53,IFERROR(IF(BL53=2,_xlfn.IFS(BH53=3,VLOOKUP(BF53,Справочная_двигатели,8,FALSE),BH53=1,VLOOKUP(BF53,Справочная_двигатели,10,TRUE)),IF(AND(Методика="нормы 2026",CN53="Сил"),0.8,0.95)),0.95))))</f>
        <v>0.95</v>
      </c>
      <c r="BN53" cm="1">
        <f t="array" ref="BN53">IF(D53="","",IF(BA53&lt;&gt;"",IFERROR(_xlfn.XLOOKUP(BA53,Щиты[Щит],Щиты[Iр, А]),""),IFERROR(_xlfn.IFS(BH53=1,BF53/((Uн_лин/SQRT(3))*BM53),BH53=3,BF53/(SQRT(3)*Uн_лин*BM53)),"")))</f>
        <v>0</v>
      </c>
      <c r="BO53">
        <f>IF(D53="","",IF(N(X53)=0,IFERROR(VLOOKUP(BN53,Автомат_номиналы,2,TRUE),""),X53))</f>
        <v>320</v>
      </c>
      <c r="BP53">
        <f t="shared" si="9"/>
        <v>0.92</v>
      </c>
      <c r="BQ53">
        <f>IF(ISNUMBER(Y53),Y53,К_прокл)</f>
        <v>1</v>
      </c>
      <c r="BR53">
        <f t="shared" si="10"/>
        <v>3</v>
      </c>
      <c r="BS53" cm="1">
        <f t="array" ref="BS53">IF(D53="","",IF(N(BK53)&lt;&gt;0,BK53,IFERROR(_xlfn.LET(_xlpm.need,BO53/(BP53*BQ53),_xlpm.t,CHOOSE(BR53,Iдоп_1ж,Iдоп_2ж,Iдоп_3ж),_xlpm.k,_xlfn.XMATCH(_xlpm.need,_xlpm.t,1),IF(ISNA(_xlpm.k),"Не исп",INDEX(Iдоп_S,_xlpm.k))),"Не исп")))</f>
        <v>185</v>
      </c>
      <c r="BT53">
        <f>IFERROR(VLOOKUP(BS53,Кабель_сопротивление,3,FALSE),"")</f>
        <v>2.2499999999999999E-2</v>
      </c>
      <c r="BU53">
        <f>IFERROR(VLOOKUP(BS53,Кабель_сопротивление,2,FALSE),"")</f>
        <v>5.96E-2</v>
      </c>
      <c r="BV53">
        <f t="shared" si="11"/>
        <v>51</v>
      </c>
      <c r="BW53">
        <f>IF(D53="","",IFERROR(IF(VLOOKUP(AT53,Потребители_обозначение,4,FALSE)=1,VLOOKUP(AT53,Потребители_обозначение,3,FALSE)*(H53*2-1)+BV53+VLOOKUP(AV53,Этаж_обозначение,3,FALSE)+VLOOKUP(AV53,Этаж_обозначение,4,FALSE),VLOOKUP(AT53,Потребители_обозначение,3,FALSE)*(H53*2-1)+BV53),BV53))</f>
        <v>51</v>
      </c>
      <c r="BX53">
        <f t="shared" si="12"/>
        <v>14</v>
      </c>
      <c r="BY53">
        <f t="shared" si="13"/>
        <v>0</v>
      </c>
      <c r="BZ53">
        <f t="shared" si="14"/>
        <v>1</v>
      </c>
      <c r="CA53">
        <f t="shared" si="15"/>
        <v>0.31</v>
      </c>
      <c r="CB53">
        <f t="shared" si="16"/>
        <v>0</v>
      </c>
      <c r="CC53">
        <f>IFERROR(ROUNDUP(CB53/((Uн_лин/SQRT(3))*1000)*100,2),"")</f>
        <v>0</v>
      </c>
      <c r="CD53">
        <f>IF(ISNUMBER(CC53),CC53+IFERROR(_xlfn.XLOOKUP(A53,Щиты[Щит],Щиты[ΔU до шин, %]),0),"")</f>
        <v>0.5</v>
      </c>
      <c r="CE53">
        <f>IF(D53="","",IF(IFERROR(VLOOKUP(AT53,УГО_спр,2,FALSE),"")="Светильник",3,4)+IF(Методика="нормы 2026",MIN(0.5,MAX(0,N(BW53)-100)*0.005),0))</f>
        <v>4</v>
      </c>
      <c r="CF53" t="str">
        <f>IFERROR(VLOOKUP(BI53,Кабель_обозначение,2,FALSE),"")</f>
        <v>ВВГнг(А)-LS</v>
      </c>
      <c r="CG53" t="str">
        <f>IFERROR(IF(VLOOKUP(BI53,Кабель_обозначение,3,FALSE)=1,CF53&amp;" ("&amp;BJ53&amp;"х"&amp;BS53&amp;")",CF53),"")</f>
        <v>ВВГнг(А)-LS (5х185)</v>
      </c>
      <c r="CH53" t="str">
        <f t="shared" si="17"/>
        <v>ВВГнг(А)-LS (5х185)
L=51-0%</v>
      </c>
      <c r="CI53">
        <f>IFERROR(2*ρкз_Cu*BW53/BS53,"")</f>
        <v>1.450054054054054E-2</v>
      </c>
      <c r="CJ53">
        <f t="shared" si="18"/>
        <v>4.8243243243243248E-3</v>
      </c>
      <c r="CK53" t="str">
        <f>IFERROR(IF(OR(D53="",NOT(ISNUMBER(BS53)),N(BW53)=0),"",_xlfn.XLOOKUP(A53,Щиты[Щит],Щиты[Zпетли на шинах, Ом])+CI53),"")</f>
        <v/>
      </c>
      <c r="CL53" t="str">
        <f>IF(ISNUMBER(CK53),c_min*(Uн_лин*1000/SQRT(3))/CK53,"")</f>
        <v/>
      </c>
      <c r="CM53" t="str">
        <f>IFERROR(IF(OR(D53="",NOT(ISNUMBER(BS53))),"",1.05*(Uн_лин*1000/SQRT(3))/(_xlfn.XLOOKUP(A53,Щиты[Щит],Щиты[Zmax на шинах, Ом])+CJ53)/1000),"")</f>
        <v/>
      </c>
      <c r="CN53" t="str">
        <f>IF(D53="","",IF(BA53&lt;&gt;"","Щит",IF(K53&lt;&gt;"",K53,IF(ISNUMBER(L53),"Сил",IF(IFERROR(_xlfn.XLOOKUP(AT53,Коды_код,Коды_группа)&amp;"","")="","Быт",_xlfn.XLOOKUP(AT53,Коды_код,Коды_группа)&amp;"")))))</f>
        <v>Нет</v>
      </c>
      <c r="CO53">
        <f>IF(CN53="Щит","щит",IF(CN53="","",IF(CN53="Быт",IFERROR(_xlfn.XLOOKUP(A53,Щиты[Щит],Щиты[Кс быт]),1),IF(CN53="Сил",IF(ISNUMBER(L53),L53,IF(Методика="нормы 2026",IFERROR(_xlfn.XLOOKUP(A53,Щиты[Щит],Щиты[Кс силовых (табл. 7.5)]),1),1)),IF(OR(CN53="Пост",CN53="Отоп"),1,IF(CN53="ВНГ",0.7,0))))))</f>
        <v>0</v>
      </c>
      <c r="CP53">
        <f t="shared" si="19"/>
        <v>1</v>
      </c>
      <c r="CQ53">
        <f t="shared" si="20"/>
        <v>0</v>
      </c>
      <c r="CR53">
        <f t="shared" si="21"/>
        <v>0</v>
      </c>
      <c r="CS53">
        <f t="shared" si="22"/>
        <v>0</v>
      </c>
      <c r="CT53">
        <f t="shared" si="23"/>
        <v>0</v>
      </c>
      <c r="CU53">
        <f t="shared" si="24"/>
        <v>0</v>
      </c>
      <c r="CV53">
        <f t="shared" si="25"/>
        <v>0</v>
      </c>
      <c r="CW53">
        <f t="shared" si="26"/>
        <v>0</v>
      </c>
      <c r="CX53">
        <f t="shared" si="27"/>
        <v>0</v>
      </c>
      <c r="CY53">
        <f t="shared" si="28"/>
        <v>0</v>
      </c>
      <c r="CZ53" t="str">
        <f t="shared" si="29"/>
        <v>L1,L2,L3</v>
      </c>
      <c r="DA53" cm="1">
        <f t="array" ref="DA53">IFERROR(IF(BL53=2,_xlfn.IFS(BH53=3,VLOOKUP(BF53,Справочная_двигатели,3,FALSE),BH53=1,VLOOKUP(BF53,Справочная_двигатели,5,TRUE)),0),0)</f>
        <v>0</v>
      </c>
      <c r="DB53">
        <f>IFERROR(IF(BL53=3,VLOOKUP(BF53,Справочная_ЛЭД,2,TRUE),0),0)</f>
        <v>0</v>
      </c>
      <c r="DC53">
        <f t="shared" si="30"/>
        <v>0</v>
      </c>
      <c r="DD53" t="str">
        <f t="shared" si="31"/>
        <v>L1,L2,L3</v>
      </c>
      <c r="DE53" t="str" cm="1">
        <f t="array" ref="DE53">IF(D53="","",IFERROR(INDEX({"I особая","I","II","III"},MATCH(TRIM(AA53&amp;""),{"I особая","I","II","III"},0)),"III"))</f>
        <v>III</v>
      </c>
      <c r="DF53" t="str">
        <f>IF(D53="","",IF(TRIM(AB53&amp;"")&lt;&gt;"",IF(LOWER(TRIM(AB53&amp;""))="да","да","нет"),IF(IFERROR(_xlfn.XLOOKUP(AT53,Коды_код,Коды_пожарная),"")="да","да","нет")))</f>
        <v>нет</v>
      </c>
      <c r="DG53" t="str">
        <f t="shared" si="32"/>
        <v/>
      </c>
      <c r="DH53" t="str">
        <f t="shared" si="33"/>
        <v>основная</v>
      </c>
      <c r="DI53">
        <f t="shared" si="34"/>
        <v>1</v>
      </c>
      <c r="DJ53" t="str" cm="1">
        <f t="array" ref="DJ53">IF(D53="","",_xlfn.LET(_xlpm.t,IFERROR(_xlfn.XLOOKUP(1,(Шины[Шина]=DH53)*(((Шины[Щит]=A53)+(Шины[Щит]=""))&gt;0),Шины[Тип]),"")&amp;"",IF(_xlpm.t&lt;&gt;"",_xlpm.t,IF(ISNUMBER(SEARCH("ИБП",DH53)),"ИБП",IF(ISNUMBER(SEARCH("ДГУ",DH53)),"ДГУ","Ввод "&amp;DI53)))))</f>
        <v>Ввод 1</v>
      </c>
      <c r="DK53" t="str">
        <f t="shared" si="35"/>
        <v>Ввод 1</v>
      </c>
      <c r="DL53" t="str">
        <f>IF(D53="","",IF(OR(DJ53="ИБП",DJ53="ДГУ"),"I особая",IF(DJ53="Одиночная","III",_xlfn.XLOOKUP(A53,Щиты[Щит],Щиты[Категория шины «Ввод»],"III"))))</f>
        <v>II</v>
      </c>
      <c r="DM53">
        <f>IF(D53="",0,IFERROR(MATCH(DE53,{"III","II","I","I особая"},0),1))</f>
        <v>1</v>
      </c>
      <c r="DN53">
        <f t="shared" si="36"/>
        <v>1</v>
      </c>
      <c r="DO53" t="str">
        <f>IF(D53="","",IF(DM53&gt;IFERROR(MATCH(DL53,{"III","II","I","I особая"},0),1),"НЕ ОБЕСПЕЧЕНА","ОК"))</f>
        <v>ОК</v>
      </c>
      <c r="DP53" t="str">
        <f>IF(A53="","",_xlfn.XLOOKUP(A53,Щиты[Щит],Щиты[Путь],""))</f>
        <v>|ГРЩ-ЖД|ЩОВ-001|</v>
      </c>
      <c r="DQ53" t="str">
        <f>IF(D53="","",IF(Z53&lt;&gt;"",Z53,IF(IFERROR(_xlfn.XLOOKUP(AT53,Коды_код,Коды_вид)&amp;"","")="","Прочее",_xlfn.XLOOKUP(AT53,Коды_код,Коды_вид)&amp;"")))</f>
        <v>Прочее</v>
      </c>
      <c r="DR53">
        <f>IF(BD53="","",INT((BD53-1)/Столбцов_на_лист)+1)</f>
        <v>1</v>
      </c>
      <c r="DS53" t="str">
        <f t="shared" si="37"/>
        <v>ВВГнг(А)-LS (5х185) L=51-0%</v>
      </c>
      <c r="DT53">
        <f t="shared" si="38"/>
        <v>0</v>
      </c>
      <c r="DU53">
        <f t="shared" si="39"/>
        <v>0</v>
      </c>
      <c r="DV53">
        <f t="shared" si="40"/>
        <v>3</v>
      </c>
      <c r="DW53">
        <f>IF(AT53="",0,_xlfn.LET(_xlpm.v,IFERROR(VLOOKUP(D53,УГО_спр,3,FALSE),IFERROR(VLOOKUP(AT53,УГО_спр,3,FALSE),IFERROR(VLOOKUP(LEFT(AT53,2),УГО_спр,3,FALSE),""))),IF(_xlpm.v="да",30,IF(ISNUMBER(_xlpm.v),_xlpm.v,0))))</f>
        <v>0</v>
      </c>
      <c r="DX53">
        <f t="shared" si="41"/>
        <v>0</v>
      </c>
      <c r="DY53" t="str">
        <f>IF(BD53="","",IF(AD53&lt;&gt;"",COUNTIFS(A$3:A53,A53,AD$3:AD53,"?*"),IF(OR(OR(AS53=1,A53&lt;&gt;A52),AL53="вручную"),"",IF(AS53=1,"",DZ52))))</f>
        <v/>
      </c>
      <c r="DZ53" t="str">
        <f t="shared" si="42"/>
        <v/>
      </c>
      <c r="EA53">
        <f>IF(D53="",0,MAX(IFERROR(--X53,0),IFERROR(--VLOOKUP(D53,УГО_спр,4,FALSE),IFERROR(--VLOOKUP(AT53,УГО_спр,4,FALSE),IFERROR(--VLOOKUP(LEFT(AT53,2),УГО_спр,4,FALSE),0)))))</f>
        <v>320</v>
      </c>
      <c r="EB53">
        <f>IF(D53="","",IFERROR(LOOKUP(INDEX(CHOOSE(BR53,Iдоп_1ж,Iдоп_2ж,Iдоп_3ж),MATCH(BS53,Iдоп_S,0))*BP53*BQ53,{6,10,16,20,25,32,40,50,63,80,100,125,160,200,250,315,400,500,630}),""))</f>
        <v>315</v>
      </c>
      <c r="EC53" t="str">
        <f>IF(AD53="","",SUMIFS(Линии[_Ток схемы],Линии[_гр.],DY53,Линии[Щит],A53,Линии[_в кабель выше],0))</f>
        <v/>
      </c>
      <c r="ED53" t="str">
        <f>IF(AD53="","",IFERROR(VLOOKUP(EC53,Автомат_номиналы,2,TRUE),""))</f>
        <v/>
      </c>
      <c r="EE53" t="str">
        <f>IF(AD53="","",MAX(N(ED53),_xlfn.MAXIFS(Линии[_мин. по типу],Линии[_гр.],DY53,Линии[Щит],A53)))</f>
        <v/>
      </c>
      <c r="EF53" t="str">
        <f>IF(AD53="","",_xlfn.MINIFS(Линии[_макс. автомат по кабелю],Линии[_гр.],DY53,Линии[Щит],A53))</f>
        <v/>
      </c>
      <c r="EG53" t="str">
        <f>IF(AD53="","",MAX(1,_xlfn.MAXIFS(Линии[_фаз],Линии[_гр.],DY53,Линии[Щит],A53)))</f>
        <v/>
      </c>
      <c r="EH53" t="str">
        <f>IF(AD53="","",IF(AND(AD53&lt;&gt;"авто",AD53&lt;&gt;"+"),IF(ISNUMBER(SEARCH("мА",AD53)),IFERROR(--TRIM(RIGHT(SUBSTITUTE(LEFT(AD53,SEARCH("мА",AD53)-1)," ",REPT(" ",9)),6)),30),0),IF(AE53="нет",0,IF(ISNUMBER(AE53),AE53,IF(AE53="да",30,_xlfn.MINIFS(Линии[_дифзащита по коду, мА],Линии[_гр.],DY53,Линии[Щит],A53,Линии[_дифзащита по коду, мА],"&gt;0"))))))</f>
        <v/>
      </c>
      <c r="EI53" t="str">
        <f t="shared" si="43"/>
        <v/>
      </c>
      <c r="EJ53" t="str">
        <f t="shared" si="44"/>
        <v/>
      </c>
      <c r="EK53" t="str">
        <f t="shared" si="45"/>
        <v/>
      </c>
      <c r="EL53" t="str">
        <f t="shared" si="46"/>
        <v/>
      </c>
      <c r="EM53">
        <f t="shared" si="47"/>
        <v>0</v>
      </c>
      <c r="EN53" t="str">
        <f>IF(AD53="","",IF(EM53=1,MAX(EE53,Мин_автомат_БП),EE53))</f>
        <v/>
      </c>
      <c r="EO53" t="str">
        <f t="shared" si="48"/>
        <v/>
      </c>
      <c r="EP53" t="str">
        <f t="shared" si="49"/>
        <v/>
      </c>
      <c r="EQ53" t="str">
        <f t="shared" si="50"/>
        <v/>
      </c>
      <c r="ER53" t="str">
        <f>IF(OR(AI53="",AI53="-"),"",IFERROR(VLOOKUP(AI53,Модули_спр,2,FALSE),"R"))</f>
        <v/>
      </c>
      <c r="ES53" t="str">
        <f>IF(ER53="","",ER53&amp;"."&amp;COUNTIFS(A$3:A53,A53,ER$3:ER53,ER53))</f>
        <v/>
      </c>
      <c r="ET53" t="str">
        <f t="shared" si="51"/>
        <v/>
      </c>
      <c r="EU53" t="str">
        <f t="shared" si="52"/>
        <v/>
      </c>
      <c r="EV53" t="str">
        <f t="shared" si="53"/>
        <v/>
      </c>
      <c r="EW53" t="str">
        <f t="shared" si="54"/>
        <v/>
      </c>
      <c r="EX53">
        <f t="shared" si="55"/>
        <v>1</v>
      </c>
      <c r="EY53" t="str">
        <f>IF(AK53="нет","",IF(AK53&lt;&gt;"",AK53,IF(EX53=1,"XT"&amp;COUNTIFS(A$3:A53,A53,EX$3:EX53,1),"")))</f>
        <v>XT1</v>
      </c>
      <c r="EZ53" t="str">
        <f t="shared" si="56"/>
        <v/>
      </c>
      <c r="FA53" t="str">
        <f t="shared" si="57"/>
        <v/>
      </c>
      <c r="FB53" t="str">
        <f t="shared" si="58"/>
        <v/>
      </c>
      <c r="FC53" t="str">
        <f>IF(OR(EV53="",ET53=""),"",IF(EV53&gt;IFERROR(VLOOKUP(EU53,Модули_спр,3,FALSE),99),"ЛИШНИЙ КАНАЛ",IF(AND(AJ53&lt;&gt;"=",COUNTIFS(Линии[_модуль гр.],ET53,Линии[Канал (итог)],EV53,Линии[Канал],"&lt;&gt;=",Линии[Щит],A53)&gt;1),"ДУБЛЬ КАНАЛА","")))</f>
        <v/>
      </c>
      <c r="FD53" t="str">
        <f t="shared" si="59"/>
        <v/>
      </c>
      <c r="FE53" t="str">
        <f t="shared" si="60"/>
        <v/>
      </c>
      <c r="FF53" t="str">
        <f t="shared" si="61"/>
        <v/>
      </c>
      <c r="FG53" t="str">
        <f t="shared" si="62"/>
        <v/>
      </c>
      <c r="FH53" t="str">
        <f t="shared" si="63"/>
        <v/>
      </c>
      <c r="FI53">
        <f t="shared" si="64"/>
        <v>10</v>
      </c>
      <c r="FJ53" t="str">
        <f t="shared" si="65"/>
        <v/>
      </c>
      <c r="FK53" t="str">
        <f>IF(AND(D53="",EZ53=""),"",_xlfn.TEXTJOIN("; ",TRUE,IF(AND(D53&lt;&gt;"",DD53=""),"нет фазы",""),IF(AND(D53&lt;&gt;"",N(DT53)=0,CN53&lt;&gt;"Нет"),"нет мощности",""),IF(AND(EY53&lt;&gt;"",COUNTIFS(Линии[Щит],A53,Линии[Клемма (итог)],EY53)&gt;1),"дубль клеммы "&amp;EY53,""),IF(AND(FB53&lt;&gt;"",FB53&lt;&gt;"ok"),FB53,""),IF(FC53&lt;&gt;"",FC53,""),IF(AND(ISNUMBER(SEARCH("(5х",DS53)),N(DV53)=1),"5 жил на 1 фазе",""),IF(AND(AT53="R",AD53&lt;&gt;"",OR(N(EH53)=0,N(EH53)&gt;30)),"розетка без дифзащиты до 30 мА",""),IFERROR(IF(AND(ISNUMBER(CD53),CD53&gt;CE53),"потери "&amp;FIXED(CD53,1)&amp;" % &gt; "&amp;CE53&amp;" %",""),""),IFERROR(IF(LEFT(FJ53,4)="мало","Iкз мало — отключение &gt; 0,4 с",""),""),IF(AND(D53&lt;&gt;"",BD53=""),"не на схеме","")))</f>
        <v/>
      </c>
      <c r="FL53" t="str">
        <f>IF(AD53="","",_xlfn.LET(_xlpm.t,IFERROR(_xlfn.XLOOKUP(EP53,Каталог!$U$4:$U$500,Каталог!$G$4:$G$500),""),_xlpm.k,SEARCH("кА",_xlpm.t),IFERROR(--TRIM(RIGHT(SUBSTITUTE(MID(_xlpm.t,MAX(1,_xlpm.k-4),_xlpm.k-MAX(1,_xlpm.k-4))," ",REPT(" ",9)),5)),"")))</f>
        <v/>
      </c>
      <c r="FM53" t="str">
        <f>IF(OR(FL53="",AD53=""),"",IF(_xlfn.XLOOKUP(A53,Щиты[Щит],Щиты[Iкз max на шинах, кА],"")="","",IF(FL53&lt;_xlfn.XLOOKUP(A53,Щиты[Щит],Щиты[Iкз max на шинах, кА]),"Icu "&amp;FL53&amp;" кА &lt; Iкз max","ok")))</f>
        <v/>
      </c>
      <c r="FN53" t="str">
        <f t="shared" si="66"/>
        <v/>
      </c>
      <c r="FO53" t="str">
        <f t="shared" si="67"/>
        <v/>
      </c>
      <c r="FP53" t="str" cm="1">
        <f t="array" ref="FP53">IF(FO53="","",_xlfn.LET(_xlpm.nd,_xlfn.TEXTSPLIT(FO53,"|"),IF(COLUMNS(_xlpm.nd)&gt;1,A53&amp;"¦"&amp;INDEX(_xlpm.nd,1)&amp;"¦"&amp;INDEX(_xlpm.nd,2),"")))</f>
        <v/>
      </c>
      <c r="FQ53" t="str">
        <f t="shared" si="68"/>
        <v/>
      </c>
      <c r="FR53" t="str" cm="1">
        <f t="array" ref="FR53">IF(FO53="","",_xlfn.LET(_xlpm.nd,_xlfn.TEXTSPLIT(FO53,"|"),IF(COLUMNS(_xlpm.nd)&gt;2,A53&amp;"¦"&amp;INDEX(_xlpm.nd,2)&amp;"¦"&amp;INDEX(_xlpm.nd,3),"")))</f>
        <v/>
      </c>
      <c r="FS53" t="str">
        <f t="shared" si="69"/>
        <v/>
      </c>
      <c r="FT53" t="str" cm="1">
        <f t="array" ref="FT53">IF(FO53="","",_xlfn.LET(_xlpm.nd,_xlfn.TEXTSPLIT(FO53,"|"),IF(COLUMNS(_xlpm.nd)&gt;3,A53&amp;"¦"&amp;INDEX(_xlpm.nd,3)&amp;"¦"&amp;INDEX(_xlpm.nd,4),"")))</f>
        <v/>
      </c>
      <c r="FU53" t="str">
        <f t="shared" si="70"/>
        <v/>
      </c>
      <c r="FV53" t="str" cm="1">
        <f t="array" ref="FV53">IF(FO53="","",_xlfn.LET(_xlpm.nd,_xlfn.TEXTSPLIT(FO53,"|"),IF(COLUMNS(_xlpm.nd)&gt;4,A53&amp;"¦"&amp;INDEX(_xlpm.nd,4)&amp;"¦"&amp;INDEX(_xlpm.nd,5),"")))</f>
        <v/>
      </c>
      <c r="FW53" t="str">
        <f t="shared" si="71"/>
        <v/>
      </c>
      <c r="FX53" t="str" cm="1">
        <f t="array" ref="FX53">IF(FO53="","",_xlfn.LET(_xlpm.nd,_xlfn.TEXTSPLIT(FO53,"|"),IF(COLUMNS(_xlpm.nd)&gt;5,A53&amp;"¦"&amp;INDEX(_xlpm.nd,5)&amp;"¦"&amp;INDEX(_xlpm.nd,6),"")))</f>
        <v/>
      </c>
      <c r="FY53" t="str">
        <f t="shared" si="72"/>
        <v/>
      </c>
      <c r="FZ53" t="str" cm="1">
        <f t="array" ref="FZ53">IF(FO53="","",_xlfn.LET(_xlpm.nd,_xlfn.TEXTSPLIT(FO53,"|"),IF(COLUMNS(_xlpm.nd)&gt;6,A53&amp;"¦"&amp;INDEX(_xlpm.nd,6)&amp;"¦"&amp;INDEX(_xlpm.nd,7),"")))</f>
        <v/>
      </c>
      <c r="GA53" t="str">
        <f t="shared" si="73"/>
        <v/>
      </c>
      <c r="GB53" t="str">
        <f t="shared" si="74"/>
        <v/>
      </c>
      <c r="GC53" t="str">
        <f t="shared" si="75"/>
        <v>XT1</v>
      </c>
      <c r="GD53">
        <f t="shared" si="76"/>
        <v>0</v>
      </c>
      <c r="GE53">
        <f t="shared" si="77"/>
        <v>0</v>
      </c>
      <c r="GF53">
        <f t="shared" si="78"/>
        <v>0</v>
      </c>
      <c r="GG53" t="str">
        <f t="shared" si="79"/>
        <v/>
      </c>
      <c r="GH53" t="str">
        <f t="shared" si="80"/>
        <v/>
      </c>
      <c r="GI53" t="str">
        <f t="shared" si="81"/>
        <v/>
      </c>
      <c r="GJ53" t="str">
        <f t="shared" si="82"/>
        <v/>
      </c>
      <c r="GK53">
        <f>IF(D53="","",IFERROR(VLOOKUP(D53,УГО_спр,2,FALSE),IFERROR(VLOOKUP(AT53,УГО_спр,2,FALSE),IFERROR(VLOOKUP(LEFT(AT53,2),УГО_спр,2,FALSE),""))))</f>
        <v>0</v>
      </c>
      <c r="GL53" t="str">
        <f>IF(D53="","",IF(OR(GK53="",GK53=0),"BOX",IFERROR(IF(VLOOKUP(GK53,УГО_блоки,3,FALSE)&amp;""&lt;&gt;"",VLOOKUP(GK53,УГО_блоки,3,FALSE),VLOOKUP(GK53,УГО_блоки,2,FALSE)),GK53)))</f>
        <v>BOX</v>
      </c>
      <c r="GM53">
        <f t="shared" si="83"/>
        <v>1</v>
      </c>
      <c r="GN53" t="str">
        <f>IF(EP53="","",IF(COUNTIF(EP$3:EP53,EP53)=1,MAX(GN$2:GN52)+1,""))</f>
        <v/>
      </c>
      <c r="GO53" t="str">
        <f>IF(AF53="","",IF(COUNTIF(AF$3:AF53,AF53)+COUNTIF(AG$2:AG52,AF53)+COUNTIF(AH$2:AH52,AF53)=1,MAX(GO$2:GQ52)+1,""))</f>
        <v/>
      </c>
      <c r="GP53" t="str">
        <f>IF(AG53="","",IF(COUNTIF(AF$3:AF53,AG53)+COUNTIF(AG$3:AG53,AG53)+COUNTIF(AH$2:AH52,AG53)=1,MAX(GO$2:GQ52,GO53)+1,""))</f>
        <v/>
      </c>
      <c r="GQ53" t="str">
        <f>IF(AH53="","",IF(COUNTIF(AF$3:AF53,AH53)+COUNTIF(AG$3:AG53,AH53)+COUNTIF(AH$3:AH53,AH53)=1,MAX(GO$2:GQ52,GO53,GP53)+1,""))</f>
        <v/>
      </c>
      <c r="GR53" t="str">
        <f t="shared" si="84"/>
        <v>5х185</v>
      </c>
      <c r="GS53">
        <f>IF(GR53="","",IF(COUNTIF(GR$3:GR53,GR53)=1,MAX(GS$2:GS52)+1,""))</f>
        <v>11</v>
      </c>
      <c r="GT53" t="str">
        <f>IF(ES53="","",COUNTIF(ES$3:ES53,"?*"))</f>
        <v/>
      </c>
      <c r="GU53" t="str">
        <f>IF(OR(ES53="",EU53=""),"",IF(COUNTIFS(ES$3:ES53,"?*",EU$3:EU53,EU53)=1,MAX(GU$2:GU52)+1,""))</f>
        <v/>
      </c>
      <c r="GV53">
        <f t="shared" si="85"/>
        <v>0</v>
      </c>
      <c r="GW53">
        <f>IF(D53="","",COUNTIF(D$3:D53,"?*"))</f>
        <v>51</v>
      </c>
      <c r="GX53">
        <f>IF(EX53&lt;&gt;1,0,_xlfn.LET(_xlpm.k,MAX(IFERROR(--VLOOKUP(D53,УГО_спр,5,FALSE),0),IFERROR(--VLOOKUP(AT53,УГО_спр,5,FALSE),0),IFERROR(--VLOOKUP(LEFT(AT53,2),УГО_спр,5,FALSE),0)),IF(_xlpm.k&gt;0,_xlpm.k,IF(IFERROR(--LEFT(SUBSTITUTE(GR53,"x","х"),FIND("х",SUBSTITUTE(GR53,"x","х"))-1),3)&gt;3,Каталог!$S$9,1))))</f>
        <v>1</v>
      </c>
      <c r="GY53">
        <f t="shared" si="86"/>
        <v>2</v>
      </c>
    </row>
    <row r="54" spans="1:207" x14ac:dyDescent="0.3">
      <c r="A54" t="s">
        <v>752</v>
      </c>
      <c r="B54">
        <v>14</v>
      </c>
      <c r="C54" t="str">
        <f>IF(BD54="","",IF(BE54="вводной узел","узел ","")&amp;"л."&amp;(INT((BD54-1)/Столбцов_на_лист)+1)&amp;" / "&amp;(MOD(BD54-1,Столбцов_на_лист)+1))</f>
        <v>л.1 / 14</v>
      </c>
      <c r="D54" t="s">
        <v>1326</v>
      </c>
      <c r="E54" s="133" t="s">
        <v>1327</v>
      </c>
      <c r="G54">
        <v>0.1</v>
      </c>
      <c r="H54">
        <v>1</v>
      </c>
      <c r="I54">
        <v>1</v>
      </c>
      <c r="J54">
        <v>230</v>
      </c>
      <c r="K54" t="s">
        <v>602</v>
      </c>
      <c r="L54">
        <v>0.5</v>
      </c>
      <c r="O54">
        <v>1</v>
      </c>
      <c r="P54">
        <v>17</v>
      </c>
      <c r="R54">
        <v>21</v>
      </c>
      <c r="T54">
        <v>1</v>
      </c>
      <c r="U54" t="s">
        <v>11</v>
      </c>
      <c r="V54">
        <v>3</v>
      </c>
      <c r="W54">
        <v>1.5</v>
      </c>
      <c r="X54">
        <v>10</v>
      </c>
      <c r="Z54" t="s">
        <v>584</v>
      </c>
      <c r="AA54" t="s">
        <v>818</v>
      </c>
      <c r="AD54" t="s">
        <v>517</v>
      </c>
      <c r="AR54" t="str">
        <f t="shared" si="0"/>
        <v/>
      </c>
      <c r="AS54" cm="1">
        <f t="array" ref="AS54">ROW()-ROW(Линии[#Headers])</f>
        <v>52</v>
      </c>
      <c r="AT54" t="str">
        <f t="shared" si="1"/>
        <v>В</v>
      </c>
      <c r="AU54" t="str">
        <f t="shared" si="2"/>
        <v>3</v>
      </c>
      <c r="AV54" t="str">
        <f t="shared" si="3"/>
        <v>3</v>
      </c>
      <c r="AW54" t="str">
        <f t="shared" si="4"/>
        <v/>
      </c>
      <c r="AX54" t="str">
        <f t="shared" si="5"/>
        <v/>
      </c>
      <c r="AY54" t="str">
        <f>IF(D54="","",IF(ISERROR(SEARCH(".",D54)),IFERROR(VLOOKUP(D54,Потребители_обозначение,2,FALSE)&amp;"",""),IFERROR(IF(VLOOKUP(AT54,Потребители_обозначение,4,FALSE)=1,VLOOKUP(AT54,Потребители_обозначение,2,FALSE)&amp;" "&amp;VLOOKUP(AV54,Этаж_обозначение,2,FALSE)&amp;" Пом. №"&amp;AX54,VLOOKUP(AT54,Потребители_обозначение,2,FALSE)&amp;" Шлейф №"&amp;AV54),IFERROR(VLOOKUP(D54,Потребители_обозначение,2,FALSE),""))))</f>
        <v>Вытяжная установка Шлейф №3</v>
      </c>
      <c r="AZ54" t="str">
        <f t="shared" si="6"/>
        <v>Вытяжная установка Пом №006T</v>
      </c>
      <c r="BA54" t="str">
        <f>IF(F54&lt;&gt;"",F54,IF(AND(D54&lt;&gt;"",D54&lt;&gt;A54,ISNUMBER(_xlfn.XMATCH(D54,Щиты[Щит]))),D54,""))</f>
        <v/>
      </c>
      <c r="BB54">
        <f>IFERROR(_xlfn.XMATCH(A54,Щиты[Щит]),0)</f>
        <v>4</v>
      </c>
      <c r="BC54">
        <f>IFERROR(N(_xlfn.XLOOKUP(A54,Щиты[Щит],Щиты[Мест под вводной узел])),15)</f>
        <v>13</v>
      </c>
      <c r="BD54">
        <f t="shared" si="7"/>
        <v>14</v>
      </c>
      <c r="BE54" t="str">
        <f t="shared" si="8"/>
        <v>линии</v>
      </c>
      <c r="BF54">
        <f>IF(D54="","",IF(BA54&lt;&gt;"",IFERROR(_xlfn.XLOOKUP(BA54,Щиты[Щит],Щиты[Руст, кВт]),0),N(G54)))</f>
        <v>0.1</v>
      </c>
      <c r="BG54">
        <f>IF(J54&lt;&gt;"",J54,IF(D54="","",IFERROR(IF(VLOOKUP(AT54,Потребители_обозначение,8,FALSE)=0,"",VLOOKUP(AT54,Потребители_обозначение,8,FALSE)),"")))</f>
        <v>230</v>
      </c>
      <c r="BH54">
        <f>IF(I54&lt;&gt;"",I54,IF(D54="","",IFERROR(IF(VLOOKUP(AT54,Потребители_обозначение,9,FALSE)=0,"",VLOOKUP(AT54,Потребители_обозначение,9,FALSE)),"")))</f>
        <v>1</v>
      </c>
      <c r="BI54" t="str">
        <f>IF(U54&lt;&gt;"",U54,IF(D54="","",IFERROR(IF(VLOOKUP(AT54,Потребители_обозначение,6,FALSE)=0,"",VLOOKUP(AT54,Потребители_обозначение,6,FALSE)),"")))</f>
        <v>мс</v>
      </c>
      <c r="BJ54">
        <f>IF(V54&lt;&gt;"",V54,IF(D54="","",IFERROR(IF(VLOOKUP(AT54,Потребители_обозначение,7,FALSE)=0,"",VLOOKUP(AT54,Потребители_обозначение,7,FALSE)),"")))</f>
        <v>3</v>
      </c>
      <c r="BK54">
        <f>IF(W54&lt;&gt;"",W54,IF(D54="","",IFERROR(IF(VLOOKUP(AT54,Потребители_обозначение,10,FALSE)=0,"",VLOOKUP(AT54,Потребители_обозначение,10,FALSE)),"")))</f>
        <v>1.5</v>
      </c>
      <c r="BL54">
        <f>IFERROR(VLOOKUP(AT54,Потребители_обозначение,5,FALSE),0)</f>
        <v>1</v>
      </c>
      <c r="BM54" cm="1">
        <f t="array" ref="BM54">IF(D54="","",IF(BA54&lt;&gt;"",IFERROR(_xlfn.XLOOKUP(BA54,Щиты[Щит],Щиты[cos φ]),0.95),IF(ISNUMBER(M54),M54,IFERROR(IF(BL54=2,_xlfn.IFS(BH54=3,VLOOKUP(BF54,Справочная_двигатели,8,FALSE),BH54=1,VLOOKUP(BF54,Справочная_двигатели,10,TRUE)),IF(AND(Методика="нормы 2026",CN54="Сил"),0.8,0.95)),0.95))))</f>
        <v>0.95</v>
      </c>
      <c r="BN54" cm="1">
        <f t="array" ref="BN54">IF(D54="","",IF(BA54&lt;&gt;"",IFERROR(_xlfn.XLOOKUP(BA54,Щиты[Щит],Щиты[Iр, А]),""),IFERROR(_xlfn.IFS(BH54=1,BF54/((Uн_лин/SQRT(3))*BM54),BH54=3,BF54/(SQRT(3)*Uн_лин*BM54)),"")))</f>
        <v>0.455802844097073</v>
      </c>
      <c r="BO54">
        <f>IF(D54="","",IF(N(X54)=0,IFERROR(VLOOKUP(BN54,Автомат_номиналы,2,TRUE),""),X54))</f>
        <v>10</v>
      </c>
      <c r="BP54">
        <f t="shared" si="9"/>
        <v>1</v>
      </c>
      <c r="BQ54">
        <f>IF(ISNUMBER(Y54),Y54,К_прокл)</f>
        <v>1</v>
      </c>
      <c r="BR54">
        <f t="shared" si="10"/>
        <v>2</v>
      </c>
      <c r="BS54" cm="1">
        <f t="array" ref="BS54">IF(D54="","",IF(N(BK54)&lt;&gt;0,BK54,IFERROR(_xlfn.LET(_xlpm.need,BO54/(BP54*BQ54),_xlpm.t,CHOOSE(BR54,Iдоп_1ж,Iдоп_2ж,Iдоп_3ж),_xlpm.k,_xlfn.XMATCH(_xlpm.need,_xlpm.t,1),IF(ISNA(_xlpm.k),"Не исп",INDEX(Iдоп_S,_xlpm.k))),"Не исп")))</f>
        <v>1.5</v>
      </c>
      <c r="BT54">
        <f>IFERROR(VLOOKUP(BS54,Кабель_сопротивление,3,FALSE),"")</f>
        <v>2.2499999999999999E-2</v>
      </c>
      <c r="BU54">
        <f>IFERROR(VLOOKUP(BS54,Кабель_сопротивление,2,FALSE),"")</f>
        <v>0.11</v>
      </c>
      <c r="BV54">
        <f t="shared" si="11"/>
        <v>17</v>
      </c>
      <c r="BW54">
        <f>IF(D54="","",IFERROR(IF(VLOOKUP(AT54,Потребители_обозначение,4,FALSE)=1,VLOOKUP(AT54,Потребители_обозначение,3,FALSE)*(H54*2-1)+BV54+VLOOKUP(AV54,Этаж_обозначение,3,FALSE)+VLOOKUP(AV54,Этаж_обозначение,4,FALSE),VLOOKUP(AT54,Потребители_обозначение,3,FALSE)*(H54*2-1)+BV54),BV54))</f>
        <v>21</v>
      </c>
      <c r="BX54">
        <f t="shared" si="12"/>
        <v>21</v>
      </c>
      <c r="BY54">
        <f t="shared" si="13"/>
        <v>0</v>
      </c>
      <c r="BZ54">
        <f t="shared" si="14"/>
        <v>2</v>
      </c>
      <c r="CA54">
        <f t="shared" si="15"/>
        <v>0.31</v>
      </c>
      <c r="CB54">
        <f t="shared" si="16"/>
        <v>0.27345080302541397</v>
      </c>
      <c r="CC54">
        <f>IFERROR(ROUNDUP(CB54/((Uн_лин/SQRT(3))*1000)*100,2),"")</f>
        <v>0.12</v>
      </c>
      <c r="CD54">
        <f>IF(ISNUMBER(CC54),CC54+IFERROR(_xlfn.XLOOKUP(A54,Щиты[Щит],Щиты[ΔU до шин, %]),0),"")</f>
        <v>0.62</v>
      </c>
      <c r="CE54">
        <f>IF(D54="","",IF(IFERROR(VLOOKUP(AT54,УГО_спр,2,FALSE),"")="Светильник",3,4)+IF(Методика="нормы 2026",MIN(0.5,MAX(0,N(BW54)-100)*0.005),0))</f>
        <v>4</v>
      </c>
      <c r="CF54" t="str">
        <f>IFERROR(VLOOKUP(BI54,Кабель_обозначение,2,FALSE),"")</f>
        <v>ВВГнг(А)-LS</v>
      </c>
      <c r="CG54" t="str">
        <f>IFERROR(IF(VLOOKUP(BI54,Кабель_обозначение,3,FALSE)=1,CF54&amp;" ("&amp;BJ54&amp;"х"&amp;BS54&amp;")",CF54),"")</f>
        <v>ВВГнг(А)-LS (3х1,5)</v>
      </c>
      <c r="CH54" t="str">
        <f t="shared" si="17"/>
        <v>ВВГнг(А)-LS (3х1,5)
L=21-0,12%</v>
      </c>
      <c r="CI54">
        <f>IFERROR(2*ρкз_Cu*BW54/BS54,"")</f>
        <v>0.73640000000000005</v>
      </c>
      <c r="CJ54">
        <f t="shared" si="18"/>
        <v>0.24500000000000002</v>
      </c>
      <c r="CK54" t="str">
        <f>IFERROR(IF(OR(D54="",NOT(ISNUMBER(BS54)),N(BW54)=0),"",_xlfn.XLOOKUP(A54,Щиты[Щит],Щиты[Zпетли на шинах, Ом])+CI54),"")</f>
        <v/>
      </c>
      <c r="CL54" t="str">
        <f>IF(ISNUMBER(CK54),c_min*(Uн_лин*1000/SQRT(3))/CK54,"")</f>
        <v/>
      </c>
      <c r="CM54" t="str">
        <f>IFERROR(IF(OR(D54="",NOT(ISNUMBER(BS54))),"",1.05*(Uн_лин*1000/SQRT(3))/(_xlfn.XLOOKUP(A54,Щиты[Щит],Щиты[Zmax на шинах, Ом])+CJ54)/1000),"")</f>
        <v/>
      </c>
      <c r="CN54" t="str">
        <f>IF(D54="","",IF(BA54&lt;&gt;"","Щит",IF(K54&lt;&gt;"",K54,IF(ISNUMBER(L54),"Сил",IF(IFERROR(_xlfn.XLOOKUP(AT54,Коды_код,Коды_группа)&amp;"","")="","Быт",_xlfn.XLOOKUP(AT54,Коды_код,Коды_группа)&amp;"")))))</f>
        <v>Сил</v>
      </c>
      <c r="CO54">
        <f>IF(CN54="Щит","щит",IF(CN54="","",IF(CN54="Быт",IFERROR(_xlfn.XLOOKUP(A54,Щиты[Щит],Щиты[Кс быт]),1),IF(CN54="Сил",IF(ISNUMBER(L54),L54,IF(Методика="нормы 2026",IFERROR(_xlfn.XLOOKUP(A54,Щиты[Щит],Щиты[Кс силовых (табл. 7.5)]),1),1)),IF(OR(CN54="Пост",CN54="Отоп"),1,IF(CN54="ВНГ",0.7,0))))))</f>
        <v>0.5</v>
      </c>
      <c r="CP54">
        <f t="shared" si="19"/>
        <v>1</v>
      </c>
      <c r="CQ54">
        <f t="shared" si="20"/>
        <v>0.1</v>
      </c>
      <c r="CR54">
        <f t="shared" si="21"/>
        <v>0</v>
      </c>
      <c r="CS54">
        <f t="shared" si="22"/>
        <v>0.05</v>
      </c>
      <c r="CT54">
        <f t="shared" si="23"/>
        <v>0</v>
      </c>
      <c r="CU54">
        <f t="shared" si="24"/>
        <v>0</v>
      </c>
      <c r="CV54">
        <f t="shared" si="25"/>
        <v>0</v>
      </c>
      <c r="CW54">
        <f t="shared" si="26"/>
        <v>0.1</v>
      </c>
      <c r="CX54">
        <f t="shared" si="27"/>
        <v>9.5000000000000001E-2</v>
      </c>
      <c r="CY54">
        <f t="shared" si="28"/>
        <v>1</v>
      </c>
      <c r="CZ54" t="str">
        <f t="shared" si="29"/>
        <v>L1</v>
      </c>
      <c r="DA54" cm="1">
        <f t="array" ref="DA54">IFERROR(IF(BL54=2,_xlfn.IFS(BH54=3,VLOOKUP(BF54,Справочная_двигатели,3,FALSE),BH54=1,VLOOKUP(BF54,Справочная_двигатели,5,TRUE)),0),0)</f>
        <v>0</v>
      </c>
      <c r="DB54">
        <f>IFERROR(IF(BL54=3,VLOOKUP(BF54,Справочная_ЛЭД,2,TRUE),0),0)</f>
        <v>0</v>
      </c>
      <c r="DC54">
        <f t="shared" si="30"/>
        <v>0</v>
      </c>
      <c r="DD54" t="str">
        <f t="shared" si="31"/>
        <v>L1</v>
      </c>
      <c r="DE54" t="str" cm="1">
        <f t="array" ref="DE54">IF(D54="","",IFERROR(INDEX({"I особая","I","II","III"},MATCH(TRIM(AA54&amp;""),{"I особая","I","II","III"},0)),"III"))</f>
        <v>II</v>
      </c>
      <c r="DF54" t="str">
        <f>IF(D54="","",IF(TRIM(AB54&amp;"")&lt;&gt;"",IF(LOWER(TRIM(AB54&amp;""))="да","да","нет"),IF(IFERROR(_xlfn.XLOOKUP(AT54,Коды_код,Коды_пожарная),"")="да","да","нет")))</f>
        <v>нет</v>
      </c>
      <c r="DG54" t="str">
        <f t="shared" si="32"/>
        <v/>
      </c>
      <c r="DH54" t="str">
        <f t="shared" si="33"/>
        <v>основная</v>
      </c>
      <c r="DI54">
        <f t="shared" si="34"/>
        <v>1</v>
      </c>
      <c r="DJ54" t="str" cm="1">
        <f t="array" ref="DJ54">IF(D54="","",_xlfn.LET(_xlpm.t,IFERROR(_xlfn.XLOOKUP(1,(Шины[Шина]=DH54)*(((Шины[Щит]=A54)+(Шины[Щит]=""))&gt;0),Шины[Тип]),"")&amp;"",IF(_xlpm.t&lt;&gt;"",_xlpm.t,IF(ISNUMBER(SEARCH("ИБП",DH54)),"ИБП",IF(ISNUMBER(SEARCH("ДГУ",DH54)),"ДГУ","Ввод "&amp;DI54)))))</f>
        <v>Ввод 1</v>
      </c>
      <c r="DK54" t="str">
        <f t="shared" si="35"/>
        <v>Ввод 1</v>
      </c>
      <c r="DL54" t="str">
        <f>IF(D54="","",IF(OR(DJ54="ИБП",DJ54="ДГУ"),"I особая",IF(DJ54="Одиночная","III",_xlfn.XLOOKUP(A54,Щиты[Щит],Щиты[Категория шины «Ввод»],"III"))))</f>
        <v>II</v>
      </c>
      <c r="DM54">
        <f>IF(D54="",0,IFERROR(MATCH(DE54,{"III","II","I","I особая"},0),1))</f>
        <v>2</v>
      </c>
      <c r="DN54">
        <f t="shared" si="36"/>
        <v>2</v>
      </c>
      <c r="DO54" t="str">
        <f>IF(D54="","",IF(DM54&gt;IFERROR(MATCH(DL54,{"III","II","I","I особая"},0),1),"НЕ ОБЕСПЕЧЕНА","ОК"))</f>
        <v>ОК</v>
      </c>
      <c r="DP54" t="str">
        <f>IF(A54="","",_xlfn.XLOOKUP(A54,Щиты[Щит],Щиты[Путь],""))</f>
        <v>|ГРЩ-ЖД|ЩОВ-001|</v>
      </c>
      <c r="DQ54" t="str">
        <f>IF(D54="","",IF(Z54&lt;&gt;"",Z54,IF(IFERROR(_xlfn.XLOOKUP(AT54,Коды_код,Коды_вид)&amp;"","")="","Прочее",_xlfn.XLOOKUP(AT54,Коды_код,Коды_вид)&amp;"")))</f>
        <v>Вентиляция</v>
      </c>
      <c r="DR54">
        <f>IF(BD54="","",INT((BD54-1)/Столбцов_на_лист)+1)</f>
        <v>1</v>
      </c>
      <c r="DS54" t="str">
        <f t="shared" si="37"/>
        <v>ВВГнг(А)-LS (3х1,5) L=21-0,12%</v>
      </c>
      <c r="DT54">
        <f t="shared" si="38"/>
        <v>0.1</v>
      </c>
      <c r="DU54">
        <f t="shared" si="39"/>
        <v>0.46</v>
      </c>
      <c r="DV54">
        <f t="shared" si="40"/>
        <v>1</v>
      </c>
      <c r="DW54">
        <f>IF(AT54="",0,_xlfn.LET(_xlpm.v,IFERROR(VLOOKUP(D54,УГО_спр,3,FALSE),IFERROR(VLOOKUP(AT54,УГО_спр,3,FALSE),IFERROR(VLOOKUP(LEFT(AT54,2),УГО_спр,3,FALSE),""))),IF(_xlpm.v="да",30,IF(ISNUMBER(_xlpm.v),_xlpm.v,0))))</f>
        <v>0</v>
      </c>
      <c r="DX54">
        <f t="shared" si="41"/>
        <v>0</v>
      </c>
      <c r="DY54">
        <f>IF(BD54="","",IF(AD54&lt;&gt;"",COUNTIFS(A$3:A54,A54,AD$3:AD54,"?*"),IF(OR(OR(AS54=1,A54&lt;&gt;A53),AL54="вручную"),"",IF(AS54=1,"",DZ53))))</f>
        <v>1</v>
      </c>
      <c r="DZ54">
        <f t="shared" si="42"/>
        <v>1</v>
      </c>
      <c r="EA54">
        <f>IF(D54="",0,MAX(IFERROR(--X54,0),IFERROR(--VLOOKUP(D54,УГО_спр,4,FALSE),IFERROR(--VLOOKUP(AT54,УГО_спр,4,FALSE),IFERROR(--VLOOKUP(LEFT(AT54,2),УГО_спр,4,FALSE),0)))))</f>
        <v>10</v>
      </c>
      <c r="EB54">
        <f>IF(D54="","",IFERROR(LOOKUP(INDEX(CHOOSE(BR54,Iдоп_1ж,Iдоп_2ж,Iдоп_3ж),MATCH(BS54,Iдоп_S,0))*BP54*BQ54,{6,10,16,20,25,32,40,50,63,80,100,125,160,200,250,315,400,500,630}),""))</f>
        <v>16</v>
      </c>
      <c r="EC54">
        <f>IF(AD54="","",SUMIFS(Линии[_Ток схемы],Линии[_гр.],DY54,Линии[Щит],A54,Линии[_в кабель выше],0))</f>
        <v>0.46</v>
      </c>
      <c r="ED54">
        <f>IF(AD54="","",IFERROR(VLOOKUP(EC54,Автомат_номиналы,2,TRUE),""))</f>
        <v>6</v>
      </c>
      <c r="EE54">
        <f>IF(AD54="","",MAX(N(ED54),_xlfn.MAXIFS(Линии[_мин. по типу],Линии[_гр.],DY54,Линии[Щит],A54)))</f>
        <v>10</v>
      </c>
      <c r="EF54">
        <f>IF(AD54="","",_xlfn.MINIFS(Линии[_макс. автомат по кабелю],Линии[_гр.],DY54,Линии[Щит],A54))</f>
        <v>16</v>
      </c>
      <c r="EG54">
        <f>IF(AD54="","",MAX(1,_xlfn.MAXIFS(Линии[_фаз],Линии[_гр.],DY54,Линии[Щит],A54)))</f>
        <v>1</v>
      </c>
      <c r="EH54">
        <f>IF(AD54="","",IF(AND(AD54&lt;&gt;"авто",AD54&lt;&gt;"+"),IF(ISNUMBER(SEARCH("мА",AD54)),IFERROR(--TRIM(RIGHT(SUBSTITUTE(LEFT(AD54,SEARCH("мА",AD54)-1)," ",REPT(" ",9)),6)),30),0),IF(AE54="нет",0,IF(ISNUMBER(AE54),AE54,IF(AE54="да",30,_xlfn.MINIFS(Линии[_дифзащита по коду, мА],Линии[_гр.],DY54,Линии[Щит],A54,Линии[_дифзащита по коду, мА],"&gt;0"))))))</f>
        <v>0</v>
      </c>
      <c r="EI54">
        <f t="shared" si="43"/>
        <v>0</v>
      </c>
      <c r="EJ54" t="str">
        <f t="shared" si="44"/>
        <v>QF1</v>
      </c>
      <c r="EK54" t="str">
        <f t="shared" si="45"/>
        <v>QF1</v>
      </c>
      <c r="EL54" t="str">
        <f t="shared" si="46"/>
        <v/>
      </c>
      <c r="EM54">
        <f t="shared" si="47"/>
        <v>0</v>
      </c>
      <c r="EN54">
        <f>IF(AD54="","",IF(EM54=1,MAX(EE54,Мин_автомат_БП),EE54))</f>
        <v>10</v>
      </c>
      <c r="EO54" t="str">
        <f t="shared" si="48"/>
        <v>1P</v>
      </c>
      <c r="EP54" t="str">
        <f t="shared" si="49"/>
        <v>1P С10А</v>
      </c>
      <c r="EQ54">
        <f t="shared" si="50"/>
        <v>10</v>
      </c>
      <c r="ER54" t="str">
        <f>IF(OR(AI54="",AI54="-"),"",IFERROR(VLOOKUP(AI54,Модули_спр,2,FALSE),"R"))</f>
        <v/>
      </c>
      <c r="ES54" t="str">
        <f>IF(ER54="","",ER54&amp;"."&amp;COUNTIFS(A$3:A54,A54,ER$3:ER54,ER54))</f>
        <v/>
      </c>
      <c r="ET54" t="str">
        <f t="shared" si="51"/>
        <v/>
      </c>
      <c r="EU54" t="str">
        <f t="shared" si="52"/>
        <v/>
      </c>
      <c r="EV54" t="str">
        <f t="shared" si="53"/>
        <v/>
      </c>
      <c r="EW54" t="str">
        <f t="shared" si="54"/>
        <v/>
      </c>
      <c r="EX54">
        <f t="shared" si="55"/>
        <v>1</v>
      </c>
      <c r="EY54" t="str">
        <f>IF(AK54="нет","",IF(AK54&lt;&gt;"",AK54,IF(EX54=1,"XT"&amp;COUNTIFS(A$3:A54,A54,EX$3:EX54,1),"")))</f>
        <v>XT2</v>
      </c>
      <c r="EZ54" t="str">
        <f t="shared" si="56"/>
        <v>QF1</v>
      </c>
      <c r="FA54" t="str">
        <f t="shared" si="57"/>
        <v/>
      </c>
      <c r="FB54" t="str">
        <f t="shared" si="58"/>
        <v>ok</v>
      </c>
      <c r="FC54" t="str">
        <f>IF(OR(EV54="",ET54=""),"",IF(EV54&gt;IFERROR(VLOOKUP(EU54,Модули_спр,3,FALSE),99),"ЛИШНИЙ КАНАЛ",IF(AND(AJ54&lt;&gt;"=",COUNTIFS(Линии[_модуль гр.],ET54,Линии[Канал (итог)],EV54,Линии[Канал],"&lt;&gt;=",Линии[Щит],A54)&gt;1),"ДУБЛЬ КАНАЛА","")))</f>
        <v/>
      </c>
      <c r="FD54">
        <f t="shared" si="59"/>
        <v>10</v>
      </c>
      <c r="FE54" t="str">
        <f t="shared" si="60"/>
        <v>1P С10А</v>
      </c>
      <c r="FF54">
        <f t="shared" si="61"/>
        <v>0</v>
      </c>
      <c r="FG54">
        <f t="shared" si="62"/>
        <v>0</v>
      </c>
      <c r="FH54" t="str">
        <f t="shared" si="63"/>
        <v/>
      </c>
      <c r="FI54">
        <f t="shared" si="64"/>
        <v>10</v>
      </c>
      <c r="FJ54" t="str">
        <f t="shared" si="65"/>
        <v/>
      </c>
      <c r="FK54" t="str">
        <f>IF(AND(D54="",EZ54=""),"",_xlfn.TEXTJOIN("; ",TRUE,IF(AND(D54&lt;&gt;"",DD54=""),"нет фазы",""),IF(AND(D54&lt;&gt;"",N(DT54)=0,CN54&lt;&gt;"Нет"),"нет мощности",""),IF(AND(EY54&lt;&gt;"",COUNTIFS(Линии[Щит],A54,Линии[Клемма (итог)],EY54)&gt;1),"дубль клеммы "&amp;EY54,""),IF(AND(FB54&lt;&gt;"",FB54&lt;&gt;"ok"),FB54,""),IF(FC54&lt;&gt;"",FC54,""),IF(AND(ISNUMBER(SEARCH("(5х",DS54)),N(DV54)=1),"5 жил на 1 фазе",""),IF(AND(AT54="R",AD54&lt;&gt;"",OR(N(EH54)=0,N(EH54)&gt;30)),"розетка без дифзащиты до 30 мА",""),IFERROR(IF(AND(ISNUMBER(CD54),CD54&gt;CE54),"потери "&amp;FIXED(CD54,1)&amp;" % &gt; "&amp;CE54&amp;" %",""),""),IFERROR(IF(LEFT(FJ54,4)="мало","Iкз мало — отключение &gt; 0,4 с",""),""),IF(AND(D54&lt;&gt;"",BD54=""),"не на схеме","")))</f>
        <v/>
      </c>
      <c r="FL54">
        <f>IF(AD54="","",_xlfn.LET(_xlpm.t,IFERROR(_xlfn.XLOOKUP(EP54,Каталог!$U$4:$U$500,Каталог!$G$4:$G$500),""),_xlpm.k,SEARCH("кА",_xlpm.t),IFERROR(--TRIM(RIGHT(SUBSTITUTE(MID(_xlpm.t,MAX(1,_xlpm.k-4),_xlpm.k-MAX(1,_xlpm.k-4))," ",REPT(" ",9)),5)),"")))</f>
        <v>6</v>
      </c>
      <c r="FM54" t="str">
        <f>IF(OR(FL54="",AD54=""),"",IF(_xlfn.XLOOKUP(A54,Щиты[Щит],Щиты[Iкз max на шинах, кА],"")="","",IF(FL54&lt;_xlfn.XLOOKUP(A54,Щиты[Щит],Щиты[Iкз max на шинах, кА]),"Icu "&amp;FL54&amp;" кА &lt; Iкз max","ok")))</f>
        <v/>
      </c>
      <c r="FN54" t="str">
        <f t="shared" si="66"/>
        <v>QF1|XT2</v>
      </c>
      <c r="FO54" t="str">
        <f t="shared" si="67"/>
        <v>QF1|XT2|кабель ВВГнг(А)-LS (3х1,5) → Вытяжная установка Пом №006T</v>
      </c>
      <c r="FP54" t="str" cm="1">
        <f t="array" ref="FP54">IF(FO54="","",_xlfn.LET(_xlpm.nd,_xlfn.TEXTSPLIT(FO54,"|"),IF(COLUMNS(_xlpm.nd)&gt;1,A54&amp;"¦"&amp;INDEX(_xlpm.nd,1)&amp;"¦"&amp;INDEX(_xlpm.nd,2),"")))</f>
        <v>ЩОВ-001¦QF1¦XT2</v>
      </c>
      <c r="FQ54" t="str">
        <f t="shared" si="68"/>
        <v>В.3¦Вытяжная установка Пом №006T</v>
      </c>
      <c r="FR54" t="str" cm="1">
        <f t="array" ref="FR54">IF(FO54="","",_xlfn.LET(_xlpm.nd,_xlfn.TEXTSPLIT(FO54,"|"),IF(COLUMNS(_xlpm.nd)&gt;2,A54&amp;"¦"&amp;INDEX(_xlpm.nd,2)&amp;"¦"&amp;INDEX(_xlpm.nd,3),"")))</f>
        <v>ЩОВ-001¦XT2¦кабель ВВГнг(А)-LS (3х1,5) → Вытяжная установка Пом №006T</v>
      </c>
      <c r="FS54" t="str">
        <f t="shared" si="69"/>
        <v>В.3¦Вытяжная установка Пом №006T</v>
      </c>
      <c r="FT54" t="str" cm="1">
        <f t="array" ref="FT54">IF(FO54="","",_xlfn.LET(_xlpm.nd,_xlfn.TEXTSPLIT(FO54,"|"),IF(COLUMNS(_xlpm.nd)&gt;3,A54&amp;"¦"&amp;INDEX(_xlpm.nd,3)&amp;"¦"&amp;INDEX(_xlpm.nd,4),"")))</f>
        <v/>
      </c>
      <c r="FU54" t="str">
        <f t="shared" si="70"/>
        <v/>
      </c>
      <c r="FV54" t="str" cm="1">
        <f t="array" ref="FV54">IF(FO54="","",_xlfn.LET(_xlpm.nd,_xlfn.TEXTSPLIT(FO54,"|"),IF(COLUMNS(_xlpm.nd)&gt;4,A54&amp;"¦"&amp;INDEX(_xlpm.nd,4)&amp;"¦"&amp;INDEX(_xlpm.nd,5),"")))</f>
        <v/>
      </c>
      <c r="FW54" t="str">
        <f t="shared" si="71"/>
        <v/>
      </c>
      <c r="FX54" t="str" cm="1">
        <f t="array" ref="FX54">IF(FO54="","",_xlfn.LET(_xlpm.nd,_xlfn.TEXTSPLIT(FO54,"|"),IF(COLUMNS(_xlpm.nd)&gt;5,A54&amp;"¦"&amp;INDEX(_xlpm.nd,5)&amp;"¦"&amp;INDEX(_xlpm.nd,6),"")))</f>
        <v/>
      </c>
      <c r="FY54" t="str">
        <f t="shared" si="72"/>
        <v/>
      </c>
      <c r="FZ54" t="str" cm="1">
        <f t="array" ref="FZ54">IF(FO54="","",_xlfn.LET(_xlpm.nd,_xlfn.TEXTSPLIT(FO54,"|"),IF(COLUMNS(_xlpm.nd)&gt;6,A54&amp;"¦"&amp;INDEX(_xlpm.nd,6)&amp;"¦"&amp;INDEX(_xlpm.nd,7),"")))</f>
        <v/>
      </c>
      <c r="GA54" t="str">
        <f t="shared" si="73"/>
        <v/>
      </c>
      <c r="GB54" t="str">
        <f t="shared" si="74"/>
        <v/>
      </c>
      <c r="GC54" t="str">
        <f t="shared" si="75"/>
        <v>QF1 → XT2</v>
      </c>
      <c r="GD54">
        <f t="shared" si="76"/>
        <v>1</v>
      </c>
      <c r="GE54">
        <f t="shared" si="77"/>
        <v>0</v>
      </c>
      <c r="GF54">
        <f t="shared" si="78"/>
        <v>0</v>
      </c>
      <c r="GG54" t="str">
        <f t="shared" si="79"/>
        <v/>
      </c>
      <c r="GH54" t="str">
        <f t="shared" si="80"/>
        <v/>
      </c>
      <c r="GI54" t="str">
        <f t="shared" si="81"/>
        <v/>
      </c>
      <c r="GJ54" t="str">
        <f t="shared" si="82"/>
        <v/>
      </c>
      <c r="GK54" t="str">
        <f>IF(D54="","",IFERROR(VLOOKUP(D54,УГО_спр,2,FALSE),IFERROR(VLOOKUP(AT54,УГО_спр,2,FALSE),IFERROR(VLOOKUP(LEFT(AT54,2),УГО_спр,2,FALSE),""))))</f>
        <v>Привод (двигатель)</v>
      </c>
      <c r="GL54" t="str">
        <f>IF(D54="","",IF(OR(GK54="",GK54=0),"BOX",IFERROR(IF(VLOOKUP(GK54,УГО_блоки,3,FALSE)&amp;""&lt;&gt;"",VLOOKUP(GK54,УГО_блоки,3,FALSE),VLOOKUP(GK54,УГО_блоки,2,FALSE)),GK54)))</f>
        <v>MOTOR</v>
      </c>
      <c r="GM54">
        <f t="shared" si="83"/>
        <v>1</v>
      </c>
      <c r="GN54">
        <f>IF(EP54="","",IF(COUNTIF(EP$3:EP54,EP54)=1,MAX(GN$2:GN53)+1,""))</f>
        <v>3</v>
      </c>
      <c r="GO54" t="str">
        <f>IF(AF54="","",IF(COUNTIF(AF$3:AF54,AF54)+COUNTIF(AG$2:AG53,AF54)+COUNTIF(AH$2:AH53,AF54)=1,MAX(GO$2:GQ53)+1,""))</f>
        <v/>
      </c>
      <c r="GP54" t="str">
        <f>IF(AG54="","",IF(COUNTIF(AF$3:AF54,AG54)+COUNTIF(AG$3:AG54,AG54)+COUNTIF(AH$2:AH53,AG54)=1,MAX(GO$2:GQ53,GO54)+1,""))</f>
        <v/>
      </c>
      <c r="GQ54" t="str">
        <f>IF(AH54="","",IF(COUNTIF(AF$3:AF54,AH54)+COUNTIF(AG$3:AG54,AH54)+COUNTIF(AH$3:AH54,AH54)=1,MAX(GO$2:GQ53,GO54,GP54)+1,""))</f>
        <v/>
      </c>
      <c r="GR54" t="str">
        <f t="shared" si="84"/>
        <v>3х1,5</v>
      </c>
      <c r="GS54" t="str">
        <f>IF(GR54="","",IF(COUNTIF(GR$3:GR54,GR54)=1,MAX(GS$2:GS53)+1,""))</f>
        <v/>
      </c>
      <c r="GT54" t="str">
        <f>IF(ES54="","",COUNTIF(ES$3:ES54,"?*"))</f>
        <v/>
      </c>
      <c r="GU54" t="str">
        <f>IF(OR(ES54="",EU54=""),"",IF(COUNTIFS(ES$3:ES54,"?*",EU$3:EU54,EU54)=1,MAX(GU$2:GU53)+1,""))</f>
        <v/>
      </c>
      <c r="GV54">
        <f t="shared" si="85"/>
        <v>0</v>
      </c>
      <c r="GW54">
        <f>IF(D54="","",COUNTIF(D$3:D54,"?*"))</f>
        <v>52</v>
      </c>
      <c r="GX54">
        <f>IF(EX54&lt;&gt;1,0,_xlfn.LET(_xlpm.k,MAX(IFERROR(--VLOOKUP(D54,УГО_спр,5,FALSE),0),IFERROR(--VLOOKUP(AT54,УГО_спр,5,FALSE),0),IFERROR(--VLOOKUP(LEFT(AT54,2),УГО_спр,5,FALSE),0)),IF(_xlpm.k&gt;0,_xlpm.k,IF(IFERROR(--LEFT(SUBSTITUTE(GR54,"x","х"),FIND("х",SUBSTITUTE(GR54,"x","х"))-1),3)&gt;3,Каталог!$S$9,1))))</f>
        <v>1</v>
      </c>
      <c r="GY54">
        <f t="shared" si="86"/>
        <v>0</v>
      </c>
    </row>
    <row r="55" spans="1:207" x14ac:dyDescent="0.3">
      <c r="A55" t="s">
        <v>752</v>
      </c>
      <c r="B55">
        <v>15</v>
      </c>
      <c r="C55" t="str">
        <f>IF(BD55="","",IF(BE55="вводной узел","узел ","")&amp;"л."&amp;(INT((BD55-1)/Столбцов_на_лист)+1)&amp;" / "&amp;(MOD(BD55-1,Столбцов_на_лист)+1))</f>
        <v>л.1 / 15</v>
      </c>
      <c r="D55" t="s">
        <v>1328</v>
      </c>
      <c r="E55" s="133" t="s">
        <v>1327</v>
      </c>
      <c r="G55">
        <v>0.1</v>
      </c>
      <c r="H55">
        <v>1</v>
      </c>
      <c r="I55">
        <v>1</v>
      </c>
      <c r="J55">
        <v>230</v>
      </c>
      <c r="K55" t="s">
        <v>602</v>
      </c>
      <c r="L55">
        <v>0.5</v>
      </c>
      <c r="O55">
        <v>2</v>
      </c>
      <c r="P55">
        <v>13</v>
      </c>
      <c r="R55">
        <v>17</v>
      </c>
      <c r="T55">
        <v>1</v>
      </c>
      <c r="U55" t="s">
        <v>11</v>
      </c>
      <c r="V55">
        <v>3</v>
      </c>
      <c r="W55">
        <v>1.5</v>
      </c>
      <c r="X55">
        <v>10</v>
      </c>
      <c r="Z55" t="s">
        <v>584</v>
      </c>
      <c r="AA55" t="s">
        <v>818</v>
      </c>
      <c r="AD55" t="s">
        <v>517</v>
      </c>
      <c r="AR55" t="str">
        <f t="shared" si="0"/>
        <v/>
      </c>
      <c r="AS55" cm="1">
        <f t="array" ref="AS55">ROW()-ROW(Линии[#Headers])</f>
        <v>53</v>
      </c>
      <c r="AT55" t="str">
        <f t="shared" si="1"/>
        <v>В</v>
      </c>
      <c r="AU55" t="str">
        <f t="shared" si="2"/>
        <v>9</v>
      </c>
      <c r="AV55" t="str">
        <f t="shared" si="3"/>
        <v>9</v>
      </c>
      <c r="AW55" t="str">
        <f t="shared" si="4"/>
        <v/>
      </c>
      <c r="AX55" t="str">
        <f t="shared" si="5"/>
        <v/>
      </c>
      <c r="AY55" t="str">
        <f>IF(D55="","",IF(ISERROR(SEARCH(".",D55)),IFERROR(VLOOKUP(D55,Потребители_обозначение,2,FALSE)&amp;"",""),IFERROR(IF(VLOOKUP(AT55,Потребители_обозначение,4,FALSE)=1,VLOOKUP(AT55,Потребители_обозначение,2,FALSE)&amp;" "&amp;VLOOKUP(AV55,Этаж_обозначение,2,FALSE)&amp;" Пом. №"&amp;AX55,VLOOKUP(AT55,Потребители_обозначение,2,FALSE)&amp;" Шлейф №"&amp;AV55),IFERROR(VLOOKUP(D55,Потребители_обозначение,2,FALSE),""))))</f>
        <v>Вытяжная установка Шлейф №9</v>
      </c>
      <c r="AZ55" t="str">
        <f t="shared" si="6"/>
        <v>Вытяжная установка Пом №006T</v>
      </c>
      <c r="BA55" t="str">
        <f>IF(F55&lt;&gt;"",F55,IF(AND(D55&lt;&gt;"",D55&lt;&gt;A55,ISNUMBER(_xlfn.XMATCH(D55,Щиты[Щит]))),D55,""))</f>
        <v/>
      </c>
      <c r="BB55">
        <f>IFERROR(_xlfn.XMATCH(A55,Щиты[Щит]),0)</f>
        <v>4</v>
      </c>
      <c r="BC55">
        <f>IFERROR(N(_xlfn.XLOOKUP(A55,Щиты[Щит],Щиты[Мест под вводной узел])),15)</f>
        <v>13</v>
      </c>
      <c r="BD55">
        <f t="shared" si="7"/>
        <v>15</v>
      </c>
      <c r="BE55" t="str">
        <f t="shared" si="8"/>
        <v>линии</v>
      </c>
      <c r="BF55">
        <f>IF(D55="","",IF(BA55&lt;&gt;"",IFERROR(_xlfn.XLOOKUP(BA55,Щиты[Щит],Щиты[Руст, кВт]),0),N(G55)))</f>
        <v>0.1</v>
      </c>
      <c r="BG55">
        <f>IF(J55&lt;&gt;"",J55,IF(D55="","",IFERROR(IF(VLOOKUP(AT55,Потребители_обозначение,8,FALSE)=0,"",VLOOKUP(AT55,Потребители_обозначение,8,FALSE)),"")))</f>
        <v>230</v>
      </c>
      <c r="BH55">
        <f>IF(I55&lt;&gt;"",I55,IF(D55="","",IFERROR(IF(VLOOKUP(AT55,Потребители_обозначение,9,FALSE)=0,"",VLOOKUP(AT55,Потребители_обозначение,9,FALSE)),"")))</f>
        <v>1</v>
      </c>
      <c r="BI55" t="str">
        <f>IF(U55&lt;&gt;"",U55,IF(D55="","",IFERROR(IF(VLOOKUP(AT55,Потребители_обозначение,6,FALSE)=0,"",VLOOKUP(AT55,Потребители_обозначение,6,FALSE)),"")))</f>
        <v>мс</v>
      </c>
      <c r="BJ55">
        <f>IF(V55&lt;&gt;"",V55,IF(D55="","",IFERROR(IF(VLOOKUP(AT55,Потребители_обозначение,7,FALSE)=0,"",VLOOKUP(AT55,Потребители_обозначение,7,FALSE)),"")))</f>
        <v>3</v>
      </c>
      <c r="BK55">
        <f>IF(W55&lt;&gt;"",W55,IF(D55="","",IFERROR(IF(VLOOKUP(AT55,Потребители_обозначение,10,FALSE)=0,"",VLOOKUP(AT55,Потребители_обозначение,10,FALSE)),"")))</f>
        <v>1.5</v>
      </c>
      <c r="BL55">
        <f>IFERROR(VLOOKUP(AT55,Потребители_обозначение,5,FALSE),0)</f>
        <v>1</v>
      </c>
      <c r="BM55" cm="1">
        <f t="array" ref="BM55">IF(D55="","",IF(BA55&lt;&gt;"",IFERROR(_xlfn.XLOOKUP(BA55,Щиты[Щит],Щиты[cos φ]),0.95),IF(ISNUMBER(M55),M55,IFERROR(IF(BL55=2,_xlfn.IFS(BH55=3,VLOOKUP(BF55,Справочная_двигатели,8,FALSE),BH55=1,VLOOKUP(BF55,Справочная_двигатели,10,TRUE)),IF(AND(Методика="нормы 2026",CN55="Сил"),0.8,0.95)),0.95))))</f>
        <v>0.95</v>
      </c>
      <c r="BN55" cm="1">
        <f t="array" ref="BN55">IF(D55="","",IF(BA55&lt;&gt;"",IFERROR(_xlfn.XLOOKUP(BA55,Щиты[Щит],Щиты[Iр, А]),""),IFERROR(_xlfn.IFS(BH55=1,BF55/((Uн_лин/SQRT(3))*BM55),BH55=3,BF55/(SQRT(3)*Uн_лин*BM55)),"")))</f>
        <v>0.455802844097073</v>
      </c>
      <c r="BO55">
        <f>IF(D55="","",IF(N(X55)=0,IFERROR(VLOOKUP(BN55,Автомат_номиналы,2,TRUE),""),X55))</f>
        <v>10</v>
      </c>
      <c r="BP55">
        <f t="shared" si="9"/>
        <v>1</v>
      </c>
      <c r="BQ55">
        <f>IF(ISNUMBER(Y55),Y55,К_прокл)</f>
        <v>1</v>
      </c>
      <c r="BR55">
        <f t="shared" si="10"/>
        <v>2</v>
      </c>
      <c r="BS55" cm="1">
        <f t="array" ref="BS55">IF(D55="","",IF(N(BK55)&lt;&gt;0,BK55,IFERROR(_xlfn.LET(_xlpm.need,BO55/(BP55*BQ55),_xlpm.t,CHOOSE(BR55,Iдоп_1ж,Iдоп_2ж,Iдоп_3ж),_xlpm.k,_xlfn.XMATCH(_xlpm.need,_xlpm.t,1),IF(ISNA(_xlpm.k),"Не исп",INDEX(Iдоп_S,_xlpm.k))),"Не исп")))</f>
        <v>1.5</v>
      </c>
      <c r="BT55">
        <f>IFERROR(VLOOKUP(BS55,Кабель_сопротивление,3,FALSE),"")</f>
        <v>2.2499999999999999E-2</v>
      </c>
      <c r="BU55">
        <f>IFERROR(VLOOKUP(BS55,Кабель_сопротивление,2,FALSE),"")</f>
        <v>0.11</v>
      </c>
      <c r="BV55">
        <f t="shared" si="11"/>
        <v>13</v>
      </c>
      <c r="BW55">
        <f>IF(D55="","",IFERROR(IF(VLOOKUP(AT55,Потребители_обозначение,4,FALSE)=1,VLOOKUP(AT55,Потребители_обозначение,3,FALSE)*(H55*2-1)+BV55+VLOOKUP(AV55,Этаж_обозначение,3,FALSE)+VLOOKUP(AV55,Этаж_обозначение,4,FALSE),VLOOKUP(AT55,Потребители_обозначение,3,FALSE)*(H55*2-1)+BV55),BV55))</f>
        <v>17</v>
      </c>
      <c r="BX55">
        <f t="shared" si="12"/>
        <v>17</v>
      </c>
      <c r="BY55">
        <f t="shared" si="13"/>
        <v>0</v>
      </c>
      <c r="BZ55">
        <f t="shared" si="14"/>
        <v>2</v>
      </c>
      <c r="CA55">
        <f t="shared" si="15"/>
        <v>0.31</v>
      </c>
      <c r="CB55">
        <f t="shared" si="16"/>
        <v>0.22136493578247801</v>
      </c>
      <c r="CC55">
        <f>IFERROR(ROUNDUP(CB55/((Uн_лин/SQRT(3))*1000)*100,2),"")</f>
        <v>9.9999999999999992E-2</v>
      </c>
      <c r="CD55">
        <f>IF(ISNUMBER(CC55),CC55+IFERROR(_xlfn.XLOOKUP(A55,Щиты[Щит],Щиты[ΔU до шин, %]),0),"")</f>
        <v>0.6</v>
      </c>
      <c r="CE55">
        <f>IF(D55="","",IF(IFERROR(VLOOKUP(AT55,УГО_спр,2,FALSE),"")="Светильник",3,4)+IF(Методика="нормы 2026",MIN(0.5,MAX(0,N(BW55)-100)*0.005),0))</f>
        <v>4</v>
      </c>
      <c r="CF55" t="str">
        <f>IFERROR(VLOOKUP(BI55,Кабель_обозначение,2,FALSE),"")</f>
        <v>ВВГнг(А)-LS</v>
      </c>
      <c r="CG55" t="str">
        <f>IFERROR(IF(VLOOKUP(BI55,Кабель_обозначение,3,FALSE)=1,CF55&amp;" ("&amp;BJ55&amp;"х"&amp;BS55&amp;")",CF55),"")</f>
        <v>ВВГнг(А)-LS (3х1,5)</v>
      </c>
      <c r="CH55" t="str">
        <f t="shared" si="17"/>
        <v>ВВГнг(А)-LS (3х1,5)
L=17-0,1%</v>
      </c>
      <c r="CI55">
        <f>IFERROR(2*ρкз_Cu*BW55/BS55,"")</f>
        <v>0.59613333333333329</v>
      </c>
      <c r="CJ55">
        <f t="shared" si="18"/>
        <v>0.19833333333333336</v>
      </c>
      <c r="CK55" t="str">
        <f>IFERROR(IF(OR(D55="",NOT(ISNUMBER(BS55)),N(BW55)=0),"",_xlfn.XLOOKUP(A55,Щиты[Щит],Щиты[Zпетли на шинах, Ом])+CI55),"")</f>
        <v/>
      </c>
      <c r="CL55" t="str">
        <f>IF(ISNUMBER(CK55),c_min*(Uн_лин*1000/SQRT(3))/CK55,"")</f>
        <v/>
      </c>
      <c r="CM55" t="str">
        <f>IFERROR(IF(OR(D55="",NOT(ISNUMBER(BS55))),"",1.05*(Uн_лин*1000/SQRT(3))/(_xlfn.XLOOKUP(A55,Щиты[Щит],Щиты[Zmax на шинах, Ом])+CJ55)/1000),"")</f>
        <v/>
      </c>
      <c r="CN55" t="str">
        <f>IF(D55="","",IF(BA55&lt;&gt;"","Щит",IF(K55&lt;&gt;"",K55,IF(ISNUMBER(L55),"Сил",IF(IFERROR(_xlfn.XLOOKUP(AT55,Коды_код,Коды_группа)&amp;"","")="","Быт",_xlfn.XLOOKUP(AT55,Коды_код,Коды_группа)&amp;"")))))</f>
        <v>Сил</v>
      </c>
      <c r="CO55">
        <f>IF(CN55="Щит","щит",IF(CN55="","",IF(CN55="Быт",IFERROR(_xlfn.XLOOKUP(A55,Щиты[Щит],Щиты[Кс быт]),1),IF(CN55="Сил",IF(ISNUMBER(L55),L55,IF(Методика="нормы 2026",IFERROR(_xlfn.XLOOKUP(A55,Щиты[Щит],Щиты[Кс силовых (табл. 7.5)]),1),1)),IF(OR(CN55="Пост",CN55="Отоп"),1,IF(CN55="ВНГ",0.7,0))))))</f>
        <v>0.5</v>
      </c>
      <c r="CP55">
        <f t="shared" si="19"/>
        <v>1</v>
      </c>
      <c r="CQ55">
        <f t="shared" si="20"/>
        <v>0.1</v>
      </c>
      <c r="CR55">
        <f t="shared" si="21"/>
        <v>0</v>
      </c>
      <c r="CS55">
        <f t="shared" si="22"/>
        <v>0.05</v>
      </c>
      <c r="CT55">
        <f t="shared" si="23"/>
        <v>0</v>
      </c>
      <c r="CU55">
        <f t="shared" si="24"/>
        <v>0</v>
      </c>
      <c r="CV55">
        <f t="shared" si="25"/>
        <v>0</v>
      </c>
      <c r="CW55">
        <f t="shared" si="26"/>
        <v>0.1</v>
      </c>
      <c r="CX55">
        <f t="shared" si="27"/>
        <v>9.5000000000000001E-2</v>
      </c>
      <c r="CY55">
        <f t="shared" si="28"/>
        <v>2</v>
      </c>
      <c r="CZ55" t="str">
        <f t="shared" si="29"/>
        <v>L2</v>
      </c>
      <c r="DA55" cm="1">
        <f t="array" ref="DA55">IFERROR(IF(BL55=2,_xlfn.IFS(BH55=3,VLOOKUP(BF55,Справочная_двигатели,3,FALSE),BH55=1,VLOOKUP(BF55,Справочная_двигатели,5,TRUE)),0),0)</f>
        <v>0</v>
      </c>
      <c r="DB55">
        <f>IFERROR(IF(BL55=3,VLOOKUP(BF55,Справочная_ЛЭД,2,TRUE),0),0)</f>
        <v>0</v>
      </c>
      <c r="DC55">
        <f t="shared" si="30"/>
        <v>0</v>
      </c>
      <c r="DD55" t="str">
        <f t="shared" si="31"/>
        <v>L2</v>
      </c>
      <c r="DE55" t="str" cm="1">
        <f t="array" ref="DE55">IF(D55="","",IFERROR(INDEX({"I особая","I","II","III"},MATCH(TRIM(AA55&amp;""),{"I особая","I","II","III"},0)),"III"))</f>
        <v>II</v>
      </c>
      <c r="DF55" t="str">
        <f>IF(D55="","",IF(TRIM(AB55&amp;"")&lt;&gt;"",IF(LOWER(TRIM(AB55&amp;""))="да","да","нет"),IF(IFERROR(_xlfn.XLOOKUP(AT55,Коды_код,Коды_пожарная),"")="да","да","нет")))</f>
        <v>нет</v>
      </c>
      <c r="DG55" t="str">
        <f t="shared" si="32"/>
        <v/>
      </c>
      <c r="DH55" t="str">
        <f t="shared" si="33"/>
        <v>основная</v>
      </c>
      <c r="DI55">
        <f t="shared" si="34"/>
        <v>1</v>
      </c>
      <c r="DJ55" t="str" cm="1">
        <f t="array" ref="DJ55">IF(D55="","",_xlfn.LET(_xlpm.t,IFERROR(_xlfn.XLOOKUP(1,(Шины[Шина]=DH55)*(((Шины[Щит]=A55)+(Шины[Щит]=""))&gt;0),Шины[Тип]),"")&amp;"",IF(_xlpm.t&lt;&gt;"",_xlpm.t,IF(ISNUMBER(SEARCH("ИБП",DH55)),"ИБП",IF(ISNUMBER(SEARCH("ДГУ",DH55)),"ДГУ","Ввод "&amp;DI55)))))</f>
        <v>Ввод 1</v>
      </c>
      <c r="DK55" t="str">
        <f t="shared" si="35"/>
        <v>Ввод 1</v>
      </c>
      <c r="DL55" t="str">
        <f>IF(D55="","",IF(OR(DJ55="ИБП",DJ55="ДГУ"),"I особая",IF(DJ55="Одиночная","III",_xlfn.XLOOKUP(A55,Щиты[Щит],Щиты[Категория шины «Ввод»],"III"))))</f>
        <v>II</v>
      </c>
      <c r="DM55">
        <f>IF(D55="",0,IFERROR(MATCH(DE55,{"III","II","I","I особая"},0),1))</f>
        <v>2</v>
      </c>
      <c r="DN55">
        <f t="shared" si="36"/>
        <v>2</v>
      </c>
      <c r="DO55" t="str">
        <f>IF(D55="","",IF(DM55&gt;IFERROR(MATCH(DL55,{"III","II","I","I особая"},0),1),"НЕ ОБЕСПЕЧЕНА","ОК"))</f>
        <v>ОК</v>
      </c>
      <c r="DP55" t="str">
        <f>IF(A55="","",_xlfn.XLOOKUP(A55,Щиты[Щит],Щиты[Путь],""))</f>
        <v>|ГРЩ-ЖД|ЩОВ-001|</v>
      </c>
      <c r="DQ55" t="str">
        <f>IF(D55="","",IF(Z55&lt;&gt;"",Z55,IF(IFERROR(_xlfn.XLOOKUP(AT55,Коды_код,Коды_вид)&amp;"","")="","Прочее",_xlfn.XLOOKUP(AT55,Коды_код,Коды_вид)&amp;"")))</f>
        <v>Вентиляция</v>
      </c>
      <c r="DR55">
        <f>IF(BD55="","",INT((BD55-1)/Столбцов_на_лист)+1)</f>
        <v>1</v>
      </c>
      <c r="DS55" t="str">
        <f t="shared" si="37"/>
        <v>ВВГнг(А)-LS (3х1,5) L=17-0,1%</v>
      </c>
      <c r="DT55">
        <f t="shared" si="38"/>
        <v>0.1</v>
      </c>
      <c r="DU55">
        <f t="shared" si="39"/>
        <v>0.46</v>
      </c>
      <c r="DV55">
        <f t="shared" si="40"/>
        <v>1</v>
      </c>
      <c r="DW55">
        <f>IF(AT55="",0,_xlfn.LET(_xlpm.v,IFERROR(VLOOKUP(D55,УГО_спр,3,FALSE),IFERROR(VLOOKUP(AT55,УГО_спр,3,FALSE),IFERROR(VLOOKUP(LEFT(AT55,2),УГО_спр,3,FALSE),""))),IF(_xlpm.v="да",30,IF(ISNUMBER(_xlpm.v),_xlpm.v,0))))</f>
        <v>0</v>
      </c>
      <c r="DX55">
        <f t="shared" si="41"/>
        <v>0</v>
      </c>
      <c r="DY55">
        <f>IF(BD55="","",IF(AD55&lt;&gt;"",COUNTIFS(A$3:A55,A55,AD$3:AD55,"?*"),IF(OR(OR(AS55=1,A55&lt;&gt;A54),AL55="вручную"),"",IF(AS55=1,"",DZ54))))</f>
        <v>2</v>
      </c>
      <c r="DZ55">
        <f t="shared" si="42"/>
        <v>2</v>
      </c>
      <c r="EA55">
        <f>IF(D55="",0,MAX(IFERROR(--X55,0),IFERROR(--VLOOKUP(D55,УГО_спр,4,FALSE),IFERROR(--VLOOKUP(AT55,УГО_спр,4,FALSE),IFERROR(--VLOOKUP(LEFT(AT55,2),УГО_спр,4,FALSE),0)))))</f>
        <v>10</v>
      </c>
      <c r="EB55">
        <f>IF(D55="","",IFERROR(LOOKUP(INDEX(CHOOSE(BR55,Iдоп_1ж,Iдоп_2ж,Iдоп_3ж),MATCH(BS55,Iдоп_S,0))*BP55*BQ55,{6,10,16,20,25,32,40,50,63,80,100,125,160,200,250,315,400,500,630}),""))</f>
        <v>16</v>
      </c>
      <c r="EC55">
        <f>IF(AD55="","",SUMIFS(Линии[_Ток схемы],Линии[_гр.],DY55,Линии[Щит],A55,Линии[_в кабель выше],0))</f>
        <v>0.46</v>
      </c>
      <c r="ED55">
        <f>IF(AD55="","",IFERROR(VLOOKUP(EC55,Автомат_номиналы,2,TRUE),""))</f>
        <v>6</v>
      </c>
      <c r="EE55">
        <f>IF(AD55="","",MAX(N(ED55),_xlfn.MAXIFS(Линии[_мин. по типу],Линии[_гр.],DY55,Линии[Щит],A55)))</f>
        <v>10</v>
      </c>
      <c r="EF55">
        <f>IF(AD55="","",_xlfn.MINIFS(Линии[_макс. автомат по кабелю],Линии[_гр.],DY55,Линии[Щит],A55))</f>
        <v>16</v>
      </c>
      <c r="EG55">
        <f>IF(AD55="","",MAX(1,_xlfn.MAXIFS(Линии[_фаз],Линии[_гр.],DY55,Линии[Щит],A55)))</f>
        <v>1</v>
      </c>
      <c r="EH55">
        <f>IF(AD55="","",IF(AND(AD55&lt;&gt;"авто",AD55&lt;&gt;"+"),IF(ISNUMBER(SEARCH("мА",AD55)),IFERROR(--TRIM(RIGHT(SUBSTITUTE(LEFT(AD55,SEARCH("мА",AD55)-1)," ",REPT(" ",9)),6)),30),0),IF(AE55="нет",0,IF(ISNUMBER(AE55),AE55,IF(AE55="да",30,_xlfn.MINIFS(Линии[_дифзащита по коду, мА],Линии[_гр.],DY55,Линии[Щит],A55,Линии[_дифзащита по коду, мА],"&gt;0"))))))</f>
        <v>0</v>
      </c>
      <c r="EI55">
        <f t="shared" si="43"/>
        <v>0</v>
      </c>
      <c r="EJ55" t="str">
        <f t="shared" si="44"/>
        <v>QF2</v>
      </c>
      <c r="EK55" t="str">
        <f t="shared" si="45"/>
        <v>QF2</v>
      </c>
      <c r="EL55" t="str">
        <f t="shared" si="46"/>
        <v/>
      </c>
      <c r="EM55">
        <f t="shared" si="47"/>
        <v>0</v>
      </c>
      <c r="EN55">
        <f>IF(AD55="","",IF(EM55=1,MAX(EE55,Мин_автомат_БП),EE55))</f>
        <v>10</v>
      </c>
      <c r="EO55" t="str">
        <f t="shared" si="48"/>
        <v>1P</v>
      </c>
      <c r="EP55" t="str">
        <f t="shared" si="49"/>
        <v>1P С10А</v>
      </c>
      <c r="EQ55">
        <f t="shared" si="50"/>
        <v>10</v>
      </c>
      <c r="ER55" t="str">
        <f>IF(OR(AI55="",AI55="-"),"",IFERROR(VLOOKUP(AI55,Модули_спр,2,FALSE),"R"))</f>
        <v/>
      </c>
      <c r="ES55" t="str">
        <f>IF(ER55="","",ER55&amp;"."&amp;COUNTIFS(A$3:A55,A55,ER$3:ER55,ER55))</f>
        <v/>
      </c>
      <c r="ET55" t="str">
        <f t="shared" si="51"/>
        <v/>
      </c>
      <c r="EU55" t="str">
        <f t="shared" si="52"/>
        <v/>
      </c>
      <c r="EV55" t="str">
        <f t="shared" si="53"/>
        <v/>
      </c>
      <c r="EW55" t="str">
        <f t="shared" si="54"/>
        <v/>
      </c>
      <c r="EX55">
        <f t="shared" si="55"/>
        <v>1</v>
      </c>
      <c r="EY55" t="str">
        <f>IF(AK55="нет","",IF(AK55&lt;&gt;"",AK55,IF(EX55=1,"XT"&amp;COUNTIFS(A$3:A55,A55,EX$3:EX55,1),"")))</f>
        <v>XT3</v>
      </c>
      <c r="EZ55" t="str">
        <f t="shared" si="56"/>
        <v>QF2</v>
      </c>
      <c r="FA55" t="str">
        <f t="shared" si="57"/>
        <v/>
      </c>
      <c r="FB55" t="str">
        <f t="shared" si="58"/>
        <v>ok</v>
      </c>
      <c r="FC55" t="str">
        <f>IF(OR(EV55="",ET55=""),"",IF(EV55&gt;IFERROR(VLOOKUP(EU55,Модули_спр,3,FALSE),99),"ЛИШНИЙ КАНАЛ",IF(AND(AJ55&lt;&gt;"=",COUNTIFS(Линии[_модуль гр.],ET55,Линии[Канал (итог)],EV55,Линии[Канал],"&lt;&gt;=",Линии[Щит],A55)&gt;1),"ДУБЛЬ КАНАЛА","")))</f>
        <v/>
      </c>
      <c r="FD55">
        <f t="shared" si="59"/>
        <v>10</v>
      </c>
      <c r="FE55" t="str">
        <f t="shared" si="60"/>
        <v>1P С10А</v>
      </c>
      <c r="FF55">
        <f t="shared" si="61"/>
        <v>0</v>
      </c>
      <c r="FG55">
        <f t="shared" si="62"/>
        <v>0</v>
      </c>
      <c r="FH55" t="str">
        <f t="shared" si="63"/>
        <v/>
      </c>
      <c r="FI55">
        <f t="shared" si="64"/>
        <v>10</v>
      </c>
      <c r="FJ55" t="str">
        <f t="shared" si="65"/>
        <v/>
      </c>
      <c r="FK55" t="str">
        <f>IF(AND(D55="",EZ55=""),"",_xlfn.TEXTJOIN("; ",TRUE,IF(AND(D55&lt;&gt;"",DD55=""),"нет фазы",""),IF(AND(D55&lt;&gt;"",N(DT55)=0,CN55&lt;&gt;"Нет"),"нет мощности",""),IF(AND(EY55&lt;&gt;"",COUNTIFS(Линии[Щит],A55,Линии[Клемма (итог)],EY55)&gt;1),"дубль клеммы "&amp;EY55,""),IF(AND(FB55&lt;&gt;"",FB55&lt;&gt;"ok"),FB55,""),IF(FC55&lt;&gt;"",FC55,""),IF(AND(ISNUMBER(SEARCH("(5х",DS55)),N(DV55)=1),"5 жил на 1 фазе",""),IF(AND(AT55="R",AD55&lt;&gt;"",OR(N(EH55)=0,N(EH55)&gt;30)),"розетка без дифзащиты до 30 мА",""),IFERROR(IF(AND(ISNUMBER(CD55),CD55&gt;CE55),"потери "&amp;FIXED(CD55,1)&amp;" % &gt; "&amp;CE55&amp;" %",""),""),IFERROR(IF(LEFT(FJ55,4)="мало","Iкз мало — отключение &gt; 0,4 с",""),""),IF(AND(D55&lt;&gt;"",BD55=""),"не на схеме","")))</f>
        <v/>
      </c>
      <c r="FL55">
        <f>IF(AD55="","",_xlfn.LET(_xlpm.t,IFERROR(_xlfn.XLOOKUP(EP55,Каталог!$U$4:$U$500,Каталог!$G$4:$G$500),""),_xlpm.k,SEARCH("кА",_xlpm.t),IFERROR(--TRIM(RIGHT(SUBSTITUTE(MID(_xlpm.t,MAX(1,_xlpm.k-4),_xlpm.k-MAX(1,_xlpm.k-4))," ",REPT(" ",9)),5)),"")))</f>
        <v>6</v>
      </c>
      <c r="FM55" t="str">
        <f>IF(OR(FL55="",AD55=""),"",IF(_xlfn.XLOOKUP(A55,Щиты[Щит],Щиты[Iкз max на шинах, кА],"")="","",IF(FL55&lt;_xlfn.XLOOKUP(A55,Щиты[Щит],Щиты[Iкз max на шинах, кА]),"Icu "&amp;FL55&amp;" кА &lt; Iкз max","ok")))</f>
        <v/>
      </c>
      <c r="FN55" t="str">
        <f t="shared" si="66"/>
        <v>QF2|XT3</v>
      </c>
      <c r="FO55" t="str">
        <f t="shared" si="67"/>
        <v>QF2|XT3|кабель ВВГнг(А)-LS (3х1,5) → Вытяжная установка Пом №006T</v>
      </c>
      <c r="FP55" t="str" cm="1">
        <f t="array" ref="FP55">IF(FO55="","",_xlfn.LET(_xlpm.nd,_xlfn.TEXTSPLIT(FO55,"|"),IF(COLUMNS(_xlpm.nd)&gt;1,A55&amp;"¦"&amp;INDEX(_xlpm.nd,1)&amp;"¦"&amp;INDEX(_xlpm.nd,2),"")))</f>
        <v>ЩОВ-001¦QF2¦XT3</v>
      </c>
      <c r="FQ55" t="str">
        <f t="shared" si="68"/>
        <v>В.9¦Вытяжная установка Пом №006T</v>
      </c>
      <c r="FR55" t="str" cm="1">
        <f t="array" ref="FR55">IF(FO55="","",_xlfn.LET(_xlpm.nd,_xlfn.TEXTSPLIT(FO55,"|"),IF(COLUMNS(_xlpm.nd)&gt;2,A55&amp;"¦"&amp;INDEX(_xlpm.nd,2)&amp;"¦"&amp;INDEX(_xlpm.nd,3),"")))</f>
        <v>ЩОВ-001¦XT3¦кабель ВВГнг(А)-LS (3х1,5) → Вытяжная установка Пом №006T</v>
      </c>
      <c r="FS55" t="str">
        <f t="shared" si="69"/>
        <v>В.9¦Вытяжная установка Пом №006T</v>
      </c>
      <c r="FT55" t="str" cm="1">
        <f t="array" ref="FT55">IF(FO55="","",_xlfn.LET(_xlpm.nd,_xlfn.TEXTSPLIT(FO55,"|"),IF(COLUMNS(_xlpm.nd)&gt;3,A55&amp;"¦"&amp;INDEX(_xlpm.nd,3)&amp;"¦"&amp;INDEX(_xlpm.nd,4),"")))</f>
        <v/>
      </c>
      <c r="FU55" t="str">
        <f t="shared" si="70"/>
        <v/>
      </c>
      <c r="FV55" t="str" cm="1">
        <f t="array" ref="FV55">IF(FO55="","",_xlfn.LET(_xlpm.nd,_xlfn.TEXTSPLIT(FO55,"|"),IF(COLUMNS(_xlpm.nd)&gt;4,A55&amp;"¦"&amp;INDEX(_xlpm.nd,4)&amp;"¦"&amp;INDEX(_xlpm.nd,5),"")))</f>
        <v/>
      </c>
      <c r="FW55" t="str">
        <f t="shared" si="71"/>
        <v/>
      </c>
      <c r="FX55" t="str" cm="1">
        <f t="array" ref="FX55">IF(FO55="","",_xlfn.LET(_xlpm.nd,_xlfn.TEXTSPLIT(FO55,"|"),IF(COLUMNS(_xlpm.nd)&gt;5,A55&amp;"¦"&amp;INDEX(_xlpm.nd,5)&amp;"¦"&amp;INDEX(_xlpm.nd,6),"")))</f>
        <v/>
      </c>
      <c r="FY55" t="str">
        <f t="shared" si="72"/>
        <v/>
      </c>
      <c r="FZ55" t="str" cm="1">
        <f t="array" ref="FZ55">IF(FO55="","",_xlfn.LET(_xlpm.nd,_xlfn.TEXTSPLIT(FO55,"|"),IF(COLUMNS(_xlpm.nd)&gt;6,A55&amp;"¦"&amp;INDEX(_xlpm.nd,6)&amp;"¦"&amp;INDEX(_xlpm.nd,7),"")))</f>
        <v/>
      </c>
      <c r="GA55" t="str">
        <f t="shared" si="73"/>
        <v/>
      </c>
      <c r="GB55" t="str">
        <f t="shared" si="74"/>
        <v/>
      </c>
      <c r="GC55" t="str">
        <f t="shared" si="75"/>
        <v>QF2 → XT3</v>
      </c>
      <c r="GD55">
        <f t="shared" si="76"/>
        <v>1</v>
      </c>
      <c r="GE55">
        <f t="shared" si="77"/>
        <v>0</v>
      </c>
      <c r="GF55">
        <f t="shared" si="78"/>
        <v>0</v>
      </c>
      <c r="GG55" t="str">
        <f t="shared" si="79"/>
        <v/>
      </c>
      <c r="GH55" t="str">
        <f t="shared" si="80"/>
        <v/>
      </c>
      <c r="GI55" t="str">
        <f t="shared" si="81"/>
        <v/>
      </c>
      <c r="GJ55" t="str">
        <f t="shared" si="82"/>
        <v/>
      </c>
      <c r="GK55" t="str">
        <f>IF(D55="","",IFERROR(VLOOKUP(D55,УГО_спр,2,FALSE),IFERROR(VLOOKUP(AT55,УГО_спр,2,FALSE),IFERROR(VLOOKUP(LEFT(AT55,2),УГО_спр,2,FALSE),""))))</f>
        <v>Привод (двигатель)</v>
      </c>
      <c r="GL55" t="str">
        <f>IF(D55="","",IF(OR(GK55="",GK55=0),"BOX",IFERROR(IF(VLOOKUP(GK55,УГО_блоки,3,FALSE)&amp;""&lt;&gt;"",VLOOKUP(GK55,УГО_блоки,3,FALSE),VLOOKUP(GK55,УГО_блоки,2,FALSE)),GK55)))</f>
        <v>MOTOR</v>
      </c>
      <c r="GM55">
        <f t="shared" si="83"/>
        <v>1</v>
      </c>
      <c r="GN55" t="str">
        <f>IF(EP55="","",IF(COUNTIF(EP$3:EP55,EP55)=1,MAX(GN$2:GN54)+1,""))</f>
        <v/>
      </c>
      <c r="GO55" t="str">
        <f>IF(AF55="","",IF(COUNTIF(AF$3:AF55,AF55)+COUNTIF(AG$2:AG54,AF55)+COUNTIF(AH$2:AH54,AF55)=1,MAX(GO$2:GQ54)+1,""))</f>
        <v/>
      </c>
      <c r="GP55" t="str">
        <f>IF(AG55="","",IF(COUNTIF(AF$3:AF55,AG55)+COUNTIF(AG$3:AG55,AG55)+COUNTIF(AH$2:AH54,AG55)=1,MAX(GO$2:GQ54,GO55)+1,""))</f>
        <v/>
      </c>
      <c r="GQ55" t="str">
        <f>IF(AH55="","",IF(COUNTIF(AF$3:AF55,AH55)+COUNTIF(AG$3:AG55,AH55)+COUNTIF(AH$3:AH55,AH55)=1,MAX(GO$2:GQ54,GO55,GP55)+1,""))</f>
        <v/>
      </c>
      <c r="GR55" t="str">
        <f t="shared" si="84"/>
        <v>3х1,5</v>
      </c>
      <c r="GS55" t="str">
        <f>IF(GR55="","",IF(COUNTIF(GR$3:GR55,GR55)=1,MAX(GS$2:GS54)+1,""))</f>
        <v/>
      </c>
      <c r="GT55" t="str">
        <f>IF(ES55="","",COUNTIF(ES$3:ES55,"?*"))</f>
        <v/>
      </c>
      <c r="GU55" t="str">
        <f>IF(OR(ES55="",EU55=""),"",IF(COUNTIFS(ES$3:ES55,"?*",EU$3:EU55,EU55)=1,MAX(GU$2:GU54)+1,""))</f>
        <v/>
      </c>
      <c r="GV55">
        <f t="shared" si="85"/>
        <v>0</v>
      </c>
      <c r="GW55">
        <f>IF(D55="","",COUNTIF(D$3:D55,"?*"))</f>
        <v>53</v>
      </c>
      <c r="GX55">
        <f>IF(EX55&lt;&gt;1,0,_xlfn.LET(_xlpm.k,MAX(IFERROR(--VLOOKUP(D55,УГО_спр,5,FALSE),0),IFERROR(--VLOOKUP(AT55,УГО_спр,5,FALSE),0),IFERROR(--VLOOKUP(LEFT(AT55,2),УГО_спр,5,FALSE),0)),IF(_xlpm.k&gt;0,_xlpm.k,IF(IFERROR(--LEFT(SUBSTITUTE(GR55,"x","х"),FIND("х",SUBSTITUTE(GR55,"x","х"))-1),3)&gt;3,Каталог!$S$9,1))))</f>
        <v>1</v>
      </c>
      <c r="GY55">
        <f t="shared" si="86"/>
        <v>0</v>
      </c>
    </row>
    <row r="56" spans="1:207" x14ac:dyDescent="0.3">
      <c r="A56" t="s">
        <v>752</v>
      </c>
      <c r="B56">
        <v>16</v>
      </c>
      <c r="C56" t="str">
        <f>IF(BD56="","",IF(BE56="вводной узел","узел ","")&amp;"л."&amp;(INT((BD56-1)/Столбцов_на_лист)+1)&amp;" / "&amp;(MOD(BD56-1,Столбцов_на_лист)+1))</f>
        <v>л.1 / 16</v>
      </c>
      <c r="D56" t="s">
        <v>1329</v>
      </c>
      <c r="E56" s="133" t="s">
        <v>1330</v>
      </c>
      <c r="G56">
        <v>0.1</v>
      </c>
      <c r="H56">
        <v>1</v>
      </c>
      <c r="I56">
        <v>1</v>
      </c>
      <c r="J56">
        <v>230</v>
      </c>
      <c r="K56" t="s">
        <v>602</v>
      </c>
      <c r="L56">
        <v>0.5</v>
      </c>
      <c r="O56">
        <v>3</v>
      </c>
      <c r="P56">
        <v>14</v>
      </c>
      <c r="R56">
        <v>18</v>
      </c>
      <c r="T56">
        <v>1</v>
      </c>
      <c r="U56" t="s">
        <v>11</v>
      </c>
      <c r="V56">
        <v>3</v>
      </c>
      <c r="W56">
        <v>1.5</v>
      </c>
      <c r="X56">
        <v>10</v>
      </c>
      <c r="Z56" t="s">
        <v>584</v>
      </c>
      <c r="AA56" t="s">
        <v>818</v>
      </c>
      <c r="AD56" t="s">
        <v>517</v>
      </c>
      <c r="AR56" t="str">
        <f t="shared" si="0"/>
        <v/>
      </c>
      <c r="AS56" cm="1">
        <f t="array" ref="AS56">ROW()-ROW(Линии[#Headers])</f>
        <v>54</v>
      </c>
      <c r="AT56" t="str">
        <f t="shared" si="1"/>
        <v>В</v>
      </c>
      <c r="AU56" t="str">
        <f t="shared" si="2"/>
        <v>11</v>
      </c>
      <c r="AV56" t="str">
        <f t="shared" si="3"/>
        <v>11</v>
      </c>
      <c r="AW56" t="str">
        <f t="shared" si="4"/>
        <v/>
      </c>
      <c r="AX56" t="str">
        <f t="shared" si="5"/>
        <v/>
      </c>
      <c r="AY56" t="str">
        <f>IF(D56="","",IF(ISERROR(SEARCH(".",D56)),IFERROR(VLOOKUP(D56,Потребители_обозначение,2,FALSE)&amp;"",""),IFERROR(IF(VLOOKUP(AT56,Потребители_обозначение,4,FALSE)=1,VLOOKUP(AT56,Потребители_обозначение,2,FALSE)&amp;" "&amp;VLOOKUP(AV56,Этаж_обозначение,2,FALSE)&amp;" Пом. №"&amp;AX56,VLOOKUP(AT56,Потребители_обозначение,2,FALSE)&amp;" Шлейф №"&amp;AV56),IFERROR(VLOOKUP(D56,Потребители_обозначение,2,FALSE),""))))</f>
        <v>Вытяжная установка Шлейф №11</v>
      </c>
      <c r="AZ56" t="str">
        <f t="shared" si="6"/>
        <v>Вытяжная установка Подвальный этаж Пом №006T</v>
      </c>
      <c r="BA56" t="str">
        <f>IF(F56&lt;&gt;"",F56,IF(AND(D56&lt;&gt;"",D56&lt;&gt;A56,ISNUMBER(_xlfn.XMATCH(D56,Щиты[Щит]))),D56,""))</f>
        <v/>
      </c>
      <c r="BB56">
        <f>IFERROR(_xlfn.XMATCH(A56,Щиты[Щит]),0)</f>
        <v>4</v>
      </c>
      <c r="BC56">
        <f>IFERROR(N(_xlfn.XLOOKUP(A56,Щиты[Щит],Щиты[Мест под вводной узел])),15)</f>
        <v>13</v>
      </c>
      <c r="BD56">
        <f t="shared" si="7"/>
        <v>16</v>
      </c>
      <c r="BE56" t="str">
        <f t="shared" si="8"/>
        <v>линии</v>
      </c>
      <c r="BF56">
        <f>IF(D56="","",IF(BA56&lt;&gt;"",IFERROR(_xlfn.XLOOKUP(BA56,Щиты[Щит],Щиты[Руст, кВт]),0),N(G56)))</f>
        <v>0.1</v>
      </c>
      <c r="BG56">
        <f>IF(J56&lt;&gt;"",J56,IF(D56="","",IFERROR(IF(VLOOKUP(AT56,Потребители_обозначение,8,FALSE)=0,"",VLOOKUP(AT56,Потребители_обозначение,8,FALSE)),"")))</f>
        <v>230</v>
      </c>
      <c r="BH56">
        <f>IF(I56&lt;&gt;"",I56,IF(D56="","",IFERROR(IF(VLOOKUP(AT56,Потребители_обозначение,9,FALSE)=0,"",VLOOKUP(AT56,Потребители_обозначение,9,FALSE)),"")))</f>
        <v>1</v>
      </c>
      <c r="BI56" t="str">
        <f>IF(U56&lt;&gt;"",U56,IF(D56="","",IFERROR(IF(VLOOKUP(AT56,Потребители_обозначение,6,FALSE)=0,"",VLOOKUP(AT56,Потребители_обозначение,6,FALSE)),"")))</f>
        <v>мс</v>
      </c>
      <c r="BJ56">
        <f>IF(V56&lt;&gt;"",V56,IF(D56="","",IFERROR(IF(VLOOKUP(AT56,Потребители_обозначение,7,FALSE)=0,"",VLOOKUP(AT56,Потребители_обозначение,7,FALSE)),"")))</f>
        <v>3</v>
      </c>
      <c r="BK56">
        <f>IF(W56&lt;&gt;"",W56,IF(D56="","",IFERROR(IF(VLOOKUP(AT56,Потребители_обозначение,10,FALSE)=0,"",VLOOKUP(AT56,Потребители_обозначение,10,FALSE)),"")))</f>
        <v>1.5</v>
      </c>
      <c r="BL56">
        <f>IFERROR(VLOOKUP(AT56,Потребители_обозначение,5,FALSE),0)</f>
        <v>1</v>
      </c>
      <c r="BM56" cm="1">
        <f t="array" ref="BM56">IF(D56="","",IF(BA56&lt;&gt;"",IFERROR(_xlfn.XLOOKUP(BA56,Щиты[Щит],Щиты[cos φ]),0.95),IF(ISNUMBER(M56),M56,IFERROR(IF(BL56=2,_xlfn.IFS(BH56=3,VLOOKUP(BF56,Справочная_двигатели,8,FALSE),BH56=1,VLOOKUP(BF56,Справочная_двигатели,10,TRUE)),IF(AND(Методика="нормы 2026",CN56="Сил"),0.8,0.95)),0.95))))</f>
        <v>0.95</v>
      </c>
      <c r="BN56" cm="1">
        <f t="array" ref="BN56">IF(D56="","",IF(BA56&lt;&gt;"",IFERROR(_xlfn.XLOOKUP(BA56,Щиты[Щит],Щиты[Iр, А]),""),IFERROR(_xlfn.IFS(BH56=1,BF56/((Uн_лин/SQRT(3))*BM56),BH56=3,BF56/(SQRT(3)*Uн_лин*BM56)),"")))</f>
        <v>0.455802844097073</v>
      </c>
      <c r="BO56">
        <f>IF(D56="","",IF(N(X56)=0,IFERROR(VLOOKUP(BN56,Автомат_номиналы,2,TRUE),""),X56))</f>
        <v>10</v>
      </c>
      <c r="BP56">
        <f t="shared" si="9"/>
        <v>1</v>
      </c>
      <c r="BQ56">
        <f>IF(ISNUMBER(Y56),Y56,К_прокл)</f>
        <v>1</v>
      </c>
      <c r="BR56">
        <f t="shared" si="10"/>
        <v>2</v>
      </c>
      <c r="BS56" cm="1">
        <f t="array" ref="BS56">IF(D56="","",IF(N(BK56)&lt;&gt;0,BK56,IFERROR(_xlfn.LET(_xlpm.need,BO56/(BP56*BQ56),_xlpm.t,CHOOSE(BR56,Iдоп_1ж,Iдоп_2ж,Iдоп_3ж),_xlpm.k,_xlfn.XMATCH(_xlpm.need,_xlpm.t,1),IF(ISNA(_xlpm.k),"Не исп",INDEX(Iдоп_S,_xlpm.k))),"Не исп")))</f>
        <v>1.5</v>
      </c>
      <c r="BT56">
        <f>IFERROR(VLOOKUP(BS56,Кабель_сопротивление,3,FALSE),"")</f>
        <v>2.2499999999999999E-2</v>
      </c>
      <c r="BU56">
        <f>IFERROR(VLOOKUP(BS56,Кабель_сопротивление,2,FALSE),"")</f>
        <v>0.11</v>
      </c>
      <c r="BV56">
        <f t="shared" si="11"/>
        <v>14</v>
      </c>
      <c r="BW56">
        <f>IF(D56="","",IFERROR(IF(VLOOKUP(AT56,Потребители_обозначение,4,FALSE)=1,VLOOKUP(AT56,Потребители_обозначение,3,FALSE)*(H56*2-1)+BV56+VLOOKUP(AV56,Этаж_обозначение,3,FALSE)+VLOOKUP(AV56,Этаж_обозначение,4,FALSE),VLOOKUP(AT56,Потребители_обозначение,3,FALSE)*(H56*2-1)+BV56),BV56))</f>
        <v>18</v>
      </c>
      <c r="BX56">
        <f t="shared" si="12"/>
        <v>18</v>
      </c>
      <c r="BY56">
        <f t="shared" si="13"/>
        <v>0</v>
      </c>
      <c r="BZ56">
        <f t="shared" si="14"/>
        <v>2</v>
      </c>
      <c r="CA56">
        <f t="shared" si="15"/>
        <v>0.31</v>
      </c>
      <c r="CB56">
        <f t="shared" si="16"/>
        <v>0.23438640259321197</v>
      </c>
      <c r="CC56">
        <f>IFERROR(ROUNDUP(CB56/((Uн_лин/SQRT(3))*1000)*100,2),"")</f>
        <v>0.11</v>
      </c>
      <c r="CD56">
        <f>IF(ISNUMBER(CC56),CC56+IFERROR(_xlfn.XLOOKUP(A56,Щиты[Щит],Щиты[ΔU до шин, %]),0),"")</f>
        <v>0.61</v>
      </c>
      <c r="CE56">
        <f>IF(D56="","",IF(IFERROR(VLOOKUP(AT56,УГО_спр,2,FALSE),"")="Светильник",3,4)+IF(Методика="нормы 2026",MIN(0.5,MAX(0,N(BW56)-100)*0.005),0))</f>
        <v>4</v>
      </c>
      <c r="CF56" t="str">
        <f>IFERROR(VLOOKUP(BI56,Кабель_обозначение,2,FALSE),"")</f>
        <v>ВВГнг(А)-LS</v>
      </c>
      <c r="CG56" t="str">
        <f>IFERROR(IF(VLOOKUP(BI56,Кабель_обозначение,3,FALSE)=1,CF56&amp;" ("&amp;BJ56&amp;"х"&amp;BS56&amp;")",CF56),"")</f>
        <v>ВВГнг(А)-LS (3х1,5)</v>
      </c>
      <c r="CH56" t="str">
        <f t="shared" si="17"/>
        <v>ВВГнг(А)-LS (3х1,5)
L=18-0,11%</v>
      </c>
      <c r="CI56">
        <f>IFERROR(2*ρкз_Cu*BW56/BS56,"")</f>
        <v>0.63119999999999998</v>
      </c>
      <c r="CJ56">
        <f t="shared" si="18"/>
        <v>0.21000000000000005</v>
      </c>
      <c r="CK56" t="str">
        <f>IFERROR(IF(OR(D56="",NOT(ISNUMBER(BS56)),N(BW56)=0),"",_xlfn.XLOOKUP(A56,Щиты[Щит],Щиты[Zпетли на шинах, Ом])+CI56),"")</f>
        <v/>
      </c>
      <c r="CL56" t="str">
        <f>IF(ISNUMBER(CK56),c_min*(Uн_лин*1000/SQRT(3))/CK56,"")</f>
        <v/>
      </c>
      <c r="CM56" t="str">
        <f>IFERROR(IF(OR(D56="",NOT(ISNUMBER(BS56))),"",1.05*(Uн_лин*1000/SQRT(3))/(_xlfn.XLOOKUP(A56,Щиты[Щит],Щиты[Zmax на шинах, Ом])+CJ56)/1000),"")</f>
        <v/>
      </c>
      <c r="CN56" t="str">
        <f>IF(D56="","",IF(BA56&lt;&gt;"","Щит",IF(K56&lt;&gt;"",K56,IF(ISNUMBER(L56),"Сил",IF(IFERROR(_xlfn.XLOOKUP(AT56,Коды_код,Коды_группа)&amp;"","")="","Быт",_xlfn.XLOOKUP(AT56,Коды_код,Коды_группа)&amp;"")))))</f>
        <v>Сил</v>
      </c>
      <c r="CO56">
        <f>IF(CN56="Щит","щит",IF(CN56="","",IF(CN56="Быт",IFERROR(_xlfn.XLOOKUP(A56,Щиты[Щит],Щиты[Кс быт]),1),IF(CN56="Сил",IF(ISNUMBER(L56),L56,IF(Методика="нормы 2026",IFERROR(_xlfn.XLOOKUP(A56,Щиты[Щит],Щиты[Кс силовых (табл. 7.5)]),1),1)),IF(OR(CN56="Пост",CN56="Отоп"),1,IF(CN56="ВНГ",0.7,0))))))</f>
        <v>0.5</v>
      </c>
      <c r="CP56">
        <f t="shared" si="19"/>
        <v>1</v>
      </c>
      <c r="CQ56">
        <f t="shared" si="20"/>
        <v>0.1</v>
      </c>
      <c r="CR56">
        <f t="shared" si="21"/>
        <v>0</v>
      </c>
      <c r="CS56">
        <f t="shared" si="22"/>
        <v>0.05</v>
      </c>
      <c r="CT56">
        <f t="shared" si="23"/>
        <v>0</v>
      </c>
      <c r="CU56">
        <f t="shared" si="24"/>
        <v>0</v>
      </c>
      <c r="CV56">
        <f t="shared" si="25"/>
        <v>0</v>
      </c>
      <c r="CW56">
        <f t="shared" si="26"/>
        <v>0.1</v>
      </c>
      <c r="CX56">
        <f t="shared" si="27"/>
        <v>9.5000000000000001E-2</v>
      </c>
      <c r="CY56">
        <f t="shared" si="28"/>
        <v>3</v>
      </c>
      <c r="CZ56" t="str">
        <f t="shared" si="29"/>
        <v>L3</v>
      </c>
      <c r="DA56" cm="1">
        <f t="array" ref="DA56">IFERROR(IF(BL56=2,_xlfn.IFS(BH56=3,VLOOKUP(BF56,Справочная_двигатели,3,FALSE),BH56=1,VLOOKUP(BF56,Справочная_двигатели,5,TRUE)),0),0)</f>
        <v>0</v>
      </c>
      <c r="DB56">
        <f>IFERROR(IF(BL56=3,VLOOKUP(BF56,Справочная_ЛЭД,2,TRUE),0),0)</f>
        <v>0</v>
      </c>
      <c r="DC56">
        <f t="shared" si="30"/>
        <v>0</v>
      </c>
      <c r="DD56" t="str">
        <f t="shared" si="31"/>
        <v>L3</v>
      </c>
      <c r="DE56" t="str" cm="1">
        <f t="array" ref="DE56">IF(D56="","",IFERROR(INDEX({"I особая","I","II","III"},MATCH(TRIM(AA56&amp;""),{"I особая","I","II","III"},0)),"III"))</f>
        <v>II</v>
      </c>
      <c r="DF56" t="str">
        <f>IF(D56="","",IF(TRIM(AB56&amp;"")&lt;&gt;"",IF(LOWER(TRIM(AB56&amp;""))="да","да","нет"),IF(IFERROR(_xlfn.XLOOKUP(AT56,Коды_код,Коды_пожарная),"")="да","да","нет")))</f>
        <v>нет</v>
      </c>
      <c r="DG56" t="str">
        <f t="shared" si="32"/>
        <v/>
      </c>
      <c r="DH56" t="str">
        <f t="shared" si="33"/>
        <v>основная</v>
      </c>
      <c r="DI56">
        <f t="shared" si="34"/>
        <v>1</v>
      </c>
      <c r="DJ56" t="str" cm="1">
        <f t="array" ref="DJ56">IF(D56="","",_xlfn.LET(_xlpm.t,IFERROR(_xlfn.XLOOKUP(1,(Шины[Шина]=DH56)*(((Шины[Щит]=A56)+(Шины[Щит]=""))&gt;0),Шины[Тип]),"")&amp;"",IF(_xlpm.t&lt;&gt;"",_xlpm.t,IF(ISNUMBER(SEARCH("ИБП",DH56)),"ИБП",IF(ISNUMBER(SEARCH("ДГУ",DH56)),"ДГУ","Ввод "&amp;DI56)))))</f>
        <v>Ввод 1</v>
      </c>
      <c r="DK56" t="str">
        <f t="shared" si="35"/>
        <v>Ввод 1</v>
      </c>
      <c r="DL56" t="str">
        <f>IF(D56="","",IF(OR(DJ56="ИБП",DJ56="ДГУ"),"I особая",IF(DJ56="Одиночная","III",_xlfn.XLOOKUP(A56,Щиты[Щит],Щиты[Категория шины «Ввод»],"III"))))</f>
        <v>II</v>
      </c>
      <c r="DM56">
        <f>IF(D56="",0,IFERROR(MATCH(DE56,{"III","II","I","I особая"},0),1))</f>
        <v>2</v>
      </c>
      <c r="DN56">
        <f t="shared" si="36"/>
        <v>2</v>
      </c>
      <c r="DO56" t="str">
        <f>IF(D56="","",IF(DM56&gt;IFERROR(MATCH(DL56,{"III","II","I","I особая"},0),1),"НЕ ОБЕСПЕЧЕНА","ОК"))</f>
        <v>ОК</v>
      </c>
      <c r="DP56" t="str">
        <f>IF(A56="","",_xlfn.XLOOKUP(A56,Щиты[Щит],Щиты[Путь],""))</f>
        <v>|ГРЩ-ЖД|ЩОВ-001|</v>
      </c>
      <c r="DQ56" t="str">
        <f>IF(D56="","",IF(Z56&lt;&gt;"",Z56,IF(IFERROR(_xlfn.XLOOKUP(AT56,Коды_код,Коды_вид)&amp;"","")="","Прочее",_xlfn.XLOOKUP(AT56,Коды_код,Коды_вид)&amp;"")))</f>
        <v>Вентиляция</v>
      </c>
      <c r="DR56">
        <f>IF(BD56="","",INT((BD56-1)/Столбцов_на_лист)+1)</f>
        <v>1</v>
      </c>
      <c r="DS56" t="str">
        <f t="shared" si="37"/>
        <v>ВВГнг(А)-LS (3х1,5) L=18-0,11%</v>
      </c>
      <c r="DT56">
        <f t="shared" si="38"/>
        <v>0.1</v>
      </c>
      <c r="DU56">
        <f t="shared" si="39"/>
        <v>0.46</v>
      </c>
      <c r="DV56">
        <f t="shared" si="40"/>
        <v>1</v>
      </c>
      <c r="DW56">
        <f>IF(AT56="",0,_xlfn.LET(_xlpm.v,IFERROR(VLOOKUP(D56,УГО_спр,3,FALSE),IFERROR(VLOOKUP(AT56,УГО_спр,3,FALSE),IFERROR(VLOOKUP(LEFT(AT56,2),УГО_спр,3,FALSE),""))),IF(_xlpm.v="да",30,IF(ISNUMBER(_xlpm.v),_xlpm.v,0))))</f>
        <v>0</v>
      </c>
      <c r="DX56">
        <f t="shared" si="41"/>
        <v>0</v>
      </c>
      <c r="DY56">
        <f>IF(BD56="","",IF(AD56&lt;&gt;"",COUNTIFS(A$3:A56,A56,AD$3:AD56,"?*"),IF(OR(OR(AS56=1,A56&lt;&gt;A55),AL56="вручную"),"",IF(AS56=1,"",DZ55))))</f>
        <v>3</v>
      </c>
      <c r="DZ56">
        <f t="shared" si="42"/>
        <v>3</v>
      </c>
      <c r="EA56">
        <f>IF(D56="",0,MAX(IFERROR(--X56,0),IFERROR(--VLOOKUP(D56,УГО_спр,4,FALSE),IFERROR(--VLOOKUP(AT56,УГО_спр,4,FALSE),IFERROR(--VLOOKUP(LEFT(AT56,2),УГО_спр,4,FALSE),0)))))</f>
        <v>10</v>
      </c>
      <c r="EB56">
        <f>IF(D56="","",IFERROR(LOOKUP(INDEX(CHOOSE(BR56,Iдоп_1ж,Iдоп_2ж,Iдоп_3ж),MATCH(BS56,Iдоп_S,0))*BP56*BQ56,{6,10,16,20,25,32,40,50,63,80,100,125,160,200,250,315,400,500,630}),""))</f>
        <v>16</v>
      </c>
      <c r="EC56">
        <f>IF(AD56="","",SUMIFS(Линии[_Ток схемы],Линии[_гр.],DY56,Линии[Щит],A56,Линии[_в кабель выше],0))</f>
        <v>0.46</v>
      </c>
      <c r="ED56">
        <f>IF(AD56="","",IFERROR(VLOOKUP(EC56,Автомат_номиналы,2,TRUE),""))</f>
        <v>6</v>
      </c>
      <c r="EE56">
        <f>IF(AD56="","",MAX(N(ED56),_xlfn.MAXIFS(Линии[_мин. по типу],Линии[_гр.],DY56,Линии[Щит],A56)))</f>
        <v>10</v>
      </c>
      <c r="EF56">
        <f>IF(AD56="","",_xlfn.MINIFS(Линии[_макс. автомат по кабелю],Линии[_гр.],DY56,Линии[Щит],A56))</f>
        <v>16</v>
      </c>
      <c r="EG56">
        <f>IF(AD56="","",MAX(1,_xlfn.MAXIFS(Линии[_фаз],Линии[_гр.],DY56,Линии[Щит],A56)))</f>
        <v>1</v>
      </c>
      <c r="EH56">
        <f>IF(AD56="","",IF(AND(AD56&lt;&gt;"авто",AD56&lt;&gt;"+"),IF(ISNUMBER(SEARCH("мА",AD56)),IFERROR(--TRIM(RIGHT(SUBSTITUTE(LEFT(AD56,SEARCH("мА",AD56)-1)," ",REPT(" ",9)),6)),30),0),IF(AE56="нет",0,IF(ISNUMBER(AE56),AE56,IF(AE56="да",30,_xlfn.MINIFS(Линии[_дифзащита по коду, мА],Линии[_гр.],DY56,Линии[Щит],A56,Линии[_дифзащита по коду, мА],"&gt;0"))))))</f>
        <v>0</v>
      </c>
      <c r="EI56">
        <f t="shared" si="43"/>
        <v>0</v>
      </c>
      <c r="EJ56" t="str">
        <f t="shared" si="44"/>
        <v>QF3</v>
      </c>
      <c r="EK56" t="str">
        <f t="shared" si="45"/>
        <v>QF3</v>
      </c>
      <c r="EL56" t="str">
        <f t="shared" si="46"/>
        <v/>
      </c>
      <c r="EM56">
        <f t="shared" si="47"/>
        <v>0</v>
      </c>
      <c r="EN56">
        <f>IF(AD56="","",IF(EM56=1,MAX(EE56,Мин_автомат_БП),EE56))</f>
        <v>10</v>
      </c>
      <c r="EO56" t="str">
        <f t="shared" si="48"/>
        <v>1P</v>
      </c>
      <c r="EP56" t="str">
        <f t="shared" si="49"/>
        <v>1P С10А</v>
      </c>
      <c r="EQ56">
        <f t="shared" si="50"/>
        <v>10</v>
      </c>
      <c r="ER56" t="str">
        <f>IF(OR(AI56="",AI56="-"),"",IFERROR(VLOOKUP(AI56,Модули_спр,2,FALSE),"R"))</f>
        <v/>
      </c>
      <c r="ES56" t="str">
        <f>IF(ER56="","",ER56&amp;"."&amp;COUNTIFS(A$3:A56,A56,ER$3:ER56,ER56))</f>
        <v/>
      </c>
      <c r="ET56" t="str">
        <f t="shared" si="51"/>
        <v/>
      </c>
      <c r="EU56" t="str">
        <f t="shared" si="52"/>
        <v/>
      </c>
      <c r="EV56" t="str">
        <f t="shared" si="53"/>
        <v/>
      </c>
      <c r="EW56" t="str">
        <f t="shared" si="54"/>
        <v/>
      </c>
      <c r="EX56">
        <f t="shared" si="55"/>
        <v>1</v>
      </c>
      <c r="EY56" t="str">
        <f>IF(AK56="нет","",IF(AK56&lt;&gt;"",AK56,IF(EX56=1,"XT"&amp;COUNTIFS(A$3:A56,A56,EX$3:EX56,1),"")))</f>
        <v>XT4</v>
      </c>
      <c r="EZ56" t="str">
        <f t="shared" si="56"/>
        <v>QF3</v>
      </c>
      <c r="FA56" t="str">
        <f t="shared" si="57"/>
        <v/>
      </c>
      <c r="FB56" t="str">
        <f t="shared" si="58"/>
        <v>ok</v>
      </c>
      <c r="FC56" t="str">
        <f>IF(OR(EV56="",ET56=""),"",IF(EV56&gt;IFERROR(VLOOKUP(EU56,Модули_спр,3,FALSE),99),"ЛИШНИЙ КАНАЛ",IF(AND(AJ56&lt;&gt;"=",COUNTIFS(Линии[_модуль гр.],ET56,Линии[Канал (итог)],EV56,Линии[Канал],"&lt;&gt;=",Линии[Щит],A56)&gt;1),"ДУБЛЬ КАНАЛА","")))</f>
        <v/>
      </c>
      <c r="FD56">
        <f t="shared" si="59"/>
        <v>10</v>
      </c>
      <c r="FE56" t="str">
        <f t="shared" si="60"/>
        <v>1P С10А</v>
      </c>
      <c r="FF56">
        <f t="shared" si="61"/>
        <v>0</v>
      </c>
      <c r="FG56">
        <f t="shared" si="62"/>
        <v>0</v>
      </c>
      <c r="FH56" t="str">
        <f t="shared" si="63"/>
        <v/>
      </c>
      <c r="FI56">
        <f t="shared" si="64"/>
        <v>10</v>
      </c>
      <c r="FJ56" t="str">
        <f t="shared" si="65"/>
        <v/>
      </c>
      <c r="FK56" t="str">
        <f>IF(AND(D56="",EZ56=""),"",_xlfn.TEXTJOIN("; ",TRUE,IF(AND(D56&lt;&gt;"",DD56=""),"нет фазы",""),IF(AND(D56&lt;&gt;"",N(DT56)=0,CN56&lt;&gt;"Нет"),"нет мощности",""),IF(AND(EY56&lt;&gt;"",COUNTIFS(Линии[Щит],A56,Линии[Клемма (итог)],EY56)&gt;1),"дубль клеммы "&amp;EY56,""),IF(AND(FB56&lt;&gt;"",FB56&lt;&gt;"ok"),FB56,""),IF(FC56&lt;&gt;"",FC56,""),IF(AND(ISNUMBER(SEARCH("(5х",DS56)),N(DV56)=1),"5 жил на 1 фазе",""),IF(AND(AT56="R",AD56&lt;&gt;"",OR(N(EH56)=0,N(EH56)&gt;30)),"розетка без дифзащиты до 30 мА",""),IFERROR(IF(AND(ISNUMBER(CD56),CD56&gt;CE56),"потери "&amp;FIXED(CD56,1)&amp;" % &gt; "&amp;CE56&amp;" %",""),""),IFERROR(IF(LEFT(FJ56,4)="мало","Iкз мало — отключение &gt; 0,4 с",""),""),IF(AND(D56&lt;&gt;"",BD56=""),"не на схеме","")))</f>
        <v/>
      </c>
      <c r="FL56">
        <f>IF(AD56="","",_xlfn.LET(_xlpm.t,IFERROR(_xlfn.XLOOKUP(EP56,Каталог!$U$4:$U$500,Каталог!$G$4:$G$500),""),_xlpm.k,SEARCH("кА",_xlpm.t),IFERROR(--TRIM(RIGHT(SUBSTITUTE(MID(_xlpm.t,MAX(1,_xlpm.k-4),_xlpm.k-MAX(1,_xlpm.k-4))," ",REPT(" ",9)),5)),"")))</f>
        <v>6</v>
      </c>
      <c r="FM56" t="str">
        <f>IF(OR(FL56="",AD56=""),"",IF(_xlfn.XLOOKUP(A56,Щиты[Щит],Щиты[Iкз max на шинах, кА],"")="","",IF(FL56&lt;_xlfn.XLOOKUP(A56,Щиты[Щит],Щиты[Iкз max на шинах, кА]),"Icu "&amp;FL56&amp;" кА &lt; Iкз max","ok")))</f>
        <v/>
      </c>
      <c r="FN56" t="str">
        <f t="shared" si="66"/>
        <v>QF3|XT4</v>
      </c>
      <c r="FO56" t="str">
        <f t="shared" si="67"/>
        <v>QF3|XT4|кабель ВВГнг(А)-LS (3х1,5) → Вытяжная установка Подвальный этаж Пом №006T</v>
      </c>
      <c r="FP56" t="str" cm="1">
        <f t="array" ref="FP56">IF(FO56="","",_xlfn.LET(_xlpm.nd,_xlfn.TEXTSPLIT(FO56,"|"),IF(COLUMNS(_xlpm.nd)&gt;1,A56&amp;"¦"&amp;INDEX(_xlpm.nd,1)&amp;"¦"&amp;INDEX(_xlpm.nd,2),"")))</f>
        <v>ЩОВ-001¦QF3¦XT4</v>
      </c>
      <c r="FQ56" t="str">
        <f t="shared" si="68"/>
        <v>В.11¦Вытяжная установка Подвальный этаж Пом №006T</v>
      </c>
      <c r="FR56" t="str" cm="1">
        <f t="array" ref="FR56">IF(FO56="","",_xlfn.LET(_xlpm.nd,_xlfn.TEXTSPLIT(FO56,"|"),IF(COLUMNS(_xlpm.nd)&gt;2,A56&amp;"¦"&amp;INDEX(_xlpm.nd,2)&amp;"¦"&amp;INDEX(_xlpm.nd,3),"")))</f>
        <v>ЩОВ-001¦XT4¦кабель ВВГнг(А)-LS (3х1,5) → Вытяжная установка Подвальный этаж Пом №006T</v>
      </c>
      <c r="FS56" t="str">
        <f t="shared" si="69"/>
        <v>В.11¦Вытяжная установка Подвальный этаж Пом №006T</v>
      </c>
      <c r="FT56" t="str" cm="1">
        <f t="array" ref="FT56">IF(FO56="","",_xlfn.LET(_xlpm.nd,_xlfn.TEXTSPLIT(FO56,"|"),IF(COLUMNS(_xlpm.nd)&gt;3,A56&amp;"¦"&amp;INDEX(_xlpm.nd,3)&amp;"¦"&amp;INDEX(_xlpm.nd,4),"")))</f>
        <v/>
      </c>
      <c r="FU56" t="str">
        <f t="shared" si="70"/>
        <v/>
      </c>
      <c r="FV56" t="str" cm="1">
        <f t="array" ref="FV56">IF(FO56="","",_xlfn.LET(_xlpm.nd,_xlfn.TEXTSPLIT(FO56,"|"),IF(COLUMNS(_xlpm.nd)&gt;4,A56&amp;"¦"&amp;INDEX(_xlpm.nd,4)&amp;"¦"&amp;INDEX(_xlpm.nd,5),"")))</f>
        <v/>
      </c>
      <c r="FW56" t="str">
        <f t="shared" si="71"/>
        <v/>
      </c>
      <c r="FX56" t="str" cm="1">
        <f t="array" ref="FX56">IF(FO56="","",_xlfn.LET(_xlpm.nd,_xlfn.TEXTSPLIT(FO56,"|"),IF(COLUMNS(_xlpm.nd)&gt;5,A56&amp;"¦"&amp;INDEX(_xlpm.nd,5)&amp;"¦"&amp;INDEX(_xlpm.nd,6),"")))</f>
        <v/>
      </c>
      <c r="FY56" t="str">
        <f t="shared" si="72"/>
        <v/>
      </c>
      <c r="FZ56" t="str" cm="1">
        <f t="array" ref="FZ56">IF(FO56="","",_xlfn.LET(_xlpm.nd,_xlfn.TEXTSPLIT(FO56,"|"),IF(COLUMNS(_xlpm.nd)&gt;6,A56&amp;"¦"&amp;INDEX(_xlpm.nd,6)&amp;"¦"&amp;INDEX(_xlpm.nd,7),"")))</f>
        <v/>
      </c>
      <c r="GA56" t="str">
        <f t="shared" si="73"/>
        <v/>
      </c>
      <c r="GB56" t="str">
        <f t="shared" si="74"/>
        <v/>
      </c>
      <c r="GC56" t="str">
        <f t="shared" si="75"/>
        <v>QF3 → XT4</v>
      </c>
      <c r="GD56">
        <f t="shared" si="76"/>
        <v>1</v>
      </c>
      <c r="GE56">
        <f t="shared" si="77"/>
        <v>0</v>
      </c>
      <c r="GF56">
        <f t="shared" si="78"/>
        <v>0</v>
      </c>
      <c r="GG56" t="str">
        <f t="shared" si="79"/>
        <v/>
      </c>
      <c r="GH56" t="str">
        <f t="shared" si="80"/>
        <v/>
      </c>
      <c r="GI56" t="str">
        <f t="shared" si="81"/>
        <v/>
      </c>
      <c r="GJ56" t="str">
        <f t="shared" si="82"/>
        <v/>
      </c>
      <c r="GK56" t="str">
        <f>IF(D56="","",IFERROR(VLOOKUP(D56,УГО_спр,2,FALSE),IFERROR(VLOOKUP(AT56,УГО_спр,2,FALSE),IFERROR(VLOOKUP(LEFT(AT56,2),УГО_спр,2,FALSE),""))))</f>
        <v>Привод (двигатель)</v>
      </c>
      <c r="GL56" t="str">
        <f>IF(D56="","",IF(OR(GK56="",GK56=0),"BOX",IFERROR(IF(VLOOKUP(GK56,УГО_блоки,3,FALSE)&amp;""&lt;&gt;"",VLOOKUP(GK56,УГО_блоки,3,FALSE),VLOOKUP(GK56,УГО_блоки,2,FALSE)),GK56)))</f>
        <v>MOTOR</v>
      </c>
      <c r="GM56">
        <f t="shared" si="83"/>
        <v>1</v>
      </c>
      <c r="GN56" t="str">
        <f>IF(EP56="","",IF(COUNTIF(EP$3:EP56,EP56)=1,MAX(GN$2:GN55)+1,""))</f>
        <v/>
      </c>
      <c r="GO56" t="str">
        <f>IF(AF56="","",IF(COUNTIF(AF$3:AF56,AF56)+COUNTIF(AG$2:AG55,AF56)+COUNTIF(AH$2:AH55,AF56)=1,MAX(GO$2:GQ55)+1,""))</f>
        <v/>
      </c>
      <c r="GP56" t="str">
        <f>IF(AG56="","",IF(COUNTIF(AF$3:AF56,AG56)+COUNTIF(AG$3:AG56,AG56)+COUNTIF(AH$2:AH55,AG56)=1,MAX(GO$2:GQ55,GO56)+1,""))</f>
        <v/>
      </c>
      <c r="GQ56" t="str">
        <f>IF(AH56="","",IF(COUNTIF(AF$3:AF56,AH56)+COUNTIF(AG$3:AG56,AH56)+COUNTIF(AH$3:AH56,AH56)=1,MAX(GO$2:GQ55,GO56,GP56)+1,""))</f>
        <v/>
      </c>
      <c r="GR56" t="str">
        <f t="shared" si="84"/>
        <v>3х1,5</v>
      </c>
      <c r="GS56" t="str">
        <f>IF(GR56="","",IF(COUNTIF(GR$3:GR56,GR56)=1,MAX(GS$2:GS55)+1,""))</f>
        <v/>
      </c>
      <c r="GT56" t="str">
        <f>IF(ES56="","",COUNTIF(ES$3:ES56,"?*"))</f>
        <v/>
      </c>
      <c r="GU56" t="str">
        <f>IF(OR(ES56="",EU56=""),"",IF(COUNTIFS(ES$3:ES56,"?*",EU$3:EU56,EU56)=1,MAX(GU$2:GU55)+1,""))</f>
        <v/>
      </c>
      <c r="GV56">
        <f t="shared" si="85"/>
        <v>0</v>
      </c>
      <c r="GW56">
        <f>IF(D56="","",COUNTIF(D$3:D56,"?*"))</f>
        <v>54</v>
      </c>
      <c r="GX56">
        <f>IF(EX56&lt;&gt;1,0,_xlfn.LET(_xlpm.k,MAX(IFERROR(--VLOOKUP(D56,УГО_спр,5,FALSE),0),IFERROR(--VLOOKUP(AT56,УГО_спр,5,FALSE),0),IFERROR(--VLOOKUP(LEFT(AT56,2),УГО_спр,5,FALSE),0)),IF(_xlpm.k&gt;0,_xlpm.k,IF(IFERROR(--LEFT(SUBSTITUTE(GR56,"x","х"),FIND("х",SUBSTITUTE(GR56,"x","х"))-1),3)&gt;3,Каталог!$S$9,1))))</f>
        <v>1</v>
      </c>
      <c r="GY56">
        <f t="shared" si="86"/>
        <v>0</v>
      </c>
    </row>
    <row r="57" spans="1:207" x14ac:dyDescent="0.3">
      <c r="A57" t="s">
        <v>752</v>
      </c>
      <c r="B57">
        <v>19</v>
      </c>
      <c r="C57" t="str">
        <f>IF(BD57="","",IF(BE57="вводной узел","узел ","")&amp;"л."&amp;(INT((BD57-1)/Столбцов_на_лист)+1)&amp;" / "&amp;(MOD(BD57-1,Столбцов_на_лист)+1))</f>
        <v>л.2 / 2</v>
      </c>
      <c r="D57" t="s">
        <v>1331</v>
      </c>
      <c r="E57" s="133" t="s">
        <v>1330</v>
      </c>
      <c r="G57">
        <v>0.1</v>
      </c>
      <c r="H57">
        <v>1</v>
      </c>
      <c r="I57">
        <v>1</v>
      </c>
      <c r="J57">
        <v>230</v>
      </c>
      <c r="K57" t="s">
        <v>602</v>
      </c>
      <c r="L57">
        <v>0.5</v>
      </c>
      <c r="O57">
        <v>3</v>
      </c>
      <c r="P57">
        <v>11</v>
      </c>
      <c r="R57">
        <v>15</v>
      </c>
      <c r="T57">
        <v>1</v>
      </c>
      <c r="U57" t="s">
        <v>11</v>
      </c>
      <c r="V57">
        <v>3</v>
      </c>
      <c r="W57">
        <v>1.5</v>
      </c>
      <c r="X57">
        <v>10</v>
      </c>
      <c r="Z57" t="s">
        <v>584</v>
      </c>
      <c r="AA57" t="s">
        <v>818</v>
      </c>
      <c r="AD57" t="s">
        <v>517</v>
      </c>
      <c r="AK57" t="s">
        <v>488</v>
      </c>
      <c r="AR57" t="str">
        <f t="shared" si="0"/>
        <v/>
      </c>
      <c r="AS57" cm="1">
        <f t="array" ref="AS57">ROW()-ROW(Линии[#Headers])</f>
        <v>55</v>
      </c>
      <c r="AT57" t="str">
        <f t="shared" si="1"/>
        <v>В</v>
      </c>
      <c r="AU57" t="str">
        <f t="shared" si="2"/>
        <v>12</v>
      </c>
      <c r="AV57" t="str">
        <f t="shared" si="3"/>
        <v>12</v>
      </c>
      <c r="AW57" t="str">
        <f t="shared" si="4"/>
        <v/>
      </c>
      <c r="AX57" t="str">
        <f t="shared" si="5"/>
        <v/>
      </c>
      <c r="AY57" t="str">
        <f>IF(D57="","",IF(ISERROR(SEARCH(".",D57)),IFERROR(VLOOKUP(D57,Потребители_обозначение,2,FALSE)&amp;"",""),IFERROR(IF(VLOOKUP(AT57,Потребители_обозначение,4,FALSE)=1,VLOOKUP(AT57,Потребители_обозначение,2,FALSE)&amp;" "&amp;VLOOKUP(AV57,Этаж_обозначение,2,FALSE)&amp;" Пом. №"&amp;AX57,VLOOKUP(AT57,Потребители_обозначение,2,FALSE)&amp;" Шлейф №"&amp;AV57),IFERROR(VLOOKUP(D57,Потребители_обозначение,2,FALSE),""))))</f>
        <v>Вытяжная установка Шлейф №12</v>
      </c>
      <c r="AZ57" t="str">
        <f t="shared" si="6"/>
        <v>Вытяжная установка Подвальный этаж Пом №006T</v>
      </c>
      <c r="BA57" t="str">
        <f>IF(F57&lt;&gt;"",F57,IF(AND(D57&lt;&gt;"",D57&lt;&gt;A57,ISNUMBER(_xlfn.XMATCH(D57,Щиты[Щит]))),D57,""))</f>
        <v/>
      </c>
      <c r="BB57">
        <f>IFERROR(_xlfn.XMATCH(A57,Щиты[Щит]),0)</f>
        <v>4</v>
      </c>
      <c r="BC57">
        <f>IFERROR(N(_xlfn.XLOOKUP(A57,Щиты[Щит],Щиты[Мест под вводной узел])),15)</f>
        <v>13</v>
      </c>
      <c r="BD57">
        <f t="shared" si="7"/>
        <v>19</v>
      </c>
      <c r="BE57" t="str">
        <f t="shared" si="8"/>
        <v>линии</v>
      </c>
      <c r="BF57">
        <f>IF(D57="","",IF(BA57&lt;&gt;"",IFERROR(_xlfn.XLOOKUP(BA57,Щиты[Щит],Щиты[Руст, кВт]),0),N(G57)))</f>
        <v>0.1</v>
      </c>
      <c r="BG57">
        <f>IF(J57&lt;&gt;"",J57,IF(D57="","",IFERROR(IF(VLOOKUP(AT57,Потребители_обозначение,8,FALSE)=0,"",VLOOKUP(AT57,Потребители_обозначение,8,FALSE)),"")))</f>
        <v>230</v>
      </c>
      <c r="BH57">
        <f>IF(I57&lt;&gt;"",I57,IF(D57="","",IFERROR(IF(VLOOKUP(AT57,Потребители_обозначение,9,FALSE)=0,"",VLOOKUP(AT57,Потребители_обозначение,9,FALSE)),"")))</f>
        <v>1</v>
      </c>
      <c r="BI57" t="str">
        <f>IF(U57&lt;&gt;"",U57,IF(D57="","",IFERROR(IF(VLOOKUP(AT57,Потребители_обозначение,6,FALSE)=0,"",VLOOKUP(AT57,Потребители_обозначение,6,FALSE)),"")))</f>
        <v>мс</v>
      </c>
      <c r="BJ57">
        <f>IF(V57&lt;&gt;"",V57,IF(D57="","",IFERROR(IF(VLOOKUP(AT57,Потребители_обозначение,7,FALSE)=0,"",VLOOKUP(AT57,Потребители_обозначение,7,FALSE)),"")))</f>
        <v>3</v>
      </c>
      <c r="BK57">
        <f>IF(W57&lt;&gt;"",W57,IF(D57="","",IFERROR(IF(VLOOKUP(AT57,Потребители_обозначение,10,FALSE)=0,"",VLOOKUP(AT57,Потребители_обозначение,10,FALSE)),"")))</f>
        <v>1.5</v>
      </c>
      <c r="BL57">
        <f>IFERROR(VLOOKUP(AT57,Потребители_обозначение,5,FALSE),0)</f>
        <v>1</v>
      </c>
      <c r="BM57" cm="1">
        <f t="array" ref="BM57">IF(D57="","",IF(BA57&lt;&gt;"",IFERROR(_xlfn.XLOOKUP(BA57,Щиты[Щит],Щиты[cos φ]),0.95),IF(ISNUMBER(M57),M57,IFERROR(IF(BL57=2,_xlfn.IFS(BH57=3,VLOOKUP(BF57,Справочная_двигатели,8,FALSE),BH57=1,VLOOKUP(BF57,Справочная_двигатели,10,TRUE)),IF(AND(Методика="нормы 2026",CN57="Сил"),0.8,0.95)),0.95))))</f>
        <v>0.95</v>
      </c>
      <c r="BN57" cm="1">
        <f t="array" ref="BN57">IF(D57="","",IF(BA57&lt;&gt;"",IFERROR(_xlfn.XLOOKUP(BA57,Щиты[Щит],Щиты[Iр, А]),""),IFERROR(_xlfn.IFS(BH57=1,BF57/((Uн_лин/SQRT(3))*BM57),BH57=3,BF57/(SQRT(3)*Uн_лин*BM57)),"")))</f>
        <v>0.455802844097073</v>
      </c>
      <c r="BO57">
        <f>IF(D57="","",IF(N(X57)=0,IFERROR(VLOOKUP(BN57,Автомат_номиналы,2,TRUE),""),X57))</f>
        <v>10</v>
      </c>
      <c r="BP57">
        <f t="shared" si="9"/>
        <v>1</v>
      </c>
      <c r="BQ57">
        <f>IF(ISNUMBER(Y57),Y57,К_прокл)</f>
        <v>1</v>
      </c>
      <c r="BR57">
        <f t="shared" si="10"/>
        <v>2</v>
      </c>
      <c r="BS57" cm="1">
        <f t="array" ref="BS57">IF(D57="","",IF(N(BK57)&lt;&gt;0,BK57,IFERROR(_xlfn.LET(_xlpm.need,BO57/(BP57*BQ57),_xlpm.t,CHOOSE(BR57,Iдоп_1ж,Iдоп_2ж,Iдоп_3ж),_xlpm.k,_xlfn.XMATCH(_xlpm.need,_xlpm.t,1),IF(ISNA(_xlpm.k),"Не исп",INDEX(Iдоп_S,_xlpm.k))),"Не исп")))</f>
        <v>1.5</v>
      </c>
      <c r="BT57">
        <f>IFERROR(VLOOKUP(BS57,Кабель_сопротивление,3,FALSE),"")</f>
        <v>2.2499999999999999E-2</v>
      </c>
      <c r="BU57">
        <f>IFERROR(VLOOKUP(BS57,Кабель_сопротивление,2,FALSE),"")</f>
        <v>0.11</v>
      </c>
      <c r="BV57">
        <f t="shared" si="11"/>
        <v>11</v>
      </c>
      <c r="BW57">
        <f>IF(D57="","",IFERROR(IF(VLOOKUP(AT57,Потребители_обозначение,4,FALSE)=1,VLOOKUP(AT57,Потребители_обозначение,3,FALSE)*(H57*2-1)+BV57+VLOOKUP(AV57,Этаж_обозначение,3,FALSE)+VLOOKUP(AV57,Этаж_обозначение,4,FALSE),VLOOKUP(AT57,Потребители_обозначение,3,FALSE)*(H57*2-1)+BV57),BV57))</f>
        <v>15</v>
      </c>
      <c r="BX57">
        <f t="shared" si="12"/>
        <v>15</v>
      </c>
      <c r="BY57">
        <f t="shared" si="13"/>
        <v>0</v>
      </c>
      <c r="BZ57">
        <f t="shared" si="14"/>
        <v>2</v>
      </c>
      <c r="CA57">
        <f t="shared" si="15"/>
        <v>0.31</v>
      </c>
      <c r="CB57">
        <f t="shared" si="16"/>
        <v>0.19532200216100998</v>
      </c>
      <c r="CC57">
        <f>IFERROR(ROUNDUP(CB57/((Uн_лин/SQRT(3))*1000)*100,2),"")</f>
        <v>0.09</v>
      </c>
      <c r="CD57">
        <f>IF(ISNUMBER(CC57),CC57+IFERROR(_xlfn.XLOOKUP(A57,Щиты[Щит],Щиты[ΔU до шин, %]),0),"")</f>
        <v>0.59</v>
      </c>
      <c r="CE57">
        <f>IF(D57="","",IF(IFERROR(VLOOKUP(AT57,УГО_спр,2,FALSE),"")="Светильник",3,4)+IF(Методика="нормы 2026",MIN(0.5,MAX(0,N(BW57)-100)*0.005),0))</f>
        <v>4</v>
      </c>
      <c r="CF57" t="str">
        <f>IFERROR(VLOOKUP(BI57,Кабель_обозначение,2,FALSE),"")</f>
        <v>ВВГнг(А)-LS</v>
      </c>
      <c r="CG57" t="str">
        <f>IFERROR(IF(VLOOKUP(BI57,Кабель_обозначение,3,FALSE)=1,CF57&amp;" ("&amp;BJ57&amp;"х"&amp;BS57&amp;")",CF57),"")</f>
        <v>ВВГнг(А)-LS (3х1,5)</v>
      </c>
      <c r="CH57" t="str">
        <f t="shared" si="17"/>
        <v>ВВГнг(А)-LS (3х1,5)
L=15-0,09%</v>
      </c>
      <c r="CI57">
        <f>IFERROR(2*ρкз_Cu*BW57/BS57,"")</f>
        <v>0.52600000000000002</v>
      </c>
      <c r="CJ57">
        <f t="shared" si="18"/>
        <v>0.17500000000000002</v>
      </c>
      <c r="CK57" t="str">
        <f>IFERROR(IF(OR(D57="",NOT(ISNUMBER(BS57)),N(BW57)=0),"",_xlfn.XLOOKUP(A57,Щиты[Щит],Щиты[Zпетли на шинах, Ом])+CI57),"")</f>
        <v/>
      </c>
      <c r="CL57" t="str">
        <f>IF(ISNUMBER(CK57),c_min*(Uн_лин*1000/SQRT(3))/CK57,"")</f>
        <v/>
      </c>
      <c r="CM57" t="str">
        <f>IFERROR(IF(OR(D57="",NOT(ISNUMBER(BS57))),"",1.05*(Uн_лин*1000/SQRT(3))/(_xlfn.XLOOKUP(A57,Щиты[Щит],Щиты[Zmax на шинах, Ом])+CJ57)/1000),"")</f>
        <v/>
      </c>
      <c r="CN57" t="str">
        <f>IF(D57="","",IF(BA57&lt;&gt;"","Щит",IF(K57&lt;&gt;"",K57,IF(ISNUMBER(L57),"Сил",IF(IFERROR(_xlfn.XLOOKUP(AT57,Коды_код,Коды_группа)&amp;"","")="","Быт",_xlfn.XLOOKUP(AT57,Коды_код,Коды_группа)&amp;"")))))</f>
        <v>Сил</v>
      </c>
      <c r="CO57">
        <f>IF(CN57="Щит","щит",IF(CN57="","",IF(CN57="Быт",IFERROR(_xlfn.XLOOKUP(A57,Щиты[Щит],Щиты[Кс быт]),1),IF(CN57="Сил",IF(ISNUMBER(L57),L57,IF(Методика="нормы 2026",IFERROR(_xlfn.XLOOKUP(A57,Щиты[Щит],Щиты[Кс силовых (табл. 7.5)]),1),1)),IF(OR(CN57="Пост",CN57="Отоп"),1,IF(CN57="ВНГ",0.7,0))))))</f>
        <v>0.5</v>
      </c>
      <c r="CP57">
        <f t="shared" si="19"/>
        <v>1</v>
      </c>
      <c r="CQ57">
        <f t="shared" si="20"/>
        <v>0.1</v>
      </c>
      <c r="CR57">
        <f t="shared" si="21"/>
        <v>0</v>
      </c>
      <c r="CS57">
        <f t="shared" si="22"/>
        <v>0.05</v>
      </c>
      <c r="CT57">
        <f t="shared" si="23"/>
        <v>0</v>
      </c>
      <c r="CU57">
        <f t="shared" si="24"/>
        <v>0</v>
      </c>
      <c r="CV57">
        <f t="shared" si="25"/>
        <v>0</v>
      </c>
      <c r="CW57">
        <f t="shared" si="26"/>
        <v>0.1</v>
      </c>
      <c r="CX57">
        <f t="shared" si="27"/>
        <v>9.5000000000000001E-2</v>
      </c>
      <c r="CY57">
        <f t="shared" si="28"/>
        <v>1</v>
      </c>
      <c r="CZ57" t="str">
        <f t="shared" si="29"/>
        <v>L1</v>
      </c>
      <c r="DA57" cm="1">
        <f t="array" ref="DA57">IFERROR(IF(BL57=2,_xlfn.IFS(BH57=3,VLOOKUP(BF57,Справочная_двигатели,3,FALSE),BH57=1,VLOOKUP(BF57,Справочная_двигатели,5,TRUE)),0),0)</f>
        <v>0</v>
      </c>
      <c r="DB57">
        <f>IFERROR(IF(BL57=3,VLOOKUP(BF57,Справочная_ЛЭД,2,TRUE),0),0)</f>
        <v>0</v>
      </c>
      <c r="DC57">
        <f t="shared" si="30"/>
        <v>0</v>
      </c>
      <c r="DD57" t="str">
        <f t="shared" si="31"/>
        <v>L3</v>
      </c>
      <c r="DE57" t="str" cm="1">
        <f t="array" ref="DE57">IF(D57="","",IFERROR(INDEX({"I особая","I","II","III"},MATCH(TRIM(AA57&amp;""),{"I особая","I","II","III"},0)),"III"))</f>
        <v>II</v>
      </c>
      <c r="DF57" t="str">
        <f>IF(D57="","",IF(TRIM(AB57&amp;"")&lt;&gt;"",IF(LOWER(TRIM(AB57&amp;""))="да","да","нет"),IF(IFERROR(_xlfn.XLOOKUP(AT57,Коды_код,Коды_пожарная),"")="да","да","нет")))</f>
        <v>нет</v>
      </c>
      <c r="DG57" t="str">
        <f t="shared" si="32"/>
        <v/>
      </c>
      <c r="DH57" t="str">
        <f t="shared" si="33"/>
        <v>основная</v>
      </c>
      <c r="DI57">
        <f t="shared" si="34"/>
        <v>1</v>
      </c>
      <c r="DJ57" t="str" cm="1">
        <f t="array" ref="DJ57">IF(D57="","",_xlfn.LET(_xlpm.t,IFERROR(_xlfn.XLOOKUP(1,(Шины[Шина]=DH57)*(((Шины[Щит]=A57)+(Шины[Щит]=""))&gt;0),Шины[Тип]),"")&amp;"",IF(_xlpm.t&lt;&gt;"",_xlpm.t,IF(ISNUMBER(SEARCH("ИБП",DH57)),"ИБП",IF(ISNUMBER(SEARCH("ДГУ",DH57)),"ДГУ","Ввод "&amp;DI57)))))</f>
        <v>Ввод 1</v>
      </c>
      <c r="DK57" t="str">
        <f t="shared" si="35"/>
        <v>Ввод 1</v>
      </c>
      <c r="DL57" t="str">
        <f>IF(D57="","",IF(OR(DJ57="ИБП",DJ57="ДГУ"),"I особая",IF(DJ57="Одиночная","III",_xlfn.XLOOKUP(A57,Щиты[Щит],Щиты[Категория шины «Ввод»],"III"))))</f>
        <v>II</v>
      </c>
      <c r="DM57">
        <f>IF(D57="",0,IFERROR(MATCH(DE57,{"III","II","I","I особая"},0),1))</f>
        <v>2</v>
      </c>
      <c r="DN57">
        <f t="shared" si="36"/>
        <v>2</v>
      </c>
      <c r="DO57" t="str">
        <f>IF(D57="","",IF(DM57&gt;IFERROR(MATCH(DL57,{"III","II","I","I особая"},0),1),"НЕ ОБЕСПЕЧЕНА","ОК"))</f>
        <v>ОК</v>
      </c>
      <c r="DP57" t="str">
        <f>IF(A57="","",_xlfn.XLOOKUP(A57,Щиты[Щит],Щиты[Путь],""))</f>
        <v>|ГРЩ-ЖД|ЩОВ-001|</v>
      </c>
      <c r="DQ57" t="str">
        <f>IF(D57="","",IF(Z57&lt;&gt;"",Z57,IF(IFERROR(_xlfn.XLOOKUP(AT57,Коды_код,Коды_вид)&amp;"","")="","Прочее",_xlfn.XLOOKUP(AT57,Коды_код,Коды_вид)&amp;"")))</f>
        <v>Вентиляция</v>
      </c>
      <c r="DR57">
        <f>IF(BD57="","",INT((BD57-1)/Столбцов_на_лист)+1)</f>
        <v>2</v>
      </c>
      <c r="DS57" t="str">
        <f t="shared" si="37"/>
        <v>ВВГнг(А)-LS (3х1,5) L=15-0,09%</v>
      </c>
      <c r="DT57">
        <f t="shared" si="38"/>
        <v>0.1</v>
      </c>
      <c r="DU57">
        <f t="shared" si="39"/>
        <v>0.46</v>
      </c>
      <c r="DV57">
        <f t="shared" si="40"/>
        <v>1</v>
      </c>
      <c r="DW57">
        <f>IF(AT57="",0,_xlfn.LET(_xlpm.v,IFERROR(VLOOKUP(D57,УГО_спр,3,FALSE),IFERROR(VLOOKUP(AT57,УГО_спр,3,FALSE),IFERROR(VLOOKUP(LEFT(AT57,2),УГО_спр,3,FALSE),""))),IF(_xlpm.v="да",30,IF(ISNUMBER(_xlpm.v),_xlpm.v,0))))</f>
        <v>0</v>
      </c>
      <c r="DX57">
        <f t="shared" si="41"/>
        <v>0</v>
      </c>
      <c r="DY57">
        <f>IF(BD57="","",IF(AD57&lt;&gt;"",COUNTIFS(A$3:A57,A57,AD$3:AD57,"?*"),IF(OR(OR(AS57=1,A57&lt;&gt;A56),AL57="вручную"),"",IF(AS57=1,"",DZ56))))</f>
        <v>4</v>
      </c>
      <c r="DZ57">
        <f t="shared" si="42"/>
        <v>4</v>
      </c>
      <c r="EA57">
        <f>IF(D57="",0,MAX(IFERROR(--X57,0),IFERROR(--VLOOKUP(D57,УГО_спр,4,FALSE),IFERROR(--VLOOKUP(AT57,УГО_спр,4,FALSE),IFERROR(--VLOOKUP(LEFT(AT57,2),УГО_спр,4,FALSE),0)))))</f>
        <v>10</v>
      </c>
      <c r="EB57">
        <f>IF(D57="","",IFERROR(LOOKUP(INDEX(CHOOSE(BR57,Iдоп_1ж,Iдоп_2ж,Iдоп_3ж),MATCH(BS57,Iдоп_S,0))*BP57*BQ57,{6,10,16,20,25,32,40,50,63,80,100,125,160,200,250,315,400,500,630}),""))</f>
        <v>16</v>
      </c>
      <c r="EC57">
        <f>IF(AD57="","",SUMIFS(Линии[_Ток схемы],Линии[_гр.],DY57,Линии[Щит],A57,Линии[_в кабель выше],0))</f>
        <v>0.46</v>
      </c>
      <c r="ED57">
        <f>IF(AD57="","",IFERROR(VLOOKUP(EC57,Автомат_номиналы,2,TRUE),""))</f>
        <v>6</v>
      </c>
      <c r="EE57">
        <f>IF(AD57="","",MAX(N(ED57),_xlfn.MAXIFS(Линии[_мин. по типу],Линии[_гр.],DY57,Линии[Щит],A57)))</f>
        <v>10</v>
      </c>
      <c r="EF57">
        <f>IF(AD57="","",_xlfn.MINIFS(Линии[_макс. автомат по кабелю],Линии[_гр.],DY57,Линии[Щит],A57))</f>
        <v>16</v>
      </c>
      <c r="EG57">
        <f>IF(AD57="","",MAX(1,_xlfn.MAXIFS(Линии[_фаз],Линии[_гр.],DY57,Линии[Щит],A57)))</f>
        <v>1</v>
      </c>
      <c r="EH57">
        <f>IF(AD57="","",IF(AND(AD57&lt;&gt;"авто",AD57&lt;&gt;"+"),IF(ISNUMBER(SEARCH("мА",AD57)),IFERROR(--TRIM(RIGHT(SUBSTITUTE(LEFT(AD57,SEARCH("мА",AD57)-1)," ",REPT(" ",9)),6)),30),0),IF(AE57="нет",0,IF(ISNUMBER(AE57),AE57,IF(AE57="да",30,_xlfn.MINIFS(Линии[_дифзащита по коду, мА],Линии[_гр.],DY57,Линии[Щит],A57,Линии[_дифзащита по коду, мА],"&gt;0"))))))</f>
        <v>0</v>
      </c>
      <c r="EI57">
        <f t="shared" si="43"/>
        <v>0</v>
      </c>
      <c r="EJ57" t="str">
        <f t="shared" si="44"/>
        <v>QF4</v>
      </c>
      <c r="EK57" t="str">
        <f t="shared" si="45"/>
        <v>QF4</v>
      </c>
      <c r="EL57" t="str">
        <f t="shared" si="46"/>
        <v/>
      </c>
      <c r="EM57">
        <f t="shared" si="47"/>
        <v>0</v>
      </c>
      <c r="EN57">
        <f>IF(AD57="","",IF(EM57=1,MAX(EE57,Мин_автомат_БП),EE57))</f>
        <v>10</v>
      </c>
      <c r="EO57" t="str">
        <f t="shared" si="48"/>
        <v>1P</v>
      </c>
      <c r="EP57" t="str">
        <f t="shared" si="49"/>
        <v>1P С10А</v>
      </c>
      <c r="EQ57">
        <f t="shared" si="50"/>
        <v>10</v>
      </c>
      <c r="ER57" t="str">
        <f>IF(OR(AI57="",AI57="-"),"",IFERROR(VLOOKUP(AI57,Модули_спр,2,FALSE),"R"))</f>
        <v/>
      </c>
      <c r="ES57" t="str">
        <f>IF(ER57="","",ER57&amp;"."&amp;COUNTIFS(A$3:A57,A57,ER$3:ER57,ER57))</f>
        <v/>
      </c>
      <c r="ET57" t="str">
        <f t="shared" si="51"/>
        <v/>
      </c>
      <c r="EU57" t="str">
        <f t="shared" si="52"/>
        <v/>
      </c>
      <c r="EV57" t="str">
        <f t="shared" si="53"/>
        <v/>
      </c>
      <c r="EW57" t="str">
        <f t="shared" si="54"/>
        <v/>
      </c>
      <c r="EX57">
        <f t="shared" si="55"/>
        <v>1</v>
      </c>
      <c r="EY57" t="str">
        <f>IF(AK57="нет","",IF(AK57&lt;&gt;"",AK57,IF(EX57=1,"XT"&amp;COUNTIFS(A$3:A57,A57,EX$3:EX57,1),"")))</f>
        <v/>
      </c>
      <c r="EZ57" t="str">
        <f t="shared" si="56"/>
        <v>QF4</v>
      </c>
      <c r="FA57" t="str">
        <f t="shared" si="57"/>
        <v/>
      </c>
      <c r="FB57" t="str">
        <f t="shared" si="58"/>
        <v>ok</v>
      </c>
      <c r="FC57" t="str">
        <f>IF(OR(EV57="",ET57=""),"",IF(EV57&gt;IFERROR(VLOOKUP(EU57,Модули_спр,3,FALSE),99),"ЛИШНИЙ КАНАЛ",IF(AND(AJ57&lt;&gt;"=",COUNTIFS(Линии[_модуль гр.],ET57,Линии[Канал (итог)],EV57,Линии[Канал],"&lt;&gt;=",Линии[Щит],A57)&gt;1),"ДУБЛЬ КАНАЛА","")))</f>
        <v/>
      </c>
      <c r="FD57">
        <f t="shared" si="59"/>
        <v>10</v>
      </c>
      <c r="FE57" t="str">
        <f t="shared" si="60"/>
        <v>1P С10А</v>
      </c>
      <c r="FF57">
        <f t="shared" si="61"/>
        <v>0</v>
      </c>
      <c r="FG57">
        <f t="shared" si="62"/>
        <v>0</v>
      </c>
      <c r="FH57" t="str">
        <f t="shared" si="63"/>
        <v/>
      </c>
      <c r="FI57">
        <f t="shared" si="64"/>
        <v>10</v>
      </c>
      <c r="FJ57" t="str">
        <f t="shared" si="65"/>
        <v/>
      </c>
      <c r="FK57" t="str">
        <f>IF(AND(D57="",EZ57=""),"",_xlfn.TEXTJOIN("; ",TRUE,IF(AND(D57&lt;&gt;"",DD57=""),"нет фазы",""),IF(AND(D57&lt;&gt;"",N(DT57)=0,CN57&lt;&gt;"Нет"),"нет мощности",""),IF(AND(EY57&lt;&gt;"",COUNTIFS(Линии[Щит],A57,Линии[Клемма (итог)],EY57)&gt;1),"дубль клеммы "&amp;EY57,""),IF(AND(FB57&lt;&gt;"",FB57&lt;&gt;"ok"),FB57,""),IF(FC57&lt;&gt;"",FC57,""),IF(AND(ISNUMBER(SEARCH("(5х",DS57)),N(DV57)=1),"5 жил на 1 фазе",""),IF(AND(AT57="R",AD57&lt;&gt;"",OR(N(EH57)=0,N(EH57)&gt;30)),"розетка без дифзащиты до 30 мА",""),IFERROR(IF(AND(ISNUMBER(CD57),CD57&gt;CE57),"потери "&amp;FIXED(CD57,1)&amp;" % &gt; "&amp;CE57&amp;" %",""),""),IFERROR(IF(LEFT(FJ57,4)="мало","Iкз мало — отключение &gt; 0,4 с",""),""),IF(AND(D57&lt;&gt;"",BD57=""),"не на схеме","")))</f>
        <v/>
      </c>
      <c r="FL57">
        <f>IF(AD57="","",_xlfn.LET(_xlpm.t,IFERROR(_xlfn.XLOOKUP(EP57,Каталог!$U$4:$U$500,Каталог!$G$4:$G$500),""),_xlpm.k,SEARCH("кА",_xlpm.t),IFERROR(--TRIM(RIGHT(SUBSTITUTE(MID(_xlpm.t,MAX(1,_xlpm.k-4),_xlpm.k-MAX(1,_xlpm.k-4))," ",REPT(" ",9)),5)),"")))</f>
        <v>6</v>
      </c>
      <c r="FM57" t="str">
        <f>IF(OR(FL57="",AD57=""),"",IF(_xlfn.XLOOKUP(A57,Щиты[Щит],Щиты[Iкз max на шинах, кА],"")="","",IF(FL57&lt;_xlfn.XLOOKUP(A57,Щиты[Щит],Щиты[Iкз max на шинах, кА]),"Icu "&amp;FL57&amp;" кА &lt; Iкз max","ok")))</f>
        <v/>
      </c>
      <c r="FN57" t="str">
        <f t="shared" si="66"/>
        <v>QF4</v>
      </c>
      <c r="FO57" t="str">
        <f t="shared" si="67"/>
        <v>QF4|кабель ВВГнг(А)-LS (3х1,5) → Вытяжная установка Подвальный этаж Пом №006T</v>
      </c>
      <c r="FP57" t="str" cm="1">
        <f t="array" ref="FP57">IF(FO57="","",_xlfn.LET(_xlpm.nd,_xlfn.TEXTSPLIT(FO57,"|"),IF(COLUMNS(_xlpm.nd)&gt;1,A57&amp;"¦"&amp;INDEX(_xlpm.nd,1)&amp;"¦"&amp;INDEX(_xlpm.nd,2),"")))</f>
        <v>ЩОВ-001¦QF4¦кабель ВВГнг(А)-LS (3х1,5) → Вытяжная установка Подвальный этаж Пом №006T</v>
      </c>
      <c r="FQ57" t="str">
        <f t="shared" si="68"/>
        <v>В.12¦Вытяжная установка Подвальный этаж Пом №006T</v>
      </c>
      <c r="FR57" t="str" cm="1">
        <f t="array" ref="FR57">IF(FO57="","",_xlfn.LET(_xlpm.nd,_xlfn.TEXTSPLIT(FO57,"|"),IF(COLUMNS(_xlpm.nd)&gt;2,A57&amp;"¦"&amp;INDEX(_xlpm.nd,2)&amp;"¦"&amp;INDEX(_xlpm.nd,3),"")))</f>
        <v/>
      </c>
      <c r="FS57" t="str">
        <f t="shared" si="69"/>
        <v/>
      </c>
      <c r="FT57" t="str" cm="1">
        <f t="array" ref="FT57">IF(FO57="","",_xlfn.LET(_xlpm.nd,_xlfn.TEXTSPLIT(FO57,"|"),IF(COLUMNS(_xlpm.nd)&gt;3,A57&amp;"¦"&amp;INDEX(_xlpm.nd,3)&amp;"¦"&amp;INDEX(_xlpm.nd,4),"")))</f>
        <v/>
      </c>
      <c r="FU57" t="str">
        <f t="shared" si="70"/>
        <v/>
      </c>
      <c r="FV57" t="str" cm="1">
        <f t="array" ref="FV57">IF(FO57="","",_xlfn.LET(_xlpm.nd,_xlfn.TEXTSPLIT(FO57,"|"),IF(COLUMNS(_xlpm.nd)&gt;4,A57&amp;"¦"&amp;INDEX(_xlpm.nd,4)&amp;"¦"&amp;INDEX(_xlpm.nd,5),"")))</f>
        <v/>
      </c>
      <c r="FW57" t="str">
        <f t="shared" si="71"/>
        <v/>
      </c>
      <c r="FX57" t="str" cm="1">
        <f t="array" ref="FX57">IF(FO57="","",_xlfn.LET(_xlpm.nd,_xlfn.TEXTSPLIT(FO57,"|"),IF(COLUMNS(_xlpm.nd)&gt;5,A57&amp;"¦"&amp;INDEX(_xlpm.nd,5)&amp;"¦"&amp;INDEX(_xlpm.nd,6),"")))</f>
        <v/>
      </c>
      <c r="FY57" t="str">
        <f t="shared" si="72"/>
        <v/>
      </c>
      <c r="FZ57" t="str" cm="1">
        <f t="array" ref="FZ57">IF(FO57="","",_xlfn.LET(_xlpm.nd,_xlfn.TEXTSPLIT(FO57,"|"),IF(COLUMNS(_xlpm.nd)&gt;6,A57&amp;"¦"&amp;INDEX(_xlpm.nd,6)&amp;"¦"&amp;INDEX(_xlpm.nd,7),"")))</f>
        <v/>
      </c>
      <c r="GA57" t="str">
        <f t="shared" si="73"/>
        <v/>
      </c>
      <c r="GB57" t="str">
        <f t="shared" si="74"/>
        <v/>
      </c>
      <c r="GC57" t="str">
        <f t="shared" si="75"/>
        <v>QF4</v>
      </c>
      <c r="GD57">
        <f t="shared" si="76"/>
        <v>1</v>
      </c>
      <c r="GE57">
        <f t="shared" si="77"/>
        <v>0</v>
      </c>
      <c r="GF57">
        <f t="shared" si="78"/>
        <v>0</v>
      </c>
      <c r="GG57" t="str">
        <f t="shared" si="79"/>
        <v/>
      </c>
      <c r="GH57" t="str">
        <f t="shared" si="80"/>
        <v/>
      </c>
      <c r="GI57" t="str">
        <f t="shared" si="81"/>
        <v/>
      </c>
      <c r="GJ57" t="str">
        <f t="shared" si="82"/>
        <v/>
      </c>
      <c r="GK57" t="str">
        <f>IF(D57="","",IFERROR(VLOOKUP(D57,УГО_спр,2,FALSE),IFERROR(VLOOKUP(AT57,УГО_спр,2,FALSE),IFERROR(VLOOKUP(LEFT(AT57,2),УГО_спр,2,FALSE),""))))</f>
        <v>Привод (двигатель)</v>
      </c>
      <c r="GL57" t="str">
        <f>IF(D57="","",IF(OR(GK57="",GK57=0),"BOX",IFERROR(IF(VLOOKUP(GK57,УГО_блоки,3,FALSE)&amp;""&lt;&gt;"",VLOOKUP(GK57,УГО_блоки,3,FALSE),VLOOKUP(GK57,УГО_блоки,2,FALSE)),GK57)))</f>
        <v>MOTOR</v>
      </c>
      <c r="GM57">
        <f t="shared" si="83"/>
        <v>1</v>
      </c>
      <c r="GN57" t="str">
        <f>IF(EP57="","",IF(COUNTIF(EP$3:EP57,EP57)=1,MAX(GN$2:GN56)+1,""))</f>
        <v/>
      </c>
      <c r="GO57" t="str">
        <f>IF(AF57="","",IF(COUNTIF(AF$3:AF57,AF57)+COUNTIF(AG$2:AG56,AF57)+COUNTIF(AH$2:AH56,AF57)=1,MAX(GO$2:GQ56)+1,""))</f>
        <v/>
      </c>
      <c r="GP57" t="str">
        <f>IF(AG57="","",IF(COUNTIF(AF$3:AF57,AG57)+COUNTIF(AG$3:AG57,AG57)+COUNTIF(AH$2:AH56,AG57)=1,MAX(GO$2:GQ56,GO57)+1,""))</f>
        <v/>
      </c>
      <c r="GQ57" t="str">
        <f>IF(AH57="","",IF(COUNTIF(AF$3:AF57,AH57)+COUNTIF(AG$3:AG57,AH57)+COUNTIF(AH$3:AH57,AH57)=1,MAX(GO$2:GQ56,GO57,GP57)+1,""))</f>
        <v/>
      </c>
      <c r="GR57" t="str">
        <f t="shared" si="84"/>
        <v>3х1,5</v>
      </c>
      <c r="GS57" t="str">
        <f>IF(GR57="","",IF(COUNTIF(GR$3:GR57,GR57)=1,MAX(GS$2:GS56)+1,""))</f>
        <v/>
      </c>
      <c r="GT57" t="str">
        <f>IF(ES57="","",COUNTIF(ES$3:ES57,"?*"))</f>
        <v/>
      </c>
      <c r="GU57" t="str">
        <f>IF(OR(ES57="",EU57=""),"",IF(COUNTIFS(ES$3:ES57,"?*",EU$3:EU57,EU57)=1,MAX(GU$2:GU56)+1,""))</f>
        <v/>
      </c>
      <c r="GV57">
        <f t="shared" si="85"/>
        <v>0</v>
      </c>
      <c r="GW57">
        <f>IF(D57="","",COUNTIF(D$3:D57,"?*"))</f>
        <v>55</v>
      </c>
      <c r="GX57">
        <f>IF(EX57&lt;&gt;1,0,_xlfn.LET(_xlpm.k,MAX(IFERROR(--VLOOKUP(D57,УГО_спр,5,FALSE),0),IFERROR(--VLOOKUP(AT57,УГО_спр,5,FALSE),0),IFERROR(--VLOOKUP(LEFT(AT57,2),УГО_спр,5,FALSE),0)),IF(_xlpm.k&gt;0,_xlpm.k,IF(IFERROR(--LEFT(SUBSTITUTE(GR57,"x","х"),FIND("х",SUBSTITUTE(GR57,"x","х"))-1),3)&gt;3,Каталог!$S$9,1))))</f>
        <v>1</v>
      </c>
      <c r="GY57">
        <f t="shared" si="86"/>
        <v>0</v>
      </c>
    </row>
    <row r="58" spans="1:207" x14ac:dyDescent="0.3">
      <c r="A58" t="s">
        <v>752</v>
      </c>
      <c r="B58">
        <v>20</v>
      </c>
      <c r="C58" t="str">
        <f>IF(BD58="","",IF(BE58="вводной узел","узел ","")&amp;"л."&amp;(INT((BD58-1)/Столбцов_на_лист)+1)&amp;" / "&amp;(MOD(BD58-1,Столбцов_на_лист)+1))</f>
        <v>л.2 / 3</v>
      </c>
      <c r="D58" t="s">
        <v>1332</v>
      </c>
      <c r="E58" s="133" t="s">
        <v>1330</v>
      </c>
      <c r="G58">
        <v>0.1</v>
      </c>
      <c r="H58">
        <v>1</v>
      </c>
      <c r="I58">
        <v>1</v>
      </c>
      <c r="J58">
        <v>230</v>
      </c>
      <c r="K58" t="s">
        <v>602</v>
      </c>
      <c r="L58">
        <v>0.5</v>
      </c>
      <c r="O58">
        <v>1</v>
      </c>
      <c r="P58">
        <v>12</v>
      </c>
      <c r="R58">
        <v>16</v>
      </c>
      <c r="T58">
        <v>1</v>
      </c>
      <c r="U58" t="s">
        <v>11</v>
      </c>
      <c r="V58">
        <v>3</v>
      </c>
      <c r="W58">
        <v>1.5</v>
      </c>
      <c r="X58">
        <v>10</v>
      </c>
      <c r="Z58" t="s">
        <v>584</v>
      </c>
      <c r="AA58" t="s">
        <v>818</v>
      </c>
      <c r="AD58" t="s">
        <v>517</v>
      </c>
      <c r="AR58" t="str">
        <f t="shared" si="0"/>
        <v/>
      </c>
      <c r="AS58" cm="1">
        <f t="array" ref="AS58">ROW()-ROW(Линии[#Headers])</f>
        <v>56</v>
      </c>
      <c r="AT58" t="str">
        <f t="shared" si="1"/>
        <v>В</v>
      </c>
      <c r="AU58" t="str">
        <f t="shared" si="2"/>
        <v>13</v>
      </c>
      <c r="AV58" t="str">
        <f t="shared" si="3"/>
        <v>13</v>
      </c>
      <c r="AW58" t="str">
        <f t="shared" si="4"/>
        <v/>
      </c>
      <c r="AX58" t="str">
        <f t="shared" si="5"/>
        <v/>
      </c>
      <c r="AY58" t="str">
        <f>IF(D58="","",IF(ISERROR(SEARCH(".",D58)),IFERROR(VLOOKUP(D58,Потребители_обозначение,2,FALSE)&amp;"",""),IFERROR(IF(VLOOKUP(AT58,Потребители_обозначение,4,FALSE)=1,VLOOKUP(AT58,Потребители_обозначение,2,FALSE)&amp;" "&amp;VLOOKUP(AV58,Этаж_обозначение,2,FALSE)&amp;" Пом. №"&amp;AX58,VLOOKUP(AT58,Потребители_обозначение,2,FALSE)&amp;" Шлейф №"&amp;AV58),IFERROR(VLOOKUP(D58,Потребители_обозначение,2,FALSE),""))))</f>
        <v>Вытяжная установка Шлейф №13</v>
      </c>
      <c r="AZ58" t="str">
        <f t="shared" si="6"/>
        <v>Вытяжная установка Подвальный этаж Пом №006T</v>
      </c>
      <c r="BA58" t="str">
        <f>IF(F58&lt;&gt;"",F58,IF(AND(D58&lt;&gt;"",D58&lt;&gt;A58,ISNUMBER(_xlfn.XMATCH(D58,Щиты[Щит]))),D58,""))</f>
        <v/>
      </c>
      <c r="BB58">
        <f>IFERROR(_xlfn.XMATCH(A58,Щиты[Щит]),0)</f>
        <v>4</v>
      </c>
      <c r="BC58">
        <f>IFERROR(N(_xlfn.XLOOKUP(A58,Щиты[Щит],Щиты[Мест под вводной узел])),15)</f>
        <v>13</v>
      </c>
      <c r="BD58">
        <f t="shared" si="7"/>
        <v>20</v>
      </c>
      <c r="BE58" t="str">
        <f t="shared" si="8"/>
        <v>линии</v>
      </c>
      <c r="BF58">
        <f>IF(D58="","",IF(BA58&lt;&gt;"",IFERROR(_xlfn.XLOOKUP(BA58,Щиты[Щит],Щиты[Руст, кВт]),0),N(G58)))</f>
        <v>0.1</v>
      </c>
      <c r="BG58">
        <f>IF(J58&lt;&gt;"",J58,IF(D58="","",IFERROR(IF(VLOOKUP(AT58,Потребители_обозначение,8,FALSE)=0,"",VLOOKUP(AT58,Потребители_обозначение,8,FALSE)),"")))</f>
        <v>230</v>
      </c>
      <c r="BH58">
        <f>IF(I58&lt;&gt;"",I58,IF(D58="","",IFERROR(IF(VLOOKUP(AT58,Потребители_обозначение,9,FALSE)=0,"",VLOOKUP(AT58,Потребители_обозначение,9,FALSE)),"")))</f>
        <v>1</v>
      </c>
      <c r="BI58" t="str">
        <f>IF(U58&lt;&gt;"",U58,IF(D58="","",IFERROR(IF(VLOOKUP(AT58,Потребители_обозначение,6,FALSE)=0,"",VLOOKUP(AT58,Потребители_обозначение,6,FALSE)),"")))</f>
        <v>мс</v>
      </c>
      <c r="BJ58">
        <f>IF(V58&lt;&gt;"",V58,IF(D58="","",IFERROR(IF(VLOOKUP(AT58,Потребители_обозначение,7,FALSE)=0,"",VLOOKUP(AT58,Потребители_обозначение,7,FALSE)),"")))</f>
        <v>3</v>
      </c>
      <c r="BK58">
        <f>IF(W58&lt;&gt;"",W58,IF(D58="","",IFERROR(IF(VLOOKUP(AT58,Потребители_обозначение,10,FALSE)=0,"",VLOOKUP(AT58,Потребители_обозначение,10,FALSE)),"")))</f>
        <v>1.5</v>
      </c>
      <c r="BL58">
        <f>IFERROR(VLOOKUP(AT58,Потребители_обозначение,5,FALSE),0)</f>
        <v>1</v>
      </c>
      <c r="BM58" cm="1">
        <f t="array" ref="BM58">IF(D58="","",IF(BA58&lt;&gt;"",IFERROR(_xlfn.XLOOKUP(BA58,Щиты[Щит],Щиты[cos φ]),0.95),IF(ISNUMBER(M58),M58,IFERROR(IF(BL58=2,_xlfn.IFS(BH58=3,VLOOKUP(BF58,Справочная_двигатели,8,FALSE),BH58=1,VLOOKUP(BF58,Справочная_двигатели,10,TRUE)),IF(AND(Методика="нормы 2026",CN58="Сил"),0.8,0.95)),0.95))))</f>
        <v>0.95</v>
      </c>
      <c r="BN58" cm="1">
        <f t="array" ref="BN58">IF(D58="","",IF(BA58&lt;&gt;"",IFERROR(_xlfn.XLOOKUP(BA58,Щиты[Щит],Щиты[Iр, А]),""),IFERROR(_xlfn.IFS(BH58=1,BF58/((Uн_лин/SQRT(3))*BM58),BH58=3,BF58/(SQRT(3)*Uн_лин*BM58)),"")))</f>
        <v>0.455802844097073</v>
      </c>
      <c r="BO58">
        <f>IF(D58="","",IF(N(X58)=0,IFERROR(VLOOKUP(BN58,Автомат_номиналы,2,TRUE),""),X58))</f>
        <v>10</v>
      </c>
      <c r="BP58">
        <f t="shared" si="9"/>
        <v>1</v>
      </c>
      <c r="BQ58">
        <f>IF(ISNUMBER(Y58),Y58,К_прокл)</f>
        <v>1</v>
      </c>
      <c r="BR58">
        <f t="shared" si="10"/>
        <v>2</v>
      </c>
      <c r="BS58" cm="1">
        <f t="array" ref="BS58">IF(D58="","",IF(N(BK58)&lt;&gt;0,BK58,IFERROR(_xlfn.LET(_xlpm.need,BO58/(BP58*BQ58),_xlpm.t,CHOOSE(BR58,Iдоп_1ж,Iдоп_2ж,Iдоп_3ж),_xlpm.k,_xlfn.XMATCH(_xlpm.need,_xlpm.t,1),IF(ISNA(_xlpm.k),"Не исп",INDEX(Iдоп_S,_xlpm.k))),"Не исп")))</f>
        <v>1.5</v>
      </c>
      <c r="BT58">
        <f>IFERROR(VLOOKUP(BS58,Кабель_сопротивление,3,FALSE),"")</f>
        <v>2.2499999999999999E-2</v>
      </c>
      <c r="BU58">
        <f>IFERROR(VLOOKUP(BS58,Кабель_сопротивление,2,FALSE),"")</f>
        <v>0.11</v>
      </c>
      <c r="BV58">
        <f t="shared" si="11"/>
        <v>12</v>
      </c>
      <c r="BW58">
        <f>IF(D58="","",IFERROR(IF(VLOOKUP(AT58,Потребители_обозначение,4,FALSE)=1,VLOOKUP(AT58,Потребители_обозначение,3,FALSE)*(H58*2-1)+BV58+VLOOKUP(AV58,Этаж_обозначение,3,FALSE)+VLOOKUP(AV58,Этаж_обозначение,4,FALSE),VLOOKUP(AT58,Потребители_обозначение,3,FALSE)*(H58*2-1)+BV58),BV58))</f>
        <v>16</v>
      </c>
      <c r="BX58">
        <f t="shared" si="12"/>
        <v>16</v>
      </c>
      <c r="BY58">
        <f t="shared" si="13"/>
        <v>0</v>
      </c>
      <c r="BZ58">
        <f t="shared" si="14"/>
        <v>2</v>
      </c>
      <c r="CA58">
        <f t="shared" si="15"/>
        <v>0.31</v>
      </c>
      <c r="CB58">
        <f t="shared" si="16"/>
        <v>0.20834346897174399</v>
      </c>
      <c r="CC58">
        <f>IFERROR(ROUNDUP(CB58/((Uн_лин/SQRT(3))*1000)*100,2),"")</f>
        <v>9.9999999999999992E-2</v>
      </c>
      <c r="CD58">
        <f>IF(ISNUMBER(CC58),CC58+IFERROR(_xlfn.XLOOKUP(A58,Щиты[Щит],Щиты[ΔU до шин, %]),0),"")</f>
        <v>0.6</v>
      </c>
      <c r="CE58">
        <f>IF(D58="","",IF(IFERROR(VLOOKUP(AT58,УГО_спр,2,FALSE),"")="Светильник",3,4)+IF(Методика="нормы 2026",MIN(0.5,MAX(0,N(BW58)-100)*0.005),0))</f>
        <v>4</v>
      </c>
      <c r="CF58" t="str">
        <f>IFERROR(VLOOKUP(BI58,Кабель_обозначение,2,FALSE),"")</f>
        <v>ВВГнг(А)-LS</v>
      </c>
      <c r="CG58" t="str">
        <f>IFERROR(IF(VLOOKUP(BI58,Кабель_обозначение,3,FALSE)=1,CF58&amp;" ("&amp;BJ58&amp;"х"&amp;BS58&amp;")",CF58),"")</f>
        <v>ВВГнг(А)-LS (3х1,5)</v>
      </c>
      <c r="CH58" t="str">
        <f t="shared" si="17"/>
        <v>ВВГнг(А)-LS (3х1,5)
L=16-0,1%</v>
      </c>
      <c r="CI58">
        <f>IFERROR(2*ρкз_Cu*BW58/BS58,"")</f>
        <v>0.56106666666666671</v>
      </c>
      <c r="CJ58">
        <f t="shared" si="18"/>
        <v>0.18666666666666668</v>
      </c>
      <c r="CK58" t="str">
        <f>IFERROR(IF(OR(D58="",NOT(ISNUMBER(BS58)),N(BW58)=0),"",_xlfn.XLOOKUP(A58,Щиты[Щит],Щиты[Zпетли на шинах, Ом])+CI58),"")</f>
        <v/>
      </c>
      <c r="CL58" t="str">
        <f>IF(ISNUMBER(CK58),c_min*(Uн_лин*1000/SQRT(3))/CK58,"")</f>
        <v/>
      </c>
      <c r="CM58" t="str">
        <f>IFERROR(IF(OR(D58="",NOT(ISNUMBER(BS58))),"",1.05*(Uн_лин*1000/SQRT(3))/(_xlfn.XLOOKUP(A58,Щиты[Щит],Щиты[Zmax на шинах, Ом])+CJ58)/1000),"")</f>
        <v/>
      </c>
      <c r="CN58" t="str">
        <f>IF(D58="","",IF(BA58&lt;&gt;"","Щит",IF(K58&lt;&gt;"",K58,IF(ISNUMBER(L58),"Сил",IF(IFERROR(_xlfn.XLOOKUP(AT58,Коды_код,Коды_группа)&amp;"","")="","Быт",_xlfn.XLOOKUP(AT58,Коды_код,Коды_группа)&amp;"")))))</f>
        <v>Сил</v>
      </c>
      <c r="CO58">
        <f>IF(CN58="Щит","щит",IF(CN58="","",IF(CN58="Быт",IFERROR(_xlfn.XLOOKUP(A58,Щиты[Щит],Щиты[Кс быт]),1),IF(CN58="Сил",IF(ISNUMBER(L58),L58,IF(Методика="нормы 2026",IFERROR(_xlfn.XLOOKUP(A58,Щиты[Щит],Щиты[Кс силовых (табл. 7.5)]),1),1)),IF(OR(CN58="Пост",CN58="Отоп"),1,IF(CN58="ВНГ",0.7,0))))))</f>
        <v>0.5</v>
      </c>
      <c r="CP58">
        <f t="shared" si="19"/>
        <v>1</v>
      </c>
      <c r="CQ58">
        <f t="shared" si="20"/>
        <v>0.1</v>
      </c>
      <c r="CR58">
        <f t="shared" si="21"/>
        <v>0</v>
      </c>
      <c r="CS58">
        <f t="shared" si="22"/>
        <v>0.05</v>
      </c>
      <c r="CT58">
        <f t="shared" si="23"/>
        <v>0</v>
      </c>
      <c r="CU58">
        <f t="shared" si="24"/>
        <v>0</v>
      </c>
      <c r="CV58">
        <f t="shared" si="25"/>
        <v>0</v>
      </c>
      <c r="CW58">
        <f t="shared" si="26"/>
        <v>0.1</v>
      </c>
      <c r="CX58">
        <f t="shared" si="27"/>
        <v>9.5000000000000001E-2</v>
      </c>
      <c r="CY58">
        <f t="shared" si="28"/>
        <v>2</v>
      </c>
      <c r="CZ58" t="str">
        <f t="shared" si="29"/>
        <v>L2</v>
      </c>
      <c r="DA58" cm="1">
        <f t="array" ref="DA58">IFERROR(IF(BL58=2,_xlfn.IFS(BH58=3,VLOOKUP(BF58,Справочная_двигатели,3,FALSE),BH58=1,VLOOKUP(BF58,Справочная_двигатели,5,TRUE)),0),0)</f>
        <v>0</v>
      </c>
      <c r="DB58">
        <f>IFERROR(IF(BL58=3,VLOOKUP(BF58,Справочная_ЛЭД,2,TRUE),0),0)</f>
        <v>0</v>
      </c>
      <c r="DC58">
        <f t="shared" si="30"/>
        <v>0</v>
      </c>
      <c r="DD58" t="str">
        <f t="shared" si="31"/>
        <v>L1</v>
      </c>
      <c r="DE58" t="str" cm="1">
        <f t="array" ref="DE58">IF(D58="","",IFERROR(INDEX({"I особая","I","II","III"},MATCH(TRIM(AA58&amp;""),{"I особая","I","II","III"},0)),"III"))</f>
        <v>II</v>
      </c>
      <c r="DF58" t="str">
        <f>IF(D58="","",IF(TRIM(AB58&amp;"")&lt;&gt;"",IF(LOWER(TRIM(AB58&amp;""))="да","да","нет"),IF(IFERROR(_xlfn.XLOOKUP(AT58,Коды_код,Коды_пожарная),"")="да","да","нет")))</f>
        <v>нет</v>
      </c>
      <c r="DG58" t="str">
        <f t="shared" si="32"/>
        <v/>
      </c>
      <c r="DH58" t="str">
        <f t="shared" si="33"/>
        <v>основная</v>
      </c>
      <c r="DI58">
        <f t="shared" si="34"/>
        <v>1</v>
      </c>
      <c r="DJ58" t="str" cm="1">
        <f t="array" ref="DJ58">IF(D58="","",_xlfn.LET(_xlpm.t,IFERROR(_xlfn.XLOOKUP(1,(Шины[Шина]=DH58)*(((Шины[Щит]=A58)+(Шины[Щит]=""))&gt;0),Шины[Тип]),"")&amp;"",IF(_xlpm.t&lt;&gt;"",_xlpm.t,IF(ISNUMBER(SEARCH("ИБП",DH58)),"ИБП",IF(ISNUMBER(SEARCH("ДГУ",DH58)),"ДГУ","Ввод "&amp;DI58)))))</f>
        <v>Ввод 1</v>
      </c>
      <c r="DK58" t="str">
        <f t="shared" si="35"/>
        <v>Ввод 1</v>
      </c>
      <c r="DL58" t="str">
        <f>IF(D58="","",IF(OR(DJ58="ИБП",DJ58="ДГУ"),"I особая",IF(DJ58="Одиночная","III",_xlfn.XLOOKUP(A58,Щиты[Щит],Щиты[Категория шины «Ввод»],"III"))))</f>
        <v>II</v>
      </c>
      <c r="DM58">
        <f>IF(D58="",0,IFERROR(MATCH(DE58,{"III","II","I","I особая"},0),1))</f>
        <v>2</v>
      </c>
      <c r="DN58">
        <f t="shared" si="36"/>
        <v>2</v>
      </c>
      <c r="DO58" t="str">
        <f>IF(D58="","",IF(DM58&gt;IFERROR(MATCH(DL58,{"III","II","I","I особая"},0),1),"НЕ ОБЕСПЕЧЕНА","ОК"))</f>
        <v>ОК</v>
      </c>
      <c r="DP58" t="str">
        <f>IF(A58="","",_xlfn.XLOOKUP(A58,Щиты[Щит],Щиты[Путь],""))</f>
        <v>|ГРЩ-ЖД|ЩОВ-001|</v>
      </c>
      <c r="DQ58" t="str">
        <f>IF(D58="","",IF(Z58&lt;&gt;"",Z58,IF(IFERROR(_xlfn.XLOOKUP(AT58,Коды_код,Коды_вид)&amp;"","")="","Прочее",_xlfn.XLOOKUP(AT58,Коды_код,Коды_вид)&amp;"")))</f>
        <v>Вентиляция</v>
      </c>
      <c r="DR58">
        <f>IF(BD58="","",INT((BD58-1)/Столбцов_на_лист)+1)</f>
        <v>2</v>
      </c>
      <c r="DS58" t="str">
        <f t="shared" si="37"/>
        <v>ВВГнг(А)-LS (3х1,5) L=16-0,1%</v>
      </c>
      <c r="DT58">
        <f t="shared" si="38"/>
        <v>0.1</v>
      </c>
      <c r="DU58">
        <f t="shared" si="39"/>
        <v>0.46</v>
      </c>
      <c r="DV58">
        <f t="shared" si="40"/>
        <v>1</v>
      </c>
      <c r="DW58">
        <f>IF(AT58="",0,_xlfn.LET(_xlpm.v,IFERROR(VLOOKUP(D58,УГО_спр,3,FALSE),IFERROR(VLOOKUP(AT58,УГО_спр,3,FALSE),IFERROR(VLOOKUP(LEFT(AT58,2),УГО_спр,3,FALSE),""))),IF(_xlpm.v="да",30,IF(ISNUMBER(_xlpm.v),_xlpm.v,0))))</f>
        <v>0</v>
      </c>
      <c r="DX58">
        <f t="shared" si="41"/>
        <v>0</v>
      </c>
      <c r="DY58">
        <f>IF(BD58="","",IF(AD58&lt;&gt;"",COUNTIFS(A$3:A58,A58,AD$3:AD58,"?*"),IF(OR(OR(AS58=1,A58&lt;&gt;A57),AL58="вручную"),"",IF(AS58=1,"",DZ57))))</f>
        <v>5</v>
      </c>
      <c r="DZ58">
        <f t="shared" si="42"/>
        <v>5</v>
      </c>
      <c r="EA58">
        <f>IF(D58="",0,MAX(IFERROR(--X58,0),IFERROR(--VLOOKUP(D58,УГО_спр,4,FALSE),IFERROR(--VLOOKUP(AT58,УГО_спр,4,FALSE),IFERROR(--VLOOKUP(LEFT(AT58,2),УГО_спр,4,FALSE),0)))))</f>
        <v>10</v>
      </c>
      <c r="EB58">
        <f>IF(D58="","",IFERROR(LOOKUP(INDEX(CHOOSE(BR58,Iдоп_1ж,Iдоп_2ж,Iдоп_3ж),MATCH(BS58,Iдоп_S,0))*BP58*BQ58,{6,10,16,20,25,32,40,50,63,80,100,125,160,200,250,315,400,500,630}),""))</f>
        <v>16</v>
      </c>
      <c r="EC58">
        <f>IF(AD58="","",SUMIFS(Линии[_Ток схемы],Линии[_гр.],DY58,Линии[Щит],A58,Линии[_в кабель выше],0))</f>
        <v>0.46</v>
      </c>
      <c r="ED58">
        <f>IF(AD58="","",IFERROR(VLOOKUP(EC58,Автомат_номиналы,2,TRUE),""))</f>
        <v>6</v>
      </c>
      <c r="EE58">
        <f>IF(AD58="","",MAX(N(ED58),_xlfn.MAXIFS(Линии[_мин. по типу],Линии[_гр.],DY58,Линии[Щит],A58)))</f>
        <v>10</v>
      </c>
      <c r="EF58">
        <f>IF(AD58="","",_xlfn.MINIFS(Линии[_макс. автомат по кабелю],Линии[_гр.],DY58,Линии[Щит],A58))</f>
        <v>16</v>
      </c>
      <c r="EG58">
        <f>IF(AD58="","",MAX(1,_xlfn.MAXIFS(Линии[_фаз],Линии[_гр.],DY58,Линии[Щит],A58)))</f>
        <v>1</v>
      </c>
      <c r="EH58">
        <f>IF(AD58="","",IF(AND(AD58&lt;&gt;"авто",AD58&lt;&gt;"+"),IF(ISNUMBER(SEARCH("мА",AD58)),IFERROR(--TRIM(RIGHT(SUBSTITUTE(LEFT(AD58,SEARCH("мА",AD58)-1)," ",REPT(" ",9)),6)),30),0),IF(AE58="нет",0,IF(ISNUMBER(AE58),AE58,IF(AE58="да",30,_xlfn.MINIFS(Линии[_дифзащита по коду, мА],Линии[_гр.],DY58,Линии[Щит],A58,Линии[_дифзащита по коду, мА],"&gt;0"))))))</f>
        <v>0</v>
      </c>
      <c r="EI58">
        <f t="shared" si="43"/>
        <v>0</v>
      </c>
      <c r="EJ58" t="str">
        <f t="shared" si="44"/>
        <v>QF5</v>
      </c>
      <c r="EK58" t="str">
        <f t="shared" si="45"/>
        <v>QF5</v>
      </c>
      <c r="EL58" t="str">
        <f t="shared" si="46"/>
        <v/>
      </c>
      <c r="EM58">
        <f t="shared" si="47"/>
        <v>0</v>
      </c>
      <c r="EN58">
        <f>IF(AD58="","",IF(EM58=1,MAX(EE58,Мин_автомат_БП),EE58))</f>
        <v>10</v>
      </c>
      <c r="EO58" t="str">
        <f t="shared" si="48"/>
        <v>1P</v>
      </c>
      <c r="EP58" t="str">
        <f t="shared" si="49"/>
        <v>1P С10А</v>
      </c>
      <c r="EQ58">
        <f t="shared" si="50"/>
        <v>10</v>
      </c>
      <c r="ER58" t="str">
        <f>IF(OR(AI58="",AI58="-"),"",IFERROR(VLOOKUP(AI58,Модули_спр,2,FALSE),"R"))</f>
        <v/>
      </c>
      <c r="ES58" t="str">
        <f>IF(ER58="","",ER58&amp;"."&amp;COUNTIFS(A$3:A58,A58,ER$3:ER58,ER58))</f>
        <v/>
      </c>
      <c r="ET58" t="str">
        <f t="shared" si="51"/>
        <v/>
      </c>
      <c r="EU58" t="str">
        <f t="shared" si="52"/>
        <v/>
      </c>
      <c r="EV58" t="str">
        <f t="shared" si="53"/>
        <v/>
      </c>
      <c r="EW58" t="str">
        <f t="shared" si="54"/>
        <v/>
      </c>
      <c r="EX58">
        <f t="shared" si="55"/>
        <v>1</v>
      </c>
      <c r="EY58" t="str">
        <f>IF(AK58="нет","",IF(AK58&lt;&gt;"",AK58,IF(EX58=1,"XT"&amp;COUNTIFS(A$3:A58,A58,EX$3:EX58,1),"")))</f>
        <v>XT6</v>
      </c>
      <c r="EZ58" t="str">
        <f t="shared" si="56"/>
        <v>QF5</v>
      </c>
      <c r="FA58" t="str">
        <f t="shared" si="57"/>
        <v/>
      </c>
      <c r="FB58" t="str">
        <f t="shared" si="58"/>
        <v>ok</v>
      </c>
      <c r="FC58" t="str">
        <f>IF(OR(EV58="",ET58=""),"",IF(EV58&gt;IFERROR(VLOOKUP(EU58,Модули_спр,3,FALSE),99),"ЛИШНИЙ КАНАЛ",IF(AND(AJ58&lt;&gt;"=",COUNTIFS(Линии[_модуль гр.],ET58,Линии[Канал (итог)],EV58,Линии[Канал],"&lt;&gt;=",Линии[Щит],A58)&gt;1),"ДУБЛЬ КАНАЛА","")))</f>
        <v/>
      </c>
      <c r="FD58">
        <f t="shared" si="59"/>
        <v>10</v>
      </c>
      <c r="FE58" t="str">
        <f t="shared" si="60"/>
        <v>1P С10А</v>
      </c>
      <c r="FF58">
        <f t="shared" si="61"/>
        <v>0</v>
      </c>
      <c r="FG58">
        <f t="shared" si="62"/>
        <v>0</v>
      </c>
      <c r="FH58" t="str">
        <f t="shared" si="63"/>
        <v/>
      </c>
      <c r="FI58">
        <f t="shared" si="64"/>
        <v>10</v>
      </c>
      <c r="FJ58" t="str">
        <f t="shared" si="65"/>
        <v/>
      </c>
      <c r="FK58" t="str">
        <f>IF(AND(D58="",EZ58=""),"",_xlfn.TEXTJOIN("; ",TRUE,IF(AND(D58&lt;&gt;"",DD58=""),"нет фазы",""),IF(AND(D58&lt;&gt;"",N(DT58)=0,CN58&lt;&gt;"Нет"),"нет мощности",""),IF(AND(EY58&lt;&gt;"",COUNTIFS(Линии[Щит],A58,Линии[Клемма (итог)],EY58)&gt;1),"дубль клеммы "&amp;EY58,""),IF(AND(FB58&lt;&gt;"",FB58&lt;&gt;"ok"),FB58,""),IF(FC58&lt;&gt;"",FC58,""),IF(AND(ISNUMBER(SEARCH("(5х",DS58)),N(DV58)=1),"5 жил на 1 фазе",""),IF(AND(AT58="R",AD58&lt;&gt;"",OR(N(EH58)=0,N(EH58)&gt;30)),"розетка без дифзащиты до 30 мА",""),IFERROR(IF(AND(ISNUMBER(CD58),CD58&gt;CE58),"потери "&amp;FIXED(CD58,1)&amp;" % &gt; "&amp;CE58&amp;" %",""),""),IFERROR(IF(LEFT(FJ58,4)="мало","Iкз мало — отключение &gt; 0,4 с",""),""),IF(AND(D58&lt;&gt;"",BD58=""),"не на схеме","")))</f>
        <v/>
      </c>
      <c r="FL58">
        <f>IF(AD58="","",_xlfn.LET(_xlpm.t,IFERROR(_xlfn.XLOOKUP(EP58,Каталог!$U$4:$U$500,Каталог!$G$4:$G$500),""),_xlpm.k,SEARCH("кА",_xlpm.t),IFERROR(--TRIM(RIGHT(SUBSTITUTE(MID(_xlpm.t,MAX(1,_xlpm.k-4),_xlpm.k-MAX(1,_xlpm.k-4))," ",REPT(" ",9)),5)),"")))</f>
        <v>6</v>
      </c>
      <c r="FM58" t="str">
        <f>IF(OR(FL58="",AD58=""),"",IF(_xlfn.XLOOKUP(A58,Щиты[Щит],Щиты[Iкз max на шинах, кА],"")="","",IF(FL58&lt;_xlfn.XLOOKUP(A58,Щиты[Щит],Щиты[Iкз max на шинах, кА]),"Icu "&amp;FL58&amp;" кА &lt; Iкз max","ok")))</f>
        <v/>
      </c>
      <c r="FN58" t="str">
        <f t="shared" si="66"/>
        <v>QF5|XT6</v>
      </c>
      <c r="FO58" t="str">
        <f t="shared" si="67"/>
        <v>QF5|XT6|кабель ВВГнг(А)-LS (3х1,5) → Вытяжная установка Подвальный этаж Пом №006T</v>
      </c>
      <c r="FP58" t="str" cm="1">
        <f t="array" ref="FP58">IF(FO58="","",_xlfn.LET(_xlpm.nd,_xlfn.TEXTSPLIT(FO58,"|"),IF(COLUMNS(_xlpm.nd)&gt;1,A58&amp;"¦"&amp;INDEX(_xlpm.nd,1)&amp;"¦"&amp;INDEX(_xlpm.nd,2),"")))</f>
        <v>ЩОВ-001¦QF5¦XT6</v>
      </c>
      <c r="FQ58" t="str">
        <f t="shared" si="68"/>
        <v>В.13¦Вытяжная установка Подвальный этаж Пом №006T</v>
      </c>
      <c r="FR58" t="str" cm="1">
        <f t="array" ref="FR58">IF(FO58="","",_xlfn.LET(_xlpm.nd,_xlfn.TEXTSPLIT(FO58,"|"),IF(COLUMNS(_xlpm.nd)&gt;2,A58&amp;"¦"&amp;INDEX(_xlpm.nd,2)&amp;"¦"&amp;INDEX(_xlpm.nd,3),"")))</f>
        <v>ЩОВ-001¦XT6¦кабель ВВГнг(А)-LS (3х1,5) → Вытяжная установка Подвальный этаж Пом №006T</v>
      </c>
      <c r="FS58" t="str">
        <f t="shared" si="69"/>
        <v>В.13¦Вытяжная установка Подвальный этаж Пом №006T</v>
      </c>
      <c r="FT58" t="str" cm="1">
        <f t="array" ref="FT58">IF(FO58="","",_xlfn.LET(_xlpm.nd,_xlfn.TEXTSPLIT(FO58,"|"),IF(COLUMNS(_xlpm.nd)&gt;3,A58&amp;"¦"&amp;INDEX(_xlpm.nd,3)&amp;"¦"&amp;INDEX(_xlpm.nd,4),"")))</f>
        <v/>
      </c>
      <c r="FU58" t="str">
        <f t="shared" si="70"/>
        <v/>
      </c>
      <c r="FV58" t="str" cm="1">
        <f t="array" ref="FV58">IF(FO58="","",_xlfn.LET(_xlpm.nd,_xlfn.TEXTSPLIT(FO58,"|"),IF(COLUMNS(_xlpm.nd)&gt;4,A58&amp;"¦"&amp;INDEX(_xlpm.nd,4)&amp;"¦"&amp;INDEX(_xlpm.nd,5),"")))</f>
        <v/>
      </c>
      <c r="FW58" t="str">
        <f t="shared" si="71"/>
        <v/>
      </c>
      <c r="FX58" t="str" cm="1">
        <f t="array" ref="FX58">IF(FO58="","",_xlfn.LET(_xlpm.nd,_xlfn.TEXTSPLIT(FO58,"|"),IF(COLUMNS(_xlpm.nd)&gt;5,A58&amp;"¦"&amp;INDEX(_xlpm.nd,5)&amp;"¦"&amp;INDEX(_xlpm.nd,6),"")))</f>
        <v/>
      </c>
      <c r="FY58" t="str">
        <f t="shared" si="72"/>
        <v/>
      </c>
      <c r="FZ58" t="str" cm="1">
        <f t="array" ref="FZ58">IF(FO58="","",_xlfn.LET(_xlpm.nd,_xlfn.TEXTSPLIT(FO58,"|"),IF(COLUMNS(_xlpm.nd)&gt;6,A58&amp;"¦"&amp;INDEX(_xlpm.nd,6)&amp;"¦"&amp;INDEX(_xlpm.nd,7),"")))</f>
        <v/>
      </c>
      <c r="GA58" t="str">
        <f t="shared" si="73"/>
        <v/>
      </c>
      <c r="GB58" t="str">
        <f t="shared" si="74"/>
        <v/>
      </c>
      <c r="GC58" t="str">
        <f t="shared" si="75"/>
        <v>QF5 → XT6</v>
      </c>
      <c r="GD58">
        <f t="shared" si="76"/>
        <v>1</v>
      </c>
      <c r="GE58">
        <f t="shared" si="77"/>
        <v>0</v>
      </c>
      <c r="GF58">
        <f t="shared" si="78"/>
        <v>0</v>
      </c>
      <c r="GG58" t="str">
        <f t="shared" si="79"/>
        <v/>
      </c>
      <c r="GH58" t="str">
        <f t="shared" si="80"/>
        <v/>
      </c>
      <c r="GI58" t="str">
        <f t="shared" si="81"/>
        <v/>
      </c>
      <c r="GJ58" t="str">
        <f t="shared" si="82"/>
        <v/>
      </c>
      <c r="GK58" t="str">
        <f>IF(D58="","",IFERROR(VLOOKUP(D58,УГО_спр,2,FALSE),IFERROR(VLOOKUP(AT58,УГО_спр,2,FALSE),IFERROR(VLOOKUP(LEFT(AT58,2),УГО_спр,2,FALSE),""))))</f>
        <v>Привод (двигатель)</v>
      </c>
      <c r="GL58" t="str">
        <f>IF(D58="","",IF(OR(GK58="",GK58=0),"BOX",IFERROR(IF(VLOOKUP(GK58,УГО_блоки,3,FALSE)&amp;""&lt;&gt;"",VLOOKUP(GK58,УГО_блоки,3,FALSE),VLOOKUP(GK58,УГО_блоки,2,FALSE)),GK58)))</f>
        <v>MOTOR</v>
      </c>
      <c r="GM58">
        <f t="shared" si="83"/>
        <v>1</v>
      </c>
      <c r="GN58" t="str">
        <f>IF(EP58="","",IF(COUNTIF(EP$3:EP58,EP58)=1,MAX(GN$2:GN57)+1,""))</f>
        <v/>
      </c>
      <c r="GO58" t="str">
        <f>IF(AF58="","",IF(COUNTIF(AF$3:AF58,AF58)+COUNTIF(AG$2:AG57,AF58)+COUNTIF(AH$2:AH57,AF58)=1,MAX(GO$2:GQ57)+1,""))</f>
        <v/>
      </c>
      <c r="GP58" t="str">
        <f>IF(AG58="","",IF(COUNTIF(AF$3:AF58,AG58)+COUNTIF(AG$3:AG58,AG58)+COUNTIF(AH$2:AH57,AG58)=1,MAX(GO$2:GQ57,GO58)+1,""))</f>
        <v/>
      </c>
      <c r="GQ58" t="str">
        <f>IF(AH58="","",IF(COUNTIF(AF$3:AF58,AH58)+COUNTIF(AG$3:AG58,AH58)+COUNTIF(AH$3:AH58,AH58)=1,MAX(GO$2:GQ57,GO58,GP58)+1,""))</f>
        <v/>
      </c>
      <c r="GR58" t="str">
        <f t="shared" si="84"/>
        <v>3х1,5</v>
      </c>
      <c r="GS58" t="str">
        <f>IF(GR58="","",IF(COUNTIF(GR$3:GR58,GR58)=1,MAX(GS$2:GS57)+1,""))</f>
        <v/>
      </c>
      <c r="GT58" t="str">
        <f>IF(ES58="","",COUNTIF(ES$3:ES58,"?*"))</f>
        <v/>
      </c>
      <c r="GU58" t="str">
        <f>IF(OR(ES58="",EU58=""),"",IF(COUNTIFS(ES$3:ES58,"?*",EU$3:EU58,EU58)=1,MAX(GU$2:GU57)+1,""))</f>
        <v/>
      </c>
      <c r="GV58">
        <f t="shared" si="85"/>
        <v>0</v>
      </c>
      <c r="GW58">
        <f>IF(D58="","",COUNTIF(D$3:D58,"?*"))</f>
        <v>56</v>
      </c>
      <c r="GX58">
        <f>IF(EX58&lt;&gt;1,0,_xlfn.LET(_xlpm.k,MAX(IFERROR(--VLOOKUP(D58,УГО_спр,5,FALSE),0),IFERROR(--VLOOKUP(AT58,УГО_спр,5,FALSE),0),IFERROR(--VLOOKUP(LEFT(AT58,2),УГО_спр,5,FALSE),0)),IF(_xlpm.k&gt;0,_xlpm.k,IF(IFERROR(--LEFT(SUBSTITUTE(GR58,"x","х"),FIND("х",SUBSTITUTE(GR58,"x","х"))-1),3)&gt;3,Каталог!$S$9,1))))</f>
        <v>1</v>
      </c>
      <c r="GY58">
        <f t="shared" si="86"/>
        <v>0</v>
      </c>
    </row>
    <row r="59" spans="1:207" x14ac:dyDescent="0.3">
      <c r="A59" t="s">
        <v>752</v>
      </c>
      <c r="B59">
        <v>21</v>
      </c>
      <c r="C59" t="str">
        <f>IF(BD59="","",IF(BE59="вводной узел","узел ","")&amp;"л."&amp;(INT((BD59-1)/Столбцов_на_лист)+1)&amp;" / "&amp;(MOD(BD59-1,Столбцов_на_лист)+1))</f>
        <v>л.2 / 4</v>
      </c>
      <c r="D59" t="s">
        <v>1333</v>
      </c>
      <c r="E59" s="133" t="s">
        <v>1330</v>
      </c>
      <c r="G59">
        <v>0.1</v>
      </c>
      <c r="H59">
        <v>1</v>
      </c>
      <c r="I59">
        <v>1</v>
      </c>
      <c r="J59">
        <v>230</v>
      </c>
      <c r="K59" t="s">
        <v>602</v>
      </c>
      <c r="L59">
        <v>0.5</v>
      </c>
      <c r="O59">
        <v>2</v>
      </c>
      <c r="P59">
        <v>16</v>
      </c>
      <c r="R59">
        <v>20</v>
      </c>
      <c r="T59">
        <v>1</v>
      </c>
      <c r="U59" t="s">
        <v>11</v>
      </c>
      <c r="V59">
        <v>3</v>
      </c>
      <c r="W59">
        <v>1.5</v>
      </c>
      <c r="X59">
        <v>10</v>
      </c>
      <c r="Z59" t="s">
        <v>584</v>
      </c>
      <c r="AA59" t="s">
        <v>818</v>
      </c>
      <c r="AD59" t="s">
        <v>517</v>
      </c>
      <c r="AK59" t="s">
        <v>488</v>
      </c>
      <c r="AR59" t="str">
        <f t="shared" si="0"/>
        <v/>
      </c>
      <c r="AS59" cm="1">
        <f t="array" ref="AS59">ROW()-ROW(Линии[#Headers])</f>
        <v>57</v>
      </c>
      <c r="AT59" t="str">
        <f t="shared" si="1"/>
        <v>В</v>
      </c>
      <c r="AU59" t="str">
        <f t="shared" si="2"/>
        <v>17</v>
      </c>
      <c r="AV59" t="str">
        <f t="shared" si="3"/>
        <v>17</v>
      </c>
      <c r="AW59" t="str">
        <f t="shared" si="4"/>
        <v/>
      </c>
      <c r="AX59" t="str">
        <f t="shared" si="5"/>
        <v/>
      </c>
      <c r="AY59" t="str">
        <f>IF(D59="","",IF(ISERROR(SEARCH(".",D59)),IFERROR(VLOOKUP(D59,Потребители_обозначение,2,FALSE)&amp;"",""),IFERROR(IF(VLOOKUP(AT59,Потребители_обозначение,4,FALSE)=1,VLOOKUP(AT59,Потребители_обозначение,2,FALSE)&amp;" "&amp;VLOOKUP(AV59,Этаж_обозначение,2,FALSE)&amp;" Пом. №"&amp;AX59,VLOOKUP(AT59,Потребители_обозначение,2,FALSE)&amp;" Шлейф №"&amp;AV59),IFERROR(VLOOKUP(D59,Потребители_обозначение,2,FALSE),""))))</f>
        <v>Вытяжная установка Шлейф №17</v>
      </c>
      <c r="AZ59" t="str">
        <f t="shared" si="6"/>
        <v>Вытяжная установка Подвальный этаж Пом №006T</v>
      </c>
      <c r="BA59" t="str">
        <f>IF(F59&lt;&gt;"",F59,IF(AND(D59&lt;&gt;"",D59&lt;&gt;A59,ISNUMBER(_xlfn.XMATCH(D59,Щиты[Щит]))),D59,""))</f>
        <v/>
      </c>
      <c r="BB59">
        <f>IFERROR(_xlfn.XMATCH(A59,Щиты[Щит]),0)</f>
        <v>4</v>
      </c>
      <c r="BC59">
        <f>IFERROR(N(_xlfn.XLOOKUP(A59,Щиты[Щит],Щиты[Мест под вводной узел])),15)</f>
        <v>13</v>
      </c>
      <c r="BD59">
        <f t="shared" si="7"/>
        <v>21</v>
      </c>
      <c r="BE59" t="str">
        <f t="shared" si="8"/>
        <v>линии</v>
      </c>
      <c r="BF59">
        <f>IF(D59="","",IF(BA59&lt;&gt;"",IFERROR(_xlfn.XLOOKUP(BA59,Щиты[Щит],Щиты[Руст, кВт]),0),N(G59)))</f>
        <v>0.1</v>
      </c>
      <c r="BG59">
        <f>IF(J59&lt;&gt;"",J59,IF(D59="","",IFERROR(IF(VLOOKUP(AT59,Потребители_обозначение,8,FALSE)=0,"",VLOOKUP(AT59,Потребители_обозначение,8,FALSE)),"")))</f>
        <v>230</v>
      </c>
      <c r="BH59">
        <f>IF(I59&lt;&gt;"",I59,IF(D59="","",IFERROR(IF(VLOOKUP(AT59,Потребители_обозначение,9,FALSE)=0,"",VLOOKUP(AT59,Потребители_обозначение,9,FALSE)),"")))</f>
        <v>1</v>
      </c>
      <c r="BI59" t="str">
        <f>IF(U59&lt;&gt;"",U59,IF(D59="","",IFERROR(IF(VLOOKUP(AT59,Потребители_обозначение,6,FALSE)=0,"",VLOOKUP(AT59,Потребители_обозначение,6,FALSE)),"")))</f>
        <v>мс</v>
      </c>
      <c r="BJ59">
        <f>IF(V59&lt;&gt;"",V59,IF(D59="","",IFERROR(IF(VLOOKUP(AT59,Потребители_обозначение,7,FALSE)=0,"",VLOOKUP(AT59,Потребители_обозначение,7,FALSE)),"")))</f>
        <v>3</v>
      </c>
      <c r="BK59">
        <f>IF(W59&lt;&gt;"",W59,IF(D59="","",IFERROR(IF(VLOOKUP(AT59,Потребители_обозначение,10,FALSE)=0,"",VLOOKUP(AT59,Потребители_обозначение,10,FALSE)),"")))</f>
        <v>1.5</v>
      </c>
      <c r="BL59">
        <f>IFERROR(VLOOKUP(AT59,Потребители_обозначение,5,FALSE),0)</f>
        <v>1</v>
      </c>
      <c r="BM59" cm="1">
        <f t="array" ref="BM59">IF(D59="","",IF(BA59&lt;&gt;"",IFERROR(_xlfn.XLOOKUP(BA59,Щиты[Щит],Щиты[cos φ]),0.95),IF(ISNUMBER(M59),M59,IFERROR(IF(BL59=2,_xlfn.IFS(BH59=3,VLOOKUP(BF59,Справочная_двигатели,8,FALSE),BH59=1,VLOOKUP(BF59,Справочная_двигатели,10,TRUE)),IF(AND(Методика="нормы 2026",CN59="Сил"),0.8,0.95)),0.95))))</f>
        <v>0.95</v>
      </c>
      <c r="BN59" cm="1">
        <f t="array" ref="BN59">IF(D59="","",IF(BA59&lt;&gt;"",IFERROR(_xlfn.XLOOKUP(BA59,Щиты[Щит],Щиты[Iр, А]),""),IFERROR(_xlfn.IFS(BH59=1,BF59/((Uн_лин/SQRT(3))*BM59),BH59=3,BF59/(SQRT(3)*Uн_лин*BM59)),"")))</f>
        <v>0.455802844097073</v>
      </c>
      <c r="BO59">
        <f>IF(D59="","",IF(N(X59)=0,IFERROR(VLOOKUP(BN59,Автомат_номиналы,2,TRUE),""),X59))</f>
        <v>10</v>
      </c>
      <c r="BP59">
        <f t="shared" si="9"/>
        <v>1</v>
      </c>
      <c r="BQ59">
        <f>IF(ISNUMBER(Y59),Y59,К_прокл)</f>
        <v>1</v>
      </c>
      <c r="BR59">
        <f t="shared" si="10"/>
        <v>2</v>
      </c>
      <c r="BS59" cm="1">
        <f t="array" ref="BS59">IF(D59="","",IF(N(BK59)&lt;&gt;0,BK59,IFERROR(_xlfn.LET(_xlpm.need,BO59/(BP59*BQ59),_xlpm.t,CHOOSE(BR59,Iдоп_1ж,Iдоп_2ж,Iдоп_3ж),_xlpm.k,_xlfn.XMATCH(_xlpm.need,_xlpm.t,1),IF(ISNA(_xlpm.k),"Не исп",INDEX(Iдоп_S,_xlpm.k))),"Не исп")))</f>
        <v>1.5</v>
      </c>
      <c r="BT59">
        <f>IFERROR(VLOOKUP(BS59,Кабель_сопротивление,3,FALSE),"")</f>
        <v>2.2499999999999999E-2</v>
      </c>
      <c r="BU59">
        <f>IFERROR(VLOOKUP(BS59,Кабель_сопротивление,2,FALSE),"")</f>
        <v>0.11</v>
      </c>
      <c r="BV59">
        <f t="shared" si="11"/>
        <v>16</v>
      </c>
      <c r="BW59">
        <f>IF(D59="","",IFERROR(IF(VLOOKUP(AT59,Потребители_обозначение,4,FALSE)=1,VLOOKUP(AT59,Потребители_обозначение,3,FALSE)*(H59*2-1)+BV59+VLOOKUP(AV59,Этаж_обозначение,3,FALSE)+VLOOKUP(AV59,Этаж_обозначение,4,FALSE),VLOOKUP(AT59,Потребители_обозначение,3,FALSE)*(H59*2-1)+BV59),BV59))</f>
        <v>20</v>
      </c>
      <c r="BX59">
        <f t="shared" si="12"/>
        <v>20</v>
      </c>
      <c r="BY59">
        <f t="shared" si="13"/>
        <v>0</v>
      </c>
      <c r="BZ59">
        <f t="shared" si="14"/>
        <v>2</v>
      </c>
      <c r="CA59">
        <f t="shared" si="15"/>
        <v>0.31</v>
      </c>
      <c r="CB59">
        <f t="shared" si="16"/>
        <v>0.26042933621468001</v>
      </c>
      <c r="CC59">
        <f>IFERROR(ROUNDUP(CB59/((Uн_лин/SQRT(3))*1000)*100,2),"")</f>
        <v>0.12</v>
      </c>
      <c r="CD59">
        <f>IF(ISNUMBER(CC59),CC59+IFERROR(_xlfn.XLOOKUP(A59,Щиты[Щит],Щиты[ΔU до шин, %]),0),"")</f>
        <v>0.62</v>
      </c>
      <c r="CE59">
        <f>IF(D59="","",IF(IFERROR(VLOOKUP(AT59,УГО_спр,2,FALSE),"")="Светильник",3,4)+IF(Методика="нормы 2026",MIN(0.5,MAX(0,N(BW59)-100)*0.005),0))</f>
        <v>4</v>
      </c>
      <c r="CF59" t="str">
        <f>IFERROR(VLOOKUP(BI59,Кабель_обозначение,2,FALSE),"")</f>
        <v>ВВГнг(А)-LS</v>
      </c>
      <c r="CG59" t="str">
        <f>IFERROR(IF(VLOOKUP(BI59,Кабель_обозначение,3,FALSE)=1,CF59&amp;" ("&amp;BJ59&amp;"х"&amp;BS59&amp;")",CF59),"")</f>
        <v>ВВГнг(А)-LS (3х1,5)</v>
      </c>
      <c r="CH59" t="str">
        <f t="shared" si="17"/>
        <v>ВВГнг(А)-LS (3х1,5)
L=20-0,12%</v>
      </c>
      <c r="CI59">
        <f>IFERROR(2*ρкз_Cu*BW59/BS59,"")</f>
        <v>0.70133333333333336</v>
      </c>
      <c r="CJ59">
        <f t="shared" si="18"/>
        <v>0.23333333333333336</v>
      </c>
      <c r="CK59" t="str">
        <f>IFERROR(IF(OR(D59="",NOT(ISNUMBER(BS59)),N(BW59)=0),"",_xlfn.XLOOKUP(A59,Щиты[Щит],Щиты[Zпетли на шинах, Ом])+CI59),"")</f>
        <v/>
      </c>
      <c r="CL59" t="str">
        <f>IF(ISNUMBER(CK59),c_min*(Uн_лин*1000/SQRT(3))/CK59,"")</f>
        <v/>
      </c>
      <c r="CM59" t="str">
        <f>IFERROR(IF(OR(D59="",NOT(ISNUMBER(BS59))),"",1.05*(Uн_лин*1000/SQRT(3))/(_xlfn.XLOOKUP(A59,Щиты[Щит],Щиты[Zmax на шинах, Ом])+CJ59)/1000),"")</f>
        <v/>
      </c>
      <c r="CN59" t="str">
        <f>IF(D59="","",IF(BA59&lt;&gt;"","Щит",IF(K59&lt;&gt;"",K59,IF(ISNUMBER(L59),"Сил",IF(IFERROR(_xlfn.XLOOKUP(AT59,Коды_код,Коды_группа)&amp;"","")="","Быт",_xlfn.XLOOKUP(AT59,Коды_код,Коды_группа)&amp;"")))))</f>
        <v>Сил</v>
      </c>
      <c r="CO59">
        <f>IF(CN59="Щит","щит",IF(CN59="","",IF(CN59="Быт",IFERROR(_xlfn.XLOOKUP(A59,Щиты[Щит],Щиты[Кс быт]),1),IF(CN59="Сил",IF(ISNUMBER(L59),L59,IF(Методика="нормы 2026",IFERROR(_xlfn.XLOOKUP(A59,Щиты[Щит],Щиты[Кс силовых (табл. 7.5)]),1),1)),IF(OR(CN59="Пост",CN59="Отоп"),1,IF(CN59="ВНГ",0.7,0))))))</f>
        <v>0.5</v>
      </c>
      <c r="CP59">
        <f t="shared" si="19"/>
        <v>1</v>
      </c>
      <c r="CQ59">
        <f t="shared" si="20"/>
        <v>0.1</v>
      </c>
      <c r="CR59">
        <f t="shared" si="21"/>
        <v>0</v>
      </c>
      <c r="CS59">
        <f t="shared" si="22"/>
        <v>0.05</v>
      </c>
      <c r="CT59">
        <f t="shared" si="23"/>
        <v>0</v>
      </c>
      <c r="CU59">
        <f t="shared" si="24"/>
        <v>0</v>
      </c>
      <c r="CV59">
        <f t="shared" si="25"/>
        <v>0</v>
      </c>
      <c r="CW59">
        <f t="shared" si="26"/>
        <v>0.1</v>
      </c>
      <c r="CX59">
        <f t="shared" si="27"/>
        <v>9.5000000000000001E-2</v>
      </c>
      <c r="CY59">
        <f t="shared" si="28"/>
        <v>3</v>
      </c>
      <c r="CZ59" t="str">
        <f t="shared" si="29"/>
        <v>L3</v>
      </c>
      <c r="DA59" cm="1">
        <f t="array" ref="DA59">IFERROR(IF(BL59=2,_xlfn.IFS(BH59=3,VLOOKUP(BF59,Справочная_двигатели,3,FALSE),BH59=1,VLOOKUP(BF59,Справочная_двигатели,5,TRUE)),0),0)</f>
        <v>0</v>
      </c>
      <c r="DB59">
        <f>IFERROR(IF(BL59=3,VLOOKUP(BF59,Справочная_ЛЭД,2,TRUE),0),0)</f>
        <v>0</v>
      </c>
      <c r="DC59">
        <f t="shared" si="30"/>
        <v>0</v>
      </c>
      <c r="DD59" t="str">
        <f t="shared" si="31"/>
        <v>L2</v>
      </c>
      <c r="DE59" t="str" cm="1">
        <f t="array" ref="DE59">IF(D59="","",IFERROR(INDEX({"I особая","I","II","III"},MATCH(TRIM(AA59&amp;""),{"I особая","I","II","III"},0)),"III"))</f>
        <v>II</v>
      </c>
      <c r="DF59" t="str">
        <f>IF(D59="","",IF(TRIM(AB59&amp;"")&lt;&gt;"",IF(LOWER(TRIM(AB59&amp;""))="да","да","нет"),IF(IFERROR(_xlfn.XLOOKUP(AT59,Коды_код,Коды_пожарная),"")="да","да","нет")))</f>
        <v>нет</v>
      </c>
      <c r="DG59" t="str">
        <f t="shared" si="32"/>
        <v/>
      </c>
      <c r="DH59" t="str">
        <f t="shared" si="33"/>
        <v>основная</v>
      </c>
      <c r="DI59">
        <f t="shared" si="34"/>
        <v>1</v>
      </c>
      <c r="DJ59" t="str" cm="1">
        <f t="array" ref="DJ59">IF(D59="","",_xlfn.LET(_xlpm.t,IFERROR(_xlfn.XLOOKUP(1,(Шины[Шина]=DH59)*(((Шины[Щит]=A59)+(Шины[Щит]=""))&gt;0),Шины[Тип]),"")&amp;"",IF(_xlpm.t&lt;&gt;"",_xlpm.t,IF(ISNUMBER(SEARCH("ИБП",DH59)),"ИБП",IF(ISNUMBER(SEARCH("ДГУ",DH59)),"ДГУ","Ввод "&amp;DI59)))))</f>
        <v>Ввод 1</v>
      </c>
      <c r="DK59" t="str">
        <f t="shared" si="35"/>
        <v>Ввод 1</v>
      </c>
      <c r="DL59" t="str">
        <f>IF(D59="","",IF(OR(DJ59="ИБП",DJ59="ДГУ"),"I особая",IF(DJ59="Одиночная","III",_xlfn.XLOOKUP(A59,Щиты[Щит],Щиты[Категория шины «Ввод»],"III"))))</f>
        <v>II</v>
      </c>
      <c r="DM59">
        <f>IF(D59="",0,IFERROR(MATCH(DE59,{"III","II","I","I особая"},0),1))</f>
        <v>2</v>
      </c>
      <c r="DN59">
        <f t="shared" si="36"/>
        <v>2</v>
      </c>
      <c r="DO59" t="str">
        <f>IF(D59="","",IF(DM59&gt;IFERROR(MATCH(DL59,{"III","II","I","I особая"},0),1),"НЕ ОБЕСПЕЧЕНА","ОК"))</f>
        <v>ОК</v>
      </c>
      <c r="DP59" t="str">
        <f>IF(A59="","",_xlfn.XLOOKUP(A59,Щиты[Щит],Щиты[Путь],""))</f>
        <v>|ГРЩ-ЖД|ЩОВ-001|</v>
      </c>
      <c r="DQ59" t="str">
        <f>IF(D59="","",IF(Z59&lt;&gt;"",Z59,IF(IFERROR(_xlfn.XLOOKUP(AT59,Коды_код,Коды_вид)&amp;"","")="","Прочее",_xlfn.XLOOKUP(AT59,Коды_код,Коды_вид)&amp;"")))</f>
        <v>Вентиляция</v>
      </c>
      <c r="DR59">
        <f>IF(BD59="","",INT((BD59-1)/Столбцов_на_лист)+1)</f>
        <v>2</v>
      </c>
      <c r="DS59" t="str">
        <f t="shared" si="37"/>
        <v>ВВГнг(А)-LS (3х1,5) L=20-0,12%</v>
      </c>
      <c r="DT59">
        <f t="shared" si="38"/>
        <v>0.1</v>
      </c>
      <c r="DU59">
        <f t="shared" si="39"/>
        <v>0.46</v>
      </c>
      <c r="DV59">
        <f t="shared" si="40"/>
        <v>1</v>
      </c>
      <c r="DW59">
        <f>IF(AT59="",0,_xlfn.LET(_xlpm.v,IFERROR(VLOOKUP(D59,УГО_спр,3,FALSE),IFERROR(VLOOKUP(AT59,УГО_спр,3,FALSE),IFERROR(VLOOKUP(LEFT(AT59,2),УГО_спр,3,FALSE),""))),IF(_xlpm.v="да",30,IF(ISNUMBER(_xlpm.v),_xlpm.v,0))))</f>
        <v>0</v>
      </c>
      <c r="DX59">
        <f t="shared" si="41"/>
        <v>0</v>
      </c>
      <c r="DY59">
        <f>IF(BD59="","",IF(AD59&lt;&gt;"",COUNTIFS(A$3:A59,A59,AD$3:AD59,"?*"),IF(OR(OR(AS59=1,A59&lt;&gt;A58),AL59="вручную"),"",IF(AS59=1,"",DZ58))))</f>
        <v>6</v>
      </c>
      <c r="DZ59">
        <f t="shared" si="42"/>
        <v>6</v>
      </c>
      <c r="EA59">
        <f>IF(D59="",0,MAX(IFERROR(--X59,0),IFERROR(--VLOOKUP(D59,УГО_спр,4,FALSE),IFERROR(--VLOOKUP(AT59,УГО_спр,4,FALSE),IFERROR(--VLOOKUP(LEFT(AT59,2),УГО_спр,4,FALSE),0)))))</f>
        <v>10</v>
      </c>
      <c r="EB59">
        <f>IF(D59="","",IFERROR(LOOKUP(INDEX(CHOOSE(BR59,Iдоп_1ж,Iдоп_2ж,Iдоп_3ж),MATCH(BS59,Iдоп_S,0))*BP59*BQ59,{6,10,16,20,25,32,40,50,63,80,100,125,160,200,250,315,400,500,630}),""))</f>
        <v>16</v>
      </c>
      <c r="EC59">
        <f>IF(AD59="","",SUMIFS(Линии[_Ток схемы],Линии[_гр.],DY59,Линии[Щит],A59,Линии[_в кабель выше],0))</f>
        <v>0.46</v>
      </c>
      <c r="ED59">
        <f>IF(AD59="","",IFERROR(VLOOKUP(EC59,Автомат_номиналы,2,TRUE),""))</f>
        <v>6</v>
      </c>
      <c r="EE59">
        <f>IF(AD59="","",MAX(N(ED59),_xlfn.MAXIFS(Линии[_мин. по типу],Линии[_гр.],DY59,Линии[Щит],A59)))</f>
        <v>10</v>
      </c>
      <c r="EF59">
        <f>IF(AD59="","",_xlfn.MINIFS(Линии[_макс. автомат по кабелю],Линии[_гр.],DY59,Линии[Щит],A59))</f>
        <v>16</v>
      </c>
      <c r="EG59">
        <f>IF(AD59="","",MAX(1,_xlfn.MAXIFS(Линии[_фаз],Линии[_гр.],DY59,Линии[Щит],A59)))</f>
        <v>1</v>
      </c>
      <c r="EH59">
        <f>IF(AD59="","",IF(AND(AD59&lt;&gt;"авто",AD59&lt;&gt;"+"),IF(ISNUMBER(SEARCH("мА",AD59)),IFERROR(--TRIM(RIGHT(SUBSTITUTE(LEFT(AD59,SEARCH("мА",AD59)-1)," ",REPT(" ",9)),6)),30),0),IF(AE59="нет",0,IF(ISNUMBER(AE59),AE59,IF(AE59="да",30,_xlfn.MINIFS(Линии[_дифзащита по коду, мА],Линии[_гр.],DY59,Линии[Щит],A59,Линии[_дифзащита по коду, мА],"&gt;0"))))))</f>
        <v>0</v>
      </c>
      <c r="EI59">
        <f t="shared" si="43"/>
        <v>0</v>
      </c>
      <c r="EJ59" t="str">
        <f t="shared" si="44"/>
        <v>QF6</v>
      </c>
      <c r="EK59" t="str">
        <f t="shared" si="45"/>
        <v>QF6</v>
      </c>
      <c r="EL59" t="str">
        <f t="shared" si="46"/>
        <v/>
      </c>
      <c r="EM59">
        <f t="shared" si="47"/>
        <v>0</v>
      </c>
      <c r="EN59">
        <f>IF(AD59="","",IF(EM59=1,MAX(EE59,Мин_автомат_БП),EE59))</f>
        <v>10</v>
      </c>
      <c r="EO59" t="str">
        <f t="shared" si="48"/>
        <v>1P</v>
      </c>
      <c r="EP59" t="str">
        <f t="shared" si="49"/>
        <v>1P С10А</v>
      </c>
      <c r="EQ59">
        <f t="shared" si="50"/>
        <v>10</v>
      </c>
      <c r="ER59" t="str">
        <f>IF(OR(AI59="",AI59="-"),"",IFERROR(VLOOKUP(AI59,Модули_спр,2,FALSE),"R"))</f>
        <v/>
      </c>
      <c r="ES59" t="str">
        <f>IF(ER59="","",ER59&amp;"."&amp;COUNTIFS(A$3:A59,A59,ER$3:ER59,ER59))</f>
        <v/>
      </c>
      <c r="ET59" t="str">
        <f t="shared" si="51"/>
        <v/>
      </c>
      <c r="EU59" t="str">
        <f t="shared" si="52"/>
        <v/>
      </c>
      <c r="EV59" t="str">
        <f t="shared" si="53"/>
        <v/>
      </c>
      <c r="EW59" t="str">
        <f t="shared" si="54"/>
        <v/>
      </c>
      <c r="EX59">
        <f t="shared" si="55"/>
        <v>1</v>
      </c>
      <c r="EY59" t="str">
        <f>IF(AK59="нет","",IF(AK59&lt;&gt;"",AK59,IF(EX59=1,"XT"&amp;COUNTIFS(A$3:A59,A59,EX$3:EX59,1),"")))</f>
        <v/>
      </c>
      <c r="EZ59" t="str">
        <f t="shared" si="56"/>
        <v>QF6</v>
      </c>
      <c r="FA59" t="str">
        <f t="shared" si="57"/>
        <v/>
      </c>
      <c r="FB59" t="str">
        <f t="shared" si="58"/>
        <v>ok</v>
      </c>
      <c r="FC59" t="str">
        <f>IF(OR(EV59="",ET59=""),"",IF(EV59&gt;IFERROR(VLOOKUP(EU59,Модули_спр,3,FALSE),99),"ЛИШНИЙ КАНАЛ",IF(AND(AJ59&lt;&gt;"=",COUNTIFS(Линии[_модуль гр.],ET59,Линии[Канал (итог)],EV59,Линии[Канал],"&lt;&gt;=",Линии[Щит],A59)&gt;1),"ДУБЛЬ КАНАЛА","")))</f>
        <v/>
      </c>
      <c r="FD59">
        <f t="shared" si="59"/>
        <v>10</v>
      </c>
      <c r="FE59" t="str">
        <f t="shared" si="60"/>
        <v>1P С10А</v>
      </c>
      <c r="FF59">
        <f t="shared" si="61"/>
        <v>0</v>
      </c>
      <c r="FG59">
        <f t="shared" si="62"/>
        <v>0</v>
      </c>
      <c r="FH59" t="str">
        <f t="shared" si="63"/>
        <v/>
      </c>
      <c r="FI59">
        <f t="shared" si="64"/>
        <v>10</v>
      </c>
      <c r="FJ59" t="str">
        <f t="shared" si="65"/>
        <v/>
      </c>
      <c r="FK59" t="str">
        <f>IF(AND(D59="",EZ59=""),"",_xlfn.TEXTJOIN("; ",TRUE,IF(AND(D59&lt;&gt;"",DD59=""),"нет фазы",""),IF(AND(D59&lt;&gt;"",N(DT59)=0,CN59&lt;&gt;"Нет"),"нет мощности",""),IF(AND(EY59&lt;&gt;"",COUNTIFS(Линии[Щит],A59,Линии[Клемма (итог)],EY59)&gt;1),"дубль клеммы "&amp;EY59,""),IF(AND(FB59&lt;&gt;"",FB59&lt;&gt;"ok"),FB59,""),IF(FC59&lt;&gt;"",FC59,""),IF(AND(ISNUMBER(SEARCH("(5х",DS59)),N(DV59)=1),"5 жил на 1 фазе",""),IF(AND(AT59="R",AD59&lt;&gt;"",OR(N(EH59)=0,N(EH59)&gt;30)),"розетка без дифзащиты до 30 мА",""),IFERROR(IF(AND(ISNUMBER(CD59),CD59&gt;CE59),"потери "&amp;FIXED(CD59,1)&amp;" % &gt; "&amp;CE59&amp;" %",""),""),IFERROR(IF(LEFT(FJ59,4)="мало","Iкз мало — отключение &gt; 0,4 с",""),""),IF(AND(D59&lt;&gt;"",BD59=""),"не на схеме","")))</f>
        <v/>
      </c>
      <c r="FL59">
        <f>IF(AD59="","",_xlfn.LET(_xlpm.t,IFERROR(_xlfn.XLOOKUP(EP59,Каталог!$U$4:$U$500,Каталог!$G$4:$G$500),""),_xlpm.k,SEARCH("кА",_xlpm.t),IFERROR(--TRIM(RIGHT(SUBSTITUTE(MID(_xlpm.t,MAX(1,_xlpm.k-4),_xlpm.k-MAX(1,_xlpm.k-4))," ",REPT(" ",9)),5)),"")))</f>
        <v>6</v>
      </c>
      <c r="FM59" t="str">
        <f>IF(OR(FL59="",AD59=""),"",IF(_xlfn.XLOOKUP(A59,Щиты[Щит],Щиты[Iкз max на шинах, кА],"")="","",IF(FL59&lt;_xlfn.XLOOKUP(A59,Щиты[Щит],Щиты[Iкз max на шинах, кА]),"Icu "&amp;FL59&amp;" кА &lt; Iкз max","ok")))</f>
        <v/>
      </c>
      <c r="FN59" t="str">
        <f t="shared" si="66"/>
        <v>QF6</v>
      </c>
      <c r="FO59" t="str">
        <f t="shared" si="67"/>
        <v>QF6|кабель ВВГнг(А)-LS (3х1,5) → Вытяжная установка Подвальный этаж Пом №006T</v>
      </c>
      <c r="FP59" t="str" cm="1">
        <f t="array" ref="FP59">IF(FO59="","",_xlfn.LET(_xlpm.nd,_xlfn.TEXTSPLIT(FO59,"|"),IF(COLUMNS(_xlpm.nd)&gt;1,A59&amp;"¦"&amp;INDEX(_xlpm.nd,1)&amp;"¦"&amp;INDEX(_xlpm.nd,2),"")))</f>
        <v>ЩОВ-001¦QF6¦кабель ВВГнг(А)-LS (3х1,5) → Вытяжная установка Подвальный этаж Пом №006T</v>
      </c>
      <c r="FQ59" t="str">
        <f t="shared" si="68"/>
        <v>В.17¦Вытяжная установка Подвальный этаж Пом №006T</v>
      </c>
      <c r="FR59" t="str" cm="1">
        <f t="array" ref="FR59">IF(FO59="","",_xlfn.LET(_xlpm.nd,_xlfn.TEXTSPLIT(FO59,"|"),IF(COLUMNS(_xlpm.nd)&gt;2,A59&amp;"¦"&amp;INDEX(_xlpm.nd,2)&amp;"¦"&amp;INDEX(_xlpm.nd,3),"")))</f>
        <v/>
      </c>
      <c r="FS59" t="str">
        <f t="shared" si="69"/>
        <v/>
      </c>
      <c r="FT59" t="str" cm="1">
        <f t="array" ref="FT59">IF(FO59="","",_xlfn.LET(_xlpm.nd,_xlfn.TEXTSPLIT(FO59,"|"),IF(COLUMNS(_xlpm.nd)&gt;3,A59&amp;"¦"&amp;INDEX(_xlpm.nd,3)&amp;"¦"&amp;INDEX(_xlpm.nd,4),"")))</f>
        <v/>
      </c>
      <c r="FU59" t="str">
        <f t="shared" si="70"/>
        <v/>
      </c>
      <c r="FV59" t="str" cm="1">
        <f t="array" ref="FV59">IF(FO59="","",_xlfn.LET(_xlpm.nd,_xlfn.TEXTSPLIT(FO59,"|"),IF(COLUMNS(_xlpm.nd)&gt;4,A59&amp;"¦"&amp;INDEX(_xlpm.nd,4)&amp;"¦"&amp;INDEX(_xlpm.nd,5),"")))</f>
        <v/>
      </c>
      <c r="FW59" t="str">
        <f t="shared" si="71"/>
        <v/>
      </c>
      <c r="FX59" t="str" cm="1">
        <f t="array" ref="FX59">IF(FO59="","",_xlfn.LET(_xlpm.nd,_xlfn.TEXTSPLIT(FO59,"|"),IF(COLUMNS(_xlpm.nd)&gt;5,A59&amp;"¦"&amp;INDEX(_xlpm.nd,5)&amp;"¦"&amp;INDEX(_xlpm.nd,6),"")))</f>
        <v/>
      </c>
      <c r="FY59" t="str">
        <f t="shared" si="72"/>
        <v/>
      </c>
      <c r="FZ59" t="str" cm="1">
        <f t="array" ref="FZ59">IF(FO59="","",_xlfn.LET(_xlpm.nd,_xlfn.TEXTSPLIT(FO59,"|"),IF(COLUMNS(_xlpm.nd)&gt;6,A59&amp;"¦"&amp;INDEX(_xlpm.nd,6)&amp;"¦"&amp;INDEX(_xlpm.nd,7),"")))</f>
        <v/>
      </c>
      <c r="GA59" t="str">
        <f t="shared" si="73"/>
        <v/>
      </c>
      <c r="GB59" t="str">
        <f t="shared" si="74"/>
        <v/>
      </c>
      <c r="GC59" t="str">
        <f t="shared" si="75"/>
        <v>QF6</v>
      </c>
      <c r="GD59">
        <f t="shared" si="76"/>
        <v>1</v>
      </c>
      <c r="GE59">
        <f t="shared" si="77"/>
        <v>0</v>
      </c>
      <c r="GF59">
        <f t="shared" si="78"/>
        <v>0</v>
      </c>
      <c r="GG59" t="str">
        <f t="shared" si="79"/>
        <v/>
      </c>
      <c r="GH59" t="str">
        <f t="shared" si="80"/>
        <v/>
      </c>
      <c r="GI59" t="str">
        <f t="shared" si="81"/>
        <v/>
      </c>
      <c r="GJ59" t="str">
        <f t="shared" si="82"/>
        <v/>
      </c>
      <c r="GK59" t="str">
        <f>IF(D59="","",IFERROR(VLOOKUP(D59,УГО_спр,2,FALSE),IFERROR(VLOOKUP(AT59,УГО_спр,2,FALSE),IFERROR(VLOOKUP(LEFT(AT59,2),УГО_спр,2,FALSE),""))))</f>
        <v>Привод (двигатель)</v>
      </c>
      <c r="GL59" t="str">
        <f>IF(D59="","",IF(OR(GK59="",GK59=0),"BOX",IFERROR(IF(VLOOKUP(GK59,УГО_блоки,3,FALSE)&amp;""&lt;&gt;"",VLOOKUP(GK59,УГО_блоки,3,FALSE),VLOOKUP(GK59,УГО_блоки,2,FALSE)),GK59)))</f>
        <v>MOTOR</v>
      </c>
      <c r="GM59">
        <f t="shared" si="83"/>
        <v>1</v>
      </c>
      <c r="GN59" t="str">
        <f>IF(EP59="","",IF(COUNTIF(EP$3:EP59,EP59)=1,MAX(GN$2:GN58)+1,""))</f>
        <v/>
      </c>
      <c r="GO59" t="str">
        <f>IF(AF59="","",IF(COUNTIF(AF$3:AF59,AF59)+COUNTIF(AG$2:AG58,AF59)+COUNTIF(AH$2:AH58,AF59)=1,MAX(GO$2:GQ58)+1,""))</f>
        <v/>
      </c>
      <c r="GP59" t="str">
        <f>IF(AG59="","",IF(COUNTIF(AF$3:AF59,AG59)+COUNTIF(AG$3:AG59,AG59)+COUNTIF(AH$2:AH58,AG59)=1,MAX(GO$2:GQ58,GO59)+1,""))</f>
        <v/>
      </c>
      <c r="GQ59" t="str">
        <f>IF(AH59="","",IF(COUNTIF(AF$3:AF59,AH59)+COUNTIF(AG$3:AG59,AH59)+COUNTIF(AH$3:AH59,AH59)=1,MAX(GO$2:GQ58,GO59,GP59)+1,""))</f>
        <v/>
      </c>
      <c r="GR59" t="str">
        <f t="shared" si="84"/>
        <v>3х1,5</v>
      </c>
      <c r="GS59" t="str">
        <f>IF(GR59="","",IF(COUNTIF(GR$3:GR59,GR59)=1,MAX(GS$2:GS58)+1,""))</f>
        <v/>
      </c>
      <c r="GT59" t="str">
        <f>IF(ES59="","",COUNTIF(ES$3:ES59,"?*"))</f>
        <v/>
      </c>
      <c r="GU59" t="str">
        <f>IF(OR(ES59="",EU59=""),"",IF(COUNTIFS(ES$3:ES59,"?*",EU$3:EU59,EU59)=1,MAX(GU$2:GU58)+1,""))</f>
        <v/>
      </c>
      <c r="GV59">
        <f t="shared" si="85"/>
        <v>0</v>
      </c>
      <c r="GW59">
        <f>IF(D59="","",COUNTIF(D$3:D59,"?*"))</f>
        <v>57</v>
      </c>
      <c r="GX59">
        <f>IF(EX59&lt;&gt;1,0,_xlfn.LET(_xlpm.k,MAX(IFERROR(--VLOOKUP(D59,УГО_спр,5,FALSE),0),IFERROR(--VLOOKUP(AT59,УГО_спр,5,FALSE),0),IFERROR(--VLOOKUP(LEFT(AT59,2),УГО_спр,5,FALSE),0)),IF(_xlpm.k&gt;0,_xlpm.k,IF(IFERROR(--LEFT(SUBSTITUTE(GR59,"x","х"),FIND("х",SUBSTITUTE(GR59,"x","х"))-1),3)&gt;3,Каталог!$S$9,1))))</f>
        <v>1</v>
      </c>
      <c r="GY59">
        <f t="shared" si="86"/>
        <v>0</v>
      </c>
    </row>
    <row r="60" spans="1:207" x14ac:dyDescent="0.3">
      <c r="A60" t="s">
        <v>752</v>
      </c>
      <c r="B60">
        <v>22</v>
      </c>
      <c r="C60" t="str">
        <f>IF(BD60="","",IF(BE60="вводной узел","узел ","")&amp;"л."&amp;(INT((BD60-1)/Столбцов_на_лист)+1)&amp;" / "&amp;(MOD(BD60-1,Столбцов_на_лист)+1))</f>
        <v>л.2 / 5</v>
      </c>
      <c r="D60" t="s">
        <v>1334</v>
      </c>
      <c r="E60" s="133" t="s">
        <v>1330</v>
      </c>
      <c r="G60">
        <v>0.1</v>
      </c>
      <c r="H60">
        <v>1</v>
      </c>
      <c r="I60">
        <v>1</v>
      </c>
      <c r="J60">
        <v>230</v>
      </c>
      <c r="K60" t="s">
        <v>602</v>
      </c>
      <c r="L60">
        <v>0.5</v>
      </c>
      <c r="O60">
        <v>3</v>
      </c>
      <c r="P60">
        <v>19</v>
      </c>
      <c r="R60">
        <v>23</v>
      </c>
      <c r="T60">
        <v>1</v>
      </c>
      <c r="U60" t="s">
        <v>11</v>
      </c>
      <c r="V60">
        <v>3</v>
      </c>
      <c r="W60">
        <v>1.5</v>
      </c>
      <c r="X60">
        <v>10</v>
      </c>
      <c r="Z60" t="s">
        <v>584</v>
      </c>
      <c r="AA60" t="s">
        <v>818</v>
      </c>
      <c r="AD60" t="s">
        <v>517</v>
      </c>
      <c r="AK60" t="s">
        <v>488</v>
      </c>
      <c r="AR60" t="str">
        <f t="shared" si="0"/>
        <v/>
      </c>
      <c r="AS60" cm="1">
        <f t="array" ref="AS60">ROW()-ROW(Линии[#Headers])</f>
        <v>58</v>
      </c>
      <c r="AT60" t="str">
        <f t="shared" si="1"/>
        <v>В</v>
      </c>
      <c r="AU60" t="str">
        <f t="shared" si="2"/>
        <v>18</v>
      </c>
      <c r="AV60" t="str">
        <f t="shared" si="3"/>
        <v>18</v>
      </c>
      <c r="AW60" t="str">
        <f t="shared" si="4"/>
        <v/>
      </c>
      <c r="AX60" t="str">
        <f t="shared" si="5"/>
        <v/>
      </c>
      <c r="AY60" t="str">
        <f>IF(D60="","",IF(ISERROR(SEARCH(".",D60)),IFERROR(VLOOKUP(D60,Потребители_обозначение,2,FALSE)&amp;"",""),IFERROR(IF(VLOOKUP(AT60,Потребители_обозначение,4,FALSE)=1,VLOOKUP(AT60,Потребители_обозначение,2,FALSE)&amp;" "&amp;VLOOKUP(AV60,Этаж_обозначение,2,FALSE)&amp;" Пом. №"&amp;AX60,VLOOKUP(AT60,Потребители_обозначение,2,FALSE)&amp;" Шлейф №"&amp;AV60),IFERROR(VLOOKUP(D60,Потребители_обозначение,2,FALSE),""))))</f>
        <v>Вытяжная установка Шлейф №18</v>
      </c>
      <c r="AZ60" t="str">
        <f t="shared" si="6"/>
        <v>Вытяжная установка Подвальный этаж Пом №006T</v>
      </c>
      <c r="BA60" t="str">
        <f>IF(F60&lt;&gt;"",F60,IF(AND(D60&lt;&gt;"",D60&lt;&gt;A60,ISNUMBER(_xlfn.XMATCH(D60,Щиты[Щит]))),D60,""))</f>
        <v/>
      </c>
      <c r="BB60">
        <f>IFERROR(_xlfn.XMATCH(A60,Щиты[Щит]),0)</f>
        <v>4</v>
      </c>
      <c r="BC60">
        <f>IFERROR(N(_xlfn.XLOOKUP(A60,Щиты[Щит],Щиты[Мест под вводной узел])),15)</f>
        <v>13</v>
      </c>
      <c r="BD60">
        <f t="shared" si="7"/>
        <v>22</v>
      </c>
      <c r="BE60" t="str">
        <f t="shared" si="8"/>
        <v>линии</v>
      </c>
      <c r="BF60">
        <f>IF(D60="","",IF(BA60&lt;&gt;"",IFERROR(_xlfn.XLOOKUP(BA60,Щиты[Щит],Щиты[Руст, кВт]),0),N(G60)))</f>
        <v>0.1</v>
      </c>
      <c r="BG60">
        <f>IF(J60&lt;&gt;"",J60,IF(D60="","",IFERROR(IF(VLOOKUP(AT60,Потребители_обозначение,8,FALSE)=0,"",VLOOKUP(AT60,Потребители_обозначение,8,FALSE)),"")))</f>
        <v>230</v>
      </c>
      <c r="BH60">
        <f>IF(I60&lt;&gt;"",I60,IF(D60="","",IFERROR(IF(VLOOKUP(AT60,Потребители_обозначение,9,FALSE)=0,"",VLOOKUP(AT60,Потребители_обозначение,9,FALSE)),"")))</f>
        <v>1</v>
      </c>
      <c r="BI60" t="str">
        <f>IF(U60&lt;&gt;"",U60,IF(D60="","",IFERROR(IF(VLOOKUP(AT60,Потребители_обозначение,6,FALSE)=0,"",VLOOKUP(AT60,Потребители_обозначение,6,FALSE)),"")))</f>
        <v>мс</v>
      </c>
      <c r="BJ60">
        <f>IF(V60&lt;&gt;"",V60,IF(D60="","",IFERROR(IF(VLOOKUP(AT60,Потребители_обозначение,7,FALSE)=0,"",VLOOKUP(AT60,Потребители_обозначение,7,FALSE)),"")))</f>
        <v>3</v>
      </c>
      <c r="BK60">
        <f>IF(W60&lt;&gt;"",W60,IF(D60="","",IFERROR(IF(VLOOKUP(AT60,Потребители_обозначение,10,FALSE)=0,"",VLOOKUP(AT60,Потребители_обозначение,10,FALSE)),"")))</f>
        <v>1.5</v>
      </c>
      <c r="BL60">
        <f>IFERROR(VLOOKUP(AT60,Потребители_обозначение,5,FALSE),0)</f>
        <v>1</v>
      </c>
      <c r="BM60" cm="1">
        <f t="array" ref="BM60">IF(D60="","",IF(BA60&lt;&gt;"",IFERROR(_xlfn.XLOOKUP(BA60,Щиты[Щит],Щиты[cos φ]),0.95),IF(ISNUMBER(M60),M60,IFERROR(IF(BL60=2,_xlfn.IFS(BH60=3,VLOOKUP(BF60,Справочная_двигатели,8,FALSE),BH60=1,VLOOKUP(BF60,Справочная_двигатели,10,TRUE)),IF(AND(Методика="нормы 2026",CN60="Сил"),0.8,0.95)),0.95))))</f>
        <v>0.95</v>
      </c>
      <c r="BN60" cm="1">
        <f t="array" ref="BN60">IF(D60="","",IF(BA60&lt;&gt;"",IFERROR(_xlfn.XLOOKUP(BA60,Щиты[Щит],Щиты[Iр, А]),""),IFERROR(_xlfn.IFS(BH60=1,BF60/((Uн_лин/SQRT(3))*BM60),BH60=3,BF60/(SQRT(3)*Uн_лин*BM60)),"")))</f>
        <v>0.455802844097073</v>
      </c>
      <c r="BO60">
        <f>IF(D60="","",IF(N(X60)=0,IFERROR(VLOOKUP(BN60,Автомат_номиналы,2,TRUE),""),X60))</f>
        <v>10</v>
      </c>
      <c r="BP60">
        <f t="shared" si="9"/>
        <v>1</v>
      </c>
      <c r="BQ60">
        <f>IF(ISNUMBER(Y60),Y60,К_прокл)</f>
        <v>1</v>
      </c>
      <c r="BR60">
        <f t="shared" si="10"/>
        <v>2</v>
      </c>
      <c r="BS60" cm="1">
        <f t="array" ref="BS60">IF(D60="","",IF(N(BK60)&lt;&gt;0,BK60,IFERROR(_xlfn.LET(_xlpm.need,BO60/(BP60*BQ60),_xlpm.t,CHOOSE(BR60,Iдоп_1ж,Iдоп_2ж,Iдоп_3ж),_xlpm.k,_xlfn.XMATCH(_xlpm.need,_xlpm.t,1),IF(ISNA(_xlpm.k),"Не исп",INDEX(Iдоп_S,_xlpm.k))),"Не исп")))</f>
        <v>1.5</v>
      </c>
      <c r="BT60">
        <f>IFERROR(VLOOKUP(BS60,Кабель_сопротивление,3,FALSE),"")</f>
        <v>2.2499999999999999E-2</v>
      </c>
      <c r="BU60">
        <f>IFERROR(VLOOKUP(BS60,Кабель_сопротивление,2,FALSE),"")</f>
        <v>0.11</v>
      </c>
      <c r="BV60">
        <f t="shared" si="11"/>
        <v>19</v>
      </c>
      <c r="BW60">
        <f>IF(D60="","",IFERROR(IF(VLOOKUP(AT60,Потребители_обозначение,4,FALSE)=1,VLOOKUP(AT60,Потребители_обозначение,3,FALSE)*(H60*2-1)+BV60+VLOOKUP(AV60,Этаж_обозначение,3,FALSE)+VLOOKUP(AV60,Этаж_обозначение,4,FALSE),VLOOKUP(AT60,Потребители_обозначение,3,FALSE)*(H60*2-1)+BV60),BV60))</f>
        <v>23</v>
      </c>
      <c r="BX60">
        <f t="shared" si="12"/>
        <v>23</v>
      </c>
      <c r="BY60">
        <f t="shared" si="13"/>
        <v>0</v>
      </c>
      <c r="BZ60">
        <f t="shared" si="14"/>
        <v>2</v>
      </c>
      <c r="CA60">
        <f t="shared" si="15"/>
        <v>0.31</v>
      </c>
      <c r="CB60">
        <f t="shared" si="16"/>
        <v>0.299493736646882</v>
      </c>
      <c r="CC60">
        <f>IFERROR(ROUNDUP(CB60/((Uн_лин/SQRT(3))*1000)*100,2),"")</f>
        <v>0.13</v>
      </c>
      <c r="CD60">
        <f>IF(ISNUMBER(CC60),CC60+IFERROR(_xlfn.XLOOKUP(A60,Щиты[Щит],Щиты[ΔU до шин, %]),0),"")</f>
        <v>0.63</v>
      </c>
      <c r="CE60">
        <f>IF(D60="","",IF(IFERROR(VLOOKUP(AT60,УГО_спр,2,FALSE),"")="Светильник",3,4)+IF(Методика="нормы 2026",MIN(0.5,MAX(0,N(BW60)-100)*0.005),0))</f>
        <v>4</v>
      </c>
      <c r="CF60" t="str">
        <f>IFERROR(VLOOKUP(BI60,Кабель_обозначение,2,FALSE),"")</f>
        <v>ВВГнг(А)-LS</v>
      </c>
      <c r="CG60" t="str">
        <f>IFERROR(IF(VLOOKUP(BI60,Кабель_обозначение,3,FALSE)=1,CF60&amp;" ("&amp;BJ60&amp;"х"&amp;BS60&amp;")",CF60),"")</f>
        <v>ВВГнг(А)-LS (3х1,5)</v>
      </c>
      <c r="CH60" t="str">
        <f t="shared" si="17"/>
        <v>ВВГнг(А)-LS (3х1,5)
L=23-0,13%</v>
      </c>
      <c r="CI60">
        <f>IFERROR(2*ρкз_Cu*BW60/BS60,"")</f>
        <v>0.80653333333333332</v>
      </c>
      <c r="CJ60">
        <f t="shared" si="18"/>
        <v>0.26833333333333337</v>
      </c>
      <c r="CK60" t="str">
        <f>IFERROR(IF(OR(D60="",NOT(ISNUMBER(BS60)),N(BW60)=0),"",_xlfn.XLOOKUP(A60,Щиты[Щит],Щиты[Zпетли на шинах, Ом])+CI60),"")</f>
        <v/>
      </c>
      <c r="CL60" t="str">
        <f>IF(ISNUMBER(CK60),c_min*(Uн_лин*1000/SQRT(3))/CK60,"")</f>
        <v/>
      </c>
      <c r="CM60" t="str">
        <f>IFERROR(IF(OR(D60="",NOT(ISNUMBER(BS60))),"",1.05*(Uн_лин*1000/SQRT(3))/(_xlfn.XLOOKUP(A60,Щиты[Щит],Щиты[Zmax на шинах, Ом])+CJ60)/1000),"")</f>
        <v/>
      </c>
      <c r="CN60" t="str">
        <f>IF(D60="","",IF(BA60&lt;&gt;"","Щит",IF(K60&lt;&gt;"",K60,IF(ISNUMBER(L60),"Сил",IF(IFERROR(_xlfn.XLOOKUP(AT60,Коды_код,Коды_группа)&amp;"","")="","Быт",_xlfn.XLOOKUP(AT60,Коды_код,Коды_группа)&amp;"")))))</f>
        <v>Сил</v>
      </c>
      <c r="CO60">
        <f>IF(CN60="Щит","щит",IF(CN60="","",IF(CN60="Быт",IFERROR(_xlfn.XLOOKUP(A60,Щиты[Щит],Щиты[Кс быт]),1),IF(CN60="Сил",IF(ISNUMBER(L60),L60,IF(Методика="нормы 2026",IFERROR(_xlfn.XLOOKUP(A60,Щиты[Щит],Щиты[Кс силовых (табл. 7.5)]),1),1)),IF(OR(CN60="Пост",CN60="Отоп"),1,IF(CN60="ВНГ",0.7,0))))))</f>
        <v>0.5</v>
      </c>
      <c r="CP60">
        <f t="shared" si="19"/>
        <v>1</v>
      </c>
      <c r="CQ60">
        <f t="shared" si="20"/>
        <v>0.1</v>
      </c>
      <c r="CR60">
        <f t="shared" si="21"/>
        <v>0</v>
      </c>
      <c r="CS60">
        <f t="shared" si="22"/>
        <v>0.05</v>
      </c>
      <c r="CT60">
        <f t="shared" si="23"/>
        <v>0</v>
      </c>
      <c r="CU60">
        <f t="shared" si="24"/>
        <v>0</v>
      </c>
      <c r="CV60">
        <f t="shared" si="25"/>
        <v>0</v>
      </c>
      <c r="CW60">
        <f t="shared" si="26"/>
        <v>0.1</v>
      </c>
      <c r="CX60">
        <f t="shared" si="27"/>
        <v>9.5000000000000001E-2</v>
      </c>
      <c r="CY60">
        <f t="shared" si="28"/>
        <v>1</v>
      </c>
      <c r="CZ60" t="str">
        <f t="shared" si="29"/>
        <v>L1</v>
      </c>
      <c r="DA60" cm="1">
        <f t="array" ref="DA60">IFERROR(IF(BL60=2,_xlfn.IFS(BH60=3,VLOOKUP(BF60,Справочная_двигатели,3,FALSE),BH60=1,VLOOKUP(BF60,Справочная_двигатели,5,TRUE)),0),0)</f>
        <v>0</v>
      </c>
      <c r="DB60">
        <f>IFERROR(IF(BL60=3,VLOOKUP(BF60,Справочная_ЛЭД,2,TRUE),0),0)</f>
        <v>0</v>
      </c>
      <c r="DC60">
        <f t="shared" si="30"/>
        <v>0</v>
      </c>
      <c r="DD60" t="str">
        <f t="shared" si="31"/>
        <v>L3</v>
      </c>
      <c r="DE60" t="str" cm="1">
        <f t="array" ref="DE60">IF(D60="","",IFERROR(INDEX({"I особая","I","II","III"},MATCH(TRIM(AA60&amp;""),{"I особая","I","II","III"},0)),"III"))</f>
        <v>II</v>
      </c>
      <c r="DF60" t="str">
        <f>IF(D60="","",IF(TRIM(AB60&amp;"")&lt;&gt;"",IF(LOWER(TRIM(AB60&amp;""))="да","да","нет"),IF(IFERROR(_xlfn.XLOOKUP(AT60,Коды_код,Коды_пожарная),"")="да","да","нет")))</f>
        <v>нет</v>
      </c>
      <c r="DG60" t="str">
        <f t="shared" si="32"/>
        <v/>
      </c>
      <c r="DH60" t="str">
        <f t="shared" si="33"/>
        <v>основная</v>
      </c>
      <c r="DI60">
        <f t="shared" si="34"/>
        <v>1</v>
      </c>
      <c r="DJ60" t="str" cm="1">
        <f t="array" ref="DJ60">IF(D60="","",_xlfn.LET(_xlpm.t,IFERROR(_xlfn.XLOOKUP(1,(Шины[Шина]=DH60)*(((Шины[Щит]=A60)+(Шины[Щит]=""))&gt;0),Шины[Тип]),"")&amp;"",IF(_xlpm.t&lt;&gt;"",_xlpm.t,IF(ISNUMBER(SEARCH("ИБП",DH60)),"ИБП",IF(ISNUMBER(SEARCH("ДГУ",DH60)),"ДГУ","Ввод "&amp;DI60)))))</f>
        <v>Ввод 1</v>
      </c>
      <c r="DK60" t="str">
        <f t="shared" si="35"/>
        <v>Ввод 1</v>
      </c>
      <c r="DL60" t="str">
        <f>IF(D60="","",IF(OR(DJ60="ИБП",DJ60="ДГУ"),"I особая",IF(DJ60="Одиночная","III",_xlfn.XLOOKUP(A60,Щиты[Щит],Щиты[Категория шины «Ввод»],"III"))))</f>
        <v>II</v>
      </c>
      <c r="DM60">
        <f>IF(D60="",0,IFERROR(MATCH(DE60,{"III","II","I","I особая"},0),1))</f>
        <v>2</v>
      </c>
      <c r="DN60">
        <f t="shared" si="36"/>
        <v>2</v>
      </c>
      <c r="DO60" t="str">
        <f>IF(D60="","",IF(DM60&gt;IFERROR(MATCH(DL60,{"III","II","I","I особая"},0),1),"НЕ ОБЕСПЕЧЕНА","ОК"))</f>
        <v>ОК</v>
      </c>
      <c r="DP60" t="str">
        <f>IF(A60="","",_xlfn.XLOOKUP(A60,Щиты[Щит],Щиты[Путь],""))</f>
        <v>|ГРЩ-ЖД|ЩОВ-001|</v>
      </c>
      <c r="DQ60" t="str">
        <f>IF(D60="","",IF(Z60&lt;&gt;"",Z60,IF(IFERROR(_xlfn.XLOOKUP(AT60,Коды_код,Коды_вид)&amp;"","")="","Прочее",_xlfn.XLOOKUP(AT60,Коды_код,Коды_вид)&amp;"")))</f>
        <v>Вентиляция</v>
      </c>
      <c r="DR60">
        <f>IF(BD60="","",INT((BD60-1)/Столбцов_на_лист)+1)</f>
        <v>2</v>
      </c>
      <c r="DS60" t="str">
        <f t="shared" si="37"/>
        <v>ВВГнг(А)-LS (3х1,5) L=23-0,13%</v>
      </c>
      <c r="DT60">
        <f t="shared" si="38"/>
        <v>0.1</v>
      </c>
      <c r="DU60">
        <f t="shared" si="39"/>
        <v>0.46</v>
      </c>
      <c r="DV60">
        <f t="shared" si="40"/>
        <v>1</v>
      </c>
      <c r="DW60">
        <f>IF(AT60="",0,_xlfn.LET(_xlpm.v,IFERROR(VLOOKUP(D60,УГО_спр,3,FALSE),IFERROR(VLOOKUP(AT60,УГО_спр,3,FALSE),IFERROR(VLOOKUP(LEFT(AT60,2),УГО_спр,3,FALSE),""))),IF(_xlpm.v="да",30,IF(ISNUMBER(_xlpm.v),_xlpm.v,0))))</f>
        <v>0</v>
      </c>
      <c r="DX60">
        <f t="shared" si="41"/>
        <v>0</v>
      </c>
      <c r="DY60">
        <f>IF(BD60="","",IF(AD60&lt;&gt;"",COUNTIFS(A$3:A60,A60,AD$3:AD60,"?*"),IF(OR(OR(AS60=1,A60&lt;&gt;A59),AL60="вручную"),"",IF(AS60=1,"",DZ59))))</f>
        <v>7</v>
      </c>
      <c r="DZ60">
        <f t="shared" si="42"/>
        <v>7</v>
      </c>
      <c r="EA60">
        <f>IF(D60="",0,MAX(IFERROR(--X60,0),IFERROR(--VLOOKUP(D60,УГО_спр,4,FALSE),IFERROR(--VLOOKUP(AT60,УГО_спр,4,FALSE),IFERROR(--VLOOKUP(LEFT(AT60,2),УГО_спр,4,FALSE),0)))))</f>
        <v>10</v>
      </c>
      <c r="EB60">
        <f>IF(D60="","",IFERROR(LOOKUP(INDEX(CHOOSE(BR60,Iдоп_1ж,Iдоп_2ж,Iдоп_3ж),MATCH(BS60,Iдоп_S,0))*BP60*BQ60,{6,10,16,20,25,32,40,50,63,80,100,125,160,200,250,315,400,500,630}),""))</f>
        <v>16</v>
      </c>
      <c r="EC60">
        <f>IF(AD60="","",SUMIFS(Линии[_Ток схемы],Линии[_гр.],DY60,Линии[Щит],A60,Линии[_в кабель выше],0))</f>
        <v>0.46</v>
      </c>
      <c r="ED60">
        <f>IF(AD60="","",IFERROR(VLOOKUP(EC60,Автомат_номиналы,2,TRUE),""))</f>
        <v>6</v>
      </c>
      <c r="EE60">
        <f>IF(AD60="","",MAX(N(ED60),_xlfn.MAXIFS(Линии[_мин. по типу],Линии[_гр.],DY60,Линии[Щит],A60)))</f>
        <v>10</v>
      </c>
      <c r="EF60">
        <f>IF(AD60="","",_xlfn.MINIFS(Линии[_макс. автомат по кабелю],Линии[_гр.],DY60,Линии[Щит],A60))</f>
        <v>16</v>
      </c>
      <c r="EG60">
        <f>IF(AD60="","",MAX(1,_xlfn.MAXIFS(Линии[_фаз],Линии[_гр.],DY60,Линии[Щит],A60)))</f>
        <v>1</v>
      </c>
      <c r="EH60">
        <f>IF(AD60="","",IF(AND(AD60&lt;&gt;"авто",AD60&lt;&gt;"+"),IF(ISNUMBER(SEARCH("мА",AD60)),IFERROR(--TRIM(RIGHT(SUBSTITUTE(LEFT(AD60,SEARCH("мА",AD60)-1)," ",REPT(" ",9)),6)),30),0),IF(AE60="нет",0,IF(ISNUMBER(AE60),AE60,IF(AE60="да",30,_xlfn.MINIFS(Линии[_дифзащита по коду, мА],Линии[_гр.],DY60,Линии[Щит],A60,Линии[_дифзащита по коду, мА],"&gt;0"))))))</f>
        <v>0</v>
      </c>
      <c r="EI60">
        <f t="shared" si="43"/>
        <v>0</v>
      </c>
      <c r="EJ60" t="str">
        <f t="shared" si="44"/>
        <v>QF7</v>
      </c>
      <c r="EK60" t="str">
        <f t="shared" si="45"/>
        <v>QF7</v>
      </c>
      <c r="EL60" t="str">
        <f t="shared" si="46"/>
        <v/>
      </c>
      <c r="EM60">
        <f t="shared" si="47"/>
        <v>0</v>
      </c>
      <c r="EN60">
        <f>IF(AD60="","",IF(EM60=1,MAX(EE60,Мин_автомат_БП),EE60))</f>
        <v>10</v>
      </c>
      <c r="EO60" t="str">
        <f t="shared" si="48"/>
        <v>1P</v>
      </c>
      <c r="EP60" t="str">
        <f t="shared" si="49"/>
        <v>1P С10А</v>
      </c>
      <c r="EQ60">
        <f t="shared" si="50"/>
        <v>10</v>
      </c>
      <c r="ER60" t="str">
        <f>IF(OR(AI60="",AI60="-"),"",IFERROR(VLOOKUP(AI60,Модули_спр,2,FALSE),"R"))</f>
        <v/>
      </c>
      <c r="ES60" t="str">
        <f>IF(ER60="","",ER60&amp;"."&amp;COUNTIFS(A$3:A60,A60,ER$3:ER60,ER60))</f>
        <v/>
      </c>
      <c r="ET60" t="str">
        <f t="shared" si="51"/>
        <v/>
      </c>
      <c r="EU60" t="str">
        <f t="shared" si="52"/>
        <v/>
      </c>
      <c r="EV60" t="str">
        <f t="shared" si="53"/>
        <v/>
      </c>
      <c r="EW60" t="str">
        <f t="shared" si="54"/>
        <v/>
      </c>
      <c r="EX60">
        <f t="shared" si="55"/>
        <v>1</v>
      </c>
      <c r="EY60" t="str">
        <f>IF(AK60="нет","",IF(AK60&lt;&gt;"",AK60,IF(EX60=1,"XT"&amp;COUNTIFS(A$3:A60,A60,EX$3:EX60,1),"")))</f>
        <v/>
      </c>
      <c r="EZ60" t="str">
        <f t="shared" si="56"/>
        <v>QF7</v>
      </c>
      <c r="FA60" t="str">
        <f t="shared" si="57"/>
        <v/>
      </c>
      <c r="FB60" t="str">
        <f t="shared" si="58"/>
        <v>ok</v>
      </c>
      <c r="FC60" t="str">
        <f>IF(OR(EV60="",ET60=""),"",IF(EV60&gt;IFERROR(VLOOKUP(EU60,Модули_спр,3,FALSE),99),"ЛИШНИЙ КАНАЛ",IF(AND(AJ60&lt;&gt;"=",COUNTIFS(Линии[_модуль гр.],ET60,Линии[Канал (итог)],EV60,Линии[Канал],"&lt;&gt;=",Линии[Щит],A60)&gt;1),"ДУБЛЬ КАНАЛА","")))</f>
        <v/>
      </c>
      <c r="FD60">
        <f t="shared" si="59"/>
        <v>10</v>
      </c>
      <c r="FE60" t="str">
        <f t="shared" si="60"/>
        <v>1P С10А</v>
      </c>
      <c r="FF60">
        <f t="shared" si="61"/>
        <v>0</v>
      </c>
      <c r="FG60">
        <f t="shared" si="62"/>
        <v>0</v>
      </c>
      <c r="FH60" t="str">
        <f t="shared" si="63"/>
        <v/>
      </c>
      <c r="FI60">
        <f t="shared" si="64"/>
        <v>10</v>
      </c>
      <c r="FJ60" t="str">
        <f t="shared" si="65"/>
        <v/>
      </c>
      <c r="FK60" t="str">
        <f>IF(AND(D60="",EZ60=""),"",_xlfn.TEXTJOIN("; ",TRUE,IF(AND(D60&lt;&gt;"",DD60=""),"нет фазы",""),IF(AND(D60&lt;&gt;"",N(DT60)=0,CN60&lt;&gt;"Нет"),"нет мощности",""),IF(AND(EY60&lt;&gt;"",COUNTIFS(Линии[Щит],A60,Линии[Клемма (итог)],EY60)&gt;1),"дубль клеммы "&amp;EY60,""),IF(AND(FB60&lt;&gt;"",FB60&lt;&gt;"ok"),FB60,""),IF(FC60&lt;&gt;"",FC60,""),IF(AND(ISNUMBER(SEARCH("(5х",DS60)),N(DV60)=1),"5 жил на 1 фазе",""),IF(AND(AT60="R",AD60&lt;&gt;"",OR(N(EH60)=0,N(EH60)&gt;30)),"розетка без дифзащиты до 30 мА",""),IFERROR(IF(AND(ISNUMBER(CD60),CD60&gt;CE60),"потери "&amp;FIXED(CD60,1)&amp;" % &gt; "&amp;CE60&amp;" %",""),""),IFERROR(IF(LEFT(FJ60,4)="мало","Iкз мало — отключение &gt; 0,4 с",""),""),IF(AND(D60&lt;&gt;"",BD60=""),"не на схеме","")))</f>
        <v/>
      </c>
      <c r="FL60">
        <f>IF(AD60="","",_xlfn.LET(_xlpm.t,IFERROR(_xlfn.XLOOKUP(EP60,Каталог!$U$4:$U$500,Каталог!$G$4:$G$500),""),_xlpm.k,SEARCH("кА",_xlpm.t),IFERROR(--TRIM(RIGHT(SUBSTITUTE(MID(_xlpm.t,MAX(1,_xlpm.k-4),_xlpm.k-MAX(1,_xlpm.k-4))," ",REPT(" ",9)),5)),"")))</f>
        <v>6</v>
      </c>
      <c r="FM60" t="str">
        <f>IF(OR(FL60="",AD60=""),"",IF(_xlfn.XLOOKUP(A60,Щиты[Щит],Щиты[Iкз max на шинах, кА],"")="","",IF(FL60&lt;_xlfn.XLOOKUP(A60,Щиты[Щит],Щиты[Iкз max на шинах, кА]),"Icu "&amp;FL60&amp;" кА &lt; Iкз max","ok")))</f>
        <v/>
      </c>
      <c r="FN60" t="str">
        <f t="shared" si="66"/>
        <v>QF7</v>
      </c>
      <c r="FO60" t="str">
        <f t="shared" si="67"/>
        <v>QF7|кабель ВВГнг(А)-LS (3х1,5) → Вытяжная установка Подвальный этаж Пом №006T</v>
      </c>
      <c r="FP60" t="str" cm="1">
        <f t="array" ref="FP60">IF(FO60="","",_xlfn.LET(_xlpm.nd,_xlfn.TEXTSPLIT(FO60,"|"),IF(COLUMNS(_xlpm.nd)&gt;1,A60&amp;"¦"&amp;INDEX(_xlpm.nd,1)&amp;"¦"&amp;INDEX(_xlpm.nd,2),"")))</f>
        <v>ЩОВ-001¦QF7¦кабель ВВГнг(А)-LS (3х1,5) → Вытяжная установка Подвальный этаж Пом №006T</v>
      </c>
      <c r="FQ60" t="str">
        <f t="shared" si="68"/>
        <v>В.18¦Вытяжная установка Подвальный этаж Пом №006T</v>
      </c>
      <c r="FR60" t="str" cm="1">
        <f t="array" ref="FR60">IF(FO60="","",_xlfn.LET(_xlpm.nd,_xlfn.TEXTSPLIT(FO60,"|"),IF(COLUMNS(_xlpm.nd)&gt;2,A60&amp;"¦"&amp;INDEX(_xlpm.nd,2)&amp;"¦"&amp;INDEX(_xlpm.nd,3),"")))</f>
        <v/>
      </c>
      <c r="FS60" t="str">
        <f t="shared" si="69"/>
        <v/>
      </c>
      <c r="FT60" t="str" cm="1">
        <f t="array" ref="FT60">IF(FO60="","",_xlfn.LET(_xlpm.nd,_xlfn.TEXTSPLIT(FO60,"|"),IF(COLUMNS(_xlpm.nd)&gt;3,A60&amp;"¦"&amp;INDEX(_xlpm.nd,3)&amp;"¦"&amp;INDEX(_xlpm.nd,4),"")))</f>
        <v/>
      </c>
      <c r="FU60" t="str">
        <f t="shared" si="70"/>
        <v/>
      </c>
      <c r="FV60" t="str" cm="1">
        <f t="array" ref="FV60">IF(FO60="","",_xlfn.LET(_xlpm.nd,_xlfn.TEXTSPLIT(FO60,"|"),IF(COLUMNS(_xlpm.nd)&gt;4,A60&amp;"¦"&amp;INDEX(_xlpm.nd,4)&amp;"¦"&amp;INDEX(_xlpm.nd,5),"")))</f>
        <v/>
      </c>
      <c r="FW60" t="str">
        <f t="shared" si="71"/>
        <v/>
      </c>
      <c r="FX60" t="str" cm="1">
        <f t="array" ref="FX60">IF(FO60="","",_xlfn.LET(_xlpm.nd,_xlfn.TEXTSPLIT(FO60,"|"),IF(COLUMNS(_xlpm.nd)&gt;5,A60&amp;"¦"&amp;INDEX(_xlpm.nd,5)&amp;"¦"&amp;INDEX(_xlpm.nd,6),"")))</f>
        <v/>
      </c>
      <c r="FY60" t="str">
        <f t="shared" si="72"/>
        <v/>
      </c>
      <c r="FZ60" t="str" cm="1">
        <f t="array" ref="FZ60">IF(FO60="","",_xlfn.LET(_xlpm.nd,_xlfn.TEXTSPLIT(FO60,"|"),IF(COLUMNS(_xlpm.nd)&gt;6,A60&amp;"¦"&amp;INDEX(_xlpm.nd,6)&amp;"¦"&amp;INDEX(_xlpm.nd,7),"")))</f>
        <v/>
      </c>
      <c r="GA60" t="str">
        <f t="shared" si="73"/>
        <v/>
      </c>
      <c r="GB60" t="str">
        <f t="shared" si="74"/>
        <v/>
      </c>
      <c r="GC60" t="str">
        <f t="shared" si="75"/>
        <v>QF7</v>
      </c>
      <c r="GD60">
        <f t="shared" si="76"/>
        <v>1</v>
      </c>
      <c r="GE60">
        <f t="shared" si="77"/>
        <v>0</v>
      </c>
      <c r="GF60">
        <f t="shared" si="78"/>
        <v>0</v>
      </c>
      <c r="GG60" t="str">
        <f t="shared" si="79"/>
        <v/>
      </c>
      <c r="GH60" t="str">
        <f t="shared" si="80"/>
        <v/>
      </c>
      <c r="GI60" t="str">
        <f t="shared" si="81"/>
        <v/>
      </c>
      <c r="GJ60" t="str">
        <f t="shared" si="82"/>
        <v/>
      </c>
      <c r="GK60" t="str">
        <f>IF(D60="","",IFERROR(VLOOKUP(D60,УГО_спр,2,FALSE),IFERROR(VLOOKUP(AT60,УГО_спр,2,FALSE),IFERROR(VLOOKUP(LEFT(AT60,2),УГО_спр,2,FALSE),""))))</f>
        <v>Привод (двигатель)</v>
      </c>
      <c r="GL60" t="str">
        <f>IF(D60="","",IF(OR(GK60="",GK60=0),"BOX",IFERROR(IF(VLOOKUP(GK60,УГО_блоки,3,FALSE)&amp;""&lt;&gt;"",VLOOKUP(GK60,УГО_блоки,3,FALSE),VLOOKUP(GK60,УГО_блоки,2,FALSE)),GK60)))</f>
        <v>MOTOR</v>
      </c>
      <c r="GM60">
        <f t="shared" si="83"/>
        <v>1</v>
      </c>
      <c r="GN60" t="str">
        <f>IF(EP60="","",IF(COUNTIF(EP$3:EP60,EP60)=1,MAX(GN$2:GN59)+1,""))</f>
        <v/>
      </c>
      <c r="GO60" t="str">
        <f>IF(AF60="","",IF(COUNTIF(AF$3:AF60,AF60)+COUNTIF(AG$2:AG59,AF60)+COUNTIF(AH$2:AH59,AF60)=1,MAX(GO$2:GQ59)+1,""))</f>
        <v/>
      </c>
      <c r="GP60" t="str">
        <f>IF(AG60="","",IF(COUNTIF(AF$3:AF60,AG60)+COUNTIF(AG$3:AG60,AG60)+COUNTIF(AH$2:AH59,AG60)=1,MAX(GO$2:GQ59,GO60)+1,""))</f>
        <v/>
      </c>
      <c r="GQ60" t="str">
        <f>IF(AH60="","",IF(COUNTIF(AF$3:AF60,AH60)+COUNTIF(AG$3:AG60,AH60)+COUNTIF(AH$3:AH60,AH60)=1,MAX(GO$2:GQ59,GO60,GP60)+1,""))</f>
        <v/>
      </c>
      <c r="GR60" t="str">
        <f t="shared" si="84"/>
        <v>3х1,5</v>
      </c>
      <c r="GS60" t="str">
        <f>IF(GR60="","",IF(COUNTIF(GR$3:GR60,GR60)=1,MAX(GS$2:GS59)+1,""))</f>
        <v/>
      </c>
      <c r="GT60" t="str">
        <f>IF(ES60="","",COUNTIF(ES$3:ES60,"?*"))</f>
        <v/>
      </c>
      <c r="GU60" t="str">
        <f>IF(OR(ES60="",EU60=""),"",IF(COUNTIFS(ES$3:ES60,"?*",EU$3:EU60,EU60)=1,MAX(GU$2:GU59)+1,""))</f>
        <v/>
      </c>
      <c r="GV60">
        <f t="shared" si="85"/>
        <v>0</v>
      </c>
      <c r="GW60">
        <f>IF(D60="","",COUNTIF(D$3:D60,"?*"))</f>
        <v>58</v>
      </c>
      <c r="GX60">
        <f>IF(EX60&lt;&gt;1,0,_xlfn.LET(_xlpm.k,MAX(IFERROR(--VLOOKUP(D60,УГО_спр,5,FALSE),0),IFERROR(--VLOOKUP(AT60,УГО_спр,5,FALSE),0),IFERROR(--VLOOKUP(LEFT(AT60,2),УГО_спр,5,FALSE),0)),IF(_xlpm.k&gt;0,_xlpm.k,IF(IFERROR(--LEFT(SUBSTITUTE(GR60,"x","х"),FIND("х",SUBSTITUTE(GR60,"x","х"))-1),3)&gt;3,Каталог!$S$9,1))))</f>
        <v>1</v>
      </c>
      <c r="GY60">
        <f t="shared" si="86"/>
        <v>0</v>
      </c>
    </row>
    <row r="61" spans="1:207" x14ac:dyDescent="0.3">
      <c r="A61" t="s">
        <v>752</v>
      </c>
      <c r="B61">
        <v>23</v>
      </c>
      <c r="C61" t="str">
        <f>IF(BD61="","",IF(BE61="вводной узел","узел ","")&amp;"л."&amp;(INT((BD61-1)/Столбцов_на_лист)+1)&amp;" / "&amp;(MOD(BD61-1,Столбцов_на_лист)+1))</f>
        <v>л.2 / 6</v>
      </c>
      <c r="D61" t="s">
        <v>1335</v>
      </c>
      <c r="E61" s="133" t="s">
        <v>1336</v>
      </c>
      <c r="G61">
        <v>0.27</v>
      </c>
      <c r="H61">
        <v>1</v>
      </c>
      <c r="I61">
        <v>1</v>
      </c>
      <c r="J61">
        <v>230</v>
      </c>
      <c r="K61" t="s">
        <v>602</v>
      </c>
      <c r="L61">
        <v>0.5</v>
      </c>
      <c r="O61">
        <v>1</v>
      </c>
      <c r="P61">
        <v>11</v>
      </c>
      <c r="R61">
        <v>15</v>
      </c>
      <c r="T61">
        <v>1</v>
      </c>
      <c r="U61" t="s">
        <v>11</v>
      </c>
      <c r="V61">
        <v>3</v>
      </c>
      <c r="W61">
        <v>1.5</v>
      </c>
      <c r="X61">
        <v>10</v>
      </c>
      <c r="Z61" t="s">
        <v>584</v>
      </c>
      <c r="AA61" t="s">
        <v>818</v>
      </c>
      <c r="AD61" t="s">
        <v>517</v>
      </c>
      <c r="AK61" t="s">
        <v>488</v>
      </c>
      <c r="AR61" t="str">
        <f t="shared" si="0"/>
        <v/>
      </c>
      <c r="AS61" cm="1">
        <f t="array" ref="AS61">ROW()-ROW(Линии[#Headers])</f>
        <v>59</v>
      </c>
      <c r="AT61" t="str">
        <f t="shared" si="1"/>
        <v>П</v>
      </c>
      <c r="AU61" t="str">
        <f t="shared" si="2"/>
        <v>1</v>
      </c>
      <c r="AV61" t="str">
        <f t="shared" si="3"/>
        <v>1</v>
      </c>
      <c r="AW61" t="str">
        <f t="shared" si="4"/>
        <v/>
      </c>
      <c r="AX61" t="str">
        <f t="shared" si="5"/>
        <v/>
      </c>
      <c r="AY61" t="str">
        <f>IF(D61="","",IF(ISERROR(SEARCH(".",D61)),IFERROR(VLOOKUP(D61,Потребители_обозначение,2,FALSE)&amp;"",""),IFERROR(IF(VLOOKUP(AT61,Потребители_обозначение,4,FALSE)=1,VLOOKUP(AT61,Потребители_обозначение,2,FALSE)&amp;" "&amp;VLOOKUP(AV61,Этаж_обозначение,2,FALSE)&amp;" Пом. №"&amp;AX61,VLOOKUP(AT61,Потребители_обозначение,2,FALSE)&amp;" Шлейф №"&amp;AV61),IFERROR(VLOOKUP(D61,Потребители_обозначение,2,FALSE),""))))</f>
        <v>Приточная установка Шлейф №1</v>
      </c>
      <c r="AZ61" t="str">
        <f t="shared" si="6"/>
        <v>Приточная установка Пом №006Т</v>
      </c>
      <c r="BA61" t="str">
        <f>IF(F61&lt;&gt;"",F61,IF(AND(D61&lt;&gt;"",D61&lt;&gt;A61,ISNUMBER(_xlfn.XMATCH(D61,Щиты[Щит]))),D61,""))</f>
        <v/>
      </c>
      <c r="BB61">
        <f>IFERROR(_xlfn.XMATCH(A61,Щиты[Щит]),0)</f>
        <v>4</v>
      </c>
      <c r="BC61">
        <f>IFERROR(N(_xlfn.XLOOKUP(A61,Щиты[Щит],Щиты[Мест под вводной узел])),15)</f>
        <v>13</v>
      </c>
      <c r="BD61">
        <f t="shared" si="7"/>
        <v>23</v>
      </c>
      <c r="BE61" t="str">
        <f t="shared" si="8"/>
        <v>линии</v>
      </c>
      <c r="BF61">
        <f>IF(D61="","",IF(BA61&lt;&gt;"",IFERROR(_xlfn.XLOOKUP(BA61,Щиты[Щит],Щиты[Руст, кВт]),0),N(G61)))</f>
        <v>0.27</v>
      </c>
      <c r="BG61">
        <f>IF(J61&lt;&gt;"",J61,IF(D61="","",IFERROR(IF(VLOOKUP(AT61,Потребители_обозначение,8,FALSE)=0,"",VLOOKUP(AT61,Потребители_обозначение,8,FALSE)),"")))</f>
        <v>230</v>
      </c>
      <c r="BH61">
        <f>IF(I61&lt;&gt;"",I61,IF(D61="","",IFERROR(IF(VLOOKUP(AT61,Потребители_обозначение,9,FALSE)=0,"",VLOOKUP(AT61,Потребители_обозначение,9,FALSE)),"")))</f>
        <v>1</v>
      </c>
      <c r="BI61" t="str">
        <f>IF(U61&lt;&gt;"",U61,IF(D61="","",IFERROR(IF(VLOOKUP(AT61,Потребители_обозначение,6,FALSE)=0,"",VLOOKUP(AT61,Потребители_обозначение,6,FALSE)),"")))</f>
        <v>мс</v>
      </c>
      <c r="BJ61">
        <f>IF(V61&lt;&gt;"",V61,IF(D61="","",IFERROR(IF(VLOOKUP(AT61,Потребители_обозначение,7,FALSE)=0,"",VLOOKUP(AT61,Потребители_обозначение,7,FALSE)),"")))</f>
        <v>3</v>
      </c>
      <c r="BK61">
        <f>IF(W61&lt;&gt;"",W61,IF(D61="","",IFERROR(IF(VLOOKUP(AT61,Потребители_обозначение,10,FALSE)=0,"",VLOOKUP(AT61,Потребители_обозначение,10,FALSE)),"")))</f>
        <v>1.5</v>
      </c>
      <c r="BL61">
        <f>IFERROR(VLOOKUP(AT61,Потребители_обозначение,5,FALSE),0)</f>
        <v>1</v>
      </c>
      <c r="BM61" cm="1">
        <f t="array" ref="BM61">IF(D61="","",IF(BA61&lt;&gt;"",IFERROR(_xlfn.XLOOKUP(BA61,Щиты[Щит],Щиты[cos φ]),0.95),IF(ISNUMBER(M61),M61,IFERROR(IF(BL61=2,_xlfn.IFS(BH61=3,VLOOKUP(BF61,Справочная_двигатели,8,FALSE),BH61=1,VLOOKUP(BF61,Справочная_двигатели,10,TRUE)),IF(AND(Методика="нормы 2026",CN61="Сил"),0.8,0.95)),0.95))))</f>
        <v>0.95</v>
      </c>
      <c r="BN61" cm="1">
        <f t="array" ref="BN61">IF(D61="","",IF(BA61&lt;&gt;"",IFERROR(_xlfn.XLOOKUP(BA61,Щиты[Щит],Щиты[Iр, А]),""),IFERROR(_xlfn.IFS(BH61=1,BF61/((Uн_лин/SQRT(3))*BM61),BH61=3,BF61/(SQRT(3)*Uн_лин*BM61)),"")))</f>
        <v>1.230667679062097</v>
      </c>
      <c r="BO61">
        <f>IF(D61="","",IF(N(X61)=0,IFERROR(VLOOKUP(BN61,Автомат_номиналы,2,TRUE),""),X61))</f>
        <v>10</v>
      </c>
      <c r="BP61">
        <f t="shared" si="9"/>
        <v>1</v>
      </c>
      <c r="BQ61">
        <f>IF(ISNUMBER(Y61),Y61,К_прокл)</f>
        <v>1</v>
      </c>
      <c r="BR61">
        <f t="shared" si="10"/>
        <v>2</v>
      </c>
      <c r="BS61" cm="1">
        <f t="array" ref="BS61">IF(D61="","",IF(N(BK61)&lt;&gt;0,BK61,IFERROR(_xlfn.LET(_xlpm.need,BO61/(BP61*BQ61),_xlpm.t,CHOOSE(BR61,Iдоп_1ж,Iдоп_2ж,Iдоп_3ж),_xlpm.k,_xlfn.XMATCH(_xlpm.need,_xlpm.t,1),IF(ISNA(_xlpm.k),"Не исп",INDEX(Iдоп_S,_xlpm.k))),"Не исп")))</f>
        <v>1.5</v>
      </c>
      <c r="BT61">
        <f>IFERROR(VLOOKUP(BS61,Кабель_сопротивление,3,FALSE),"")</f>
        <v>2.2499999999999999E-2</v>
      </c>
      <c r="BU61">
        <f>IFERROR(VLOOKUP(BS61,Кабель_сопротивление,2,FALSE),"")</f>
        <v>0.11</v>
      </c>
      <c r="BV61">
        <f t="shared" si="11"/>
        <v>11</v>
      </c>
      <c r="BW61">
        <f>IF(D61="","",IFERROR(IF(VLOOKUP(AT61,Потребители_обозначение,4,FALSE)=1,VLOOKUP(AT61,Потребители_обозначение,3,FALSE)*(H61*2-1)+BV61+VLOOKUP(AV61,Этаж_обозначение,3,FALSE)+VLOOKUP(AV61,Этаж_обозначение,4,FALSE),VLOOKUP(AT61,Потребители_обозначение,3,FALSE)*(H61*2-1)+BV61),BV61))</f>
        <v>15</v>
      </c>
      <c r="BX61">
        <f t="shared" si="12"/>
        <v>15</v>
      </c>
      <c r="BY61">
        <f t="shared" si="13"/>
        <v>0</v>
      </c>
      <c r="BZ61">
        <f t="shared" si="14"/>
        <v>2</v>
      </c>
      <c r="CA61">
        <f t="shared" si="15"/>
        <v>0.31</v>
      </c>
      <c r="CB61">
        <f t="shared" si="16"/>
        <v>0.52736940583472691</v>
      </c>
      <c r="CC61">
        <f>IFERROR(ROUNDUP(CB61/((Uн_лин/SQRT(3))*1000)*100,2),"")</f>
        <v>0.23</v>
      </c>
      <c r="CD61">
        <f>IF(ISNUMBER(CC61),CC61+IFERROR(_xlfn.XLOOKUP(A61,Щиты[Щит],Щиты[ΔU до шин, %]),0),"")</f>
        <v>0.73</v>
      </c>
      <c r="CE61">
        <f>IF(D61="","",IF(IFERROR(VLOOKUP(AT61,УГО_спр,2,FALSE),"")="Светильник",3,4)+IF(Методика="нормы 2026",MIN(0.5,MAX(0,N(BW61)-100)*0.005),0))</f>
        <v>4</v>
      </c>
      <c r="CF61" t="str">
        <f>IFERROR(VLOOKUP(BI61,Кабель_обозначение,2,FALSE),"")</f>
        <v>ВВГнг(А)-LS</v>
      </c>
      <c r="CG61" t="str">
        <f>IFERROR(IF(VLOOKUP(BI61,Кабель_обозначение,3,FALSE)=1,CF61&amp;" ("&amp;BJ61&amp;"х"&amp;BS61&amp;")",CF61),"")</f>
        <v>ВВГнг(А)-LS (3х1,5)</v>
      </c>
      <c r="CH61" t="str">
        <f t="shared" si="17"/>
        <v>ВВГнг(А)-LS (3х1,5)
L=15-0,23%</v>
      </c>
      <c r="CI61">
        <f>IFERROR(2*ρкз_Cu*BW61/BS61,"")</f>
        <v>0.52600000000000002</v>
      </c>
      <c r="CJ61">
        <f t="shared" si="18"/>
        <v>0.17500000000000002</v>
      </c>
      <c r="CK61" t="str">
        <f>IFERROR(IF(OR(D61="",NOT(ISNUMBER(BS61)),N(BW61)=0),"",_xlfn.XLOOKUP(A61,Щиты[Щит],Щиты[Zпетли на шинах, Ом])+CI61),"")</f>
        <v/>
      </c>
      <c r="CL61" t="str">
        <f>IF(ISNUMBER(CK61),c_min*(Uн_лин*1000/SQRT(3))/CK61,"")</f>
        <v/>
      </c>
      <c r="CM61" t="str">
        <f>IFERROR(IF(OR(D61="",NOT(ISNUMBER(BS61))),"",1.05*(Uн_лин*1000/SQRT(3))/(_xlfn.XLOOKUP(A61,Щиты[Щит],Щиты[Zmax на шинах, Ом])+CJ61)/1000),"")</f>
        <v/>
      </c>
      <c r="CN61" t="str">
        <f>IF(D61="","",IF(BA61&lt;&gt;"","Щит",IF(K61&lt;&gt;"",K61,IF(ISNUMBER(L61),"Сил",IF(IFERROR(_xlfn.XLOOKUP(AT61,Коды_код,Коды_группа)&amp;"","")="","Быт",_xlfn.XLOOKUP(AT61,Коды_код,Коды_группа)&amp;"")))))</f>
        <v>Сил</v>
      </c>
      <c r="CO61">
        <f>IF(CN61="Щит","щит",IF(CN61="","",IF(CN61="Быт",IFERROR(_xlfn.XLOOKUP(A61,Щиты[Щит],Щиты[Кс быт]),1),IF(CN61="Сил",IF(ISNUMBER(L61),L61,IF(Методика="нормы 2026",IFERROR(_xlfn.XLOOKUP(A61,Щиты[Щит],Щиты[Кс силовых (табл. 7.5)]),1),1)),IF(OR(CN61="Пост",CN61="Отоп"),1,IF(CN61="ВНГ",0.7,0))))))</f>
        <v>0.5</v>
      </c>
      <c r="CP61">
        <f t="shared" si="19"/>
        <v>1</v>
      </c>
      <c r="CQ61">
        <f t="shared" si="20"/>
        <v>0.27</v>
      </c>
      <c r="CR61">
        <f t="shared" si="21"/>
        <v>0</v>
      </c>
      <c r="CS61">
        <f t="shared" si="22"/>
        <v>0.13500000000000001</v>
      </c>
      <c r="CT61">
        <f t="shared" si="23"/>
        <v>0</v>
      </c>
      <c r="CU61">
        <f t="shared" si="24"/>
        <v>0</v>
      </c>
      <c r="CV61">
        <f t="shared" si="25"/>
        <v>0</v>
      </c>
      <c r="CW61">
        <f t="shared" si="26"/>
        <v>0.27</v>
      </c>
      <c r="CX61">
        <f t="shared" si="27"/>
        <v>0.25650000000000001</v>
      </c>
      <c r="CY61">
        <f t="shared" si="28"/>
        <v>2</v>
      </c>
      <c r="CZ61" t="str">
        <f t="shared" si="29"/>
        <v>L2</v>
      </c>
      <c r="DA61" cm="1">
        <f t="array" ref="DA61">IFERROR(IF(BL61=2,_xlfn.IFS(BH61=3,VLOOKUP(BF61,Справочная_двигатели,3,FALSE),BH61=1,VLOOKUP(BF61,Справочная_двигатели,5,TRUE)),0),0)</f>
        <v>0</v>
      </c>
      <c r="DB61">
        <f>IFERROR(IF(BL61=3,VLOOKUP(BF61,Справочная_ЛЭД,2,TRUE),0),0)</f>
        <v>0</v>
      </c>
      <c r="DC61">
        <f t="shared" si="30"/>
        <v>0</v>
      </c>
      <c r="DD61" t="str">
        <f t="shared" si="31"/>
        <v>L1</v>
      </c>
      <c r="DE61" t="str" cm="1">
        <f t="array" ref="DE61">IF(D61="","",IFERROR(INDEX({"I особая","I","II","III"},MATCH(TRIM(AA61&amp;""),{"I особая","I","II","III"},0)),"III"))</f>
        <v>II</v>
      </c>
      <c r="DF61" t="str">
        <f>IF(D61="","",IF(TRIM(AB61&amp;"")&lt;&gt;"",IF(LOWER(TRIM(AB61&amp;""))="да","да","нет"),IF(IFERROR(_xlfn.XLOOKUP(AT61,Коды_код,Коды_пожарная),"")="да","да","нет")))</f>
        <v>нет</v>
      </c>
      <c r="DG61" t="str">
        <f t="shared" si="32"/>
        <v/>
      </c>
      <c r="DH61" t="str">
        <f t="shared" si="33"/>
        <v>основная</v>
      </c>
      <c r="DI61">
        <f t="shared" si="34"/>
        <v>1</v>
      </c>
      <c r="DJ61" t="str" cm="1">
        <f t="array" ref="DJ61">IF(D61="","",_xlfn.LET(_xlpm.t,IFERROR(_xlfn.XLOOKUP(1,(Шины[Шина]=DH61)*(((Шины[Щит]=A61)+(Шины[Щит]=""))&gt;0),Шины[Тип]),"")&amp;"",IF(_xlpm.t&lt;&gt;"",_xlpm.t,IF(ISNUMBER(SEARCH("ИБП",DH61)),"ИБП",IF(ISNUMBER(SEARCH("ДГУ",DH61)),"ДГУ","Ввод "&amp;DI61)))))</f>
        <v>Ввод 1</v>
      </c>
      <c r="DK61" t="str">
        <f t="shared" si="35"/>
        <v>Ввод 1</v>
      </c>
      <c r="DL61" t="str">
        <f>IF(D61="","",IF(OR(DJ61="ИБП",DJ61="ДГУ"),"I особая",IF(DJ61="Одиночная","III",_xlfn.XLOOKUP(A61,Щиты[Щит],Щиты[Категория шины «Ввод»],"III"))))</f>
        <v>II</v>
      </c>
      <c r="DM61">
        <f>IF(D61="",0,IFERROR(MATCH(DE61,{"III","II","I","I особая"},0),1))</f>
        <v>2</v>
      </c>
      <c r="DN61">
        <f t="shared" si="36"/>
        <v>2</v>
      </c>
      <c r="DO61" t="str">
        <f>IF(D61="","",IF(DM61&gt;IFERROR(MATCH(DL61,{"III","II","I","I особая"},0),1),"НЕ ОБЕСПЕЧЕНА","ОК"))</f>
        <v>ОК</v>
      </c>
      <c r="DP61" t="str">
        <f>IF(A61="","",_xlfn.XLOOKUP(A61,Щиты[Щит],Щиты[Путь],""))</f>
        <v>|ГРЩ-ЖД|ЩОВ-001|</v>
      </c>
      <c r="DQ61" t="str">
        <f>IF(D61="","",IF(Z61&lt;&gt;"",Z61,IF(IFERROR(_xlfn.XLOOKUP(AT61,Коды_код,Коды_вид)&amp;"","")="","Прочее",_xlfn.XLOOKUP(AT61,Коды_код,Коды_вид)&amp;"")))</f>
        <v>Вентиляция</v>
      </c>
      <c r="DR61">
        <f>IF(BD61="","",INT((BD61-1)/Столбцов_на_лист)+1)</f>
        <v>2</v>
      </c>
      <c r="DS61" t="str">
        <f t="shared" si="37"/>
        <v>ВВГнг(А)-LS (3х1,5) L=15-0,23%</v>
      </c>
      <c r="DT61">
        <f t="shared" si="38"/>
        <v>0.27</v>
      </c>
      <c r="DU61">
        <f t="shared" si="39"/>
        <v>1.24</v>
      </c>
      <c r="DV61">
        <f t="shared" si="40"/>
        <v>1</v>
      </c>
      <c r="DW61">
        <f>IF(AT61="",0,_xlfn.LET(_xlpm.v,IFERROR(VLOOKUP(D61,УГО_спр,3,FALSE),IFERROR(VLOOKUP(AT61,УГО_спр,3,FALSE),IFERROR(VLOOKUP(LEFT(AT61,2),УГО_спр,3,FALSE),""))),IF(_xlpm.v="да",30,IF(ISNUMBER(_xlpm.v),_xlpm.v,0))))</f>
        <v>0</v>
      </c>
      <c r="DX61">
        <f t="shared" si="41"/>
        <v>0</v>
      </c>
      <c r="DY61">
        <f>IF(BD61="","",IF(AD61&lt;&gt;"",COUNTIFS(A$3:A61,A61,AD$3:AD61,"?*"),IF(OR(OR(AS61=1,A61&lt;&gt;A60),AL61="вручную"),"",IF(AS61=1,"",DZ60))))</f>
        <v>8</v>
      </c>
      <c r="DZ61">
        <f t="shared" si="42"/>
        <v>8</v>
      </c>
      <c r="EA61">
        <f>IF(D61="",0,MAX(IFERROR(--X61,0),IFERROR(--VLOOKUP(D61,УГО_спр,4,FALSE),IFERROR(--VLOOKUP(AT61,УГО_спр,4,FALSE),IFERROR(--VLOOKUP(LEFT(AT61,2),УГО_спр,4,FALSE),0)))))</f>
        <v>10</v>
      </c>
      <c r="EB61">
        <f>IF(D61="","",IFERROR(LOOKUP(INDEX(CHOOSE(BR61,Iдоп_1ж,Iдоп_2ж,Iдоп_3ж),MATCH(BS61,Iдоп_S,0))*BP61*BQ61,{6,10,16,20,25,32,40,50,63,80,100,125,160,200,250,315,400,500,630}),""))</f>
        <v>16</v>
      </c>
      <c r="EC61">
        <f>IF(AD61="","",SUMIFS(Линии[_Ток схемы],Линии[_гр.],DY61,Линии[Щит],A61,Линии[_в кабель выше],0))</f>
        <v>1.24</v>
      </c>
      <c r="ED61">
        <f>IF(AD61="","",IFERROR(VLOOKUP(EC61,Автомат_номиналы,2,TRUE),""))</f>
        <v>6</v>
      </c>
      <c r="EE61">
        <f>IF(AD61="","",MAX(N(ED61),_xlfn.MAXIFS(Линии[_мин. по типу],Линии[_гр.],DY61,Линии[Щит],A61)))</f>
        <v>10</v>
      </c>
      <c r="EF61">
        <f>IF(AD61="","",_xlfn.MINIFS(Линии[_макс. автомат по кабелю],Линии[_гр.],DY61,Линии[Щит],A61))</f>
        <v>16</v>
      </c>
      <c r="EG61">
        <f>IF(AD61="","",MAX(1,_xlfn.MAXIFS(Линии[_фаз],Линии[_гр.],DY61,Линии[Щит],A61)))</f>
        <v>1</v>
      </c>
      <c r="EH61">
        <f>IF(AD61="","",IF(AND(AD61&lt;&gt;"авто",AD61&lt;&gt;"+"),IF(ISNUMBER(SEARCH("мА",AD61)),IFERROR(--TRIM(RIGHT(SUBSTITUTE(LEFT(AD61,SEARCH("мА",AD61)-1)," ",REPT(" ",9)),6)),30),0),IF(AE61="нет",0,IF(ISNUMBER(AE61),AE61,IF(AE61="да",30,_xlfn.MINIFS(Линии[_дифзащита по коду, мА],Линии[_гр.],DY61,Линии[Щит],A61,Линии[_дифзащита по коду, мА],"&gt;0"))))))</f>
        <v>0</v>
      </c>
      <c r="EI61">
        <f t="shared" si="43"/>
        <v>0</v>
      </c>
      <c r="EJ61" t="str">
        <f t="shared" si="44"/>
        <v>QF8</v>
      </c>
      <c r="EK61" t="str">
        <f t="shared" si="45"/>
        <v>QF8</v>
      </c>
      <c r="EL61" t="str">
        <f t="shared" si="46"/>
        <v/>
      </c>
      <c r="EM61">
        <f t="shared" si="47"/>
        <v>0</v>
      </c>
      <c r="EN61">
        <f>IF(AD61="","",IF(EM61=1,MAX(EE61,Мин_автомат_БП),EE61))</f>
        <v>10</v>
      </c>
      <c r="EO61" t="str">
        <f t="shared" si="48"/>
        <v>1P</v>
      </c>
      <c r="EP61" t="str">
        <f t="shared" si="49"/>
        <v>1P С10А</v>
      </c>
      <c r="EQ61">
        <f t="shared" si="50"/>
        <v>10</v>
      </c>
      <c r="ER61" t="str">
        <f>IF(OR(AI61="",AI61="-"),"",IFERROR(VLOOKUP(AI61,Модули_спр,2,FALSE),"R"))</f>
        <v/>
      </c>
      <c r="ES61" t="str">
        <f>IF(ER61="","",ER61&amp;"."&amp;COUNTIFS(A$3:A61,A61,ER$3:ER61,ER61))</f>
        <v/>
      </c>
      <c r="ET61" t="str">
        <f t="shared" si="51"/>
        <v/>
      </c>
      <c r="EU61" t="str">
        <f t="shared" si="52"/>
        <v/>
      </c>
      <c r="EV61" t="str">
        <f t="shared" si="53"/>
        <v/>
      </c>
      <c r="EW61" t="str">
        <f t="shared" si="54"/>
        <v/>
      </c>
      <c r="EX61">
        <f t="shared" si="55"/>
        <v>1</v>
      </c>
      <c r="EY61" t="str">
        <f>IF(AK61="нет","",IF(AK61&lt;&gt;"",AK61,IF(EX61=1,"XT"&amp;COUNTIFS(A$3:A61,A61,EX$3:EX61,1),"")))</f>
        <v/>
      </c>
      <c r="EZ61" t="str">
        <f t="shared" si="56"/>
        <v>QF8</v>
      </c>
      <c r="FA61" t="str">
        <f t="shared" si="57"/>
        <v/>
      </c>
      <c r="FB61" t="str">
        <f t="shared" si="58"/>
        <v>ok</v>
      </c>
      <c r="FC61" t="str">
        <f>IF(OR(EV61="",ET61=""),"",IF(EV61&gt;IFERROR(VLOOKUP(EU61,Модули_спр,3,FALSE),99),"ЛИШНИЙ КАНАЛ",IF(AND(AJ61&lt;&gt;"=",COUNTIFS(Линии[_модуль гр.],ET61,Линии[Канал (итог)],EV61,Линии[Канал],"&lt;&gt;=",Линии[Щит],A61)&gt;1),"ДУБЛЬ КАНАЛА","")))</f>
        <v/>
      </c>
      <c r="FD61">
        <f t="shared" si="59"/>
        <v>10</v>
      </c>
      <c r="FE61" t="str">
        <f t="shared" si="60"/>
        <v>1P С10А</v>
      </c>
      <c r="FF61">
        <f t="shared" si="61"/>
        <v>0</v>
      </c>
      <c r="FG61">
        <f t="shared" si="62"/>
        <v>0</v>
      </c>
      <c r="FH61" t="str">
        <f t="shared" si="63"/>
        <v/>
      </c>
      <c r="FI61">
        <f t="shared" si="64"/>
        <v>10</v>
      </c>
      <c r="FJ61" t="str">
        <f t="shared" si="65"/>
        <v/>
      </c>
      <c r="FK61" t="str">
        <f>IF(AND(D61="",EZ61=""),"",_xlfn.TEXTJOIN("; ",TRUE,IF(AND(D61&lt;&gt;"",DD61=""),"нет фазы",""),IF(AND(D61&lt;&gt;"",N(DT61)=0,CN61&lt;&gt;"Нет"),"нет мощности",""),IF(AND(EY61&lt;&gt;"",COUNTIFS(Линии[Щит],A61,Линии[Клемма (итог)],EY61)&gt;1),"дубль клеммы "&amp;EY61,""),IF(AND(FB61&lt;&gt;"",FB61&lt;&gt;"ok"),FB61,""),IF(FC61&lt;&gt;"",FC61,""),IF(AND(ISNUMBER(SEARCH("(5х",DS61)),N(DV61)=1),"5 жил на 1 фазе",""),IF(AND(AT61="R",AD61&lt;&gt;"",OR(N(EH61)=0,N(EH61)&gt;30)),"розетка без дифзащиты до 30 мА",""),IFERROR(IF(AND(ISNUMBER(CD61),CD61&gt;CE61),"потери "&amp;FIXED(CD61,1)&amp;" % &gt; "&amp;CE61&amp;" %",""),""),IFERROR(IF(LEFT(FJ61,4)="мало","Iкз мало — отключение &gt; 0,4 с",""),""),IF(AND(D61&lt;&gt;"",BD61=""),"не на схеме","")))</f>
        <v/>
      </c>
      <c r="FL61">
        <f>IF(AD61="","",_xlfn.LET(_xlpm.t,IFERROR(_xlfn.XLOOKUP(EP61,Каталог!$U$4:$U$500,Каталог!$G$4:$G$500),""),_xlpm.k,SEARCH("кА",_xlpm.t),IFERROR(--TRIM(RIGHT(SUBSTITUTE(MID(_xlpm.t,MAX(1,_xlpm.k-4),_xlpm.k-MAX(1,_xlpm.k-4))," ",REPT(" ",9)),5)),"")))</f>
        <v>6</v>
      </c>
      <c r="FM61" t="str">
        <f>IF(OR(FL61="",AD61=""),"",IF(_xlfn.XLOOKUP(A61,Щиты[Щит],Щиты[Iкз max на шинах, кА],"")="","",IF(FL61&lt;_xlfn.XLOOKUP(A61,Щиты[Щит],Щиты[Iкз max на шинах, кА]),"Icu "&amp;FL61&amp;" кА &lt; Iкз max","ok")))</f>
        <v/>
      </c>
      <c r="FN61" t="str">
        <f t="shared" si="66"/>
        <v>QF8</v>
      </c>
      <c r="FO61" t="str">
        <f t="shared" si="67"/>
        <v>QF8|кабель ВВГнг(А)-LS (3х1,5) → Приточная установка Пом №006Т</v>
      </c>
      <c r="FP61" t="str" cm="1">
        <f t="array" ref="FP61">IF(FO61="","",_xlfn.LET(_xlpm.nd,_xlfn.TEXTSPLIT(FO61,"|"),IF(COLUMNS(_xlpm.nd)&gt;1,A61&amp;"¦"&amp;INDEX(_xlpm.nd,1)&amp;"¦"&amp;INDEX(_xlpm.nd,2),"")))</f>
        <v>ЩОВ-001¦QF8¦кабель ВВГнг(А)-LS (3х1,5) → Приточная установка Пом №006Т</v>
      </c>
      <c r="FQ61" t="str">
        <f t="shared" si="68"/>
        <v>П.1¦Приточная установка Пом №006Т</v>
      </c>
      <c r="FR61" t="str" cm="1">
        <f t="array" ref="FR61">IF(FO61="","",_xlfn.LET(_xlpm.nd,_xlfn.TEXTSPLIT(FO61,"|"),IF(COLUMNS(_xlpm.nd)&gt;2,A61&amp;"¦"&amp;INDEX(_xlpm.nd,2)&amp;"¦"&amp;INDEX(_xlpm.nd,3),"")))</f>
        <v/>
      </c>
      <c r="FS61" t="str">
        <f t="shared" si="69"/>
        <v/>
      </c>
      <c r="FT61" t="str" cm="1">
        <f t="array" ref="FT61">IF(FO61="","",_xlfn.LET(_xlpm.nd,_xlfn.TEXTSPLIT(FO61,"|"),IF(COLUMNS(_xlpm.nd)&gt;3,A61&amp;"¦"&amp;INDEX(_xlpm.nd,3)&amp;"¦"&amp;INDEX(_xlpm.nd,4),"")))</f>
        <v/>
      </c>
      <c r="FU61" t="str">
        <f t="shared" si="70"/>
        <v/>
      </c>
      <c r="FV61" t="str" cm="1">
        <f t="array" ref="FV61">IF(FO61="","",_xlfn.LET(_xlpm.nd,_xlfn.TEXTSPLIT(FO61,"|"),IF(COLUMNS(_xlpm.nd)&gt;4,A61&amp;"¦"&amp;INDEX(_xlpm.nd,4)&amp;"¦"&amp;INDEX(_xlpm.nd,5),"")))</f>
        <v/>
      </c>
      <c r="FW61" t="str">
        <f t="shared" si="71"/>
        <v/>
      </c>
      <c r="FX61" t="str" cm="1">
        <f t="array" ref="FX61">IF(FO61="","",_xlfn.LET(_xlpm.nd,_xlfn.TEXTSPLIT(FO61,"|"),IF(COLUMNS(_xlpm.nd)&gt;5,A61&amp;"¦"&amp;INDEX(_xlpm.nd,5)&amp;"¦"&amp;INDEX(_xlpm.nd,6),"")))</f>
        <v/>
      </c>
      <c r="FY61" t="str">
        <f t="shared" si="72"/>
        <v/>
      </c>
      <c r="FZ61" t="str" cm="1">
        <f t="array" ref="FZ61">IF(FO61="","",_xlfn.LET(_xlpm.nd,_xlfn.TEXTSPLIT(FO61,"|"),IF(COLUMNS(_xlpm.nd)&gt;6,A61&amp;"¦"&amp;INDEX(_xlpm.nd,6)&amp;"¦"&amp;INDEX(_xlpm.nd,7),"")))</f>
        <v/>
      </c>
      <c r="GA61" t="str">
        <f t="shared" si="73"/>
        <v/>
      </c>
      <c r="GB61" t="str">
        <f t="shared" si="74"/>
        <v/>
      </c>
      <c r="GC61" t="str">
        <f t="shared" si="75"/>
        <v>QF8</v>
      </c>
      <c r="GD61">
        <f t="shared" si="76"/>
        <v>1</v>
      </c>
      <c r="GE61">
        <f t="shared" si="77"/>
        <v>0</v>
      </c>
      <c r="GF61">
        <f t="shared" si="78"/>
        <v>0</v>
      </c>
      <c r="GG61" t="str">
        <f t="shared" si="79"/>
        <v/>
      </c>
      <c r="GH61" t="str">
        <f t="shared" si="80"/>
        <v/>
      </c>
      <c r="GI61" t="str">
        <f t="shared" si="81"/>
        <v/>
      </c>
      <c r="GJ61" t="str">
        <f t="shared" si="82"/>
        <v/>
      </c>
      <c r="GK61" t="str">
        <f>IF(D61="","",IFERROR(VLOOKUP(D61,УГО_спр,2,FALSE),IFERROR(VLOOKUP(AT61,УГО_спр,2,FALSE),IFERROR(VLOOKUP(LEFT(AT61,2),УГО_спр,2,FALSE),""))))</f>
        <v>Привод (двигатель)</v>
      </c>
      <c r="GL61" t="str">
        <f>IF(D61="","",IF(OR(GK61="",GK61=0),"BOX",IFERROR(IF(VLOOKUP(GK61,УГО_блоки,3,FALSE)&amp;""&lt;&gt;"",VLOOKUP(GK61,УГО_блоки,3,FALSE),VLOOKUP(GK61,УГО_блоки,2,FALSE)),GK61)))</f>
        <v>MOTOR</v>
      </c>
      <c r="GM61">
        <f t="shared" si="83"/>
        <v>1</v>
      </c>
      <c r="GN61" t="str">
        <f>IF(EP61="","",IF(COUNTIF(EP$3:EP61,EP61)=1,MAX(GN$2:GN60)+1,""))</f>
        <v/>
      </c>
      <c r="GO61" t="str">
        <f>IF(AF61="","",IF(COUNTIF(AF$3:AF61,AF61)+COUNTIF(AG$2:AG60,AF61)+COUNTIF(AH$2:AH60,AF61)=1,MAX(GO$2:GQ60)+1,""))</f>
        <v/>
      </c>
      <c r="GP61" t="str">
        <f>IF(AG61="","",IF(COUNTIF(AF$3:AF61,AG61)+COUNTIF(AG$3:AG61,AG61)+COUNTIF(AH$2:AH60,AG61)=1,MAX(GO$2:GQ60,GO61)+1,""))</f>
        <v/>
      </c>
      <c r="GQ61" t="str">
        <f>IF(AH61="","",IF(COUNTIF(AF$3:AF61,AH61)+COUNTIF(AG$3:AG61,AH61)+COUNTIF(AH$3:AH61,AH61)=1,MAX(GO$2:GQ60,GO61,GP61)+1,""))</f>
        <v/>
      </c>
      <c r="GR61" t="str">
        <f t="shared" si="84"/>
        <v>3х1,5</v>
      </c>
      <c r="GS61" t="str">
        <f>IF(GR61="","",IF(COUNTIF(GR$3:GR61,GR61)=1,MAX(GS$2:GS60)+1,""))</f>
        <v/>
      </c>
      <c r="GT61" t="str">
        <f>IF(ES61="","",COUNTIF(ES$3:ES61,"?*"))</f>
        <v/>
      </c>
      <c r="GU61" t="str">
        <f>IF(OR(ES61="",EU61=""),"",IF(COUNTIFS(ES$3:ES61,"?*",EU$3:EU61,EU61)=1,MAX(GU$2:GU60)+1,""))</f>
        <v/>
      </c>
      <c r="GV61">
        <f t="shared" si="85"/>
        <v>0</v>
      </c>
      <c r="GW61">
        <f>IF(D61="","",COUNTIF(D$3:D61,"?*"))</f>
        <v>59</v>
      </c>
      <c r="GX61">
        <f>IF(EX61&lt;&gt;1,0,_xlfn.LET(_xlpm.k,MAX(IFERROR(--VLOOKUP(D61,УГО_спр,5,FALSE),0),IFERROR(--VLOOKUP(AT61,УГО_спр,5,FALSE),0),IFERROR(--VLOOKUP(LEFT(AT61,2),УГО_спр,5,FALSE),0)),IF(_xlpm.k&gt;0,_xlpm.k,IF(IFERROR(--LEFT(SUBSTITUTE(GR61,"x","х"),FIND("х",SUBSTITUTE(GR61,"x","х"))-1),3)&gt;3,Каталог!$S$9,1))))</f>
        <v>1</v>
      </c>
      <c r="GY61">
        <f t="shared" si="86"/>
        <v>0</v>
      </c>
    </row>
    <row r="62" spans="1:207" x14ac:dyDescent="0.3">
      <c r="A62" t="s">
        <v>752</v>
      </c>
      <c r="B62">
        <v>24</v>
      </c>
      <c r="C62" t="str">
        <f>IF(BD62="","",IF(BE62="вводной узел","узел ","")&amp;"л."&amp;(INT((BD62-1)/Столбцов_на_лист)+1)&amp;" / "&amp;(MOD(BD62-1,Столбцов_на_лист)+1))</f>
        <v>л.2 / 7</v>
      </c>
      <c r="D62" t="s">
        <v>1337</v>
      </c>
      <c r="E62" s="133" t="s">
        <v>1336</v>
      </c>
      <c r="G62">
        <v>0.12</v>
      </c>
      <c r="H62">
        <v>1</v>
      </c>
      <c r="I62">
        <v>1</v>
      </c>
      <c r="J62">
        <v>230</v>
      </c>
      <c r="K62" t="s">
        <v>602</v>
      </c>
      <c r="L62">
        <v>0.5</v>
      </c>
      <c r="O62">
        <v>2</v>
      </c>
      <c r="P62">
        <v>22</v>
      </c>
      <c r="R62">
        <v>26</v>
      </c>
      <c r="T62">
        <v>1</v>
      </c>
      <c r="U62" t="s">
        <v>11</v>
      </c>
      <c r="V62">
        <v>3</v>
      </c>
      <c r="W62">
        <v>1.5</v>
      </c>
      <c r="X62">
        <v>10</v>
      </c>
      <c r="Z62" t="s">
        <v>584</v>
      </c>
      <c r="AA62" t="s">
        <v>818</v>
      </c>
      <c r="AD62" t="s">
        <v>517</v>
      </c>
      <c r="AK62" t="s">
        <v>488</v>
      </c>
      <c r="AR62" t="str">
        <f t="shared" si="0"/>
        <v/>
      </c>
      <c r="AS62" cm="1">
        <f t="array" ref="AS62">ROW()-ROW(Линии[#Headers])</f>
        <v>60</v>
      </c>
      <c r="AT62" t="str">
        <f t="shared" si="1"/>
        <v>П</v>
      </c>
      <c r="AU62" t="str">
        <f t="shared" si="2"/>
        <v>2</v>
      </c>
      <c r="AV62" t="str">
        <f t="shared" si="3"/>
        <v>2</v>
      </c>
      <c r="AW62" t="str">
        <f t="shared" si="4"/>
        <v/>
      </c>
      <c r="AX62" t="str">
        <f t="shared" si="5"/>
        <v/>
      </c>
      <c r="AY62" t="str">
        <f>IF(D62="","",IF(ISERROR(SEARCH(".",D62)),IFERROR(VLOOKUP(D62,Потребители_обозначение,2,FALSE)&amp;"",""),IFERROR(IF(VLOOKUP(AT62,Потребители_обозначение,4,FALSE)=1,VLOOKUP(AT62,Потребители_обозначение,2,FALSE)&amp;" "&amp;VLOOKUP(AV62,Этаж_обозначение,2,FALSE)&amp;" Пом. №"&amp;AX62,VLOOKUP(AT62,Потребители_обозначение,2,FALSE)&amp;" Шлейф №"&amp;AV62),IFERROR(VLOOKUP(D62,Потребители_обозначение,2,FALSE),""))))</f>
        <v>Приточная установка Шлейф №2</v>
      </c>
      <c r="AZ62" t="str">
        <f t="shared" si="6"/>
        <v>Приточная установка Пом №006Т</v>
      </c>
      <c r="BA62" t="str">
        <f>IF(F62&lt;&gt;"",F62,IF(AND(D62&lt;&gt;"",D62&lt;&gt;A62,ISNUMBER(_xlfn.XMATCH(D62,Щиты[Щит]))),D62,""))</f>
        <v/>
      </c>
      <c r="BB62">
        <f>IFERROR(_xlfn.XMATCH(A62,Щиты[Щит]),0)</f>
        <v>4</v>
      </c>
      <c r="BC62">
        <f>IFERROR(N(_xlfn.XLOOKUP(A62,Щиты[Щит],Щиты[Мест под вводной узел])),15)</f>
        <v>13</v>
      </c>
      <c r="BD62">
        <f t="shared" si="7"/>
        <v>24</v>
      </c>
      <c r="BE62" t="str">
        <f t="shared" si="8"/>
        <v>линии</v>
      </c>
      <c r="BF62">
        <f>IF(D62="","",IF(BA62&lt;&gt;"",IFERROR(_xlfn.XLOOKUP(BA62,Щиты[Щит],Щиты[Руст, кВт]),0),N(G62)))</f>
        <v>0.12</v>
      </c>
      <c r="BG62">
        <f>IF(J62&lt;&gt;"",J62,IF(D62="","",IFERROR(IF(VLOOKUP(AT62,Потребители_обозначение,8,FALSE)=0,"",VLOOKUP(AT62,Потребители_обозначение,8,FALSE)),"")))</f>
        <v>230</v>
      </c>
      <c r="BH62">
        <f>IF(I62&lt;&gt;"",I62,IF(D62="","",IFERROR(IF(VLOOKUP(AT62,Потребители_обозначение,9,FALSE)=0,"",VLOOKUP(AT62,Потребители_обозначение,9,FALSE)),"")))</f>
        <v>1</v>
      </c>
      <c r="BI62" t="str">
        <f>IF(U62&lt;&gt;"",U62,IF(D62="","",IFERROR(IF(VLOOKUP(AT62,Потребители_обозначение,6,FALSE)=0,"",VLOOKUP(AT62,Потребители_обозначение,6,FALSE)),"")))</f>
        <v>мс</v>
      </c>
      <c r="BJ62">
        <f>IF(V62&lt;&gt;"",V62,IF(D62="","",IFERROR(IF(VLOOKUP(AT62,Потребители_обозначение,7,FALSE)=0,"",VLOOKUP(AT62,Потребители_обозначение,7,FALSE)),"")))</f>
        <v>3</v>
      </c>
      <c r="BK62">
        <f>IF(W62&lt;&gt;"",W62,IF(D62="","",IFERROR(IF(VLOOKUP(AT62,Потребители_обозначение,10,FALSE)=0,"",VLOOKUP(AT62,Потребители_обозначение,10,FALSE)),"")))</f>
        <v>1.5</v>
      </c>
      <c r="BL62">
        <f>IFERROR(VLOOKUP(AT62,Потребители_обозначение,5,FALSE),0)</f>
        <v>1</v>
      </c>
      <c r="BM62" cm="1">
        <f t="array" ref="BM62">IF(D62="","",IF(BA62&lt;&gt;"",IFERROR(_xlfn.XLOOKUP(BA62,Щиты[Щит],Щиты[cos φ]),0.95),IF(ISNUMBER(M62),M62,IFERROR(IF(BL62=2,_xlfn.IFS(BH62=3,VLOOKUP(BF62,Справочная_двигатели,8,FALSE),BH62=1,VLOOKUP(BF62,Справочная_двигатели,10,TRUE)),IF(AND(Методика="нормы 2026",CN62="Сил"),0.8,0.95)),0.95))))</f>
        <v>0.95</v>
      </c>
      <c r="BN62" cm="1">
        <f t="array" ref="BN62">IF(D62="","",IF(BA62&lt;&gt;"",IFERROR(_xlfn.XLOOKUP(BA62,Щиты[Щит],Щиты[Iр, А]),""),IFERROR(_xlfn.IFS(BH62=1,BF62/((Uн_лин/SQRT(3))*BM62),BH62=3,BF62/(SQRT(3)*Uн_лин*BM62)),"")))</f>
        <v>0.54696341291648753</v>
      </c>
      <c r="BO62">
        <f>IF(D62="","",IF(N(X62)=0,IFERROR(VLOOKUP(BN62,Автомат_номиналы,2,TRUE),""),X62))</f>
        <v>10</v>
      </c>
      <c r="BP62">
        <f t="shared" si="9"/>
        <v>1</v>
      </c>
      <c r="BQ62">
        <f>IF(ISNUMBER(Y62),Y62,К_прокл)</f>
        <v>1</v>
      </c>
      <c r="BR62">
        <f t="shared" si="10"/>
        <v>2</v>
      </c>
      <c r="BS62" cm="1">
        <f t="array" ref="BS62">IF(D62="","",IF(N(BK62)&lt;&gt;0,BK62,IFERROR(_xlfn.LET(_xlpm.need,BO62/(BP62*BQ62),_xlpm.t,CHOOSE(BR62,Iдоп_1ж,Iдоп_2ж,Iдоп_3ж),_xlpm.k,_xlfn.XMATCH(_xlpm.need,_xlpm.t,1),IF(ISNA(_xlpm.k),"Не исп",INDEX(Iдоп_S,_xlpm.k))),"Не исп")))</f>
        <v>1.5</v>
      </c>
      <c r="BT62">
        <f>IFERROR(VLOOKUP(BS62,Кабель_сопротивление,3,FALSE),"")</f>
        <v>2.2499999999999999E-2</v>
      </c>
      <c r="BU62">
        <f>IFERROR(VLOOKUP(BS62,Кабель_сопротивление,2,FALSE),"")</f>
        <v>0.11</v>
      </c>
      <c r="BV62">
        <f t="shared" si="11"/>
        <v>22</v>
      </c>
      <c r="BW62">
        <f>IF(D62="","",IFERROR(IF(VLOOKUP(AT62,Потребители_обозначение,4,FALSE)=1,VLOOKUP(AT62,Потребители_обозначение,3,FALSE)*(H62*2-1)+BV62+VLOOKUP(AV62,Этаж_обозначение,3,FALSE)+VLOOKUP(AV62,Этаж_обозначение,4,FALSE),VLOOKUP(AT62,Потребители_обозначение,3,FALSE)*(H62*2-1)+BV62),BV62))</f>
        <v>26</v>
      </c>
      <c r="BX62">
        <f t="shared" si="12"/>
        <v>26</v>
      </c>
      <c r="BY62">
        <f t="shared" si="13"/>
        <v>0</v>
      </c>
      <c r="BZ62">
        <f t="shared" si="14"/>
        <v>2</v>
      </c>
      <c r="CA62">
        <f t="shared" si="15"/>
        <v>0.31</v>
      </c>
      <c r="CB62">
        <f t="shared" si="16"/>
        <v>0.40626976449490071</v>
      </c>
      <c r="CC62">
        <f>IFERROR(ROUNDUP(CB62/((Uн_лин/SQRT(3))*1000)*100,2),"")</f>
        <v>0.18000000000000002</v>
      </c>
      <c r="CD62">
        <f>IF(ISNUMBER(CC62),CC62+IFERROR(_xlfn.XLOOKUP(A62,Щиты[Щит],Щиты[ΔU до шин, %]),0),"")</f>
        <v>0.68</v>
      </c>
      <c r="CE62">
        <f>IF(D62="","",IF(IFERROR(VLOOKUP(AT62,УГО_спр,2,FALSE),"")="Светильник",3,4)+IF(Методика="нормы 2026",MIN(0.5,MAX(0,N(BW62)-100)*0.005),0))</f>
        <v>4</v>
      </c>
      <c r="CF62" t="str">
        <f>IFERROR(VLOOKUP(BI62,Кабель_обозначение,2,FALSE),"")</f>
        <v>ВВГнг(А)-LS</v>
      </c>
      <c r="CG62" t="str">
        <f>IFERROR(IF(VLOOKUP(BI62,Кабель_обозначение,3,FALSE)=1,CF62&amp;" ("&amp;BJ62&amp;"х"&amp;BS62&amp;")",CF62),"")</f>
        <v>ВВГнг(А)-LS (3х1,5)</v>
      </c>
      <c r="CH62" t="str">
        <f t="shared" si="17"/>
        <v>ВВГнг(А)-LS (3х1,5)
L=26-0,18%</v>
      </c>
      <c r="CI62">
        <f>IFERROR(2*ρкз_Cu*BW62/BS62,"")</f>
        <v>0.91173333333333328</v>
      </c>
      <c r="CJ62">
        <f t="shared" si="18"/>
        <v>0.3033333333333334</v>
      </c>
      <c r="CK62" t="str">
        <f>IFERROR(IF(OR(D62="",NOT(ISNUMBER(BS62)),N(BW62)=0),"",_xlfn.XLOOKUP(A62,Щиты[Щит],Щиты[Zпетли на шинах, Ом])+CI62),"")</f>
        <v/>
      </c>
      <c r="CL62" t="str">
        <f>IF(ISNUMBER(CK62),c_min*(Uн_лин*1000/SQRT(3))/CK62,"")</f>
        <v/>
      </c>
      <c r="CM62" t="str">
        <f>IFERROR(IF(OR(D62="",NOT(ISNUMBER(BS62))),"",1.05*(Uн_лин*1000/SQRT(3))/(_xlfn.XLOOKUP(A62,Щиты[Щит],Щиты[Zmax на шинах, Ом])+CJ62)/1000),"")</f>
        <v/>
      </c>
      <c r="CN62" t="str">
        <f>IF(D62="","",IF(BA62&lt;&gt;"","Щит",IF(K62&lt;&gt;"",K62,IF(ISNUMBER(L62),"Сил",IF(IFERROR(_xlfn.XLOOKUP(AT62,Коды_код,Коды_группа)&amp;"","")="","Быт",_xlfn.XLOOKUP(AT62,Коды_код,Коды_группа)&amp;"")))))</f>
        <v>Сил</v>
      </c>
      <c r="CO62">
        <f>IF(CN62="Щит","щит",IF(CN62="","",IF(CN62="Быт",IFERROR(_xlfn.XLOOKUP(A62,Щиты[Щит],Щиты[Кс быт]),1),IF(CN62="Сил",IF(ISNUMBER(L62),L62,IF(Методика="нормы 2026",IFERROR(_xlfn.XLOOKUP(A62,Щиты[Щит],Щиты[Кс силовых (табл. 7.5)]),1),1)),IF(OR(CN62="Пост",CN62="Отоп"),1,IF(CN62="ВНГ",0.7,0))))))</f>
        <v>0.5</v>
      </c>
      <c r="CP62">
        <f t="shared" si="19"/>
        <v>1</v>
      </c>
      <c r="CQ62">
        <f t="shared" si="20"/>
        <v>0.12</v>
      </c>
      <c r="CR62">
        <f t="shared" si="21"/>
        <v>0</v>
      </c>
      <c r="CS62">
        <f t="shared" si="22"/>
        <v>0.06</v>
      </c>
      <c r="CT62">
        <f t="shared" si="23"/>
        <v>0</v>
      </c>
      <c r="CU62">
        <f t="shared" si="24"/>
        <v>0</v>
      </c>
      <c r="CV62">
        <f t="shared" si="25"/>
        <v>0</v>
      </c>
      <c r="CW62">
        <f t="shared" si="26"/>
        <v>0.12</v>
      </c>
      <c r="CX62">
        <f t="shared" si="27"/>
        <v>0.11399999999999999</v>
      </c>
      <c r="CY62">
        <f t="shared" si="28"/>
        <v>3</v>
      </c>
      <c r="CZ62" t="str">
        <f t="shared" si="29"/>
        <v>L3</v>
      </c>
      <c r="DA62" cm="1">
        <f t="array" ref="DA62">IFERROR(IF(BL62=2,_xlfn.IFS(BH62=3,VLOOKUP(BF62,Справочная_двигатели,3,FALSE),BH62=1,VLOOKUP(BF62,Справочная_двигатели,5,TRUE)),0),0)</f>
        <v>0</v>
      </c>
      <c r="DB62">
        <f>IFERROR(IF(BL62=3,VLOOKUP(BF62,Справочная_ЛЭД,2,TRUE),0),0)</f>
        <v>0</v>
      </c>
      <c r="DC62">
        <f t="shared" si="30"/>
        <v>0</v>
      </c>
      <c r="DD62" t="str">
        <f t="shared" si="31"/>
        <v>L2</v>
      </c>
      <c r="DE62" t="str" cm="1">
        <f t="array" ref="DE62">IF(D62="","",IFERROR(INDEX({"I особая","I","II","III"},MATCH(TRIM(AA62&amp;""),{"I особая","I","II","III"},0)),"III"))</f>
        <v>II</v>
      </c>
      <c r="DF62" t="str">
        <f>IF(D62="","",IF(TRIM(AB62&amp;"")&lt;&gt;"",IF(LOWER(TRIM(AB62&amp;""))="да","да","нет"),IF(IFERROR(_xlfn.XLOOKUP(AT62,Коды_код,Коды_пожарная),"")="да","да","нет")))</f>
        <v>нет</v>
      </c>
      <c r="DG62" t="str">
        <f t="shared" si="32"/>
        <v/>
      </c>
      <c r="DH62" t="str">
        <f t="shared" si="33"/>
        <v>основная</v>
      </c>
      <c r="DI62">
        <f t="shared" si="34"/>
        <v>1</v>
      </c>
      <c r="DJ62" t="str" cm="1">
        <f t="array" ref="DJ62">IF(D62="","",_xlfn.LET(_xlpm.t,IFERROR(_xlfn.XLOOKUP(1,(Шины[Шина]=DH62)*(((Шины[Щит]=A62)+(Шины[Щит]=""))&gt;0),Шины[Тип]),"")&amp;"",IF(_xlpm.t&lt;&gt;"",_xlpm.t,IF(ISNUMBER(SEARCH("ИБП",DH62)),"ИБП",IF(ISNUMBER(SEARCH("ДГУ",DH62)),"ДГУ","Ввод "&amp;DI62)))))</f>
        <v>Ввод 1</v>
      </c>
      <c r="DK62" t="str">
        <f t="shared" si="35"/>
        <v>Ввод 1</v>
      </c>
      <c r="DL62" t="str">
        <f>IF(D62="","",IF(OR(DJ62="ИБП",DJ62="ДГУ"),"I особая",IF(DJ62="Одиночная","III",_xlfn.XLOOKUP(A62,Щиты[Щит],Щиты[Категория шины «Ввод»],"III"))))</f>
        <v>II</v>
      </c>
      <c r="DM62">
        <f>IF(D62="",0,IFERROR(MATCH(DE62,{"III","II","I","I особая"},0),1))</f>
        <v>2</v>
      </c>
      <c r="DN62">
        <f t="shared" si="36"/>
        <v>2</v>
      </c>
      <c r="DO62" t="str">
        <f>IF(D62="","",IF(DM62&gt;IFERROR(MATCH(DL62,{"III","II","I","I особая"},0),1),"НЕ ОБЕСПЕЧЕНА","ОК"))</f>
        <v>ОК</v>
      </c>
      <c r="DP62" t="str">
        <f>IF(A62="","",_xlfn.XLOOKUP(A62,Щиты[Щит],Щиты[Путь],""))</f>
        <v>|ГРЩ-ЖД|ЩОВ-001|</v>
      </c>
      <c r="DQ62" t="str">
        <f>IF(D62="","",IF(Z62&lt;&gt;"",Z62,IF(IFERROR(_xlfn.XLOOKUP(AT62,Коды_код,Коды_вид)&amp;"","")="","Прочее",_xlfn.XLOOKUP(AT62,Коды_код,Коды_вид)&amp;"")))</f>
        <v>Вентиляция</v>
      </c>
      <c r="DR62">
        <f>IF(BD62="","",INT((BD62-1)/Столбцов_на_лист)+1)</f>
        <v>2</v>
      </c>
      <c r="DS62" t="str">
        <f t="shared" si="37"/>
        <v>ВВГнг(А)-LS (3х1,5) L=26-0,18%</v>
      </c>
      <c r="DT62">
        <f t="shared" si="38"/>
        <v>0.12</v>
      </c>
      <c r="DU62">
        <f t="shared" si="39"/>
        <v>0.55000000000000004</v>
      </c>
      <c r="DV62">
        <f t="shared" si="40"/>
        <v>1</v>
      </c>
      <c r="DW62">
        <f>IF(AT62="",0,_xlfn.LET(_xlpm.v,IFERROR(VLOOKUP(D62,УГО_спр,3,FALSE),IFERROR(VLOOKUP(AT62,УГО_спр,3,FALSE),IFERROR(VLOOKUP(LEFT(AT62,2),УГО_спр,3,FALSE),""))),IF(_xlpm.v="да",30,IF(ISNUMBER(_xlpm.v),_xlpm.v,0))))</f>
        <v>0</v>
      </c>
      <c r="DX62">
        <f t="shared" si="41"/>
        <v>0</v>
      </c>
      <c r="DY62">
        <f>IF(BD62="","",IF(AD62&lt;&gt;"",COUNTIFS(A$3:A62,A62,AD$3:AD62,"?*"),IF(OR(OR(AS62=1,A62&lt;&gt;A61),AL62="вручную"),"",IF(AS62=1,"",DZ61))))</f>
        <v>9</v>
      </c>
      <c r="DZ62">
        <f t="shared" si="42"/>
        <v>9</v>
      </c>
      <c r="EA62">
        <f>IF(D62="",0,MAX(IFERROR(--X62,0),IFERROR(--VLOOKUP(D62,УГО_спр,4,FALSE),IFERROR(--VLOOKUP(AT62,УГО_спр,4,FALSE),IFERROR(--VLOOKUP(LEFT(AT62,2),УГО_спр,4,FALSE),0)))))</f>
        <v>10</v>
      </c>
      <c r="EB62">
        <f>IF(D62="","",IFERROR(LOOKUP(INDEX(CHOOSE(BR62,Iдоп_1ж,Iдоп_2ж,Iдоп_3ж),MATCH(BS62,Iдоп_S,0))*BP62*BQ62,{6,10,16,20,25,32,40,50,63,80,100,125,160,200,250,315,400,500,630}),""))</f>
        <v>16</v>
      </c>
      <c r="EC62">
        <f>IF(AD62="","",SUMIFS(Линии[_Ток схемы],Линии[_гр.],DY62,Линии[Щит],A62,Линии[_в кабель выше],0))</f>
        <v>0.55000000000000004</v>
      </c>
      <c r="ED62">
        <f>IF(AD62="","",IFERROR(VLOOKUP(EC62,Автомат_номиналы,2,TRUE),""))</f>
        <v>6</v>
      </c>
      <c r="EE62">
        <f>IF(AD62="","",MAX(N(ED62),_xlfn.MAXIFS(Линии[_мин. по типу],Линии[_гр.],DY62,Линии[Щит],A62)))</f>
        <v>10</v>
      </c>
      <c r="EF62">
        <f>IF(AD62="","",_xlfn.MINIFS(Линии[_макс. автомат по кабелю],Линии[_гр.],DY62,Линии[Щит],A62))</f>
        <v>16</v>
      </c>
      <c r="EG62">
        <f>IF(AD62="","",MAX(1,_xlfn.MAXIFS(Линии[_фаз],Линии[_гр.],DY62,Линии[Щит],A62)))</f>
        <v>1</v>
      </c>
      <c r="EH62">
        <f>IF(AD62="","",IF(AND(AD62&lt;&gt;"авто",AD62&lt;&gt;"+"),IF(ISNUMBER(SEARCH("мА",AD62)),IFERROR(--TRIM(RIGHT(SUBSTITUTE(LEFT(AD62,SEARCH("мА",AD62)-1)," ",REPT(" ",9)),6)),30),0),IF(AE62="нет",0,IF(ISNUMBER(AE62),AE62,IF(AE62="да",30,_xlfn.MINIFS(Линии[_дифзащита по коду, мА],Линии[_гр.],DY62,Линии[Щит],A62,Линии[_дифзащита по коду, мА],"&gt;0"))))))</f>
        <v>0</v>
      </c>
      <c r="EI62">
        <f t="shared" si="43"/>
        <v>0</v>
      </c>
      <c r="EJ62" t="str">
        <f t="shared" si="44"/>
        <v>QF9</v>
      </c>
      <c r="EK62" t="str">
        <f t="shared" si="45"/>
        <v>QF9</v>
      </c>
      <c r="EL62" t="str">
        <f t="shared" si="46"/>
        <v/>
      </c>
      <c r="EM62">
        <f t="shared" si="47"/>
        <v>0</v>
      </c>
      <c r="EN62">
        <f>IF(AD62="","",IF(EM62=1,MAX(EE62,Мин_автомат_БП),EE62))</f>
        <v>10</v>
      </c>
      <c r="EO62" t="str">
        <f t="shared" si="48"/>
        <v>1P</v>
      </c>
      <c r="EP62" t="str">
        <f t="shared" si="49"/>
        <v>1P С10А</v>
      </c>
      <c r="EQ62">
        <f t="shared" si="50"/>
        <v>10</v>
      </c>
      <c r="ER62" t="str">
        <f>IF(OR(AI62="",AI62="-"),"",IFERROR(VLOOKUP(AI62,Модули_спр,2,FALSE),"R"))</f>
        <v/>
      </c>
      <c r="ES62" t="str">
        <f>IF(ER62="","",ER62&amp;"."&amp;COUNTIFS(A$3:A62,A62,ER$3:ER62,ER62))</f>
        <v/>
      </c>
      <c r="ET62" t="str">
        <f t="shared" si="51"/>
        <v/>
      </c>
      <c r="EU62" t="str">
        <f t="shared" si="52"/>
        <v/>
      </c>
      <c r="EV62" t="str">
        <f t="shared" si="53"/>
        <v/>
      </c>
      <c r="EW62" t="str">
        <f t="shared" si="54"/>
        <v/>
      </c>
      <c r="EX62">
        <f t="shared" si="55"/>
        <v>1</v>
      </c>
      <c r="EY62" t="str">
        <f>IF(AK62="нет","",IF(AK62&lt;&gt;"",AK62,IF(EX62=1,"XT"&amp;COUNTIFS(A$3:A62,A62,EX$3:EX62,1),"")))</f>
        <v/>
      </c>
      <c r="EZ62" t="str">
        <f t="shared" si="56"/>
        <v>QF9</v>
      </c>
      <c r="FA62" t="str">
        <f t="shared" si="57"/>
        <v/>
      </c>
      <c r="FB62" t="str">
        <f t="shared" si="58"/>
        <v>ok</v>
      </c>
      <c r="FC62" t="str">
        <f>IF(OR(EV62="",ET62=""),"",IF(EV62&gt;IFERROR(VLOOKUP(EU62,Модули_спр,3,FALSE),99),"ЛИШНИЙ КАНАЛ",IF(AND(AJ62&lt;&gt;"=",COUNTIFS(Линии[_модуль гр.],ET62,Линии[Канал (итог)],EV62,Линии[Канал],"&lt;&gt;=",Линии[Щит],A62)&gt;1),"ДУБЛЬ КАНАЛА","")))</f>
        <v/>
      </c>
      <c r="FD62">
        <f t="shared" si="59"/>
        <v>10</v>
      </c>
      <c r="FE62" t="str">
        <f t="shared" si="60"/>
        <v>1P С10А</v>
      </c>
      <c r="FF62">
        <f t="shared" si="61"/>
        <v>0</v>
      </c>
      <c r="FG62">
        <f t="shared" si="62"/>
        <v>0</v>
      </c>
      <c r="FH62" t="str">
        <f t="shared" si="63"/>
        <v/>
      </c>
      <c r="FI62">
        <f t="shared" si="64"/>
        <v>10</v>
      </c>
      <c r="FJ62" t="str">
        <f t="shared" si="65"/>
        <v/>
      </c>
      <c r="FK62" t="str">
        <f>IF(AND(D62="",EZ62=""),"",_xlfn.TEXTJOIN("; ",TRUE,IF(AND(D62&lt;&gt;"",DD62=""),"нет фазы",""),IF(AND(D62&lt;&gt;"",N(DT62)=0,CN62&lt;&gt;"Нет"),"нет мощности",""),IF(AND(EY62&lt;&gt;"",COUNTIFS(Линии[Щит],A62,Линии[Клемма (итог)],EY62)&gt;1),"дубль клеммы "&amp;EY62,""),IF(AND(FB62&lt;&gt;"",FB62&lt;&gt;"ok"),FB62,""),IF(FC62&lt;&gt;"",FC62,""),IF(AND(ISNUMBER(SEARCH("(5х",DS62)),N(DV62)=1),"5 жил на 1 фазе",""),IF(AND(AT62="R",AD62&lt;&gt;"",OR(N(EH62)=0,N(EH62)&gt;30)),"розетка без дифзащиты до 30 мА",""),IFERROR(IF(AND(ISNUMBER(CD62),CD62&gt;CE62),"потери "&amp;FIXED(CD62,1)&amp;" % &gt; "&amp;CE62&amp;" %",""),""),IFERROR(IF(LEFT(FJ62,4)="мало","Iкз мало — отключение &gt; 0,4 с",""),""),IF(AND(D62&lt;&gt;"",BD62=""),"не на схеме","")))</f>
        <v/>
      </c>
      <c r="FL62">
        <f>IF(AD62="","",_xlfn.LET(_xlpm.t,IFERROR(_xlfn.XLOOKUP(EP62,Каталог!$U$4:$U$500,Каталог!$G$4:$G$500),""),_xlpm.k,SEARCH("кА",_xlpm.t),IFERROR(--TRIM(RIGHT(SUBSTITUTE(MID(_xlpm.t,MAX(1,_xlpm.k-4),_xlpm.k-MAX(1,_xlpm.k-4))," ",REPT(" ",9)),5)),"")))</f>
        <v>6</v>
      </c>
      <c r="FM62" t="str">
        <f>IF(OR(FL62="",AD62=""),"",IF(_xlfn.XLOOKUP(A62,Щиты[Щит],Щиты[Iкз max на шинах, кА],"")="","",IF(FL62&lt;_xlfn.XLOOKUP(A62,Щиты[Щит],Щиты[Iкз max на шинах, кА]),"Icu "&amp;FL62&amp;" кА &lt; Iкз max","ok")))</f>
        <v/>
      </c>
      <c r="FN62" t="str">
        <f t="shared" si="66"/>
        <v>QF9</v>
      </c>
      <c r="FO62" t="str">
        <f t="shared" si="67"/>
        <v>QF9|кабель ВВГнг(А)-LS (3х1,5) → Приточная установка Пом №006Т</v>
      </c>
      <c r="FP62" t="str" cm="1">
        <f t="array" ref="FP62">IF(FO62="","",_xlfn.LET(_xlpm.nd,_xlfn.TEXTSPLIT(FO62,"|"),IF(COLUMNS(_xlpm.nd)&gt;1,A62&amp;"¦"&amp;INDEX(_xlpm.nd,1)&amp;"¦"&amp;INDEX(_xlpm.nd,2),"")))</f>
        <v>ЩОВ-001¦QF9¦кабель ВВГнг(А)-LS (3х1,5) → Приточная установка Пом №006Т</v>
      </c>
      <c r="FQ62" t="str">
        <f t="shared" si="68"/>
        <v>П.2¦Приточная установка Пом №006Т</v>
      </c>
      <c r="FR62" t="str" cm="1">
        <f t="array" ref="FR62">IF(FO62="","",_xlfn.LET(_xlpm.nd,_xlfn.TEXTSPLIT(FO62,"|"),IF(COLUMNS(_xlpm.nd)&gt;2,A62&amp;"¦"&amp;INDEX(_xlpm.nd,2)&amp;"¦"&amp;INDEX(_xlpm.nd,3),"")))</f>
        <v/>
      </c>
      <c r="FS62" t="str">
        <f t="shared" si="69"/>
        <v/>
      </c>
      <c r="FT62" t="str" cm="1">
        <f t="array" ref="FT62">IF(FO62="","",_xlfn.LET(_xlpm.nd,_xlfn.TEXTSPLIT(FO62,"|"),IF(COLUMNS(_xlpm.nd)&gt;3,A62&amp;"¦"&amp;INDEX(_xlpm.nd,3)&amp;"¦"&amp;INDEX(_xlpm.nd,4),"")))</f>
        <v/>
      </c>
      <c r="FU62" t="str">
        <f t="shared" si="70"/>
        <v/>
      </c>
      <c r="FV62" t="str" cm="1">
        <f t="array" ref="FV62">IF(FO62="","",_xlfn.LET(_xlpm.nd,_xlfn.TEXTSPLIT(FO62,"|"),IF(COLUMNS(_xlpm.nd)&gt;4,A62&amp;"¦"&amp;INDEX(_xlpm.nd,4)&amp;"¦"&amp;INDEX(_xlpm.nd,5),"")))</f>
        <v/>
      </c>
      <c r="FW62" t="str">
        <f t="shared" si="71"/>
        <v/>
      </c>
      <c r="FX62" t="str" cm="1">
        <f t="array" ref="FX62">IF(FO62="","",_xlfn.LET(_xlpm.nd,_xlfn.TEXTSPLIT(FO62,"|"),IF(COLUMNS(_xlpm.nd)&gt;5,A62&amp;"¦"&amp;INDEX(_xlpm.nd,5)&amp;"¦"&amp;INDEX(_xlpm.nd,6),"")))</f>
        <v/>
      </c>
      <c r="FY62" t="str">
        <f t="shared" si="72"/>
        <v/>
      </c>
      <c r="FZ62" t="str" cm="1">
        <f t="array" ref="FZ62">IF(FO62="","",_xlfn.LET(_xlpm.nd,_xlfn.TEXTSPLIT(FO62,"|"),IF(COLUMNS(_xlpm.nd)&gt;6,A62&amp;"¦"&amp;INDEX(_xlpm.nd,6)&amp;"¦"&amp;INDEX(_xlpm.nd,7),"")))</f>
        <v/>
      </c>
      <c r="GA62" t="str">
        <f t="shared" si="73"/>
        <v/>
      </c>
      <c r="GB62" t="str">
        <f t="shared" si="74"/>
        <v/>
      </c>
      <c r="GC62" t="str">
        <f t="shared" si="75"/>
        <v>QF9</v>
      </c>
      <c r="GD62">
        <f t="shared" si="76"/>
        <v>1</v>
      </c>
      <c r="GE62">
        <f t="shared" si="77"/>
        <v>0</v>
      </c>
      <c r="GF62">
        <f t="shared" si="78"/>
        <v>0</v>
      </c>
      <c r="GG62" t="str">
        <f t="shared" si="79"/>
        <v/>
      </c>
      <c r="GH62" t="str">
        <f t="shared" si="80"/>
        <v/>
      </c>
      <c r="GI62" t="str">
        <f t="shared" si="81"/>
        <v/>
      </c>
      <c r="GJ62" t="str">
        <f t="shared" si="82"/>
        <v/>
      </c>
      <c r="GK62" t="str">
        <f>IF(D62="","",IFERROR(VLOOKUP(D62,УГО_спр,2,FALSE),IFERROR(VLOOKUP(AT62,УГО_спр,2,FALSE),IFERROR(VLOOKUP(LEFT(AT62,2),УГО_спр,2,FALSE),""))))</f>
        <v>Привод (двигатель)</v>
      </c>
      <c r="GL62" t="str">
        <f>IF(D62="","",IF(OR(GK62="",GK62=0),"BOX",IFERROR(IF(VLOOKUP(GK62,УГО_блоки,3,FALSE)&amp;""&lt;&gt;"",VLOOKUP(GK62,УГО_блоки,3,FALSE),VLOOKUP(GK62,УГО_блоки,2,FALSE)),GK62)))</f>
        <v>MOTOR</v>
      </c>
      <c r="GM62">
        <f t="shared" si="83"/>
        <v>1</v>
      </c>
      <c r="GN62" t="str">
        <f>IF(EP62="","",IF(COUNTIF(EP$3:EP62,EP62)=1,MAX(GN$2:GN61)+1,""))</f>
        <v/>
      </c>
      <c r="GO62" t="str">
        <f>IF(AF62="","",IF(COUNTIF(AF$3:AF62,AF62)+COUNTIF(AG$2:AG61,AF62)+COUNTIF(AH$2:AH61,AF62)=1,MAX(GO$2:GQ61)+1,""))</f>
        <v/>
      </c>
      <c r="GP62" t="str">
        <f>IF(AG62="","",IF(COUNTIF(AF$3:AF62,AG62)+COUNTIF(AG$3:AG62,AG62)+COUNTIF(AH$2:AH61,AG62)=1,MAX(GO$2:GQ61,GO62)+1,""))</f>
        <v/>
      </c>
      <c r="GQ62" t="str">
        <f>IF(AH62="","",IF(COUNTIF(AF$3:AF62,AH62)+COUNTIF(AG$3:AG62,AH62)+COUNTIF(AH$3:AH62,AH62)=1,MAX(GO$2:GQ61,GO62,GP62)+1,""))</f>
        <v/>
      </c>
      <c r="GR62" t="str">
        <f t="shared" si="84"/>
        <v>3х1,5</v>
      </c>
      <c r="GS62" t="str">
        <f>IF(GR62="","",IF(COUNTIF(GR$3:GR62,GR62)=1,MAX(GS$2:GS61)+1,""))</f>
        <v/>
      </c>
      <c r="GT62" t="str">
        <f>IF(ES62="","",COUNTIF(ES$3:ES62,"?*"))</f>
        <v/>
      </c>
      <c r="GU62" t="str">
        <f>IF(OR(ES62="",EU62=""),"",IF(COUNTIFS(ES$3:ES62,"?*",EU$3:EU62,EU62)=1,MAX(GU$2:GU61)+1,""))</f>
        <v/>
      </c>
      <c r="GV62">
        <f t="shared" si="85"/>
        <v>0</v>
      </c>
      <c r="GW62">
        <f>IF(D62="","",COUNTIF(D$3:D62,"?*"))</f>
        <v>60</v>
      </c>
      <c r="GX62">
        <f>IF(EX62&lt;&gt;1,0,_xlfn.LET(_xlpm.k,MAX(IFERROR(--VLOOKUP(D62,УГО_спр,5,FALSE),0),IFERROR(--VLOOKUP(AT62,УГО_спр,5,FALSE),0),IFERROR(--VLOOKUP(LEFT(AT62,2),УГО_спр,5,FALSE),0)),IF(_xlpm.k&gt;0,_xlpm.k,IF(IFERROR(--LEFT(SUBSTITUTE(GR62,"x","х"),FIND("х",SUBSTITUTE(GR62,"x","х"))-1),3)&gt;3,Каталог!$S$9,1))))</f>
        <v>1</v>
      </c>
      <c r="GY62">
        <f t="shared" si="86"/>
        <v>0</v>
      </c>
    </row>
    <row r="63" spans="1:207" x14ac:dyDescent="0.3">
      <c r="A63" t="s">
        <v>752</v>
      </c>
      <c r="B63">
        <v>25</v>
      </c>
      <c r="C63" t="str">
        <f>IF(BD63="","",IF(BE63="вводной узел","узел ","")&amp;"л."&amp;(INT((BD63-1)/Столбцов_на_лист)+1)&amp;" / "&amp;(MOD(BD63-1,Столбцов_на_лист)+1))</f>
        <v>л.2 / 8</v>
      </c>
      <c r="D63" t="s">
        <v>1338</v>
      </c>
      <c r="E63" s="133" t="s">
        <v>1336</v>
      </c>
      <c r="G63">
        <v>1</v>
      </c>
      <c r="H63">
        <v>1</v>
      </c>
      <c r="I63">
        <v>1</v>
      </c>
      <c r="J63">
        <v>230</v>
      </c>
      <c r="K63" t="s">
        <v>602</v>
      </c>
      <c r="L63">
        <v>0.5</v>
      </c>
      <c r="O63">
        <v>3</v>
      </c>
      <c r="P63">
        <v>19</v>
      </c>
      <c r="R63">
        <v>23</v>
      </c>
      <c r="T63">
        <v>1</v>
      </c>
      <c r="U63" t="s">
        <v>11</v>
      </c>
      <c r="V63">
        <v>3</v>
      </c>
      <c r="W63">
        <v>1.5</v>
      </c>
      <c r="X63">
        <v>10</v>
      </c>
      <c r="Z63" t="s">
        <v>584</v>
      </c>
      <c r="AA63" t="s">
        <v>818</v>
      </c>
      <c r="AD63" t="s">
        <v>517</v>
      </c>
      <c r="AK63" t="s">
        <v>488</v>
      </c>
      <c r="AR63" t="str">
        <f t="shared" si="0"/>
        <v/>
      </c>
      <c r="AS63" cm="1">
        <f t="array" ref="AS63">ROW()-ROW(Линии[#Headers])</f>
        <v>61</v>
      </c>
      <c r="AT63" t="str">
        <f t="shared" si="1"/>
        <v>П</v>
      </c>
      <c r="AU63" t="str">
        <f t="shared" si="2"/>
        <v>4</v>
      </c>
      <c r="AV63" t="str">
        <f t="shared" si="3"/>
        <v>4</v>
      </c>
      <c r="AW63" t="str">
        <f t="shared" si="4"/>
        <v/>
      </c>
      <c r="AX63" t="str">
        <f t="shared" si="5"/>
        <v/>
      </c>
      <c r="AY63" t="str">
        <f>IF(D63="","",IF(ISERROR(SEARCH(".",D63)),IFERROR(VLOOKUP(D63,Потребители_обозначение,2,FALSE)&amp;"",""),IFERROR(IF(VLOOKUP(AT63,Потребители_обозначение,4,FALSE)=1,VLOOKUP(AT63,Потребители_обозначение,2,FALSE)&amp;" "&amp;VLOOKUP(AV63,Этаж_обозначение,2,FALSE)&amp;" Пом. №"&amp;AX63,VLOOKUP(AT63,Потребители_обозначение,2,FALSE)&amp;" Шлейф №"&amp;AV63),IFERROR(VLOOKUP(D63,Потребители_обозначение,2,FALSE),""))))</f>
        <v>Приточная установка Шлейф №4</v>
      </c>
      <c r="AZ63" t="str">
        <f t="shared" si="6"/>
        <v>Приточная установка Пом №006Т</v>
      </c>
      <c r="BA63" t="str">
        <f>IF(F63&lt;&gt;"",F63,IF(AND(D63&lt;&gt;"",D63&lt;&gt;A63,ISNUMBER(_xlfn.XMATCH(D63,Щиты[Щит]))),D63,""))</f>
        <v/>
      </c>
      <c r="BB63">
        <f>IFERROR(_xlfn.XMATCH(A63,Щиты[Щит]),0)</f>
        <v>4</v>
      </c>
      <c r="BC63">
        <f>IFERROR(N(_xlfn.XLOOKUP(A63,Щиты[Щит],Щиты[Мест под вводной узел])),15)</f>
        <v>13</v>
      </c>
      <c r="BD63">
        <f t="shared" si="7"/>
        <v>25</v>
      </c>
      <c r="BE63" t="str">
        <f t="shared" si="8"/>
        <v>линии</v>
      </c>
      <c r="BF63">
        <f>IF(D63="","",IF(BA63&lt;&gt;"",IFERROR(_xlfn.XLOOKUP(BA63,Щиты[Щит],Щиты[Руст, кВт]),0),N(G63)))</f>
        <v>1</v>
      </c>
      <c r="BG63">
        <f>IF(J63&lt;&gt;"",J63,IF(D63="","",IFERROR(IF(VLOOKUP(AT63,Потребители_обозначение,8,FALSE)=0,"",VLOOKUP(AT63,Потребители_обозначение,8,FALSE)),"")))</f>
        <v>230</v>
      </c>
      <c r="BH63">
        <f>IF(I63&lt;&gt;"",I63,IF(D63="","",IFERROR(IF(VLOOKUP(AT63,Потребители_обозначение,9,FALSE)=0,"",VLOOKUP(AT63,Потребители_обозначение,9,FALSE)),"")))</f>
        <v>1</v>
      </c>
      <c r="BI63" t="str">
        <f>IF(U63&lt;&gt;"",U63,IF(D63="","",IFERROR(IF(VLOOKUP(AT63,Потребители_обозначение,6,FALSE)=0,"",VLOOKUP(AT63,Потребители_обозначение,6,FALSE)),"")))</f>
        <v>мс</v>
      </c>
      <c r="BJ63">
        <f>IF(V63&lt;&gt;"",V63,IF(D63="","",IFERROR(IF(VLOOKUP(AT63,Потребители_обозначение,7,FALSE)=0,"",VLOOKUP(AT63,Потребители_обозначение,7,FALSE)),"")))</f>
        <v>3</v>
      </c>
      <c r="BK63">
        <f>IF(W63&lt;&gt;"",W63,IF(D63="","",IFERROR(IF(VLOOKUP(AT63,Потребители_обозначение,10,FALSE)=0,"",VLOOKUP(AT63,Потребители_обозначение,10,FALSE)),"")))</f>
        <v>1.5</v>
      </c>
      <c r="BL63">
        <f>IFERROR(VLOOKUP(AT63,Потребители_обозначение,5,FALSE),0)</f>
        <v>1</v>
      </c>
      <c r="BM63" cm="1">
        <f t="array" ref="BM63">IF(D63="","",IF(BA63&lt;&gt;"",IFERROR(_xlfn.XLOOKUP(BA63,Щиты[Щит],Щиты[cos φ]),0.95),IF(ISNUMBER(M63),M63,IFERROR(IF(BL63=2,_xlfn.IFS(BH63=3,VLOOKUP(BF63,Справочная_двигатели,8,FALSE),BH63=1,VLOOKUP(BF63,Справочная_двигатели,10,TRUE)),IF(AND(Методика="нормы 2026",CN63="Сил"),0.8,0.95)),0.95))))</f>
        <v>0.95</v>
      </c>
      <c r="BN63" cm="1">
        <f t="array" ref="BN63">IF(D63="","",IF(BA63&lt;&gt;"",IFERROR(_xlfn.XLOOKUP(BA63,Щиты[Щит],Щиты[Iр, А]),""),IFERROR(_xlfn.IFS(BH63=1,BF63/((Uн_лин/SQRT(3))*BM63),BH63=3,BF63/(SQRT(3)*Uн_лин*BM63)),"")))</f>
        <v>4.5580284409707295</v>
      </c>
      <c r="BO63">
        <f>IF(D63="","",IF(N(X63)=0,IFERROR(VLOOKUP(BN63,Автомат_номиналы,2,TRUE),""),X63))</f>
        <v>10</v>
      </c>
      <c r="BP63">
        <f t="shared" si="9"/>
        <v>1</v>
      </c>
      <c r="BQ63">
        <f>IF(ISNUMBER(Y63),Y63,К_прокл)</f>
        <v>1</v>
      </c>
      <c r="BR63">
        <f t="shared" si="10"/>
        <v>2</v>
      </c>
      <c r="BS63" cm="1">
        <f t="array" ref="BS63">IF(D63="","",IF(N(BK63)&lt;&gt;0,BK63,IFERROR(_xlfn.LET(_xlpm.need,BO63/(BP63*BQ63),_xlpm.t,CHOOSE(BR63,Iдоп_1ж,Iдоп_2ж,Iдоп_3ж),_xlpm.k,_xlfn.XMATCH(_xlpm.need,_xlpm.t,1),IF(ISNA(_xlpm.k),"Не исп",INDEX(Iдоп_S,_xlpm.k))),"Не исп")))</f>
        <v>1.5</v>
      </c>
      <c r="BT63">
        <f>IFERROR(VLOOKUP(BS63,Кабель_сопротивление,3,FALSE),"")</f>
        <v>2.2499999999999999E-2</v>
      </c>
      <c r="BU63">
        <f>IFERROR(VLOOKUP(BS63,Кабель_сопротивление,2,FALSE),"")</f>
        <v>0.11</v>
      </c>
      <c r="BV63">
        <f t="shared" si="11"/>
        <v>19</v>
      </c>
      <c r="BW63">
        <f>IF(D63="","",IFERROR(IF(VLOOKUP(AT63,Потребители_обозначение,4,FALSE)=1,VLOOKUP(AT63,Потребители_обозначение,3,FALSE)*(H63*2-1)+BV63+VLOOKUP(AV63,Этаж_обозначение,3,FALSE)+VLOOKUP(AV63,Этаж_обозначение,4,FALSE),VLOOKUP(AT63,Потребители_обозначение,3,FALSE)*(H63*2-1)+BV63),BV63))</f>
        <v>23</v>
      </c>
      <c r="BX63">
        <f t="shared" si="12"/>
        <v>23</v>
      </c>
      <c r="BY63">
        <f t="shared" si="13"/>
        <v>0</v>
      </c>
      <c r="BZ63">
        <f t="shared" si="14"/>
        <v>2</v>
      </c>
      <c r="CA63">
        <f t="shared" si="15"/>
        <v>0.31</v>
      </c>
      <c r="CB63">
        <f t="shared" si="16"/>
        <v>2.9949373664688199</v>
      </c>
      <c r="CC63">
        <f>IFERROR(ROUNDUP(CB63/((Uн_лин/SQRT(3))*1000)*100,2),"")</f>
        <v>1.3</v>
      </c>
      <c r="CD63">
        <f>IF(ISNUMBER(CC63),CC63+IFERROR(_xlfn.XLOOKUP(A63,Щиты[Щит],Щиты[ΔU до шин, %]),0),"")</f>
        <v>1.8</v>
      </c>
      <c r="CE63">
        <f>IF(D63="","",IF(IFERROR(VLOOKUP(AT63,УГО_спр,2,FALSE),"")="Светильник",3,4)+IF(Методика="нормы 2026",MIN(0.5,MAX(0,N(BW63)-100)*0.005),0))</f>
        <v>4</v>
      </c>
      <c r="CF63" t="str">
        <f>IFERROR(VLOOKUP(BI63,Кабель_обозначение,2,FALSE),"")</f>
        <v>ВВГнг(А)-LS</v>
      </c>
      <c r="CG63" t="str">
        <f>IFERROR(IF(VLOOKUP(BI63,Кабель_обозначение,3,FALSE)=1,CF63&amp;" ("&amp;BJ63&amp;"х"&amp;BS63&amp;")",CF63),"")</f>
        <v>ВВГнг(А)-LS (3х1,5)</v>
      </c>
      <c r="CH63" t="str">
        <f t="shared" si="17"/>
        <v>ВВГнг(А)-LS (3х1,5)
L=23-1,3%</v>
      </c>
      <c r="CI63">
        <f>IFERROR(2*ρкз_Cu*BW63/BS63,"")</f>
        <v>0.80653333333333332</v>
      </c>
      <c r="CJ63">
        <f t="shared" si="18"/>
        <v>0.26833333333333337</v>
      </c>
      <c r="CK63" t="str">
        <f>IFERROR(IF(OR(D63="",NOT(ISNUMBER(BS63)),N(BW63)=0),"",_xlfn.XLOOKUP(A63,Щиты[Щит],Щиты[Zпетли на шинах, Ом])+CI63),"")</f>
        <v/>
      </c>
      <c r="CL63" t="str">
        <f>IF(ISNUMBER(CK63),c_min*(Uн_лин*1000/SQRT(3))/CK63,"")</f>
        <v/>
      </c>
      <c r="CM63" t="str">
        <f>IFERROR(IF(OR(D63="",NOT(ISNUMBER(BS63))),"",1.05*(Uн_лин*1000/SQRT(3))/(_xlfn.XLOOKUP(A63,Щиты[Щит],Щиты[Zmax на шинах, Ом])+CJ63)/1000),"")</f>
        <v/>
      </c>
      <c r="CN63" t="str">
        <f>IF(D63="","",IF(BA63&lt;&gt;"","Щит",IF(K63&lt;&gt;"",K63,IF(ISNUMBER(L63),"Сил",IF(IFERROR(_xlfn.XLOOKUP(AT63,Коды_код,Коды_группа)&amp;"","")="","Быт",_xlfn.XLOOKUP(AT63,Коды_код,Коды_группа)&amp;"")))))</f>
        <v>Сил</v>
      </c>
      <c r="CO63">
        <f>IF(CN63="Щит","щит",IF(CN63="","",IF(CN63="Быт",IFERROR(_xlfn.XLOOKUP(A63,Щиты[Щит],Щиты[Кс быт]),1),IF(CN63="Сил",IF(ISNUMBER(L63),L63,IF(Методика="нормы 2026",IFERROR(_xlfn.XLOOKUP(A63,Щиты[Щит],Щиты[Кс силовых (табл. 7.5)]),1),1)),IF(OR(CN63="Пост",CN63="Отоп"),1,IF(CN63="ВНГ",0.7,0))))))</f>
        <v>0.5</v>
      </c>
      <c r="CP63">
        <f t="shared" si="19"/>
        <v>1</v>
      </c>
      <c r="CQ63">
        <f t="shared" si="20"/>
        <v>1</v>
      </c>
      <c r="CR63">
        <f t="shared" si="21"/>
        <v>0</v>
      </c>
      <c r="CS63">
        <f t="shared" si="22"/>
        <v>0.5</v>
      </c>
      <c r="CT63">
        <f t="shared" si="23"/>
        <v>0</v>
      </c>
      <c r="CU63">
        <f t="shared" si="24"/>
        <v>0</v>
      </c>
      <c r="CV63">
        <f t="shared" si="25"/>
        <v>0</v>
      </c>
      <c r="CW63">
        <f t="shared" si="26"/>
        <v>1</v>
      </c>
      <c r="CX63">
        <f t="shared" si="27"/>
        <v>0.95</v>
      </c>
      <c r="CY63">
        <f t="shared" si="28"/>
        <v>1</v>
      </c>
      <c r="CZ63" t="str">
        <f t="shared" si="29"/>
        <v>L1</v>
      </c>
      <c r="DA63" cm="1">
        <f t="array" ref="DA63">IFERROR(IF(BL63=2,_xlfn.IFS(BH63=3,VLOOKUP(BF63,Справочная_двигатели,3,FALSE),BH63=1,VLOOKUP(BF63,Справочная_двигатели,5,TRUE)),0),0)</f>
        <v>0</v>
      </c>
      <c r="DB63">
        <f>IFERROR(IF(BL63=3,VLOOKUP(BF63,Справочная_ЛЭД,2,TRUE),0),0)</f>
        <v>0</v>
      </c>
      <c r="DC63">
        <f t="shared" si="30"/>
        <v>0</v>
      </c>
      <c r="DD63" t="str">
        <f t="shared" si="31"/>
        <v>L3</v>
      </c>
      <c r="DE63" t="str" cm="1">
        <f t="array" ref="DE63">IF(D63="","",IFERROR(INDEX({"I особая","I","II","III"},MATCH(TRIM(AA63&amp;""),{"I особая","I","II","III"},0)),"III"))</f>
        <v>II</v>
      </c>
      <c r="DF63" t="str">
        <f>IF(D63="","",IF(TRIM(AB63&amp;"")&lt;&gt;"",IF(LOWER(TRIM(AB63&amp;""))="да","да","нет"),IF(IFERROR(_xlfn.XLOOKUP(AT63,Коды_код,Коды_пожарная),"")="да","да","нет")))</f>
        <v>нет</v>
      </c>
      <c r="DG63" t="str">
        <f t="shared" si="32"/>
        <v/>
      </c>
      <c r="DH63" t="str">
        <f t="shared" si="33"/>
        <v>основная</v>
      </c>
      <c r="DI63">
        <f t="shared" si="34"/>
        <v>1</v>
      </c>
      <c r="DJ63" t="str" cm="1">
        <f t="array" ref="DJ63">IF(D63="","",_xlfn.LET(_xlpm.t,IFERROR(_xlfn.XLOOKUP(1,(Шины[Шина]=DH63)*(((Шины[Щит]=A63)+(Шины[Щит]=""))&gt;0),Шины[Тип]),"")&amp;"",IF(_xlpm.t&lt;&gt;"",_xlpm.t,IF(ISNUMBER(SEARCH("ИБП",DH63)),"ИБП",IF(ISNUMBER(SEARCH("ДГУ",DH63)),"ДГУ","Ввод "&amp;DI63)))))</f>
        <v>Ввод 1</v>
      </c>
      <c r="DK63" t="str">
        <f t="shared" si="35"/>
        <v>Ввод 1</v>
      </c>
      <c r="DL63" t="str">
        <f>IF(D63="","",IF(OR(DJ63="ИБП",DJ63="ДГУ"),"I особая",IF(DJ63="Одиночная","III",_xlfn.XLOOKUP(A63,Щиты[Щит],Щиты[Категория шины «Ввод»],"III"))))</f>
        <v>II</v>
      </c>
      <c r="DM63">
        <f>IF(D63="",0,IFERROR(MATCH(DE63,{"III","II","I","I особая"},0),1))</f>
        <v>2</v>
      </c>
      <c r="DN63">
        <f t="shared" si="36"/>
        <v>2</v>
      </c>
      <c r="DO63" t="str">
        <f>IF(D63="","",IF(DM63&gt;IFERROR(MATCH(DL63,{"III","II","I","I особая"},0),1),"НЕ ОБЕСПЕЧЕНА","ОК"))</f>
        <v>ОК</v>
      </c>
      <c r="DP63" t="str">
        <f>IF(A63="","",_xlfn.XLOOKUP(A63,Щиты[Щит],Щиты[Путь],""))</f>
        <v>|ГРЩ-ЖД|ЩОВ-001|</v>
      </c>
      <c r="DQ63" t="str">
        <f>IF(D63="","",IF(Z63&lt;&gt;"",Z63,IF(IFERROR(_xlfn.XLOOKUP(AT63,Коды_код,Коды_вид)&amp;"","")="","Прочее",_xlfn.XLOOKUP(AT63,Коды_код,Коды_вид)&amp;"")))</f>
        <v>Вентиляция</v>
      </c>
      <c r="DR63">
        <f>IF(BD63="","",INT((BD63-1)/Столбцов_на_лист)+1)</f>
        <v>2</v>
      </c>
      <c r="DS63" t="str">
        <f t="shared" si="37"/>
        <v>ВВГнг(А)-LS (3х1,5) L=23-1,3%</v>
      </c>
      <c r="DT63">
        <f t="shared" si="38"/>
        <v>1</v>
      </c>
      <c r="DU63">
        <f t="shared" si="39"/>
        <v>4.5599999999999996</v>
      </c>
      <c r="DV63">
        <f t="shared" si="40"/>
        <v>1</v>
      </c>
      <c r="DW63">
        <f>IF(AT63="",0,_xlfn.LET(_xlpm.v,IFERROR(VLOOKUP(D63,УГО_спр,3,FALSE),IFERROR(VLOOKUP(AT63,УГО_спр,3,FALSE),IFERROR(VLOOKUP(LEFT(AT63,2),УГО_спр,3,FALSE),""))),IF(_xlpm.v="да",30,IF(ISNUMBER(_xlpm.v),_xlpm.v,0))))</f>
        <v>0</v>
      </c>
      <c r="DX63">
        <f t="shared" si="41"/>
        <v>0</v>
      </c>
      <c r="DY63">
        <f>IF(BD63="","",IF(AD63&lt;&gt;"",COUNTIFS(A$3:A63,A63,AD$3:AD63,"?*"),IF(OR(OR(AS63=1,A63&lt;&gt;A62),AL63="вручную"),"",IF(AS63=1,"",DZ62))))</f>
        <v>10</v>
      </c>
      <c r="DZ63">
        <f t="shared" si="42"/>
        <v>10</v>
      </c>
      <c r="EA63">
        <f>IF(D63="",0,MAX(IFERROR(--X63,0),IFERROR(--VLOOKUP(D63,УГО_спр,4,FALSE),IFERROR(--VLOOKUP(AT63,УГО_спр,4,FALSE),IFERROR(--VLOOKUP(LEFT(AT63,2),УГО_спр,4,FALSE),0)))))</f>
        <v>10</v>
      </c>
      <c r="EB63">
        <f>IF(D63="","",IFERROR(LOOKUP(INDEX(CHOOSE(BR63,Iдоп_1ж,Iдоп_2ж,Iдоп_3ж),MATCH(BS63,Iдоп_S,0))*BP63*BQ63,{6,10,16,20,25,32,40,50,63,80,100,125,160,200,250,315,400,500,630}),""))</f>
        <v>16</v>
      </c>
      <c r="EC63">
        <f>IF(AD63="","",SUMIFS(Линии[_Ток схемы],Линии[_гр.],DY63,Линии[Щит],A63,Линии[_в кабель выше],0))</f>
        <v>4.5599999999999996</v>
      </c>
      <c r="ED63">
        <f>IF(AD63="","",IFERROR(VLOOKUP(EC63,Автомат_номиналы,2,TRUE),""))</f>
        <v>6</v>
      </c>
      <c r="EE63">
        <f>IF(AD63="","",MAX(N(ED63),_xlfn.MAXIFS(Линии[_мин. по типу],Линии[_гр.],DY63,Линии[Щит],A63)))</f>
        <v>10</v>
      </c>
      <c r="EF63">
        <f>IF(AD63="","",_xlfn.MINIFS(Линии[_макс. автомат по кабелю],Линии[_гр.],DY63,Линии[Щит],A63))</f>
        <v>16</v>
      </c>
      <c r="EG63">
        <f>IF(AD63="","",MAX(1,_xlfn.MAXIFS(Линии[_фаз],Линии[_гр.],DY63,Линии[Щит],A63)))</f>
        <v>1</v>
      </c>
      <c r="EH63">
        <f>IF(AD63="","",IF(AND(AD63&lt;&gt;"авто",AD63&lt;&gt;"+"),IF(ISNUMBER(SEARCH("мА",AD63)),IFERROR(--TRIM(RIGHT(SUBSTITUTE(LEFT(AD63,SEARCH("мА",AD63)-1)," ",REPT(" ",9)),6)),30),0),IF(AE63="нет",0,IF(ISNUMBER(AE63),AE63,IF(AE63="да",30,_xlfn.MINIFS(Линии[_дифзащита по коду, мА],Линии[_гр.],DY63,Линии[Щит],A63,Линии[_дифзащита по коду, мА],"&gt;0"))))))</f>
        <v>0</v>
      </c>
      <c r="EI63">
        <f t="shared" si="43"/>
        <v>0</v>
      </c>
      <c r="EJ63" t="str">
        <f t="shared" si="44"/>
        <v>QF10</v>
      </c>
      <c r="EK63" t="str">
        <f t="shared" si="45"/>
        <v>QF10</v>
      </c>
      <c r="EL63" t="str">
        <f t="shared" si="46"/>
        <v/>
      </c>
      <c r="EM63">
        <f t="shared" si="47"/>
        <v>0</v>
      </c>
      <c r="EN63">
        <f>IF(AD63="","",IF(EM63=1,MAX(EE63,Мин_автомат_БП),EE63))</f>
        <v>10</v>
      </c>
      <c r="EO63" t="str">
        <f t="shared" si="48"/>
        <v>1P</v>
      </c>
      <c r="EP63" t="str">
        <f t="shared" si="49"/>
        <v>1P С10А</v>
      </c>
      <c r="EQ63">
        <f t="shared" si="50"/>
        <v>10</v>
      </c>
      <c r="ER63" t="str">
        <f>IF(OR(AI63="",AI63="-"),"",IFERROR(VLOOKUP(AI63,Модули_спр,2,FALSE),"R"))</f>
        <v/>
      </c>
      <c r="ES63" t="str">
        <f>IF(ER63="","",ER63&amp;"."&amp;COUNTIFS(A$3:A63,A63,ER$3:ER63,ER63))</f>
        <v/>
      </c>
      <c r="ET63" t="str">
        <f t="shared" si="51"/>
        <v/>
      </c>
      <c r="EU63" t="str">
        <f t="shared" si="52"/>
        <v/>
      </c>
      <c r="EV63" t="str">
        <f t="shared" si="53"/>
        <v/>
      </c>
      <c r="EW63" t="str">
        <f t="shared" si="54"/>
        <v/>
      </c>
      <c r="EX63">
        <f t="shared" si="55"/>
        <v>1</v>
      </c>
      <c r="EY63" t="str">
        <f>IF(AK63="нет","",IF(AK63&lt;&gt;"",AK63,IF(EX63=1,"XT"&amp;COUNTIFS(A$3:A63,A63,EX$3:EX63,1),"")))</f>
        <v/>
      </c>
      <c r="EZ63" t="str">
        <f t="shared" si="56"/>
        <v>QF10</v>
      </c>
      <c r="FA63" t="str">
        <f t="shared" si="57"/>
        <v/>
      </c>
      <c r="FB63" t="str">
        <f t="shared" si="58"/>
        <v>ok</v>
      </c>
      <c r="FC63" t="str">
        <f>IF(OR(EV63="",ET63=""),"",IF(EV63&gt;IFERROR(VLOOKUP(EU63,Модули_спр,3,FALSE),99),"ЛИШНИЙ КАНАЛ",IF(AND(AJ63&lt;&gt;"=",COUNTIFS(Линии[_модуль гр.],ET63,Линии[Канал (итог)],EV63,Линии[Канал],"&lt;&gt;=",Линии[Щит],A63)&gt;1),"ДУБЛЬ КАНАЛА","")))</f>
        <v/>
      </c>
      <c r="FD63">
        <f t="shared" si="59"/>
        <v>10</v>
      </c>
      <c r="FE63" t="str">
        <f t="shared" si="60"/>
        <v>1P С10А</v>
      </c>
      <c r="FF63">
        <f t="shared" si="61"/>
        <v>0</v>
      </c>
      <c r="FG63">
        <f t="shared" si="62"/>
        <v>0</v>
      </c>
      <c r="FH63" t="str">
        <f t="shared" si="63"/>
        <v/>
      </c>
      <c r="FI63">
        <f t="shared" si="64"/>
        <v>10</v>
      </c>
      <c r="FJ63" t="str">
        <f t="shared" si="65"/>
        <v/>
      </c>
      <c r="FK63" t="str">
        <f>IF(AND(D63="",EZ63=""),"",_xlfn.TEXTJOIN("; ",TRUE,IF(AND(D63&lt;&gt;"",DD63=""),"нет фазы",""),IF(AND(D63&lt;&gt;"",N(DT63)=0,CN63&lt;&gt;"Нет"),"нет мощности",""),IF(AND(EY63&lt;&gt;"",COUNTIFS(Линии[Щит],A63,Линии[Клемма (итог)],EY63)&gt;1),"дубль клеммы "&amp;EY63,""),IF(AND(FB63&lt;&gt;"",FB63&lt;&gt;"ok"),FB63,""),IF(FC63&lt;&gt;"",FC63,""),IF(AND(ISNUMBER(SEARCH("(5х",DS63)),N(DV63)=1),"5 жил на 1 фазе",""),IF(AND(AT63="R",AD63&lt;&gt;"",OR(N(EH63)=0,N(EH63)&gt;30)),"розетка без дифзащиты до 30 мА",""),IFERROR(IF(AND(ISNUMBER(CD63),CD63&gt;CE63),"потери "&amp;FIXED(CD63,1)&amp;" % &gt; "&amp;CE63&amp;" %",""),""),IFERROR(IF(LEFT(FJ63,4)="мало","Iкз мало — отключение &gt; 0,4 с",""),""),IF(AND(D63&lt;&gt;"",BD63=""),"не на схеме","")))</f>
        <v/>
      </c>
      <c r="FL63">
        <f>IF(AD63="","",_xlfn.LET(_xlpm.t,IFERROR(_xlfn.XLOOKUP(EP63,Каталог!$U$4:$U$500,Каталог!$G$4:$G$500),""),_xlpm.k,SEARCH("кА",_xlpm.t),IFERROR(--TRIM(RIGHT(SUBSTITUTE(MID(_xlpm.t,MAX(1,_xlpm.k-4),_xlpm.k-MAX(1,_xlpm.k-4))," ",REPT(" ",9)),5)),"")))</f>
        <v>6</v>
      </c>
      <c r="FM63" t="str">
        <f>IF(OR(FL63="",AD63=""),"",IF(_xlfn.XLOOKUP(A63,Щиты[Щит],Щиты[Iкз max на шинах, кА],"")="","",IF(FL63&lt;_xlfn.XLOOKUP(A63,Щиты[Щит],Щиты[Iкз max на шинах, кА]),"Icu "&amp;FL63&amp;" кА &lt; Iкз max","ok")))</f>
        <v/>
      </c>
      <c r="FN63" t="str">
        <f t="shared" si="66"/>
        <v>QF10</v>
      </c>
      <c r="FO63" t="str">
        <f t="shared" si="67"/>
        <v>QF10|кабель ВВГнг(А)-LS (3х1,5) → Приточная установка Пом №006Т</v>
      </c>
      <c r="FP63" t="str" cm="1">
        <f t="array" ref="FP63">IF(FO63="","",_xlfn.LET(_xlpm.nd,_xlfn.TEXTSPLIT(FO63,"|"),IF(COLUMNS(_xlpm.nd)&gt;1,A63&amp;"¦"&amp;INDEX(_xlpm.nd,1)&amp;"¦"&amp;INDEX(_xlpm.nd,2),"")))</f>
        <v>ЩОВ-001¦QF10¦кабель ВВГнг(А)-LS (3х1,5) → Приточная установка Пом №006Т</v>
      </c>
      <c r="FQ63" t="str">
        <f t="shared" si="68"/>
        <v>П.4¦Приточная установка Пом №006Т</v>
      </c>
      <c r="FR63" t="str" cm="1">
        <f t="array" ref="FR63">IF(FO63="","",_xlfn.LET(_xlpm.nd,_xlfn.TEXTSPLIT(FO63,"|"),IF(COLUMNS(_xlpm.nd)&gt;2,A63&amp;"¦"&amp;INDEX(_xlpm.nd,2)&amp;"¦"&amp;INDEX(_xlpm.nd,3),"")))</f>
        <v/>
      </c>
      <c r="FS63" t="str">
        <f t="shared" si="69"/>
        <v/>
      </c>
      <c r="FT63" t="str" cm="1">
        <f t="array" ref="FT63">IF(FO63="","",_xlfn.LET(_xlpm.nd,_xlfn.TEXTSPLIT(FO63,"|"),IF(COLUMNS(_xlpm.nd)&gt;3,A63&amp;"¦"&amp;INDEX(_xlpm.nd,3)&amp;"¦"&amp;INDEX(_xlpm.nd,4),"")))</f>
        <v/>
      </c>
      <c r="FU63" t="str">
        <f t="shared" si="70"/>
        <v/>
      </c>
      <c r="FV63" t="str" cm="1">
        <f t="array" ref="FV63">IF(FO63="","",_xlfn.LET(_xlpm.nd,_xlfn.TEXTSPLIT(FO63,"|"),IF(COLUMNS(_xlpm.nd)&gt;4,A63&amp;"¦"&amp;INDEX(_xlpm.nd,4)&amp;"¦"&amp;INDEX(_xlpm.nd,5),"")))</f>
        <v/>
      </c>
      <c r="FW63" t="str">
        <f t="shared" si="71"/>
        <v/>
      </c>
      <c r="FX63" t="str" cm="1">
        <f t="array" ref="FX63">IF(FO63="","",_xlfn.LET(_xlpm.nd,_xlfn.TEXTSPLIT(FO63,"|"),IF(COLUMNS(_xlpm.nd)&gt;5,A63&amp;"¦"&amp;INDEX(_xlpm.nd,5)&amp;"¦"&amp;INDEX(_xlpm.nd,6),"")))</f>
        <v/>
      </c>
      <c r="FY63" t="str">
        <f t="shared" si="72"/>
        <v/>
      </c>
      <c r="FZ63" t="str" cm="1">
        <f t="array" ref="FZ63">IF(FO63="","",_xlfn.LET(_xlpm.nd,_xlfn.TEXTSPLIT(FO63,"|"),IF(COLUMNS(_xlpm.nd)&gt;6,A63&amp;"¦"&amp;INDEX(_xlpm.nd,6)&amp;"¦"&amp;INDEX(_xlpm.nd,7),"")))</f>
        <v/>
      </c>
      <c r="GA63" t="str">
        <f t="shared" si="73"/>
        <v/>
      </c>
      <c r="GB63" t="str">
        <f t="shared" si="74"/>
        <v/>
      </c>
      <c r="GC63" t="str">
        <f t="shared" si="75"/>
        <v>QF10</v>
      </c>
      <c r="GD63">
        <f t="shared" si="76"/>
        <v>1</v>
      </c>
      <c r="GE63">
        <f t="shared" si="77"/>
        <v>0</v>
      </c>
      <c r="GF63">
        <f t="shared" si="78"/>
        <v>0</v>
      </c>
      <c r="GG63" t="str">
        <f t="shared" si="79"/>
        <v/>
      </c>
      <c r="GH63" t="str">
        <f t="shared" si="80"/>
        <v/>
      </c>
      <c r="GI63" t="str">
        <f t="shared" si="81"/>
        <v/>
      </c>
      <c r="GJ63" t="str">
        <f t="shared" si="82"/>
        <v/>
      </c>
      <c r="GK63" t="str">
        <f>IF(D63="","",IFERROR(VLOOKUP(D63,УГО_спр,2,FALSE),IFERROR(VLOOKUP(AT63,УГО_спр,2,FALSE),IFERROR(VLOOKUP(LEFT(AT63,2),УГО_спр,2,FALSE),""))))</f>
        <v>Привод (двигатель)</v>
      </c>
      <c r="GL63" t="str">
        <f>IF(D63="","",IF(OR(GK63="",GK63=0),"BOX",IFERROR(IF(VLOOKUP(GK63,УГО_блоки,3,FALSE)&amp;""&lt;&gt;"",VLOOKUP(GK63,УГО_блоки,3,FALSE),VLOOKUP(GK63,УГО_блоки,2,FALSE)),GK63)))</f>
        <v>MOTOR</v>
      </c>
      <c r="GM63">
        <f t="shared" si="83"/>
        <v>1</v>
      </c>
      <c r="GN63" t="str">
        <f>IF(EP63="","",IF(COUNTIF(EP$3:EP63,EP63)=1,MAX(GN$2:GN62)+1,""))</f>
        <v/>
      </c>
      <c r="GO63" t="str">
        <f>IF(AF63="","",IF(COUNTIF(AF$3:AF63,AF63)+COUNTIF(AG$2:AG62,AF63)+COUNTIF(AH$2:AH62,AF63)=1,MAX(GO$2:GQ62)+1,""))</f>
        <v/>
      </c>
      <c r="GP63" t="str">
        <f>IF(AG63="","",IF(COUNTIF(AF$3:AF63,AG63)+COUNTIF(AG$3:AG63,AG63)+COUNTIF(AH$2:AH62,AG63)=1,MAX(GO$2:GQ62,GO63)+1,""))</f>
        <v/>
      </c>
      <c r="GQ63" t="str">
        <f>IF(AH63="","",IF(COUNTIF(AF$3:AF63,AH63)+COUNTIF(AG$3:AG63,AH63)+COUNTIF(AH$3:AH63,AH63)=1,MAX(GO$2:GQ62,GO63,GP63)+1,""))</f>
        <v/>
      </c>
      <c r="GR63" t="str">
        <f t="shared" si="84"/>
        <v>3х1,5</v>
      </c>
      <c r="GS63" t="str">
        <f>IF(GR63="","",IF(COUNTIF(GR$3:GR63,GR63)=1,MAX(GS$2:GS62)+1,""))</f>
        <v/>
      </c>
      <c r="GT63" t="str">
        <f>IF(ES63="","",COUNTIF(ES$3:ES63,"?*"))</f>
        <v/>
      </c>
      <c r="GU63" t="str">
        <f>IF(OR(ES63="",EU63=""),"",IF(COUNTIFS(ES$3:ES63,"?*",EU$3:EU63,EU63)=1,MAX(GU$2:GU62)+1,""))</f>
        <v/>
      </c>
      <c r="GV63">
        <f t="shared" si="85"/>
        <v>0</v>
      </c>
      <c r="GW63">
        <f>IF(D63="","",COUNTIF(D$3:D63,"?*"))</f>
        <v>61</v>
      </c>
      <c r="GX63">
        <f>IF(EX63&lt;&gt;1,0,_xlfn.LET(_xlpm.k,MAX(IFERROR(--VLOOKUP(D63,УГО_спр,5,FALSE),0),IFERROR(--VLOOKUP(AT63,УГО_спр,5,FALSE),0),IFERROR(--VLOOKUP(LEFT(AT63,2),УГО_спр,5,FALSE),0)),IF(_xlpm.k&gt;0,_xlpm.k,IF(IFERROR(--LEFT(SUBSTITUTE(GR63,"x","х"),FIND("х",SUBSTITUTE(GR63,"x","х"))-1),3)&gt;3,Каталог!$S$9,1))))</f>
        <v>1</v>
      </c>
      <c r="GY63">
        <f t="shared" si="86"/>
        <v>0</v>
      </c>
    </row>
    <row r="64" spans="1:207" x14ac:dyDescent="0.3">
      <c r="A64" t="s">
        <v>752</v>
      </c>
      <c r="B64">
        <v>26</v>
      </c>
      <c r="C64" t="str">
        <f>IF(BD64="","",IF(BE64="вводной узел","узел ","")&amp;"л."&amp;(INT((BD64-1)/Столбцов_на_лист)+1)&amp;" / "&amp;(MOD(BD64-1,Столбцов_на_лист)+1))</f>
        <v>л.2 / 9</v>
      </c>
      <c r="D64" t="s">
        <v>1339</v>
      </c>
      <c r="E64" s="133" t="s">
        <v>1340</v>
      </c>
      <c r="G64">
        <v>2.1</v>
      </c>
      <c r="H64">
        <v>1</v>
      </c>
      <c r="I64">
        <v>1</v>
      </c>
      <c r="J64">
        <v>230</v>
      </c>
      <c r="K64" t="s">
        <v>602</v>
      </c>
      <c r="L64">
        <v>0.5</v>
      </c>
      <c r="O64">
        <v>1</v>
      </c>
      <c r="P64">
        <v>23</v>
      </c>
      <c r="R64">
        <v>27</v>
      </c>
      <c r="T64">
        <v>1</v>
      </c>
      <c r="U64" t="s">
        <v>11</v>
      </c>
      <c r="V64">
        <v>3</v>
      </c>
      <c r="W64">
        <v>2.5</v>
      </c>
      <c r="X64">
        <v>16</v>
      </c>
      <c r="Z64" t="s">
        <v>584</v>
      </c>
      <c r="AA64" t="s">
        <v>818</v>
      </c>
      <c r="AD64" t="s">
        <v>517</v>
      </c>
      <c r="AK64" t="s">
        <v>488</v>
      </c>
      <c r="AR64" t="str">
        <f t="shared" si="0"/>
        <v/>
      </c>
      <c r="AS64" cm="1">
        <f t="array" ref="AS64">ROW()-ROW(Линии[#Headers])</f>
        <v>62</v>
      </c>
      <c r="AT64" t="str">
        <f t="shared" si="1"/>
        <v>ПВ</v>
      </c>
      <c r="AU64" t="str">
        <f t="shared" si="2"/>
        <v>2</v>
      </c>
      <c r="AV64" t="str">
        <f t="shared" si="3"/>
        <v>2</v>
      </c>
      <c r="AW64" t="str">
        <f t="shared" si="4"/>
        <v/>
      </c>
      <c r="AX64" t="str">
        <f t="shared" si="5"/>
        <v/>
      </c>
      <c r="AY64" t="str">
        <f>IF(D64="","",IF(ISERROR(SEARCH(".",D64)),IFERROR(VLOOKUP(D64,Потребители_обозначение,2,FALSE)&amp;"",""),IFERROR(IF(VLOOKUP(AT64,Потребители_обозначение,4,FALSE)=1,VLOOKUP(AT64,Потребители_обозначение,2,FALSE)&amp;" "&amp;VLOOKUP(AV64,Этаж_обозначение,2,FALSE)&amp;" Пом. №"&amp;AX64,VLOOKUP(AT64,Потребители_обозначение,2,FALSE)&amp;" Шлейф №"&amp;AV64),IFERROR(VLOOKUP(D64,Потребители_обозначение,2,FALSE),""))))</f>
        <v>Приточно-вытяжная установка Шлейф №2</v>
      </c>
      <c r="AZ64" t="str">
        <f t="shared" si="6"/>
        <v>Приточно-вытяжная установка Подвальный этаж Пом. №006Т</v>
      </c>
      <c r="BA64" t="str">
        <f>IF(F64&lt;&gt;"",F64,IF(AND(D64&lt;&gt;"",D64&lt;&gt;A64,ISNUMBER(_xlfn.XMATCH(D64,Щиты[Щит]))),D64,""))</f>
        <v/>
      </c>
      <c r="BB64">
        <f>IFERROR(_xlfn.XMATCH(A64,Щиты[Щит]),0)</f>
        <v>4</v>
      </c>
      <c r="BC64">
        <f>IFERROR(N(_xlfn.XLOOKUP(A64,Щиты[Щит],Щиты[Мест под вводной узел])),15)</f>
        <v>13</v>
      </c>
      <c r="BD64">
        <f t="shared" si="7"/>
        <v>26</v>
      </c>
      <c r="BE64" t="str">
        <f t="shared" si="8"/>
        <v>линии</v>
      </c>
      <c r="BF64">
        <f>IF(D64="","",IF(BA64&lt;&gt;"",IFERROR(_xlfn.XLOOKUP(BA64,Щиты[Щит],Щиты[Руст, кВт]),0),N(G64)))</f>
        <v>2.1</v>
      </c>
      <c r="BG64">
        <f>IF(J64&lt;&gt;"",J64,IF(D64="","",IFERROR(IF(VLOOKUP(AT64,Потребители_обозначение,8,FALSE)=0,"",VLOOKUP(AT64,Потребители_обозначение,8,FALSE)),"")))</f>
        <v>230</v>
      </c>
      <c r="BH64">
        <f>IF(I64&lt;&gt;"",I64,IF(D64="","",IFERROR(IF(VLOOKUP(AT64,Потребители_обозначение,9,FALSE)=0,"",VLOOKUP(AT64,Потребители_обозначение,9,FALSE)),"")))</f>
        <v>1</v>
      </c>
      <c r="BI64" t="str">
        <f>IF(U64&lt;&gt;"",U64,IF(D64="","",IFERROR(IF(VLOOKUP(AT64,Потребители_обозначение,6,FALSE)=0,"",VLOOKUP(AT64,Потребители_обозначение,6,FALSE)),"")))</f>
        <v>мс</v>
      </c>
      <c r="BJ64">
        <f>IF(V64&lt;&gt;"",V64,IF(D64="","",IFERROR(IF(VLOOKUP(AT64,Потребители_обозначение,7,FALSE)=0,"",VLOOKUP(AT64,Потребители_обозначение,7,FALSE)),"")))</f>
        <v>3</v>
      </c>
      <c r="BK64">
        <f>IF(W64&lt;&gt;"",W64,IF(D64="","",IFERROR(IF(VLOOKUP(AT64,Потребители_обозначение,10,FALSE)=0,"",VLOOKUP(AT64,Потребители_обозначение,10,FALSE)),"")))</f>
        <v>2.5</v>
      </c>
      <c r="BL64">
        <f>IFERROR(VLOOKUP(AT64,Потребители_обозначение,5,FALSE),0)</f>
        <v>1</v>
      </c>
      <c r="BM64" cm="1">
        <f t="array" ref="BM64">IF(D64="","",IF(BA64&lt;&gt;"",IFERROR(_xlfn.XLOOKUP(BA64,Щиты[Щит],Щиты[cos φ]),0.95),IF(ISNUMBER(M64),M64,IFERROR(IF(BL64=2,_xlfn.IFS(BH64=3,VLOOKUP(BF64,Справочная_двигатели,8,FALSE),BH64=1,VLOOKUP(BF64,Справочная_двигатели,10,TRUE)),IF(AND(Методика="нормы 2026",CN64="Сил"),0.8,0.95)),0.95))))</f>
        <v>0.95</v>
      </c>
      <c r="BN64" cm="1">
        <f t="array" ref="BN64">IF(D64="","",IF(BA64&lt;&gt;"",IFERROR(_xlfn.XLOOKUP(BA64,Щиты[Щит],Щиты[Iр, А]),""),IFERROR(_xlfn.IFS(BH64=1,BF64/((Uн_лин/SQRT(3))*BM64),BH64=3,BF64/(SQRT(3)*Uн_лин*BM64)),"")))</f>
        <v>9.5718597260385323</v>
      </c>
      <c r="BO64">
        <f>IF(D64="","",IF(N(X64)=0,IFERROR(VLOOKUP(BN64,Автомат_номиналы,2,TRUE),""),X64))</f>
        <v>16</v>
      </c>
      <c r="BP64">
        <f t="shared" si="9"/>
        <v>1</v>
      </c>
      <c r="BQ64">
        <f>IF(ISNUMBER(Y64),Y64,К_прокл)</f>
        <v>1</v>
      </c>
      <c r="BR64">
        <f t="shared" si="10"/>
        <v>2</v>
      </c>
      <c r="BS64" cm="1">
        <f t="array" ref="BS64">IF(D64="","",IF(N(BK64)&lt;&gt;0,BK64,IFERROR(_xlfn.LET(_xlpm.need,BO64/(BP64*BQ64),_xlpm.t,CHOOSE(BR64,Iдоп_1ж,Iдоп_2ж,Iдоп_3ж),_xlpm.k,_xlfn.XMATCH(_xlpm.need,_xlpm.t,1),IF(ISNA(_xlpm.k),"Не исп",INDEX(Iдоп_S,_xlpm.k))),"Не исп")))</f>
        <v>2.5</v>
      </c>
      <c r="BT64">
        <f>IFERROR(VLOOKUP(BS64,Кабель_сопротивление,3,FALSE),"")</f>
        <v>2.2499999999999999E-2</v>
      </c>
      <c r="BU64">
        <f>IFERROR(VLOOKUP(BS64,Кабель_сопротивление,2,FALSE),"")</f>
        <v>0.1</v>
      </c>
      <c r="BV64">
        <f t="shared" si="11"/>
        <v>23</v>
      </c>
      <c r="BW64">
        <f>IF(D64="","",IFERROR(IF(VLOOKUP(AT64,Потребители_обозначение,4,FALSE)=1,VLOOKUP(AT64,Потребители_обозначение,3,FALSE)*(H64*2-1)+BV64+VLOOKUP(AV64,Этаж_обозначение,3,FALSE)+VLOOKUP(AV64,Этаж_обозначение,4,FALSE),VLOOKUP(AT64,Потребители_обозначение,3,FALSE)*(H64*2-1)+BV64),BV64))</f>
        <v>27</v>
      </c>
      <c r="BX64">
        <f t="shared" si="12"/>
        <v>27</v>
      </c>
      <c r="BY64">
        <f t="shared" si="13"/>
        <v>0</v>
      </c>
      <c r="BZ64">
        <f t="shared" si="14"/>
        <v>2</v>
      </c>
      <c r="CA64">
        <f t="shared" si="15"/>
        <v>0.31</v>
      </c>
      <c r="CB64">
        <f t="shared" si="16"/>
        <v>4.4353509286933779</v>
      </c>
      <c r="CC64">
        <f>IFERROR(ROUNDUP(CB64/((Uн_лин/SQRT(3))*1000)*100,2),"")</f>
        <v>1.93</v>
      </c>
      <c r="CD64">
        <f>IF(ISNUMBER(CC64),CC64+IFERROR(_xlfn.XLOOKUP(A64,Щиты[Щит],Щиты[ΔU до шин, %]),0),"")</f>
        <v>2.4299999999999997</v>
      </c>
      <c r="CE64">
        <f>IF(D64="","",IF(IFERROR(VLOOKUP(AT64,УГО_спр,2,FALSE),"")="Светильник",3,4)+IF(Методика="нормы 2026",MIN(0.5,MAX(0,N(BW64)-100)*0.005),0))</f>
        <v>4</v>
      </c>
      <c r="CF64" t="str">
        <f>IFERROR(VLOOKUP(BI64,Кабель_обозначение,2,FALSE),"")</f>
        <v>ВВГнг(А)-LS</v>
      </c>
      <c r="CG64" t="str">
        <f>IFERROR(IF(VLOOKUP(BI64,Кабель_обозначение,3,FALSE)=1,CF64&amp;" ("&amp;BJ64&amp;"х"&amp;BS64&amp;")",CF64),"")</f>
        <v>ВВГнг(А)-LS (3х2,5)</v>
      </c>
      <c r="CH64" t="str">
        <f t="shared" si="17"/>
        <v>ВВГнг(А)-LS (3х2,5)
L=27-1,93%</v>
      </c>
      <c r="CI64">
        <f>IFERROR(2*ρкз_Cu*BW64/BS64,"")</f>
        <v>0.56808000000000003</v>
      </c>
      <c r="CJ64">
        <f t="shared" si="18"/>
        <v>0.189</v>
      </c>
      <c r="CK64" t="str">
        <f>IFERROR(IF(OR(D64="",NOT(ISNUMBER(BS64)),N(BW64)=0),"",_xlfn.XLOOKUP(A64,Щиты[Щит],Щиты[Zпетли на шинах, Ом])+CI64),"")</f>
        <v/>
      </c>
      <c r="CL64" t="str">
        <f>IF(ISNUMBER(CK64),c_min*(Uн_лин*1000/SQRT(3))/CK64,"")</f>
        <v/>
      </c>
      <c r="CM64" t="str">
        <f>IFERROR(IF(OR(D64="",NOT(ISNUMBER(BS64))),"",1.05*(Uн_лин*1000/SQRT(3))/(_xlfn.XLOOKUP(A64,Щиты[Щит],Щиты[Zmax на шинах, Ом])+CJ64)/1000),"")</f>
        <v/>
      </c>
      <c r="CN64" t="str">
        <f>IF(D64="","",IF(BA64&lt;&gt;"","Щит",IF(K64&lt;&gt;"",K64,IF(ISNUMBER(L64),"Сил",IF(IFERROR(_xlfn.XLOOKUP(AT64,Коды_код,Коды_группа)&amp;"","")="","Быт",_xlfn.XLOOKUP(AT64,Коды_код,Коды_группа)&amp;"")))))</f>
        <v>Сил</v>
      </c>
      <c r="CO64">
        <f>IF(CN64="Щит","щит",IF(CN64="","",IF(CN64="Быт",IFERROR(_xlfn.XLOOKUP(A64,Щиты[Щит],Щиты[Кс быт]),1),IF(CN64="Сил",IF(ISNUMBER(L64),L64,IF(Методика="нормы 2026",IFERROR(_xlfn.XLOOKUP(A64,Щиты[Щит],Щиты[Кс силовых (табл. 7.5)]),1),1)),IF(OR(CN64="Пост",CN64="Отоп"),1,IF(CN64="ВНГ",0.7,0))))))</f>
        <v>0.5</v>
      </c>
      <c r="CP64">
        <f t="shared" si="19"/>
        <v>1</v>
      </c>
      <c r="CQ64">
        <f t="shared" si="20"/>
        <v>2.1</v>
      </c>
      <c r="CR64">
        <f t="shared" si="21"/>
        <v>0</v>
      </c>
      <c r="CS64">
        <f t="shared" si="22"/>
        <v>1.05</v>
      </c>
      <c r="CT64">
        <f t="shared" si="23"/>
        <v>0</v>
      </c>
      <c r="CU64">
        <f t="shared" si="24"/>
        <v>0</v>
      </c>
      <c r="CV64">
        <f t="shared" si="25"/>
        <v>0</v>
      </c>
      <c r="CW64">
        <f t="shared" si="26"/>
        <v>2.1</v>
      </c>
      <c r="CX64">
        <f t="shared" si="27"/>
        <v>1.9949999999999999</v>
      </c>
      <c r="CY64">
        <f t="shared" si="28"/>
        <v>2</v>
      </c>
      <c r="CZ64" t="str">
        <f t="shared" si="29"/>
        <v>L2</v>
      </c>
      <c r="DA64" cm="1">
        <f t="array" ref="DA64">IFERROR(IF(BL64=2,_xlfn.IFS(BH64=3,VLOOKUP(BF64,Справочная_двигатели,3,FALSE),BH64=1,VLOOKUP(BF64,Справочная_двигатели,5,TRUE)),0),0)</f>
        <v>0</v>
      </c>
      <c r="DB64">
        <f>IFERROR(IF(BL64=3,VLOOKUP(BF64,Справочная_ЛЭД,2,TRUE),0),0)</f>
        <v>0</v>
      </c>
      <c r="DC64">
        <f t="shared" si="30"/>
        <v>0</v>
      </c>
      <c r="DD64" t="str">
        <f t="shared" si="31"/>
        <v>L1</v>
      </c>
      <c r="DE64" t="str" cm="1">
        <f t="array" ref="DE64">IF(D64="","",IFERROR(INDEX({"I особая","I","II","III"},MATCH(TRIM(AA64&amp;""),{"I особая","I","II","III"},0)),"III"))</f>
        <v>II</v>
      </c>
      <c r="DF64" t="str">
        <f>IF(D64="","",IF(TRIM(AB64&amp;"")&lt;&gt;"",IF(LOWER(TRIM(AB64&amp;""))="да","да","нет"),IF(IFERROR(_xlfn.XLOOKUP(AT64,Коды_код,Коды_пожарная),"")="да","да","нет")))</f>
        <v>нет</v>
      </c>
      <c r="DG64" t="str">
        <f t="shared" si="32"/>
        <v/>
      </c>
      <c r="DH64" t="str">
        <f t="shared" si="33"/>
        <v>основная</v>
      </c>
      <c r="DI64">
        <f t="shared" si="34"/>
        <v>1</v>
      </c>
      <c r="DJ64" t="str" cm="1">
        <f t="array" ref="DJ64">IF(D64="","",_xlfn.LET(_xlpm.t,IFERROR(_xlfn.XLOOKUP(1,(Шины[Шина]=DH64)*(((Шины[Щит]=A64)+(Шины[Щит]=""))&gt;0),Шины[Тип]),"")&amp;"",IF(_xlpm.t&lt;&gt;"",_xlpm.t,IF(ISNUMBER(SEARCH("ИБП",DH64)),"ИБП",IF(ISNUMBER(SEARCH("ДГУ",DH64)),"ДГУ","Ввод "&amp;DI64)))))</f>
        <v>Ввод 1</v>
      </c>
      <c r="DK64" t="str">
        <f t="shared" si="35"/>
        <v>Ввод 1</v>
      </c>
      <c r="DL64" t="str">
        <f>IF(D64="","",IF(OR(DJ64="ИБП",DJ64="ДГУ"),"I особая",IF(DJ64="Одиночная","III",_xlfn.XLOOKUP(A64,Щиты[Щит],Щиты[Категория шины «Ввод»],"III"))))</f>
        <v>II</v>
      </c>
      <c r="DM64">
        <f>IF(D64="",0,IFERROR(MATCH(DE64,{"III","II","I","I особая"},0),1))</f>
        <v>2</v>
      </c>
      <c r="DN64">
        <f t="shared" si="36"/>
        <v>2</v>
      </c>
      <c r="DO64" t="str">
        <f>IF(D64="","",IF(DM64&gt;IFERROR(MATCH(DL64,{"III","II","I","I особая"},0),1),"НЕ ОБЕСПЕЧЕНА","ОК"))</f>
        <v>ОК</v>
      </c>
      <c r="DP64" t="str">
        <f>IF(A64="","",_xlfn.XLOOKUP(A64,Щиты[Щит],Щиты[Путь],""))</f>
        <v>|ГРЩ-ЖД|ЩОВ-001|</v>
      </c>
      <c r="DQ64" t="str">
        <f>IF(D64="","",IF(Z64&lt;&gt;"",Z64,IF(IFERROR(_xlfn.XLOOKUP(AT64,Коды_код,Коды_вид)&amp;"","")="","Прочее",_xlfn.XLOOKUP(AT64,Коды_код,Коды_вид)&amp;"")))</f>
        <v>Вентиляция</v>
      </c>
      <c r="DR64">
        <f>IF(BD64="","",INT((BD64-1)/Столбцов_на_лист)+1)</f>
        <v>2</v>
      </c>
      <c r="DS64" t="str">
        <f t="shared" si="37"/>
        <v>ВВГнг(А)-LS (3х2,5) L=27-1,93%</v>
      </c>
      <c r="DT64">
        <f t="shared" si="38"/>
        <v>2.1</v>
      </c>
      <c r="DU64">
        <f t="shared" si="39"/>
        <v>9.58</v>
      </c>
      <c r="DV64">
        <f t="shared" si="40"/>
        <v>1</v>
      </c>
      <c r="DW64">
        <f>IF(AT64="",0,_xlfn.LET(_xlpm.v,IFERROR(VLOOKUP(D64,УГО_спр,3,FALSE),IFERROR(VLOOKUP(AT64,УГО_спр,3,FALSE),IFERROR(VLOOKUP(LEFT(AT64,2),УГО_спр,3,FALSE),""))),IF(_xlpm.v="да",30,IF(ISNUMBER(_xlpm.v),_xlpm.v,0))))</f>
        <v>0</v>
      </c>
      <c r="DX64">
        <f t="shared" si="41"/>
        <v>0</v>
      </c>
      <c r="DY64">
        <f>IF(BD64="","",IF(AD64&lt;&gt;"",COUNTIFS(A$3:A64,A64,AD$3:AD64,"?*"),IF(OR(OR(AS64=1,A64&lt;&gt;A63),AL64="вручную"),"",IF(AS64=1,"",DZ63))))</f>
        <v>11</v>
      </c>
      <c r="DZ64">
        <f t="shared" si="42"/>
        <v>11</v>
      </c>
      <c r="EA64">
        <f>IF(D64="",0,MAX(IFERROR(--X64,0),IFERROR(--VLOOKUP(D64,УГО_спр,4,FALSE),IFERROR(--VLOOKUP(AT64,УГО_спр,4,FALSE),IFERROR(--VLOOKUP(LEFT(AT64,2),УГО_спр,4,FALSE),0)))))</f>
        <v>16</v>
      </c>
      <c r="EB64">
        <f>IF(D64="","",IFERROR(LOOKUP(INDEX(CHOOSE(BR64,Iдоп_1ж,Iдоп_2ж,Iдоп_3ж),MATCH(BS64,Iдоп_S,0))*BP64*BQ64,{6,10,16,20,25,32,40,50,63,80,100,125,160,200,250,315,400,500,630}),""))</f>
        <v>25</v>
      </c>
      <c r="EC64">
        <f>IF(AD64="","",SUMIFS(Линии[_Ток схемы],Линии[_гр.],DY64,Линии[Щит],A64,Линии[_в кабель выше],0))</f>
        <v>9.58</v>
      </c>
      <c r="ED64">
        <f>IF(AD64="","",IFERROR(VLOOKUP(EC64,Автомат_номиналы,2,TRUE),""))</f>
        <v>16</v>
      </c>
      <c r="EE64">
        <f>IF(AD64="","",MAX(N(ED64),_xlfn.MAXIFS(Линии[_мин. по типу],Линии[_гр.],DY64,Линии[Щит],A64)))</f>
        <v>16</v>
      </c>
      <c r="EF64">
        <f>IF(AD64="","",_xlfn.MINIFS(Линии[_макс. автомат по кабелю],Линии[_гр.],DY64,Линии[Щит],A64))</f>
        <v>25</v>
      </c>
      <c r="EG64">
        <f>IF(AD64="","",MAX(1,_xlfn.MAXIFS(Линии[_фаз],Линии[_гр.],DY64,Линии[Щит],A64)))</f>
        <v>1</v>
      </c>
      <c r="EH64">
        <f>IF(AD64="","",IF(AND(AD64&lt;&gt;"авто",AD64&lt;&gt;"+"),IF(ISNUMBER(SEARCH("мА",AD64)),IFERROR(--TRIM(RIGHT(SUBSTITUTE(LEFT(AD64,SEARCH("мА",AD64)-1)," ",REPT(" ",9)),6)),30),0),IF(AE64="нет",0,IF(ISNUMBER(AE64),AE64,IF(AE64="да",30,_xlfn.MINIFS(Линии[_дифзащита по коду, мА],Линии[_гр.],DY64,Линии[Щит],A64,Линии[_дифзащита по коду, мА],"&gt;0"))))))</f>
        <v>0</v>
      </c>
      <c r="EI64">
        <f t="shared" si="43"/>
        <v>0</v>
      </c>
      <c r="EJ64" t="str">
        <f t="shared" si="44"/>
        <v>QF11</v>
      </c>
      <c r="EK64" t="str">
        <f t="shared" si="45"/>
        <v>QF11</v>
      </c>
      <c r="EL64" t="str">
        <f t="shared" si="46"/>
        <v/>
      </c>
      <c r="EM64">
        <f t="shared" si="47"/>
        <v>0</v>
      </c>
      <c r="EN64">
        <f>IF(AD64="","",IF(EM64=1,MAX(EE64,Мин_автомат_БП),EE64))</f>
        <v>16</v>
      </c>
      <c r="EO64" t="str">
        <f t="shared" si="48"/>
        <v>1P</v>
      </c>
      <c r="EP64" t="str">
        <f t="shared" si="49"/>
        <v>1P С16А</v>
      </c>
      <c r="EQ64">
        <f t="shared" si="50"/>
        <v>16</v>
      </c>
      <c r="ER64" t="str">
        <f>IF(OR(AI64="",AI64="-"),"",IFERROR(VLOOKUP(AI64,Модули_спр,2,FALSE),"R"))</f>
        <v/>
      </c>
      <c r="ES64" t="str">
        <f>IF(ER64="","",ER64&amp;"."&amp;COUNTIFS(A$3:A64,A64,ER$3:ER64,ER64))</f>
        <v/>
      </c>
      <c r="ET64" t="str">
        <f t="shared" si="51"/>
        <v/>
      </c>
      <c r="EU64" t="str">
        <f t="shared" si="52"/>
        <v/>
      </c>
      <c r="EV64" t="str">
        <f t="shared" si="53"/>
        <v/>
      </c>
      <c r="EW64" t="str">
        <f t="shared" si="54"/>
        <v/>
      </c>
      <c r="EX64">
        <f t="shared" si="55"/>
        <v>1</v>
      </c>
      <c r="EY64" t="str">
        <f>IF(AK64="нет","",IF(AK64&lt;&gt;"",AK64,IF(EX64=1,"XT"&amp;COUNTIFS(A$3:A64,A64,EX$3:EX64,1),"")))</f>
        <v/>
      </c>
      <c r="EZ64" t="str">
        <f t="shared" si="56"/>
        <v>QF11</v>
      </c>
      <c r="FA64" t="str">
        <f t="shared" si="57"/>
        <v/>
      </c>
      <c r="FB64" t="str">
        <f t="shared" si="58"/>
        <v>ok</v>
      </c>
      <c r="FC64" t="str">
        <f>IF(OR(EV64="",ET64=""),"",IF(EV64&gt;IFERROR(VLOOKUP(EU64,Модули_спр,3,FALSE),99),"ЛИШНИЙ КАНАЛ",IF(AND(AJ64&lt;&gt;"=",COUNTIFS(Линии[_модуль гр.],ET64,Линии[Канал (итог)],EV64,Линии[Канал],"&lt;&gt;=",Линии[Щит],A64)&gt;1),"ДУБЛЬ КАНАЛА","")))</f>
        <v/>
      </c>
      <c r="FD64">
        <f t="shared" si="59"/>
        <v>16</v>
      </c>
      <c r="FE64" t="str">
        <f t="shared" si="60"/>
        <v>1P С16А</v>
      </c>
      <c r="FF64">
        <f t="shared" si="61"/>
        <v>0</v>
      </c>
      <c r="FG64">
        <f t="shared" si="62"/>
        <v>0</v>
      </c>
      <c r="FH64" t="str">
        <f t="shared" si="63"/>
        <v/>
      </c>
      <c r="FI64">
        <f t="shared" si="64"/>
        <v>10</v>
      </c>
      <c r="FJ64" t="str">
        <f t="shared" si="65"/>
        <v/>
      </c>
      <c r="FK64" t="str">
        <f>IF(AND(D64="",EZ64=""),"",_xlfn.TEXTJOIN("; ",TRUE,IF(AND(D64&lt;&gt;"",DD64=""),"нет фазы",""),IF(AND(D64&lt;&gt;"",N(DT64)=0,CN64&lt;&gt;"Нет"),"нет мощности",""),IF(AND(EY64&lt;&gt;"",COUNTIFS(Линии[Щит],A64,Линии[Клемма (итог)],EY64)&gt;1),"дубль клеммы "&amp;EY64,""),IF(AND(FB64&lt;&gt;"",FB64&lt;&gt;"ok"),FB64,""),IF(FC64&lt;&gt;"",FC64,""),IF(AND(ISNUMBER(SEARCH("(5х",DS64)),N(DV64)=1),"5 жил на 1 фазе",""),IF(AND(AT64="R",AD64&lt;&gt;"",OR(N(EH64)=0,N(EH64)&gt;30)),"розетка без дифзащиты до 30 мА",""),IFERROR(IF(AND(ISNUMBER(CD64),CD64&gt;CE64),"потери "&amp;FIXED(CD64,1)&amp;" % &gt; "&amp;CE64&amp;" %",""),""),IFERROR(IF(LEFT(FJ64,4)="мало","Iкз мало — отключение &gt; 0,4 с",""),""),IF(AND(D64&lt;&gt;"",BD64=""),"не на схеме","")))</f>
        <v/>
      </c>
      <c r="FL64">
        <f>IF(AD64="","",_xlfn.LET(_xlpm.t,IFERROR(_xlfn.XLOOKUP(EP64,Каталог!$U$4:$U$500,Каталог!$G$4:$G$500),""),_xlpm.k,SEARCH("кА",_xlpm.t),IFERROR(--TRIM(RIGHT(SUBSTITUTE(MID(_xlpm.t,MAX(1,_xlpm.k-4),_xlpm.k-MAX(1,_xlpm.k-4))," ",REPT(" ",9)),5)),"")))</f>
        <v>6</v>
      </c>
      <c r="FM64" t="str">
        <f>IF(OR(FL64="",AD64=""),"",IF(_xlfn.XLOOKUP(A64,Щиты[Щит],Щиты[Iкз max на шинах, кА],"")="","",IF(FL64&lt;_xlfn.XLOOKUP(A64,Щиты[Щит],Щиты[Iкз max на шинах, кА]),"Icu "&amp;FL64&amp;" кА &lt; Iкз max","ok")))</f>
        <v/>
      </c>
      <c r="FN64" t="str">
        <f t="shared" si="66"/>
        <v>QF11</v>
      </c>
      <c r="FO64" t="str">
        <f t="shared" si="67"/>
        <v>QF11|кабель ВВГнг(А)-LS (3х2,5) → Приточно-вытяжная установка Подвальный этаж Пом. №006Т</v>
      </c>
      <c r="FP64" t="str" cm="1">
        <f t="array" ref="FP64">IF(FO64="","",_xlfn.LET(_xlpm.nd,_xlfn.TEXTSPLIT(FO64,"|"),IF(COLUMNS(_xlpm.nd)&gt;1,A64&amp;"¦"&amp;INDEX(_xlpm.nd,1)&amp;"¦"&amp;INDEX(_xlpm.nd,2),"")))</f>
        <v>ЩОВ-001¦QF11¦кабель ВВГнг(А)-LS (3х2,5) → Приточно-вытяжная установка Подвальный этаж Пом. №006Т</v>
      </c>
      <c r="FQ64" t="str">
        <f t="shared" si="68"/>
        <v>ПВ.2¦Приточно-вытяжная установка Подвальный этаж Пом. №006Т</v>
      </c>
      <c r="FR64" t="str" cm="1">
        <f t="array" ref="FR64">IF(FO64="","",_xlfn.LET(_xlpm.nd,_xlfn.TEXTSPLIT(FO64,"|"),IF(COLUMNS(_xlpm.nd)&gt;2,A64&amp;"¦"&amp;INDEX(_xlpm.nd,2)&amp;"¦"&amp;INDEX(_xlpm.nd,3),"")))</f>
        <v/>
      </c>
      <c r="FS64" t="str">
        <f t="shared" si="69"/>
        <v/>
      </c>
      <c r="FT64" t="str" cm="1">
        <f t="array" ref="FT64">IF(FO64="","",_xlfn.LET(_xlpm.nd,_xlfn.TEXTSPLIT(FO64,"|"),IF(COLUMNS(_xlpm.nd)&gt;3,A64&amp;"¦"&amp;INDEX(_xlpm.nd,3)&amp;"¦"&amp;INDEX(_xlpm.nd,4),"")))</f>
        <v/>
      </c>
      <c r="FU64" t="str">
        <f t="shared" si="70"/>
        <v/>
      </c>
      <c r="FV64" t="str" cm="1">
        <f t="array" ref="FV64">IF(FO64="","",_xlfn.LET(_xlpm.nd,_xlfn.TEXTSPLIT(FO64,"|"),IF(COLUMNS(_xlpm.nd)&gt;4,A64&amp;"¦"&amp;INDEX(_xlpm.nd,4)&amp;"¦"&amp;INDEX(_xlpm.nd,5),"")))</f>
        <v/>
      </c>
      <c r="FW64" t="str">
        <f t="shared" si="71"/>
        <v/>
      </c>
      <c r="FX64" t="str" cm="1">
        <f t="array" ref="FX64">IF(FO64="","",_xlfn.LET(_xlpm.nd,_xlfn.TEXTSPLIT(FO64,"|"),IF(COLUMNS(_xlpm.nd)&gt;5,A64&amp;"¦"&amp;INDEX(_xlpm.nd,5)&amp;"¦"&amp;INDEX(_xlpm.nd,6),"")))</f>
        <v/>
      </c>
      <c r="FY64" t="str">
        <f t="shared" si="72"/>
        <v/>
      </c>
      <c r="FZ64" t="str" cm="1">
        <f t="array" ref="FZ64">IF(FO64="","",_xlfn.LET(_xlpm.nd,_xlfn.TEXTSPLIT(FO64,"|"),IF(COLUMNS(_xlpm.nd)&gt;6,A64&amp;"¦"&amp;INDEX(_xlpm.nd,6)&amp;"¦"&amp;INDEX(_xlpm.nd,7),"")))</f>
        <v/>
      </c>
      <c r="GA64" t="str">
        <f t="shared" si="73"/>
        <v/>
      </c>
      <c r="GB64" t="str">
        <f t="shared" si="74"/>
        <v/>
      </c>
      <c r="GC64" t="str">
        <f t="shared" si="75"/>
        <v>QF11</v>
      </c>
      <c r="GD64">
        <f t="shared" si="76"/>
        <v>1</v>
      </c>
      <c r="GE64">
        <f t="shared" si="77"/>
        <v>0</v>
      </c>
      <c r="GF64">
        <f t="shared" si="78"/>
        <v>0</v>
      </c>
      <c r="GG64" t="str">
        <f t="shared" si="79"/>
        <v/>
      </c>
      <c r="GH64" t="str">
        <f t="shared" si="80"/>
        <v/>
      </c>
      <c r="GI64" t="str">
        <f t="shared" si="81"/>
        <v/>
      </c>
      <c r="GJ64" t="str">
        <f t="shared" si="82"/>
        <v/>
      </c>
      <c r="GK64" t="str">
        <f>IF(D64="","",IFERROR(VLOOKUP(D64,УГО_спр,2,FALSE),IFERROR(VLOOKUP(AT64,УГО_спр,2,FALSE),IFERROR(VLOOKUP(LEFT(AT64,2),УГО_спр,2,FALSE),""))))</f>
        <v>Привод (двигатель)</v>
      </c>
      <c r="GL64" t="str">
        <f>IF(D64="","",IF(OR(GK64="",GK64=0),"BOX",IFERROR(IF(VLOOKUP(GK64,УГО_блоки,3,FALSE)&amp;""&lt;&gt;"",VLOOKUP(GK64,УГО_блоки,3,FALSE),VLOOKUP(GK64,УГО_блоки,2,FALSE)),GK64)))</f>
        <v>MOTOR</v>
      </c>
      <c r="GM64">
        <f t="shared" si="83"/>
        <v>1</v>
      </c>
      <c r="GN64">
        <f>IF(EP64="","",IF(COUNTIF(EP$3:EP64,EP64)=1,MAX(GN$2:GN63)+1,""))</f>
        <v>4</v>
      </c>
      <c r="GO64" t="str">
        <f>IF(AF64="","",IF(COUNTIF(AF$3:AF64,AF64)+COUNTIF(AG$2:AG63,AF64)+COUNTIF(AH$2:AH63,AF64)=1,MAX(GO$2:GQ63)+1,""))</f>
        <v/>
      </c>
      <c r="GP64" t="str">
        <f>IF(AG64="","",IF(COUNTIF(AF$3:AF64,AG64)+COUNTIF(AG$3:AG64,AG64)+COUNTIF(AH$2:AH63,AG64)=1,MAX(GO$2:GQ63,GO64)+1,""))</f>
        <v/>
      </c>
      <c r="GQ64" t="str">
        <f>IF(AH64="","",IF(COUNTIF(AF$3:AF64,AH64)+COUNTIF(AG$3:AG64,AH64)+COUNTIF(AH$3:AH64,AH64)=1,MAX(GO$2:GQ63,GO64,GP64)+1,""))</f>
        <v/>
      </c>
      <c r="GR64" t="str">
        <f t="shared" si="84"/>
        <v>3х2,5</v>
      </c>
      <c r="GS64" t="str">
        <f>IF(GR64="","",IF(COUNTIF(GR$3:GR64,GR64)=1,MAX(GS$2:GS63)+1,""))</f>
        <v/>
      </c>
      <c r="GT64" t="str">
        <f>IF(ES64="","",COUNTIF(ES$3:ES64,"?*"))</f>
        <v/>
      </c>
      <c r="GU64" t="str">
        <f>IF(OR(ES64="",EU64=""),"",IF(COUNTIFS(ES$3:ES64,"?*",EU$3:EU64,EU64)=1,MAX(GU$2:GU63)+1,""))</f>
        <v/>
      </c>
      <c r="GV64">
        <f t="shared" si="85"/>
        <v>0</v>
      </c>
      <c r="GW64">
        <f>IF(D64="","",COUNTIF(D$3:D64,"?*"))</f>
        <v>62</v>
      </c>
      <c r="GX64">
        <f>IF(EX64&lt;&gt;1,0,_xlfn.LET(_xlpm.k,MAX(IFERROR(--VLOOKUP(D64,УГО_спр,5,FALSE),0),IFERROR(--VLOOKUP(AT64,УГО_спр,5,FALSE),0),IFERROR(--VLOOKUP(LEFT(AT64,2),УГО_спр,5,FALSE),0)),IF(_xlpm.k&gt;0,_xlpm.k,IF(IFERROR(--LEFT(SUBSTITUTE(GR64,"x","х"),FIND("х",SUBSTITUTE(GR64,"x","х"))-1),3)&gt;3,Каталог!$S$9,1))))</f>
        <v>1</v>
      </c>
      <c r="GY64">
        <f t="shared" si="86"/>
        <v>0</v>
      </c>
    </row>
    <row r="65" spans="1:207" x14ac:dyDescent="0.3">
      <c r="A65" t="s">
        <v>752</v>
      </c>
      <c r="B65">
        <v>27</v>
      </c>
      <c r="C65" t="str">
        <f>IF(BD65="","",IF(BE65="вводной узел","узел ","")&amp;"л."&amp;(INT((BD65-1)/Столбцов_на_лист)+1)&amp;" / "&amp;(MOD(BD65-1,Столбцов_на_лист)+1))</f>
        <v>л.2 / 10</v>
      </c>
      <c r="D65" t="s">
        <v>1341</v>
      </c>
      <c r="E65" s="133" t="s">
        <v>1340</v>
      </c>
      <c r="G65">
        <v>0.36</v>
      </c>
      <c r="H65">
        <v>1</v>
      </c>
      <c r="I65">
        <v>1</v>
      </c>
      <c r="J65">
        <v>230</v>
      </c>
      <c r="K65" t="s">
        <v>602</v>
      </c>
      <c r="L65">
        <v>0.5</v>
      </c>
      <c r="O65">
        <v>2</v>
      </c>
      <c r="P65">
        <v>24</v>
      </c>
      <c r="R65">
        <v>28</v>
      </c>
      <c r="T65">
        <v>1</v>
      </c>
      <c r="U65" t="s">
        <v>11</v>
      </c>
      <c r="V65">
        <v>3</v>
      </c>
      <c r="W65">
        <v>1.5</v>
      </c>
      <c r="X65">
        <v>10</v>
      </c>
      <c r="Z65" t="s">
        <v>584</v>
      </c>
      <c r="AA65" t="s">
        <v>818</v>
      </c>
      <c r="AD65" t="s">
        <v>517</v>
      </c>
      <c r="AK65" t="s">
        <v>488</v>
      </c>
      <c r="AR65" t="str">
        <f t="shared" si="0"/>
        <v/>
      </c>
      <c r="AS65" cm="1">
        <f t="array" ref="AS65">ROW()-ROW(Линии[#Headers])</f>
        <v>63</v>
      </c>
      <c r="AT65" t="str">
        <f t="shared" si="1"/>
        <v>ПВ</v>
      </c>
      <c r="AU65" t="str">
        <f t="shared" si="2"/>
        <v>3</v>
      </c>
      <c r="AV65" t="str">
        <f t="shared" si="3"/>
        <v>3</v>
      </c>
      <c r="AW65" t="str">
        <f t="shared" si="4"/>
        <v/>
      </c>
      <c r="AX65" t="str">
        <f t="shared" si="5"/>
        <v/>
      </c>
      <c r="AY65" t="str">
        <f>IF(D65="","",IF(ISERROR(SEARCH(".",D65)),IFERROR(VLOOKUP(D65,Потребители_обозначение,2,FALSE)&amp;"",""),IFERROR(IF(VLOOKUP(AT65,Потребители_обозначение,4,FALSE)=1,VLOOKUP(AT65,Потребители_обозначение,2,FALSE)&amp;" "&amp;VLOOKUP(AV65,Этаж_обозначение,2,FALSE)&amp;" Пом. №"&amp;AX65,VLOOKUP(AT65,Потребители_обозначение,2,FALSE)&amp;" Шлейф №"&amp;AV65),IFERROR(VLOOKUP(D65,Потребители_обозначение,2,FALSE),""))))</f>
        <v>Приточно-вытяжная установка Шлейф №3</v>
      </c>
      <c r="AZ65" t="str">
        <f t="shared" si="6"/>
        <v>Приточно-вытяжная установка Подвальный этаж Пом. №006Т</v>
      </c>
      <c r="BA65" t="str">
        <f>IF(F65&lt;&gt;"",F65,IF(AND(D65&lt;&gt;"",D65&lt;&gt;A65,ISNUMBER(_xlfn.XMATCH(D65,Щиты[Щит]))),D65,""))</f>
        <v/>
      </c>
      <c r="BB65">
        <f>IFERROR(_xlfn.XMATCH(A65,Щиты[Щит]),0)</f>
        <v>4</v>
      </c>
      <c r="BC65">
        <f>IFERROR(N(_xlfn.XLOOKUP(A65,Щиты[Щит],Щиты[Мест под вводной узел])),15)</f>
        <v>13</v>
      </c>
      <c r="BD65">
        <f t="shared" si="7"/>
        <v>27</v>
      </c>
      <c r="BE65" t="str">
        <f t="shared" si="8"/>
        <v>линии</v>
      </c>
      <c r="BF65">
        <f>IF(D65="","",IF(BA65&lt;&gt;"",IFERROR(_xlfn.XLOOKUP(BA65,Щиты[Щит],Щиты[Руст, кВт]),0),N(G65)))</f>
        <v>0.36</v>
      </c>
      <c r="BG65">
        <f>IF(J65&lt;&gt;"",J65,IF(D65="","",IFERROR(IF(VLOOKUP(AT65,Потребители_обозначение,8,FALSE)=0,"",VLOOKUP(AT65,Потребители_обозначение,8,FALSE)),"")))</f>
        <v>230</v>
      </c>
      <c r="BH65">
        <f>IF(I65&lt;&gt;"",I65,IF(D65="","",IFERROR(IF(VLOOKUP(AT65,Потребители_обозначение,9,FALSE)=0,"",VLOOKUP(AT65,Потребители_обозначение,9,FALSE)),"")))</f>
        <v>1</v>
      </c>
      <c r="BI65" t="str">
        <f>IF(U65&lt;&gt;"",U65,IF(D65="","",IFERROR(IF(VLOOKUP(AT65,Потребители_обозначение,6,FALSE)=0,"",VLOOKUP(AT65,Потребители_обозначение,6,FALSE)),"")))</f>
        <v>мс</v>
      </c>
      <c r="BJ65">
        <f>IF(V65&lt;&gt;"",V65,IF(D65="","",IFERROR(IF(VLOOKUP(AT65,Потребители_обозначение,7,FALSE)=0,"",VLOOKUP(AT65,Потребители_обозначение,7,FALSE)),"")))</f>
        <v>3</v>
      </c>
      <c r="BK65">
        <f>IF(W65&lt;&gt;"",W65,IF(D65="","",IFERROR(IF(VLOOKUP(AT65,Потребители_обозначение,10,FALSE)=0,"",VLOOKUP(AT65,Потребители_обозначение,10,FALSE)),"")))</f>
        <v>1.5</v>
      </c>
      <c r="BL65">
        <f>IFERROR(VLOOKUP(AT65,Потребители_обозначение,5,FALSE),0)</f>
        <v>1</v>
      </c>
      <c r="BM65" cm="1">
        <f t="array" ref="BM65">IF(D65="","",IF(BA65&lt;&gt;"",IFERROR(_xlfn.XLOOKUP(BA65,Щиты[Щит],Щиты[cos φ]),0.95),IF(ISNUMBER(M65),M65,IFERROR(IF(BL65=2,_xlfn.IFS(BH65=3,VLOOKUP(BF65,Справочная_двигатели,8,FALSE),BH65=1,VLOOKUP(BF65,Справочная_двигатели,10,TRUE)),IF(AND(Методика="нормы 2026",CN65="Сил"),0.8,0.95)),0.95))))</f>
        <v>0.95</v>
      </c>
      <c r="BN65" cm="1">
        <f t="array" ref="BN65">IF(D65="","",IF(BA65&lt;&gt;"",IFERROR(_xlfn.XLOOKUP(BA65,Щиты[Щит],Щиты[Iр, А]),""),IFERROR(_xlfn.IFS(BH65=1,BF65/((Uн_лин/SQRT(3))*BM65),BH65=3,BF65/(SQRT(3)*Uн_лин*BM65)),"")))</f>
        <v>1.6408902387494626</v>
      </c>
      <c r="BO65">
        <f>IF(D65="","",IF(N(X65)=0,IFERROR(VLOOKUP(BN65,Автомат_номиналы,2,TRUE),""),X65))</f>
        <v>10</v>
      </c>
      <c r="BP65">
        <f t="shared" si="9"/>
        <v>1</v>
      </c>
      <c r="BQ65">
        <f>IF(ISNUMBER(Y65),Y65,К_прокл)</f>
        <v>1</v>
      </c>
      <c r="BR65">
        <f t="shared" si="10"/>
        <v>2</v>
      </c>
      <c r="BS65" cm="1">
        <f t="array" ref="BS65">IF(D65="","",IF(N(BK65)&lt;&gt;0,BK65,IFERROR(_xlfn.LET(_xlpm.need,BO65/(BP65*BQ65),_xlpm.t,CHOOSE(BR65,Iдоп_1ж,Iдоп_2ж,Iдоп_3ж),_xlpm.k,_xlfn.XMATCH(_xlpm.need,_xlpm.t,1),IF(ISNA(_xlpm.k),"Не исп",INDEX(Iдоп_S,_xlpm.k))),"Не исп")))</f>
        <v>1.5</v>
      </c>
      <c r="BT65">
        <f>IFERROR(VLOOKUP(BS65,Кабель_сопротивление,3,FALSE),"")</f>
        <v>2.2499999999999999E-2</v>
      </c>
      <c r="BU65">
        <f>IFERROR(VLOOKUP(BS65,Кабель_сопротивление,2,FALSE),"")</f>
        <v>0.11</v>
      </c>
      <c r="BV65">
        <f t="shared" si="11"/>
        <v>24</v>
      </c>
      <c r="BW65">
        <f>IF(D65="","",IFERROR(IF(VLOOKUP(AT65,Потребители_обозначение,4,FALSE)=1,VLOOKUP(AT65,Потребители_обозначение,3,FALSE)*(H65*2-1)+BV65+VLOOKUP(AV65,Этаж_обозначение,3,FALSE)+VLOOKUP(AV65,Этаж_обозначение,4,FALSE),VLOOKUP(AT65,Потребители_обозначение,3,FALSE)*(H65*2-1)+BV65),BV65))</f>
        <v>28</v>
      </c>
      <c r="BX65">
        <f t="shared" si="12"/>
        <v>28</v>
      </c>
      <c r="BY65">
        <f t="shared" si="13"/>
        <v>0</v>
      </c>
      <c r="BZ65">
        <f t="shared" si="14"/>
        <v>2</v>
      </c>
      <c r="CA65">
        <f t="shared" si="15"/>
        <v>0.31</v>
      </c>
      <c r="CB65">
        <f t="shared" si="16"/>
        <v>1.3125638545219869</v>
      </c>
      <c r="CC65">
        <f>IFERROR(ROUNDUP(CB65/((Uн_лин/SQRT(3))*1000)*100,2),"")</f>
        <v>0.57000000000000006</v>
      </c>
      <c r="CD65">
        <f>IF(ISNUMBER(CC65),CC65+IFERROR(_xlfn.XLOOKUP(A65,Щиты[Щит],Щиты[ΔU до шин, %]),0),"")</f>
        <v>1.07</v>
      </c>
      <c r="CE65">
        <f>IF(D65="","",IF(IFERROR(VLOOKUP(AT65,УГО_спр,2,FALSE),"")="Светильник",3,4)+IF(Методика="нормы 2026",MIN(0.5,MAX(0,N(BW65)-100)*0.005),0))</f>
        <v>4</v>
      </c>
      <c r="CF65" t="str">
        <f>IFERROR(VLOOKUP(BI65,Кабель_обозначение,2,FALSE),"")</f>
        <v>ВВГнг(А)-LS</v>
      </c>
      <c r="CG65" t="str">
        <f>IFERROR(IF(VLOOKUP(BI65,Кабель_обозначение,3,FALSE)=1,CF65&amp;" ("&amp;BJ65&amp;"х"&amp;BS65&amp;")",CF65),"")</f>
        <v>ВВГнг(А)-LS (3х1,5)</v>
      </c>
      <c r="CH65" t="str">
        <f t="shared" si="17"/>
        <v>ВВГнг(А)-LS (3х1,5)
L=28-0,57%</v>
      </c>
      <c r="CI65">
        <f>IFERROR(2*ρкз_Cu*BW65/BS65,"")</f>
        <v>0.98186666666666678</v>
      </c>
      <c r="CJ65">
        <f t="shared" si="18"/>
        <v>0.32666666666666672</v>
      </c>
      <c r="CK65" t="str">
        <f>IFERROR(IF(OR(D65="",NOT(ISNUMBER(BS65)),N(BW65)=0),"",_xlfn.XLOOKUP(A65,Щиты[Щит],Щиты[Zпетли на шинах, Ом])+CI65),"")</f>
        <v/>
      </c>
      <c r="CL65" t="str">
        <f>IF(ISNUMBER(CK65),c_min*(Uн_лин*1000/SQRT(3))/CK65,"")</f>
        <v/>
      </c>
      <c r="CM65" t="str">
        <f>IFERROR(IF(OR(D65="",NOT(ISNUMBER(BS65))),"",1.05*(Uн_лин*1000/SQRT(3))/(_xlfn.XLOOKUP(A65,Щиты[Щит],Щиты[Zmax на шинах, Ом])+CJ65)/1000),"")</f>
        <v/>
      </c>
      <c r="CN65" t="str">
        <f>IF(D65="","",IF(BA65&lt;&gt;"","Щит",IF(K65&lt;&gt;"",K65,IF(ISNUMBER(L65),"Сил",IF(IFERROR(_xlfn.XLOOKUP(AT65,Коды_код,Коды_группа)&amp;"","")="","Быт",_xlfn.XLOOKUP(AT65,Коды_код,Коды_группа)&amp;"")))))</f>
        <v>Сил</v>
      </c>
      <c r="CO65">
        <f>IF(CN65="Щит","щит",IF(CN65="","",IF(CN65="Быт",IFERROR(_xlfn.XLOOKUP(A65,Щиты[Щит],Щиты[Кс быт]),1),IF(CN65="Сил",IF(ISNUMBER(L65),L65,IF(Методика="нормы 2026",IFERROR(_xlfn.XLOOKUP(A65,Щиты[Щит],Щиты[Кс силовых (табл. 7.5)]),1),1)),IF(OR(CN65="Пост",CN65="Отоп"),1,IF(CN65="ВНГ",0.7,0))))))</f>
        <v>0.5</v>
      </c>
      <c r="CP65">
        <f t="shared" si="19"/>
        <v>1</v>
      </c>
      <c r="CQ65">
        <f t="shared" si="20"/>
        <v>0.36</v>
      </c>
      <c r="CR65">
        <f t="shared" si="21"/>
        <v>0</v>
      </c>
      <c r="CS65">
        <f t="shared" si="22"/>
        <v>0.18</v>
      </c>
      <c r="CT65">
        <f t="shared" si="23"/>
        <v>0</v>
      </c>
      <c r="CU65">
        <f t="shared" si="24"/>
        <v>0</v>
      </c>
      <c r="CV65">
        <f t="shared" si="25"/>
        <v>0</v>
      </c>
      <c r="CW65">
        <f t="shared" si="26"/>
        <v>0.36</v>
      </c>
      <c r="CX65">
        <f t="shared" si="27"/>
        <v>0.34199999999999997</v>
      </c>
      <c r="CY65">
        <f t="shared" si="28"/>
        <v>3</v>
      </c>
      <c r="CZ65" t="str">
        <f t="shared" si="29"/>
        <v>L3</v>
      </c>
      <c r="DA65" cm="1">
        <f t="array" ref="DA65">IFERROR(IF(BL65=2,_xlfn.IFS(BH65=3,VLOOKUP(BF65,Справочная_двигатели,3,FALSE),BH65=1,VLOOKUP(BF65,Справочная_двигатели,5,TRUE)),0),0)</f>
        <v>0</v>
      </c>
      <c r="DB65">
        <f>IFERROR(IF(BL65=3,VLOOKUP(BF65,Справочная_ЛЭД,2,TRUE),0),0)</f>
        <v>0</v>
      </c>
      <c r="DC65">
        <f t="shared" si="30"/>
        <v>0</v>
      </c>
      <c r="DD65" t="str">
        <f t="shared" si="31"/>
        <v>L2</v>
      </c>
      <c r="DE65" t="str" cm="1">
        <f t="array" ref="DE65">IF(D65="","",IFERROR(INDEX({"I особая","I","II","III"},MATCH(TRIM(AA65&amp;""),{"I особая","I","II","III"},0)),"III"))</f>
        <v>II</v>
      </c>
      <c r="DF65" t="str">
        <f>IF(D65="","",IF(TRIM(AB65&amp;"")&lt;&gt;"",IF(LOWER(TRIM(AB65&amp;""))="да","да","нет"),IF(IFERROR(_xlfn.XLOOKUP(AT65,Коды_код,Коды_пожарная),"")="да","да","нет")))</f>
        <v>нет</v>
      </c>
      <c r="DG65" t="str">
        <f t="shared" si="32"/>
        <v/>
      </c>
      <c r="DH65" t="str">
        <f t="shared" si="33"/>
        <v>основная</v>
      </c>
      <c r="DI65">
        <f t="shared" si="34"/>
        <v>1</v>
      </c>
      <c r="DJ65" t="str" cm="1">
        <f t="array" ref="DJ65">IF(D65="","",_xlfn.LET(_xlpm.t,IFERROR(_xlfn.XLOOKUP(1,(Шины[Шина]=DH65)*(((Шины[Щит]=A65)+(Шины[Щит]=""))&gt;0),Шины[Тип]),"")&amp;"",IF(_xlpm.t&lt;&gt;"",_xlpm.t,IF(ISNUMBER(SEARCH("ИБП",DH65)),"ИБП",IF(ISNUMBER(SEARCH("ДГУ",DH65)),"ДГУ","Ввод "&amp;DI65)))))</f>
        <v>Ввод 1</v>
      </c>
      <c r="DK65" t="str">
        <f t="shared" si="35"/>
        <v>Ввод 1</v>
      </c>
      <c r="DL65" t="str">
        <f>IF(D65="","",IF(OR(DJ65="ИБП",DJ65="ДГУ"),"I особая",IF(DJ65="Одиночная","III",_xlfn.XLOOKUP(A65,Щиты[Щит],Щиты[Категория шины «Ввод»],"III"))))</f>
        <v>II</v>
      </c>
      <c r="DM65">
        <f>IF(D65="",0,IFERROR(MATCH(DE65,{"III","II","I","I особая"},0),1))</f>
        <v>2</v>
      </c>
      <c r="DN65">
        <f t="shared" si="36"/>
        <v>2</v>
      </c>
      <c r="DO65" t="str">
        <f>IF(D65="","",IF(DM65&gt;IFERROR(MATCH(DL65,{"III","II","I","I особая"},0),1),"НЕ ОБЕСПЕЧЕНА","ОК"))</f>
        <v>ОК</v>
      </c>
      <c r="DP65" t="str">
        <f>IF(A65="","",_xlfn.XLOOKUP(A65,Щиты[Щит],Щиты[Путь],""))</f>
        <v>|ГРЩ-ЖД|ЩОВ-001|</v>
      </c>
      <c r="DQ65" t="str">
        <f>IF(D65="","",IF(Z65&lt;&gt;"",Z65,IF(IFERROR(_xlfn.XLOOKUP(AT65,Коды_код,Коды_вид)&amp;"","")="","Прочее",_xlfn.XLOOKUP(AT65,Коды_код,Коды_вид)&amp;"")))</f>
        <v>Вентиляция</v>
      </c>
      <c r="DR65">
        <f>IF(BD65="","",INT((BD65-1)/Столбцов_на_лист)+1)</f>
        <v>2</v>
      </c>
      <c r="DS65" t="str">
        <f t="shared" si="37"/>
        <v>ВВГнг(А)-LS (3х1,5) L=28-0,57%</v>
      </c>
      <c r="DT65">
        <f t="shared" si="38"/>
        <v>0.36</v>
      </c>
      <c r="DU65">
        <f t="shared" si="39"/>
        <v>1.65</v>
      </c>
      <c r="DV65">
        <f t="shared" si="40"/>
        <v>1</v>
      </c>
      <c r="DW65">
        <f>IF(AT65="",0,_xlfn.LET(_xlpm.v,IFERROR(VLOOKUP(D65,УГО_спр,3,FALSE),IFERROR(VLOOKUP(AT65,УГО_спр,3,FALSE),IFERROR(VLOOKUP(LEFT(AT65,2),УГО_спр,3,FALSE),""))),IF(_xlpm.v="да",30,IF(ISNUMBER(_xlpm.v),_xlpm.v,0))))</f>
        <v>0</v>
      </c>
      <c r="DX65">
        <f t="shared" si="41"/>
        <v>0</v>
      </c>
      <c r="DY65">
        <f>IF(BD65="","",IF(AD65&lt;&gt;"",COUNTIFS(A$3:A65,A65,AD$3:AD65,"?*"),IF(OR(OR(AS65=1,A65&lt;&gt;A64),AL65="вручную"),"",IF(AS65=1,"",DZ64))))</f>
        <v>12</v>
      </c>
      <c r="DZ65">
        <f t="shared" si="42"/>
        <v>12</v>
      </c>
      <c r="EA65">
        <f>IF(D65="",0,MAX(IFERROR(--X65,0),IFERROR(--VLOOKUP(D65,УГО_спр,4,FALSE),IFERROR(--VLOOKUP(AT65,УГО_спр,4,FALSE),IFERROR(--VLOOKUP(LEFT(AT65,2),УГО_спр,4,FALSE),0)))))</f>
        <v>10</v>
      </c>
      <c r="EB65">
        <f>IF(D65="","",IFERROR(LOOKUP(INDEX(CHOOSE(BR65,Iдоп_1ж,Iдоп_2ж,Iдоп_3ж),MATCH(BS65,Iдоп_S,0))*BP65*BQ65,{6,10,16,20,25,32,40,50,63,80,100,125,160,200,250,315,400,500,630}),""))</f>
        <v>16</v>
      </c>
      <c r="EC65">
        <f>IF(AD65="","",SUMIFS(Линии[_Ток схемы],Линии[_гр.],DY65,Линии[Щит],A65,Линии[_в кабель выше],0))</f>
        <v>1.65</v>
      </c>
      <c r="ED65">
        <f>IF(AD65="","",IFERROR(VLOOKUP(EC65,Автомат_номиналы,2,TRUE),""))</f>
        <v>6</v>
      </c>
      <c r="EE65">
        <f>IF(AD65="","",MAX(N(ED65),_xlfn.MAXIFS(Линии[_мин. по типу],Линии[_гр.],DY65,Линии[Щит],A65)))</f>
        <v>10</v>
      </c>
      <c r="EF65">
        <f>IF(AD65="","",_xlfn.MINIFS(Линии[_макс. автомат по кабелю],Линии[_гр.],DY65,Линии[Щит],A65))</f>
        <v>16</v>
      </c>
      <c r="EG65">
        <f>IF(AD65="","",MAX(1,_xlfn.MAXIFS(Линии[_фаз],Линии[_гр.],DY65,Линии[Щит],A65)))</f>
        <v>1</v>
      </c>
      <c r="EH65">
        <f>IF(AD65="","",IF(AND(AD65&lt;&gt;"авто",AD65&lt;&gt;"+"),IF(ISNUMBER(SEARCH("мА",AD65)),IFERROR(--TRIM(RIGHT(SUBSTITUTE(LEFT(AD65,SEARCH("мА",AD65)-1)," ",REPT(" ",9)),6)),30),0),IF(AE65="нет",0,IF(ISNUMBER(AE65),AE65,IF(AE65="да",30,_xlfn.MINIFS(Линии[_дифзащита по коду, мА],Линии[_гр.],DY65,Линии[Щит],A65,Линии[_дифзащита по коду, мА],"&gt;0"))))))</f>
        <v>0</v>
      </c>
      <c r="EI65">
        <f t="shared" si="43"/>
        <v>0</v>
      </c>
      <c r="EJ65" t="str">
        <f t="shared" si="44"/>
        <v>QF12</v>
      </c>
      <c r="EK65" t="str">
        <f t="shared" si="45"/>
        <v>QF12</v>
      </c>
      <c r="EL65" t="str">
        <f t="shared" si="46"/>
        <v/>
      </c>
      <c r="EM65">
        <f t="shared" si="47"/>
        <v>0</v>
      </c>
      <c r="EN65">
        <f>IF(AD65="","",IF(EM65=1,MAX(EE65,Мин_автомат_БП),EE65))</f>
        <v>10</v>
      </c>
      <c r="EO65" t="str">
        <f t="shared" si="48"/>
        <v>1P</v>
      </c>
      <c r="EP65" t="str">
        <f t="shared" si="49"/>
        <v>1P С10А</v>
      </c>
      <c r="EQ65">
        <f t="shared" si="50"/>
        <v>10</v>
      </c>
      <c r="ER65" t="str">
        <f>IF(OR(AI65="",AI65="-"),"",IFERROR(VLOOKUP(AI65,Модули_спр,2,FALSE),"R"))</f>
        <v/>
      </c>
      <c r="ES65" t="str">
        <f>IF(ER65="","",ER65&amp;"."&amp;COUNTIFS(A$3:A65,A65,ER$3:ER65,ER65))</f>
        <v/>
      </c>
      <c r="ET65" t="str">
        <f t="shared" si="51"/>
        <v/>
      </c>
      <c r="EU65" t="str">
        <f t="shared" si="52"/>
        <v/>
      </c>
      <c r="EV65" t="str">
        <f t="shared" si="53"/>
        <v/>
      </c>
      <c r="EW65" t="str">
        <f t="shared" si="54"/>
        <v/>
      </c>
      <c r="EX65">
        <f t="shared" si="55"/>
        <v>1</v>
      </c>
      <c r="EY65" t="str">
        <f>IF(AK65="нет","",IF(AK65&lt;&gt;"",AK65,IF(EX65=1,"XT"&amp;COUNTIFS(A$3:A65,A65,EX$3:EX65,1),"")))</f>
        <v/>
      </c>
      <c r="EZ65" t="str">
        <f t="shared" si="56"/>
        <v>QF12</v>
      </c>
      <c r="FA65" t="str">
        <f t="shared" si="57"/>
        <v/>
      </c>
      <c r="FB65" t="str">
        <f t="shared" si="58"/>
        <v>ok</v>
      </c>
      <c r="FC65" t="str">
        <f>IF(OR(EV65="",ET65=""),"",IF(EV65&gt;IFERROR(VLOOKUP(EU65,Модули_спр,3,FALSE),99),"ЛИШНИЙ КАНАЛ",IF(AND(AJ65&lt;&gt;"=",COUNTIFS(Линии[_модуль гр.],ET65,Линии[Канал (итог)],EV65,Линии[Канал],"&lt;&gt;=",Линии[Щит],A65)&gt;1),"ДУБЛЬ КАНАЛА","")))</f>
        <v/>
      </c>
      <c r="FD65">
        <f t="shared" si="59"/>
        <v>10</v>
      </c>
      <c r="FE65" t="str">
        <f t="shared" si="60"/>
        <v>1P С10А</v>
      </c>
      <c r="FF65">
        <f t="shared" si="61"/>
        <v>0</v>
      </c>
      <c r="FG65">
        <f t="shared" si="62"/>
        <v>0</v>
      </c>
      <c r="FH65" t="str">
        <f t="shared" si="63"/>
        <v/>
      </c>
      <c r="FI65">
        <f t="shared" si="64"/>
        <v>10</v>
      </c>
      <c r="FJ65" t="str">
        <f t="shared" si="65"/>
        <v/>
      </c>
      <c r="FK65" t="str">
        <f>IF(AND(D65="",EZ65=""),"",_xlfn.TEXTJOIN("; ",TRUE,IF(AND(D65&lt;&gt;"",DD65=""),"нет фазы",""),IF(AND(D65&lt;&gt;"",N(DT65)=0,CN65&lt;&gt;"Нет"),"нет мощности",""),IF(AND(EY65&lt;&gt;"",COUNTIFS(Линии[Щит],A65,Линии[Клемма (итог)],EY65)&gt;1),"дубль клеммы "&amp;EY65,""),IF(AND(FB65&lt;&gt;"",FB65&lt;&gt;"ok"),FB65,""),IF(FC65&lt;&gt;"",FC65,""),IF(AND(ISNUMBER(SEARCH("(5х",DS65)),N(DV65)=1),"5 жил на 1 фазе",""),IF(AND(AT65="R",AD65&lt;&gt;"",OR(N(EH65)=0,N(EH65)&gt;30)),"розетка без дифзащиты до 30 мА",""),IFERROR(IF(AND(ISNUMBER(CD65),CD65&gt;CE65),"потери "&amp;FIXED(CD65,1)&amp;" % &gt; "&amp;CE65&amp;" %",""),""),IFERROR(IF(LEFT(FJ65,4)="мало","Iкз мало — отключение &gt; 0,4 с",""),""),IF(AND(D65&lt;&gt;"",BD65=""),"не на схеме","")))</f>
        <v/>
      </c>
      <c r="FL65">
        <f>IF(AD65="","",_xlfn.LET(_xlpm.t,IFERROR(_xlfn.XLOOKUP(EP65,Каталог!$U$4:$U$500,Каталог!$G$4:$G$500),""),_xlpm.k,SEARCH("кА",_xlpm.t),IFERROR(--TRIM(RIGHT(SUBSTITUTE(MID(_xlpm.t,MAX(1,_xlpm.k-4),_xlpm.k-MAX(1,_xlpm.k-4))," ",REPT(" ",9)),5)),"")))</f>
        <v>6</v>
      </c>
      <c r="FM65" t="str">
        <f>IF(OR(FL65="",AD65=""),"",IF(_xlfn.XLOOKUP(A65,Щиты[Щит],Щиты[Iкз max на шинах, кА],"")="","",IF(FL65&lt;_xlfn.XLOOKUP(A65,Щиты[Щит],Щиты[Iкз max на шинах, кА]),"Icu "&amp;FL65&amp;" кА &lt; Iкз max","ok")))</f>
        <v/>
      </c>
      <c r="FN65" t="str">
        <f t="shared" si="66"/>
        <v>QF12</v>
      </c>
      <c r="FO65" t="str">
        <f t="shared" si="67"/>
        <v>QF12|кабель ВВГнг(А)-LS (3х1,5) → Приточно-вытяжная установка Подвальный этаж Пом. №006Т</v>
      </c>
      <c r="FP65" t="str" cm="1">
        <f t="array" ref="FP65">IF(FO65="","",_xlfn.LET(_xlpm.nd,_xlfn.TEXTSPLIT(FO65,"|"),IF(COLUMNS(_xlpm.nd)&gt;1,A65&amp;"¦"&amp;INDEX(_xlpm.nd,1)&amp;"¦"&amp;INDEX(_xlpm.nd,2),"")))</f>
        <v>ЩОВ-001¦QF12¦кабель ВВГнг(А)-LS (3х1,5) → Приточно-вытяжная установка Подвальный этаж Пом. №006Т</v>
      </c>
      <c r="FQ65" t="str">
        <f t="shared" si="68"/>
        <v>ПВ.3¦Приточно-вытяжная установка Подвальный этаж Пом. №006Т</v>
      </c>
      <c r="FR65" t="str" cm="1">
        <f t="array" ref="FR65">IF(FO65="","",_xlfn.LET(_xlpm.nd,_xlfn.TEXTSPLIT(FO65,"|"),IF(COLUMNS(_xlpm.nd)&gt;2,A65&amp;"¦"&amp;INDEX(_xlpm.nd,2)&amp;"¦"&amp;INDEX(_xlpm.nd,3),"")))</f>
        <v/>
      </c>
      <c r="FS65" t="str">
        <f t="shared" si="69"/>
        <v/>
      </c>
      <c r="FT65" t="str" cm="1">
        <f t="array" ref="FT65">IF(FO65="","",_xlfn.LET(_xlpm.nd,_xlfn.TEXTSPLIT(FO65,"|"),IF(COLUMNS(_xlpm.nd)&gt;3,A65&amp;"¦"&amp;INDEX(_xlpm.nd,3)&amp;"¦"&amp;INDEX(_xlpm.nd,4),"")))</f>
        <v/>
      </c>
      <c r="FU65" t="str">
        <f t="shared" si="70"/>
        <v/>
      </c>
      <c r="FV65" t="str" cm="1">
        <f t="array" ref="FV65">IF(FO65="","",_xlfn.LET(_xlpm.nd,_xlfn.TEXTSPLIT(FO65,"|"),IF(COLUMNS(_xlpm.nd)&gt;4,A65&amp;"¦"&amp;INDEX(_xlpm.nd,4)&amp;"¦"&amp;INDEX(_xlpm.nd,5),"")))</f>
        <v/>
      </c>
      <c r="FW65" t="str">
        <f t="shared" si="71"/>
        <v/>
      </c>
      <c r="FX65" t="str" cm="1">
        <f t="array" ref="FX65">IF(FO65="","",_xlfn.LET(_xlpm.nd,_xlfn.TEXTSPLIT(FO65,"|"),IF(COLUMNS(_xlpm.nd)&gt;5,A65&amp;"¦"&amp;INDEX(_xlpm.nd,5)&amp;"¦"&amp;INDEX(_xlpm.nd,6),"")))</f>
        <v/>
      </c>
      <c r="FY65" t="str">
        <f t="shared" si="72"/>
        <v/>
      </c>
      <c r="FZ65" t="str" cm="1">
        <f t="array" ref="FZ65">IF(FO65="","",_xlfn.LET(_xlpm.nd,_xlfn.TEXTSPLIT(FO65,"|"),IF(COLUMNS(_xlpm.nd)&gt;6,A65&amp;"¦"&amp;INDEX(_xlpm.nd,6)&amp;"¦"&amp;INDEX(_xlpm.nd,7),"")))</f>
        <v/>
      </c>
      <c r="GA65" t="str">
        <f t="shared" si="73"/>
        <v/>
      </c>
      <c r="GB65" t="str">
        <f t="shared" si="74"/>
        <v/>
      </c>
      <c r="GC65" t="str">
        <f t="shared" si="75"/>
        <v>QF12</v>
      </c>
      <c r="GD65">
        <f t="shared" si="76"/>
        <v>1</v>
      </c>
      <c r="GE65">
        <f t="shared" si="77"/>
        <v>0</v>
      </c>
      <c r="GF65">
        <f t="shared" si="78"/>
        <v>0</v>
      </c>
      <c r="GG65" t="str">
        <f t="shared" si="79"/>
        <v/>
      </c>
      <c r="GH65" t="str">
        <f t="shared" si="80"/>
        <v/>
      </c>
      <c r="GI65" t="str">
        <f t="shared" si="81"/>
        <v/>
      </c>
      <c r="GJ65" t="str">
        <f t="shared" si="82"/>
        <v/>
      </c>
      <c r="GK65" t="str">
        <f>IF(D65="","",IFERROR(VLOOKUP(D65,УГО_спр,2,FALSE),IFERROR(VLOOKUP(AT65,УГО_спр,2,FALSE),IFERROR(VLOOKUP(LEFT(AT65,2),УГО_спр,2,FALSE),""))))</f>
        <v>Привод (двигатель)</v>
      </c>
      <c r="GL65" t="str">
        <f>IF(D65="","",IF(OR(GK65="",GK65=0),"BOX",IFERROR(IF(VLOOKUP(GK65,УГО_блоки,3,FALSE)&amp;""&lt;&gt;"",VLOOKUP(GK65,УГО_блоки,3,FALSE),VLOOKUP(GK65,УГО_блоки,2,FALSE)),GK65)))</f>
        <v>MOTOR</v>
      </c>
      <c r="GM65">
        <f t="shared" si="83"/>
        <v>1</v>
      </c>
      <c r="GN65" t="str">
        <f>IF(EP65="","",IF(COUNTIF(EP$3:EP65,EP65)=1,MAX(GN$2:GN64)+1,""))</f>
        <v/>
      </c>
      <c r="GO65" t="str">
        <f>IF(AF65="","",IF(COUNTIF(AF$3:AF65,AF65)+COUNTIF(AG$2:AG64,AF65)+COUNTIF(AH$2:AH64,AF65)=1,MAX(GO$2:GQ64)+1,""))</f>
        <v/>
      </c>
      <c r="GP65" t="str">
        <f>IF(AG65="","",IF(COUNTIF(AF$3:AF65,AG65)+COUNTIF(AG$3:AG65,AG65)+COUNTIF(AH$2:AH64,AG65)=1,MAX(GO$2:GQ64,GO65)+1,""))</f>
        <v/>
      </c>
      <c r="GQ65" t="str">
        <f>IF(AH65="","",IF(COUNTIF(AF$3:AF65,AH65)+COUNTIF(AG$3:AG65,AH65)+COUNTIF(AH$3:AH65,AH65)=1,MAX(GO$2:GQ64,GO65,GP65)+1,""))</f>
        <v/>
      </c>
      <c r="GR65" t="str">
        <f t="shared" si="84"/>
        <v>3х1,5</v>
      </c>
      <c r="GS65" t="str">
        <f>IF(GR65="","",IF(COUNTIF(GR$3:GR65,GR65)=1,MAX(GS$2:GS64)+1,""))</f>
        <v/>
      </c>
      <c r="GT65" t="str">
        <f>IF(ES65="","",COUNTIF(ES$3:ES65,"?*"))</f>
        <v/>
      </c>
      <c r="GU65" t="str">
        <f>IF(OR(ES65="",EU65=""),"",IF(COUNTIFS(ES$3:ES65,"?*",EU$3:EU65,EU65)=1,MAX(GU$2:GU64)+1,""))</f>
        <v/>
      </c>
      <c r="GV65">
        <f t="shared" si="85"/>
        <v>0</v>
      </c>
      <c r="GW65">
        <f>IF(D65="","",COUNTIF(D$3:D65,"?*"))</f>
        <v>63</v>
      </c>
      <c r="GX65">
        <f>IF(EX65&lt;&gt;1,0,_xlfn.LET(_xlpm.k,MAX(IFERROR(--VLOOKUP(D65,УГО_спр,5,FALSE),0),IFERROR(--VLOOKUP(AT65,УГО_спр,5,FALSE),0),IFERROR(--VLOOKUP(LEFT(AT65,2),УГО_спр,5,FALSE),0)),IF(_xlpm.k&gt;0,_xlpm.k,IF(IFERROR(--LEFT(SUBSTITUTE(GR65,"x","х"),FIND("х",SUBSTITUTE(GR65,"x","х"))-1),3)&gt;3,Каталог!$S$9,1))))</f>
        <v>1</v>
      </c>
      <c r="GY65">
        <f t="shared" si="86"/>
        <v>0</v>
      </c>
    </row>
    <row r="66" spans="1:207" x14ac:dyDescent="0.3">
      <c r="A66" t="s">
        <v>752</v>
      </c>
      <c r="B66">
        <v>28</v>
      </c>
      <c r="C66" t="str">
        <f>IF(BD66="","",IF(BE66="вводной узел","узел ","")&amp;"л."&amp;(INT((BD66-1)/Столбцов_на_лист)+1)&amp;" / "&amp;(MOD(BD66-1,Столбцов_на_лист)+1))</f>
        <v>л.2 / 11</v>
      </c>
      <c r="D66" t="s">
        <v>1342</v>
      </c>
      <c r="E66" s="133" t="s">
        <v>1340</v>
      </c>
      <c r="G66">
        <v>1.1000000000000001</v>
      </c>
      <c r="H66">
        <v>1</v>
      </c>
      <c r="I66">
        <v>1</v>
      </c>
      <c r="J66">
        <v>230</v>
      </c>
      <c r="K66" t="s">
        <v>602</v>
      </c>
      <c r="L66">
        <v>0.5</v>
      </c>
      <c r="O66">
        <v>3</v>
      </c>
      <c r="P66">
        <v>23</v>
      </c>
      <c r="R66">
        <v>27</v>
      </c>
      <c r="T66">
        <v>1</v>
      </c>
      <c r="U66" t="s">
        <v>11</v>
      </c>
      <c r="V66">
        <v>3</v>
      </c>
      <c r="W66">
        <v>1.5</v>
      </c>
      <c r="X66">
        <v>10</v>
      </c>
      <c r="Z66" t="s">
        <v>584</v>
      </c>
      <c r="AA66" t="s">
        <v>818</v>
      </c>
      <c r="AD66" t="s">
        <v>517</v>
      </c>
      <c r="AK66" t="s">
        <v>488</v>
      </c>
      <c r="AR66" t="str">
        <f t="shared" si="0"/>
        <v/>
      </c>
      <c r="AS66" cm="1">
        <f t="array" ref="AS66">ROW()-ROW(Линии[#Headers])</f>
        <v>64</v>
      </c>
      <c r="AT66" t="str">
        <f t="shared" si="1"/>
        <v>ПВ</v>
      </c>
      <c r="AU66" t="str">
        <f t="shared" si="2"/>
        <v>4</v>
      </c>
      <c r="AV66" t="str">
        <f t="shared" si="3"/>
        <v>4</v>
      </c>
      <c r="AW66" t="str">
        <f t="shared" si="4"/>
        <v/>
      </c>
      <c r="AX66" t="str">
        <f t="shared" si="5"/>
        <v/>
      </c>
      <c r="AY66" t="str">
        <f>IF(D66="","",IF(ISERROR(SEARCH(".",D66)),IFERROR(VLOOKUP(D66,Потребители_обозначение,2,FALSE)&amp;"",""),IFERROR(IF(VLOOKUP(AT66,Потребители_обозначение,4,FALSE)=1,VLOOKUP(AT66,Потребители_обозначение,2,FALSE)&amp;" "&amp;VLOOKUP(AV66,Этаж_обозначение,2,FALSE)&amp;" Пом. №"&amp;AX66,VLOOKUP(AT66,Потребители_обозначение,2,FALSE)&amp;" Шлейф №"&amp;AV66),IFERROR(VLOOKUP(D66,Потребители_обозначение,2,FALSE),""))))</f>
        <v>Приточно-вытяжная установка Шлейф №4</v>
      </c>
      <c r="AZ66" t="str">
        <f t="shared" si="6"/>
        <v>Приточно-вытяжная установка Подвальный этаж Пом. №006Т</v>
      </c>
      <c r="BA66" t="str">
        <f>IF(F66&lt;&gt;"",F66,IF(AND(D66&lt;&gt;"",D66&lt;&gt;A66,ISNUMBER(_xlfn.XMATCH(D66,Щиты[Щит]))),D66,""))</f>
        <v/>
      </c>
      <c r="BB66">
        <f>IFERROR(_xlfn.XMATCH(A66,Щиты[Щит]),0)</f>
        <v>4</v>
      </c>
      <c r="BC66">
        <f>IFERROR(N(_xlfn.XLOOKUP(A66,Щиты[Щит],Щиты[Мест под вводной узел])),15)</f>
        <v>13</v>
      </c>
      <c r="BD66">
        <f t="shared" si="7"/>
        <v>28</v>
      </c>
      <c r="BE66" t="str">
        <f t="shared" si="8"/>
        <v>линии</v>
      </c>
      <c r="BF66">
        <f>IF(D66="","",IF(BA66&lt;&gt;"",IFERROR(_xlfn.XLOOKUP(BA66,Щиты[Щит],Щиты[Руст, кВт]),0),N(G66)))</f>
        <v>1.1000000000000001</v>
      </c>
      <c r="BG66">
        <f>IF(J66&lt;&gt;"",J66,IF(D66="","",IFERROR(IF(VLOOKUP(AT66,Потребители_обозначение,8,FALSE)=0,"",VLOOKUP(AT66,Потребители_обозначение,8,FALSE)),"")))</f>
        <v>230</v>
      </c>
      <c r="BH66">
        <f>IF(I66&lt;&gt;"",I66,IF(D66="","",IFERROR(IF(VLOOKUP(AT66,Потребители_обозначение,9,FALSE)=0,"",VLOOKUP(AT66,Потребители_обозначение,9,FALSE)),"")))</f>
        <v>1</v>
      </c>
      <c r="BI66" t="str">
        <f>IF(U66&lt;&gt;"",U66,IF(D66="","",IFERROR(IF(VLOOKUP(AT66,Потребители_обозначение,6,FALSE)=0,"",VLOOKUP(AT66,Потребители_обозначение,6,FALSE)),"")))</f>
        <v>мс</v>
      </c>
      <c r="BJ66">
        <f>IF(V66&lt;&gt;"",V66,IF(D66="","",IFERROR(IF(VLOOKUP(AT66,Потребители_обозначение,7,FALSE)=0,"",VLOOKUP(AT66,Потребители_обозначение,7,FALSE)),"")))</f>
        <v>3</v>
      </c>
      <c r="BK66">
        <f>IF(W66&lt;&gt;"",W66,IF(D66="","",IFERROR(IF(VLOOKUP(AT66,Потребители_обозначение,10,FALSE)=0,"",VLOOKUP(AT66,Потребители_обозначение,10,FALSE)),"")))</f>
        <v>1.5</v>
      </c>
      <c r="BL66">
        <f>IFERROR(VLOOKUP(AT66,Потребители_обозначение,5,FALSE),0)</f>
        <v>1</v>
      </c>
      <c r="BM66" cm="1">
        <f t="array" ref="BM66">IF(D66="","",IF(BA66&lt;&gt;"",IFERROR(_xlfn.XLOOKUP(BA66,Щиты[Щит],Щиты[cos φ]),0.95),IF(ISNUMBER(M66),M66,IFERROR(IF(BL66=2,_xlfn.IFS(BH66=3,VLOOKUP(BF66,Справочная_двигатели,8,FALSE),BH66=1,VLOOKUP(BF66,Справочная_двигатели,10,TRUE)),IF(AND(Методика="нормы 2026",CN66="Сил"),0.8,0.95)),0.95))))</f>
        <v>0.95</v>
      </c>
      <c r="BN66" cm="1">
        <f t="array" ref="BN66">IF(D66="","",IF(BA66&lt;&gt;"",IFERROR(_xlfn.XLOOKUP(BA66,Щиты[Щит],Щиты[Iр, А]),""),IFERROR(_xlfn.IFS(BH66=1,BF66/((Uн_лин/SQRT(3))*BM66),BH66=3,BF66/(SQRT(3)*Uн_лин*BM66)),"")))</f>
        <v>5.0138312850678028</v>
      </c>
      <c r="BO66">
        <f>IF(D66="","",IF(N(X66)=0,IFERROR(VLOOKUP(BN66,Автомат_номиналы,2,TRUE),""),X66))</f>
        <v>10</v>
      </c>
      <c r="BP66">
        <f t="shared" si="9"/>
        <v>1</v>
      </c>
      <c r="BQ66">
        <f>IF(ISNUMBER(Y66),Y66,К_прокл)</f>
        <v>1</v>
      </c>
      <c r="BR66">
        <f t="shared" si="10"/>
        <v>2</v>
      </c>
      <c r="BS66" cm="1">
        <f t="array" ref="BS66">IF(D66="","",IF(N(BK66)&lt;&gt;0,BK66,IFERROR(_xlfn.LET(_xlpm.need,BO66/(BP66*BQ66),_xlpm.t,CHOOSE(BR66,Iдоп_1ж,Iдоп_2ж,Iдоп_3ж),_xlpm.k,_xlfn.XMATCH(_xlpm.need,_xlpm.t,1),IF(ISNA(_xlpm.k),"Не исп",INDEX(Iдоп_S,_xlpm.k))),"Не исп")))</f>
        <v>1.5</v>
      </c>
      <c r="BT66">
        <f>IFERROR(VLOOKUP(BS66,Кабель_сопротивление,3,FALSE),"")</f>
        <v>2.2499999999999999E-2</v>
      </c>
      <c r="BU66">
        <f>IFERROR(VLOOKUP(BS66,Кабель_сопротивление,2,FALSE),"")</f>
        <v>0.11</v>
      </c>
      <c r="BV66">
        <f t="shared" si="11"/>
        <v>23</v>
      </c>
      <c r="BW66">
        <f>IF(D66="","",IFERROR(IF(VLOOKUP(AT66,Потребители_обозначение,4,FALSE)=1,VLOOKUP(AT66,Потребители_обозначение,3,FALSE)*(H66*2-1)+BV66+VLOOKUP(AV66,Этаж_обозначение,3,FALSE)+VLOOKUP(AV66,Этаж_обозначение,4,FALSE),VLOOKUP(AT66,Потребители_обозначение,3,FALSE)*(H66*2-1)+BV66),BV66))</f>
        <v>27</v>
      </c>
      <c r="BX66">
        <f t="shared" si="12"/>
        <v>27</v>
      </c>
      <c r="BY66">
        <f t="shared" si="13"/>
        <v>0</v>
      </c>
      <c r="BZ66">
        <f t="shared" si="14"/>
        <v>2</v>
      </c>
      <c r="CA66">
        <f t="shared" si="15"/>
        <v>0.31</v>
      </c>
      <c r="CB66">
        <f t="shared" si="16"/>
        <v>3.8673756427879979</v>
      </c>
      <c r="CC66">
        <f>IFERROR(ROUNDUP(CB66/((Uн_лин/SQRT(3))*1000)*100,2),"")</f>
        <v>1.68</v>
      </c>
      <c r="CD66">
        <f>IF(ISNUMBER(CC66),CC66+IFERROR(_xlfn.XLOOKUP(A66,Щиты[Щит],Щиты[ΔU до шин, %]),0),"")</f>
        <v>2.1799999999999997</v>
      </c>
      <c r="CE66">
        <f>IF(D66="","",IF(IFERROR(VLOOKUP(AT66,УГО_спр,2,FALSE),"")="Светильник",3,4)+IF(Методика="нормы 2026",MIN(0.5,MAX(0,N(BW66)-100)*0.005),0))</f>
        <v>4</v>
      </c>
      <c r="CF66" t="str">
        <f>IFERROR(VLOOKUP(BI66,Кабель_обозначение,2,FALSE),"")</f>
        <v>ВВГнг(А)-LS</v>
      </c>
      <c r="CG66" t="str">
        <f>IFERROR(IF(VLOOKUP(BI66,Кабель_обозначение,3,FALSE)=1,CF66&amp;" ("&amp;BJ66&amp;"х"&amp;BS66&amp;")",CF66),"")</f>
        <v>ВВГнг(А)-LS (3х1,5)</v>
      </c>
      <c r="CH66" t="str">
        <f t="shared" si="17"/>
        <v>ВВГнг(А)-LS (3х1,5)
L=27-1,68%</v>
      </c>
      <c r="CI66">
        <f>IFERROR(2*ρкз_Cu*BW66/BS66,"")</f>
        <v>0.94680000000000009</v>
      </c>
      <c r="CJ66">
        <f t="shared" si="18"/>
        <v>0.315</v>
      </c>
      <c r="CK66" t="str">
        <f>IFERROR(IF(OR(D66="",NOT(ISNUMBER(BS66)),N(BW66)=0),"",_xlfn.XLOOKUP(A66,Щиты[Щит],Щиты[Zпетли на шинах, Ом])+CI66),"")</f>
        <v/>
      </c>
      <c r="CL66" t="str">
        <f>IF(ISNUMBER(CK66),c_min*(Uн_лин*1000/SQRT(3))/CK66,"")</f>
        <v/>
      </c>
      <c r="CM66" t="str">
        <f>IFERROR(IF(OR(D66="",NOT(ISNUMBER(BS66))),"",1.05*(Uн_лин*1000/SQRT(3))/(_xlfn.XLOOKUP(A66,Щиты[Щит],Щиты[Zmax на шинах, Ом])+CJ66)/1000),"")</f>
        <v/>
      </c>
      <c r="CN66" t="str">
        <f>IF(D66="","",IF(BA66&lt;&gt;"","Щит",IF(K66&lt;&gt;"",K66,IF(ISNUMBER(L66),"Сил",IF(IFERROR(_xlfn.XLOOKUP(AT66,Коды_код,Коды_группа)&amp;"","")="","Быт",_xlfn.XLOOKUP(AT66,Коды_код,Коды_группа)&amp;"")))))</f>
        <v>Сил</v>
      </c>
      <c r="CO66">
        <f>IF(CN66="Щит","щит",IF(CN66="","",IF(CN66="Быт",IFERROR(_xlfn.XLOOKUP(A66,Щиты[Щит],Щиты[Кс быт]),1),IF(CN66="Сил",IF(ISNUMBER(L66),L66,IF(Методика="нормы 2026",IFERROR(_xlfn.XLOOKUP(A66,Щиты[Щит],Щиты[Кс силовых (табл. 7.5)]),1),1)),IF(OR(CN66="Пост",CN66="Отоп"),1,IF(CN66="ВНГ",0.7,0))))))</f>
        <v>0.5</v>
      </c>
      <c r="CP66">
        <f t="shared" si="19"/>
        <v>1</v>
      </c>
      <c r="CQ66">
        <f t="shared" si="20"/>
        <v>1.1000000000000001</v>
      </c>
      <c r="CR66">
        <f t="shared" si="21"/>
        <v>0</v>
      </c>
      <c r="CS66">
        <f t="shared" si="22"/>
        <v>0.55000000000000004</v>
      </c>
      <c r="CT66">
        <f t="shared" si="23"/>
        <v>0</v>
      </c>
      <c r="CU66">
        <f t="shared" si="24"/>
        <v>0</v>
      </c>
      <c r="CV66">
        <f t="shared" si="25"/>
        <v>0</v>
      </c>
      <c r="CW66">
        <f t="shared" si="26"/>
        <v>1.1000000000000001</v>
      </c>
      <c r="CX66">
        <f t="shared" si="27"/>
        <v>1.0449999999999999</v>
      </c>
      <c r="CY66">
        <f t="shared" si="28"/>
        <v>1</v>
      </c>
      <c r="CZ66" t="str">
        <f t="shared" si="29"/>
        <v>L1</v>
      </c>
      <c r="DA66" cm="1">
        <f t="array" ref="DA66">IFERROR(IF(BL66=2,_xlfn.IFS(BH66=3,VLOOKUP(BF66,Справочная_двигатели,3,FALSE),BH66=1,VLOOKUP(BF66,Справочная_двигатели,5,TRUE)),0),0)</f>
        <v>0</v>
      </c>
      <c r="DB66">
        <f>IFERROR(IF(BL66=3,VLOOKUP(BF66,Справочная_ЛЭД,2,TRUE),0),0)</f>
        <v>0</v>
      </c>
      <c r="DC66">
        <f t="shared" si="30"/>
        <v>0</v>
      </c>
      <c r="DD66" t="str">
        <f t="shared" si="31"/>
        <v>L3</v>
      </c>
      <c r="DE66" t="str" cm="1">
        <f t="array" ref="DE66">IF(D66="","",IFERROR(INDEX({"I особая","I","II","III"},MATCH(TRIM(AA66&amp;""),{"I особая","I","II","III"},0)),"III"))</f>
        <v>II</v>
      </c>
      <c r="DF66" t="str">
        <f>IF(D66="","",IF(TRIM(AB66&amp;"")&lt;&gt;"",IF(LOWER(TRIM(AB66&amp;""))="да","да","нет"),IF(IFERROR(_xlfn.XLOOKUP(AT66,Коды_код,Коды_пожарная),"")="да","да","нет")))</f>
        <v>нет</v>
      </c>
      <c r="DG66" t="str">
        <f t="shared" si="32"/>
        <v/>
      </c>
      <c r="DH66" t="str">
        <f t="shared" si="33"/>
        <v>основная</v>
      </c>
      <c r="DI66">
        <f t="shared" si="34"/>
        <v>1</v>
      </c>
      <c r="DJ66" t="str" cm="1">
        <f t="array" ref="DJ66">IF(D66="","",_xlfn.LET(_xlpm.t,IFERROR(_xlfn.XLOOKUP(1,(Шины[Шина]=DH66)*(((Шины[Щит]=A66)+(Шины[Щит]=""))&gt;0),Шины[Тип]),"")&amp;"",IF(_xlpm.t&lt;&gt;"",_xlpm.t,IF(ISNUMBER(SEARCH("ИБП",DH66)),"ИБП",IF(ISNUMBER(SEARCH("ДГУ",DH66)),"ДГУ","Ввод "&amp;DI66)))))</f>
        <v>Ввод 1</v>
      </c>
      <c r="DK66" t="str">
        <f t="shared" si="35"/>
        <v>Ввод 1</v>
      </c>
      <c r="DL66" t="str">
        <f>IF(D66="","",IF(OR(DJ66="ИБП",DJ66="ДГУ"),"I особая",IF(DJ66="Одиночная","III",_xlfn.XLOOKUP(A66,Щиты[Щит],Щиты[Категория шины «Ввод»],"III"))))</f>
        <v>II</v>
      </c>
      <c r="DM66">
        <f>IF(D66="",0,IFERROR(MATCH(DE66,{"III","II","I","I особая"},0),1))</f>
        <v>2</v>
      </c>
      <c r="DN66">
        <f t="shared" si="36"/>
        <v>2</v>
      </c>
      <c r="DO66" t="str">
        <f>IF(D66="","",IF(DM66&gt;IFERROR(MATCH(DL66,{"III","II","I","I особая"},0),1),"НЕ ОБЕСПЕЧЕНА","ОК"))</f>
        <v>ОК</v>
      </c>
      <c r="DP66" t="str">
        <f>IF(A66="","",_xlfn.XLOOKUP(A66,Щиты[Щит],Щиты[Путь],""))</f>
        <v>|ГРЩ-ЖД|ЩОВ-001|</v>
      </c>
      <c r="DQ66" t="str">
        <f>IF(D66="","",IF(Z66&lt;&gt;"",Z66,IF(IFERROR(_xlfn.XLOOKUP(AT66,Коды_код,Коды_вид)&amp;"","")="","Прочее",_xlfn.XLOOKUP(AT66,Коды_код,Коды_вид)&amp;"")))</f>
        <v>Вентиляция</v>
      </c>
      <c r="DR66">
        <f>IF(BD66="","",INT((BD66-1)/Столбцов_на_лист)+1)</f>
        <v>2</v>
      </c>
      <c r="DS66" t="str">
        <f t="shared" si="37"/>
        <v>ВВГнг(А)-LS (3х1,5) L=27-1,68%</v>
      </c>
      <c r="DT66">
        <f t="shared" si="38"/>
        <v>1.1000000000000001</v>
      </c>
      <c r="DU66">
        <f t="shared" si="39"/>
        <v>5.0199999999999996</v>
      </c>
      <c r="DV66">
        <f t="shared" si="40"/>
        <v>1</v>
      </c>
      <c r="DW66">
        <f>IF(AT66="",0,_xlfn.LET(_xlpm.v,IFERROR(VLOOKUP(D66,УГО_спр,3,FALSE),IFERROR(VLOOKUP(AT66,УГО_спр,3,FALSE),IFERROR(VLOOKUP(LEFT(AT66,2),УГО_спр,3,FALSE),""))),IF(_xlpm.v="да",30,IF(ISNUMBER(_xlpm.v),_xlpm.v,0))))</f>
        <v>0</v>
      </c>
      <c r="DX66">
        <f t="shared" si="41"/>
        <v>0</v>
      </c>
      <c r="DY66">
        <f>IF(BD66="","",IF(AD66&lt;&gt;"",COUNTIFS(A$3:A66,A66,AD$3:AD66,"?*"),IF(OR(OR(AS66=1,A66&lt;&gt;A65),AL66="вручную"),"",IF(AS66=1,"",DZ65))))</f>
        <v>13</v>
      </c>
      <c r="DZ66">
        <f t="shared" si="42"/>
        <v>13</v>
      </c>
      <c r="EA66">
        <f>IF(D66="",0,MAX(IFERROR(--X66,0),IFERROR(--VLOOKUP(D66,УГО_спр,4,FALSE),IFERROR(--VLOOKUP(AT66,УГО_спр,4,FALSE),IFERROR(--VLOOKUP(LEFT(AT66,2),УГО_спр,4,FALSE),0)))))</f>
        <v>10</v>
      </c>
      <c r="EB66">
        <f>IF(D66="","",IFERROR(LOOKUP(INDEX(CHOOSE(BR66,Iдоп_1ж,Iдоп_2ж,Iдоп_3ж),MATCH(BS66,Iдоп_S,0))*BP66*BQ66,{6,10,16,20,25,32,40,50,63,80,100,125,160,200,250,315,400,500,630}),""))</f>
        <v>16</v>
      </c>
      <c r="EC66">
        <f>IF(AD66="","",SUMIFS(Линии[_Ток схемы],Линии[_гр.],DY66,Линии[Щит],A66,Линии[_в кабель выше],0))</f>
        <v>5.0199999999999996</v>
      </c>
      <c r="ED66">
        <f>IF(AD66="","",IFERROR(VLOOKUP(EC66,Автомат_номиналы,2,TRUE),""))</f>
        <v>6</v>
      </c>
      <c r="EE66">
        <f>IF(AD66="","",MAX(N(ED66),_xlfn.MAXIFS(Линии[_мин. по типу],Линии[_гр.],DY66,Линии[Щит],A66)))</f>
        <v>10</v>
      </c>
      <c r="EF66">
        <f>IF(AD66="","",_xlfn.MINIFS(Линии[_макс. автомат по кабелю],Линии[_гр.],DY66,Линии[Щит],A66))</f>
        <v>16</v>
      </c>
      <c r="EG66">
        <f>IF(AD66="","",MAX(1,_xlfn.MAXIFS(Линии[_фаз],Линии[_гр.],DY66,Линии[Щит],A66)))</f>
        <v>1</v>
      </c>
      <c r="EH66">
        <f>IF(AD66="","",IF(AND(AD66&lt;&gt;"авто",AD66&lt;&gt;"+"),IF(ISNUMBER(SEARCH("мА",AD66)),IFERROR(--TRIM(RIGHT(SUBSTITUTE(LEFT(AD66,SEARCH("мА",AD66)-1)," ",REPT(" ",9)),6)),30),0),IF(AE66="нет",0,IF(ISNUMBER(AE66),AE66,IF(AE66="да",30,_xlfn.MINIFS(Линии[_дифзащита по коду, мА],Линии[_гр.],DY66,Линии[Щит],A66,Линии[_дифзащита по коду, мА],"&gt;0"))))))</f>
        <v>0</v>
      </c>
      <c r="EI66">
        <f t="shared" si="43"/>
        <v>0</v>
      </c>
      <c r="EJ66" t="str">
        <f t="shared" si="44"/>
        <v>QF13</v>
      </c>
      <c r="EK66" t="str">
        <f t="shared" si="45"/>
        <v>QF13</v>
      </c>
      <c r="EL66" t="str">
        <f t="shared" si="46"/>
        <v/>
      </c>
      <c r="EM66">
        <f t="shared" si="47"/>
        <v>0</v>
      </c>
      <c r="EN66">
        <f>IF(AD66="","",IF(EM66=1,MAX(EE66,Мин_автомат_БП),EE66))</f>
        <v>10</v>
      </c>
      <c r="EO66" t="str">
        <f t="shared" si="48"/>
        <v>1P</v>
      </c>
      <c r="EP66" t="str">
        <f t="shared" si="49"/>
        <v>1P С10А</v>
      </c>
      <c r="EQ66">
        <f t="shared" si="50"/>
        <v>10</v>
      </c>
      <c r="ER66" t="str">
        <f>IF(OR(AI66="",AI66="-"),"",IFERROR(VLOOKUP(AI66,Модули_спр,2,FALSE),"R"))</f>
        <v/>
      </c>
      <c r="ES66" t="str">
        <f>IF(ER66="","",ER66&amp;"."&amp;COUNTIFS(A$3:A66,A66,ER$3:ER66,ER66))</f>
        <v/>
      </c>
      <c r="ET66" t="str">
        <f t="shared" si="51"/>
        <v/>
      </c>
      <c r="EU66" t="str">
        <f t="shared" si="52"/>
        <v/>
      </c>
      <c r="EV66" t="str">
        <f t="shared" si="53"/>
        <v/>
      </c>
      <c r="EW66" t="str">
        <f t="shared" si="54"/>
        <v/>
      </c>
      <c r="EX66">
        <f t="shared" si="55"/>
        <v>1</v>
      </c>
      <c r="EY66" t="str">
        <f>IF(AK66="нет","",IF(AK66&lt;&gt;"",AK66,IF(EX66=1,"XT"&amp;COUNTIFS(A$3:A66,A66,EX$3:EX66,1),"")))</f>
        <v/>
      </c>
      <c r="EZ66" t="str">
        <f t="shared" si="56"/>
        <v>QF13</v>
      </c>
      <c r="FA66" t="str">
        <f t="shared" si="57"/>
        <v/>
      </c>
      <c r="FB66" t="str">
        <f t="shared" si="58"/>
        <v>ok</v>
      </c>
      <c r="FC66" t="str">
        <f>IF(OR(EV66="",ET66=""),"",IF(EV66&gt;IFERROR(VLOOKUP(EU66,Модули_спр,3,FALSE),99),"ЛИШНИЙ КАНАЛ",IF(AND(AJ66&lt;&gt;"=",COUNTIFS(Линии[_модуль гр.],ET66,Линии[Канал (итог)],EV66,Линии[Канал],"&lt;&gt;=",Линии[Щит],A66)&gt;1),"ДУБЛЬ КАНАЛА","")))</f>
        <v/>
      </c>
      <c r="FD66">
        <f t="shared" si="59"/>
        <v>10</v>
      </c>
      <c r="FE66" t="str">
        <f t="shared" si="60"/>
        <v>1P С10А</v>
      </c>
      <c r="FF66">
        <f t="shared" si="61"/>
        <v>0</v>
      </c>
      <c r="FG66">
        <f t="shared" si="62"/>
        <v>0</v>
      </c>
      <c r="FH66" t="str">
        <f t="shared" si="63"/>
        <v/>
      </c>
      <c r="FI66">
        <f t="shared" si="64"/>
        <v>10</v>
      </c>
      <c r="FJ66" t="str">
        <f t="shared" si="65"/>
        <v/>
      </c>
      <c r="FK66" t="str">
        <f>IF(AND(D66="",EZ66=""),"",_xlfn.TEXTJOIN("; ",TRUE,IF(AND(D66&lt;&gt;"",DD66=""),"нет фазы",""),IF(AND(D66&lt;&gt;"",N(DT66)=0,CN66&lt;&gt;"Нет"),"нет мощности",""),IF(AND(EY66&lt;&gt;"",COUNTIFS(Линии[Щит],A66,Линии[Клемма (итог)],EY66)&gt;1),"дубль клеммы "&amp;EY66,""),IF(AND(FB66&lt;&gt;"",FB66&lt;&gt;"ok"),FB66,""),IF(FC66&lt;&gt;"",FC66,""),IF(AND(ISNUMBER(SEARCH("(5х",DS66)),N(DV66)=1),"5 жил на 1 фазе",""),IF(AND(AT66="R",AD66&lt;&gt;"",OR(N(EH66)=0,N(EH66)&gt;30)),"розетка без дифзащиты до 30 мА",""),IFERROR(IF(AND(ISNUMBER(CD66),CD66&gt;CE66),"потери "&amp;FIXED(CD66,1)&amp;" % &gt; "&amp;CE66&amp;" %",""),""),IFERROR(IF(LEFT(FJ66,4)="мало","Iкз мало — отключение &gt; 0,4 с",""),""),IF(AND(D66&lt;&gt;"",BD66=""),"не на схеме","")))</f>
        <v/>
      </c>
      <c r="FL66">
        <f>IF(AD66="","",_xlfn.LET(_xlpm.t,IFERROR(_xlfn.XLOOKUP(EP66,Каталог!$U$4:$U$500,Каталог!$G$4:$G$500),""),_xlpm.k,SEARCH("кА",_xlpm.t),IFERROR(--TRIM(RIGHT(SUBSTITUTE(MID(_xlpm.t,MAX(1,_xlpm.k-4),_xlpm.k-MAX(1,_xlpm.k-4))," ",REPT(" ",9)),5)),"")))</f>
        <v>6</v>
      </c>
      <c r="FM66" t="str">
        <f>IF(OR(FL66="",AD66=""),"",IF(_xlfn.XLOOKUP(A66,Щиты[Щит],Щиты[Iкз max на шинах, кА],"")="","",IF(FL66&lt;_xlfn.XLOOKUP(A66,Щиты[Щит],Щиты[Iкз max на шинах, кА]),"Icu "&amp;FL66&amp;" кА &lt; Iкз max","ok")))</f>
        <v/>
      </c>
      <c r="FN66" t="str">
        <f t="shared" si="66"/>
        <v>QF13</v>
      </c>
      <c r="FO66" t="str">
        <f t="shared" si="67"/>
        <v>QF13|кабель ВВГнг(А)-LS (3х1,5) → Приточно-вытяжная установка Подвальный этаж Пом. №006Т</v>
      </c>
      <c r="FP66" t="str" cm="1">
        <f t="array" ref="FP66">IF(FO66="","",_xlfn.LET(_xlpm.nd,_xlfn.TEXTSPLIT(FO66,"|"),IF(COLUMNS(_xlpm.nd)&gt;1,A66&amp;"¦"&amp;INDEX(_xlpm.nd,1)&amp;"¦"&amp;INDEX(_xlpm.nd,2),"")))</f>
        <v>ЩОВ-001¦QF13¦кабель ВВГнг(А)-LS (3х1,5) → Приточно-вытяжная установка Подвальный этаж Пом. №006Т</v>
      </c>
      <c r="FQ66" t="str">
        <f t="shared" si="68"/>
        <v>ПВ.4¦Приточно-вытяжная установка Подвальный этаж Пом. №006Т</v>
      </c>
      <c r="FR66" t="str" cm="1">
        <f t="array" ref="FR66">IF(FO66="","",_xlfn.LET(_xlpm.nd,_xlfn.TEXTSPLIT(FO66,"|"),IF(COLUMNS(_xlpm.nd)&gt;2,A66&amp;"¦"&amp;INDEX(_xlpm.nd,2)&amp;"¦"&amp;INDEX(_xlpm.nd,3),"")))</f>
        <v/>
      </c>
      <c r="FS66" t="str">
        <f t="shared" si="69"/>
        <v/>
      </c>
      <c r="FT66" t="str" cm="1">
        <f t="array" ref="FT66">IF(FO66="","",_xlfn.LET(_xlpm.nd,_xlfn.TEXTSPLIT(FO66,"|"),IF(COLUMNS(_xlpm.nd)&gt;3,A66&amp;"¦"&amp;INDEX(_xlpm.nd,3)&amp;"¦"&amp;INDEX(_xlpm.nd,4),"")))</f>
        <v/>
      </c>
      <c r="FU66" t="str">
        <f t="shared" si="70"/>
        <v/>
      </c>
      <c r="FV66" t="str" cm="1">
        <f t="array" ref="FV66">IF(FO66="","",_xlfn.LET(_xlpm.nd,_xlfn.TEXTSPLIT(FO66,"|"),IF(COLUMNS(_xlpm.nd)&gt;4,A66&amp;"¦"&amp;INDEX(_xlpm.nd,4)&amp;"¦"&amp;INDEX(_xlpm.nd,5),"")))</f>
        <v/>
      </c>
      <c r="FW66" t="str">
        <f t="shared" si="71"/>
        <v/>
      </c>
      <c r="FX66" t="str" cm="1">
        <f t="array" ref="FX66">IF(FO66="","",_xlfn.LET(_xlpm.nd,_xlfn.TEXTSPLIT(FO66,"|"),IF(COLUMNS(_xlpm.nd)&gt;5,A66&amp;"¦"&amp;INDEX(_xlpm.nd,5)&amp;"¦"&amp;INDEX(_xlpm.nd,6),"")))</f>
        <v/>
      </c>
      <c r="FY66" t="str">
        <f t="shared" si="72"/>
        <v/>
      </c>
      <c r="FZ66" t="str" cm="1">
        <f t="array" ref="FZ66">IF(FO66="","",_xlfn.LET(_xlpm.nd,_xlfn.TEXTSPLIT(FO66,"|"),IF(COLUMNS(_xlpm.nd)&gt;6,A66&amp;"¦"&amp;INDEX(_xlpm.nd,6)&amp;"¦"&amp;INDEX(_xlpm.nd,7),"")))</f>
        <v/>
      </c>
      <c r="GA66" t="str">
        <f t="shared" si="73"/>
        <v/>
      </c>
      <c r="GB66" t="str">
        <f t="shared" si="74"/>
        <v/>
      </c>
      <c r="GC66" t="str">
        <f t="shared" si="75"/>
        <v>QF13</v>
      </c>
      <c r="GD66">
        <f t="shared" si="76"/>
        <v>1</v>
      </c>
      <c r="GE66">
        <f t="shared" si="77"/>
        <v>0</v>
      </c>
      <c r="GF66">
        <f t="shared" si="78"/>
        <v>0</v>
      </c>
      <c r="GG66" t="str">
        <f t="shared" si="79"/>
        <v/>
      </c>
      <c r="GH66" t="str">
        <f t="shared" si="80"/>
        <v/>
      </c>
      <c r="GI66" t="str">
        <f t="shared" si="81"/>
        <v/>
      </c>
      <c r="GJ66" t="str">
        <f t="shared" si="82"/>
        <v/>
      </c>
      <c r="GK66" t="str">
        <f>IF(D66="","",IFERROR(VLOOKUP(D66,УГО_спр,2,FALSE),IFERROR(VLOOKUP(AT66,УГО_спр,2,FALSE),IFERROR(VLOOKUP(LEFT(AT66,2),УГО_спр,2,FALSE),""))))</f>
        <v>Привод (двигатель)</v>
      </c>
      <c r="GL66" t="str">
        <f>IF(D66="","",IF(OR(GK66="",GK66=0),"BOX",IFERROR(IF(VLOOKUP(GK66,УГО_блоки,3,FALSE)&amp;""&lt;&gt;"",VLOOKUP(GK66,УГО_блоки,3,FALSE),VLOOKUP(GK66,УГО_блоки,2,FALSE)),GK66)))</f>
        <v>MOTOR</v>
      </c>
      <c r="GM66">
        <f t="shared" si="83"/>
        <v>1</v>
      </c>
      <c r="GN66" t="str">
        <f>IF(EP66="","",IF(COUNTIF(EP$3:EP66,EP66)=1,MAX(GN$2:GN65)+1,""))</f>
        <v/>
      </c>
      <c r="GO66" t="str">
        <f>IF(AF66="","",IF(COUNTIF(AF$3:AF66,AF66)+COUNTIF(AG$2:AG65,AF66)+COUNTIF(AH$2:AH65,AF66)=1,MAX(GO$2:GQ65)+1,""))</f>
        <v/>
      </c>
      <c r="GP66" t="str">
        <f>IF(AG66="","",IF(COUNTIF(AF$3:AF66,AG66)+COUNTIF(AG$3:AG66,AG66)+COUNTIF(AH$2:AH65,AG66)=1,MAX(GO$2:GQ65,GO66)+1,""))</f>
        <v/>
      </c>
      <c r="GQ66" t="str">
        <f>IF(AH66="","",IF(COUNTIF(AF$3:AF66,AH66)+COUNTIF(AG$3:AG66,AH66)+COUNTIF(AH$3:AH66,AH66)=1,MAX(GO$2:GQ65,GO66,GP66)+1,""))</f>
        <v/>
      </c>
      <c r="GR66" t="str">
        <f t="shared" si="84"/>
        <v>3х1,5</v>
      </c>
      <c r="GS66" t="str">
        <f>IF(GR66="","",IF(COUNTIF(GR$3:GR66,GR66)=1,MAX(GS$2:GS65)+1,""))</f>
        <v/>
      </c>
      <c r="GT66" t="str">
        <f>IF(ES66="","",COUNTIF(ES$3:ES66,"?*"))</f>
        <v/>
      </c>
      <c r="GU66" t="str">
        <f>IF(OR(ES66="",EU66=""),"",IF(COUNTIFS(ES$3:ES66,"?*",EU$3:EU66,EU66)=1,MAX(GU$2:GU65)+1,""))</f>
        <v/>
      </c>
      <c r="GV66">
        <f t="shared" si="85"/>
        <v>0</v>
      </c>
      <c r="GW66">
        <f>IF(D66="","",COUNTIF(D$3:D66,"?*"))</f>
        <v>64</v>
      </c>
      <c r="GX66">
        <f>IF(EX66&lt;&gt;1,0,_xlfn.LET(_xlpm.k,MAX(IFERROR(--VLOOKUP(D66,УГО_спр,5,FALSE),0),IFERROR(--VLOOKUP(AT66,УГО_спр,5,FALSE),0),IFERROR(--VLOOKUP(LEFT(AT66,2),УГО_спр,5,FALSE),0)),IF(_xlpm.k&gt;0,_xlpm.k,IF(IFERROR(--LEFT(SUBSTITUTE(GR66,"x","х"),FIND("х",SUBSTITUTE(GR66,"x","х"))-1),3)&gt;3,Каталог!$S$9,1))))</f>
        <v>1</v>
      </c>
      <c r="GY66">
        <f t="shared" si="86"/>
        <v>0</v>
      </c>
    </row>
    <row r="67" spans="1:207" x14ac:dyDescent="0.3">
      <c r="A67" t="s">
        <v>752</v>
      </c>
      <c r="B67">
        <v>29</v>
      </c>
      <c r="C67" t="str">
        <f>IF(BD67="","",IF(BE67="вводной узел","узел ","")&amp;"л."&amp;(INT((BD67-1)/Столбцов_на_лист)+1)&amp;" / "&amp;(MOD(BD67-1,Столбцов_на_лист)+1))</f>
        <v>л.2 / 12</v>
      </c>
      <c r="D67" t="s">
        <v>1343</v>
      </c>
      <c r="E67" s="133" t="s">
        <v>1344</v>
      </c>
      <c r="G67">
        <v>0.3</v>
      </c>
      <c r="H67">
        <v>1</v>
      </c>
      <c r="I67">
        <v>1</v>
      </c>
      <c r="J67">
        <v>230</v>
      </c>
      <c r="K67" t="s">
        <v>602</v>
      </c>
      <c r="L67">
        <v>0.5</v>
      </c>
      <c r="O67">
        <v>1</v>
      </c>
      <c r="P67">
        <v>14</v>
      </c>
      <c r="R67">
        <v>16</v>
      </c>
      <c r="T67">
        <v>1</v>
      </c>
      <c r="U67" t="s">
        <v>11</v>
      </c>
      <c r="V67">
        <v>3</v>
      </c>
      <c r="W67">
        <v>1.5</v>
      </c>
      <c r="X67">
        <v>10</v>
      </c>
      <c r="Z67" t="s">
        <v>580</v>
      </c>
      <c r="AA67" t="s">
        <v>818</v>
      </c>
      <c r="AD67" t="s">
        <v>517</v>
      </c>
      <c r="AK67" t="s">
        <v>488</v>
      </c>
      <c r="AR67" t="str">
        <f t="shared" ref="AR67:AR130" si="88">_xlfn.TEXTJOIN("; ",TRUE,FK67,IF(DO67="НЕ ОБЕСПЕЧЕНА","категория "&amp;DE67&amp;" не обеспечена (есть "&amp;DL67&amp;")",""),IF(LEFT(FM67,3)="Icu",FM67,""),IF(AND(D67&lt;&gt;"",BS67="Не исп"),"сечение не подобрано",""))</f>
        <v/>
      </c>
      <c r="AS67" cm="1">
        <f t="array" ref="AS67">ROW()-ROW(Линии[#Headers])</f>
        <v>65</v>
      </c>
      <c r="AT67" t="str">
        <f t="shared" ref="AT67:AT130" si="89">IF(D67="","",IFERROR(LEFT(D67,SEARCH(".",D67)-1),D67))</f>
        <v>К</v>
      </c>
      <c r="AU67" t="str">
        <f t="shared" ref="AU67:AU130" si="90">IFERROR(RIGHT(D67,LEN(D67)-SEARCH(".",D67)),"")</f>
        <v>1.017А.1</v>
      </c>
      <c r="AV67" t="str">
        <f t="shared" ref="AV67:AV130" si="91">IFERROR(LEFT(AU67,SEARCH(".",AU67)-1),AU67)</f>
        <v>1</v>
      </c>
      <c r="AW67" t="str">
        <f t="shared" ref="AW67:AW130" si="92">IFERROR(RIGHT(AU67,LEN(AU67)-SEARCH(".",AU67)),"")</f>
        <v>017А.1</v>
      </c>
      <c r="AX67" t="str">
        <f t="shared" ref="AX67:AX130" si="93">IFERROR(LEFT(AW67,SEARCH(".",AW67)-1),AW67)</f>
        <v>017А</v>
      </c>
      <c r="AY67" t="str">
        <f>IF(D67="","",IF(ISERROR(SEARCH(".",D67)),IFERROR(VLOOKUP(D67,Потребители_обозначение,2,FALSE)&amp;"",""),IFERROR(IF(VLOOKUP(AT67,Потребители_обозначение,4,FALSE)=1,VLOOKUP(AT67,Потребители_обозначение,2,FALSE)&amp;" "&amp;VLOOKUP(AV67,Этаж_обозначение,2,FALSE)&amp;" Пом. №"&amp;AX67,VLOOKUP(AT67,Потребители_обозначение,2,FALSE)&amp;" Шлейф №"&amp;AV67),IFERROR(VLOOKUP(D67,Потребители_обозначение,2,FALSE),""))))</f>
        <v>Внутренний блок кондиционирования Первый этаж Пом. №017А</v>
      </c>
      <c r="AZ67" t="str">
        <f t="shared" ref="AZ67:AZ130" si="94">IF(E67&lt;&gt;"",E67,AY67)</f>
        <v>Внутренний блок кондиционера Подвальный этаж Пом. №006Т</v>
      </c>
      <c r="BA67" t="str">
        <f>IF(F67&lt;&gt;"",F67,IF(AND(D67&lt;&gt;"",D67&lt;&gt;A67,ISNUMBER(_xlfn.XMATCH(D67,Щиты[Щит]))),D67,""))</f>
        <v/>
      </c>
      <c r="BB67">
        <f>IFERROR(_xlfn.XMATCH(A67,Щиты[Щит]),0)</f>
        <v>4</v>
      </c>
      <c r="BC67">
        <f>IFERROR(N(_xlfn.XLOOKUP(A67,Щиты[Щит],Щиты[Мест под вводной узел])),15)</f>
        <v>13</v>
      </c>
      <c r="BD67">
        <f t="shared" ref="BD67:BD130" si="95">IF(B67="-","",IF(ISNUMBER(B67),B67,_xlfn.LET(_xlpm.prev,IF(OR(AS67=1,A67&lt;&gt;A66),0,N(IF(AS67=1,"",BD66))),_xlpm.nx,_xlpm.prev+1,IF(AND(AL67&lt;&gt;"вручную",_xlpm.nx&lt;=BC67),BC67+1,_xlpm.nx))))</f>
        <v>29</v>
      </c>
      <c r="BE67" t="str">
        <f t="shared" ref="BE67:BE130" si="96">IF(BD67="","",IF(BD67&lt;=BC67,"вводной узел","линии"))</f>
        <v>линии</v>
      </c>
      <c r="BF67">
        <f>IF(D67="","",IF(BA67&lt;&gt;"",IFERROR(_xlfn.XLOOKUP(BA67,Щиты[Щит],Щиты[Руст, кВт]),0),N(G67)))</f>
        <v>0.3</v>
      </c>
      <c r="BG67">
        <f>IF(J67&lt;&gt;"",J67,IF(D67="","",IFERROR(IF(VLOOKUP(AT67,Потребители_обозначение,8,FALSE)=0,"",VLOOKUP(AT67,Потребители_обозначение,8,FALSE)),"")))</f>
        <v>230</v>
      </c>
      <c r="BH67">
        <f>IF(I67&lt;&gt;"",I67,IF(D67="","",IFERROR(IF(VLOOKUP(AT67,Потребители_обозначение,9,FALSE)=0,"",VLOOKUP(AT67,Потребители_обозначение,9,FALSE)),"")))</f>
        <v>1</v>
      </c>
      <c r="BI67" t="str">
        <f>IF(U67&lt;&gt;"",U67,IF(D67="","",IFERROR(IF(VLOOKUP(AT67,Потребители_обозначение,6,FALSE)=0,"",VLOOKUP(AT67,Потребители_обозначение,6,FALSE)),"")))</f>
        <v>мс</v>
      </c>
      <c r="BJ67">
        <f>IF(V67&lt;&gt;"",V67,IF(D67="","",IFERROR(IF(VLOOKUP(AT67,Потребители_обозначение,7,FALSE)=0,"",VLOOKUP(AT67,Потребители_обозначение,7,FALSE)),"")))</f>
        <v>3</v>
      </c>
      <c r="BK67">
        <f>IF(W67&lt;&gt;"",W67,IF(D67="","",IFERROR(IF(VLOOKUP(AT67,Потребители_обозначение,10,FALSE)=0,"",VLOOKUP(AT67,Потребители_обозначение,10,FALSE)),"")))</f>
        <v>1.5</v>
      </c>
      <c r="BL67">
        <f>IFERROR(VLOOKUP(AT67,Потребители_обозначение,5,FALSE),0)</f>
        <v>1</v>
      </c>
      <c r="BM67" cm="1">
        <f t="array" ref="BM67">IF(D67="","",IF(BA67&lt;&gt;"",IFERROR(_xlfn.XLOOKUP(BA67,Щиты[Щит],Щиты[cos φ]),0.95),IF(ISNUMBER(M67),M67,IFERROR(IF(BL67=2,_xlfn.IFS(BH67=3,VLOOKUP(BF67,Справочная_двигатели,8,FALSE),BH67=1,VLOOKUP(BF67,Справочная_двигатели,10,TRUE)),IF(AND(Методика="нормы 2026",CN67="Сил"),0.8,0.95)),0.95))))</f>
        <v>0.95</v>
      </c>
      <c r="BN67" cm="1">
        <f t="array" ref="BN67">IF(D67="","",IF(BA67&lt;&gt;"",IFERROR(_xlfn.XLOOKUP(BA67,Щиты[Щит],Щиты[Iр, А]),""),IFERROR(_xlfn.IFS(BH67=1,BF67/((Uн_лин/SQRT(3))*BM67),BH67=3,BF67/(SQRT(3)*Uн_лин*BM67)),"")))</f>
        <v>1.3674085322912188</v>
      </c>
      <c r="BO67">
        <f>IF(D67="","",IF(N(X67)=0,IFERROR(VLOOKUP(BN67,Автомат_номиналы,2,TRUE),""),X67))</f>
        <v>10</v>
      </c>
      <c r="BP67">
        <f t="shared" ref="BP67:BP130" si="97">IF(N(BJ67)=1,1,IF(BH67=1,1,IF(N(BJ67)&gt;=4,0.92,1)))</f>
        <v>1</v>
      </c>
      <c r="BQ67">
        <f>IF(ISNUMBER(Y67),Y67,К_прокл)</f>
        <v>1</v>
      </c>
      <c r="BR67">
        <f t="shared" ref="BR67:BR130" si="98">IF(N(BJ67)=1,1,IF(BH67=1,2,3))</f>
        <v>2</v>
      </c>
      <c r="BS67" cm="1">
        <f t="array" ref="BS67">IF(D67="","",IF(N(BK67)&lt;&gt;0,BK67,IFERROR(_xlfn.LET(_xlpm.need,BO67/(BP67*BQ67),_xlpm.t,CHOOSE(BR67,Iдоп_1ж,Iдоп_2ж,Iдоп_3ж),_xlpm.k,_xlfn.XMATCH(_xlpm.need,_xlpm.t,1),IF(ISNA(_xlpm.k),"Не исп",INDEX(Iдоп_S,_xlpm.k))),"Не исп")))</f>
        <v>1.5</v>
      </c>
      <c r="BT67">
        <f>IFERROR(VLOOKUP(BS67,Кабель_сопротивление,3,FALSE),"")</f>
        <v>2.2499999999999999E-2</v>
      </c>
      <c r="BU67">
        <f>IFERROR(VLOOKUP(BS67,Кабель_сопротивление,2,FALSE),"")</f>
        <v>0.11</v>
      </c>
      <c r="BV67">
        <f t="shared" ref="BV67:BV130" si="99">IF(P67&lt;&gt;"",P67,IF(COUNT(AM67,AN67)=0,"",ROUNDUP(SUM(AM67,AN67),0)))</f>
        <v>14</v>
      </c>
      <c r="BW67">
        <f>IF(D67="","",IFERROR(IF(VLOOKUP(AT67,Потребители_обозначение,4,FALSE)=1,VLOOKUP(AT67,Потребители_обозначение,3,FALSE)*(H67*2-1)+BV67+VLOOKUP(AV67,Этаж_обозначение,3,FALSE)+VLOOKUP(AV67,Этаж_обозначение,4,FALSE),VLOOKUP(AT67,Потребители_обозначение,3,FALSE)*(H67*2-1)+BV67),BV67))</f>
        <v>16</v>
      </c>
      <c r="BX67">
        <f t="shared" ref="BX67:BX130" si="100">IF(R67&lt;&gt;"",R67,IF(OR(BV67="",T67=""),"",IF(T67=1,MAX(0,BW67-ROUNDUP(N(AN67),0)-4),ROUNDUP(N(AM67),0))))</f>
        <v>16</v>
      </c>
      <c r="BY67">
        <f t="shared" ref="BY67:BY130" si="101">IF(S67&lt;&gt;"",S67,IF(OR(BV67="",T67=""),"",IF(T67=2,MAX(0,BW67-ROUNDUP(N(AM67),0)-4),ROUNDUP(N(AN67),0))))</f>
        <v>0</v>
      </c>
      <c r="BZ67">
        <f t="shared" ref="BZ67:BZ130" si="102">IF(BH67=1,2,IF(BH67=3,1,""))</f>
        <v>2</v>
      </c>
      <c r="CA67">
        <f t="shared" ref="CA67:CA130" si="103">IFERROR(ROUND(SIN(ACOS(BM67)),2),"")</f>
        <v>0.31</v>
      </c>
      <c r="CB67">
        <f t="shared" ref="CB67:CB130" si="104">IFERROR(BZ67*(BT67*BW67/BS67*BM67+BU67*BW67*CA67/1000)*BN67,"")</f>
        <v>0.62503040691523193</v>
      </c>
      <c r="CC67">
        <f>IFERROR(ROUNDUP(CB67/((Uн_лин/SQRT(3))*1000)*100,2),"")</f>
        <v>0.28000000000000003</v>
      </c>
      <c r="CD67">
        <f>IF(ISNUMBER(CC67),CC67+IFERROR(_xlfn.XLOOKUP(A67,Щиты[Щит],Щиты[ΔU до шин, %]),0),"")</f>
        <v>0.78</v>
      </c>
      <c r="CE67">
        <f>IF(D67="","",IF(IFERROR(VLOOKUP(AT67,УГО_спр,2,FALSE),"")="Светильник",3,4)+IF(Методика="нормы 2026",MIN(0.5,MAX(0,N(BW67)-100)*0.005),0))</f>
        <v>4</v>
      </c>
      <c r="CF67" t="str">
        <f>IFERROR(VLOOKUP(BI67,Кабель_обозначение,2,FALSE),"")</f>
        <v>ВВГнг(А)-LS</v>
      </c>
      <c r="CG67" t="str">
        <f>IFERROR(IF(VLOOKUP(BI67,Кабель_обозначение,3,FALSE)=1,CF67&amp;" ("&amp;BJ67&amp;"х"&amp;BS67&amp;")",CF67),"")</f>
        <v>ВВГнг(А)-LS (3х1,5)</v>
      </c>
      <c r="CH67" t="str">
        <f t="shared" ref="CH67:CH130" si="105">IF(OR(D67="",CF67="",AND(G67&lt;&gt;"",NOT(ISNUMBER(G67)))),"",IF(BS67=0,CF67,CG67&amp;CHAR(10)&amp;"L="&amp;BW67&amp;"-"&amp;CC67&amp;"%"))</f>
        <v>ВВГнг(А)-LS (3х1,5)
L=16-0,28%</v>
      </c>
      <c r="CI67">
        <f>IFERROR(2*ρкз_Cu*BW67/BS67,"")</f>
        <v>0.56106666666666671</v>
      </c>
      <c r="CJ67">
        <f t="shared" ref="CJ67:CJ130" si="106">IFERROR(0.0175*N(BW67)/BS67,"")</f>
        <v>0.18666666666666668</v>
      </c>
      <c r="CK67" t="str">
        <f>IFERROR(IF(OR(D67="",NOT(ISNUMBER(BS67)),N(BW67)=0),"",_xlfn.XLOOKUP(A67,Щиты[Щит],Щиты[Zпетли на шинах, Ом])+CI67),"")</f>
        <v/>
      </c>
      <c r="CL67" t="str">
        <f>IF(ISNUMBER(CK67),c_min*(Uн_лин*1000/SQRT(3))/CK67,"")</f>
        <v/>
      </c>
      <c r="CM67" t="str">
        <f>IFERROR(IF(OR(D67="",NOT(ISNUMBER(BS67))),"",1.05*(Uн_лин*1000/SQRT(3))/(_xlfn.XLOOKUP(A67,Щиты[Щит],Щиты[Zmax на шинах, Ом])+CJ67)/1000),"")</f>
        <v/>
      </c>
      <c r="CN67" t="str">
        <f>IF(D67="","",IF(BA67&lt;&gt;"","Щит",IF(K67&lt;&gt;"",K67,IF(ISNUMBER(L67),"Сил",IF(IFERROR(_xlfn.XLOOKUP(AT67,Коды_код,Коды_группа)&amp;"","")="","Быт",_xlfn.XLOOKUP(AT67,Коды_код,Коды_группа)&amp;"")))))</f>
        <v>Сил</v>
      </c>
      <c r="CO67">
        <f>IF(CN67="Щит","щит",IF(CN67="","",IF(CN67="Быт",IFERROR(_xlfn.XLOOKUP(A67,Щиты[Щит],Щиты[Кс быт]),1),IF(CN67="Сил",IF(ISNUMBER(L67),L67,IF(Методика="нормы 2026",IFERROR(_xlfn.XLOOKUP(A67,Щиты[Щит],Щиты[Кс силовых (табл. 7.5)]),1),1)),IF(OR(CN67="Пост",CN67="Отоп"),1,IF(CN67="ВНГ",0.7,0))))))</f>
        <v>0.5</v>
      </c>
      <c r="CP67">
        <f t="shared" ref="CP67:CP130" si="107">IF(CN67="","",IFERROR(MIN(3,MAX(1,INT(--N67))),1))</f>
        <v>1</v>
      </c>
      <c r="CQ67">
        <f t="shared" ref="CQ67:CQ130" si="108">IF(OR(CN67="",CN67="Нет",CN67="Щит"),0,N(BF67))</f>
        <v>0.3</v>
      </c>
      <c r="CR67">
        <f t="shared" ref="CR67:CR130" si="109">IF(CN67="Быт",N(BF67),0)</f>
        <v>0</v>
      </c>
      <c r="CS67">
        <f t="shared" ref="CS67:CS130" si="110">IF(CN67="Сил",N(BF67)*N(CO67),0)</f>
        <v>0.15</v>
      </c>
      <c r="CT67">
        <f t="shared" ref="CT67:CT130" si="111">IF(CN67="Пост",N(BF67),0)</f>
        <v>0</v>
      </c>
      <c r="CU67">
        <f t="shared" ref="CU67:CU130" si="112">IF(CN67="Отоп",N(BF67),0)</f>
        <v>0</v>
      </c>
      <c r="CV67">
        <f t="shared" ref="CV67:CV130" si="113">IF(CN67="ВНГ",N(BF67)*0.7,0)</f>
        <v>0</v>
      </c>
      <c r="CW67">
        <f t="shared" ref="CW67:CW130" si="114">IF(OR(D67="",CN67="Щит"),0,N(BF67))</f>
        <v>0.3</v>
      </c>
      <c r="CX67">
        <f t="shared" ref="CX67:CX130" si="115">IF(OR(D67="",CN67="Щит"),0,N(BF67)*N(BM67))</f>
        <v>0.28499999999999998</v>
      </c>
      <c r="CY67">
        <f t="shared" ref="CY67:CY130" si="116">_xlfn.LET(_xlpm.prev,IF(OR(OR(AS67=1,A67&lt;&gt;A66)),0,N(IF(AS67=1,"",CY66))),IF(OR(D67="",BH67=3),_xlpm.prev,IF(_xlpm.prev&gt;=3,1,_xlpm.prev+1)))</f>
        <v>2</v>
      </c>
      <c r="CZ67" t="str">
        <f t="shared" ref="CZ67:CZ130" si="117">IF(D67="","",IF(BH67=3,"L1,L2,L3","L"&amp;MAX(1,CY67)))</f>
        <v>L2</v>
      </c>
      <c r="DA67" cm="1">
        <f t="array" ref="DA67">IFERROR(IF(BL67=2,_xlfn.IFS(BH67=3,VLOOKUP(BF67,Справочная_двигатели,3,FALSE),BH67=1,VLOOKUP(BF67,Справочная_двигатели,5,TRUE)),0),0)</f>
        <v>0</v>
      </c>
      <c r="DB67">
        <f>IFERROR(IF(BL67=3,VLOOKUP(BF67,Справочная_ЛЭД,2,TRUE),0),0)</f>
        <v>0</v>
      </c>
      <c r="DC67">
        <f t="shared" ref="DC67:DC130" si="118">IF(D67="","",IF(DA67=0,DB67,DA67))</f>
        <v>0</v>
      </c>
      <c r="DD67" t="str">
        <f t="shared" ref="DD67:DD130" si="119">IF(D67="","",IF(O67="упр","",IF(O67="",CZ67,IF(O67&amp;""="1,2,3","L1,L2,L3","L"&amp;O67))))</f>
        <v>L1</v>
      </c>
      <c r="DE67" t="str" cm="1">
        <f t="array" ref="DE67">IF(D67="","",IFERROR(INDEX({"I особая","I","II","III"},MATCH(TRIM(AA67&amp;""),{"I особая","I","II","III"},0)),"III"))</f>
        <v>II</v>
      </c>
      <c r="DF67" t="str">
        <f>IF(D67="","",IF(TRIM(AB67&amp;"")&lt;&gt;"",IF(LOWER(TRIM(AB67&amp;""))="да","да","нет"),IF(IFERROR(_xlfn.XLOOKUP(AT67,Коды_код,Коды_пожарная),"")="да","да","нет")))</f>
        <v>нет</v>
      </c>
      <c r="DG67" t="str">
        <f t="shared" ref="DG67:DG130" si="120">IF(AC67&lt;&gt;"",AC67,IF(AD67&lt;&gt;"","",IF(EK67="","",IF(AS67=1,"",DG66))))</f>
        <v/>
      </c>
      <c r="DH67" t="str">
        <f t="shared" ref="DH67:DH130" si="121">IF(D67="","",IF(DG67="","основная",DG67))</f>
        <v>основная</v>
      </c>
      <c r="DI67">
        <f t="shared" ref="DI67:DI130" si="122">IFERROR(MIN(3,MAX(1,INT(--N67))),1)</f>
        <v>1</v>
      </c>
      <c r="DJ67" t="str" cm="1">
        <f t="array" ref="DJ67">IF(D67="","",_xlfn.LET(_xlpm.t,IFERROR(_xlfn.XLOOKUP(1,(Шины[Шина]=DH67)*(((Шины[Щит]=A67)+(Шины[Щит]=""))&gt;0),Шины[Тип]),"")&amp;"",IF(_xlpm.t&lt;&gt;"",_xlpm.t,IF(ISNUMBER(SEARCH("ИБП",DH67)),"ИБП",IF(ISNUMBER(SEARCH("ДГУ",DH67)),"ДГУ","Ввод "&amp;DI67)))))</f>
        <v>Ввод 1</v>
      </c>
      <c r="DK67" t="str">
        <f t="shared" ref="DK67:DK130" si="123">IF(D67="","",IF(OR(DJ67="ИБП",DJ67="ДГУ"),DJ67,IF(LEFT(DJ67,5)="Ввод ",DJ67,"Ввод "&amp;DI67)))</f>
        <v>Ввод 1</v>
      </c>
      <c r="DL67" t="str">
        <f>IF(D67="","",IF(OR(DJ67="ИБП",DJ67="ДГУ"),"I особая",IF(DJ67="Одиночная","III",_xlfn.XLOOKUP(A67,Щиты[Щит],Щиты[Категория шины «Ввод»],"III"))))</f>
        <v>II</v>
      </c>
      <c r="DM67">
        <f>IF(D67="",0,IFERROR(MATCH(DE67,{"III","II","I","I особая"},0),1))</f>
        <v>2</v>
      </c>
      <c r="DN67">
        <f t="shared" ref="DN67:DN130" si="124">IF(OR(DJ67="ИБП",DJ67="ДГУ"),MIN(DM67,3),DM67)</f>
        <v>2</v>
      </c>
      <c r="DO67" t="str">
        <f>IF(D67="","",IF(DM67&gt;IFERROR(MATCH(DL67,{"III","II","I","I особая"},0),1),"НЕ ОБЕСПЕЧЕНА","ОК"))</f>
        <v>ОК</v>
      </c>
      <c r="DP67" t="str">
        <f>IF(A67="","",_xlfn.XLOOKUP(A67,Щиты[Щит],Щиты[Путь],""))</f>
        <v>|ГРЩ-ЖД|ЩОВ-001|</v>
      </c>
      <c r="DQ67" t="str">
        <f>IF(D67="","",IF(Z67&lt;&gt;"",Z67,IF(IFERROR(_xlfn.XLOOKUP(AT67,Коды_код,Коды_вид)&amp;"","")="","Прочее",_xlfn.XLOOKUP(AT67,Коды_код,Коды_вид)&amp;"")))</f>
        <v>Кондиционирование и увлажнение</v>
      </c>
      <c r="DR67">
        <f>IF(BD67="","",INT((BD67-1)/Столбцов_на_лист)+1)</f>
        <v>2</v>
      </c>
      <c r="DS67" t="str">
        <f t="shared" ref="DS67:DS130" si="125">IF(D67="","",SUBSTITUTE(CH67,CHAR(10)," "))</f>
        <v>ВВГнг(А)-LS (3х1,5) L=16-0,28%</v>
      </c>
      <c r="DT67">
        <f t="shared" ref="DT67:DT130" si="126">IF(D67="","",IFERROR(--BF67,""))</f>
        <v>0.3</v>
      </c>
      <c r="DU67">
        <f t="shared" ref="DU67:DU130" si="127">IF(D67="","",IFERROR(ROUNDUP(BN67,2),""))</f>
        <v>1.37</v>
      </c>
      <c r="DV67">
        <f t="shared" ref="DV67:DV130" si="128">IF(D67="","",IFERROR(--BH67,1))</f>
        <v>1</v>
      </c>
      <c r="DW67">
        <f>IF(AT67="",0,_xlfn.LET(_xlpm.v,IFERROR(VLOOKUP(D67,УГО_спр,3,FALSE),IFERROR(VLOOKUP(AT67,УГО_спр,3,FALSE),IFERROR(VLOOKUP(LEFT(AT67,2),УГО_спр,3,FALSE),""))),IF(_xlpm.v="да",30,IF(ISNUMBER(_xlpm.v),_xlpm.v,0))))</f>
        <v>0</v>
      </c>
      <c r="DX67">
        <f t="shared" ref="DX67:DX130" si="129">IF(OR(AJ67="+",AND(D67&lt;&gt;"",D67=IF(AS67=1,"",D66))),1,0)</f>
        <v>0</v>
      </c>
      <c r="DY67">
        <f>IF(BD67="","",IF(AD67&lt;&gt;"",COUNTIFS(A$3:A67,A67,AD$3:AD67,"?*"),IF(OR(OR(AS67=1,A67&lt;&gt;A66),AL67="вручную"),"",IF(AS67=1,"",DZ66))))</f>
        <v>14</v>
      </c>
      <c r="DZ67">
        <f t="shared" ref="DZ67:DZ130" si="130">IF(BD67="",IF(OR(AS67=1,A67&lt;&gt;A66),"",IF(AS67=1,"",DZ66)),DY67)</f>
        <v>14</v>
      </c>
      <c r="EA67">
        <f>IF(D67="",0,MAX(IFERROR(--X67,0),IFERROR(--VLOOKUP(D67,УГО_спр,4,FALSE),IFERROR(--VLOOKUP(AT67,УГО_спр,4,FALSE),IFERROR(--VLOOKUP(LEFT(AT67,2),УГО_спр,4,FALSE),0)))))</f>
        <v>10</v>
      </c>
      <c r="EB67">
        <f>IF(D67="","",IFERROR(LOOKUP(INDEX(CHOOSE(BR67,Iдоп_1ж,Iдоп_2ж,Iдоп_3ж),MATCH(BS67,Iдоп_S,0))*BP67*BQ67,{6,10,16,20,25,32,40,50,63,80,100,125,160,200,250,315,400,500,630}),""))</f>
        <v>16</v>
      </c>
      <c r="EC67">
        <f>IF(AD67="","",SUMIFS(Линии[_Ток схемы],Линии[_гр.],DY67,Линии[Щит],A67,Линии[_в кабель выше],0))</f>
        <v>1.37</v>
      </c>
      <c r="ED67">
        <f>IF(AD67="","",IFERROR(VLOOKUP(EC67,Автомат_номиналы,2,TRUE),""))</f>
        <v>6</v>
      </c>
      <c r="EE67">
        <f>IF(AD67="","",MAX(N(ED67),_xlfn.MAXIFS(Линии[_мин. по типу],Линии[_гр.],DY67,Линии[Щит],A67)))</f>
        <v>10</v>
      </c>
      <c r="EF67">
        <f>IF(AD67="","",_xlfn.MINIFS(Линии[_макс. автомат по кабелю],Линии[_гр.],DY67,Линии[Щит],A67))</f>
        <v>16</v>
      </c>
      <c r="EG67">
        <f>IF(AD67="","",MAX(1,_xlfn.MAXIFS(Линии[_фаз],Линии[_гр.],DY67,Линии[Щит],A67)))</f>
        <v>1</v>
      </c>
      <c r="EH67">
        <f>IF(AD67="","",IF(AND(AD67&lt;&gt;"авто",AD67&lt;&gt;"+"),IF(ISNUMBER(SEARCH("мА",AD67)),IFERROR(--TRIM(RIGHT(SUBSTITUTE(LEFT(AD67,SEARCH("мА",AD67)-1)," ",REPT(" ",9)),6)),30),0),IF(AE67="нет",0,IF(ISNUMBER(AE67),AE67,IF(AE67="да",30,_xlfn.MINIFS(Линии[_дифзащита по коду, мА],Линии[_гр.],DY67,Линии[Щит],A67,Линии[_дифзащита по коду, мА],"&gt;0"))))))</f>
        <v>0</v>
      </c>
      <c r="EI67">
        <f t="shared" ref="EI67:EI130" si="131">IF(AD67="","",IF(N(EH67)&gt;0,1,0))</f>
        <v>0</v>
      </c>
      <c r="EJ67" t="str">
        <f t="shared" ref="EJ67:EJ130" si="132">IF(AD67="","",IF(EI67=1,"QFD","QF")&amp;DY67)</f>
        <v>QF14</v>
      </c>
      <c r="EK67" t="str">
        <f t="shared" ref="EK67:EK130" si="133">IF(EJ67&lt;&gt;"",EJ67,IF(OR(OR(AS67=1,A67&lt;&gt;A66),AL67="вручную"),"",IF(AS67=1,"",EK66)))</f>
        <v>QF14</v>
      </c>
      <c r="EL67" t="str">
        <f t="shared" ref="EL67:EL130" si="134">IF(EJ67&lt;&gt;"",_xlfn.TEXTJOIN(" → ",TRUE,AF67,AG67,AH67),IF(EK67="","",IF(AS67=1,"",EL66)))</f>
        <v/>
      </c>
      <c r="EM67">
        <f t="shared" ref="EM67:EM130" si="135">IF(EL67="",0,IF(OR(LEFT(EL67,2)="T ",LEFT(EL67,2)="Т ",ISNUMBER(SEARCH("→ T ",EL67)),ISNUMBER(SEARCH("→ Т ",EL67)),ISNUMBER(SEARCH("БП",EL67))),1,0))</f>
        <v>0</v>
      </c>
      <c r="EN67">
        <f>IF(AD67="","",IF(EM67=1,MAX(EE67,Мин_автомат_БП),EE67))</f>
        <v>10</v>
      </c>
      <c r="EO67" t="str">
        <f t="shared" ref="EO67:EO130" si="136">IF(AD67="","",IF(EG67&gt;=3,IF(EI67=1,"4P","3P"),IF(EI67=1,"2P","1P")))</f>
        <v>1P</v>
      </c>
      <c r="EP67" t="str">
        <f t="shared" ref="EP67:EP130" si="137">IF(AD67="","",IF(AND(AD67&lt;&gt;"авто",AD67&lt;&gt;"+"),AD67,EO67&amp;" С"&amp;EN67&amp;"А"&amp;IF(EI67=1," "&amp;EH67&amp;"мА","")))</f>
        <v>1P С10А</v>
      </c>
      <c r="EQ67">
        <f t="shared" ref="EQ67:EQ130" si="138">IF(EP67="","",_xlfn.LET(_xlpm.t,SUBSTITUTE(SUBSTITUTE(UPPER(EP67),"С","C"),"А","A"),_xlpm.c,FIND("C",_xlpm.t),IFERROR(--MID(_xlpm.t,_xlpm.c+1,FIND("A",_xlpm.t&amp;"A",_xlpm.c)-_xlpm.c-1),"")))</f>
        <v>10</v>
      </c>
      <c r="ER67" t="str">
        <f>IF(OR(AI67="",AI67="-"),"",IFERROR(VLOOKUP(AI67,Модули_спр,2,FALSE),"R"))</f>
        <v/>
      </c>
      <c r="ES67" t="str">
        <f>IF(ER67="","",ER67&amp;"."&amp;COUNTIFS(A$3:A67,A67,ER$3:ER67,ER67))</f>
        <v/>
      </c>
      <c r="ET67" t="str">
        <f t="shared" ref="ET67:ET130" si="139">IF(AI67="-","",IF(ES67&lt;&gt;"",ES67,IF(OR(AS67=1,A67&lt;&gt;A66),"",IF(AS67=1,"",ET66))))</f>
        <v/>
      </c>
      <c r="EU67" t="str">
        <f t="shared" ref="EU67:EU130" si="140">IF(ET67="","",IF(AND(AI67&lt;&gt;"",AI67&lt;&gt;"-"),AI67,IF(AS67=1,"",EU66)))</f>
        <v/>
      </c>
      <c r="EV67" t="str">
        <f t="shared" ref="EV67:EV130" si="141">IF(AJ67="=",IF(AS67=1,"",EW66),IF(ISNUMBER(AJ67),AJ67,IF(ET67="","",IF(OR(D67&lt;&gt;"",AJ67="+",AJ67="р"),IF(OR(ES67&lt;&gt;"",IF(AS67=1,"",EW66)=""),1,IF(AS67=1,"",EW66)+1),""))))</f>
        <v/>
      </c>
      <c r="EW67" t="str">
        <f t="shared" ref="EW67:EW130" si="142">IF(EV67&lt;&gt;"",EV67,IF(OR(OR(AS67=1,A67&lt;&gt;A66),AI67="-",ES67&lt;&gt;""),"",IF(AS67=1,"",EW66)))</f>
        <v/>
      </c>
      <c r="EX67">
        <f t="shared" ref="EX67:EX130" si="143">IF(AJ67="б/к",0,IF(OR(ISNUMBER(SEARCH("L=",CH67)),AJ67="+",AJ67="="),1,0))</f>
        <v>1</v>
      </c>
      <c r="EY67" t="str">
        <f>IF(AK67="нет","",IF(AK67&lt;&gt;"",AK67,IF(EX67=1,"XT"&amp;COUNTIFS(A$3:A67,A67,EX$3:EX67,1),"")))</f>
        <v/>
      </c>
      <c r="EZ67" t="str">
        <f t="shared" ref="EZ67:EZ130" si="144">IF(OR(D67&lt;&gt;"",EV67&lt;&gt;"",EX67=1),EK67,"")</f>
        <v>QF14</v>
      </c>
      <c r="FA67" t="str">
        <f t="shared" ref="FA67:FA130" si="145">IF(OR(EV67&lt;&gt;"",AND(AI67&lt;&gt;"",AI67&lt;&gt;"-")),ET67,"")</f>
        <v/>
      </c>
      <c r="FB67" t="str">
        <f t="shared" ref="FB67:FB130" si="146">IF(AD67="","",IF(NOT(ISNUMBER(EQ67)),"",IF(EC67&gt;EQ67,"ПЕРЕГРУЗ",IF(AND(EM67=0,EF67&gt;0,EQ67&gt;EF67),"КАБЕЛЬ НЕ ЗАЩИЩЁН","ok"))))</f>
        <v>ok</v>
      </c>
      <c r="FC67" t="str">
        <f>IF(OR(EV67="",ET67=""),"",IF(EV67&gt;IFERROR(VLOOKUP(EU67,Модули_спр,3,FALSE),99),"ЛИШНИЙ КАНАЛ",IF(AND(AJ67&lt;&gt;"=",COUNTIFS(Линии[_модуль гр.],ET67,Линии[Канал (итог)],EV67,Линии[Канал],"&lt;&gt;=",Линии[Щит],A67)&gt;1),"ДУБЛЬ КАНАЛА","")))</f>
        <v/>
      </c>
      <c r="FD67">
        <f t="shared" ref="FD67:FD130" si="147">IF(AD67&lt;&gt;"",EQ67,IF(EK67="","",IF(AS67=1,"",FD66)))</f>
        <v>10</v>
      </c>
      <c r="FE67" t="str">
        <f t="shared" ref="FE67:FE130" si="148">IF(AD67&lt;&gt;"",EP67,IF(EK67="","",IF(AS67=1,"",FE66)))</f>
        <v>1P С10А</v>
      </c>
      <c r="FF67">
        <f t="shared" ref="FF67:FF130" si="149">IF(AD67&lt;&gt;"",EI67,IF(EK67="","",IF(AS67=1,"",FF66)))</f>
        <v>0</v>
      </c>
      <c r="FG67">
        <f t="shared" ref="FG67:FG130" si="150">IF(AD67&lt;&gt;"",EH67,IF(EK67="","",IF(AS67=1,"",FG66)))</f>
        <v>0</v>
      </c>
      <c r="FH67" t="str">
        <f t="shared" ref="FH67:FH130" si="151">IFERROR(IF(ISNUMBER(CL67),CL67/IFERROR(--FD67,N(BO67)),""),"")</f>
        <v/>
      </c>
      <c r="FI67">
        <f t="shared" ref="FI67:FI130" si="152">IF(OR(ISNUMBER(SEARCH(" B"," "&amp;FE67)),ISNUMBER(SEARCH(" В"," "&amp;FE67))),5,IF(ISNUMBER(SEARCH(" D"," "&amp;FE67)),20,10))</f>
        <v>10</v>
      </c>
      <c r="FJ67" t="str">
        <f t="shared" ref="FJ67:FJ130" si="153">IF(NOT(ISNUMBER(FH67)),"",IF(FH67&gt;=FI67,"ok",IF(N(FF67)=1,"ok (дифзащита "&amp;FG67&amp;" мА)","мало: Iкз &lt; "&amp;FI67&amp;"·In")))</f>
        <v/>
      </c>
      <c r="FK67" t="str">
        <f>IF(AND(D67="",EZ67=""),"",_xlfn.TEXTJOIN("; ",TRUE,IF(AND(D67&lt;&gt;"",DD67=""),"нет фазы",""),IF(AND(D67&lt;&gt;"",N(DT67)=0,CN67&lt;&gt;"Нет"),"нет мощности",""),IF(AND(EY67&lt;&gt;"",COUNTIFS(Линии[Щит],A67,Линии[Клемма (итог)],EY67)&gt;1),"дубль клеммы "&amp;EY67,""),IF(AND(FB67&lt;&gt;"",FB67&lt;&gt;"ok"),FB67,""),IF(FC67&lt;&gt;"",FC67,""),IF(AND(ISNUMBER(SEARCH("(5х",DS67)),N(DV67)=1),"5 жил на 1 фазе",""),IF(AND(AT67="R",AD67&lt;&gt;"",OR(N(EH67)=0,N(EH67)&gt;30)),"розетка без дифзащиты до 30 мА",""),IFERROR(IF(AND(ISNUMBER(CD67),CD67&gt;CE67),"потери "&amp;FIXED(CD67,1)&amp;" % &gt; "&amp;CE67&amp;" %",""),""),IFERROR(IF(LEFT(FJ67,4)="мало","Iкз мало — отключение &gt; 0,4 с",""),""),IF(AND(D67&lt;&gt;"",BD67=""),"не на схеме","")))</f>
        <v/>
      </c>
      <c r="FL67">
        <f>IF(AD67="","",_xlfn.LET(_xlpm.t,IFERROR(_xlfn.XLOOKUP(EP67,Каталог!$U$4:$U$500,Каталог!$G$4:$G$500),""),_xlpm.k,SEARCH("кА",_xlpm.t),IFERROR(--TRIM(RIGHT(SUBSTITUTE(MID(_xlpm.t,MAX(1,_xlpm.k-4),_xlpm.k-MAX(1,_xlpm.k-4))," ",REPT(" ",9)),5)),"")))</f>
        <v>6</v>
      </c>
      <c r="FM67" t="str">
        <f>IF(OR(FL67="",AD67=""),"",IF(_xlfn.XLOOKUP(A67,Щиты[Щит],Щиты[Iкз max на шинах, кА],"")="","",IF(FL67&lt;_xlfn.XLOOKUP(A67,Щиты[Щит],Щиты[Iкз max на шинах, кА]),"Icu "&amp;FL67&amp;" кА &lt; Iкз max","ok")))</f>
        <v/>
      </c>
      <c r="FN67" t="str">
        <f t="shared" ref="FN67:FN130" si="154">IF(OR(AL67="вручную",BD67="",AND(D67="",EY67="")),"",_xlfn.TEXTJOIN("|",TRUE,EK67,SUBSTITUTE(EL67," → ","|"),IF(ET67&lt;&gt;"",ET67&amp;IF(EV67&lt;&gt;""," к."&amp;EV67,""),""),EY67))</f>
        <v>QF14</v>
      </c>
      <c r="FO67" t="str">
        <f t="shared" ref="FO67:FO130" si="155">IF(FN67="","",FN67&amp;IF(D67&lt;&gt;"","|кабель "&amp;CG67&amp;" → "&amp;AZ67,""))</f>
        <v>QF14|кабель ВВГнг(А)-LS (3х1,5) → Внутренний блок кондиционера Подвальный этаж Пом. №006Т</v>
      </c>
      <c r="FP67" t="str" cm="1">
        <f t="array" ref="FP67">IF(FO67="","",_xlfn.LET(_xlpm.nd,_xlfn.TEXTSPLIT(FO67,"|"),IF(COLUMNS(_xlpm.nd)&gt;1,A67&amp;"¦"&amp;INDEX(_xlpm.nd,1)&amp;"¦"&amp;INDEX(_xlpm.nd,2),"")))</f>
        <v>ЩОВ-001¦QF14¦кабель ВВГнг(А)-LS (3х1,5) → Внутренний блок кондиционера Подвальный этаж Пом. №006Т</v>
      </c>
      <c r="FQ67" t="str">
        <f t="shared" ref="FQ67:FQ130" si="156">IF(FP67="","",D67&amp;"¦"&amp;AZ67)</f>
        <v>К.1.017А.1¦Внутренний блок кондиционера Подвальный этаж Пом. №006Т</v>
      </c>
      <c r="FR67" t="str" cm="1">
        <f t="array" ref="FR67">IF(FO67="","",_xlfn.LET(_xlpm.nd,_xlfn.TEXTSPLIT(FO67,"|"),IF(COLUMNS(_xlpm.nd)&gt;2,A67&amp;"¦"&amp;INDEX(_xlpm.nd,2)&amp;"¦"&amp;INDEX(_xlpm.nd,3),"")))</f>
        <v/>
      </c>
      <c r="FS67" t="str">
        <f t="shared" ref="FS67:FS130" si="157">IF(FR67="","",D67&amp;"¦"&amp;AZ67)</f>
        <v/>
      </c>
      <c r="FT67" t="str" cm="1">
        <f t="array" ref="FT67">IF(FO67="","",_xlfn.LET(_xlpm.nd,_xlfn.TEXTSPLIT(FO67,"|"),IF(COLUMNS(_xlpm.nd)&gt;3,A67&amp;"¦"&amp;INDEX(_xlpm.nd,3)&amp;"¦"&amp;INDEX(_xlpm.nd,4),"")))</f>
        <v/>
      </c>
      <c r="FU67" t="str">
        <f t="shared" ref="FU67:FU130" si="158">IF(FT67="","",D67&amp;"¦"&amp;AZ67)</f>
        <v/>
      </c>
      <c r="FV67" t="str" cm="1">
        <f t="array" ref="FV67">IF(FO67="","",_xlfn.LET(_xlpm.nd,_xlfn.TEXTSPLIT(FO67,"|"),IF(COLUMNS(_xlpm.nd)&gt;4,A67&amp;"¦"&amp;INDEX(_xlpm.nd,4)&amp;"¦"&amp;INDEX(_xlpm.nd,5),"")))</f>
        <v/>
      </c>
      <c r="FW67" t="str">
        <f t="shared" ref="FW67:FW130" si="159">IF(FV67="","",D67&amp;"¦"&amp;AZ67)</f>
        <v/>
      </c>
      <c r="FX67" t="str" cm="1">
        <f t="array" ref="FX67">IF(FO67="","",_xlfn.LET(_xlpm.nd,_xlfn.TEXTSPLIT(FO67,"|"),IF(COLUMNS(_xlpm.nd)&gt;5,A67&amp;"¦"&amp;INDEX(_xlpm.nd,5)&amp;"¦"&amp;INDEX(_xlpm.nd,6),"")))</f>
        <v/>
      </c>
      <c r="FY67" t="str">
        <f t="shared" ref="FY67:FY130" si="160">IF(FX67="","",D67&amp;"¦"&amp;AZ67)</f>
        <v/>
      </c>
      <c r="FZ67" t="str" cm="1">
        <f t="array" ref="FZ67">IF(FO67="","",_xlfn.LET(_xlpm.nd,_xlfn.TEXTSPLIT(FO67,"|"),IF(COLUMNS(_xlpm.nd)&gt;6,A67&amp;"¦"&amp;INDEX(_xlpm.nd,6)&amp;"¦"&amp;INDEX(_xlpm.nd,7),"")))</f>
        <v/>
      </c>
      <c r="GA67" t="str">
        <f t="shared" ref="GA67:GA130" si="161">IF(FZ67="","",D67&amp;"¦"&amp;AZ67)</f>
        <v/>
      </c>
      <c r="GB67" t="str">
        <f t="shared" ref="GB67:GB130" si="162">IF(FA67="","",EU67)</f>
        <v/>
      </c>
      <c r="GC67" t="str">
        <f t="shared" ref="GC67:GC130" si="163">IF(AND(D67="",EV67="",EY67=""),"",_xlfn.TEXTJOIN(" → ",TRUE,EK67,EL67,IF(ET67&lt;&gt;"",ET67&amp;IF(EV67&lt;&gt;""," к."&amp;EV67,""),IF(EV67&lt;&gt;"","к."&amp;EV67,"")),EY67,IF(DX67=1,"(в кабель выше)","")))</f>
        <v>QF14</v>
      </c>
      <c r="GD67">
        <f t="shared" ref="GD67:GD130" si="164">IF(OR(BD67="",AL67="вручную",AND(BE67="вводной узел",AL67&lt;&gt;"рисовать")),0,1)</f>
        <v>1</v>
      </c>
      <c r="GE67">
        <f t="shared" ref="GE67:GE130" si="165">IF(AC67="",0,1)</f>
        <v>0</v>
      </c>
      <c r="GF67">
        <f t="shared" ref="GF67:GF130" si="166">IF(EJ67="",0,IF(LEFT(EJ67,3)="QFD",1,0))</f>
        <v>0</v>
      </c>
      <c r="GG67" t="str">
        <f t="shared" ref="GG67:GG130" si="167">IF(AJ67="=","=",IF(AJ67="+","+",IF(AJ67="р","R","")))</f>
        <v/>
      </c>
      <c r="GH67" t="str">
        <f t="shared" ref="GH67:GH130" si="168">IF(AF67="","",IF(OR(LEFT(AF67,1)="T",LEFT(AF67,1)="Т"),"T",IF(LEFT(UPPER(AF67),2)="БП","PS",IF(OR(LEFT(UPPER(AF67),2)="МК",LEFT(UPPER(AF67),2)="MK"),"MK",IF(OR(LEFT(UPPER(AF67),2)="КМ",LEFT(UPPER(AF67),2)="KM"),"KM","X")))))</f>
        <v/>
      </c>
      <c r="GI67" t="str">
        <f t="shared" ref="GI67:GI130" si="169">IF(AG67="","",IF(OR(LEFT(AG67,1)="T",LEFT(AG67,1)="Т"),"T",IF(LEFT(UPPER(AG67),2)="БП","PS",IF(OR(LEFT(UPPER(AG67),2)="МК",LEFT(UPPER(AG67),2)="MK"),"MK",IF(OR(LEFT(UPPER(AG67),2)="КМ",LEFT(UPPER(AG67),2)="KM"),"KM","X")))))</f>
        <v/>
      </c>
      <c r="GJ67" t="str">
        <f t="shared" ref="GJ67:GJ130" si="170">IF(AH67="","",IF(OR(LEFT(AH67,1)="T",LEFT(AH67,1)="Т"),"T",IF(LEFT(UPPER(AH67),2)="БП","PS",IF(OR(LEFT(UPPER(AH67),2)="МК",LEFT(UPPER(AH67),2)="MK"),"MK",IF(OR(LEFT(UPPER(AH67),2)="КМ",LEFT(UPPER(AH67),2)="KM"),"KM","X")))))</f>
        <v/>
      </c>
      <c r="GK67" t="str">
        <f>IF(D67="","",IFERROR(VLOOKUP(D67,УГО_спр,2,FALSE),IFERROR(VLOOKUP(AT67,УГО_спр,2,FALSE),IFERROR(VLOOKUP(LEFT(AT67,2),УГО_спр,2,FALSE),""))))</f>
        <v>Привод (двигатель)</v>
      </c>
      <c r="GL67" t="str">
        <f>IF(D67="","",IF(OR(GK67="",GK67=0),"BOX",IFERROR(IF(VLOOKUP(GK67,УГО_блоки,3,FALSE)&amp;""&lt;&gt;"",VLOOKUP(GK67,УГО_блоки,3,FALSE),VLOOKUP(GK67,УГО_блоки,2,FALSE)),GK67)))</f>
        <v>MOTOR</v>
      </c>
      <c r="GM67">
        <f t="shared" ref="GM67:GM130" si="171">IF(D67="",0,1)</f>
        <v>1</v>
      </c>
      <c r="GN67" t="str">
        <f>IF(EP67="","",IF(COUNTIF(EP$3:EP67,EP67)=1,MAX(GN$2:GN66)+1,""))</f>
        <v/>
      </c>
      <c r="GO67" t="str">
        <f>IF(AF67="","",IF(COUNTIF(AF$3:AF67,AF67)+COUNTIF(AG$2:AG66,AF67)+COUNTIF(AH$2:AH66,AF67)=1,MAX(GO$2:GQ66)+1,""))</f>
        <v/>
      </c>
      <c r="GP67" t="str">
        <f>IF(AG67="","",IF(COUNTIF(AF$3:AF67,AG67)+COUNTIF(AG$3:AG67,AG67)+COUNTIF(AH$2:AH66,AG67)=1,MAX(GO$2:GQ66,GO67)+1,""))</f>
        <v/>
      </c>
      <c r="GQ67" t="str">
        <f>IF(AH67="","",IF(COUNTIF(AF$3:AF67,AH67)+COUNTIF(AG$3:AG67,AH67)+COUNTIF(AH$3:AH67,AH67)=1,MAX(GO$2:GQ66,GO67,GP67)+1,""))</f>
        <v/>
      </c>
      <c r="GR67" t="str">
        <f t="shared" ref="GR67:GR130" si="172">IF(EX67=1,IFERROR(MID(DS67,FIND(" (",DS67)+2,FIND(")",DS67,FIND(" (",DS67))-FIND(" (",DS67)-2),"?"),"")</f>
        <v>3х1,5</v>
      </c>
      <c r="GS67" t="str">
        <f>IF(GR67="","",IF(COUNTIF(GR$3:GR67,GR67)=1,MAX(GS$2:GS66)+1,""))</f>
        <v/>
      </c>
      <c r="GT67" t="str">
        <f>IF(ES67="","",COUNTIF(ES$3:ES67,"?*"))</f>
        <v/>
      </c>
      <c r="GU67" t="str">
        <f>IF(OR(ES67="",EU67=""),"",IF(COUNTIFS(ES$3:ES67,"?*",EU$3:EU67,EU67)=1,MAX(GU$2:GU66)+1,""))</f>
        <v/>
      </c>
      <c r="GV67">
        <f t="shared" ref="GV67:GV130" si="173">IF(FK67="",0,IF(OR(ISNUMBER(SEARCH("дубль",FK67)),ISNUMBER(SEARCH("ПЕРЕГРУЗ",FK67)),ISNUMBER(SEARCH("ЗАЩИЩ",FK67)),ISNUMBER(SEARCH("КАНАЛ",FK67)),ISNUMBER(SEARCH("без диф",FK67))),2,1))</f>
        <v>0</v>
      </c>
      <c r="GW67">
        <f>IF(D67="","",COUNTIF(D$3:D67,"?*"))</f>
        <v>65</v>
      </c>
      <c r="GX67">
        <f>IF(EX67&lt;&gt;1,0,_xlfn.LET(_xlpm.k,MAX(IFERROR(--VLOOKUP(D67,УГО_спр,5,FALSE),0),IFERROR(--VLOOKUP(AT67,УГО_спр,5,FALSE),0),IFERROR(--VLOOKUP(LEFT(AT67,2),УГО_спр,5,FALSE),0)),IF(_xlpm.k&gt;0,_xlpm.k,IF(IFERROR(--LEFT(SUBSTITUTE(GR67,"x","х"),FIND("х",SUBSTITUTE(GR67,"x","х"))-1),3)&gt;3,Каталог!$S$9,1))))</f>
        <v>1</v>
      </c>
      <c r="GY67">
        <f t="shared" ref="GY67:GY130" si="174">IF(EX67&lt;&gt;1,0,MAX(0,IFERROR(--LEFT(SUBSTITUTE(GR67,"x","х"),FIND("х",SUBSTITUTE(GR67,"x","х"))-1),3)-3*GX67))</f>
        <v>0</v>
      </c>
    </row>
    <row r="68" spans="1:207" x14ac:dyDescent="0.3">
      <c r="A68" t="s">
        <v>752</v>
      </c>
      <c r="B68">
        <v>30</v>
      </c>
      <c r="C68" t="str">
        <f>IF(BD68="","",IF(BE68="вводной узел","узел ","")&amp;"л."&amp;(INT((BD68-1)/Столбцов_на_лист)+1)&amp;" / "&amp;(MOD(BD68-1,Столбцов_на_лист)+1))</f>
        <v>л.2 / 13</v>
      </c>
      <c r="D68" t="s">
        <v>1345</v>
      </c>
      <c r="E68" s="133" t="s">
        <v>1344</v>
      </c>
      <c r="G68">
        <v>0.3</v>
      </c>
      <c r="H68">
        <v>1</v>
      </c>
      <c r="I68">
        <v>1</v>
      </c>
      <c r="J68">
        <v>230</v>
      </c>
      <c r="K68" t="s">
        <v>602</v>
      </c>
      <c r="L68">
        <v>0.5</v>
      </c>
      <c r="O68">
        <v>2</v>
      </c>
      <c r="P68">
        <v>14</v>
      </c>
      <c r="R68">
        <v>16</v>
      </c>
      <c r="T68">
        <v>1</v>
      </c>
      <c r="U68" t="s">
        <v>11</v>
      </c>
      <c r="V68">
        <v>3</v>
      </c>
      <c r="W68">
        <v>1.5</v>
      </c>
      <c r="X68">
        <v>10</v>
      </c>
      <c r="Z68" t="s">
        <v>580</v>
      </c>
      <c r="AA68" t="s">
        <v>818</v>
      </c>
      <c r="AD68" t="s">
        <v>517</v>
      </c>
      <c r="AK68" t="s">
        <v>488</v>
      </c>
      <c r="AR68" t="str">
        <f t="shared" si="88"/>
        <v/>
      </c>
      <c r="AS68" cm="1">
        <f t="array" ref="AS68">ROW()-ROW(Линии[#Headers])</f>
        <v>66</v>
      </c>
      <c r="AT68" t="str">
        <f t="shared" si="89"/>
        <v>К</v>
      </c>
      <c r="AU68" t="str">
        <f t="shared" si="90"/>
        <v>1.021А.1</v>
      </c>
      <c r="AV68" t="str">
        <f t="shared" si="91"/>
        <v>1</v>
      </c>
      <c r="AW68" t="str">
        <f t="shared" si="92"/>
        <v>021А.1</v>
      </c>
      <c r="AX68" t="str">
        <f t="shared" si="93"/>
        <v>021А</v>
      </c>
      <c r="AY68" t="str">
        <f>IF(D68="","",IF(ISERROR(SEARCH(".",D68)),IFERROR(VLOOKUP(D68,Потребители_обозначение,2,FALSE)&amp;"",""),IFERROR(IF(VLOOKUP(AT68,Потребители_обозначение,4,FALSE)=1,VLOOKUP(AT68,Потребители_обозначение,2,FALSE)&amp;" "&amp;VLOOKUP(AV68,Этаж_обозначение,2,FALSE)&amp;" Пом. №"&amp;AX68,VLOOKUP(AT68,Потребители_обозначение,2,FALSE)&amp;" Шлейф №"&amp;AV68),IFERROR(VLOOKUP(D68,Потребители_обозначение,2,FALSE),""))))</f>
        <v>Внутренний блок кондиционирования Первый этаж Пом. №021А</v>
      </c>
      <c r="AZ68" t="str">
        <f t="shared" si="94"/>
        <v>Внутренний блок кондиционера Подвальный этаж Пом. №006Т</v>
      </c>
      <c r="BA68" t="str">
        <f>IF(F68&lt;&gt;"",F68,IF(AND(D68&lt;&gt;"",D68&lt;&gt;A68,ISNUMBER(_xlfn.XMATCH(D68,Щиты[Щит]))),D68,""))</f>
        <v/>
      </c>
      <c r="BB68">
        <f>IFERROR(_xlfn.XMATCH(A68,Щиты[Щит]),0)</f>
        <v>4</v>
      </c>
      <c r="BC68">
        <f>IFERROR(N(_xlfn.XLOOKUP(A68,Щиты[Щит],Щиты[Мест под вводной узел])),15)</f>
        <v>13</v>
      </c>
      <c r="BD68">
        <f t="shared" si="95"/>
        <v>30</v>
      </c>
      <c r="BE68" t="str">
        <f t="shared" si="96"/>
        <v>линии</v>
      </c>
      <c r="BF68">
        <f>IF(D68="","",IF(BA68&lt;&gt;"",IFERROR(_xlfn.XLOOKUP(BA68,Щиты[Щит],Щиты[Руст, кВт]),0),N(G68)))</f>
        <v>0.3</v>
      </c>
      <c r="BG68">
        <f>IF(J68&lt;&gt;"",J68,IF(D68="","",IFERROR(IF(VLOOKUP(AT68,Потребители_обозначение,8,FALSE)=0,"",VLOOKUP(AT68,Потребители_обозначение,8,FALSE)),"")))</f>
        <v>230</v>
      </c>
      <c r="BH68">
        <f>IF(I68&lt;&gt;"",I68,IF(D68="","",IFERROR(IF(VLOOKUP(AT68,Потребители_обозначение,9,FALSE)=0,"",VLOOKUP(AT68,Потребители_обозначение,9,FALSE)),"")))</f>
        <v>1</v>
      </c>
      <c r="BI68" t="str">
        <f>IF(U68&lt;&gt;"",U68,IF(D68="","",IFERROR(IF(VLOOKUP(AT68,Потребители_обозначение,6,FALSE)=0,"",VLOOKUP(AT68,Потребители_обозначение,6,FALSE)),"")))</f>
        <v>мс</v>
      </c>
      <c r="BJ68">
        <f>IF(V68&lt;&gt;"",V68,IF(D68="","",IFERROR(IF(VLOOKUP(AT68,Потребители_обозначение,7,FALSE)=0,"",VLOOKUP(AT68,Потребители_обозначение,7,FALSE)),"")))</f>
        <v>3</v>
      </c>
      <c r="BK68">
        <f>IF(W68&lt;&gt;"",W68,IF(D68="","",IFERROR(IF(VLOOKUP(AT68,Потребители_обозначение,10,FALSE)=0,"",VLOOKUP(AT68,Потребители_обозначение,10,FALSE)),"")))</f>
        <v>1.5</v>
      </c>
      <c r="BL68">
        <f>IFERROR(VLOOKUP(AT68,Потребители_обозначение,5,FALSE),0)</f>
        <v>1</v>
      </c>
      <c r="BM68" cm="1">
        <f t="array" ref="BM68">IF(D68="","",IF(BA68&lt;&gt;"",IFERROR(_xlfn.XLOOKUP(BA68,Щиты[Щит],Щиты[cos φ]),0.95),IF(ISNUMBER(M68),M68,IFERROR(IF(BL68=2,_xlfn.IFS(BH68=3,VLOOKUP(BF68,Справочная_двигатели,8,FALSE),BH68=1,VLOOKUP(BF68,Справочная_двигатели,10,TRUE)),IF(AND(Методика="нормы 2026",CN68="Сил"),0.8,0.95)),0.95))))</f>
        <v>0.95</v>
      </c>
      <c r="BN68" cm="1">
        <f t="array" ref="BN68">IF(D68="","",IF(BA68&lt;&gt;"",IFERROR(_xlfn.XLOOKUP(BA68,Щиты[Щит],Щиты[Iр, А]),""),IFERROR(_xlfn.IFS(BH68=1,BF68/((Uн_лин/SQRT(3))*BM68),BH68=3,BF68/(SQRT(3)*Uн_лин*BM68)),"")))</f>
        <v>1.3674085322912188</v>
      </c>
      <c r="BO68">
        <f>IF(D68="","",IF(N(X68)=0,IFERROR(VLOOKUP(BN68,Автомат_номиналы,2,TRUE),""),X68))</f>
        <v>10</v>
      </c>
      <c r="BP68">
        <f t="shared" si="97"/>
        <v>1</v>
      </c>
      <c r="BQ68">
        <f>IF(ISNUMBER(Y68),Y68,К_прокл)</f>
        <v>1</v>
      </c>
      <c r="BR68">
        <f t="shared" si="98"/>
        <v>2</v>
      </c>
      <c r="BS68" cm="1">
        <f t="array" ref="BS68">IF(D68="","",IF(N(BK68)&lt;&gt;0,BK68,IFERROR(_xlfn.LET(_xlpm.need,BO68/(BP68*BQ68),_xlpm.t,CHOOSE(BR68,Iдоп_1ж,Iдоп_2ж,Iдоп_3ж),_xlpm.k,_xlfn.XMATCH(_xlpm.need,_xlpm.t,1),IF(ISNA(_xlpm.k),"Не исп",INDEX(Iдоп_S,_xlpm.k))),"Не исп")))</f>
        <v>1.5</v>
      </c>
      <c r="BT68">
        <f>IFERROR(VLOOKUP(BS68,Кабель_сопротивление,3,FALSE),"")</f>
        <v>2.2499999999999999E-2</v>
      </c>
      <c r="BU68">
        <f>IFERROR(VLOOKUP(BS68,Кабель_сопротивление,2,FALSE),"")</f>
        <v>0.11</v>
      </c>
      <c r="BV68">
        <f t="shared" si="99"/>
        <v>14</v>
      </c>
      <c r="BW68">
        <f>IF(D68="","",IFERROR(IF(VLOOKUP(AT68,Потребители_обозначение,4,FALSE)=1,VLOOKUP(AT68,Потребители_обозначение,3,FALSE)*(H68*2-1)+BV68+VLOOKUP(AV68,Этаж_обозначение,3,FALSE)+VLOOKUP(AV68,Этаж_обозначение,4,FALSE),VLOOKUP(AT68,Потребители_обозначение,3,FALSE)*(H68*2-1)+BV68),BV68))</f>
        <v>16</v>
      </c>
      <c r="BX68">
        <f t="shared" si="100"/>
        <v>16</v>
      </c>
      <c r="BY68">
        <f t="shared" si="101"/>
        <v>0</v>
      </c>
      <c r="BZ68">
        <f t="shared" si="102"/>
        <v>2</v>
      </c>
      <c r="CA68">
        <f t="shared" si="103"/>
        <v>0.31</v>
      </c>
      <c r="CB68">
        <f t="shared" si="104"/>
        <v>0.62503040691523193</v>
      </c>
      <c r="CC68">
        <f>IFERROR(ROUNDUP(CB68/((Uн_лин/SQRT(3))*1000)*100,2),"")</f>
        <v>0.28000000000000003</v>
      </c>
      <c r="CD68">
        <f>IF(ISNUMBER(CC68),CC68+IFERROR(_xlfn.XLOOKUP(A68,Щиты[Щит],Щиты[ΔU до шин, %]),0),"")</f>
        <v>0.78</v>
      </c>
      <c r="CE68">
        <f>IF(D68="","",IF(IFERROR(VLOOKUP(AT68,УГО_спр,2,FALSE),"")="Светильник",3,4)+IF(Методика="нормы 2026",MIN(0.5,MAX(0,N(BW68)-100)*0.005),0))</f>
        <v>4</v>
      </c>
      <c r="CF68" t="str">
        <f>IFERROR(VLOOKUP(BI68,Кабель_обозначение,2,FALSE),"")</f>
        <v>ВВГнг(А)-LS</v>
      </c>
      <c r="CG68" t="str">
        <f>IFERROR(IF(VLOOKUP(BI68,Кабель_обозначение,3,FALSE)=1,CF68&amp;" ("&amp;BJ68&amp;"х"&amp;BS68&amp;")",CF68),"")</f>
        <v>ВВГнг(А)-LS (3х1,5)</v>
      </c>
      <c r="CH68" t="str">
        <f t="shared" si="105"/>
        <v>ВВГнг(А)-LS (3х1,5)
L=16-0,28%</v>
      </c>
      <c r="CI68">
        <f>IFERROR(2*ρкз_Cu*BW68/BS68,"")</f>
        <v>0.56106666666666671</v>
      </c>
      <c r="CJ68">
        <f t="shared" si="106"/>
        <v>0.18666666666666668</v>
      </c>
      <c r="CK68" t="str">
        <f>IFERROR(IF(OR(D68="",NOT(ISNUMBER(BS68)),N(BW68)=0),"",_xlfn.XLOOKUP(A68,Щиты[Щит],Щиты[Zпетли на шинах, Ом])+CI68),"")</f>
        <v/>
      </c>
      <c r="CL68" t="str">
        <f>IF(ISNUMBER(CK68),c_min*(Uн_лин*1000/SQRT(3))/CK68,"")</f>
        <v/>
      </c>
      <c r="CM68" t="str">
        <f>IFERROR(IF(OR(D68="",NOT(ISNUMBER(BS68))),"",1.05*(Uн_лин*1000/SQRT(3))/(_xlfn.XLOOKUP(A68,Щиты[Щит],Щиты[Zmax на шинах, Ом])+CJ68)/1000),"")</f>
        <v/>
      </c>
      <c r="CN68" t="str">
        <f>IF(D68="","",IF(BA68&lt;&gt;"","Щит",IF(K68&lt;&gt;"",K68,IF(ISNUMBER(L68),"Сил",IF(IFERROR(_xlfn.XLOOKUP(AT68,Коды_код,Коды_группа)&amp;"","")="","Быт",_xlfn.XLOOKUP(AT68,Коды_код,Коды_группа)&amp;"")))))</f>
        <v>Сил</v>
      </c>
      <c r="CO68">
        <f>IF(CN68="Щит","щит",IF(CN68="","",IF(CN68="Быт",IFERROR(_xlfn.XLOOKUP(A68,Щиты[Щит],Щиты[Кс быт]),1),IF(CN68="Сил",IF(ISNUMBER(L68),L68,IF(Методика="нормы 2026",IFERROR(_xlfn.XLOOKUP(A68,Щиты[Щит],Щиты[Кс силовых (табл. 7.5)]),1),1)),IF(OR(CN68="Пост",CN68="Отоп"),1,IF(CN68="ВНГ",0.7,0))))))</f>
        <v>0.5</v>
      </c>
      <c r="CP68">
        <f t="shared" si="107"/>
        <v>1</v>
      </c>
      <c r="CQ68">
        <f t="shared" si="108"/>
        <v>0.3</v>
      </c>
      <c r="CR68">
        <f t="shared" si="109"/>
        <v>0</v>
      </c>
      <c r="CS68">
        <f t="shared" si="110"/>
        <v>0.15</v>
      </c>
      <c r="CT68">
        <f t="shared" si="111"/>
        <v>0</v>
      </c>
      <c r="CU68">
        <f t="shared" si="112"/>
        <v>0</v>
      </c>
      <c r="CV68">
        <f t="shared" si="113"/>
        <v>0</v>
      </c>
      <c r="CW68">
        <f t="shared" si="114"/>
        <v>0.3</v>
      </c>
      <c r="CX68">
        <f t="shared" si="115"/>
        <v>0.28499999999999998</v>
      </c>
      <c r="CY68">
        <f t="shared" si="116"/>
        <v>3</v>
      </c>
      <c r="CZ68" t="str">
        <f t="shared" si="117"/>
        <v>L3</v>
      </c>
      <c r="DA68" cm="1">
        <f t="array" ref="DA68">IFERROR(IF(BL68=2,_xlfn.IFS(BH68=3,VLOOKUP(BF68,Справочная_двигатели,3,FALSE),BH68=1,VLOOKUP(BF68,Справочная_двигатели,5,TRUE)),0),0)</f>
        <v>0</v>
      </c>
      <c r="DB68">
        <f>IFERROR(IF(BL68=3,VLOOKUP(BF68,Справочная_ЛЭД,2,TRUE),0),0)</f>
        <v>0</v>
      </c>
      <c r="DC68">
        <f t="shared" si="118"/>
        <v>0</v>
      </c>
      <c r="DD68" t="str">
        <f t="shared" si="119"/>
        <v>L2</v>
      </c>
      <c r="DE68" t="str" cm="1">
        <f t="array" ref="DE68">IF(D68="","",IFERROR(INDEX({"I особая","I","II","III"},MATCH(TRIM(AA68&amp;""),{"I особая","I","II","III"},0)),"III"))</f>
        <v>II</v>
      </c>
      <c r="DF68" t="str">
        <f>IF(D68="","",IF(TRIM(AB68&amp;"")&lt;&gt;"",IF(LOWER(TRIM(AB68&amp;""))="да","да","нет"),IF(IFERROR(_xlfn.XLOOKUP(AT68,Коды_код,Коды_пожарная),"")="да","да","нет")))</f>
        <v>нет</v>
      </c>
      <c r="DG68" t="str">
        <f t="shared" si="120"/>
        <v/>
      </c>
      <c r="DH68" t="str">
        <f t="shared" si="121"/>
        <v>основная</v>
      </c>
      <c r="DI68">
        <f t="shared" si="122"/>
        <v>1</v>
      </c>
      <c r="DJ68" t="str" cm="1">
        <f t="array" ref="DJ68">IF(D68="","",_xlfn.LET(_xlpm.t,IFERROR(_xlfn.XLOOKUP(1,(Шины[Шина]=DH68)*(((Шины[Щит]=A68)+(Шины[Щит]=""))&gt;0),Шины[Тип]),"")&amp;"",IF(_xlpm.t&lt;&gt;"",_xlpm.t,IF(ISNUMBER(SEARCH("ИБП",DH68)),"ИБП",IF(ISNUMBER(SEARCH("ДГУ",DH68)),"ДГУ","Ввод "&amp;DI68)))))</f>
        <v>Ввод 1</v>
      </c>
      <c r="DK68" t="str">
        <f t="shared" si="123"/>
        <v>Ввод 1</v>
      </c>
      <c r="DL68" t="str">
        <f>IF(D68="","",IF(OR(DJ68="ИБП",DJ68="ДГУ"),"I особая",IF(DJ68="Одиночная","III",_xlfn.XLOOKUP(A68,Щиты[Щит],Щиты[Категория шины «Ввод»],"III"))))</f>
        <v>II</v>
      </c>
      <c r="DM68">
        <f>IF(D68="",0,IFERROR(MATCH(DE68,{"III","II","I","I особая"},0),1))</f>
        <v>2</v>
      </c>
      <c r="DN68">
        <f t="shared" si="124"/>
        <v>2</v>
      </c>
      <c r="DO68" t="str">
        <f>IF(D68="","",IF(DM68&gt;IFERROR(MATCH(DL68,{"III","II","I","I особая"},0),1),"НЕ ОБЕСПЕЧЕНА","ОК"))</f>
        <v>ОК</v>
      </c>
      <c r="DP68" t="str">
        <f>IF(A68="","",_xlfn.XLOOKUP(A68,Щиты[Щит],Щиты[Путь],""))</f>
        <v>|ГРЩ-ЖД|ЩОВ-001|</v>
      </c>
      <c r="DQ68" t="str">
        <f>IF(D68="","",IF(Z68&lt;&gt;"",Z68,IF(IFERROR(_xlfn.XLOOKUP(AT68,Коды_код,Коды_вид)&amp;"","")="","Прочее",_xlfn.XLOOKUP(AT68,Коды_код,Коды_вид)&amp;"")))</f>
        <v>Кондиционирование и увлажнение</v>
      </c>
      <c r="DR68">
        <f>IF(BD68="","",INT((BD68-1)/Столбцов_на_лист)+1)</f>
        <v>2</v>
      </c>
      <c r="DS68" t="str">
        <f t="shared" si="125"/>
        <v>ВВГнг(А)-LS (3х1,5) L=16-0,28%</v>
      </c>
      <c r="DT68">
        <f t="shared" si="126"/>
        <v>0.3</v>
      </c>
      <c r="DU68">
        <f t="shared" si="127"/>
        <v>1.37</v>
      </c>
      <c r="DV68">
        <f t="shared" si="128"/>
        <v>1</v>
      </c>
      <c r="DW68">
        <f>IF(AT68="",0,_xlfn.LET(_xlpm.v,IFERROR(VLOOKUP(D68,УГО_спр,3,FALSE),IFERROR(VLOOKUP(AT68,УГО_спр,3,FALSE),IFERROR(VLOOKUP(LEFT(AT68,2),УГО_спр,3,FALSE),""))),IF(_xlpm.v="да",30,IF(ISNUMBER(_xlpm.v),_xlpm.v,0))))</f>
        <v>0</v>
      </c>
      <c r="DX68">
        <f t="shared" si="129"/>
        <v>0</v>
      </c>
      <c r="DY68">
        <f>IF(BD68="","",IF(AD68&lt;&gt;"",COUNTIFS(A$3:A68,A68,AD$3:AD68,"?*"),IF(OR(OR(AS68=1,A68&lt;&gt;A67),AL68="вручную"),"",IF(AS68=1,"",DZ67))))</f>
        <v>15</v>
      </c>
      <c r="DZ68">
        <f t="shared" si="130"/>
        <v>15</v>
      </c>
      <c r="EA68">
        <f>IF(D68="",0,MAX(IFERROR(--X68,0),IFERROR(--VLOOKUP(D68,УГО_спр,4,FALSE),IFERROR(--VLOOKUP(AT68,УГО_спр,4,FALSE),IFERROR(--VLOOKUP(LEFT(AT68,2),УГО_спр,4,FALSE),0)))))</f>
        <v>10</v>
      </c>
      <c r="EB68">
        <f>IF(D68="","",IFERROR(LOOKUP(INDEX(CHOOSE(BR68,Iдоп_1ж,Iдоп_2ж,Iдоп_3ж),MATCH(BS68,Iдоп_S,0))*BP68*BQ68,{6,10,16,20,25,32,40,50,63,80,100,125,160,200,250,315,400,500,630}),""))</f>
        <v>16</v>
      </c>
      <c r="EC68">
        <f>IF(AD68="","",SUMIFS(Линии[_Ток схемы],Линии[_гр.],DY68,Линии[Щит],A68,Линии[_в кабель выше],0))</f>
        <v>1.37</v>
      </c>
      <c r="ED68">
        <f>IF(AD68="","",IFERROR(VLOOKUP(EC68,Автомат_номиналы,2,TRUE),""))</f>
        <v>6</v>
      </c>
      <c r="EE68">
        <f>IF(AD68="","",MAX(N(ED68),_xlfn.MAXIFS(Линии[_мин. по типу],Линии[_гр.],DY68,Линии[Щит],A68)))</f>
        <v>10</v>
      </c>
      <c r="EF68">
        <f>IF(AD68="","",_xlfn.MINIFS(Линии[_макс. автомат по кабелю],Линии[_гр.],DY68,Линии[Щит],A68))</f>
        <v>16</v>
      </c>
      <c r="EG68">
        <f>IF(AD68="","",MAX(1,_xlfn.MAXIFS(Линии[_фаз],Линии[_гр.],DY68,Линии[Щит],A68)))</f>
        <v>1</v>
      </c>
      <c r="EH68">
        <f>IF(AD68="","",IF(AND(AD68&lt;&gt;"авто",AD68&lt;&gt;"+"),IF(ISNUMBER(SEARCH("мА",AD68)),IFERROR(--TRIM(RIGHT(SUBSTITUTE(LEFT(AD68,SEARCH("мА",AD68)-1)," ",REPT(" ",9)),6)),30),0),IF(AE68="нет",0,IF(ISNUMBER(AE68),AE68,IF(AE68="да",30,_xlfn.MINIFS(Линии[_дифзащита по коду, мА],Линии[_гр.],DY68,Линии[Щит],A68,Линии[_дифзащита по коду, мА],"&gt;0"))))))</f>
        <v>0</v>
      </c>
      <c r="EI68">
        <f t="shared" si="131"/>
        <v>0</v>
      </c>
      <c r="EJ68" t="str">
        <f t="shared" si="132"/>
        <v>QF15</v>
      </c>
      <c r="EK68" t="str">
        <f t="shared" si="133"/>
        <v>QF15</v>
      </c>
      <c r="EL68" t="str">
        <f t="shared" si="134"/>
        <v/>
      </c>
      <c r="EM68">
        <f t="shared" si="135"/>
        <v>0</v>
      </c>
      <c r="EN68">
        <f>IF(AD68="","",IF(EM68=1,MAX(EE68,Мин_автомат_БП),EE68))</f>
        <v>10</v>
      </c>
      <c r="EO68" t="str">
        <f t="shared" si="136"/>
        <v>1P</v>
      </c>
      <c r="EP68" t="str">
        <f t="shared" si="137"/>
        <v>1P С10А</v>
      </c>
      <c r="EQ68">
        <f t="shared" si="138"/>
        <v>10</v>
      </c>
      <c r="ER68" t="str">
        <f>IF(OR(AI68="",AI68="-"),"",IFERROR(VLOOKUP(AI68,Модули_спр,2,FALSE),"R"))</f>
        <v/>
      </c>
      <c r="ES68" t="str">
        <f>IF(ER68="","",ER68&amp;"."&amp;COUNTIFS(A$3:A68,A68,ER$3:ER68,ER68))</f>
        <v/>
      </c>
      <c r="ET68" t="str">
        <f t="shared" si="139"/>
        <v/>
      </c>
      <c r="EU68" t="str">
        <f t="shared" si="140"/>
        <v/>
      </c>
      <c r="EV68" t="str">
        <f t="shared" si="141"/>
        <v/>
      </c>
      <c r="EW68" t="str">
        <f t="shared" si="142"/>
        <v/>
      </c>
      <c r="EX68">
        <f t="shared" si="143"/>
        <v>1</v>
      </c>
      <c r="EY68" t="str">
        <f>IF(AK68="нет","",IF(AK68&lt;&gt;"",AK68,IF(EX68=1,"XT"&amp;COUNTIFS(A$3:A68,A68,EX$3:EX68,1),"")))</f>
        <v/>
      </c>
      <c r="EZ68" t="str">
        <f t="shared" si="144"/>
        <v>QF15</v>
      </c>
      <c r="FA68" t="str">
        <f t="shared" si="145"/>
        <v/>
      </c>
      <c r="FB68" t="str">
        <f t="shared" si="146"/>
        <v>ok</v>
      </c>
      <c r="FC68" t="str">
        <f>IF(OR(EV68="",ET68=""),"",IF(EV68&gt;IFERROR(VLOOKUP(EU68,Модули_спр,3,FALSE),99),"ЛИШНИЙ КАНАЛ",IF(AND(AJ68&lt;&gt;"=",COUNTIFS(Линии[_модуль гр.],ET68,Линии[Канал (итог)],EV68,Линии[Канал],"&lt;&gt;=",Линии[Щит],A68)&gt;1),"ДУБЛЬ КАНАЛА","")))</f>
        <v/>
      </c>
      <c r="FD68">
        <f t="shared" si="147"/>
        <v>10</v>
      </c>
      <c r="FE68" t="str">
        <f t="shared" si="148"/>
        <v>1P С10А</v>
      </c>
      <c r="FF68">
        <f t="shared" si="149"/>
        <v>0</v>
      </c>
      <c r="FG68">
        <f t="shared" si="150"/>
        <v>0</v>
      </c>
      <c r="FH68" t="str">
        <f t="shared" si="151"/>
        <v/>
      </c>
      <c r="FI68">
        <f t="shared" si="152"/>
        <v>10</v>
      </c>
      <c r="FJ68" t="str">
        <f t="shared" si="153"/>
        <v/>
      </c>
      <c r="FK68" t="str">
        <f>IF(AND(D68="",EZ68=""),"",_xlfn.TEXTJOIN("; ",TRUE,IF(AND(D68&lt;&gt;"",DD68=""),"нет фазы",""),IF(AND(D68&lt;&gt;"",N(DT68)=0,CN68&lt;&gt;"Нет"),"нет мощности",""),IF(AND(EY68&lt;&gt;"",COUNTIFS(Линии[Щит],A68,Линии[Клемма (итог)],EY68)&gt;1),"дубль клеммы "&amp;EY68,""),IF(AND(FB68&lt;&gt;"",FB68&lt;&gt;"ok"),FB68,""),IF(FC68&lt;&gt;"",FC68,""),IF(AND(ISNUMBER(SEARCH("(5х",DS68)),N(DV68)=1),"5 жил на 1 фазе",""),IF(AND(AT68="R",AD68&lt;&gt;"",OR(N(EH68)=0,N(EH68)&gt;30)),"розетка без дифзащиты до 30 мА",""),IFERROR(IF(AND(ISNUMBER(CD68),CD68&gt;CE68),"потери "&amp;FIXED(CD68,1)&amp;" % &gt; "&amp;CE68&amp;" %",""),""),IFERROR(IF(LEFT(FJ68,4)="мало","Iкз мало — отключение &gt; 0,4 с",""),""),IF(AND(D68&lt;&gt;"",BD68=""),"не на схеме","")))</f>
        <v/>
      </c>
      <c r="FL68">
        <f>IF(AD68="","",_xlfn.LET(_xlpm.t,IFERROR(_xlfn.XLOOKUP(EP68,Каталог!$U$4:$U$500,Каталог!$G$4:$G$500),""),_xlpm.k,SEARCH("кА",_xlpm.t),IFERROR(--TRIM(RIGHT(SUBSTITUTE(MID(_xlpm.t,MAX(1,_xlpm.k-4),_xlpm.k-MAX(1,_xlpm.k-4))," ",REPT(" ",9)),5)),"")))</f>
        <v>6</v>
      </c>
      <c r="FM68" t="str">
        <f>IF(OR(FL68="",AD68=""),"",IF(_xlfn.XLOOKUP(A68,Щиты[Щит],Щиты[Iкз max на шинах, кА],"")="","",IF(FL68&lt;_xlfn.XLOOKUP(A68,Щиты[Щит],Щиты[Iкз max на шинах, кА]),"Icu "&amp;FL68&amp;" кА &lt; Iкз max","ok")))</f>
        <v/>
      </c>
      <c r="FN68" t="str">
        <f t="shared" si="154"/>
        <v>QF15</v>
      </c>
      <c r="FO68" t="str">
        <f t="shared" si="155"/>
        <v>QF15|кабель ВВГнг(А)-LS (3х1,5) → Внутренний блок кондиционера Подвальный этаж Пом. №006Т</v>
      </c>
      <c r="FP68" t="str" cm="1">
        <f t="array" ref="FP68">IF(FO68="","",_xlfn.LET(_xlpm.nd,_xlfn.TEXTSPLIT(FO68,"|"),IF(COLUMNS(_xlpm.nd)&gt;1,A68&amp;"¦"&amp;INDEX(_xlpm.nd,1)&amp;"¦"&amp;INDEX(_xlpm.nd,2),"")))</f>
        <v>ЩОВ-001¦QF15¦кабель ВВГнг(А)-LS (3х1,5) → Внутренний блок кондиционера Подвальный этаж Пом. №006Т</v>
      </c>
      <c r="FQ68" t="str">
        <f t="shared" si="156"/>
        <v>К.1.021А.1¦Внутренний блок кондиционера Подвальный этаж Пом. №006Т</v>
      </c>
      <c r="FR68" t="str" cm="1">
        <f t="array" ref="FR68">IF(FO68="","",_xlfn.LET(_xlpm.nd,_xlfn.TEXTSPLIT(FO68,"|"),IF(COLUMNS(_xlpm.nd)&gt;2,A68&amp;"¦"&amp;INDEX(_xlpm.nd,2)&amp;"¦"&amp;INDEX(_xlpm.nd,3),"")))</f>
        <v/>
      </c>
      <c r="FS68" t="str">
        <f t="shared" si="157"/>
        <v/>
      </c>
      <c r="FT68" t="str" cm="1">
        <f t="array" ref="FT68">IF(FO68="","",_xlfn.LET(_xlpm.nd,_xlfn.TEXTSPLIT(FO68,"|"),IF(COLUMNS(_xlpm.nd)&gt;3,A68&amp;"¦"&amp;INDEX(_xlpm.nd,3)&amp;"¦"&amp;INDEX(_xlpm.nd,4),"")))</f>
        <v/>
      </c>
      <c r="FU68" t="str">
        <f t="shared" si="158"/>
        <v/>
      </c>
      <c r="FV68" t="str" cm="1">
        <f t="array" ref="FV68">IF(FO68="","",_xlfn.LET(_xlpm.nd,_xlfn.TEXTSPLIT(FO68,"|"),IF(COLUMNS(_xlpm.nd)&gt;4,A68&amp;"¦"&amp;INDEX(_xlpm.nd,4)&amp;"¦"&amp;INDEX(_xlpm.nd,5),"")))</f>
        <v/>
      </c>
      <c r="FW68" t="str">
        <f t="shared" si="159"/>
        <v/>
      </c>
      <c r="FX68" t="str" cm="1">
        <f t="array" ref="FX68">IF(FO68="","",_xlfn.LET(_xlpm.nd,_xlfn.TEXTSPLIT(FO68,"|"),IF(COLUMNS(_xlpm.nd)&gt;5,A68&amp;"¦"&amp;INDEX(_xlpm.nd,5)&amp;"¦"&amp;INDEX(_xlpm.nd,6),"")))</f>
        <v/>
      </c>
      <c r="FY68" t="str">
        <f t="shared" si="160"/>
        <v/>
      </c>
      <c r="FZ68" t="str" cm="1">
        <f t="array" ref="FZ68">IF(FO68="","",_xlfn.LET(_xlpm.nd,_xlfn.TEXTSPLIT(FO68,"|"),IF(COLUMNS(_xlpm.nd)&gt;6,A68&amp;"¦"&amp;INDEX(_xlpm.nd,6)&amp;"¦"&amp;INDEX(_xlpm.nd,7),"")))</f>
        <v/>
      </c>
      <c r="GA68" t="str">
        <f t="shared" si="161"/>
        <v/>
      </c>
      <c r="GB68" t="str">
        <f t="shared" si="162"/>
        <v/>
      </c>
      <c r="GC68" t="str">
        <f t="shared" si="163"/>
        <v>QF15</v>
      </c>
      <c r="GD68">
        <f t="shared" si="164"/>
        <v>1</v>
      </c>
      <c r="GE68">
        <f t="shared" si="165"/>
        <v>0</v>
      </c>
      <c r="GF68">
        <f t="shared" si="166"/>
        <v>0</v>
      </c>
      <c r="GG68" t="str">
        <f t="shared" si="167"/>
        <v/>
      </c>
      <c r="GH68" t="str">
        <f t="shared" si="168"/>
        <v/>
      </c>
      <c r="GI68" t="str">
        <f t="shared" si="169"/>
        <v/>
      </c>
      <c r="GJ68" t="str">
        <f t="shared" si="170"/>
        <v/>
      </c>
      <c r="GK68" t="str">
        <f>IF(D68="","",IFERROR(VLOOKUP(D68,УГО_спр,2,FALSE),IFERROR(VLOOKUP(AT68,УГО_спр,2,FALSE),IFERROR(VLOOKUP(LEFT(AT68,2),УГО_спр,2,FALSE),""))))</f>
        <v>Привод (двигатель)</v>
      </c>
      <c r="GL68" t="str">
        <f>IF(D68="","",IF(OR(GK68="",GK68=0),"BOX",IFERROR(IF(VLOOKUP(GK68,УГО_блоки,3,FALSE)&amp;""&lt;&gt;"",VLOOKUP(GK68,УГО_блоки,3,FALSE),VLOOKUP(GK68,УГО_блоки,2,FALSE)),GK68)))</f>
        <v>MOTOR</v>
      </c>
      <c r="GM68">
        <f t="shared" si="171"/>
        <v>1</v>
      </c>
      <c r="GN68" t="str">
        <f>IF(EP68="","",IF(COUNTIF(EP$3:EP68,EP68)=1,MAX(GN$2:GN67)+1,""))</f>
        <v/>
      </c>
      <c r="GO68" t="str">
        <f>IF(AF68="","",IF(COUNTIF(AF$3:AF68,AF68)+COUNTIF(AG$2:AG67,AF68)+COUNTIF(AH$2:AH67,AF68)=1,MAX(GO$2:GQ67)+1,""))</f>
        <v/>
      </c>
      <c r="GP68" t="str">
        <f>IF(AG68="","",IF(COUNTIF(AF$3:AF68,AG68)+COUNTIF(AG$3:AG68,AG68)+COUNTIF(AH$2:AH67,AG68)=1,MAX(GO$2:GQ67,GO68)+1,""))</f>
        <v/>
      </c>
      <c r="GQ68" t="str">
        <f>IF(AH68="","",IF(COUNTIF(AF$3:AF68,AH68)+COUNTIF(AG$3:AG68,AH68)+COUNTIF(AH$3:AH68,AH68)=1,MAX(GO$2:GQ67,GO68,GP68)+1,""))</f>
        <v/>
      </c>
      <c r="GR68" t="str">
        <f t="shared" si="172"/>
        <v>3х1,5</v>
      </c>
      <c r="GS68" t="str">
        <f>IF(GR68="","",IF(COUNTIF(GR$3:GR68,GR68)=1,MAX(GS$2:GS67)+1,""))</f>
        <v/>
      </c>
      <c r="GT68" t="str">
        <f>IF(ES68="","",COUNTIF(ES$3:ES68,"?*"))</f>
        <v/>
      </c>
      <c r="GU68" t="str">
        <f>IF(OR(ES68="",EU68=""),"",IF(COUNTIFS(ES$3:ES68,"?*",EU$3:EU68,EU68)=1,MAX(GU$2:GU67)+1,""))</f>
        <v/>
      </c>
      <c r="GV68">
        <f t="shared" si="173"/>
        <v>0</v>
      </c>
      <c r="GW68">
        <f>IF(D68="","",COUNTIF(D$3:D68,"?*"))</f>
        <v>66</v>
      </c>
      <c r="GX68">
        <f>IF(EX68&lt;&gt;1,0,_xlfn.LET(_xlpm.k,MAX(IFERROR(--VLOOKUP(D68,УГО_спр,5,FALSE),0),IFERROR(--VLOOKUP(AT68,УГО_спр,5,FALSE),0),IFERROR(--VLOOKUP(LEFT(AT68,2),УГО_спр,5,FALSE),0)),IF(_xlpm.k&gt;0,_xlpm.k,IF(IFERROR(--LEFT(SUBSTITUTE(GR68,"x","х"),FIND("х",SUBSTITUTE(GR68,"x","х"))-1),3)&gt;3,Каталог!$S$9,1))))</f>
        <v>1</v>
      </c>
      <c r="GY68">
        <f t="shared" si="174"/>
        <v>0</v>
      </c>
    </row>
    <row r="69" spans="1:207" x14ac:dyDescent="0.3">
      <c r="A69" t="s">
        <v>752</v>
      </c>
      <c r="B69">
        <v>31</v>
      </c>
      <c r="C69" t="str">
        <f>IF(BD69="","",IF(BE69="вводной узел","узел ","")&amp;"л."&amp;(INT((BD69-1)/Столбцов_на_лист)+1)&amp;" / "&amp;(MOD(BD69-1,Столбцов_на_лист)+1))</f>
        <v>л.2 / 14</v>
      </c>
      <c r="D69" t="s">
        <v>1346</v>
      </c>
      <c r="E69" s="133" t="s">
        <v>1347</v>
      </c>
      <c r="G69">
        <v>1.9</v>
      </c>
      <c r="H69">
        <v>1</v>
      </c>
      <c r="I69">
        <v>1</v>
      </c>
      <c r="J69">
        <v>230</v>
      </c>
      <c r="K69" t="s">
        <v>602</v>
      </c>
      <c r="L69">
        <v>0.5</v>
      </c>
      <c r="O69">
        <v>3</v>
      </c>
      <c r="P69">
        <v>36</v>
      </c>
      <c r="R69">
        <v>35</v>
      </c>
      <c r="T69">
        <v>1</v>
      </c>
      <c r="U69" t="s">
        <v>11</v>
      </c>
      <c r="V69">
        <v>3</v>
      </c>
      <c r="W69">
        <v>2.5</v>
      </c>
      <c r="X69">
        <v>16</v>
      </c>
      <c r="Z69" t="s">
        <v>580</v>
      </c>
      <c r="AA69" t="s">
        <v>818</v>
      </c>
      <c r="AD69" t="s">
        <v>517</v>
      </c>
      <c r="AK69" t="s">
        <v>488</v>
      </c>
      <c r="AR69" t="str">
        <f t="shared" si="88"/>
        <v/>
      </c>
      <c r="AS69" cm="1">
        <f t="array" ref="AS69">ROW()-ROW(Линии[#Headers])</f>
        <v>67</v>
      </c>
      <c r="AT69" t="str">
        <f t="shared" si="89"/>
        <v>K</v>
      </c>
      <c r="AU69" t="str">
        <f t="shared" si="90"/>
        <v>1</v>
      </c>
      <c r="AV69" t="str">
        <f t="shared" si="91"/>
        <v>1</v>
      </c>
      <c r="AW69" t="str">
        <f t="shared" si="92"/>
        <v/>
      </c>
      <c r="AX69" t="str">
        <f t="shared" si="93"/>
        <v/>
      </c>
      <c r="AY69" t="str">
        <f>IF(D69="","",IF(ISERROR(SEARCH(".",D69)),IFERROR(VLOOKUP(D69,Потребители_обозначение,2,FALSE)&amp;"",""),IFERROR(IF(VLOOKUP(AT69,Потребители_обозначение,4,FALSE)=1,VLOOKUP(AT69,Потребители_обозначение,2,FALSE)&amp;" "&amp;VLOOKUP(AV69,Этаж_обозначение,2,FALSE)&amp;" Пом. №"&amp;AX69,VLOOKUP(AT69,Потребители_обозначение,2,FALSE)&amp;" Шлейф №"&amp;AV69),IFERROR(VLOOKUP(D69,Потребители_обозначение,2,FALSE),""))))</f>
        <v>Внутренний блок кондиционирования Первый этаж Пом. №</v>
      </c>
      <c r="AZ69" t="str">
        <f t="shared" si="94"/>
        <v>Внешний блок кондиционирования Пом. Венткиосок</v>
      </c>
      <c r="BA69" t="str">
        <f>IF(F69&lt;&gt;"",F69,IF(AND(D69&lt;&gt;"",D69&lt;&gt;A69,ISNUMBER(_xlfn.XMATCH(D69,Щиты[Щит]))),D69,""))</f>
        <v/>
      </c>
      <c r="BB69">
        <f>IFERROR(_xlfn.XMATCH(A69,Щиты[Щит]),0)</f>
        <v>4</v>
      </c>
      <c r="BC69">
        <f>IFERROR(N(_xlfn.XLOOKUP(A69,Щиты[Щит],Щиты[Мест под вводной узел])),15)</f>
        <v>13</v>
      </c>
      <c r="BD69">
        <f t="shared" si="95"/>
        <v>31</v>
      </c>
      <c r="BE69" t="str">
        <f t="shared" si="96"/>
        <v>линии</v>
      </c>
      <c r="BF69">
        <f>IF(D69="","",IF(BA69&lt;&gt;"",IFERROR(_xlfn.XLOOKUP(BA69,Щиты[Щит],Щиты[Руст, кВт]),0),N(G69)))</f>
        <v>1.9</v>
      </c>
      <c r="BG69">
        <f>IF(J69&lt;&gt;"",J69,IF(D69="","",IFERROR(IF(VLOOKUP(AT69,Потребители_обозначение,8,FALSE)=0,"",VLOOKUP(AT69,Потребители_обозначение,8,FALSE)),"")))</f>
        <v>230</v>
      </c>
      <c r="BH69">
        <f>IF(I69&lt;&gt;"",I69,IF(D69="","",IFERROR(IF(VLOOKUP(AT69,Потребители_обозначение,9,FALSE)=0,"",VLOOKUP(AT69,Потребители_обозначение,9,FALSE)),"")))</f>
        <v>1</v>
      </c>
      <c r="BI69" t="str">
        <f>IF(U69&lt;&gt;"",U69,IF(D69="","",IFERROR(IF(VLOOKUP(AT69,Потребители_обозначение,6,FALSE)=0,"",VLOOKUP(AT69,Потребители_обозначение,6,FALSE)),"")))</f>
        <v>мс</v>
      </c>
      <c r="BJ69">
        <f>IF(V69&lt;&gt;"",V69,IF(D69="","",IFERROR(IF(VLOOKUP(AT69,Потребители_обозначение,7,FALSE)=0,"",VLOOKUP(AT69,Потребители_обозначение,7,FALSE)),"")))</f>
        <v>3</v>
      </c>
      <c r="BK69">
        <f>IF(W69&lt;&gt;"",W69,IF(D69="","",IFERROR(IF(VLOOKUP(AT69,Потребители_обозначение,10,FALSE)=0,"",VLOOKUP(AT69,Потребители_обозначение,10,FALSE)),"")))</f>
        <v>2.5</v>
      </c>
      <c r="BL69">
        <f>IFERROR(VLOOKUP(AT69,Потребители_обозначение,5,FALSE),0)</f>
        <v>1</v>
      </c>
      <c r="BM69" cm="1">
        <f t="array" ref="BM69">IF(D69="","",IF(BA69&lt;&gt;"",IFERROR(_xlfn.XLOOKUP(BA69,Щиты[Щит],Щиты[cos φ]),0.95),IF(ISNUMBER(M69),M69,IFERROR(IF(BL69=2,_xlfn.IFS(BH69=3,VLOOKUP(BF69,Справочная_двигатели,8,FALSE),BH69=1,VLOOKUP(BF69,Справочная_двигатели,10,TRUE)),IF(AND(Методика="нормы 2026",CN69="Сил"),0.8,0.95)),0.95))))</f>
        <v>0.95</v>
      </c>
      <c r="BN69" cm="1">
        <f t="array" ref="BN69">IF(D69="","",IF(BA69&lt;&gt;"",IFERROR(_xlfn.XLOOKUP(BA69,Щиты[Щит],Щиты[Iр, А]),""),IFERROR(_xlfn.IFS(BH69=1,BF69/((Uн_лин/SQRT(3))*BM69),BH69=3,BF69/(SQRT(3)*Uн_лин*BM69)),"")))</f>
        <v>8.6602540378443855</v>
      </c>
      <c r="BO69">
        <f>IF(D69="","",IF(N(X69)=0,IFERROR(VLOOKUP(BN69,Автомат_номиналы,2,TRUE),""),X69))</f>
        <v>16</v>
      </c>
      <c r="BP69">
        <f t="shared" si="97"/>
        <v>1</v>
      </c>
      <c r="BQ69">
        <f>IF(ISNUMBER(Y69),Y69,К_прокл)</f>
        <v>1</v>
      </c>
      <c r="BR69">
        <f t="shared" si="98"/>
        <v>2</v>
      </c>
      <c r="BS69" cm="1">
        <f t="array" ref="BS69">IF(D69="","",IF(N(BK69)&lt;&gt;0,BK69,IFERROR(_xlfn.LET(_xlpm.need,BO69/(BP69*BQ69),_xlpm.t,CHOOSE(BR69,Iдоп_1ж,Iдоп_2ж,Iдоп_3ж),_xlpm.k,_xlfn.XMATCH(_xlpm.need,_xlpm.t,1),IF(ISNA(_xlpm.k),"Не исп",INDEX(Iдоп_S,_xlpm.k))),"Не исп")))</f>
        <v>2.5</v>
      </c>
      <c r="BT69">
        <f>IFERROR(VLOOKUP(BS69,Кабель_сопротивление,3,FALSE),"")</f>
        <v>2.2499999999999999E-2</v>
      </c>
      <c r="BU69">
        <f>IFERROR(VLOOKUP(BS69,Кабель_сопротивление,2,FALSE),"")</f>
        <v>0.1</v>
      </c>
      <c r="BV69">
        <f t="shared" si="99"/>
        <v>36</v>
      </c>
      <c r="BW69">
        <f>IF(D69="","",IFERROR(IF(VLOOKUP(AT69,Потребители_обозначение,4,FALSE)=1,VLOOKUP(AT69,Потребители_обозначение,3,FALSE)*(H69*2-1)+BV69+VLOOKUP(AV69,Этаж_обозначение,3,FALSE)+VLOOKUP(AV69,Этаж_обозначение,4,FALSE),VLOOKUP(AT69,Потребители_обозначение,3,FALSE)*(H69*2-1)+BV69),BV69))</f>
        <v>38</v>
      </c>
      <c r="BX69">
        <f t="shared" si="100"/>
        <v>35</v>
      </c>
      <c r="BY69">
        <f t="shared" si="101"/>
        <v>0</v>
      </c>
      <c r="BZ69">
        <f t="shared" si="102"/>
        <v>2</v>
      </c>
      <c r="CA69">
        <f t="shared" si="103"/>
        <v>0.31</v>
      </c>
      <c r="CB69">
        <f t="shared" si="104"/>
        <v>5.6478366323044424</v>
      </c>
      <c r="CC69">
        <f>IFERROR(ROUNDUP(CB69/((Uн_лин/SQRT(3))*1000)*100,2),"")</f>
        <v>2.4499999999999997</v>
      </c>
      <c r="CD69">
        <f>IF(ISNUMBER(CC69),CC69+IFERROR(_xlfn.XLOOKUP(A69,Щиты[Щит],Щиты[ΔU до шин, %]),0),"")</f>
        <v>2.9499999999999997</v>
      </c>
      <c r="CE69">
        <f>IF(D69="","",IF(IFERROR(VLOOKUP(AT69,УГО_спр,2,FALSE),"")="Светильник",3,4)+IF(Методика="нормы 2026",MIN(0.5,MAX(0,N(BW69)-100)*0.005),0))</f>
        <v>4</v>
      </c>
      <c r="CF69" t="str">
        <f>IFERROR(VLOOKUP(BI69,Кабель_обозначение,2,FALSE),"")</f>
        <v>ВВГнг(А)-LS</v>
      </c>
      <c r="CG69" t="str">
        <f>IFERROR(IF(VLOOKUP(BI69,Кабель_обозначение,3,FALSE)=1,CF69&amp;" ("&amp;BJ69&amp;"х"&amp;BS69&amp;")",CF69),"")</f>
        <v>ВВГнг(А)-LS (3х2,5)</v>
      </c>
      <c r="CH69" t="str">
        <f t="shared" si="105"/>
        <v>ВВГнг(А)-LS (3х2,5)
L=38-2,45%</v>
      </c>
      <c r="CI69">
        <f>IFERROR(2*ρкз_Cu*BW69/BS69,"")</f>
        <v>0.79952000000000001</v>
      </c>
      <c r="CJ69">
        <f t="shared" si="106"/>
        <v>0.26600000000000001</v>
      </c>
      <c r="CK69" t="str">
        <f>IFERROR(IF(OR(D69="",NOT(ISNUMBER(BS69)),N(BW69)=0),"",_xlfn.XLOOKUP(A69,Щиты[Щит],Щиты[Zпетли на шинах, Ом])+CI69),"")</f>
        <v/>
      </c>
      <c r="CL69" t="str">
        <f>IF(ISNUMBER(CK69),c_min*(Uн_лин*1000/SQRT(3))/CK69,"")</f>
        <v/>
      </c>
      <c r="CM69" t="str">
        <f>IFERROR(IF(OR(D69="",NOT(ISNUMBER(BS69))),"",1.05*(Uн_лин*1000/SQRT(3))/(_xlfn.XLOOKUP(A69,Щиты[Щит],Щиты[Zmax на шинах, Ом])+CJ69)/1000),"")</f>
        <v/>
      </c>
      <c r="CN69" t="str">
        <f>IF(D69="","",IF(BA69&lt;&gt;"","Щит",IF(K69&lt;&gt;"",K69,IF(ISNUMBER(L69),"Сил",IF(IFERROR(_xlfn.XLOOKUP(AT69,Коды_код,Коды_группа)&amp;"","")="","Быт",_xlfn.XLOOKUP(AT69,Коды_код,Коды_группа)&amp;"")))))</f>
        <v>Сил</v>
      </c>
      <c r="CO69">
        <f>IF(CN69="Щит","щит",IF(CN69="","",IF(CN69="Быт",IFERROR(_xlfn.XLOOKUP(A69,Щиты[Щит],Щиты[Кс быт]),1),IF(CN69="Сил",IF(ISNUMBER(L69),L69,IF(Методика="нормы 2026",IFERROR(_xlfn.XLOOKUP(A69,Щиты[Щит],Щиты[Кс силовых (табл. 7.5)]),1),1)),IF(OR(CN69="Пост",CN69="Отоп"),1,IF(CN69="ВНГ",0.7,0))))))</f>
        <v>0.5</v>
      </c>
      <c r="CP69">
        <f t="shared" si="107"/>
        <v>1</v>
      </c>
      <c r="CQ69">
        <f t="shared" si="108"/>
        <v>1.9</v>
      </c>
      <c r="CR69">
        <f t="shared" si="109"/>
        <v>0</v>
      </c>
      <c r="CS69">
        <f t="shared" si="110"/>
        <v>0.95</v>
      </c>
      <c r="CT69">
        <f t="shared" si="111"/>
        <v>0</v>
      </c>
      <c r="CU69">
        <f t="shared" si="112"/>
        <v>0</v>
      </c>
      <c r="CV69">
        <f t="shared" si="113"/>
        <v>0</v>
      </c>
      <c r="CW69">
        <f t="shared" si="114"/>
        <v>1.9</v>
      </c>
      <c r="CX69">
        <f t="shared" si="115"/>
        <v>1.8049999999999999</v>
      </c>
      <c r="CY69">
        <f t="shared" si="116"/>
        <v>1</v>
      </c>
      <c r="CZ69" t="str">
        <f t="shared" si="117"/>
        <v>L1</v>
      </c>
      <c r="DA69" cm="1">
        <f t="array" ref="DA69">IFERROR(IF(BL69=2,_xlfn.IFS(BH69=3,VLOOKUP(BF69,Справочная_двигатели,3,FALSE),BH69=1,VLOOKUP(BF69,Справочная_двигатели,5,TRUE)),0),0)</f>
        <v>0</v>
      </c>
      <c r="DB69">
        <f>IFERROR(IF(BL69=3,VLOOKUP(BF69,Справочная_ЛЭД,2,TRUE),0),0)</f>
        <v>0</v>
      </c>
      <c r="DC69">
        <f t="shared" si="118"/>
        <v>0</v>
      </c>
      <c r="DD69" t="str">
        <f t="shared" si="119"/>
        <v>L3</v>
      </c>
      <c r="DE69" t="str" cm="1">
        <f t="array" ref="DE69">IF(D69="","",IFERROR(INDEX({"I особая","I","II","III"},MATCH(TRIM(AA69&amp;""),{"I особая","I","II","III"},0)),"III"))</f>
        <v>II</v>
      </c>
      <c r="DF69" t="str">
        <f>IF(D69="","",IF(TRIM(AB69&amp;"")&lt;&gt;"",IF(LOWER(TRIM(AB69&amp;""))="да","да","нет"),IF(IFERROR(_xlfn.XLOOKUP(AT69,Коды_код,Коды_пожарная),"")="да","да","нет")))</f>
        <v>нет</v>
      </c>
      <c r="DG69" t="str">
        <f t="shared" si="120"/>
        <v/>
      </c>
      <c r="DH69" t="str">
        <f t="shared" si="121"/>
        <v>основная</v>
      </c>
      <c r="DI69">
        <f t="shared" si="122"/>
        <v>1</v>
      </c>
      <c r="DJ69" t="str" cm="1">
        <f t="array" ref="DJ69">IF(D69="","",_xlfn.LET(_xlpm.t,IFERROR(_xlfn.XLOOKUP(1,(Шины[Шина]=DH69)*(((Шины[Щит]=A69)+(Шины[Щит]=""))&gt;0),Шины[Тип]),"")&amp;"",IF(_xlpm.t&lt;&gt;"",_xlpm.t,IF(ISNUMBER(SEARCH("ИБП",DH69)),"ИБП",IF(ISNUMBER(SEARCH("ДГУ",DH69)),"ДГУ","Ввод "&amp;DI69)))))</f>
        <v>Ввод 1</v>
      </c>
      <c r="DK69" t="str">
        <f t="shared" si="123"/>
        <v>Ввод 1</v>
      </c>
      <c r="DL69" t="str">
        <f>IF(D69="","",IF(OR(DJ69="ИБП",DJ69="ДГУ"),"I особая",IF(DJ69="Одиночная","III",_xlfn.XLOOKUP(A69,Щиты[Щит],Щиты[Категория шины «Ввод»],"III"))))</f>
        <v>II</v>
      </c>
      <c r="DM69">
        <f>IF(D69="",0,IFERROR(MATCH(DE69,{"III","II","I","I особая"},0),1))</f>
        <v>2</v>
      </c>
      <c r="DN69">
        <f t="shared" si="124"/>
        <v>2</v>
      </c>
      <c r="DO69" t="str">
        <f>IF(D69="","",IF(DM69&gt;IFERROR(MATCH(DL69,{"III","II","I","I особая"},0),1),"НЕ ОБЕСПЕЧЕНА","ОК"))</f>
        <v>ОК</v>
      </c>
      <c r="DP69" t="str">
        <f>IF(A69="","",_xlfn.XLOOKUP(A69,Щиты[Щит],Щиты[Путь],""))</f>
        <v>|ГРЩ-ЖД|ЩОВ-001|</v>
      </c>
      <c r="DQ69" t="str">
        <f>IF(D69="","",IF(Z69&lt;&gt;"",Z69,IF(IFERROR(_xlfn.XLOOKUP(AT69,Коды_код,Коды_вид)&amp;"","")="","Прочее",_xlfn.XLOOKUP(AT69,Коды_код,Коды_вид)&amp;"")))</f>
        <v>Кондиционирование и увлажнение</v>
      </c>
      <c r="DR69">
        <f>IF(BD69="","",INT((BD69-1)/Столбцов_на_лист)+1)</f>
        <v>2</v>
      </c>
      <c r="DS69" t="str">
        <f t="shared" si="125"/>
        <v>ВВГнг(А)-LS (3х2,5) L=38-2,45%</v>
      </c>
      <c r="DT69">
        <f t="shared" si="126"/>
        <v>1.9</v>
      </c>
      <c r="DU69">
        <f t="shared" si="127"/>
        <v>8.67</v>
      </c>
      <c r="DV69">
        <f t="shared" si="128"/>
        <v>1</v>
      </c>
      <c r="DW69">
        <f>IF(AT69="",0,_xlfn.LET(_xlpm.v,IFERROR(VLOOKUP(D69,УГО_спр,3,FALSE),IFERROR(VLOOKUP(AT69,УГО_спр,3,FALSE),IFERROR(VLOOKUP(LEFT(AT69,2),УГО_спр,3,FALSE),""))),IF(_xlpm.v="да",30,IF(ISNUMBER(_xlpm.v),_xlpm.v,0))))</f>
        <v>0</v>
      </c>
      <c r="DX69">
        <f t="shared" si="129"/>
        <v>0</v>
      </c>
      <c r="DY69">
        <f>IF(BD69="","",IF(AD69&lt;&gt;"",COUNTIFS(A$3:A69,A69,AD$3:AD69,"?*"),IF(OR(OR(AS69=1,A69&lt;&gt;A68),AL69="вручную"),"",IF(AS69=1,"",DZ68))))</f>
        <v>16</v>
      </c>
      <c r="DZ69">
        <f t="shared" si="130"/>
        <v>16</v>
      </c>
      <c r="EA69">
        <f>IF(D69="",0,MAX(IFERROR(--X69,0),IFERROR(--VLOOKUP(D69,УГО_спр,4,FALSE),IFERROR(--VLOOKUP(AT69,УГО_спр,4,FALSE),IFERROR(--VLOOKUP(LEFT(AT69,2),УГО_спр,4,FALSE),0)))))</f>
        <v>16</v>
      </c>
      <c r="EB69">
        <f>IF(D69="","",IFERROR(LOOKUP(INDEX(CHOOSE(BR69,Iдоп_1ж,Iдоп_2ж,Iдоп_3ж),MATCH(BS69,Iдоп_S,0))*BP69*BQ69,{6,10,16,20,25,32,40,50,63,80,100,125,160,200,250,315,400,500,630}),""))</f>
        <v>25</v>
      </c>
      <c r="EC69">
        <f>IF(AD69="","",SUMIFS(Линии[_Ток схемы],Линии[_гр.],DY69,Линии[Щит],A69,Линии[_в кабель выше],0))</f>
        <v>8.67</v>
      </c>
      <c r="ED69">
        <f>IF(AD69="","",IFERROR(VLOOKUP(EC69,Автомат_номиналы,2,TRUE),""))</f>
        <v>10</v>
      </c>
      <c r="EE69">
        <f>IF(AD69="","",MAX(N(ED69),_xlfn.MAXIFS(Линии[_мин. по типу],Линии[_гр.],DY69,Линии[Щит],A69)))</f>
        <v>16</v>
      </c>
      <c r="EF69">
        <f>IF(AD69="","",_xlfn.MINIFS(Линии[_макс. автомат по кабелю],Линии[_гр.],DY69,Линии[Щит],A69))</f>
        <v>25</v>
      </c>
      <c r="EG69">
        <f>IF(AD69="","",MAX(1,_xlfn.MAXIFS(Линии[_фаз],Линии[_гр.],DY69,Линии[Щит],A69)))</f>
        <v>1</v>
      </c>
      <c r="EH69">
        <f>IF(AD69="","",IF(AND(AD69&lt;&gt;"авто",AD69&lt;&gt;"+"),IF(ISNUMBER(SEARCH("мА",AD69)),IFERROR(--TRIM(RIGHT(SUBSTITUTE(LEFT(AD69,SEARCH("мА",AD69)-1)," ",REPT(" ",9)),6)),30),0),IF(AE69="нет",0,IF(ISNUMBER(AE69),AE69,IF(AE69="да",30,_xlfn.MINIFS(Линии[_дифзащита по коду, мА],Линии[_гр.],DY69,Линии[Щит],A69,Линии[_дифзащита по коду, мА],"&gt;0"))))))</f>
        <v>0</v>
      </c>
      <c r="EI69">
        <f t="shared" si="131"/>
        <v>0</v>
      </c>
      <c r="EJ69" t="str">
        <f t="shared" si="132"/>
        <v>QF16</v>
      </c>
      <c r="EK69" t="str">
        <f t="shared" si="133"/>
        <v>QF16</v>
      </c>
      <c r="EL69" t="str">
        <f t="shared" si="134"/>
        <v/>
      </c>
      <c r="EM69">
        <f t="shared" si="135"/>
        <v>0</v>
      </c>
      <c r="EN69">
        <f>IF(AD69="","",IF(EM69=1,MAX(EE69,Мин_автомат_БП),EE69))</f>
        <v>16</v>
      </c>
      <c r="EO69" t="str">
        <f t="shared" si="136"/>
        <v>1P</v>
      </c>
      <c r="EP69" t="str">
        <f t="shared" si="137"/>
        <v>1P С16А</v>
      </c>
      <c r="EQ69">
        <f t="shared" si="138"/>
        <v>16</v>
      </c>
      <c r="ER69" t="str">
        <f>IF(OR(AI69="",AI69="-"),"",IFERROR(VLOOKUP(AI69,Модули_спр,2,FALSE),"R"))</f>
        <v/>
      </c>
      <c r="ES69" t="str">
        <f>IF(ER69="","",ER69&amp;"."&amp;COUNTIFS(A$3:A69,A69,ER$3:ER69,ER69))</f>
        <v/>
      </c>
      <c r="ET69" t="str">
        <f t="shared" si="139"/>
        <v/>
      </c>
      <c r="EU69" t="str">
        <f t="shared" si="140"/>
        <v/>
      </c>
      <c r="EV69" t="str">
        <f t="shared" si="141"/>
        <v/>
      </c>
      <c r="EW69" t="str">
        <f t="shared" si="142"/>
        <v/>
      </c>
      <c r="EX69">
        <f t="shared" si="143"/>
        <v>1</v>
      </c>
      <c r="EY69" t="str">
        <f>IF(AK69="нет","",IF(AK69&lt;&gt;"",AK69,IF(EX69=1,"XT"&amp;COUNTIFS(A$3:A69,A69,EX$3:EX69,1),"")))</f>
        <v/>
      </c>
      <c r="EZ69" t="str">
        <f t="shared" si="144"/>
        <v>QF16</v>
      </c>
      <c r="FA69" t="str">
        <f t="shared" si="145"/>
        <v/>
      </c>
      <c r="FB69" t="str">
        <f t="shared" si="146"/>
        <v>ok</v>
      </c>
      <c r="FC69" t="str">
        <f>IF(OR(EV69="",ET69=""),"",IF(EV69&gt;IFERROR(VLOOKUP(EU69,Модули_спр,3,FALSE),99),"ЛИШНИЙ КАНАЛ",IF(AND(AJ69&lt;&gt;"=",COUNTIFS(Линии[_модуль гр.],ET69,Линии[Канал (итог)],EV69,Линии[Канал],"&lt;&gt;=",Линии[Щит],A69)&gt;1),"ДУБЛЬ КАНАЛА","")))</f>
        <v/>
      </c>
      <c r="FD69">
        <f t="shared" si="147"/>
        <v>16</v>
      </c>
      <c r="FE69" t="str">
        <f t="shared" si="148"/>
        <v>1P С16А</v>
      </c>
      <c r="FF69">
        <f t="shared" si="149"/>
        <v>0</v>
      </c>
      <c r="FG69">
        <f t="shared" si="150"/>
        <v>0</v>
      </c>
      <c r="FH69" t="str">
        <f t="shared" si="151"/>
        <v/>
      </c>
      <c r="FI69">
        <f t="shared" si="152"/>
        <v>10</v>
      </c>
      <c r="FJ69" t="str">
        <f t="shared" si="153"/>
        <v/>
      </c>
      <c r="FK69" t="str">
        <f>IF(AND(D69="",EZ69=""),"",_xlfn.TEXTJOIN("; ",TRUE,IF(AND(D69&lt;&gt;"",DD69=""),"нет фазы",""),IF(AND(D69&lt;&gt;"",N(DT69)=0,CN69&lt;&gt;"Нет"),"нет мощности",""),IF(AND(EY69&lt;&gt;"",COUNTIFS(Линии[Щит],A69,Линии[Клемма (итог)],EY69)&gt;1),"дубль клеммы "&amp;EY69,""),IF(AND(FB69&lt;&gt;"",FB69&lt;&gt;"ok"),FB69,""),IF(FC69&lt;&gt;"",FC69,""),IF(AND(ISNUMBER(SEARCH("(5х",DS69)),N(DV69)=1),"5 жил на 1 фазе",""),IF(AND(AT69="R",AD69&lt;&gt;"",OR(N(EH69)=0,N(EH69)&gt;30)),"розетка без дифзащиты до 30 мА",""),IFERROR(IF(AND(ISNUMBER(CD69),CD69&gt;CE69),"потери "&amp;FIXED(CD69,1)&amp;" % &gt; "&amp;CE69&amp;" %",""),""),IFERROR(IF(LEFT(FJ69,4)="мало","Iкз мало — отключение &gt; 0,4 с",""),""),IF(AND(D69&lt;&gt;"",BD69=""),"не на схеме","")))</f>
        <v/>
      </c>
      <c r="FL69">
        <f>IF(AD69="","",_xlfn.LET(_xlpm.t,IFERROR(_xlfn.XLOOKUP(EP69,Каталог!$U$4:$U$500,Каталог!$G$4:$G$500),""),_xlpm.k,SEARCH("кА",_xlpm.t),IFERROR(--TRIM(RIGHT(SUBSTITUTE(MID(_xlpm.t,MAX(1,_xlpm.k-4),_xlpm.k-MAX(1,_xlpm.k-4))," ",REPT(" ",9)),5)),"")))</f>
        <v>6</v>
      </c>
      <c r="FM69" t="str">
        <f>IF(OR(FL69="",AD69=""),"",IF(_xlfn.XLOOKUP(A69,Щиты[Щит],Щиты[Iкз max на шинах, кА],"")="","",IF(FL69&lt;_xlfn.XLOOKUP(A69,Щиты[Щит],Щиты[Iкз max на шинах, кА]),"Icu "&amp;FL69&amp;" кА &lt; Iкз max","ok")))</f>
        <v/>
      </c>
      <c r="FN69" t="str">
        <f t="shared" si="154"/>
        <v>QF16</v>
      </c>
      <c r="FO69" t="str">
        <f t="shared" si="155"/>
        <v>QF16|кабель ВВГнг(А)-LS (3х2,5) → Внешний блок кондиционирования Пом. Венткиосок</v>
      </c>
      <c r="FP69" t="str" cm="1">
        <f t="array" ref="FP69">IF(FO69="","",_xlfn.LET(_xlpm.nd,_xlfn.TEXTSPLIT(FO69,"|"),IF(COLUMNS(_xlpm.nd)&gt;1,A69&amp;"¦"&amp;INDEX(_xlpm.nd,1)&amp;"¦"&amp;INDEX(_xlpm.nd,2),"")))</f>
        <v>ЩОВ-001¦QF16¦кабель ВВГнг(А)-LS (3х2,5) → Внешний блок кондиционирования Пом. Венткиосок</v>
      </c>
      <c r="FQ69" t="str">
        <f t="shared" si="156"/>
        <v>K.1¦Внешний блок кондиционирования Пом. Венткиосок</v>
      </c>
      <c r="FR69" t="str" cm="1">
        <f t="array" ref="FR69">IF(FO69="","",_xlfn.LET(_xlpm.nd,_xlfn.TEXTSPLIT(FO69,"|"),IF(COLUMNS(_xlpm.nd)&gt;2,A69&amp;"¦"&amp;INDEX(_xlpm.nd,2)&amp;"¦"&amp;INDEX(_xlpm.nd,3),"")))</f>
        <v/>
      </c>
      <c r="FS69" t="str">
        <f t="shared" si="157"/>
        <v/>
      </c>
      <c r="FT69" t="str" cm="1">
        <f t="array" ref="FT69">IF(FO69="","",_xlfn.LET(_xlpm.nd,_xlfn.TEXTSPLIT(FO69,"|"),IF(COLUMNS(_xlpm.nd)&gt;3,A69&amp;"¦"&amp;INDEX(_xlpm.nd,3)&amp;"¦"&amp;INDEX(_xlpm.nd,4),"")))</f>
        <v/>
      </c>
      <c r="FU69" t="str">
        <f t="shared" si="158"/>
        <v/>
      </c>
      <c r="FV69" t="str" cm="1">
        <f t="array" ref="FV69">IF(FO69="","",_xlfn.LET(_xlpm.nd,_xlfn.TEXTSPLIT(FO69,"|"),IF(COLUMNS(_xlpm.nd)&gt;4,A69&amp;"¦"&amp;INDEX(_xlpm.nd,4)&amp;"¦"&amp;INDEX(_xlpm.nd,5),"")))</f>
        <v/>
      </c>
      <c r="FW69" t="str">
        <f t="shared" si="159"/>
        <v/>
      </c>
      <c r="FX69" t="str" cm="1">
        <f t="array" ref="FX69">IF(FO69="","",_xlfn.LET(_xlpm.nd,_xlfn.TEXTSPLIT(FO69,"|"),IF(COLUMNS(_xlpm.nd)&gt;5,A69&amp;"¦"&amp;INDEX(_xlpm.nd,5)&amp;"¦"&amp;INDEX(_xlpm.nd,6),"")))</f>
        <v/>
      </c>
      <c r="FY69" t="str">
        <f t="shared" si="160"/>
        <v/>
      </c>
      <c r="FZ69" t="str" cm="1">
        <f t="array" ref="FZ69">IF(FO69="","",_xlfn.LET(_xlpm.nd,_xlfn.TEXTSPLIT(FO69,"|"),IF(COLUMNS(_xlpm.nd)&gt;6,A69&amp;"¦"&amp;INDEX(_xlpm.nd,6)&amp;"¦"&amp;INDEX(_xlpm.nd,7),"")))</f>
        <v/>
      </c>
      <c r="GA69" t="str">
        <f t="shared" si="161"/>
        <v/>
      </c>
      <c r="GB69" t="str">
        <f t="shared" si="162"/>
        <v/>
      </c>
      <c r="GC69" t="str">
        <f t="shared" si="163"/>
        <v>QF16</v>
      </c>
      <c r="GD69">
        <f t="shared" si="164"/>
        <v>1</v>
      </c>
      <c r="GE69">
        <f t="shared" si="165"/>
        <v>0</v>
      </c>
      <c r="GF69">
        <f t="shared" si="166"/>
        <v>0</v>
      </c>
      <c r="GG69" t="str">
        <f t="shared" si="167"/>
        <v/>
      </c>
      <c r="GH69" t="str">
        <f t="shared" si="168"/>
        <v/>
      </c>
      <c r="GI69" t="str">
        <f t="shared" si="169"/>
        <v/>
      </c>
      <c r="GJ69" t="str">
        <f t="shared" si="170"/>
        <v/>
      </c>
      <c r="GK69">
        <f>IF(D69="","",IFERROR(VLOOKUP(D69,УГО_спр,2,FALSE),IFERROR(VLOOKUP(AT69,УГО_спр,2,FALSE),IFERROR(VLOOKUP(LEFT(AT69,2),УГО_спр,2,FALSE),""))))</f>
        <v>0</v>
      </c>
      <c r="GL69" t="str">
        <f>IF(D69="","",IF(OR(GK69="",GK69=0),"BOX",IFERROR(IF(VLOOKUP(GK69,УГО_блоки,3,FALSE)&amp;""&lt;&gt;"",VLOOKUP(GK69,УГО_блоки,3,FALSE),VLOOKUP(GK69,УГО_блоки,2,FALSE)),GK69)))</f>
        <v>BOX</v>
      </c>
      <c r="GM69">
        <f t="shared" si="171"/>
        <v>1</v>
      </c>
      <c r="GN69" t="str">
        <f>IF(EP69="","",IF(COUNTIF(EP$3:EP69,EP69)=1,MAX(GN$2:GN68)+1,""))</f>
        <v/>
      </c>
      <c r="GO69" t="str">
        <f>IF(AF69="","",IF(COUNTIF(AF$3:AF69,AF69)+COUNTIF(AG$2:AG68,AF69)+COUNTIF(AH$2:AH68,AF69)=1,MAX(GO$2:GQ68)+1,""))</f>
        <v/>
      </c>
      <c r="GP69" t="str">
        <f>IF(AG69="","",IF(COUNTIF(AF$3:AF69,AG69)+COUNTIF(AG$3:AG69,AG69)+COUNTIF(AH$2:AH68,AG69)=1,MAX(GO$2:GQ68,GO69)+1,""))</f>
        <v/>
      </c>
      <c r="GQ69" t="str">
        <f>IF(AH69="","",IF(COUNTIF(AF$3:AF69,AH69)+COUNTIF(AG$3:AG69,AH69)+COUNTIF(AH$3:AH69,AH69)=1,MAX(GO$2:GQ68,GO69,GP69)+1,""))</f>
        <v/>
      </c>
      <c r="GR69" t="str">
        <f t="shared" si="172"/>
        <v>3х2,5</v>
      </c>
      <c r="GS69" t="str">
        <f>IF(GR69="","",IF(COUNTIF(GR$3:GR69,GR69)=1,MAX(GS$2:GS68)+1,""))</f>
        <v/>
      </c>
      <c r="GT69" t="str">
        <f>IF(ES69="","",COUNTIF(ES$3:ES69,"?*"))</f>
        <v/>
      </c>
      <c r="GU69" t="str">
        <f>IF(OR(ES69="",EU69=""),"",IF(COUNTIFS(ES$3:ES69,"?*",EU$3:EU69,EU69)=1,MAX(GU$2:GU68)+1,""))</f>
        <v/>
      </c>
      <c r="GV69">
        <f t="shared" si="173"/>
        <v>0</v>
      </c>
      <c r="GW69">
        <f>IF(D69="","",COUNTIF(D$3:D69,"?*"))</f>
        <v>67</v>
      </c>
      <c r="GX69">
        <f>IF(EX69&lt;&gt;1,0,_xlfn.LET(_xlpm.k,MAX(IFERROR(--VLOOKUP(D69,УГО_спр,5,FALSE),0),IFERROR(--VLOOKUP(AT69,УГО_спр,5,FALSE),0),IFERROR(--VLOOKUP(LEFT(AT69,2),УГО_спр,5,FALSE),0)),IF(_xlpm.k&gt;0,_xlpm.k,IF(IFERROR(--LEFT(SUBSTITUTE(GR69,"x","х"),FIND("х",SUBSTITUTE(GR69,"x","х"))-1),3)&gt;3,Каталог!$S$9,1))))</f>
        <v>1</v>
      </c>
      <c r="GY69">
        <f t="shared" si="174"/>
        <v>0</v>
      </c>
    </row>
    <row r="70" spans="1:207" x14ac:dyDescent="0.3">
      <c r="A70" t="s">
        <v>752</v>
      </c>
      <c r="B70">
        <v>32</v>
      </c>
      <c r="C70" t="str">
        <f>IF(BD70="","",IF(BE70="вводной узел","узел ","")&amp;"л."&amp;(INT((BD70-1)/Столбцов_на_лист)+1)&amp;" / "&amp;(MOD(BD70-1,Столбцов_на_лист)+1))</f>
        <v>л.2 / 15</v>
      </c>
      <c r="D70" t="s">
        <v>1348</v>
      </c>
      <c r="E70" s="133" t="s">
        <v>1347</v>
      </c>
      <c r="G70">
        <v>1.9</v>
      </c>
      <c r="H70">
        <v>1</v>
      </c>
      <c r="I70">
        <v>1</v>
      </c>
      <c r="J70">
        <v>230</v>
      </c>
      <c r="K70" t="s">
        <v>602</v>
      </c>
      <c r="L70">
        <v>0.5</v>
      </c>
      <c r="O70">
        <v>1</v>
      </c>
      <c r="P70">
        <v>36</v>
      </c>
      <c r="R70">
        <v>35</v>
      </c>
      <c r="T70">
        <v>1</v>
      </c>
      <c r="U70" t="s">
        <v>11</v>
      </c>
      <c r="V70">
        <v>3</v>
      </c>
      <c r="W70">
        <v>2.5</v>
      </c>
      <c r="X70">
        <v>16</v>
      </c>
      <c r="Z70" t="s">
        <v>580</v>
      </c>
      <c r="AA70" t="s">
        <v>818</v>
      </c>
      <c r="AD70" t="s">
        <v>517</v>
      </c>
      <c r="AK70" t="s">
        <v>488</v>
      </c>
      <c r="AR70" t="str">
        <f t="shared" si="88"/>
        <v/>
      </c>
      <c r="AS70" cm="1">
        <f t="array" ref="AS70">ROW()-ROW(Линии[#Headers])</f>
        <v>68</v>
      </c>
      <c r="AT70" t="str">
        <f t="shared" si="89"/>
        <v>K</v>
      </c>
      <c r="AU70" t="str">
        <f t="shared" si="90"/>
        <v>2</v>
      </c>
      <c r="AV70" t="str">
        <f t="shared" si="91"/>
        <v>2</v>
      </c>
      <c r="AW70" t="str">
        <f t="shared" si="92"/>
        <v/>
      </c>
      <c r="AX70" t="str">
        <f t="shared" si="93"/>
        <v/>
      </c>
      <c r="AY70" t="str">
        <f>IF(D70="","",IF(ISERROR(SEARCH(".",D70)),IFERROR(VLOOKUP(D70,Потребители_обозначение,2,FALSE)&amp;"",""),IFERROR(IF(VLOOKUP(AT70,Потребители_обозначение,4,FALSE)=1,VLOOKUP(AT70,Потребители_обозначение,2,FALSE)&amp;" "&amp;VLOOKUP(AV70,Этаж_обозначение,2,FALSE)&amp;" Пом. №"&amp;AX70,VLOOKUP(AT70,Потребители_обозначение,2,FALSE)&amp;" Шлейф №"&amp;AV70),IFERROR(VLOOKUP(D70,Потребители_обозначение,2,FALSE),""))))</f>
        <v>Внутренний блок кондиционирования Второй этаж Пом. №</v>
      </c>
      <c r="AZ70" t="str">
        <f t="shared" si="94"/>
        <v>Внешний блок кондиционирования Пом. Венткиосок</v>
      </c>
      <c r="BA70" t="str">
        <f>IF(F70&lt;&gt;"",F70,IF(AND(D70&lt;&gt;"",D70&lt;&gt;A70,ISNUMBER(_xlfn.XMATCH(D70,Щиты[Щит]))),D70,""))</f>
        <v/>
      </c>
      <c r="BB70">
        <f>IFERROR(_xlfn.XMATCH(A70,Щиты[Щит]),0)</f>
        <v>4</v>
      </c>
      <c r="BC70">
        <f>IFERROR(N(_xlfn.XLOOKUP(A70,Щиты[Щит],Щиты[Мест под вводной узел])),15)</f>
        <v>13</v>
      </c>
      <c r="BD70">
        <f t="shared" si="95"/>
        <v>32</v>
      </c>
      <c r="BE70" t="str">
        <f t="shared" si="96"/>
        <v>линии</v>
      </c>
      <c r="BF70">
        <f>IF(D70="","",IF(BA70&lt;&gt;"",IFERROR(_xlfn.XLOOKUP(BA70,Щиты[Щит],Щиты[Руст, кВт]),0),N(G70)))</f>
        <v>1.9</v>
      </c>
      <c r="BG70">
        <f>IF(J70&lt;&gt;"",J70,IF(D70="","",IFERROR(IF(VLOOKUP(AT70,Потребители_обозначение,8,FALSE)=0,"",VLOOKUP(AT70,Потребители_обозначение,8,FALSE)),"")))</f>
        <v>230</v>
      </c>
      <c r="BH70">
        <f>IF(I70&lt;&gt;"",I70,IF(D70="","",IFERROR(IF(VLOOKUP(AT70,Потребители_обозначение,9,FALSE)=0,"",VLOOKUP(AT70,Потребители_обозначение,9,FALSE)),"")))</f>
        <v>1</v>
      </c>
      <c r="BI70" t="str">
        <f>IF(U70&lt;&gt;"",U70,IF(D70="","",IFERROR(IF(VLOOKUP(AT70,Потребители_обозначение,6,FALSE)=0,"",VLOOKUP(AT70,Потребители_обозначение,6,FALSE)),"")))</f>
        <v>мс</v>
      </c>
      <c r="BJ70">
        <f>IF(V70&lt;&gt;"",V70,IF(D70="","",IFERROR(IF(VLOOKUP(AT70,Потребители_обозначение,7,FALSE)=0,"",VLOOKUP(AT70,Потребители_обозначение,7,FALSE)),"")))</f>
        <v>3</v>
      </c>
      <c r="BK70">
        <f>IF(W70&lt;&gt;"",W70,IF(D70="","",IFERROR(IF(VLOOKUP(AT70,Потребители_обозначение,10,FALSE)=0,"",VLOOKUP(AT70,Потребители_обозначение,10,FALSE)),"")))</f>
        <v>2.5</v>
      </c>
      <c r="BL70">
        <f>IFERROR(VLOOKUP(AT70,Потребители_обозначение,5,FALSE),0)</f>
        <v>1</v>
      </c>
      <c r="BM70" cm="1">
        <f t="array" ref="BM70">IF(D70="","",IF(BA70&lt;&gt;"",IFERROR(_xlfn.XLOOKUP(BA70,Щиты[Щит],Щиты[cos φ]),0.95),IF(ISNUMBER(M70),M70,IFERROR(IF(BL70=2,_xlfn.IFS(BH70=3,VLOOKUP(BF70,Справочная_двигатели,8,FALSE),BH70=1,VLOOKUP(BF70,Справочная_двигатели,10,TRUE)),IF(AND(Методика="нормы 2026",CN70="Сил"),0.8,0.95)),0.95))))</f>
        <v>0.95</v>
      </c>
      <c r="BN70" cm="1">
        <f t="array" ref="BN70">IF(D70="","",IF(BA70&lt;&gt;"",IFERROR(_xlfn.XLOOKUP(BA70,Щиты[Щит],Щиты[Iр, А]),""),IFERROR(_xlfn.IFS(BH70=1,BF70/((Uн_лин/SQRT(3))*BM70),BH70=3,BF70/(SQRT(3)*Uн_лин*BM70)),"")))</f>
        <v>8.6602540378443855</v>
      </c>
      <c r="BO70">
        <f>IF(D70="","",IF(N(X70)=0,IFERROR(VLOOKUP(BN70,Автомат_номиналы,2,TRUE),""),X70))</f>
        <v>16</v>
      </c>
      <c r="BP70">
        <f t="shared" si="97"/>
        <v>1</v>
      </c>
      <c r="BQ70">
        <f>IF(ISNUMBER(Y70),Y70,К_прокл)</f>
        <v>1</v>
      </c>
      <c r="BR70">
        <f t="shared" si="98"/>
        <v>2</v>
      </c>
      <c r="BS70" cm="1">
        <f t="array" ref="BS70">IF(D70="","",IF(N(BK70)&lt;&gt;0,BK70,IFERROR(_xlfn.LET(_xlpm.need,BO70/(BP70*BQ70),_xlpm.t,CHOOSE(BR70,Iдоп_1ж,Iдоп_2ж,Iдоп_3ж),_xlpm.k,_xlfn.XMATCH(_xlpm.need,_xlpm.t,1),IF(ISNA(_xlpm.k),"Не исп",INDEX(Iдоп_S,_xlpm.k))),"Не исп")))</f>
        <v>2.5</v>
      </c>
      <c r="BT70">
        <f>IFERROR(VLOOKUP(BS70,Кабель_сопротивление,3,FALSE),"")</f>
        <v>2.2499999999999999E-2</v>
      </c>
      <c r="BU70">
        <f>IFERROR(VLOOKUP(BS70,Кабель_сопротивление,2,FALSE),"")</f>
        <v>0.1</v>
      </c>
      <c r="BV70">
        <f t="shared" si="99"/>
        <v>36</v>
      </c>
      <c r="BW70">
        <f>IF(D70="","",IFERROR(IF(VLOOKUP(AT70,Потребители_обозначение,4,FALSE)=1,VLOOKUP(AT70,Потребители_обозначение,3,FALSE)*(H70*2-1)+BV70+VLOOKUP(AV70,Этаж_обозначение,3,FALSE)+VLOOKUP(AV70,Этаж_обозначение,4,FALSE),VLOOKUP(AT70,Потребители_обозначение,3,FALSE)*(H70*2-1)+BV70),BV70))</f>
        <v>38</v>
      </c>
      <c r="BX70">
        <f t="shared" si="100"/>
        <v>35</v>
      </c>
      <c r="BY70">
        <f t="shared" si="101"/>
        <v>0</v>
      </c>
      <c r="BZ70">
        <f t="shared" si="102"/>
        <v>2</v>
      </c>
      <c r="CA70">
        <f t="shared" si="103"/>
        <v>0.31</v>
      </c>
      <c r="CB70">
        <f t="shared" si="104"/>
        <v>5.6478366323044424</v>
      </c>
      <c r="CC70">
        <f>IFERROR(ROUNDUP(CB70/((Uн_лин/SQRT(3))*1000)*100,2),"")</f>
        <v>2.4499999999999997</v>
      </c>
      <c r="CD70">
        <f>IF(ISNUMBER(CC70),CC70+IFERROR(_xlfn.XLOOKUP(A70,Щиты[Щит],Щиты[ΔU до шин, %]),0),"")</f>
        <v>2.9499999999999997</v>
      </c>
      <c r="CE70">
        <f>IF(D70="","",IF(IFERROR(VLOOKUP(AT70,УГО_спр,2,FALSE),"")="Светильник",3,4)+IF(Методика="нормы 2026",MIN(0.5,MAX(0,N(BW70)-100)*0.005),0))</f>
        <v>4</v>
      </c>
      <c r="CF70" t="str">
        <f>IFERROR(VLOOKUP(BI70,Кабель_обозначение,2,FALSE),"")</f>
        <v>ВВГнг(А)-LS</v>
      </c>
      <c r="CG70" t="str">
        <f>IFERROR(IF(VLOOKUP(BI70,Кабель_обозначение,3,FALSE)=1,CF70&amp;" ("&amp;BJ70&amp;"х"&amp;BS70&amp;")",CF70),"")</f>
        <v>ВВГнг(А)-LS (3х2,5)</v>
      </c>
      <c r="CH70" t="str">
        <f t="shared" si="105"/>
        <v>ВВГнг(А)-LS (3х2,5)
L=38-2,45%</v>
      </c>
      <c r="CI70">
        <f>IFERROR(2*ρкз_Cu*BW70/BS70,"")</f>
        <v>0.79952000000000001</v>
      </c>
      <c r="CJ70">
        <f t="shared" si="106"/>
        <v>0.26600000000000001</v>
      </c>
      <c r="CK70" t="str">
        <f>IFERROR(IF(OR(D70="",NOT(ISNUMBER(BS70)),N(BW70)=0),"",_xlfn.XLOOKUP(A70,Щиты[Щит],Щиты[Zпетли на шинах, Ом])+CI70),"")</f>
        <v/>
      </c>
      <c r="CL70" t="str">
        <f>IF(ISNUMBER(CK70),c_min*(Uн_лин*1000/SQRT(3))/CK70,"")</f>
        <v/>
      </c>
      <c r="CM70" t="str">
        <f>IFERROR(IF(OR(D70="",NOT(ISNUMBER(BS70))),"",1.05*(Uн_лин*1000/SQRT(3))/(_xlfn.XLOOKUP(A70,Щиты[Щит],Щиты[Zmax на шинах, Ом])+CJ70)/1000),"")</f>
        <v/>
      </c>
      <c r="CN70" t="str">
        <f>IF(D70="","",IF(BA70&lt;&gt;"","Щит",IF(K70&lt;&gt;"",K70,IF(ISNUMBER(L70),"Сил",IF(IFERROR(_xlfn.XLOOKUP(AT70,Коды_код,Коды_группа)&amp;"","")="","Быт",_xlfn.XLOOKUP(AT70,Коды_код,Коды_группа)&amp;"")))))</f>
        <v>Сил</v>
      </c>
      <c r="CO70">
        <f>IF(CN70="Щит","щит",IF(CN70="","",IF(CN70="Быт",IFERROR(_xlfn.XLOOKUP(A70,Щиты[Щит],Щиты[Кс быт]),1),IF(CN70="Сил",IF(ISNUMBER(L70),L70,IF(Методика="нормы 2026",IFERROR(_xlfn.XLOOKUP(A70,Щиты[Щит],Щиты[Кс силовых (табл. 7.5)]),1),1)),IF(OR(CN70="Пост",CN70="Отоп"),1,IF(CN70="ВНГ",0.7,0))))))</f>
        <v>0.5</v>
      </c>
      <c r="CP70">
        <f t="shared" si="107"/>
        <v>1</v>
      </c>
      <c r="CQ70">
        <f t="shared" si="108"/>
        <v>1.9</v>
      </c>
      <c r="CR70">
        <f t="shared" si="109"/>
        <v>0</v>
      </c>
      <c r="CS70">
        <f t="shared" si="110"/>
        <v>0.95</v>
      </c>
      <c r="CT70">
        <f t="shared" si="111"/>
        <v>0</v>
      </c>
      <c r="CU70">
        <f t="shared" si="112"/>
        <v>0</v>
      </c>
      <c r="CV70">
        <f t="shared" si="113"/>
        <v>0</v>
      </c>
      <c r="CW70">
        <f t="shared" si="114"/>
        <v>1.9</v>
      </c>
      <c r="CX70">
        <f t="shared" si="115"/>
        <v>1.8049999999999999</v>
      </c>
      <c r="CY70">
        <f t="shared" si="116"/>
        <v>2</v>
      </c>
      <c r="CZ70" t="str">
        <f t="shared" si="117"/>
        <v>L2</v>
      </c>
      <c r="DA70" cm="1">
        <f t="array" ref="DA70">IFERROR(IF(BL70=2,_xlfn.IFS(BH70=3,VLOOKUP(BF70,Справочная_двигатели,3,FALSE),BH70=1,VLOOKUP(BF70,Справочная_двигатели,5,TRUE)),0),0)</f>
        <v>0</v>
      </c>
      <c r="DB70">
        <f>IFERROR(IF(BL70=3,VLOOKUP(BF70,Справочная_ЛЭД,2,TRUE),0),0)</f>
        <v>0</v>
      </c>
      <c r="DC70">
        <f t="shared" si="118"/>
        <v>0</v>
      </c>
      <c r="DD70" t="str">
        <f t="shared" si="119"/>
        <v>L1</v>
      </c>
      <c r="DE70" t="str" cm="1">
        <f t="array" ref="DE70">IF(D70="","",IFERROR(INDEX({"I особая","I","II","III"},MATCH(TRIM(AA70&amp;""),{"I особая","I","II","III"},0)),"III"))</f>
        <v>II</v>
      </c>
      <c r="DF70" t="str">
        <f>IF(D70="","",IF(TRIM(AB70&amp;"")&lt;&gt;"",IF(LOWER(TRIM(AB70&amp;""))="да","да","нет"),IF(IFERROR(_xlfn.XLOOKUP(AT70,Коды_код,Коды_пожарная),"")="да","да","нет")))</f>
        <v>нет</v>
      </c>
      <c r="DG70" t="str">
        <f t="shared" si="120"/>
        <v/>
      </c>
      <c r="DH70" t="str">
        <f t="shared" si="121"/>
        <v>основная</v>
      </c>
      <c r="DI70">
        <f t="shared" si="122"/>
        <v>1</v>
      </c>
      <c r="DJ70" t="str" cm="1">
        <f t="array" ref="DJ70">IF(D70="","",_xlfn.LET(_xlpm.t,IFERROR(_xlfn.XLOOKUP(1,(Шины[Шина]=DH70)*(((Шины[Щит]=A70)+(Шины[Щит]=""))&gt;0),Шины[Тип]),"")&amp;"",IF(_xlpm.t&lt;&gt;"",_xlpm.t,IF(ISNUMBER(SEARCH("ИБП",DH70)),"ИБП",IF(ISNUMBER(SEARCH("ДГУ",DH70)),"ДГУ","Ввод "&amp;DI70)))))</f>
        <v>Ввод 1</v>
      </c>
      <c r="DK70" t="str">
        <f t="shared" si="123"/>
        <v>Ввод 1</v>
      </c>
      <c r="DL70" t="str">
        <f>IF(D70="","",IF(OR(DJ70="ИБП",DJ70="ДГУ"),"I особая",IF(DJ70="Одиночная","III",_xlfn.XLOOKUP(A70,Щиты[Щит],Щиты[Категория шины «Ввод»],"III"))))</f>
        <v>II</v>
      </c>
      <c r="DM70">
        <f>IF(D70="",0,IFERROR(MATCH(DE70,{"III","II","I","I особая"},0),1))</f>
        <v>2</v>
      </c>
      <c r="DN70">
        <f t="shared" si="124"/>
        <v>2</v>
      </c>
      <c r="DO70" t="str">
        <f>IF(D70="","",IF(DM70&gt;IFERROR(MATCH(DL70,{"III","II","I","I особая"},0),1),"НЕ ОБЕСПЕЧЕНА","ОК"))</f>
        <v>ОК</v>
      </c>
      <c r="DP70" t="str">
        <f>IF(A70="","",_xlfn.XLOOKUP(A70,Щиты[Щит],Щиты[Путь],""))</f>
        <v>|ГРЩ-ЖД|ЩОВ-001|</v>
      </c>
      <c r="DQ70" t="str">
        <f>IF(D70="","",IF(Z70&lt;&gt;"",Z70,IF(IFERROR(_xlfn.XLOOKUP(AT70,Коды_код,Коды_вид)&amp;"","")="","Прочее",_xlfn.XLOOKUP(AT70,Коды_код,Коды_вид)&amp;"")))</f>
        <v>Кондиционирование и увлажнение</v>
      </c>
      <c r="DR70">
        <f>IF(BD70="","",INT((BD70-1)/Столбцов_на_лист)+1)</f>
        <v>2</v>
      </c>
      <c r="DS70" t="str">
        <f t="shared" si="125"/>
        <v>ВВГнг(А)-LS (3х2,5) L=38-2,45%</v>
      </c>
      <c r="DT70">
        <f t="shared" si="126"/>
        <v>1.9</v>
      </c>
      <c r="DU70">
        <f t="shared" si="127"/>
        <v>8.67</v>
      </c>
      <c r="DV70">
        <f t="shared" si="128"/>
        <v>1</v>
      </c>
      <c r="DW70">
        <f>IF(AT70="",0,_xlfn.LET(_xlpm.v,IFERROR(VLOOKUP(D70,УГО_спр,3,FALSE),IFERROR(VLOOKUP(AT70,УГО_спр,3,FALSE),IFERROR(VLOOKUP(LEFT(AT70,2),УГО_спр,3,FALSE),""))),IF(_xlpm.v="да",30,IF(ISNUMBER(_xlpm.v),_xlpm.v,0))))</f>
        <v>0</v>
      </c>
      <c r="DX70">
        <f t="shared" si="129"/>
        <v>0</v>
      </c>
      <c r="DY70">
        <f>IF(BD70="","",IF(AD70&lt;&gt;"",COUNTIFS(A$3:A70,A70,AD$3:AD70,"?*"),IF(OR(OR(AS70=1,A70&lt;&gt;A69),AL70="вручную"),"",IF(AS70=1,"",DZ69))))</f>
        <v>17</v>
      </c>
      <c r="DZ70">
        <f t="shared" si="130"/>
        <v>17</v>
      </c>
      <c r="EA70">
        <f>IF(D70="",0,MAX(IFERROR(--X70,0),IFERROR(--VLOOKUP(D70,УГО_спр,4,FALSE),IFERROR(--VLOOKUP(AT70,УГО_спр,4,FALSE),IFERROR(--VLOOKUP(LEFT(AT70,2),УГО_спр,4,FALSE),0)))))</f>
        <v>16</v>
      </c>
      <c r="EB70">
        <f>IF(D70="","",IFERROR(LOOKUP(INDEX(CHOOSE(BR70,Iдоп_1ж,Iдоп_2ж,Iдоп_3ж),MATCH(BS70,Iдоп_S,0))*BP70*BQ70,{6,10,16,20,25,32,40,50,63,80,100,125,160,200,250,315,400,500,630}),""))</f>
        <v>25</v>
      </c>
      <c r="EC70">
        <f>IF(AD70="","",SUMIFS(Линии[_Ток схемы],Линии[_гр.],DY70,Линии[Щит],A70,Линии[_в кабель выше],0))</f>
        <v>8.67</v>
      </c>
      <c r="ED70">
        <f>IF(AD70="","",IFERROR(VLOOKUP(EC70,Автомат_номиналы,2,TRUE),""))</f>
        <v>10</v>
      </c>
      <c r="EE70">
        <f>IF(AD70="","",MAX(N(ED70),_xlfn.MAXIFS(Линии[_мин. по типу],Линии[_гр.],DY70,Линии[Щит],A70)))</f>
        <v>16</v>
      </c>
      <c r="EF70">
        <f>IF(AD70="","",_xlfn.MINIFS(Линии[_макс. автомат по кабелю],Линии[_гр.],DY70,Линии[Щит],A70))</f>
        <v>25</v>
      </c>
      <c r="EG70">
        <f>IF(AD70="","",MAX(1,_xlfn.MAXIFS(Линии[_фаз],Линии[_гр.],DY70,Линии[Щит],A70)))</f>
        <v>1</v>
      </c>
      <c r="EH70">
        <f>IF(AD70="","",IF(AND(AD70&lt;&gt;"авто",AD70&lt;&gt;"+"),IF(ISNUMBER(SEARCH("мА",AD70)),IFERROR(--TRIM(RIGHT(SUBSTITUTE(LEFT(AD70,SEARCH("мА",AD70)-1)," ",REPT(" ",9)),6)),30),0),IF(AE70="нет",0,IF(ISNUMBER(AE70),AE70,IF(AE70="да",30,_xlfn.MINIFS(Линии[_дифзащита по коду, мА],Линии[_гр.],DY70,Линии[Щит],A70,Линии[_дифзащита по коду, мА],"&gt;0"))))))</f>
        <v>0</v>
      </c>
      <c r="EI70">
        <f t="shared" si="131"/>
        <v>0</v>
      </c>
      <c r="EJ70" t="str">
        <f t="shared" si="132"/>
        <v>QF17</v>
      </c>
      <c r="EK70" t="str">
        <f t="shared" si="133"/>
        <v>QF17</v>
      </c>
      <c r="EL70" t="str">
        <f t="shared" si="134"/>
        <v/>
      </c>
      <c r="EM70">
        <f t="shared" si="135"/>
        <v>0</v>
      </c>
      <c r="EN70">
        <f>IF(AD70="","",IF(EM70=1,MAX(EE70,Мин_автомат_БП),EE70))</f>
        <v>16</v>
      </c>
      <c r="EO70" t="str">
        <f t="shared" si="136"/>
        <v>1P</v>
      </c>
      <c r="EP70" t="str">
        <f t="shared" si="137"/>
        <v>1P С16А</v>
      </c>
      <c r="EQ70">
        <f t="shared" si="138"/>
        <v>16</v>
      </c>
      <c r="ER70" t="str">
        <f>IF(OR(AI70="",AI70="-"),"",IFERROR(VLOOKUP(AI70,Модули_спр,2,FALSE),"R"))</f>
        <v/>
      </c>
      <c r="ES70" t="str">
        <f>IF(ER70="","",ER70&amp;"."&amp;COUNTIFS(A$3:A70,A70,ER$3:ER70,ER70))</f>
        <v/>
      </c>
      <c r="ET70" t="str">
        <f t="shared" si="139"/>
        <v/>
      </c>
      <c r="EU70" t="str">
        <f t="shared" si="140"/>
        <v/>
      </c>
      <c r="EV70" t="str">
        <f t="shared" si="141"/>
        <v/>
      </c>
      <c r="EW70" t="str">
        <f t="shared" si="142"/>
        <v/>
      </c>
      <c r="EX70">
        <f t="shared" si="143"/>
        <v>1</v>
      </c>
      <c r="EY70" t="str">
        <f>IF(AK70="нет","",IF(AK70&lt;&gt;"",AK70,IF(EX70=1,"XT"&amp;COUNTIFS(A$3:A70,A70,EX$3:EX70,1),"")))</f>
        <v/>
      </c>
      <c r="EZ70" t="str">
        <f t="shared" si="144"/>
        <v>QF17</v>
      </c>
      <c r="FA70" t="str">
        <f t="shared" si="145"/>
        <v/>
      </c>
      <c r="FB70" t="str">
        <f t="shared" si="146"/>
        <v>ok</v>
      </c>
      <c r="FC70" t="str">
        <f>IF(OR(EV70="",ET70=""),"",IF(EV70&gt;IFERROR(VLOOKUP(EU70,Модули_спр,3,FALSE),99),"ЛИШНИЙ КАНАЛ",IF(AND(AJ70&lt;&gt;"=",COUNTIFS(Линии[_модуль гр.],ET70,Линии[Канал (итог)],EV70,Линии[Канал],"&lt;&gt;=",Линии[Щит],A70)&gt;1),"ДУБЛЬ КАНАЛА","")))</f>
        <v/>
      </c>
      <c r="FD70">
        <f t="shared" si="147"/>
        <v>16</v>
      </c>
      <c r="FE70" t="str">
        <f t="shared" si="148"/>
        <v>1P С16А</v>
      </c>
      <c r="FF70">
        <f t="shared" si="149"/>
        <v>0</v>
      </c>
      <c r="FG70">
        <f t="shared" si="150"/>
        <v>0</v>
      </c>
      <c r="FH70" t="str">
        <f t="shared" si="151"/>
        <v/>
      </c>
      <c r="FI70">
        <f t="shared" si="152"/>
        <v>10</v>
      </c>
      <c r="FJ70" t="str">
        <f t="shared" si="153"/>
        <v/>
      </c>
      <c r="FK70" t="str">
        <f>IF(AND(D70="",EZ70=""),"",_xlfn.TEXTJOIN("; ",TRUE,IF(AND(D70&lt;&gt;"",DD70=""),"нет фазы",""),IF(AND(D70&lt;&gt;"",N(DT70)=0,CN70&lt;&gt;"Нет"),"нет мощности",""),IF(AND(EY70&lt;&gt;"",COUNTIFS(Линии[Щит],A70,Линии[Клемма (итог)],EY70)&gt;1),"дубль клеммы "&amp;EY70,""),IF(AND(FB70&lt;&gt;"",FB70&lt;&gt;"ok"),FB70,""),IF(FC70&lt;&gt;"",FC70,""),IF(AND(ISNUMBER(SEARCH("(5х",DS70)),N(DV70)=1),"5 жил на 1 фазе",""),IF(AND(AT70="R",AD70&lt;&gt;"",OR(N(EH70)=0,N(EH70)&gt;30)),"розетка без дифзащиты до 30 мА",""),IFERROR(IF(AND(ISNUMBER(CD70),CD70&gt;CE70),"потери "&amp;FIXED(CD70,1)&amp;" % &gt; "&amp;CE70&amp;" %",""),""),IFERROR(IF(LEFT(FJ70,4)="мало","Iкз мало — отключение &gt; 0,4 с",""),""),IF(AND(D70&lt;&gt;"",BD70=""),"не на схеме","")))</f>
        <v/>
      </c>
      <c r="FL70">
        <f>IF(AD70="","",_xlfn.LET(_xlpm.t,IFERROR(_xlfn.XLOOKUP(EP70,Каталог!$U$4:$U$500,Каталог!$G$4:$G$500),""),_xlpm.k,SEARCH("кА",_xlpm.t),IFERROR(--TRIM(RIGHT(SUBSTITUTE(MID(_xlpm.t,MAX(1,_xlpm.k-4),_xlpm.k-MAX(1,_xlpm.k-4))," ",REPT(" ",9)),5)),"")))</f>
        <v>6</v>
      </c>
      <c r="FM70" t="str">
        <f>IF(OR(FL70="",AD70=""),"",IF(_xlfn.XLOOKUP(A70,Щиты[Щит],Щиты[Iкз max на шинах, кА],"")="","",IF(FL70&lt;_xlfn.XLOOKUP(A70,Щиты[Щит],Щиты[Iкз max на шинах, кА]),"Icu "&amp;FL70&amp;" кА &lt; Iкз max","ok")))</f>
        <v/>
      </c>
      <c r="FN70" t="str">
        <f t="shared" si="154"/>
        <v>QF17</v>
      </c>
      <c r="FO70" t="str">
        <f t="shared" si="155"/>
        <v>QF17|кабель ВВГнг(А)-LS (3х2,5) → Внешний блок кондиционирования Пом. Венткиосок</v>
      </c>
      <c r="FP70" t="str" cm="1">
        <f t="array" ref="FP70">IF(FO70="","",_xlfn.LET(_xlpm.nd,_xlfn.TEXTSPLIT(FO70,"|"),IF(COLUMNS(_xlpm.nd)&gt;1,A70&amp;"¦"&amp;INDEX(_xlpm.nd,1)&amp;"¦"&amp;INDEX(_xlpm.nd,2),"")))</f>
        <v>ЩОВ-001¦QF17¦кабель ВВГнг(А)-LS (3х2,5) → Внешний блок кондиционирования Пом. Венткиосок</v>
      </c>
      <c r="FQ70" t="str">
        <f t="shared" si="156"/>
        <v>K.2¦Внешний блок кондиционирования Пом. Венткиосок</v>
      </c>
      <c r="FR70" t="str" cm="1">
        <f t="array" ref="FR70">IF(FO70="","",_xlfn.LET(_xlpm.nd,_xlfn.TEXTSPLIT(FO70,"|"),IF(COLUMNS(_xlpm.nd)&gt;2,A70&amp;"¦"&amp;INDEX(_xlpm.nd,2)&amp;"¦"&amp;INDEX(_xlpm.nd,3),"")))</f>
        <v/>
      </c>
      <c r="FS70" t="str">
        <f t="shared" si="157"/>
        <v/>
      </c>
      <c r="FT70" t="str" cm="1">
        <f t="array" ref="FT70">IF(FO70="","",_xlfn.LET(_xlpm.nd,_xlfn.TEXTSPLIT(FO70,"|"),IF(COLUMNS(_xlpm.nd)&gt;3,A70&amp;"¦"&amp;INDEX(_xlpm.nd,3)&amp;"¦"&amp;INDEX(_xlpm.nd,4),"")))</f>
        <v/>
      </c>
      <c r="FU70" t="str">
        <f t="shared" si="158"/>
        <v/>
      </c>
      <c r="FV70" t="str" cm="1">
        <f t="array" ref="FV70">IF(FO70="","",_xlfn.LET(_xlpm.nd,_xlfn.TEXTSPLIT(FO70,"|"),IF(COLUMNS(_xlpm.nd)&gt;4,A70&amp;"¦"&amp;INDEX(_xlpm.nd,4)&amp;"¦"&amp;INDEX(_xlpm.nd,5),"")))</f>
        <v/>
      </c>
      <c r="FW70" t="str">
        <f t="shared" si="159"/>
        <v/>
      </c>
      <c r="FX70" t="str" cm="1">
        <f t="array" ref="FX70">IF(FO70="","",_xlfn.LET(_xlpm.nd,_xlfn.TEXTSPLIT(FO70,"|"),IF(COLUMNS(_xlpm.nd)&gt;5,A70&amp;"¦"&amp;INDEX(_xlpm.nd,5)&amp;"¦"&amp;INDEX(_xlpm.nd,6),"")))</f>
        <v/>
      </c>
      <c r="FY70" t="str">
        <f t="shared" si="160"/>
        <v/>
      </c>
      <c r="FZ70" t="str" cm="1">
        <f t="array" ref="FZ70">IF(FO70="","",_xlfn.LET(_xlpm.nd,_xlfn.TEXTSPLIT(FO70,"|"),IF(COLUMNS(_xlpm.nd)&gt;6,A70&amp;"¦"&amp;INDEX(_xlpm.nd,6)&amp;"¦"&amp;INDEX(_xlpm.nd,7),"")))</f>
        <v/>
      </c>
      <c r="GA70" t="str">
        <f t="shared" si="161"/>
        <v/>
      </c>
      <c r="GB70" t="str">
        <f t="shared" si="162"/>
        <v/>
      </c>
      <c r="GC70" t="str">
        <f t="shared" si="163"/>
        <v>QF17</v>
      </c>
      <c r="GD70">
        <f t="shared" si="164"/>
        <v>1</v>
      </c>
      <c r="GE70">
        <f t="shared" si="165"/>
        <v>0</v>
      </c>
      <c r="GF70">
        <f t="shared" si="166"/>
        <v>0</v>
      </c>
      <c r="GG70" t="str">
        <f t="shared" si="167"/>
        <v/>
      </c>
      <c r="GH70" t="str">
        <f t="shared" si="168"/>
        <v/>
      </c>
      <c r="GI70" t="str">
        <f t="shared" si="169"/>
        <v/>
      </c>
      <c r="GJ70" t="str">
        <f t="shared" si="170"/>
        <v/>
      </c>
      <c r="GK70">
        <f>IF(D70="","",IFERROR(VLOOKUP(D70,УГО_спр,2,FALSE),IFERROR(VLOOKUP(AT70,УГО_спр,2,FALSE),IFERROR(VLOOKUP(LEFT(AT70,2),УГО_спр,2,FALSE),""))))</f>
        <v>0</v>
      </c>
      <c r="GL70" t="str">
        <f>IF(D70="","",IF(OR(GK70="",GK70=0),"BOX",IFERROR(IF(VLOOKUP(GK70,УГО_блоки,3,FALSE)&amp;""&lt;&gt;"",VLOOKUP(GK70,УГО_блоки,3,FALSE),VLOOKUP(GK70,УГО_блоки,2,FALSE)),GK70)))</f>
        <v>BOX</v>
      </c>
      <c r="GM70">
        <f t="shared" si="171"/>
        <v>1</v>
      </c>
      <c r="GN70" t="str">
        <f>IF(EP70="","",IF(COUNTIF(EP$3:EP70,EP70)=1,MAX(GN$2:GN69)+1,""))</f>
        <v/>
      </c>
      <c r="GO70" t="str">
        <f>IF(AF70="","",IF(COUNTIF(AF$3:AF70,AF70)+COUNTIF(AG$2:AG69,AF70)+COUNTIF(AH$2:AH69,AF70)=1,MAX(GO$2:GQ69)+1,""))</f>
        <v/>
      </c>
      <c r="GP70" t="str">
        <f>IF(AG70="","",IF(COUNTIF(AF$3:AF70,AG70)+COUNTIF(AG$3:AG70,AG70)+COUNTIF(AH$2:AH69,AG70)=1,MAX(GO$2:GQ69,GO70)+1,""))</f>
        <v/>
      </c>
      <c r="GQ70" t="str">
        <f>IF(AH70="","",IF(COUNTIF(AF$3:AF70,AH70)+COUNTIF(AG$3:AG70,AH70)+COUNTIF(AH$3:AH70,AH70)=1,MAX(GO$2:GQ69,GO70,GP70)+1,""))</f>
        <v/>
      </c>
      <c r="GR70" t="str">
        <f t="shared" si="172"/>
        <v>3х2,5</v>
      </c>
      <c r="GS70" t="str">
        <f>IF(GR70="","",IF(COUNTIF(GR$3:GR70,GR70)=1,MAX(GS$2:GS69)+1,""))</f>
        <v/>
      </c>
      <c r="GT70" t="str">
        <f>IF(ES70="","",COUNTIF(ES$3:ES70,"?*"))</f>
        <v/>
      </c>
      <c r="GU70" t="str">
        <f>IF(OR(ES70="",EU70=""),"",IF(COUNTIFS(ES$3:ES70,"?*",EU$3:EU70,EU70)=1,MAX(GU$2:GU69)+1,""))</f>
        <v/>
      </c>
      <c r="GV70">
        <f t="shared" si="173"/>
        <v>0</v>
      </c>
      <c r="GW70">
        <f>IF(D70="","",COUNTIF(D$3:D70,"?*"))</f>
        <v>68</v>
      </c>
      <c r="GX70">
        <f>IF(EX70&lt;&gt;1,0,_xlfn.LET(_xlpm.k,MAX(IFERROR(--VLOOKUP(D70,УГО_спр,5,FALSE),0),IFERROR(--VLOOKUP(AT70,УГО_спр,5,FALSE),0),IFERROR(--VLOOKUP(LEFT(AT70,2),УГО_спр,5,FALSE),0)),IF(_xlpm.k&gt;0,_xlpm.k,IF(IFERROR(--LEFT(SUBSTITUTE(GR70,"x","х"),FIND("х",SUBSTITUTE(GR70,"x","х"))-1),3)&gt;3,Каталог!$S$9,1))))</f>
        <v>1</v>
      </c>
      <c r="GY70">
        <f t="shared" si="174"/>
        <v>0</v>
      </c>
    </row>
    <row r="71" spans="1:207" x14ac:dyDescent="0.3">
      <c r="A71" t="s">
        <v>752</v>
      </c>
      <c r="B71">
        <v>33</v>
      </c>
      <c r="C71" t="str">
        <f>IF(BD71="","",IF(BE71="вводной узел","узел ","")&amp;"л."&amp;(INT((BD71-1)/Столбцов_на_лист)+1)&amp;" / "&amp;(MOD(BD71-1,Столбцов_на_лист)+1))</f>
        <v>л.2 / 16</v>
      </c>
      <c r="D71" t="s">
        <v>1349</v>
      </c>
      <c r="E71" s="133" t="s">
        <v>1347</v>
      </c>
      <c r="G71">
        <v>1.9</v>
      </c>
      <c r="H71">
        <v>1</v>
      </c>
      <c r="I71">
        <v>1</v>
      </c>
      <c r="J71">
        <v>230</v>
      </c>
      <c r="K71" t="s">
        <v>602</v>
      </c>
      <c r="L71">
        <v>0.5</v>
      </c>
      <c r="O71">
        <v>2</v>
      </c>
      <c r="P71">
        <v>36</v>
      </c>
      <c r="R71">
        <v>35</v>
      </c>
      <c r="T71">
        <v>1</v>
      </c>
      <c r="U71" t="s">
        <v>11</v>
      </c>
      <c r="V71">
        <v>3</v>
      </c>
      <c r="W71">
        <v>2.5</v>
      </c>
      <c r="X71">
        <v>16</v>
      </c>
      <c r="Z71" t="s">
        <v>580</v>
      </c>
      <c r="AA71" t="s">
        <v>818</v>
      </c>
      <c r="AD71" t="s">
        <v>517</v>
      </c>
      <c r="AK71" t="s">
        <v>488</v>
      </c>
      <c r="AR71" t="str">
        <f t="shared" si="88"/>
        <v/>
      </c>
      <c r="AS71" cm="1">
        <f t="array" ref="AS71">ROW()-ROW(Линии[#Headers])</f>
        <v>69</v>
      </c>
      <c r="AT71" t="str">
        <f t="shared" si="89"/>
        <v>K</v>
      </c>
      <c r="AU71" t="str">
        <f t="shared" si="90"/>
        <v>3</v>
      </c>
      <c r="AV71" t="str">
        <f t="shared" si="91"/>
        <v>3</v>
      </c>
      <c r="AW71" t="str">
        <f t="shared" si="92"/>
        <v/>
      </c>
      <c r="AX71" t="str">
        <f t="shared" si="93"/>
        <v/>
      </c>
      <c r="AY71" t="str">
        <f>IF(D71="","",IF(ISERROR(SEARCH(".",D71)),IFERROR(VLOOKUP(D71,Потребители_обозначение,2,FALSE)&amp;"",""),IFERROR(IF(VLOOKUP(AT71,Потребители_обозначение,4,FALSE)=1,VLOOKUP(AT71,Потребители_обозначение,2,FALSE)&amp;" "&amp;VLOOKUP(AV71,Этаж_обозначение,2,FALSE)&amp;" Пом. №"&amp;AX71,VLOOKUP(AT71,Потребители_обозначение,2,FALSE)&amp;" Шлейф №"&amp;AV71),IFERROR(VLOOKUP(D71,Потребители_обозначение,2,FALSE),""))))</f>
        <v>Внутренний блок кондиционирования Третий этаж Пом. №</v>
      </c>
      <c r="AZ71" t="str">
        <f t="shared" si="94"/>
        <v>Внешний блок кондиционирования Пом. Венткиосок</v>
      </c>
      <c r="BA71" t="str">
        <f>IF(F71&lt;&gt;"",F71,IF(AND(D71&lt;&gt;"",D71&lt;&gt;A71,ISNUMBER(_xlfn.XMATCH(D71,Щиты[Щит]))),D71,""))</f>
        <v/>
      </c>
      <c r="BB71">
        <f>IFERROR(_xlfn.XMATCH(A71,Щиты[Щит]),0)</f>
        <v>4</v>
      </c>
      <c r="BC71">
        <f>IFERROR(N(_xlfn.XLOOKUP(A71,Щиты[Щит],Щиты[Мест под вводной узел])),15)</f>
        <v>13</v>
      </c>
      <c r="BD71">
        <f t="shared" si="95"/>
        <v>33</v>
      </c>
      <c r="BE71" t="str">
        <f t="shared" si="96"/>
        <v>линии</v>
      </c>
      <c r="BF71">
        <f>IF(D71="","",IF(BA71&lt;&gt;"",IFERROR(_xlfn.XLOOKUP(BA71,Щиты[Щит],Щиты[Руст, кВт]),0),N(G71)))</f>
        <v>1.9</v>
      </c>
      <c r="BG71">
        <f>IF(J71&lt;&gt;"",J71,IF(D71="","",IFERROR(IF(VLOOKUP(AT71,Потребители_обозначение,8,FALSE)=0,"",VLOOKUP(AT71,Потребители_обозначение,8,FALSE)),"")))</f>
        <v>230</v>
      </c>
      <c r="BH71">
        <f>IF(I71&lt;&gt;"",I71,IF(D71="","",IFERROR(IF(VLOOKUP(AT71,Потребители_обозначение,9,FALSE)=0,"",VLOOKUP(AT71,Потребители_обозначение,9,FALSE)),"")))</f>
        <v>1</v>
      </c>
      <c r="BI71" t="str">
        <f>IF(U71&lt;&gt;"",U71,IF(D71="","",IFERROR(IF(VLOOKUP(AT71,Потребители_обозначение,6,FALSE)=0,"",VLOOKUP(AT71,Потребители_обозначение,6,FALSE)),"")))</f>
        <v>мс</v>
      </c>
      <c r="BJ71">
        <f>IF(V71&lt;&gt;"",V71,IF(D71="","",IFERROR(IF(VLOOKUP(AT71,Потребители_обозначение,7,FALSE)=0,"",VLOOKUP(AT71,Потребители_обозначение,7,FALSE)),"")))</f>
        <v>3</v>
      </c>
      <c r="BK71">
        <f>IF(W71&lt;&gt;"",W71,IF(D71="","",IFERROR(IF(VLOOKUP(AT71,Потребители_обозначение,10,FALSE)=0,"",VLOOKUP(AT71,Потребители_обозначение,10,FALSE)),"")))</f>
        <v>2.5</v>
      </c>
      <c r="BL71">
        <f>IFERROR(VLOOKUP(AT71,Потребители_обозначение,5,FALSE),0)</f>
        <v>1</v>
      </c>
      <c r="BM71" cm="1">
        <f t="array" ref="BM71">IF(D71="","",IF(BA71&lt;&gt;"",IFERROR(_xlfn.XLOOKUP(BA71,Щиты[Щит],Щиты[cos φ]),0.95),IF(ISNUMBER(M71),M71,IFERROR(IF(BL71=2,_xlfn.IFS(BH71=3,VLOOKUP(BF71,Справочная_двигатели,8,FALSE),BH71=1,VLOOKUP(BF71,Справочная_двигатели,10,TRUE)),IF(AND(Методика="нормы 2026",CN71="Сил"),0.8,0.95)),0.95))))</f>
        <v>0.95</v>
      </c>
      <c r="BN71" cm="1">
        <f t="array" ref="BN71">IF(D71="","",IF(BA71&lt;&gt;"",IFERROR(_xlfn.XLOOKUP(BA71,Щиты[Щит],Щиты[Iр, А]),""),IFERROR(_xlfn.IFS(BH71=1,BF71/((Uн_лин/SQRT(3))*BM71),BH71=3,BF71/(SQRT(3)*Uн_лин*BM71)),"")))</f>
        <v>8.6602540378443855</v>
      </c>
      <c r="BO71">
        <f>IF(D71="","",IF(N(X71)=0,IFERROR(VLOOKUP(BN71,Автомат_номиналы,2,TRUE),""),X71))</f>
        <v>16</v>
      </c>
      <c r="BP71">
        <f t="shared" si="97"/>
        <v>1</v>
      </c>
      <c r="BQ71">
        <f>IF(ISNUMBER(Y71),Y71,К_прокл)</f>
        <v>1</v>
      </c>
      <c r="BR71">
        <f t="shared" si="98"/>
        <v>2</v>
      </c>
      <c r="BS71" cm="1">
        <f t="array" ref="BS71">IF(D71="","",IF(N(BK71)&lt;&gt;0,BK71,IFERROR(_xlfn.LET(_xlpm.need,BO71/(BP71*BQ71),_xlpm.t,CHOOSE(BR71,Iдоп_1ж,Iдоп_2ж,Iдоп_3ж),_xlpm.k,_xlfn.XMATCH(_xlpm.need,_xlpm.t,1),IF(ISNA(_xlpm.k),"Не исп",INDEX(Iдоп_S,_xlpm.k))),"Не исп")))</f>
        <v>2.5</v>
      </c>
      <c r="BT71">
        <f>IFERROR(VLOOKUP(BS71,Кабель_сопротивление,3,FALSE),"")</f>
        <v>2.2499999999999999E-2</v>
      </c>
      <c r="BU71">
        <f>IFERROR(VLOOKUP(BS71,Кабель_сопротивление,2,FALSE),"")</f>
        <v>0.1</v>
      </c>
      <c r="BV71">
        <f t="shared" si="99"/>
        <v>36</v>
      </c>
      <c r="BW71">
        <f>IF(D71="","",IFERROR(IF(VLOOKUP(AT71,Потребители_обозначение,4,FALSE)=1,VLOOKUP(AT71,Потребители_обозначение,3,FALSE)*(H71*2-1)+BV71+VLOOKUP(AV71,Этаж_обозначение,3,FALSE)+VLOOKUP(AV71,Этаж_обозначение,4,FALSE),VLOOKUP(AT71,Потребители_обозначение,3,FALSE)*(H71*2-1)+BV71),BV71))</f>
        <v>38</v>
      </c>
      <c r="BX71">
        <f t="shared" si="100"/>
        <v>35</v>
      </c>
      <c r="BY71">
        <f t="shared" si="101"/>
        <v>0</v>
      </c>
      <c r="BZ71">
        <f t="shared" si="102"/>
        <v>2</v>
      </c>
      <c r="CA71">
        <f t="shared" si="103"/>
        <v>0.31</v>
      </c>
      <c r="CB71">
        <f t="shared" si="104"/>
        <v>5.6478366323044424</v>
      </c>
      <c r="CC71">
        <f>IFERROR(ROUNDUP(CB71/((Uн_лин/SQRT(3))*1000)*100,2),"")</f>
        <v>2.4499999999999997</v>
      </c>
      <c r="CD71">
        <f>IF(ISNUMBER(CC71),CC71+IFERROR(_xlfn.XLOOKUP(A71,Щиты[Щит],Щиты[ΔU до шин, %]),0),"")</f>
        <v>2.9499999999999997</v>
      </c>
      <c r="CE71">
        <f>IF(D71="","",IF(IFERROR(VLOOKUP(AT71,УГО_спр,2,FALSE),"")="Светильник",3,4)+IF(Методика="нормы 2026",MIN(0.5,MAX(0,N(BW71)-100)*0.005),0))</f>
        <v>4</v>
      </c>
      <c r="CF71" t="str">
        <f>IFERROR(VLOOKUP(BI71,Кабель_обозначение,2,FALSE),"")</f>
        <v>ВВГнг(А)-LS</v>
      </c>
      <c r="CG71" t="str">
        <f>IFERROR(IF(VLOOKUP(BI71,Кабель_обозначение,3,FALSE)=1,CF71&amp;" ("&amp;BJ71&amp;"х"&amp;BS71&amp;")",CF71),"")</f>
        <v>ВВГнг(А)-LS (3х2,5)</v>
      </c>
      <c r="CH71" t="str">
        <f t="shared" si="105"/>
        <v>ВВГнг(А)-LS (3х2,5)
L=38-2,45%</v>
      </c>
      <c r="CI71">
        <f>IFERROR(2*ρкз_Cu*BW71/BS71,"")</f>
        <v>0.79952000000000001</v>
      </c>
      <c r="CJ71">
        <f t="shared" si="106"/>
        <v>0.26600000000000001</v>
      </c>
      <c r="CK71" t="str">
        <f>IFERROR(IF(OR(D71="",NOT(ISNUMBER(BS71)),N(BW71)=0),"",_xlfn.XLOOKUP(A71,Щиты[Щит],Щиты[Zпетли на шинах, Ом])+CI71),"")</f>
        <v/>
      </c>
      <c r="CL71" t="str">
        <f>IF(ISNUMBER(CK71),c_min*(Uн_лин*1000/SQRT(3))/CK71,"")</f>
        <v/>
      </c>
      <c r="CM71" t="str">
        <f>IFERROR(IF(OR(D71="",NOT(ISNUMBER(BS71))),"",1.05*(Uн_лин*1000/SQRT(3))/(_xlfn.XLOOKUP(A71,Щиты[Щит],Щиты[Zmax на шинах, Ом])+CJ71)/1000),"")</f>
        <v/>
      </c>
      <c r="CN71" t="str">
        <f>IF(D71="","",IF(BA71&lt;&gt;"","Щит",IF(K71&lt;&gt;"",K71,IF(ISNUMBER(L71),"Сил",IF(IFERROR(_xlfn.XLOOKUP(AT71,Коды_код,Коды_группа)&amp;"","")="","Быт",_xlfn.XLOOKUP(AT71,Коды_код,Коды_группа)&amp;"")))))</f>
        <v>Сил</v>
      </c>
      <c r="CO71">
        <f>IF(CN71="Щит","щит",IF(CN71="","",IF(CN71="Быт",IFERROR(_xlfn.XLOOKUP(A71,Щиты[Щит],Щиты[Кс быт]),1),IF(CN71="Сил",IF(ISNUMBER(L71),L71,IF(Методика="нормы 2026",IFERROR(_xlfn.XLOOKUP(A71,Щиты[Щит],Щиты[Кс силовых (табл. 7.5)]),1),1)),IF(OR(CN71="Пост",CN71="Отоп"),1,IF(CN71="ВНГ",0.7,0))))))</f>
        <v>0.5</v>
      </c>
      <c r="CP71">
        <f t="shared" si="107"/>
        <v>1</v>
      </c>
      <c r="CQ71">
        <f t="shared" si="108"/>
        <v>1.9</v>
      </c>
      <c r="CR71">
        <f t="shared" si="109"/>
        <v>0</v>
      </c>
      <c r="CS71">
        <f t="shared" si="110"/>
        <v>0.95</v>
      </c>
      <c r="CT71">
        <f t="shared" si="111"/>
        <v>0</v>
      </c>
      <c r="CU71">
        <f t="shared" si="112"/>
        <v>0</v>
      </c>
      <c r="CV71">
        <f t="shared" si="113"/>
        <v>0</v>
      </c>
      <c r="CW71">
        <f t="shared" si="114"/>
        <v>1.9</v>
      </c>
      <c r="CX71">
        <f t="shared" si="115"/>
        <v>1.8049999999999999</v>
      </c>
      <c r="CY71">
        <f t="shared" si="116"/>
        <v>3</v>
      </c>
      <c r="CZ71" t="str">
        <f t="shared" si="117"/>
        <v>L3</v>
      </c>
      <c r="DA71" cm="1">
        <f t="array" ref="DA71">IFERROR(IF(BL71=2,_xlfn.IFS(BH71=3,VLOOKUP(BF71,Справочная_двигатели,3,FALSE),BH71=1,VLOOKUP(BF71,Справочная_двигатели,5,TRUE)),0),0)</f>
        <v>0</v>
      </c>
      <c r="DB71">
        <f>IFERROR(IF(BL71=3,VLOOKUP(BF71,Справочная_ЛЭД,2,TRUE),0),0)</f>
        <v>0</v>
      </c>
      <c r="DC71">
        <f t="shared" si="118"/>
        <v>0</v>
      </c>
      <c r="DD71" t="str">
        <f t="shared" si="119"/>
        <v>L2</v>
      </c>
      <c r="DE71" t="str" cm="1">
        <f t="array" ref="DE71">IF(D71="","",IFERROR(INDEX({"I особая","I","II","III"},MATCH(TRIM(AA71&amp;""),{"I особая","I","II","III"},0)),"III"))</f>
        <v>II</v>
      </c>
      <c r="DF71" t="str">
        <f>IF(D71="","",IF(TRIM(AB71&amp;"")&lt;&gt;"",IF(LOWER(TRIM(AB71&amp;""))="да","да","нет"),IF(IFERROR(_xlfn.XLOOKUP(AT71,Коды_код,Коды_пожарная),"")="да","да","нет")))</f>
        <v>нет</v>
      </c>
      <c r="DG71" t="str">
        <f t="shared" si="120"/>
        <v/>
      </c>
      <c r="DH71" t="str">
        <f t="shared" si="121"/>
        <v>основная</v>
      </c>
      <c r="DI71">
        <f t="shared" si="122"/>
        <v>1</v>
      </c>
      <c r="DJ71" t="str" cm="1">
        <f t="array" ref="DJ71">IF(D71="","",_xlfn.LET(_xlpm.t,IFERROR(_xlfn.XLOOKUP(1,(Шины[Шина]=DH71)*(((Шины[Щит]=A71)+(Шины[Щит]=""))&gt;0),Шины[Тип]),"")&amp;"",IF(_xlpm.t&lt;&gt;"",_xlpm.t,IF(ISNUMBER(SEARCH("ИБП",DH71)),"ИБП",IF(ISNUMBER(SEARCH("ДГУ",DH71)),"ДГУ","Ввод "&amp;DI71)))))</f>
        <v>Ввод 1</v>
      </c>
      <c r="DK71" t="str">
        <f t="shared" si="123"/>
        <v>Ввод 1</v>
      </c>
      <c r="DL71" t="str">
        <f>IF(D71="","",IF(OR(DJ71="ИБП",DJ71="ДГУ"),"I особая",IF(DJ71="Одиночная","III",_xlfn.XLOOKUP(A71,Щиты[Щит],Щиты[Категория шины «Ввод»],"III"))))</f>
        <v>II</v>
      </c>
      <c r="DM71">
        <f>IF(D71="",0,IFERROR(MATCH(DE71,{"III","II","I","I особая"},0),1))</f>
        <v>2</v>
      </c>
      <c r="DN71">
        <f t="shared" si="124"/>
        <v>2</v>
      </c>
      <c r="DO71" t="str">
        <f>IF(D71="","",IF(DM71&gt;IFERROR(MATCH(DL71,{"III","II","I","I особая"},0),1),"НЕ ОБЕСПЕЧЕНА","ОК"))</f>
        <v>ОК</v>
      </c>
      <c r="DP71" t="str">
        <f>IF(A71="","",_xlfn.XLOOKUP(A71,Щиты[Щит],Щиты[Путь],""))</f>
        <v>|ГРЩ-ЖД|ЩОВ-001|</v>
      </c>
      <c r="DQ71" t="str">
        <f>IF(D71="","",IF(Z71&lt;&gt;"",Z71,IF(IFERROR(_xlfn.XLOOKUP(AT71,Коды_код,Коды_вид)&amp;"","")="","Прочее",_xlfn.XLOOKUP(AT71,Коды_код,Коды_вид)&amp;"")))</f>
        <v>Кондиционирование и увлажнение</v>
      </c>
      <c r="DR71">
        <f>IF(BD71="","",INT((BD71-1)/Столбцов_на_лист)+1)</f>
        <v>2</v>
      </c>
      <c r="DS71" t="str">
        <f t="shared" si="125"/>
        <v>ВВГнг(А)-LS (3х2,5) L=38-2,45%</v>
      </c>
      <c r="DT71">
        <f t="shared" si="126"/>
        <v>1.9</v>
      </c>
      <c r="DU71">
        <f t="shared" si="127"/>
        <v>8.67</v>
      </c>
      <c r="DV71">
        <f t="shared" si="128"/>
        <v>1</v>
      </c>
      <c r="DW71">
        <f>IF(AT71="",0,_xlfn.LET(_xlpm.v,IFERROR(VLOOKUP(D71,УГО_спр,3,FALSE),IFERROR(VLOOKUP(AT71,УГО_спр,3,FALSE),IFERROR(VLOOKUP(LEFT(AT71,2),УГО_спр,3,FALSE),""))),IF(_xlpm.v="да",30,IF(ISNUMBER(_xlpm.v),_xlpm.v,0))))</f>
        <v>0</v>
      </c>
      <c r="DX71">
        <f t="shared" si="129"/>
        <v>0</v>
      </c>
      <c r="DY71">
        <f>IF(BD71="","",IF(AD71&lt;&gt;"",COUNTIFS(A$3:A71,A71,AD$3:AD71,"?*"),IF(OR(OR(AS71=1,A71&lt;&gt;A70),AL71="вручную"),"",IF(AS71=1,"",DZ70))))</f>
        <v>18</v>
      </c>
      <c r="DZ71">
        <f t="shared" si="130"/>
        <v>18</v>
      </c>
      <c r="EA71">
        <f>IF(D71="",0,MAX(IFERROR(--X71,0),IFERROR(--VLOOKUP(D71,УГО_спр,4,FALSE),IFERROR(--VLOOKUP(AT71,УГО_спр,4,FALSE),IFERROR(--VLOOKUP(LEFT(AT71,2),УГО_спр,4,FALSE),0)))))</f>
        <v>16</v>
      </c>
      <c r="EB71">
        <f>IF(D71="","",IFERROR(LOOKUP(INDEX(CHOOSE(BR71,Iдоп_1ж,Iдоп_2ж,Iдоп_3ж),MATCH(BS71,Iдоп_S,0))*BP71*BQ71,{6,10,16,20,25,32,40,50,63,80,100,125,160,200,250,315,400,500,630}),""))</f>
        <v>25</v>
      </c>
      <c r="EC71">
        <f>IF(AD71="","",SUMIFS(Линии[_Ток схемы],Линии[_гр.],DY71,Линии[Щит],A71,Линии[_в кабель выше],0))</f>
        <v>8.67</v>
      </c>
      <c r="ED71">
        <f>IF(AD71="","",IFERROR(VLOOKUP(EC71,Автомат_номиналы,2,TRUE),""))</f>
        <v>10</v>
      </c>
      <c r="EE71">
        <f>IF(AD71="","",MAX(N(ED71),_xlfn.MAXIFS(Линии[_мин. по типу],Линии[_гр.],DY71,Линии[Щит],A71)))</f>
        <v>16</v>
      </c>
      <c r="EF71">
        <f>IF(AD71="","",_xlfn.MINIFS(Линии[_макс. автомат по кабелю],Линии[_гр.],DY71,Линии[Щит],A71))</f>
        <v>25</v>
      </c>
      <c r="EG71">
        <f>IF(AD71="","",MAX(1,_xlfn.MAXIFS(Линии[_фаз],Линии[_гр.],DY71,Линии[Щит],A71)))</f>
        <v>1</v>
      </c>
      <c r="EH71">
        <f>IF(AD71="","",IF(AND(AD71&lt;&gt;"авто",AD71&lt;&gt;"+"),IF(ISNUMBER(SEARCH("мА",AD71)),IFERROR(--TRIM(RIGHT(SUBSTITUTE(LEFT(AD71,SEARCH("мА",AD71)-1)," ",REPT(" ",9)),6)),30),0),IF(AE71="нет",0,IF(ISNUMBER(AE71),AE71,IF(AE71="да",30,_xlfn.MINIFS(Линии[_дифзащита по коду, мА],Линии[_гр.],DY71,Линии[Щит],A71,Линии[_дифзащита по коду, мА],"&gt;0"))))))</f>
        <v>0</v>
      </c>
      <c r="EI71">
        <f t="shared" si="131"/>
        <v>0</v>
      </c>
      <c r="EJ71" t="str">
        <f t="shared" si="132"/>
        <v>QF18</v>
      </c>
      <c r="EK71" t="str">
        <f t="shared" si="133"/>
        <v>QF18</v>
      </c>
      <c r="EL71" t="str">
        <f t="shared" si="134"/>
        <v/>
      </c>
      <c r="EM71">
        <f t="shared" si="135"/>
        <v>0</v>
      </c>
      <c r="EN71">
        <f>IF(AD71="","",IF(EM71=1,MAX(EE71,Мин_автомат_БП),EE71))</f>
        <v>16</v>
      </c>
      <c r="EO71" t="str">
        <f t="shared" si="136"/>
        <v>1P</v>
      </c>
      <c r="EP71" t="str">
        <f t="shared" si="137"/>
        <v>1P С16А</v>
      </c>
      <c r="EQ71">
        <f t="shared" si="138"/>
        <v>16</v>
      </c>
      <c r="ER71" t="str">
        <f>IF(OR(AI71="",AI71="-"),"",IFERROR(VLOOKUP(AI71,Модули_спр,2,FALSE),"R"))</f>
        <v/>
      </c>
      <c r="ES71" t="str">
        <f>IF(ER71="","",ER71&amp;"."&amp;COUNTIFS(A$3:A71,A71,ER$3:ER71,ER71))</f>
        <v/>
      </c>
      <c r="ET71" t="str">
        <f t="shared" si="139"/>
        <v/>
      </c>
      <c r="EU71" t="str">
        <f t="shared" si="140"/>
        <v/>
      </c>
      <c r="EV71" t="str">
        <f t="shared" si="141"/>
        <v/>
      </c>
      <c r="EW71" t="str">
        <f t="shared" si="142"/>
        <v/>
      </c>
      <c r="EX71">
        <f t="shared" si="143"/>
        <v>1</v>
      </c>
      <c r="EY71" t="str">
        <f>IF(AK71="нет","",IF(AK71&lt;&gt;"",AK71,IF(EX71=1,"XT"&amp;COUNTIFS(A$3:A71,A71,EX$3:EX71,1),"")))</f>
        <v/>
      </c>
      <c r="EZ71" t="str">
        <f t="shared" si="144"/>
        <v>QF18</v>
      </c>
      <c r="FA71" t="str">
        <f t="shared" si="145"/>
        <v/>
      </c>
      <c r="FB71" t="str">
        <f t="shared" si="146"/>
        <v>ok</v>
      </c>
      <c r="FC71" t="str">
        <f>IF(OR(EV71="",ET71=""),"",IF(EV71&gt;IFERROR(VLOOKUP(EU71,Модули_спр,3,FALSE),99),"ЛИШНИЙ КАНАЛ",IF(AND(AJ71&lt;&gt;"=",COUNTIFS(Линии[_модуль гр.],ET71,Линии[Канал (итог)],EV71,Линии[Канал],"&lt;&gt;=",Линии[Щит],A71)&gt;1),"ДУБЛЬ КАНАЛА","")))</f>
        <v/>
      </c>
      <c r="FD71">
        <f t="shared" si="147"/>
        <v>16</v>
      </c>
      <c r="FE71" t="str">
        <f t="shared" si="148"/>
        <v>1P С16А</v>
      </c>
      <c r="FF71">
        <f t="shared" si="149"/>
        <v>0</v>
      </c>
      <c r="FG71">
        <f t="shared" si="150"/>
        <v>0</v>
      </c>
      <c r="FH71" t="str">
        <f t="shared" si="151"/>
        <v/>
      </c>
      <c r="FI71">
        <f t="shared" si="152"/>
        <v>10</v>
      </c>
      <c r="FJ71" t="str">
        <f t="shared" si="153"/>
        <v/>
      </c>
      <c r="FK71" t="str">
        <f>IF(AND(D71="",EZ71=""),"",_xlfn.TEXTJOIN("; ",TRUE,IF(AND(D71&lt;&gt;"",DD71=""),"нет фазы",""),IF(AND(D71&lt;&gt;"",N(DT71)=0,CN71&lt;&gt;"Нет"),"нет мощности",""),IF(AND(EY71&lt;&gt;"",COUNTIFS(Линии[Щит],A71,Линии[Клемма (итог)],EY71)&gt;1),"дубль клеммы "&amp;EY71,""),IF(AND(FB71&lt;&gt;"",FB71&lt;&gt;"ok"),FB71,""),IF(FC71&lt;&gt;"",FC71,""),IF(AND(ISNUMBER(SEARCH("(5х",DS71)),N(DV71)=1),"5 жил на 1 фазе",""),IF(AND(AT71="R",AD71&lt;&gt;"",OR(N(EH71)=0,N(EH71)&gt;30)),"розетка без дифзащиты до 30 мА",""),IFERROR(IF(AND(ISNUMBER(CD71),CD71&gt;CE71),"потери "&amp;FIXED(CD71,1)&amp;" % &gt; "&amp;CE71&amp;" %",""),""),IFERROR(IF(LEFT(FJ71,4)="мало","Iкз мало — отключение &gt; 0,4 с",""),""),IF(AND(D71&lt;&gt;"",BD71=""),"не на схеме","")))</f>
        <v/>
      </c>
      <c r="FL71">
        <f>IF(AD71="","",_xlfn.LET(_xlpm.t,IFERROR(_xlfn.XLOOKUP(EP71,Каталог!$U$4:$U$500,Каталог!$G$4:$G$500),""),_xlpm.k,SEARCH("кА",_xlpm.t),IFERROR(--TRIM(RIGHT(SUBSTITUTE(MID(_xlpm.t,MAX(1,_xlpm.k-4),_xlpm.k-MAX(1,_xlpm.k-4))," ",REPT(" ",9)),5)),"")))</f>
        <v>6</v>
      </c>
      <c r="FM71" t="str">
        <f>IF(OR(FL71="",AD71=""),"",IF(_xlfn.XLOOKUP(A71,Щиты[Щит],Щиты[Iкз max на шинах, кА],"")="","",IF(FL71&lt;_xlfn.XLOOKUP(A71,Щиты[Щит],Щиты[Iкз max на шинах, кА]),"Icu "&amp;FL71&amp;" кА &lt; Iкз max","ok")))</f>
        <v/>
      </c>
      <c r="FN71" t="str">
        <f t="shared" si="154"/>
        <v>QF18</v>
      </c>
      <c r="FO71" t="str">
        <f t="shared" si="155"/>
        <v>QF18|кабель ВВГнг(А)-LS (3х2,5) → Внешний блок кондиционирования Пом. Венткиосок</v>
      </c>
      <c r="FP71" t="str" cm="1">
        <f t="array" ref="FP71">IF(FO71="","",_xlfn.LET(_xlpm.nd,_xlfn.TEXTSPLIT(FO71,"|"),IF(COLUMNS(_xlpm.nd)&gt;1,A71&amp;"¦"&amp;INDEX(_xlpm.nd,1)&amp;"¦"&amp;INDEX(_xlpm.nd,2),"")))</f>
        <v>ЩОВ-001¦QF18¦кабель ВВГнг(А)-LS (3х2,5) → Внешний блок кондиционирования Пом. Венткиосок</v>
      </c>
      <c r="FQ71" t="str">
        <f t="shared" si="156"/>
        <v>K.3¦Внешний блок кондиционирования Пом. Венткиосок</v>
      </c>
      <c r="FR71" t="str" cm="1">
        <f t="array" ref="FR71">IF(FO71="","",_xlfn.LET(_xlpm.nd,_xlfn.TEXTSPLIT(FO71,"|"),IF(COLUMNS(_xlpm.nd)&gt;2,A71&amp;"¦"&amp;INDEX(_xlpm.nd,2)&amp;"¦"&amp;INDEX(_xlpm.nd,3),"")))</f>
        <v/>
      </c>
      <c r="FS71" t="str">
        <f t="shared" si="157"/>
        <v/>
      </c>
      <c r="FT71" t="str" cm="1">
        <f t="array" ref="FT71">IF(FO71="","",_xlfn.LET(_xlpm.nd,_xlfn.TEXTSPLIT(FO71,"|"),IF(COLUMNS(_xlpm.nd)&gt;3,A71&amp;"¦"&amp;INDEX(_xlpm.nd,3)&amp;"¦"&amp;INDEX(_xlpm.nd,4),"")))</f>
        <v/>
      </c>
      <c r="FU71" t="str">
        <f t="shared" si="158"/>
        <v/>
      </c>
      <c r="FV71" t="str" cm="1">
        <f t="array" ref="FV71">IF(FO71="","",_xlfn.LET(_xlpm.nd,_xlfn.TEXTSPLIT(FO71,"|"),IF(COLUMNS(_xlpm.nd)&gt;4,A71&amp;"¦"&amp;INDEX(_xlpm.nd,4)&amp;"¦"&amp;INDEX(_xlpm.nd,5),"")))</f>
        <v/>
      </c>
      <c r="FW71" t="str">
        <f t="shared" si="159"/>
        <v/>
      </c>
      <c r="FX71" t="str" cm="1">
        <f t="array" ref="FX71">IF(FO71="","",_xlfn.LET(_xlpm.nd,_xlfn.TEXTSPLIT(FO71,"|"),IF(COLUMNS(_xlpm.nd)&gt;5,A71&amp;"¦"&amp;INDEX(_xlpm.nd,5)&amp;"¦"&amp;INDEX(_xlpm.nd,6),"")))</f>
        <v/>
      </c>
      <c r="FY71" t="str">
        <f t="shared" si="160"/>
        <v/>
      </c>
      <c r="FZ71" t="str" cm="1">
        <f t="array" ref="FZ71">IF(FO71="","",_xlfn.LET(_xlpm.nd,_xlfn.TEXTSPLIT(FO71,"|"),IF(COLUMNS(_xlpm.nd)&gt;6,A71&amp;"¦"&amp;INDEX(_xlpm.nd,6)&amp;"¦"&amp;INDEX(_xlpm.nd,7),"")))</f>
        <v/>
      </c>
      <c r="GA71" t="str">
        <f t="shared" si="161"/>
        <v/>
      </c>
      <c r="GB71" t="str">
        <f t="shared" si="162"/>
        <v/>
      </c>
      <c r="GC71" t="str">
        <f t="shared" si="163"/>
        <v>QF18</v>
      </c>
      <c r="GD71">
        <f t="shared" si="164"/>
        <v>1</v>
      </c>
      <c r="GE71">
        <f t="shared" si="165"/>
        <v>0</v>
      </c>
      <c r="GF71">
        <f t="shared" si="166"/>
        <v>0</v>
      </c>
      <c r="GG71" t="str">
        <f t="shared" si="167"/>
        <v/>
      </c>
      <c r="GH71" t="str">
        <f t="shared" si="168"/>
        <v/>
      </c>
      <c r="GI71" t="str">
        <f t="shared" si="169"/>
        <v/>
      </c>
      <c r="GJ71" t="str">
        <f t="shared" si="170"/>
        <v/>
      </c>
      <c r="GK71">
        <f>IF(D71="","",IFERROR(VLOOKUP(D71,УГО_спр,2,FALSE),IFERROR(VLOOKUP(AT71,УГО_спр,2,FALSE),IFERROR(VLOOKUP(LEFT(AT71,2),УГО_спр,2,FALSE),""))))</f>
        <v>0</v>
      </c>
      <c r="GL71" t="str">
        <f>IF(D71="","",IF(OR(GK71="",GK71=0),"BOX",IFERROR(IF(VLOOKUP(GK71,УГО_блоки,3,FALSE)&amp;""&lt;&gt;"",VLOOKUP(GK71,УГО_блоки,3,FALSE),VLOOKUP(GK71,УГО_блоки,2,FALSE)),GK71)))</f>
        <v>BOX</v>
      </c>
      <c r="GM71">
        <f t="shared" si="171"/>
        <v>1</v>
      </c>
      <c r="GN71" t="str">
        <f>IF(EP71="","",IF(COUNTIF(EP$3:EP71,EP71)=1,MAX(GN$2:GN70)+1,""))</f>
        <v/>
      </c>
      <c r="GO71" t="str">
        <f>IF(AF71="","",IF(COUNTIF(AF$3:AF71,AF71)+COUNTIF(AG$2:AG70,AF71)+COUNTIF(AH$2:AH70,AF71)=1,MAX(GO$2:GQ70)+1,""))</f>
        <v/>
      </c>
      <c r="GP71" t="str">
        <f>IF(AG71="","",IF(COUNTIF(AF$3:AF71,AG71)+COUNTIF(AG$3:AG71,AG71)+COUNTIF(AH$2:AH70,AG71)=1,MAX(GO$2:GQ70,GO71)+1,""))</f>
        <v/>
      </c>
      <c r="GQ71" t="str">
        <f>IF(AH71="","",IF(COUNTIF(AF$3:AF71,AH71)+COUNTIF(AG$3:AG71,AH71)+COUNTIF(AH$3:AH71,AH71)=1,MAX(GO$2:GQ70,GO71,GP71)+1,""))</f>
        <v/>
      </c>
      <c r="GR71" t="str">
        <f t="shared" si="172"/>
        <v>3х2,5</v>
      </c>
      <c r="GS71" t="str">
        <f>IF(GR71="","",IF(COUNTIF(GR$3:GR71,GR71)=1,MAX(GS$2:GS70)+1,""))</f>
        <v/>
      </c>
      <c r="GT71" t="str">
        <f>IF(ES71="","",COUNTIF(ES$3:ES71,"?*"))</f>
        <v/>
      </c>
      <c r="GU71" t="str">
        <f>IF(OR(ES71="",EU71=""),"",IF(COUNTIFS(ES$3:ES71,"?*",EU$3:EU71,EU71)=1,MAX(GU$2:GU70)+1,""))</f>
        <v/>
      </c>
      <c r="GV71">
        <f t="shared" si="173"/>
        <v>0</v>
      </c>
      <c r="GW71">
        <f>IF(D71="","",COUNTIF(D$3:D71,"?*"))</f>
        <v>69</v>
      </c>
      <c r="GX71">
        <f>IF(EX71&lt;&gt;1,0,_xlfn.LET(_xlpm.k,MAX(IFERROR(--VLOOKUP(D71,УГО_спр,5,FALSE),0),IFERROR(--VLOOKUP(AT71,УГО_спр,5,FALSE),0),IFERROR(--VLOOKUP(LEFT(AT71,2),УГО_спр,5,FALSE),0)),IF(_xlpm.k&gt;0,_xlpm.k,IF(IFERROR(--LEFT(SUBSTITUTE(GR71,"x","х"),FIND("х",SUBSTITUTE(GR71,"x","х"))-1),3)&gt;3,Каталог!$S$9,1))))</f>
        <v>1</v>
      </c>
      <c r="GY71">
        <f t="shared" si="174"/>
        <v>0</v>
      </c>
    </row>
    <row r="72" spans="1:207" x14ac:dyDescent="0.3">
      <c r="A72" t="s">
        <v>752</v>
      </c>
      <c r="B72">
        <v>36</v>
      </c>
      <c r="C72" t="str">
        <f>IF(BD72="","",IF(BE72="вводной узел","узел ","")&amp;"л."&amp;(INT((BD72-1)/Столбцов_на_лист)+1)&amp;" / "&amp;(MOD(BD72-1,Столбцов_на_лист)+1))</f>
        <v>л.3 / 2</v>
      </c>
      <c r="D72" t="s">
        <v>1350</v>
      </c>
      <c r="E72" s="133" t="s">
        <v>1347</v>
      </c>
      <c r="G72">
        <v>1.9</v>
      </c>
      <c r="H72">
        <v>1</v>
      </c>
      <c r="I72">
        <v>1</v>
      </c>
      <c r="J72">
        <v>230</v>
      </c>
      <c r="K72" t="s">
        <v>602</v>
      </c>
      <c r="L72">
        <v>0.5</v>
      </c>
      <c r="O72">
        <v>2</v>
      </c>
      <c r="P72">
        <v>36</v>
      </c>
      <c r="R72">
        <v>35</v>
      </c>
      <c r="T72">
        <v>1</v>
      </c>
      <c r="U72" t="s">
        <v>11</v>
      </c>
      <c r="V72">
        <v>3</v>
      </c>
      <c r="W72">
        <v>2.5</v>
      </c>
      <c r="X72">
        <v>16</v>
      </c>
      <c r="Z72" t="s">
        <v>580</v>
      </c>
      <c r="AA72" t="s">
        <v>818</v>
      </c>
      <c r="AD72" t="s">
        <v>517</v>
      </c>
      <c r="AR72" t="str">
        <f t="shared" si="88"/>
        <v/>
      </c>
      <c r="AS72" cm="1">
        <f t="array" ref="AS72">ROW()-ROW(Линии[#Headers])</f>
        <v>70</v>
      </c>
      <c r="AT72" t="str">
        <f t="shared" si="89"/>
        <v>K</v>
      </c>
      <c r="AU72" t="str">
        <f t="shared" si="90"/>
        <v>4</v>
      </c>
      <c r="AV72" t="str">
        <f t="shared" si="91"/>
        <v>4</v>
      </c>
      <c r="AW72" t="str">
        <f t="shared" si="92"/>
        <v/>
      </c>
      <c r="AX72" t="str">
        <f t="shared" si="93"/>
        <v/>
      </c>
      <c r="AY72" t="str">
        <f>IF(D72="","",IF(ISERROR(SEARCH(".",D72)),IFERROR(VLOOKUP(D72,Потребители_обозначение,2,FALSE)&amp;"",""),IFERROR(IF(VLOOKUP(AT72,Потребители_обозначение,4,FALSE)=1,VLOOKUP(AT72,Потребители_обозначение,2,FALSE)&amp;" "&amp;VLOOKUP(AV72,Этаж_обозначение,2,FALSE)&amp;" Пом. №"&amp;AX72,VLOOKUP(AT72,Потребители_обозначение,2,FALSE)&amp;" Шлейф №"&amp;AV72),IFERROR(VLOOKUP(D72,Потребители_обозначение,2,FALSE),""))))</f>
        <v>Внутренний блок кондиционирования Кровля Пом. №</v>
      </c>
      <c r="AZ72" t="str">
        <f t="shared" si="94"/>
        <v>Внешний блок кондиционирования Пом. Венткиосок</v>
      </c>
      <c r="BA72" t="str">
        <f>IF(F72&lt;&gt;"",F72,IF(AND(D72&lt;&gt;"",D72&lt;&gt;A72,ISNUMBER(_xlfn.XMATCH(D72,Щиты[Щит]))),D72,""))</f>
        <v/>
      </c>
      <c r="BB72">
        <f>IFERROR(_xlfn.XMATCH(A72,Щиты[Щит]),0)</f>
        <v>4</v>
      </c>
      <c r="BC72">
        <f>IFERROR(N(_xlfn.XLOOKUP(A72,Щиты[Щит],Щиты[Мест под вводной узел])),15)</f>
        <v>13</v>
      </c>
      <c r="BD72">
        <f t="shared" si="95"/>
        <v>36</v>
      </c>
      <c r="BE72" t="str">
        <f t="shared" si="96"/>
        <v>линии</v>
      </c>
      <c r="BF72">
        <f>IF(D72="","",IF(BA72&lt;&gt;"",IFERROR(_xlfn.XLOOKUP(BA72,Щиты[Щит],Щиты[Руст, кВт]),0),N(G72)))</f>
        <v>1.9</v>
      </c>
      <c r="BG72">
        <f>IF(J72&lt;&gt;"",J72,IF(D72="","",IFERROR(IF(VLOOKUP(AT72,Потребители_обозначение,8,FALSE)=0,"",VLOOKUP(AT72,Потребители_обозначение,8,FALSE)),"")))</f>
        <v>230</v>
      </c>
      <c r="BH72">
        <f>IF(I72&lt;&gt;"",I72,IF(D72="","",IFERROR(IF(VLOOKUP(AT72,Потребители_обозначение,9,FALSE)=0,"",VLOOKUP(AT72,Потребители_обозначение,9,FALSE)),"")))</f>
        <v>1</v>
      </c>
      <c r="BI72" t="str">
        <f>IF(U72&lt;&gt;"",U72,IF(D72="","",IFERROR(IF(VLOOKUP(AT72,Потребители_обозначение,6,FALSE)=0,"",VLOOKUP(AT72,Потребители_обозначение,6,FALSE)),"")))</f>
        <v>мс</v>
      </c>
      <c r="BJ72">
        <f>IF(V72&lt;&gt;"",V72,IF(D72="","",IFERROR(IF(VLOOKUP(AT72,Потребители_обозначение,7,FALSE)=0,"",VLOOKUP(AT72,Потребители_обозначение,7,FALSE)),"")))</f>
        <v>3</v>
      </c>
      <c r="BK72">
        <f>IF(W72&lt;&gt;"",W72,IF(D72="","",IFERROR(IF(VLOOKUP(AT72,Потребители_обозначение,10,FALSE)=0,"",VLOOKUP(AT72,Потребители_обозначение,10,FALSE)),"")))</f>
        <v>2.5</v>
      </c>
      <c r="BL72">
        <f>IFERROR(VLOOKUP(AT72,Потребители_обозначение,5,FALSE),0)</f>
        <v>1</v>
      </c>
      <c r="BM72" cm="1">
        <f t="array" ref="BM72">IF(D72="","",IF(BA72&lt;&gt;"",IFERROR(_xlfn.XLOOKUP(BA72,Щиты[Щит],Щиты[cos φ]),0.95),IF(ISNUMBER(M72),M72,IFERROR(IF(BL72=2,_xlfn.IFS(BH72=3,VLOOKUP(BF72,Справочная_двигатели,8,FALSE),BH72=1,VLOOKUP(BF72,Справочная_двигатели,10,TRUE)),IF(AND(Методика="нормы 2026",CN72="Сил"),0.8,0.95)),0.95))))</f>
        <v>0.95</v>
      </c>
      <c r="BN72" cm="1">
        <f t="array" ref="BN72">IF(D72="","",IF(BA72&lt;&gt;"",IFERROR(_xlfn.XLOOKUP(BA72,Щиты[Щит],Щиты[Iр, А]),""),IFERROR(_xlfn.IFS(BH72=1,BF72/((Uн_лин/SQRT(3))*BM72),BH72=3,BF72/(SQRT(3)*Uн_лин*BM72)),"")))</f>
        <v>8.6602540378443855</v>
      </c>
      <c r="BO72">
        <f>IF(D72="","",IF(N(X72)=0,IFERROR(VLOOKUP(BN72,Автомат_номиналы,2,TRUE),""),X72))</f>
        <v>16</v>
      </c>
      <c r="BP72">
        <f t="shared" si="97"/>
        <v>1</v>
      </c>
      <c r="BQ72">
        <f>IF(ISNUMBER(Y72),Y72,К_прокл)</f>
        <v>1</v>
      </c>
      <c r="BR72">
        <f t="shared" si="98"/>
        <v>2</v>
      </c>
      <c r="BS72" cm="1">
        <f t="array" ref="BS72">IF(D72="","",IF(N(BK72)&lt;&gt;0,BK72,IFERROR(_xlfn.LET(_xlpm.need,BO72/(BP72*BQ72),_xlpm.t,CHOOSE(BR72,Iдоп_1ж,Iдоп_2ж,Iдоп_3ж),_xlpm.k,_xlfn.XMATCH(_xlpm.need,_xlpm.t,1),IF(ISNA(_xlpm.k),"Не исп",INDEX(Iдоп_S,_xlpm.k))),"Не исп")))</f>
        <v>2.5</v>
      </c>
      <c r="BT72">
        <f>IFERROR(VLOOKUP(BS72,Кабель_сопротивление,3,FALSE),"")</f>
        <v>2.2499999999999999E-2</v>
      </c>
      <c r="BU72">
        <f>IFERROR(VLOOKUP(BS72,Кабель_сопротивление,2,FALSE),"")</f>
        <v>0.1</v>
      </c>
      <c r="BV72">
        <f t="shared" si="99"/>
        <v>36</v>
      </c>
      <c r="BW72">
        <f>IF(D72="","",IFERROR(IF(VLOOKUP(AT72,Потребители_обозначение,4,FALSE)=1,VLOOKUP(AT72,Потребители_обозначение,3,FALSE)*(H72*2-1)+BV72+VLOOKUP(AV72,Этаж_обозначение,3,FALSE)+VLOOKUP(AV72,Этаж_обозначение,4,FALSE),VLOOKUP(AT72,Потребители_обозначение,3,FALSE)*(H72*2-1)+BV72),BV72))</f>
        <v>38</v>
      </c>
      <c r="BX72">
        <f t="shared" si="100"/>
        <v>35</v>
      </c>
      <c r="BY72">
        <f t="shared" si="101"/>
        <v>0</v>
      </c>
      <c r="BZ72">
        <f t="shared" si="102"/>
        <v>2</v>
      </c>
      <c r="CA72">
        <f t="shared" si="103"/>
        <v>0.31</v>
      </c>
      <c r="CB72">
        <f t="shared" si="104"/>
        <v>5.6478366323044424</v>
      </c>
      <c r="CC72">
        <f>IFERROR(ROUNDUP(CB72/((Uн_лин/SQRT(3))*1000)*100,2),"")</f>
        <v>2.4499999999999997</v>
      </c>
      <c r="CD72">
        <f>IF(ISNUMBER(CC72),CC72+IFERROR(_xlfn.XLOOKUP(A72,Щиты[Щит],Щиты[ΔU до шин, %]),0),"")</f>
        <v>2.9499999999999997</v>
      </c>
      <c r="CE72">
        <f>IF(D72="","",IF(IFERROR(VLOOKUP(AT72,УГО_спр,2,FALSE),"")="Светильник",3,4)+IF(Методика="нормы 2026",MIN(0.5,MAX(0,N(BW72)-100)*0.005),0))</f>
        <v>4</v>
      </c>
      <c r="CF72" t="str">
        <f>IFERROR(VLOOKUP(BI72,Кабель_обозначение,2,FALSE),"")</f>
        <v>ВВГнг(А)-LS</v>
      </c>
      <c r="CG72" t="str">
        <f>IFERROR(IF(VLOOKUP(BI72,Кабель_обозначение,3,FALSE)=1,CF72&amp;" ("&amp;BJ72&amp;"х"&amp;BS72&amp;")",CF72),"")</f>
        <v>ВВГнг(А)-LS (3х2,5)</v>
      </c>
      <c r="CH72" t="str">
        <f t="shared" si="105"/>
        <v>ВВГнг(А)-LS (3х2,5)
L=38-2,45%</v>
      </c>
      <c r="CI72">
        <f>IFERROR(2*ρкз_Cu*BW72/BS72,"")</f>
        <v>0.79952000000000001</v>
      </c>
      <c r="CJ72">
        <f t="shared" si="106"/>
        <v>0.26600000000000001</v>
      </c>
      <c r="CK72" t="str">
        <f>IFERROR(IF(OR(D72="",NOT(ISNUMBER(BS72)),N(BW72)=0),"",_xlfn.XLOOKUP(A72,Щиты[Щит],Щиты[Zпетли на шинах, Ом])+CI72),"")</f>
        <v/>
      </c>
      <c r="CL72" t="str">
        <f>IF(ISNUMBER(CK72),c_min*(Uн_лин*1000/SQRT(3))/CK72,"")</f>
        <v/>
      </c>
      <c r="CM72" t="str">
        <f>IFERROR(IF(OR(D72="",NOT(ISNUMBER(BS72))),"",1.05*(Uн_лин*1000/SQRT(3))/(_xlfn.XLOOKUP(A72,Щиты[Щит],Щиты[Zmax на шинах, Ом])+CJ72)/1000),"")</f>
        <v/>
      </c>
      <c r="CN72" t="str">
        <f>IF(D72="","",IF(BA72&lt;&gt;"","Щит",IF(K72&lt;&gt;"",K72,IF(ISNUMBER(L72),"Сил",IF(IFERROR(_xlfn.XLOOKUP(AT72,Коды_код,Коды_группа)&amp;"","")="","Быт",_xlfn.XLOOKUP(AT72,Коды_код,Коды_группа)&amp;"")))))</f>
        <v>Сил</v>
      </c>
      <c r="CO72">
        <f>IF(CN72="Щит","щит",IF(CN72="","",IF(CN72="Быт",IFERROR(_xlfn.XLOOKUP(A72,Щиты[Щит],Щиты[Кс быт]),1),IF(CN72="Сил",IF(ISNUMBER(L72),L72,IF(Методика="нормы 2026",IFERROR(_xlfn.XLOOKUP(A72,Щиты[Щит],Щиты[Кс силовых (табл. 7.5)]),1),1)),IF(OR(CN72="Пост",CN72="Отоп"),1,IF(CN72="ВНГ",0.7,0))))))</f>
        <v>0.5</v>
      </c>
      <c r="CP72">
        <f t="shared" si="107"/>
        <v>1</v>
      </c>
      <c r="CQ72">
        <f t="shared" si="108"/>
        <v>1.9</v>
      </c>
      <c r="CR72">
        <f t="shared" si="109"/>
        <v>0</v>
      </c>
      <c r="CS72">
        <f t="shared" si="110"/>
        <v>0.95</v>
      </c>
      <c r="CT72">
        <f t="shared" si="111"/>
        <v>0</v>
      </c>
      <c r="CU72">
        <f t="shared" si="112"/>
        <v>0</v>
      </c>
      <c r="CV72">
        <f t="shared" si="113"/>
        <v>0</v>
      </c>
      <c r="CW72">
        <f t="shared" si="114"/>
        <v>1.9</v>
      </c>
      <c r="CX72">
        <f t="shared" si="115"/>
        <v>1.8049999999999999</v>
      </c>
      <c r="CY72">
        <f t="shared" si="116"/>
        <v>1</v>
      </c>
      <c r="CZ72" t="str">
        <f t="shared" si="117"/>
        <v>L1</v>
      </c>
      <c r="DA72" cm="1">
        <f t="array" ref="DA72">IFERROR(IF(BL72=2,_xlfn.IFS(BH72=3,VLOOKUP(BF72,Справочная_двигатели,3,FALSE),BH72=1,VLOOKUP(BF72,Справочная_двигатели,5,TRUE)),0),0)</f>
        <v>0</v>
      </c>
      <c r="DB72">
        <f>IFERROR(IF(BL72=3,VLOOKUP(BF72,Справочная_ЛЭД,2,TRUE),0),0)</f>
        <v>0</v>
      </c>
      <c r="DC72">
        <f t="shared" si="118"/>
        <v>0</v>
      </c>
      <c r="DD72" t="str">
        <f t="shared" si="119"/>
        <v>L2</v>
      </c>
      <c r="DE72" t="str" cm="1">
        <f t="array" ref="DE72">IF(D72="","",IFERROR(INDEX({"I особая","I","II","III"},MATCH(TRIM(AA72&amp;""),{"I особая","I","II","III"},0)),"III"))</f>
        <v>II</v>
      </c>
      <c r="DF72" t="str">
        <f>IF(D72="","",IF(TRIM(AB72&amp;"")&lt;&gt;"",IF(LOWER(TRIM(AB72&amp;""))="да","да","нет"),IF(IFERROR(_xlfn.XLOOKUP(AT72,Коды_код,Коды_пожарная),"")="да","да","нет")))</f>
        <v>нет</v>
      </c>
      <c r="DG72" t="str">
        <f t="shared" si="120"/>
        <v/>
      </c>
      <c r="DH72" t="str">
        <f t="shared" si="121"/>
        <v>основная</v>
      </c>
      <c r="DI72">
        <f t="shared" si="122"/>
        <v>1</v>
      </c>
      <c r="DJ72" t="str" cm="1">
        <f t="array" ref="DJ72">IF(D72="","",_xlfn.LET(_xlpm.t,IFERROR(_xlfn.XLOOKUP(1,(Шины[Шина]=DH72)*(((Шины[Щит]=A72)+(Шины[Щит]=""))&gt;0),Шины[Тип]),"")&amp;"",IF(_xlpm.t&lt;&gt;"",_xlpm.t,IF(ISNUMBER(SEARCH("ИБП",DH72)),"ИБП",IF(ISNUMBER(SEARCH("ДГУ",DH72)),"ДГУ","Ввод "&amp;DI72)))))</f>
        <v>Ввод 1</v>
      </c>
      <c r="DK72" t="str">
        <f t="shared" si="123"/>
        <v>Ввод 1</v>
      </c>
      <c r="DL72" t="str">
        <f>IF(D72="","",IF(OR(DJ72="ИБП",DJ72="ДГУ"),"I особая",IF(DJ72="Одиночная","III",_xlfn.XLOOKUP(A72,Щиты[Щит],Щиты[Категория шины «Ввод»],"III"))))</f>
        <v>II</v>
      </c>
      <c r="DM72">
        <f>IF(D72="",0,IFERROR(MATCH(DE72,{"III","II","I","I особая"},0),1))</f>
        <v>2</v>
      </c>
      <c r="DN72">
        <f t="shared" si="124"/>
        <v>2</v>
      </c>
      <c r="DO72" t="str">
        <f>IF(D72="","",IF(DM72&gt;IFERROR(MATCH(DL72,{"III","II","I","I особая"},0),1),"НЕ ОБЕСПЕЧЕНА","ОК"))</f>
        <v>ОК</v>
      </c>
      <c r="DP72" t="str">
        <f>IF(A72="","",_xlfn.XLOOKUP(A72,Щиты[Щит],Щиты[Путь],""))</f>
        <v>|ГРЩ-ЖД|ЩОВ-001|</v>
      </c>
      <c r="DQ72" t="str">
        <f>IF(D72="","",IF(Z72&lt;&gt;"",Z72,IF(IFERROR(_xlfn.XLOOKUP(AT72,Коды_код,Коды_вид)&amp;"","")="","Прочее",_xlfn.XLOOKUP(AT72,Коды_код,Коды_вид)&amp;"")))</f>
        <v>Кондиционирование и увлажнение</v>
      </c>
      <c r="DR72">
        <f>IF(BD72="","",INT((BD72-1)/Столбцов_на_лист)+1)</f>
        <v>3</v>
      </c>
      <c r="DS72" t="str">
        <f t="shared" si="125"/>
        <v>ВВГнг(А)-LS (3х2,5) L=38-2,45%</v>
      </c>
      <c r="DT72">
        <f t="shared" si="126"/>
        <v>1.9</v>
      </c>
      <c r="DU72">
        <f t="shared" si="127"/>
        <v>8.67</v>
      </c>
      <c r="DV72">
        <f t="shared" si="128"/>
        <v>1</v>
      </c>
      <c r="DW72">
        <f>IF(AT72="",0,_xlfn.LET(_xlpm.v,IFERROR(VLOOKUP(D72,УГО_спр,3,FALSE),IFERROR(VLOOKUP(AT72,УГО_спр,3,FALSE),IFERROR(VLOOKUP(LEFT(AT72,2),УГО_спр,3,FALSE),""))),IF(_xlpm.v="да",30,IF(ISNUMBER(_xlpm.v),_xlpm.v,0))))</f>
        <v>0</v>
      </c>
      <c r="DX72">
        <f t="shared" si="129"/>
        <v>0</v>
      </c>
      <c r="DY72">
        <f>IF(BD72="","",IF(AD72&lt;&gt;"",COUNTIFS(A$3:A72,A72,AD$3:AD72,"?*"),IF(OR(OR(AS72=1,A72&lt;&gt;A71),AL72="вручную"),"",IF(AS72=1,"",DZ71))))</f>
        <v>19</v>
      </c>
      <c r="DZ72">
        <f t="shared" si="130"/>
        <v>19</v>
      </c>
      <c r="EA72">
        <f>IF(D72="",0,MAX(IFERROR(--X72,0),IFERROR(--VLOOKUP(D72,УГО_спр,4,FALSE),IFERROR(--VLOOKUP(AT72,УГО_спр,4,FALSE),IFERROR(--VLOOKUP(LEFT(AT72,2),УГО_спр,4,FALSE),0)))))</f>
        <v>16</v>
      </c>
      <c r="EB72">
        <f>IF(D72="","",IFERROR(LOOKUP(INDEX(CHOOSE(BR72,Iдоп_1ж,Iдоп_2ж,Iдоп_3ж),MATCH(BS72,Iдоп_S,0))*BP72*BQ72,{6,10,16,20,25,32,40,50,63,80,100,125,160,200,250,315,400,500,630}),""))</f>
        <v>25</v>
      </c>
      <c r="EC72">
        <f>IF(AD72="","",SUMIFS(Линии[_Ток схемы],Линии[_гр.],DY72,Линии[Щит],A72,Линии[_в кабель выше],0))</f>
        <v>8.67</v>
      </c>
      <c r="ED72">
        <f>IF(AD72="","",IFERROR(VLOOKUP(EC72,Автомат_номиналы,2,TRUE),""))</f>
        <v>10</v>
      </c>
      <c r="EE72">
        <f>IF(AD72="","",MAX(N(ED72),_xlfn.MAXIFS(Линии[_мин. по типу],Линии[_гр.],DY72,Линии[Щит],A72)))</f>
        <v>16</v>
      </c>
      <c r="EF72">
        <f>IF(AD72="","",_xlfn.MINIFS(Линии[_макс. автомат по кабелю],Линии[_гр.],DY72,Линии[Щит],A72))</f>
        <v>25</v>
      </c>
      <c r="EG72">
        <f>IF(AD72="","",MAX(1,_xlfn.MAXIFS(Линии[_фаз],Линии[_гр.],DY72,Линии[Щит],A72)))</f>
        <v>1</v>
      </c>
      <c r="EH72">
        <f>IF(AD72="","",IF(AND(AD72&lt;&gt;"авто",AD72&lt;&gt;"+"),IF(ISNUMBER(SEARCH("мА",AD72)),IFERROR(--TRIM(RIGHT(SUBSTITUTE(LEFT(AD72,SEARCH("мА",AD72)-1)," ",REPT(" ",9)),6)),30),0),IF(AE72="нет",0,IF(ISNUMBER(AE72),AE72,IF(AE72="да",30,_xlfn.MINIFS(Линии[_дифзащита по коду, мА],Линии[_гр.],DY72,Линии[Щит],A72,Линии[_дифзащита по коду, мА],"&gt;0"))))))</f>
        <v>0</v>
      </c>
      <c r="EI72">
        <f t="shared" si="131"/>
        <v>0</v>
      </c>
      <c r="EJ72" t="str">
        <f t="shared" si="132"/>
        <v>QF19</v>
      </c>
      <c r="EK72" t="str">
        <f t="shared" si="133"/>
        <v>QF19</v>
      </c>
      <c r="EL72" t="str">
        <f t="shared" si="134"/>
        <v/>
      </c>
      <c r="EM72">
        <f t="shared" si="135"/>
        <v>0</v>
      </c>
      <c r="EN72">
        <f>IF(AD72="","",IF(EM72=1,MAX(EE72,Мин_автомат_БП),EE72))</f>
        <v>16</v>
      </c>
      <c r="EO72" t="str">
        <f t="shared" si="136"/>
        <v>1P</v>
      </c>
      <c r="EP72" t="str">
        <f t="shared" si="137"/>
        <v>1P С16А</v>
      </c>
      <c r="EQ72">
        <f t="shared" si="138"/>
        <v>16</v>
      </c>
      <c r="ER72" t="str">
        <f>IF(OR(AI72="",AI72="-"),"",IFERROR(VLOOKUP(AI72,Модули_спр,2,FALSE),"R"))</f>
        <v/>
      </c>
      <c r="ES72" t="str">
        <f>IF(ER72="","",ER72&amp;"."&amp;COUNTIFS(A$3:A72,A72,ER$3:ER72,ER72))</f>
        <v/>
      </c>
      <c r="ET72" t="str">
        <f t="shared" si="139"/>
        <v/>
      </c>
      <c r="EU72" t="str">
        <f t="shared" si="140"/>
        <v/>
      </c>
      <c r="EV72" t="str">
        <f t="shared" si="141"/>
        <v/>
      </c>
      <c r="EW72" t="str">
        <f t="shared" si="142"/>
        <v/>
      </c>
      <c r="EX72">
        <f t="shared" si="143"/>
        <v>1</v>
      </c>
      <c r="EY72" t="str">
        <f>IF(AK72="нет","",IF(AK72&lt;&gt;"",AK72,IF(EX72=1,"XT"&amp;COUNTIFS(A$3:A72,A72,EX$3:EX72,1),"")))</f>
        <v>XT20</v>
      </c>
      <c r="EZ72" t="str">
        <f t="shared" si="144"/>
        <v>QF19</v>
      </c>
      <c r="FA72" t="str">
        <f t="shared" si="145"/>
        <v/>
      </c>
      <c r="FB72" t="str">
        <f t="shared" si="146"/>
        <v>ok</v>
      </c>
      <c r="FC72" t="str">
        <f>IF(OR(EV72="",ET72=""),"",IF(EV72&gt;IFERROR(VLOOKUP(EU72,Модули_спр,3,FALSE),99),"ЛИШНИЙ КАНАЛ",IF(AND(AJ72&lt;&gt;"=",COUNTIFS(Линии[_модуль гр.],ET72,Линии[Канал (итог)],EV72,Линии[Канал],"&lt;&gt;=",Линии[Щит],A72)&gt;1),"ДУБЛЬ КАНАЛА","")))</f>
        <v/>
      </c>
      <c r="FD72">
        <f t="shared" si="147"/>
        <v>16</v>
      </c>
      <c r="FE72" t="str">
        <f t="shared" si="148"/>
        <v>1P С16А</v>
      </c>
      <c r="FF72">
        <f t="shared" si="149"/>
        <v>0</v>
      </c>
      <c r="FG72">
        <f t="shared" si="150"/>
        <v>0</v>
      </c>
      <c r="FH72" t="str">
        <f t="shared" si="151"/>
        <v/>
      </c>
      <c r="FI72">
        <f t="shared" si="152"/>
        <v>10</v>
      </c>
      <c r="FJ72" t="str">
        <f t="shared" si="153"/>
        <v/>
      </c>
      <c r="FK72" t="str">
        <f>IF(AND(D72="",EZ72=""),"",_xlfn.TEXTJOIN("; ",TRUE,IF(AND(D72&lt;&gt;"",DD72=""),"нет фазы",""),IF(AND(D72&lt;&gt;"",N(DT72)=0,CN72&lt;&gt;"Нет"),"нет мощности",""),IF(AND(EY72&lt;&gt;"",COUNTIFS(Линии[Щит],A72,Линии[Клемма (итог)],EY72)&gt;1),"дубль клеммы "&amp;EY72,""),IF(AND(FB72&lt;&gt;"",FB72&lt;&gt;"ok"),FB72,""),IF(FC72&lt;&gt;"",FC72,""),IF(AND(ISNUMBER(SEARCH("(5х",DS72)),N(DV72)=1),"5 жил на 1 фазе",""),IF(AND(AT72="R",AD72&lt;&gt;"",OR(N(EH72)=0,N(EH72)&gt;30)),"розетка без дифзащиты до 30 мА",""),IFERROR(IF(AND(ISNUMBER(CD72),CD72&gt;CE72),"потери "&amp;FIXED(CD72,1)&amp;" % &gt; "&amp;CE72&amp;" %",""),""),IFERROR(IF(LEFT(FJ72,4)="мало","Iкз мало — отключение &gt; 0,4 с",""),""),IF(AND(D72&lt;&gt;"",BD72=""),"не на схеме","")))</f>
        <v/>
      </c>
      <c r="FL72">
        <f>IF(AD72="","",_xlfn.LET(_xlpm.t,IFERROR(_xlfn.XLOOKUP(EP72,Каталог!$U$4:$U$500,Каталог!$G$4:$G$500),""),_xlpm.k,SEARCH("кА",_xlpm.t),IFERROR(--TRIM(RIGHT(SUBSTITUTE(MID(_xlpm.t,MAX(1,_xlpm.k-4),_xlpm.k-MAX(1,_xlpm.k-4))," ",REPT(" ",9)),5)),"")))</f>
        <v>6</v>
      </c>
      <c r="FM72" t="str">
        <f>IF(OR(FL72="",AD72=""),"",IF(_xlfn.XLOOKUP(A72,Щиты[Щит],Щиты[Iкз max на шинах, кА],"")="","",IF(FL72&lt;_xlfn.XLOOKUP(A72,Щиты[Щит],Щиты[Iкз max на шинах, кА]),"Icu "&amp;FL72&amp;" кА &lt; Iкз max","ok")))</f>
        <v/>
      </c>
      <c r="FN72" t="str">
        <f t="shared" si="154"/>
        <v>QF19|XT20</v>
      </c>
      <c r="FO72" t="str">
        <f t="shared" si="155"/>
        <v>QF19|XT20|кабель ВВГнг(А)-LS (3х2,5) → Внешний блок кондиционирования Пом. Венткиосок</v>
      </c>
      <c r="FP72" t="str" cm="1">
        <f t="array" ref="FP72">IF(FO72="","",_xlfn.LET(_xlpm.nd,_xlfn.TEXTSPLIT(FO72,"|"),IF(COLUMNS(_xlpm.nd)&gt;1,A72&amp;"¦"&amp;INDEX(_xlpm.nd,1)&amp;"¦"&amp;INDEX(_xlpm.nd,2),"")))</f>
        <v>ЩОВ-001¦QF19¦XT20</v>
      </c>
      <c r="FQ72" t="str">
        <f t="shared" si="156"/>
        <v>K.4¦Внешний блок кондиционирования Пом. Венткиосок</v>
      </c>
      <c r="FR72" t="str" cm="1">
        <f t="array" ref="FR72">IF(FO72="","",_xlfn.LET(_xlpm.nd,_xlfn.TEXTSPLIT(FO72,"|"),IF(COLUMNS(_xlpm.nd)&gt;2,A72&amp;"¦"&amp;INDEX(_xlpm.nd,2)&amp;"¦"&amp;INDEX(_xlpm.nd,3),"")))</f>
        <v>ЩОВ-001¦XT20¦кабель ВВГнг(А)-LS (3х2,5) → Внешний блок кондиционирования Пом. Венткиосок</v>
      </c>
      <c r="FS72" t="str">
        <f t="shared" si="157"/>
        <v>K.4¦Внешний блок кондиционирования Пом. Венткиосок</v>
      </c>
      <c r="FT72" t="str" cm="1">
        <f t="array" ref="FT72">IF(FO72="","",_xlfn.LET(_xlpm.nd,_xlfn.TEXTSPLIT(FO72,"|"),IF(COLUMNS(_xlpm.nd)&gt;3,A72&amp;"¦"&amp;INDEX(_xlpm.nd,3)&amp;"¦"&amp;INDEX(_xlpm.nd,4),"")))</f>
        <v/>
      </c>
      <c r="FU72" t="str">
        <f t="shared" si="158"/>
        <v/>
      </c>
      <c r="FV72" t="str" cm="1">
        <f t="array" ref="FV72">IF(FO72="","",_xlfn.LET(_xlpm.nd,_xlfn.TEXTSPLIT(FO72,"|"),IF(COLUMNS(_xlpm.nd)&gt;4,A72&amp;"¦"&amp;INDEX(_xlpm.nd,4)&amp;"¦"&amp;INDEX(_xlpm.nd,5),"")))</f>
        <v/>
      </c>
      <c r="FW72" t="str">
        <f t="shared" si="159"/>
        <v/>
      </c>
      <c r="FX72" t="str" cm="1">
        <f t="array" ref="FX72">IF(FO72="","",_xlfn.LET(_xlpm.nd,_xlfn.TEXTSPLIT(FO72,"|"),IF(COLUMNS(_xlpm.nd)&gt;5,A72&amp;"¦"&amp;INDEX(_xlpm.nd,5)&amp;"¦"&amp;INDEX(_xlpm.nd,6),"")))</f>
        <v/>
      </c>
      <c r="FY72" t="str">
        <f t="shared" si="160"/>
        <v/>
      </c>
      <c r="FZ72" t="str" cm="1">
        <f t="array" ref="FZ72">IF(FO72="","",_xlfn.LET(_xlpm.nd,_xlfn.TEXTSPLIT(FO72,"|"),IF(COLUMNS(_xlpm.nd)&gt;6,A72&amp;"¦"&amp;INDEX(_xlpm.nd,6)&amp;"¦"&amp;INDEX(_xlpm.nd,7),"")))</f>
        <v/>
      </c>
      <c r="GA72" t="str">
        <f t="shared" si="161"/>
        <v/>
      </c>
      <c r="GB72" t="str">
        <f t="shared" si="162"/>
        <v/>
      </c>
      <c r="GC72" t="str">
        <f t="shared" si="163"/>
        <v>QF19 → XT20</v>
      </c>
      <c r="GD72">
        <f t="shared" si="164"/>
        <v>1</v>
      </c>
      <c r="GE72">
        <f t="shared" si="165"/>
        <v>0</v>
      </c>
      <c r="GF72">
        <f t="shared" si="166"/>
        <v>0</v>
      </c>
      <c r="GG72" t="str">
        <f t="shared" si="167"/>
        <v/>
      </c>
      <c r="GH72" t="str">
        <f t="shared" si="168"/>
        <v/>
      </c>
      <c r="GI72" t="str">
        <f t="shared" si="169"/>
        <v/>
      </c>
      <c r="GJ72" t="str">
        <f t="shared" si="170"/>
        <v/>
      </c>
      <c r="GK72">
        <f>IF(D72="","",IFERROR(VLOOKUP(D72,УГО_спр,2,FALSE),IFERROR(VLOOKUP(AT72,УГО_спр,2,FALSE),IFERROR(VLOOKUP(LEFT(AT72,2),УГО_спр,2,FALSE),""))))</f>
        <v>0</v>
      </c>
      <c r="GL72" t="str">
        <f>IF(D72="","",IF(OR(GK72="",GK72=0),"BOX",IFERROR(IF(VLOOKUP(GK72,УГО_блоки,3,FALSE)&amp;""&lt;&gt;"",VLOOKUP(GK72,УГО_блоки,3,FALSE),VLOOKUP(GK72,УГО_блоки,2,FALSE)),GK72)))</f>
        <v>BOX</v>
      </c>
      <c r="GM72">
        <f t="shared" si="171"/>
        <v>1</v>
      </c>
      <c r="GN72" t="str">
        <f>IF(EP72="","",IF(COUNTIF(EP$3:EP72,EP72)=1,MAX(GN$2:GN71)+1,""))</f>
        <v/>
      </c>
      <c r="GO72" t="str">
        <f>IF(AF72="","",IF(COUNTIF(AF$3:AF72,AF72)+COUNTIF(AG$2:AG71,AF72)+COUNTIF(AH$2:AH71,AF72)=1,MAX(GO$2:GQ71)+1,""))</f>
        <v/>
      </c>
      <c r="GP72" t="str">
        <f>IF(AG72="","",IF(COUNTIF(AF$3:AF72,AG72)+COUNTIF(AG$3:AG72,AG72)+COUNTIF(AH$2:AH71,AG72)=1,MAX(GO$2:GQ71,GO72)+1,""))</f>
        <v/>
      </c>
      <c r="GQ72" t="str">
        <f>IF(AH72="","",IF(COUNTIF(AF$3:AF72,AH72)+COUNTIF(AG$3:AG72,AH72)+COUNTIF(AH$3:AH72,AH72)=1,MAX(GO$2:GQ71,GO72,GP72)+1,""))</f>
        <v/>
      </c>
      <c r="GR72" t="str">
        <f t="shared" si="172"/>
        <v>3х2,5</v>
      </c>
      <c r="GS72" t="str">
        <f>IF(GR72="","",IF(COUNTIF(GR$3:GR72,GR72)=1,MAX(GS$2:GS71)+1,""))</f>
        <v/>
      </c>
      <c r="GT72" t="str">
        <f>IF(ES72="","",COUNTIF(ES$3:ES72,"?*"))</f>
        <v/>
      </c>
      <c r="GU72" t="str">
        <f>IF(OR(ES72="",EU72=""),"",IF(COUNTIFS(ES$3:ES72,"?*",EU$3:EU72,EU72)=1,MAX(GU$2:GU71)+1,""))</f>
        <v/>
      </c>
      <c r="GV72">
        <f t="shared" si="173"/>
        <v>0</v>
      </c>
      <c r="GW72">
        <f>IF(D72="","",COUNTIF(D$3:D72,"?*"))</f>
        <v>70</v>
      </c>
      <c r="GX72">
        <f>IF(EX72&lt;&gt;1,0,_xlfn.LET(_xlpm.k,MAX(IFERROR(--VLOOKUP(D72,УГО_спр,5,FALSE),0),IFERROR(--VLOOKUP(AT72,УГО_спр,5,FALSE),0),IFERROR(--VLOOKUP(LEFT(AT72,2),УГО_спр,5,FALSE),0)),IF(_xlpm.k&gt;0,_xlpm.k,IF(IFERROR(--LEFT(SUBSTITUTE(GR72,"x","х"),FIND("х",SUBSTITUTE(GR72,"x","х"))-1),3)&gt;3,Каталог!$S$9,1))))</f>
        <v>1</v>
      </c>
      <c r="GY72">
        <f t="shared" si="174"/>
        <v>0</v>
      </c>
    </row>
    <row r="73" spans="1:207" x14ac:dyDescent="0.3">
      <c r="A73" t="s">
        <v>752</v>
      </c>
      <c r="B73">
        <v>37</v>
      </c>
      <c r="C73" t="str">
        <f>IF(BD73="","",IF(BE73="вводной узел","узел ","")&amp;"л."&amp;(INT((BD73-1)/Столбцов_на_лист)+1)&amp;" / "&amp;(MOD(BD73-1,Столбцов_на_лист)+1))</f>
        <v>л.3 / 3</v>
      </c>
      <c r="D73" t="s">
        <v>1351</v>
      </c>
      <c r="E73" s="133" t="s">
        <v>1347</v>
      </c>
      <c r="G73">
        <v>1.9</v>
      </c>
      <c r="H73">
        <v>1</v>
      </c>
      <c r="I73">
        <v>1</v>
      </c>
      <c r="J73">
        <v>230</v>
      </c>
      <c r="K73" t="s">
        <v>602</v>
      </c>
      <c r="L73">
        <v>0.5</v>
      </c>
      <c r="O73">
        <v>3</v>
      </c>
      <c r="P73">
        <v>35</v>
      </c>
      <c r="R73">
        <v>31</v>
      </c>
      <c r="T73">
        <v>1</v>
      </c>
      <c r="U73" t="s">
        <v>11</v>
      </c>
      <c r="V73">
        <v>3</v>
      </c>
      <c r="W73">
        <v>2.5</v>
      </c>
      <c r="X73">
        <v>16</v>
      </c>
      <c r="Z73" t="s">
        <v>580</v>
      </c>
      <c r="AA73" t="s">
        <v>818</v>
      </c>
      <c r="AD73" t="s">
        <v>517</v>
      </c>
      <c r="AR73" t="str">
        <f t="shared" si="88"/>
        <v/>
      </c>
      <c r="AS73" cm="1">
        <f t="array" ref="AS73">ROW()-ROW(Линии[#Headers])</f>
        <v>71</v>
      </c>
      <c r="AT73" t="str">
        <f t="shared" si="89"/>
        <v>K</v>
      </c>
      <c r="AU73" t="str">
        <f t="shared" si="90"/>
        <v>5</v>
      </c>
      <c r="AV73" t="str">
        <f t="shared" si="91"/>
        <v>5</v>
      </c>
      <c r="AW73" t="str">
        <f t="shared" si="92"/>
        <v/>
      </c>
      <c r="AX73" t="str">
        <f t="shared" si="93"/>
        <v/>
      </c>
      <c r="AY73" t="str">
        <f>IF(D73="","",IF(ISERROR(SEARCH(".",D73)),IFERROR(VLOOKUP(D73,Потребители_обозначение,2,FALSE)&amp;"",""),IFERROR(IF(VLOOKUP(AT73,Потребители_обозначение,4,FALSE)=1,VLOOKUP(AT73,Потребители_обозначение,2,FALSE)&amp;" "&amp;VLOOKUP(AV73,Этаж_обозначение,2,FALSE)&amp;" Пом. №"&amp;AX73,VLOOKUP(AT73,Потребители_обозначение,2,FALSE)&amp;" Шлейф №"&amp;AV73),IFERROR(VLOOKUP(D73,Потребители_обозначение,2,FALSE),""))))</f>
        <v/>
      </c>
      <c r="AZ73" t="str">
        <f t="shared" si="94"/>
        <v>Внешний блок кондиционирования Пом. Венткиосок</v>
      </c>
      <c r="BA73" t="str">
        <f>IF(F73&lt;&gt;"",F73,IF(AND(D73&lt;&gt;"",D73&lt;&gt;A73,ISNUMBER(_xlfn.XMATCH(D73,Щиты[Щит]))),D73,""))</f>
        <v/>
      </c>
      <c r="BB73">
        <f>IFERROR(_xlfn.XMATCH(A73,Щиты[Щит]),0)</f>
        <v>4</v>
      </c>
      <c r="BC73">
        <f>IFERROR(N(_xlfn.XLOOKUP(A73,Щиты[Щит],Щиты[Мест под вводной узел])),15)</f>
        <v>13</v>
      </c>
      <c r="BD73">
        <f t="shared" si="95"/>
        <v>37</v>
      </c>
      <c r="BE73" t="str">
        <f t="shared" si="96"/>
        <v>линии</v>
      </c>
      <c r="BF73">
        <f>IF(D73="","",IF(BA73&lt;&gt;"",IFERROR(_xlfn.XLOOKUP(BA73,Щиты[Щит],Щиты[Руст, кВт]),0),N(G73)))</f>
        <v>1.9</v>
      </c>
      <c r="BG73">
        <f>IF(J73&lt;&gt;"",J73,IF(D73="","",IFERROR(IF(VLOOKUP(AT73,Потребители_обозначение,8,FALSE)=0,"",VLOOKUP(AT73,Потребители_обозначение,8,FALSE)),"")))</f>
        <v>230</v>
      </c>
      <c r="BH73">
        <f>IF(I73&lt;&gt;"",I73,IF(D73="","",IFERROR(IF(VLOOKUP(AT73,Потребители_обозначение,9,FALSE)=0,"",VLOOKUP(AT73,Потребители_обозначение,9,FALSE)),"")))</f>
        <v>1</v>
      </c>
      <c r="BI73" t="str">
        <f>IF(U73&lt;&gt;"",U73,IF(D73="","",IFERROR(IF(VLOOKUP(AT73,Потребители_обозначение,6,FALSE)=0,"",VLOOKUP(AT73,Потребители_обозначение,6,FALSE)),"")))</f>
        <v>мс</v>
      </c>
      <c r="BJ73">
        <f>IF(V73&lt;&gt;"",V73,IF(D73="","",IFERROR(IF(VLOOKUP(AT73,Потребители_обозначение,7,FALSE)=0,"",VLOOKUP(AT73,Потребители_обозначение,7,FALSE)),"")))</f>
        <v>3</v>
      </c>
      <c r="BK73">
        <f>IF(W73&lt;&gt;"",W73,IF(D73="","",IFERROR(IF(VLOOKUP(AT73,Потребители_обозначение,10,FALSE)=0,"",VLOOKUP(AT73,Потребители_обозначение,10,FALSE)),"")))</f>
        <v>2.5</v>
      </c>
      <c r="BL73">
        <f>IFERROR(VLOOKUP(AT73,Потребители_обозначение,5,FALSE),0)</f>
        <v>1</v>
      </c>
      <c r="BM73" cm="1">
        <f t="array" ref="BM73">IF(D73="","",IF(BA73&lt;&gt;"",IFERROR(_xlfn.XLOOKUP(BA73,Щиты[Щит],Щиты[cos φ]),0.95),IF(ISNUMBER(M73),M73,IFERROR(IF(BL73=2,_xlfn.IFS(BH73=3,VLOOKUP(BF73,Справочная_двигатели,8,FALSE),BH73=1,VLOOKUP(BF73,Справочная_двигатели,10,TRUE)),IF(AND(Методика="нормы 2026",CN73="Сил"),0.8,0.95)),0.95))))</f>
        <v>0.95</v>
      </c>
      <c r="BN73" cm="1">
        <f t="array" ref="BN73">IF(D73="","",IF(BA73&lt;&gt;"",IFERROR(_xlfn.XLOOKUP(BA73,Щиты[Щит],Щиты[Iр, А]),""),IFERROR(_xlfn.IFS(BH73=1,BF73/((Uн_лин/SQRT(3))*BM73),BH73=3,BF73/(SQRT(3)*Uн_лин*BM73)),"")))</f>
        <v>8.6602540378443855</v>
      </c>
      <c r="BO73">
        <f>IF(D73="","",IF(N(X73)=0,IFERROR(VLOOKUP(BN73,Автомат_номиналы,2,TRUE),""),X73))</f>
        <v>16</v>
      </c>
      <c r="BP73">
        <f t="shared" si="97"/>
        <v>1</v>
      </c>
      <c r="BQ73">
        <f>IF(ISNUMBER(Y73),Y73,К_прокл)</f>
        <v>1</v>
      </c>
      <c r="BR73">
        <f t="shared" si="98"/>
        <v>2</v>
      </c>
      <c r="BS73" cm="1">
        <f t="array" ref="BS73">IF(D73="","",IF(N(BK73)&lt;&gt;0,BK73,IFERROR(_xlfn.LET(_xlpm.need,BO73/(BP73*BQ73),_xlpm.t,CHOOSE(BR73,Iдоп_1ж,Iдоп_2ж,Iдоп_3ж),_xlpm.k,_xlfn.XMATCH(_xlpm.need,_xlpm.t,1),IF(ISNA(_xlpm.k),"Не исп",INDEX(Iдоп_S,_xlpm.k))),"Не исп")))</f>
        <v>2.5</v>
      </c>
      <c r="BT73">
        <f>IFERROR(VLOOKUP(BS73,Кабель_сопротивление,3,FALSE),"")</f>
        <v>2.2499999999999999E-2</v>
      </c>
      <c r="BU73">
        <f>IFERROR(VLOOKUP(BS73,Кабель_сопротивление,2,FALSE),"")</f>
        <v>0.1</v>
      </c>
      <c r="BV73">
        <f t="shared" si="99"/>
        <v>35</v>
      </c>
      <c r="BW73">
        <f>IF(D73="","",IFERROR(IF(VLOOKUP(AT73,Потребители_обозначение,4,FALSE)=1,VLOOKUP(AT73,Потребители_обозначение,3,FALSE)*(H73*2-1)+BV73+VLOOKUP(AV73,Этаж_обозначение,3,FALSE)+VLOOKUP(AV73,Этаж_обозначение,4,FALSE),VLOOKUP(AT73,Потребители_обозначение,3,FALSE)*(H73*2-1)+BV73),BV73))</f>
        <v>35</v>
      </c>
      <c r="BX73">
        <f t="shared" si="100"/>
        <v>31</v>
      </c>
      <c r="BY73">
        <f t="shared" si="101"/>
        <v>0</v>
      </c>
      <c r="BZ73">
        <f t="shared" si="102"/>
        <v>2</v>
      </c>
      <c r="CA73">
        <f t="shared" si="103"/>
        <v>0.31</v>
      </c>
      <c r="CB73">
        <f t="shared" si="104"/>
        <v>5.2019547929119865</v>
      </c>
      <c r="CC73">
        <f>IFERROR(ROUNDUP(CB73/((Uн_лин/SQRT(3))*1000)*100,2),"")</f>
        <v>2.2599999999999998</v>
      </c>
      <c r="CD73">
        <f>IF(ISNUMBER(CC73),CC73+IFERROR(_xlfn.XLOOKUP(A73,Щиты[Щит],Щиты[ΔU до шин, %]),0),"")</f>
        <v>2.76</v>
      </c>
      <c r="CE73">
        <f>IF(D73="","",IF(IFERROR(VLOOKUP(AT73,УГО_спр,2,FALSE),"")="Светильник",3,4)+IF(Методика="нормы 2026",MIN(0.5,MAX(0,N(BW73)-100)*0.005),0))</f>
        <v>4</v>
      </c>
      <c r="CF73" t="str">
        <f>IFERROR(VLOOKUP(BI73,Кабель_обозначение,2,FALSE),"")</f>
        <v>ВВГнг(А)-LS</v>
      </c>
      <c r="CG73" t="str">
        <f>IFERROR(IF(VLOOKUP(BI73,Кабель_обозначение,3,FALSE)=1,CF73&amp;" ("&amp;BJ73&amp;"х"&amp;BS73&amp;")",CF73),"")</f>
        <v>ВВГнг(А)-LS (3х2,5)</v>
      </c>
      <c r="CH73" t="str">
        <f t="shared" si="105"/>
        <v>ВВГнг(А)-LS (3х2,5)
L=35-2,26%</v>
      </c>
      <c r="CI73">
        <f>IFERROR(2*ρкз_Cu*BW73/BS73,"")</f>
        <v>0.73639999999999994</v>
      </c>
      <c r="CJ73">
        <f t="shared" si="106"/>
        <v>0.24500000000000002</v>
      </c>
      <c r="CK73" t="str">
        <f>IFERROR(IF(OR(D73="",NOT(ISNUMBER(BS73)),N(BW73)=0),"",_xlfn.XLOOKUP(A73,Щиты[Щит],Щиты[Zпетли на шинах, Ом])+CI73),"")</f>
        <v/>
      </c>
      <c r="CL73" t="str">
        <f>IF(ISNUMBER(CK73),c_min*(Uн_лин*1000/SQRT(3))/CK73,"")</f>
        <v/>
      </c>
      <c r="CM73" t="str">
        <f>IFERROR(IF(OR(D73="",NOT(ISNUMBER(BS73))),"",1.05*(Uн_лин*1000/SQRT(3))/(_xlfn.XLOOKUP(A73,Щиты[Щит],Щиты[Zmax на шинах, Ом])+CJ73)/1000),"")</f>
        <v/>
      </c>
      <c r="CN73" t="str">
        <f>IF(D73="","",IF(BA73&lt;&gt;"","Щит",IF(K73&lt;&gt;"",K73,IF(ISNUMBER(L73),"Сил",IF(IFERROR(_xlfn.XLOOKUP(AT73,Коды_код,Коды_группа)&amp;"","")="","Быт",_xlfn.XLOOKUP(AT73,Коды_код,Коды_группа)&amp;"")))))</f>
        <v>Сил</v>
      </c>
      <c r="CO73">
        <f>IF(CN73="Щит","щит",IF(CN73="","",IF(CN73="Быт",IFERROR(_xlfn.XLOOKUP(A73,Щиты[Щит],Щиты[Кс быт]),1),IF(CN73="Сил",IF(ISNUMBER(L73),L73,IF(Методика="нормы 2026",IFERROR(_xlfn.XLOOKUP(A73,Щиты[Щит],Щиты[Кс силовых (табл. 7.5)]),1),1)),IF(OR(CN73="Пост",CN73="Отоп"),1,IF(CN73="ВНГ",0.7,0))))))</f>
        <v>0.5</v>
      </c>
      <c r="CP73">
        <f t="shared" si="107"/>
        <v>1</v>
      </c>
      <c r="CQ73">
        <f t="shared" si="108"/>
        <v>1.9</v>
      </c>
      <c r="CR73">
        <f t="shared" si="109"/>
        <v>0</v>
      </c>
      <c r="CS73">
        <f t="shared" si="110"/>
        <v>0.95</v>
      </c>
      <c r="CT73">
        <f t="shared" si="111"/>
        <v>0</v>
      </c>
      <c r="CU73">
        <f t="shared" si="112"/>
        <v>0</v>
      </c>
      <c r="CV73">
        <f t="shared" si="113"/>
        <v>0</v>
      </c>
      <c r="CW73">
        <f t="shared" si="114"/>
        <v>1.9</v>
      </c>
      <c r="CX73">
        <f t="shared" si="115"/>
        <v>1.8049999999999999</v>
      </c>
      <c r="CY73">
        <f t="shared" si="116"/>
        <v>2</v>
      </c>
      <c r="CZ73" t="str">
        <f t="shared" si="117"/>
        <v>L2</v>
      </c>
      <c r="DA73" cm="1">
        <f t="array" ref="DA73">IFERROR(IF(BL73=2,_xlfn.IFS(BH73=3,VLOOKUP(BF73,Справочная_двигатели,3,FALSE),BH73=1,VLOOKUP(BF73,Справочная_двигатели,5,TRUE)),0),0)</f>
        <v>0</v>
      </c>
      <c r="DB73">
        <f>IFERROR(IF(BL73=3,VLOOKUP(BF73,Справочная_ЛЭД,2,TRUE),0),0)</f>
        <v>0</v>
      </c>
      <c r="DC73">
        <f t="shared" si="118"/>
        <v>0</v>
      </c>
      <c r="DD73" t="str">
        <f t="shared" si="119"/>
        <v>L3</v>
      </c>
      <c r="DE73" t="str" cm="1">
        <f t="array" ref="DE73">IF(D73="","",IFERROR(INDEX({"I особая","I","II","III"},MATCH(TRIM(AA73&amp;""),{"I особая","I","II","III"},0)),"III"))</f>
        <v>II</v>
      </c>
      <c r="DF73" t="str">
        <f>IF(D73="","",IF(TRIM(AB73&amp;"")&lt;&gt;"",IF(LOWER(TRIM(AB73&amp;""))="да","да","нет"),IF(IFERROR(_xlfn.XLOOKUP(AT73,Коды_код,Коды_пожарная),"")="да","да","нет")))</f>
        <v>нет</v>
      </c>
      <c r="DG73" t="str">
        <f t="shared" si="120"/>
        <v/>
      </c>
      <c r="DH73" t="str">
        <f t="shared" si="121"/>
        <v>основная</v>
      </c>
      <c r="DI73">
        <f t="shared" si="122"/>
        <v>1</v>
      </c>
      <c r="DJ73" t="str" cm="1">
        <f t="array" ref="DJ73">IF(D73="","",_xlfn.LET(_xlpm.t,IFERROR(_xlfn.XLOOKUP(1,(Шины[Шина]=DH73)*(((Шины[Щит]=A73)+(Шины[Щит]=""))&gt;0),Шины[Тип]),"")&amp;"",IF(_xlpm.t&lt;&gt;"",_xlpm.t,IF(ISNUMBER(SEARCH("ИБП",DH73)),"ИБП",IF(ISNUMBER(SEARCH("ДГУ",DH73)),"ДГУ","Ввод "&amp;DI73)))))</f>
        <v>Ввод 1</v>
      </c>
      <c r="DK73" t="str">
        <f t="shared" si="123"/>
        <v>Ввод 1</v>
      </c>
      <c r="DL73" t="str">
        <f>IF(D73="","",IF(OR(DJ73="ИБП",DJ73="ДГУ"),"I особая",IF(DJ73="Одиночная","III",_xlfn.XLOOKUP(A73,Щиты[Щит],Щиты[Категория шины «Ввод»],"III"))))</f>
        <v>II</v>
      </c>
      <c r="DM73">
        <f>IF(D73="",0,IFERROR(MATCH(DE73,{"III","II","I","I особая"},0),1))</f>
        <v>2</v>
      </c>
      <c r="DN73">
        <f t="shared" si="124"/>
        <v>2</v>
      </c>
      <c r="DO73" t="str">
        <f>IF(D73="","",IF(DM73&gt;IFERROR(MATCH(DL73,{"III","II","I","I особая"},0),1),"НЕ ОБЕСПЕЧЕНА","ОК"))</f>
        <v>ОК</v>
      </c>
      <c r="DP73" t="str">
        <f>IF(A73="","",_xlfn.XLOOKUP(A73,Щиты[Щит],Щиты[Путь],""))</f>
        <v>|ГРЩ-ЖД|ЩОВ-001|</v>
      </c>
      <c r="DQ73" t="str">
        <f>IF(D73="","",IF(Z73&lt;&gt;"",Z73,IF(IFERROR(_xlfn.XLOOKUP(AT73,Коды_код,Коды_вид)&amp;"","")="","Прочее",_xlfn.XLOOKUP(AT73,Коды_код,Коды_вид)&amp;"")))</f>
        <v>Кондиционирование и увлажнение</v>
      </c>
      <c r="DR73">
        <f>IF(BD73="","",INT((BD73-1)/Столбцов_на_лист)+1)</f>
        <v>3</v>
      </c>
      <c r="DS73" t="str">
        <f t="shared" si="125"/>
        <v>ВВГнг(А)-LS (3х2,5) L=35-2,26%</v>
      </c>
      <c r="DT73">
        <f t="shared" si="126"/>
        <v>1.9</v>
      </c>
      <c r="DU73">
        <f t="shared" si="127"/>
        <v>8.67</v>
      </c>
      <c r="DV73">
        <f t="shared" si="128"/>
        <v>1</v>
      </c>
      <c r="DW73">
        <f>IF(AT73="",0,_xlfn.LET(_xlpm.v,IFERROR(VLOOKUP(D73,УГО_спр,3,FALSE),IFERROR(VLOOKUP(AT73,УГО_спр,3,FALSE),IFERROR(VLOOKUP(LEFT(AT73,2),УГО_спр,3,FALSE),""))),IF(_xlpm.v="да",30,IF(ISNUMBER(_xlpm.v),_xlpm.v,0))))</f>
        <v>0</v>
      </c>
      <c r="DX73">
        <f t="shared" si="129"/>
        <v>0</v>
      </c>
      <c r="DY73">
        <f>IF(BD73="","",IF(AD73&lt;&gt;"",COUNTIFS(A$3:A73,A73,AD$3:AD73,"?*"),IF(OR(OR(AS73=1,A73&lt;&gt;A72),AL73="вручную"),"",IF(AS73=1,"",DZ72))))</f>
        <v>20</v>
      </c>
      <c r="DZ73">
        <f t="shared" si="130"/>
        <v>20</v>
      </c>
      <c r="EA73">
        <f>IF(D73="",0,MAX(IFERROR(--X73,0),IFERROR(--VLOOKUP(D73,УГО_спр,4,FALSE),IFERROR(--VLOOKUP(AT73,УГО_спр,4,FALSE),IFERROR(--VLOOKUP(LEFT(AT73,2),УГО_спр,4,FALSE),0)))))</f>
        <v>16</v>
      </c>
      <c r="EB73">
        <f>IF(D73="","",IFERROR(LOOKUP(INDEX(CHOOSE(BR73,Iдоп_1ж,Iдоп_2ж,Iдоп_3ж),MATCH(BS73,Iдоп_S,0))*BP73*BQ73,{6,10,16,20,25,32,40,50,63,80,100,125,160,200,250,315,400,500,630}),""))</f>
        <v>25</v>
      </c>
      <c r="EC73">
        <f>IF(AD73="","",SUMIFS(Линии[_Ток схемы],Линии[_гр.],DY73,Линии[Щит],A73,Линии[_в кабель выше],0))</f>
        <v>8.67</v>
      </c>
      <c r="ED73">
        <f>IF(AD73="","",IFERROR(VLOOKUP(EC73,Автомат_номиналы,2,TRUE),""))</f>
        <v>10</v>
      </c>
      <c r="EE73">
        <f>IF(AD73="","",MAX(N(ED73),_xlfn.MAXIFS(Линии[_мин. по типу],Линии[_гр.],DY73,Линии[Щит],A73)))</f>
        <v>16</v>
      </c>
      <c r="EF73">
        <f>IF(AD73="","",_xlfn.MINIFS(Линии[_макс. автомат по кабелю],Линии[_гр.],DY73,Линии[Щит],A73))</f>
        <v>25</v>
      </c>
      <c r="EG73">
        <f>IF(AD73="","",MAX(1,_xlfn.MAXIFS(Линии[_фаз],Линии[_гр.],DY73,Линии[Щит],A73)))</f>
        <v>1</v>
      </c>
      <c r="EH73">
        <f>IF(AD73="","",IF(AND(AD73&lt;&gt;"авто",AD73&lt;&gt;"+"),IF(ISNUMBER(SEARCH("мА",AD73)),IFERROR(--TRIM(RIGHT(SUBSTITUTE(LEFT(AD73,SEARCH("мА",AD73)-1)," ",REPT(" ",9)),6)),30),0),IF(AE73="нет",0,IF(ISNUMBER(AE73),AE73,IF(AE73="да",30,_xlfn.MINIFS(Линии[_дифзащита по коду, мА],Линии[_гр.],DY73,Линии[Щит],A73,Линии[_дифзащита по коду, мА],"&gt;0"))))))</f>
        <v>0</v>
      </c>
      <c r="EI73">
        <f t="shared" si="131"/>
        <v>0</v>
      </c>
      <c r="EJ73" t="str">
        <f t="shared" si="132"/>
        <v>QF20</v>
      </c>
      <c r="EK73" t="str">
        <f t="shared" si="133"/>
        <v>QF20</v>
      </c>
      <c r="EL73" t="str">
        <f t="shared" si="134"/>
        <v/>
      </c>
      <c r="EM73">
        <f t="shared" si="135"/>
        <v>0</v>
      </c>
      <c r="EN73">
        <f>IF(AD73="","",IF(EM73=1,MAX(EE73,Мин_автомат_БП),EE73))</f>
        <v>16</v>
      </c>
      <c r="EO73" t="str">
        <f t="shared" si="136"/>
        <v>1P</v>
      </c>
      <c r="EP73" t="str">
        <f t="shared" si="137"/>
        <v>1P С16А</v>
      </c>
      <c r="EQ73">
        <f t="shared" si="138"/>
        <v>16</v>
      </c>
      <c r="ER73" t="str">
        <f>IF(OR(AI73="",AI73="-"),"",IFERROR(VLOOKUP(AI73,Модули_спр,2,FALSE),"R"))</f>
        <v/>
      </c>
      <c r="ES73" t="str">
        <f>IF(ER73="","",ER73&amp;"."&amp;COUNTIFS(A$3:A73,A73,ER$3:ER73,ER73))</f>
        <v/>
      </c>
      <c r="ET73" t="str">
        <f t="shared" si="139"/>
        <v/>
      </c>
      <c r="EU73" t="str">
        <f t="shared" si="140"/>
        <v/>
      </c>
      <c r="EV73" t="str">
        <f t="shared" si="141"/>
        <v/>
      </c>
      <c r="EW73" t="str">
        <f t="shared" si="142"/>
        <v/>
      </c>
      <c r="EX73">
        <f t="shared" si="143"/>
        <v>1</v>
      </c>
      <c r="EY73" t="str">
        <f>IF(AK73="нет","",IF(AK73&lt;&gt;"",AK73,IF(EX73=1,"XT"&amp;COUNTIFS(A$3:A73,A73,EX$3:EX73,1),"")))</f>
        <v>XT21</v>
      </c>
      <c r="EZ73" t="str">
        <f t="shared" si="144"/>
        <v>QF20</v>
      </c>
      <c r="FA73" t="str">
        <f t="shared" si="145"/>
        <v/>
      </c>
      <c r="FB73" t="str">
        <f t="shared" si="146"/>
        <v>ok</v>
      </c>
      <c r="FC73" t="str">
        <f>IF(OR(EV73="",ET73=""),"",IF(EV73&gt;IFERROR(VLOOKUP(EU73,Модули_спр,3,FALSE),99),"ЛИШНИЙ КАНАЛ",IF(AND(AJ73&lt;&gt;"=",COUNTIFS(Линии[_модуль гр.],ET73,Линии[Канал (итог)],EV73,Линии[Канал],"&lt;&gt;=",Линии[Щит],A73)&gt;1),"ДУБЛЬ КАНАЛА","")))</f>
        <v/>
      </c>
      <c r="FD73">
        <f t="shared" si="147"/>
        <v>16</v>
      </c>
      <c r="FE73" t="str">
        <f t="shared" si="148"/>
        <v>1P С16А</v>
      </c>
      <c r="FF73">
        <f t="shared" si="149"/>
        <v>0</v>
      </c>
      <c r="FG73">
        <f t="shared" si="150"/>
        <v>0</v>
      </c>
      <c r="FH73" t="str">
        <f t="shared" si="151"/>
        <v/>
      </c>
      <c r="FI73">
        <f t="shared" si="152"/>
        <v>10</v>
      </c>
      <c r="FJ73" t="str">
        <f t="shared" si="153"/>
        <v/>
      </c>
      <c r="FK73" t="str">
        <f>IF(AND(D73="",EZ73=""),"",_xlfn.TEXTJOIN("; ",TRUE,IF(AND(D73&lt;&gt;"",DD73=""),"нет фазы",""),IF(AND(D73&lt;&gt;"",N(DT73)=0,CN73&lt;&gt;"Нет"),"нет мощности",""),IF(AND(EY73&lt;&gt;"",COUNTIFS(Линии[Щит],A73,Линии[Клемма (итог)],EY73)&gt;1),"дубль клеммы "&amp;EY73,""),IF(AND(FB73&lt;&gt;"",FB73&lt;&gt;"ok"),FB73,""),IF(FC73&lt;&gt;"",FC73,""),IF(AND(ISNUMBER(SEARCH("(5х",DS73)),N(DV73)=1),"5 жил на 1 фазе",""),IF(AND(AT73="R",AD73&lt;&gt;"",OR(N(EH73)=0,N(EH73)&gt;30)),"розетка без дифзащиты до 30 мА",""),IFERROR(IF(AND(ISNUMBER(CD73),CD73&gt;CE73),"потери "&amp;FIXED(CD73,1)&amp;" % &gt; "&amp;CE73&amp;" %",""),""),IFERROR(IF(LEFT(FJ73,4)="мало","Iкз мало — отключение &gt; 0,4 с",""),""),IF(AND(D73&lt;&gt;"",BD73=""),"не на схеме","")))</f>
        <v/>
      </c>
      <c r="FL73">
        <f>IF(AD73="","",_xlfn.LET(_xlpm.t,IFERROR(_xlfn.XLOOKUP(EP73,Каталог!$U$4:$U$500,Каталог!$G$4:$G$500),""),_xlpm.k,SEARCH("кА",_xlpm.t),IFERROR(--TRIM(RIGHT(SUBSTITUTE(MID(_xlpm.t,MAX(1,_xlpm.k-4),_xlpm.k-MAX(1,_xlpm.k-4))," ",REPT(" ",9)),5)),"")))</f>
        <v>6</v>
      </c>
      <c r="FM73" t="str">
        <f>IF(OR(FL73="",AD73=""),"",IF(_xlfn.XLOOKUP(A73,Щиты[Щит],Щиты[Iкз max на шинах, кА],"")="","",IF(FL73&lt;_xlfn.XLOOKUP(A73,Щиты[Щит],Щиты[Iкз max на шинах, кА]),"Icu "&amp;FL73&amp;" кА &lt; Iкз max","ok")))</f>
        <v/>
      </c>
      <c r="FN73" t="str">
        <f t="shared" si="154"/>
        <v>QF20|XT21</v>
      </c>
      <c r="FO73" t="str">
        <f t="shared" si="155"/>
        <v>QF20|XT21|кабель ВВГнг(А)-LS (3х2,5) → Внешний блок кондиционирования Пом. Венткиосок</v>
      </c>
      <c r="FP73" t="str" cm="1">
        <f t="array" ref="FP73">IF(FO73="","",_xlfn.LET(_xlpm.nd,_xlfn.TEXTSPLIT(FO73,"|"),IF(COLUMNS(_xlpm.nd)&gt;1,A73&amp;"¦"&amp;INDEX(_xlpm.nd,1)&amp;"¦"&amp;INDEX(_xlpm.nd,2),"")))</f>
        <v>ЩОВ-001¦QF20¦XT21</v>
      </c>
      <c r="FQ73" t="str">
        <f t="shared" si="156"/>
        <v>K.5¦Внешний блок кондиционирования Пом. Венткиосок</v>
      </c>
      <c r="FR73" t="str" cm="1">
        <f t="array" ref="FR73">IF(FO73="","",_xlfn.LET(_xlpm.nd,_xlfn.TEXTSPLIT(FO73,"|"),IF(COLUMNS(_xlpm.nd)&gt;2,A73&amp;"¦"&amp;INDEX(_xlpm.nd,2)&amp;"¦"&amp;INDEX(_xlpm.nd,3),"")))</f>
        <v>ЩОВ-001¦XT21¦кабель ВВГнг(А)-LS (3х2,5) → Внешний блок кондиционирования Пом. Венткиосок</v>
      </c>
      <c r="FS73" t="str">
        <f t="shared" si="157"/>
        <v>K.5¦Внешний блок кондиционирования Пом. Венткиосок</v>
      </c>
      <c r="FT73" t="str" cm="1">
        <f t="array" ref="FT73">IF(FO73="","",_xlfn.LET(_xlpm.nd,_xlfn.TEXTSPLIT(FO73,"|"),IF(COLUMNS(_xlpm.nd)&gt;3,A73&amp;"¦"&amp;INDEX(_xlpm.nd,3)&amp;"¦"&amp;INDEX(_xlpm.nd,4),"")))</f>
        <v/>
      </c>
      <c r="FU73" t="str">
        <f t="shared" si="158"/>
        <v/>
      </c>
      <c r="FV73" t="str" cm="1">
        <f t="array" ref="FV73">IF(FO73="","",_xlfn.LET(_xlpm.nd,_xlfn.TEXTSPLIT(FO73,"|"),IF(COLUMNS(_xlpm.nd)&gt;4,A73&amp;"¦"&amp;INDEX(_xlpm.nd,4)&amp;"¦"&amp;INDEX(_xlpm.nd,5),"")))</f>
        <v/>
      </c>
      <c r="FW73" t="str">
        <f t="shared" si="159"/>
        <v/>
      </c>
      <c r="FX73" t="str" cm="1">
        <f t="array" ref="FX73">IF(FO73="","",_xlfn.LET(_xlpm.nd,_xlfn.TEXTSPLIT(FO73,"|"),IF(COLUMNS(_xlpm.nd)&gt;5,A73&amp;"¦"&amp;INDEX(_xlpm.nd,5)&amp;"¦"&amp;INDEX(_xlpm.nd,6),"")))</f>
        <v/>
      </c>
      <c r="FY73" t="str">
        <f t="shared" si="160"/>
        <v/>
      </c>
      <c r="FZ73" t="str" cm="1">
        <f t="array" ref="FZ73">IF(FO73="","",_xlfn.LET(_xlpm.nd,_xlfn.TEXTSPLIT(FO73,"|"),IF(COLUMNS(_xlpm.nd)&gt;6,A73&amp;"¦"&amp;INDEX(_xlpm.nd,6)&amp;"¦"&amp;INDEX(_xlpm.nd,7),"")))</f>
        <v/>
      </c>
      <c r="GA73" t="str">
        <f t="shared" si="161"/>
        <v/>
      </c>
      <c r="GB73" t="str">
        <f t="shared" si="162"/>
        <v/>
      </c>
      <c r="GC73" t="str">
        <f t="shared" si="163"/>
        <v>QF20 → XT21</v>
      </c>
      <c r="GD73">
        <f t="shared" si="164"/>
        <v>1</v>
      </c>
      <c r="GE73">
        <f t="shared" si="165"/>
        <v>0</v>
      </c>
      <c r="GF73">
        <f t="shared" si="166"/>
        <v>0</v>
      </c>
      <c r="GG73" t="str">
        <f t="shared" si="167"/>
        <v/>
      </c>
      <c r="GH73" t="str">
        <f t="shared" si="168"/>
        <v/>
      </c>
      <c r="GI73" t="str">
        <f t="shared" si="169"/>
        <v/>
      </c>
      <c r="GJ73" t="str">
        <f t="shared" si="170"/>
        <v/>
      </c>
      <c r="GK73">
        <f>IF(D73="","",IFERROR(VLOOKUP(D73,УГО_спр,2,FALSE),IFERROR(VLOOKUP(AT73,УГО_спр,2,FALSE),IFERROR(VLOOKUP(LEFT(AT73,2),УГО_спр,2,FALSE),""))))</f>
        <v>0</v>
      </c>
      <c r="GL73" t="str">
        <f>IF(D73="","",IF(OR(GK73="",GK73=0),"BOX",IFERROR(IF(VLOOKUP(GK73,УГО_блоки,3,FALSE)&amp;""&lt;&gt;"",VLOOKUP(GK73,УГО_блоки,3,FALSE),VLOOKUP(GK73,УГО_блоки,2,FALSE)),GK73)))</f>
        <v>BOX</v>
      </c>
      <c r="GM73">
        <f t="shared" si="171"/>
        <v>1</v>
      </c>
      <c r="GN73" t="str">
        <f>IF(EP73="","",IF(COUNTIF(EP$3:EP73,EP73)=1,MAX(GN$2:GN72)+1,""))</f>
        <v/>
      </c>
      <c r="GO73" t="str">
        <f>IF(AF73="","",IF(COUNTIF(AF$3:AF73,AF73)+COUNTIF(AG$2:AG72,AF73)+COUNTIF(AH$2:AH72,AF73)=1,MAX(GO$2:GQ72)+1,""))</f>
        <v/>
      </c>
      <c r="GP73" t="str">
        <f>IF(AG73="","",IF(COUNTIF(AF$3:AF73,AG73)+COUNTIF(AG$3:AG73,AG73)+COUNTIF(AH$2:AH72,AG73)=1,MAX(GO$2:GQ72,GO73)+1,""))</f>
        <v/>
      </c>
      <c r="GQ73" t="str">
        <f>IF(AH73="","",IF(COUNTIF(AF$3:AF73,AH73)+COUNTIF(AG$3:AG73,AH73)+COUNTIF(AH$3:AH73,AH73)=1,MAX(GO$2:GQ72,GO73,GP73)+1,""))</f>
        <v/>
      </c>
      <c r="GR73" t="str">
        <f t="shared" si="172"/>
        <v>3х2,5</v>
      </c>
      <c r="GS73" t="str">
        <f>IF(GR73="","",IF(COUNTIF(GR$3:GR73,GR73)=1,MAX(GS$2:GS72)+1,""))</f>
        <v/>
      </c>
      <c r="GT73" t="str">
        <f>IF(ES73="","",COUNTIF(ES$3:ES73,"?*"))</f>
        <v/>
      </c>
      <c r="GU73" t="str">
        <f>IF(OR(ES73="",EU73=""),"",IF(COUNTIFS(ES$3:ES73,"?*",EU$3:EU73,EU73)=1,MAX(GU$2:GU72)+1,""))</f>
        <v/>
      </c>
      <c r="GV73">
        <f t="shared" si="173"/>
        <v>0</v>
      </c>
      <c r="GW73">
        <f>IF(D73="","",COUNTIF(D$3:D73,"?*"))</f>
        <v>71</v>
      </c>
      <c r="GX73">
        <f>IF(EX73&lt;&gt;1,0,_xlfn.LET(_xlpm.k,MAX(IFERROR(--VLOOKUP(D73,УГО_спр,5,FALSE),0),IFERROR(--VLOOKUP(AT73,УГО_спр,5,FALSE),0),IFERROR(--VLOOKUP(LEFT(AT73,2),УГО_спр,5,FALSE),0)),IF(_xlpm.k&gt;0,_xlpm.k,IF(IFERROR(--LEFT(SUBSTITUTE(GR73,"x","х"),FIND("х",SUBSTITUTE(GR73,"x","х"))-1),3)&gt;3,Каталог!$S$9,1))))</f>
        <v>1</v>
      </c>
      <c r="GY73">
        <f t="shared" si="174"/>
        <v>0</v>
      </c>
    </row>
    <row r="74" spans="1:207" x14ac:dyDescent="0.3">
      <c r="A74" t="s">
        <v>752</v>
      </c>
      <c r="B74">
        <v>38</v>
      </c>
      <c r="C74" t="str">
        <f>IF(BD74="","",IF(BE74="вводной узел","узел ","")&amp;"л."&amp;(INT((BD74-1)/Столбцов_на_лист)+1)&amp;" / "&amp;(MOD(BD74-1,Столбцов_на_лист)+1))</f>
        <v>л.3 / 4</v>
      </c>
      <c r="D74" t="s">
        <v>1352</v>
      </c>
      <c r="E74" s="133" t="s">
        <v>1347</v>
      </c>
      <c r="G74">
        <v>1.9</v>
      </c>
      <c r="H74">
        <v>1</v>
      </c>
      <c r="I74">
        <v>1</v>
      </c>
      <c r="J74">
        <v>230</v>
      </c>
      <c r="K74" t="s">
        <v>602</v>
      </c>
      <c r="L74">
        <v>0.5</v>
      </c>
      <c r="O74">
        <v>1</v>
      </c>
      <c r="P74">
        <v>35</v>
      </c>
      <c r="R74">
        <v>31</v>
      </c>
      <c r="T74">
        <v>1</v>
      </c>
      <c r="U74" t="s">
        <v>11</v>
      </c>
      <c r="V74">
        <v>3</v>
      </c>
      <c r="W74">
        <v>2.5</v>
      </c>
      <c r="X74">
        <v>16</v>
      </c>
      <c r="Z74" t="s">
        <v>580</v>
      </c>
      <c r="AA74" t="s">
        <v>818</v>
      </c>
      <c r="AD74" t="s">
        <v>517</v>
      </c>
      <c r="AK74" t="s">
        <v>488</v>
      </c>
      <c r="AR74" t="str">
        <f t="shared" si="88"/>
        <v/>
      </c>
      <c r="AS74" cm="1">
        <f t="array" ref="AS74">ROW()-ROW(Линии[#Headers])</f>
        <v>72</v>
      </c>
      <c r="AT74" t="str">
        <f t="shared" si="89"/>
        <v>K</v>
      </c>
      <c r="AU74" t="str">
        <f t="shared" si="90"/>
        <v>6</v>
      </c>
      <c r="AV74" t="str">
        <f t="shared" si="91"/>
        <v>6</v>
      </c>
      <c r="AW74" t="str">
        <f t="shared" si="92"/>
        <v/>
      </c>
      <c r="AX74" t="str">
        <f t="shared" si="93"/>
        <v/>
      </c>
      <c r="AY74" t="str">
        <f>IF(D74="","",IF(ISERROR(SEARCH(".",D74)),IFERROR(VLOOKUP(D74,Потребители_обозначение,2,FALSE)&amp;"",""),IFERROR(IF(VLOOKUP(AT74,Потребители_обозначение,4,FALSE)=1,VLOOKUP(AT74,Потребители_обозначение,2,FALSE)&amp;" "&amp;VLOOKUP(AV74,Этаж_обозначение,2,FALSE)&amp;" Пом. №"&amp;AX74,VLOOKUP(AT74,Потребители_обозначение,2,FALSE)&amp;" Шлейф №"&amp;AV74),IFERROR(VLOOKUP(D74,Потребители_обозначение,2,FALSE),""))))</f>
        <v/>
      </c>
      <c r="AZ74" t="str">
        <f t="shared" si="94"/>
        <v>Внешний блок кондиционирования Пом. Венткиосок</v>
      </c>
      <c r="BA74" t="str">
        <f>IF(F74&lt;&gt;"",F74,IF(AND(D74&lt;&gt;"",D74&lt;&gt;A74,ISNUMBER(_xlfn.XMATCH(D74,Щиты[Щит]))),D74,""))</f>
        <v/>
      </c>
      <c r="BB74">
        <f>IFERROR(_xlfn.XMATCH(A74,Щиты[Щит]),0)</f>
        <v>4</v>
      </c>
      <c r="BC74">
        <f>IFERROR(N(_xlfn.XLOOKUP(A74,Щиты[Щит],Щиты[Мест под вводной узел])),15)</f>
        <v>13</v>
      </c>
      <c r="BD74">
        <f t="shared" si="95"/>
        <v>38</v>
      </c>
      <c r="BE74" t="str">
        <f t="shared" si="96"/>
        <v>линии</v>
      </c>
      <c r="BF74">
        <f>IF(D74="","",IF(BA74&lt;&gt;"",IFERROR(_xlfn.XLOOKUP(BA74,Щиты[Щит],Щиты[Руст, кВт]),0),N(G74)))</f>
        <v>1.9</v>
      </c>
      <c r="BG74">
        <f>IF(J74&lt;&gt;"",J74,IF(D74="","",IFERROR(IF(VLOOKUP(AT74,Потребители_обозначение,8,FALSE)=0,"",VLOOKUP(AT74,Потребители_обозначение,8,FALSE)),"")))</f>
        <v>230</v>
      </c>
      <c r="BH74">
        <f>IF(I74&lt;&gt;"",I74,IF(D74="","",IFERROR(IF(VLOOKUP(AT74,Потребители_обозначение,9,FALSE)=0,"",VLOOKUP(AT74,Потребители_обозначение,9,FALSE)),"")))</f>
        <v>1</v>
      </c>
      <c r="BI74" t="str">
        <f>IF(U74&lt;&gt;"",U74,IF(D74="","",IFERROR(IF(VLOOKUP(AT74,Потребители_обозначение,6,FALSE)=0,"",VLOOKUP(AT74,Потребители_обозначение,6,FALSE)),"")))</f>
        <v>мс</v>
      </c>
      <c r="BJ74">
        <f>IF(V74&lt;&gt;"",V74,IF(D74="","",IFERROR(IF(VLOOKUP(AT74,Потребители_обозначение,7,FALSE)=0,"",VLOOKUP(AT74,Потребители_обозначение,7,FALSE)),"")))</f>
        <v>3</v>
      </c>
      <c r="BK74">
        <f>IF(W74&lt;&gt;"",W74,IF(D74="","",IFERROR(IF(VLOOKUP(AT74,Потребители_обозначение,10,FALSE)=0,"",VLOOKUP(AT74,Потребители_обозначение,10,FALSE)),"")))</f>
        <v>2.5</v>
      </c>
      <c r="BL74">
        <f>IFERROR(VLOOKUP(AT74,Потребители_обозначение,5,FALSE),0)</f>
        <v>1</v>
      </c>
      <c r="BM74" cm="1">
        <f t="array" ref="BM74">IF(D74="","",IF(BA74&lt;&gt;"",IFERROR(_xlfn.XLOOKUP(BA74,Щиты[Щит],Щиты[cos φ]),0.95),IF(ISNUMBER(M74),M74,IFERROR(IF(BL74=2,_xlfn.IFS(BH74=3,VLOOKUP(BF74,Справочная_двигатели,8,FALSE),BH74=1,VLOOKUP(BF74,Справочная_двигатели,10,TRUE)),IF(AND(Методика="нормы 2026",CN74="Сил"),0.8,0.95)),0.95))))</f>
        <v>0.95</v>
      </c>
      <c r="BN74" cm="1">
        <f t="array" ref="BN74">IF(D74="","",IF(BA74&lt;&gt;"",IFERROR(_xlfn.XLOOKUP(BA74,Щиты[Щит],Щиты[Iр, А]),""),IFERROR(_xlfn.IFS(BH74=1,BF74/((Uн_лин/SQRT(3))*BM74),BH74=3,BF74/(SQRT(3)*Uн_лин*BM74)),"")))</f>
        <v>8.6602540378443855</v>
      </c>
      <c r="BO74">
        <f>IF(D74="","",IF(N(X74)=0,IFERROR(VLOOKUP(BN74,Автомат_номиналы,2,TRUE),""),X74))</f>
        <v>16</v>
      </c>
      <c r="BP74">
        <f t="shared" si="97"/>
        <v>1</v>
      </c>
      <c r="BQ74">
        <f>IF(ISNUMBER(Y74),Y74,К_прокл)</f>
        <v>1</v>
      </c>
      <c r="BR74">
        <f t="shared" si="98"/>
        <v>2</v>
      </c>
      <c r="BS74" cm="1">
        <f t="array" ref="BS74">IF(D74="","",IF(N(BK74)&lt;&gt;0,BK74,IFERROR(_xlfn.LET(_xlpm.need,BO74/(BP74*BQ74),_xlpm.t,CHOOSE(BR74,Iдоп_1ж,Iдоп_2ж,Iдоп_3ж),_xlpm.k,_xlfn.XMATCH(_xlpm.need,_xlpm.t,1),IF(ISNA(_xlpm.k),"Не исп",INDEX(Iдоп_S,_xlpm.k))),"Не исп")))</f>
        <v>2.5</v>
      </c>
      <c r="BT74">
        <f>IFERROR(VLOOKUP(BS74,Кабель_сопротивление,3,FALSE),"")</f>
        <v>2.2499999999999999E-2</v>
      </c>
      <c r="BU74">
        <f>IFERROR(VLOOKUP(BS74,Кабель_сопротивление,2,FALSE),"")</f>
        <v>0.1</v>
      </c>
      <c r="BV74">
        <f t="shared" si="99"/>
        <v>35</v>
      </c>
      <c r="BW74">
        <f>IF(D74="","",IFERROR(IF(VLOOKUP(AT74,Потребители_обозначение,4,FALSE)=1,VLOOKUP(AT74,Потребители_обозначение,3,FALSE)*(H74*2-1)+BV74+VLOOKUP(AV74,Этаж_обозначение,3,FALSE)+VLOOKUP(AV74,Этаж_обозначение,4,FALSE),VLOOKUP(AT74,Потребители_обозначение,3,FALSE)*(H74*2-1)+BV74),BV74))</f>
        <v>35</v>
      </c>
      <c r="BX74">
        <f t="shared" si="100"/>
        <v>31</v>
      </c>
      <c r="BY74">
        <f t="shared" si="101"/>
        <v>0</v>
      </c>
      <c r="BZ74">
        <f t="shared" si="102"/>
        <v>2</v>
      </c>
      <c r="CA74">
        <f t="shared" si="103"/>
        <v>0.31</v>
      </c>
      <c r="CB74">
        <f t="shared" si="104"/>
        <v>5.2019547929119865</v>
      </c>
      <c r="CC74">
        <f>IFERROR(ROUNDUP(CB74/((Uн_лин/SQRT(3))*1000)*100,2),"")</f>
        <v>2.2599999999999998</v>
      </c>
      <c r="CD74">
        <f>IF(ISNUMBER(CC74),CC74+IFERROR(_xlfn.XLOOKUP(A74,Щиты[Щит],Щиты[ΔU до шин, %]),0),"")</f>
        <v>2.76</v>
      </c>
      <c r="CE74">
        <f>IF(D74="","",IF(IFERROR(VLOOKUP(AT74,УГО_спр,2,FALSE),"")="Светильник",3,4)+IF(Методика="нормы 2026",MIN(0.5,MAX(0,N(BW74)-100)*0.005),0))</f>
        <v>4</v>
      </c>
      <c r="CF74" t="str">
        <f>IFERROR(VLOOKUP(BI74,Кабель_обозначение,2,FALSE),"")</f>
        <v>ВВГнг(А)-LS</v>
      </c>
      <c r="CG74" t="str">
        <f>IFERROR(IF(VLOOKUP(BI74,Кабель_обозначение,3,FALSE)=1,CF74&amp;" ("&amp;BJ74&amp;"х"&amp;BS74&amp;")",CF74),"")</f>
        <v>ВВГнг(А)-LS (3х2,5)</v>
      </c>
      <c r="CH74" t="str">
        <f t="shared" si="105"/>
        <v>ВВГнг(А)-LS (3х2,5)
L=35-2,26%</v>
      </c>
      <c r="CI74">
        <f>IFERROR(2*ρкз_Cu*BW74/BS74,"")</f>
        <v>0.73639999999999994</v>
      </c>
      <c r="CJ74">
        <f t="shared" si="106"/>
        <v>0.24500000000000002</v>
      </c>
      <c r="CK74" t="str">
        <f>IFERROR(IF(OR(D74="",NOT(ISNUMBER(BS74)),N(BW74)=0),"",_xlfn.XLOOKUP(A74,Щиты[Щит],Щиты[Zпетли на шинах, Ом])+CI74),"")</f>
        <v/>
      </c>
      <c r="CL74" t="str">
        <f>IF(ISNUMBER(CK74),c_min*(Uн_лин*1000/SQRT(3))/CK74,"")</f>
        <v/>
      </c>
      <c r="CM74" t="str">
        <f>IFERROR(IF(OR(D74="",NOT(ISNUMBER(BS74))),"",1.05*(Uн_лин*1000/SQRT(3))/(_xlfn.XLOOKUP(A74,Щиты[Щит],Щиты[Zmax на шинах, Ом])+CJ74)/1000),"")</f>
        <v/>
      </c>
      <c r="CN74" t="str">
        <f>IF(D74="","",IF(BA74&lt;&gt;"","Щит",IF(K74&lt;&gt;"",K74,IF(ISNUMBER(L74),"Сил",IF(IFERROR(_xlfn.XLOOKUP(AT74,Коды_код,Коды_группа)&amp;"","")="","Быт",_xlfn.XLOOKUP(AT74,Коды_код,Коды_группа)&amp;"")))))</f>
        <v>Сил</v>
      </c>
      <c r="CO74">
        <f>IF(CN74="Щит","щит",IF(CN74="","",IF(CN74="Быт",IFERROR(_xlfn.XLOOKUP(A74,Щиты[Щит],Щиты[Кс быт]),1),IF(CN74="Сил",IF(ISNUMBER(L74),L74,IF(Методика="нормы 2026",IFERROR(_xlfn.XLOOKUP(A74,Щиты[Щит],Щиты[Кс силовых (табл. 7.5)]),1),1)),IF(OR(CN74="Пост",CN74="Отоп"),1,IF(CN74="ВНГ",0.7,0))))))</f>
        <v>0.5</v>
      </c>
      <c r="CP74">
        <f t="shared" si="107"/>
        <v>1</v>
      </c>
      <c r="CQ74">
        <f t="shared" si="108"/>
        <v>1.9</v>
      </c>
      <c r="CR74">
        <f t="shared" si="109"/>
        <v>0</v>
      </c>
      <c r="CS74">
        <f t="shared" si="110"/>
        <v>0.95</v>
      </c>
      <c r="CT74">
        <f t="shared" si="111"/>
        <v>0</v>
      </c>
      <c r="CU74">
        <f t="shared" si="112"/>
        <v>0</v>
      </c>
      <c r="CV74">
        <f t="shared" si="113"/>
        <v>0</v>
      </c>
      <c r="CW74">
        <f t="shared" si="114"/>
        <v>1.9</v>
      </c>
      <c r="CX74">
        <f t="shared" si="115"/>
        <v>1.8049999999999999</v>
      </c>
      <c r="CY74">
        <f t="shared" si="116"/>
        <v>3</v>
      </c>
      <c r="CZ74" t="str">
        <f t="shared" si="117"/>
        <v>L3</v>
      </c>
      <c r="DA74" cm="1">
        <f t="array" ref="DA74">IFERROR(IF(BL74=2,_xlfn.IFS(BH74=3,VLOOKUP(BF74,Справочная_двигатели,3,FALSE),BH74=1,VLOOKUP(BF74,Справочная_двигатели,5,TRUE)),0),0)</f>
        <v>0</v>
      </c>
      <c r="DB74">
        <f>IFERROR(IF(BL74=3,VLOOKUP(BF74,Справочная_ЛЭД,2,TRUE),0),0)</f>
        <v>0</v>
      </c>
      <c r="DC74">
        <f t="shared" si="118"/>
        <v>0</v>
      </c>
      <c r="DD74" t="str">
        <f t="shared" si="119"/>
        <v>L1</v>
      </c>
      <c r="DE74" t="str" cm="1">
        <f t="array" ref="DE74">IF(D74="","",IFERROR(INDEX({"I особая","I","II","III"},MATCH(TRIM(AA74&amp;""),{"I особая","I","II","III"},0)),"III"))</f>
        <v>II</v>
      </c>
      <c r="DF74" t="str">
        <f>IF(D74="","",IF(TRIM(AB74&amp;"")&lt;&gt;"",IF(LOWER(TRIM(AB74&amp;""))="да","да","нет"),IF(IFERROR(_xlfn.XLOOKUP(AT74,Коды_код,Коды_пожарная),"")="да","да","нет")))</f>
        <v>нет</v>
      </c>
      <c r="DG74" t="str">
        <f t="shared" si="120"/>
        <v/>
      </c>
      <c r="DH74" t="str">
        <f t="shared" si="121"/>
        <v>основная</v>
      </c>
      <c r="DI74">
        <f t="shared" si="122"/>
        <v>1</v>
      </c>
      <c r="DJ74" t="str" cm="1">
        <f t="array" ref="DJ74">IF(D74="","",_xlfn.LET(_xlpm.t,IFERROR(_xlfn.XLOOKUP(1,(Шины[Шина]=DH74)*(((Шины[Щит]=A74)+(Шины[Щит]=""))&gt;0),Шины[Тип]),"")&amp;"",IF(_xlpm.t&lt;&gt;"",_xlpm.t,IF(ISNUMBER(SEARCH("ИБП",DH74)),"ИБП",IF(ISNUMBER(SEARCH("ДГУ",DH74)),"ДГУ","Ввод "&amp;DI74)))))</f>
        <v>Ввод 1</v>
      </c>
      <c r="DK74" t="str">
        <f t="shared" si="123"/>
        <v>Ввод 1</v>
      </c>
      <c r="DL74" t="str">
        <f>IF(D74="","",IF(OR(DJ74="ИБП",DJ74="ДГУ"),"I особая",IF(DJ74="Одиночная","III",_xlfn.XLOOKUP(A74,Щиты[Щит],Щиты[Категория шины «Ввод»],"III"))))</f>
        <v>II</v>
      </c>
      <c r="DM74">
        <f>IF(D74="",0,IFERROR(MATCH(DE74,{"III","II","I","I особая"},0),1))</f>
        <v>2</v>
      </c>
      <c r="DN74">
        <f t="shared" si="124"/>
        <v>2</v>
      </c>
      <c r="DO74" t="str">
        <f>IF(D74="","",IF(DM74&gt;IFERROR(MATCH(DL74,{"III","II","I","I особая"},0),1),"НЕ ОБЕСПЕЧЕНА","ОК"))</f>
        <v>ОК</v>
      </c>
      <c r="DP74" t="str">
        <f>IF(A74="","",_xlfn.XLOOKUP(A74,Щиты[Щит],Щиты[Путь],""))</f>
        <v>|ГРЩ-ЖД|ЩОВ-001|</v>
      </c>
      <c r="DQ74" t="str">
        <f>IF(D74="","",IF(Z74&lt;&gt;"",Z74,IF(IFERROR(_xlfn.XLOOKUP(AT74,Коды_код,Коды_вид)&amp;"","")="","Прочее",_xlfn.XLOOKUP(AT74,Коды_код,Коды_вид)&amp;"")))</f>
        <v>Кондиционирование и увлажнение</v>
      </c>
      <c r="DR74">
        <f>IF(BD74="","",INT((BD74-1)/Столбцов_на_лист)+1)</f>
        <v>3</v>
      </c>
      <c r="DS74" t="str">
        <f t="shared" si="125"/>
        <v>ВВГнг(А)-LS (3х2,5) L=35-2,26%</v>
      </c>
      <c r="DT74">
        <f t="shared" si="126"/>
        <v>1.9</v>
      </c>
      <c r="DU74">
        <f t="shared" si="127"/>
        <v>8.67</v>
      </c>
      <c r="DV74">
        <f t="shared" si="128"/>
        <v>1</v>
      </c>
      <c r="DW74">
        <f>IF(AT74="",0,_xlfn.LET(_xlpm.v,IFERROR(VLOOKUP(D74,УГО_спр,3,FALSE),IFERROR(VLOOKUP(AT74,УГО_спр,3,FALSE),IFERROR(VLOOKUP(LEFT(AT74,2),УГО_спр,3,FALSE),""))),IF(_xlpm.v="да",30,IF(ISNUMBER(_xlpm.v),_xlpm.v,0))))</f>
        <v>0</v>
      </c>
      <c r="DX74">
        <f t="shared" si="129"/>
        <v>0</v>
      </c>
      <c r="DY74">
        <f>IF(BD74="","",IF(AD74&lt;&gt;"",COUNTIFS(A$3:A74,A74,AD$3:AD74,"?*"),IF(OR(OR(AS74=1,A74&lt;&gt;A73),AL74="вручную"),"",IF(AS74=1,"",DZ73))))</f>
        <v>21</v>
      </c>
      <c r="DZ74">
        <f t="shared" si="130"/>
        <v>21</v>
      </c>
      <c r="EA74">
        <f>IF(D74="",0,MAX(IFERROR(--X74,0),IFERROR(--VLOOKUP(D74,УГО_спр,4,FALSE),IFERROR(--VLOOKUP(AT74,УГО_спр,4,FALSE),IFERROR(--VLOOKUP(LEFT(AT74,2),УГО_спр,4,FALSE),0)))))</f>
        <v>16</v>
      </c>
      <c r="EB74">
        <f>IF(D74="","",IFERROR(LOOKUP(INDEX(CHOOSE(BR74,Iдоп_1ж,Iдоп_2ж,Iдоп_3ж),MATCH(BS74,Iдоп_S,0))*BP74*BQ74,{6,10,16,20,25,32,40,50,63,80,100,125,160,200,250,315,400,500,630}),""))</f>
        <v>25</v>
      </c>
      <c r="EC74">
        <f>IF(AD74="","",SUMIFS(Линии[_Ток схемы],Линии[_гр.],DY74,Линии[Щит],A74,Линии[_в кабель выше],0))</f>
        <v>8.67</v>
      </c>
      <c r="ED74">
        <f>IF(AD74="","",IFERROR(VLOOKUP(EC74,Автомат_номиналы,2,TRUE),""))</f>
        <v>10</v>
      </c>
      <c r="EE74">
        <f>IF(AD74="","",MAX(N(ED74),_xlfn.MAXIFS(Линии[_мин. по типу],Линии[_гр.],DY74,Линии[Щит],A74)))</f>
        <v>16</v>
      </c>
      <c r="EF74">
        <f>IF(AD74="","",_xlfn.MINIFS(Линии[_макс. автомат по кабелю],Линии[_гр.],DY74,Линии[Щит],A74))</f>
        <v>25</v>
      </c>
      <c r="EG74">
        <f>IF(AD74="","",MAX(1,_xlfn.MAXIFS(Линии[_фаз],Линии[_гр.],DY74,Линии[Щит],A74)))</f>
        <v>1</v>
      </c>
      <c r="EH74">
        <f>IF(AD74="","",IF(AND(AD74&lt;&gt;"авто",AD74&lt;&gt;"+"),IF(ISNUMBER(SEARCH("мА",AD74)),IFERROR(--TRIM(RIGHT(SUBSTITUTE(LEFT(AD74,SEARCH("мА",AD74)-1)," ",REPT(" ",9)),6)),30),0),IF(AE74="нет",0,IF(ISNUMBER(AE74),AE74,IF(AE74="да",30,_xlfn.MINIFS(Линии[_дифзащита по коду, мА],Линии[_гр.],DY74,Линии[Щит],A74,Линии[_дифзащита по коду, мА],"&gt;0"))))))</f>
        <v>0</v>
      </c>
      <c r="EI74">
        <f t="shared" si="131"/>
        <v>0</v>
      </c>
      <c r="EJ74" t="str">
        <f t="shared" si="132"/>
        <v>QF21</v>
      </c>
      <c r="EK74" t="str">
        <f t="shared" si="133"/>
        <v>QF21</v>
      </c>
      <c r="EL74" t="str">
        <f t="shared" si="134"/>
        <v/>
      </c>
      <c r="EM74">
        <f t="shared" si="135"/>
        <v>0</v>
      </c>
      <c r="EN74">
        <f>IF(AD74="","",IF(EM74=1,MAX(EE74,Мин_автомат_БП),EE74))</f>
        <v>16</v>
      </c>
      <c r="EO74" t="str">
        <f t="shared" si="136"/>
        <v>1P</v>
      </c>
      <c r="EP74" t="str">
        <f t="shared" si="137"/>
        <v>1P С16А</v>
      </c>
      <c r="EQ74">
        <f t="shared" si="138"/>
        <v>16</v>
      </c>
      <c r="ER74" t="str">
        <f>IF(OR(AI74="",AI74="-"),"",IFERROR(VLOOKUP(AI74,Модули_спр,2,FALSE),"R"))</f>
        <v/>
      </c>
      <c r="ES74" t="str">
        <f>IF(ER74="","",ER74&amp;"."&amp;COUNTIFS(A$3:A74,A74,ER$3:ER74,ER74))</f>
        <v/>
      </c>
      <c r="ET74" t="str">
        <f t="shared" si="139"/>
        <v/>
      </c>
      <c r="EU74" t="str">
        <f t="shared" si="140"/>
        <v/>
      </c>
      <c r="EV74" t="str">
        <f t="shared" si="141"/>
        <v/>
      </c>
      <c r="EW74" t="str">
        <f t="shared" si="142"/>
        <v/>
      </c>
      <c r="EX74">
        <f t="shared" si="143"/>
        <v>1</v>
      </c>
      <c r="EY74" t="str">
        <f>IF(AK74="нет","",IF(AK74&lt;&gt;"",AK74,IF(EX74=1,"XT"&amp;COUNTIFS(A$3:A74,A74,EX$3:EX74,1),"")))</f>
        <v/>
      </c>
      <c r="EZ74" t="str">
        <f t="shared" si="144"/>
        <v>QF21</v>
      </c>
      <c r="FA74" t="str">
        <f t="shared" si="145"/>
        <v/>
      </c>
      <c r="FB74" t="str">
        <f t="shared" si="146"/>
        <v>ok</v>
      </c>
      <c r="FC74" t="str">
        <f>IF(OR(EV74="",ET74=""),"",IF(EV74&gt;IFERROR(VLOOKUP(EU74,Модули_спр,3,FALSE),99),"ЛИШНИЙ КАНАЛ",IF(AND(AJ74&lt;&gt;"=",COUNTIFS(Линии[_модуль гр.],ET74,Линии[Канал (итог)],EV74,Линии[Канал],"&lt;&gt;=",Линии[Щит],A74)&gt;1),"ДУБЛЬ КАНАЛА","")))</f>
        <v/>
      </c>
      <c r="FD74">
        <f t="shared" si="147"/>
        <v>16</v>
      </c>
      <c r="FE74" t="str">
        <f t="shared" si="148"/>
        <v>1P С16А</v>
      </c>
      <c r="FF74">
        <f t="shared" si="149"/>
        <v>0</v>
      </c>
      <c r="FG74">
        <f t="shared" si="150"/>
        <v>0</v>
      </c>
      <c r="FH74" t="str">
        <f t="shared" si="151"/>
        <v/>
      </c>
      <c r="FI74">
        <f t="shared" si="152"/>
        <v>10</v>
      </c>
      <c r="FJ74" t="str">
        <f t="shared" si="153"/>
        <v/>
      </c>
      <c r="FK74" t="str">
        <f>IF(AND(D74="",EZ74=""),"",_xlfn.TEXTJOIN("; ",TRUE,IF(AND(D74&lt;&gt;"",DD74=""),"нет фазы",""),IF(AND(D74&lt;&gt;"",N(DT74)=0,CN74&lt;&gt;"Нет"),"нет мощности",""),IF(AND(EY74&lt;&gt;"",COUNTIFS(Линии[Щит],A74,Линии[Клемма (итог)],EY74)&gt;1),"дубль клеммы "&amp;EY74,""),IF(AND(FB74&lt;&gt;"",FB74&lt;&gt;"ok"),FB74,""),IF(FC74&lt;&gt;"",FC74,""),IF(AND(ISNUMBER(SEARCH("(5х",DS74)),N(DV74)=1),"5 жил на 1 фазе",""),IF(AND(AT74="R",AD74&lt;&gt;"",OR(N(EH74)=0,N(EH74)&gt;30)),"розетка без дифзащиты до 30 мА",""),IFERROR(IF(AND(ISNUMBER(CD74),CD74&gt;CE74),"потери "&amp;FIXED(CD74,1)&amp;" % &gt; "&amp;CE74&amp;" %",""),""),IFERROR(IF(LEFT(FJ74,4)="мало","Iкз мало — отключение &gt; 0,4 с",""),""),IF(AND(D74&lt;&gt;"",BD74=""),"не на схеме","")))</f>
        <v/>
      </c>
      <c r="FL74">
        <f>IF(AD74="","",_xlfn.LET(_xlpm.t,IFERROR(_xlfn.XLOOKUP(EP74,Каталог!$U$4:$U$500,Каталог!$G$4:$G$500),""),_xlpm.k,SEARCH("кА",_xlpm.t),IFERROR(--TRIM(RIGHT(SUBSTITUTE(MID(_xlpm.t,MAX(1,_xlpm.k-4),_xlpm.k-MAX(1,_xlpm.k-4))," ",REPT(" ",9)),5)),"")))</f>
        <v>6</v>
      </c>
      <c r="FM74" t="str">
        <f>IF(OR(FL74="",AD74=""),"",IF(_xlfn.XLOOKUP(A74,Щиты[Щит],Щиты[Iкз max на шинах, кА],"")="","",IF(FL74&lt;_xlfn.XLOOKUP(A74,Щиты[Щит],Щиты[Iкз max на шинах, кА]),"Icu "&amp;FL74&amp;" кА &lt; Iкз max","ok")))</f>
        <v/>
      </c>
      <c r="FN74" t="str">
        <f t="shared" si="154"/>
        <v>QF21</v>
      </c>
      <c r="FO74" t="str">
        <f t="shared" si="155"/>
        <v>QF21|кабель ВВГнг(А)-LS (3х2,5) → Внешний блок кондиционирования Пом. Венткиосок</v>
      </c>
      <c r="FP74" t="str" cm="1">
        <f t="array" ref="FP74">IF(FO74="","",_xlfn.LET(_xlpm.nd,_xlfn.TEXTSPLIT(FO74,"|"),IF(COLUMNS(_xlpm.nd)&gt;1,A74&amp;"¦"&amp;INDEX(_xlpm.nd,1)&amp;"¦"&amp;INDEX(_xlpm.nd,2),"")))</f>
        <v>ЩОВ-001¦QF21¦кабель ВВГнг(А)-LS (3х2,5) → Внешний блок кондиционирования Пом. Венткиосок</v>
      </c>
      <c r="FQ74" t="str">
        <f t="shared" si="156"/>
        <v>K.6¦Внешний блок кондиционирования Пом. Венткиосок</v>
      </c>
      <c r="FR74" t="str" cm="1">
        <f t="array" ref="FR74">IF(FO74="","",_xlfn.LET(_xlpm.nd,_xlfn.TEXTSPLIT(FO74,"|"),IF(COLUMNS(_xlpm.nd)&gt;2,A74&amp;"¦"&amp;INDEX(_xlpm.nd,2)&amp;"¦"&amp;INDEX(_xlpm.nd,3),"")))</f>
        <v/>
      </c>
      <c r="FS74" t="str">
        <f t="shared" si="157"/>
        <v/>
      </c>
      <c r="FT74" t="str" cm="1">
        <f t="array" ref="FT74">IF(FO74="","",_xlfn.LET(_xlpm.nd,_xlfn.TEXTSPLIT(FO74,"|"),IF(COLUMNS(_xlpm.nd)&gt;3,A74&amp;"¦"&amp;INDEX(_xlpm.nd,3)&amp;"¦"&amp;INDEX(_xlpm.nd,4),"")))</f>
        <v/>
      </c>
      <c r="FU74" t="str">
        <f t="shared" si="158"/>
        <v/>
      </c>
      <c r="FV74" t="str" cm="1">
        <f t="array" ref="FV74">IF(FO74="","",_xlfn.LET(_xlpm.nd,_xlfn.TEXTSPLIT(FO74,"|"),IF(COLUMNS(_xlpm.nd)&gt;4,A74&amp;"¦"&amp;INDEX(_xlpm.nd,4)&amp;"¦"&amp;INDEX(_xlpm.nd,5),"")))</f>
        <v/>
      </c>
      <c r="FW74" t="str">
        <f t="shared" si="159"/>
        <v/>
      </c>
      <c r="FX74" t="str" cm="1">
        <f t="array" ref="FX74">IF(FO74="","",_xlfn.LET(_xlpm.nd,_xlfn.TEXTSPLIT(FO74,"|"),IF(COLUMNS(_xlpm.nd)&gt;5,A74&amp;"¦"&amp;INDEX(_xlpm.nd,5)&amp;"¦"&amp;INDEX(_xlpm.nd,6),"")))</f>
        <v/>
      </c>
      <c r="FY74" t="str">
        <f t="shared" si="160"/>
        <v/>
      </c>
      <c r="FZ74" t="str" cm="1">
        <f t="array" ref="FZ74">IF(FO74="","",_xlfn.LET(_xlpm.nd,_xlfn.TEXTSPLIT(FO74,"|"),IF(COLUMNS(_xlpm.nd)&gt;6,A74&amp;"¦"&amp;INDEX(_xlpm.nd,6)&amp;"¦"&amp;INDEX(_xlpm.nd,7),"")))</f>
        <v/>
      </c>
      <c r="GA74" t="str">
        <f t="shared" si="161"/>
        <v/>
      </c>
      <c r="GB74" t="str">
        <f t="shared" si="162"/>
        <v/>
      </c>
      <c r="GC74" t="str">
        <f t="shared" si="163"/>
        <v>QF21</v>
      </c>
      <c r="GD74">
        <f t="shared" si="164"/>
        <v>1</v>
      </c>
      <c r="GE74">
        <f t="shared" si="165"/>
        <v>0</v>
      </c>
      <c r="GF74">
        <f t="shared" si="166"/>
        <v>0</v>
      </c>
      <c r="GG74" t="str">
        <f t="shared" si="167"/>
        <v/>
      </c>
      <c r="GH74" t="str">
        <f t="shared" si="168"/>
        <v/>
      </c>
      <c r="GI74" t="str">
        <f t="shared" si="169"/>
        <v/>
      </c>
      <c r="GJ74" t="str">
        <f t="shared" si="170"/>
        <v/>
      </c>
      <c r="GK74">
        <f>IF(D74="","",IFERROR(VLOOKUP(D74,УГО_спр,2,FALSE),IFERROR(VLOOKUP(AT74,УГО_спр,2,FALSE),IFERROR(VLOOKUP(LEFT(AT74,2),УГО_спр,2,FALSE),""))))</f>
        <v>0</v>
      </c>
      <c r="GL74" t="str">
        <f>IF(D74="","",IF(OR(GK74="",GK74=0),"BOX",IFERROR(IF(VLOOKUP(GK74,УГО_блоки,3,FALSE)&amp;""&lt;&gt;"",VLOOKUP(GK74,УГО_блоки,3,FALSE),VLOOKUP(GK74,УГО_блоки,2,FALSE)),GK74)))</f>
        <v>BOX</v>
      </c>
      <c r="GM74">
        <f t="shared" si="171"/>
        <v>1</v>
      </c>
      <c r="GN74" t="str">
        <f>IF(EP74="","",IF(COUNTIF(EP$3:EP74,EP74)=1,MAX(GN$2:GN73)+1,""))</f>
        <v/>
      </c>
      <c r="GO74" t="str">
        <f>IF(AF74="","",IF(COUNTIF(AF$3:AF74,AF74)+COUNTIF(AG$2:AG73,AF74)+COUNTIF(AH$2:AH73,AF74)=1,MAX(GO$2:GQ73)+1,""))</f>
        <v/>
      </c>
      <c r="GP74" t="str">
        <f>IF(AG74="","",IF(COUNTIF(AF$3:AF74,AG74)+COUNTIF(AG$3:AG74,AG74)+COUNTIF(AH$2:AH73,AG74)=1,MAX(GO$2:GQ73,GO74)+1,""))</f>
        <v/>
      </c>
      <c r="GQ74" t="str">
        <f>IF(AH74="","",IF(COUNTIF(AF$3:AF74,AH74)+COUNTIF(AG$3:AG74,AH74)+COUNTIF(AH$3:AH74,AH74)=1,MAX(GO$2:GQ73,GO74,GP74)+1,""))</f>
        <v/>
      </c>
      <c r="GR74" t="str">
        <f t="shared" si="172"/>
        <v>3х2,5</v>
      </c>
      <c r="GS74" t="str">
        <f>IF(GR74="","",IF(COUNTIF(GR$3:GR74,GR74)=1,MAX(GS$2:GS73)+1,""))</f>
        <v/>
      </c>
      <c r="GT74" t="str">
        <f>IF(ES74="","",COUNTIF(ES$3:ES74,"?*"))</f>
        <v/>
      </c>
      <c r="GU74" t="str">
        <f>IF(OR(ES74="",EU74=""),"",IF(COUNTIFS(ES$3:ES74,"?*",EU$3:EU74,EU74)=1,MAX(GU$2:GU73)+1,""))</f>
        <v/>
      </c>
      <c r="GV74">
        <f t="shared" si="173"/>
        <v>0</v>
      </c>
      <c r="GW74">
        <f>IF(D74="","",COUNTIF(D$3:D74,"?*"))</f>
        <v>72</v>
      </c>
      <c r="GX74">
        <f>IF(EX74&lt;&gt;1,0,_xlfn.LET(_xlpm.k,MAX(IFERROR(--VLOOKUP(D74,УГО_спр,5,FALSE),0),IFERROR(--VLOOKUP(AT74,УГО_спр,5,FALSE),0),IFERROR(--VLOOKUP(LEFT(AT74,2),УГО_спр,5,FALSE),0)),IF(_xlpm.k&gt;0,_xlpm.k,IF(IFERROR(--LEFT(SUBSTITUTE(GR74,"x","х"),FIND("х",SUBSTITUTE(GR74,"x","х"))-1),3)&gt;3,Каталог!$S$9,1))))</f>
        <v>1</v>
      </c>
      <c r="GY74">
        <f t="shared" si="174"/>
        <v>0</v>
      </c>
    </row>
    <row r="75" spans="1:207" x14ac:dyDescent="0.3">
      <c r="A75" t="s">
        <v>752</v>
      </c>
      <c r="B75">
        <v>39</v>
      </c>
      <c r="C75" t="str">
        <f>IF(BD75="","",IF(BE75="вводной узел","узел ","")&amp;"л."&amp;(INT((BD75-1)/Столбцов_на_лист)+1)&amp;" / "&amp;(MOD(BD75-1,Столбцов_на_лист)+1))</f>
        <v>л.3 / 5</v>
      </c>
      <c r="D75" t="s">
        <v>1353</v>
      </c>
      <c r="E75" s="133" t="s">
        <v>1347</v>
      </c>
      <c r="G75">
        <v>1.9</v>
      </c>
      <c r="H75">
        <v>1</v>
      </c>
      <c r="I75">
        <v>1</v>
      </c>
      <c r="J75">
        <v>230</v>
      </c>
      <c r="K75" t="s">
        <v>602</v>
      </c>
      <c r="L75">
        <v>0.5</v>
      </c>
      <c r="O75">
        <v>2</v>
      </c>
      <c r="P75">
        <v>35</v>
      </c>
      <c r="R75">
        <v>31</v>
      </c>
      <c r="T75">
        <v>1</v>
      </c>
      <c r="U75" t="s">
        <v>11</v>
      </c>
      <c r="V75">
        <v>3</v>
      </c>
      <c r="W75">
        <v>2.5</v>
      </c>
      <c r="X75">
        <v>16</v>
      </c>
      <c r="Z75" t="s">
        <v>580</v>
      </c>
      <c r="AA75" t="s">
        <v>818</v>
      </c>
      <c r="AD75" t="s">
        <v>517</v>
      </c>
      <c r="AK75" t="s">
        <v>488</v>
      </c>
      <c r="AR75" t="str">
        <f t="shared" si="88"/>
        <v/>
      </c>
      <c r="AS75" cm="1">
        <f t="array" ref="AS75">ROW()-ROW(Линии[#Headers])</f>
        <v>73</v>
      </c>
      <c r="AT75" t="str">
        <f t="shared" si="89"/>
        <v>K</v>
      </c>
      <c r="AU75" t="str">
        <f t="shared" si="90"/>
        <v>7</v>
      </c>
      <c r="AV75" t="str">
        <f t="shared" si="91"/>
        <v>7</v>
      </c>
      <c r="AW75" t="str">
        <f t="shared" si="92"/>
        <v/>
      </c>
      <c r="AX75" t="str">
        <f t="shared" si="93"/>
        <v/>
      </c>
      <c r="AY75" t="str">
        <f>IF(D75="","",IF(ISERROR(SEARCH(".",D75)),IFERROR(VLOOKUP(D75,Потребители_обозначение,2,FALSE)&amp;"",""),IFERROR(IF(VLOOKUP(AT75,Потребители_обозначение,4,FALSE)=1,VLOOKUP(AT75,Потребители_обозначение,2,FALSE)&amp;" "&amp;VLOOKUP(AV75,Этаж_обозначение,2,FALSE)&amp;" Пом. №"&amp;AX75,VLOOKUP(AT75,Потребители_обозначение,2,FALSE)&amp;" Шлейф №"&amp;AV75),IFERROR(VLOOKUP(D75,Потребители_обозначение,2,FALSE),""))))</f>
        <v/>
      </c>
      <c r="AZ75" t="str">
        <f t="shared" si="94"/>
        <v>Внешний блок кондиционирования Пом. Венткиосок</v>
      </c>
      <c r="BA75" t="str">
        <f>IF(F75&lt;&gt;"",F75,IF(AND(D75&lt;&gt;"",D75&lt;&gt;A75,ISNUMBER(_xlfn.XMATCH(D75,Щиты[Щит]))),D75,""))</f>
        <v/>
      </c>
      <c r="BB75">
        <f>IFERROR(_xlfn.XMATCH(A75,Щиты[Щит]),0)</f>
        <v>4</v>
      </c>
      <c r="BC75">
        <f>IFERROR(N(_xlfn.XLOOKUP(A75,Щиты[Щит],Щиты[Мест под вводной узел])),15)</f>
        <v>13</v>
      </c>
      <c r="BD75">
        <f t="shared" si="95"/>
        <v>39</v>
      </c>
      <c r="BE75" t="str">
        <f t="shared" si="96"/>
        <v>линии</v>
      </c>
      <c r="BF75">
        <f>IF(D75="","",IF(BA75&lt;&gt;"",IFERROR(_xlfn.XLOOKUP(BA75,Щиты[Щит],Щиты[Руст, кВт]),0),N(G75)))</f>
        <v>1.9</v>
      </c>
      <c r="BG75">
        <f>IF(J75&lt;&gt;"",J75,IF(D75="","",IFERROR(IF(VLOOKUP(AT75,Потребители_обозначение,8,FALSE)=0,"",VLOOKUP(AT75,Потребители_обозначение,8,FALSE)),"")))</f>
        <v>230</v>
      </c>
      <c r="BH75">
        <f>IF(I75&lt;&gt;"",I75,IF(D75="","",IFERROR(IF(VLOOKUP(AT75,Потребители_обозначение,9,FALSE)=0,"",VLOOKUP(AT75,Потребители_обозначение,9,FALSE)),"")))</f>
        <v>1</v>
      </c>
      <c r="BI75" t="str">
        <f>IF(U75&lt;&gt;"",U75,IF(D75="","",IFERROR(IF(VLOOKUP(AT75,Потребители_обозначение,6,FALSE)=0,"",VLOOKUP(AT75,Потребители_обозначение,6,FALSE)),"")))</f>
        <v>мс</v>
      </c>
      <c r="BJ75">
        <f>IF(V75&lt;&gt;"",V75,IF(D75="","",IFERROR(IF(VLOOKUP(AT75,Потребители_обозначение,7,FALSE)=0,"",VLOOKUP(AT75,Потребители_обозначение,7,FALSE)),"")))</f>
        <v>3</v>
      </c>
      <c r="BK75">
        <f>IF(W75&lt;&gt;"",W75,IF(D75="","",IFERROR(IF(VLOOKUP(AT75,Потребители_обозначение,10,FALSE)=0,"",VLOOKUP(AT75,Потребители_обозначение,10,FALSE)),"")))</f>
        <v>2.5</v>
      </c>
      <c r="BL75">
        <f>IFERROR(VLOOKUP(AT75,Потребители_обозначение,5,FALSE),0)</f>
        <v>1</v>
      </c>
      <c r="BM75" cm="1">
        <f t="array" ref="BM75">IF(D75="","",IF(BA75&lt;&gt;"",IFERROR(_xlfn.XLOOKUP(BA75,Щиты[Щит],Щиты[cos φ]),0.95),IF(ISNUMBER(M75),M75,IFERROR(IF(BL75=2,_xlfn.IFS(BH75=3,VLOOKUP(BF75,Справочная_двигатели,8,FALSE),BH75=1,VLOOKUP(BF75,Справочная_двигатели,10,TRUE)),IF(AND(Методика="нормы 2026",CN75="Сил"),0.8,0.95)),0.95))))</f>
        <v>0.95</v>
      </c>
      <c r="BN75" cm="1">
        <f t="array" ref="BN75">IF(D75="","",IF(BA75&lt;&gt;"",IFERROR(_xlfn.XLOOKUP(BA75,Щиты[Щит],Щиты[Iр, А]),""),IFERROR(_xlfn.IFS(BH75=1,BF75/((Uн_лин/SQRT(3))*BM75),BH75=3,BF75/(SQRT(3)*Uн_лин*BM75)),"")))</f>
        <v>8.6602540378443855</v>
      </c>
      <c r="BO75">
        <f>IF(D75="","",IF(N(X75)=0,IFERROR(VLOOKUP(BN75,Автомат_номиналы,2,TRUE),""),X75))</f>
        <v>16</v>
      </c>
      <c r="BP75">
        <f t="shared" si="97"/>
        <v>1</v>
      </c>
      <c r="BQ75">
        <f>IF(ISNUMBER(Y75),Y75,К_прокл)</f>
        <v>1</v>
      </c>
      <c r="BR75">
        <f t="shared" si="98"/>
        <v>2</v>
      </c>
      <c r="BS75" cm="1">
        <f t="array" ref="BS75">IF(D75="","",IF(N(BK75)&lt;&gt;0,BK75,IFERROR(_xlfn.LET(_xlpm.need,BO75/(BP75*BQ75),_xlpm.t,CHOOSE(BR75,Iдоп_1ж,Iдоп_2ж,Iдоп_3ж),_xlpm.k,_xlfn.XMATCH(_xlpm.need,_xlpm.t,1),IF(ISNA(_xlpm.k),"Не исп",INDEX(Iдоп_S,_xlpm.k))),"Не исп")))</f>
        <v>2.5</v>
      </c>
      <c r="BT75">
        <f>IFERROR(VLOOKUP(BS75,Кабель_сопротивление,3,FALSE),"")</f>
        <v>2.2499999999999999E-2</v>
      </c>
      <c r="BU75">
        <f>IFERROR(VLOOKUP(BS75,Кабель_сопротивление,2,FALSE),"")</f>
        <v>0.1</v>
      </c>
      <c r="BV75">
        <f t="shared" si="99"/>
        <v>35</v>
      </c>
      <c r="BW75">
        <f>IF(D75="","",IFERROR(IF(VLOOKUP(AT75,Потребители_обозначение,4,FALSE)=1,VLOOKUP(AT75,Потребители_обозначение,3,FALSE)*(H75*2-1)+BV75+VLOOKUP(AV75,Этаж_обозначение,3,FALSE)+VLOOKUP(AV75,Этаж_обозначение,4,FALSE),VLOOKUP(AT75,Потребители_обозначение,3,FALSE)*(H75*2-1)+BV75),BV75))</f>
        <v>35</v>
      </c>
      <c r="BX75">
        <f t="shared" si="100"/>
        <v>31</v>
      </c>
      <c r="BY75">
        <f t="shared" si="101"/>
        <v>0</v>
      </c>
      <c r="BZ75">
        <f t="shared" si="102"/>
        <v>2</v>
      </c>
      <c r="CA75">
        <f t="shared" si="103"/>
        <v>0.31</v>
      </c>
      <c r="CB75">
        <f t="shared" si="104"/>
        <v>5.2019547929119865</v>
      </c>
      <c r="CC75">
        <f>IFERROR(ROUNDUP(CB75/((Uн_лин/SQRT(3))*1000)*100,2),"")</f>
        <v>2.2599999999999998</v>
      </c>
      <c r="CD75">
        <f>IF(ISNUMBER(CC75),CC75+IFERROR(_xlfn.XLOOKUP(A75,Щиты[Щит],Щиты[ΔU до шин, %]),0),"")</f>
        <v>2.76</v>
      </c>
      <c r="CE75">
        <f>IF(D75="","",IF(IFERROR(VLOOKUP(AT75,УГО_спр,2,FALSE),"")="Светильник",3,4)+IF(Методика="нормы 2026",MIN(0.5,MAX(0,N(BW75)-100)*0.005),0))</f>
        <v>4</v>
      </c>
      <c r="CF75" t="str">
        <f>IFERROR(VLOOKUP(BI75,Кабель_обозначение,2,FALSE),"")</f>
        <v>ВВГнг(А)-LS</v>
      </c>
      <c r="CG75" t="str">
        <f>IFERROR(IF(VLOOKUP(BI75,Кабель_обозначение,3,FALSE)=1,CF75&amp;" ("&amp;BJ75&amp;"х"&amp;BS75&amp;")",CF75),"")</f>
        <v>ВВГнг(А)-LS (3х2,5)</v>
      </c>
      <c r="CH75" t="str">
        <f t="shared" si="105"/>
        <v>ВВГнг(А)-LS (3х2,5)
L=35-2,26%</v>
      </c>
      <c r="CI75">
        <f>IFERROR(2*ρкз_Cu*BW75/BS75,"")</f>
        <v>0.73639999999999994</v>
      </c>
      <c r="CJ75">
        <f t="shared" si="106"/>
        <v>0.24500000000000002</v>
      </c>
      <c r="CK75" t="str">
        <f>IFERROR(IF(OR(D75="",NOT(ISNUMBER(BS75)),N(BW75)=0),"",_xlfn.XLOOKUP(A75,Щиты[Щит],Щиты[Zпетли на шинах, Ом])+CI75),"")</f>
        <v/>
      </c>
      <c r="CL75" t="str">
        <f>IF(ISNUMBER(CK75),c_min*(Uн_лин*1000/SQRT(3))/CK75,"")</f>
        <v/>
      </c>
      <c r="CM75" t="str">
        <f>IFERROR(IF(OR(D75="",NOT(ISNUMBER(BS75))),"",1.05*(Uн_лин*1000/SQRT(3))/(_xlfn.XLOOKUP(A75,Щиты[Щит],Щиты[Zmax на шинах, Ом])+CJ75)/1000),"")</f>
        <v/>
      </c>
      <c r="CN75" t="str">
        <f>IF(D75="","",IF(BA75&lt;&gt;"","Щит",IF(K75&lt;&gt;"",K75,IF(ISNUMBER(L75),"Сил",IF(IFERROR(_xlfn.XLOOKUP(AT75,Коды_код,Коды_группа)&amp;"","")="","Быт",_xlfn.XLOOKUP(AT75,Коды_код,Коды_группа)&amp;"")))))</f>
        <v>Сил</v>
      </c>
      <c r="CO75">
        <f>IF(CN75="Щит","щит",IF(CN75="","",IF(CN75="Быт",IFERROR(_xlfn.XLOOKUP(A75,Щиты[Щит],Щиты[Кс быт]),1),IF(CN75="Сил",IF(ISNUMBER(L75),L75,IF(Методика="нормы 2026",IFERROR(_xlfn.XLOOKUP(A75,Щиты[Щит],Щиты[Кс силовых (табл. 7.5)]),1),1)),IF(OR(CN75="Пост",CN75="Отоп"),1,IF(CN75="ВНГ",0.7,0))))))</f>
        <v>0.5</v>
      </c>
      <c r="CP75">
        <f t="shared" si="107"/>
        <v>1</v>
      </c>
      <c r="CQ75">
        <f t="shared" si="108"/>
        <v>1.9</v>
      </c>
      <c r="CR75">
        <f t="shared" si="109"/>
        <v>0</v>
      </c>
      <c r="CS75">
        <f t="shared" si="110"/>
        <v>0.95</v>
      </c>
      <c r="CT75">
        <f t="shared" si="111"/>
        <v>0</v>
      </c>
      <c r="CU75">
        <f t="shared" si="112"/>
        <v>0</v>
      </c>
      <c r="CV75">
        <f t="shared" si="113"/>
        <v>0</v>
      </c>
      <c r="CW75">
        <f t="shared" si="114"/>
        <v>1.9</v>
      </c>
      <c r="CX75">
        <f t="shared" si="115"/>
        <v>1.8049999999999999</v>
      </c>
      <c r="CY75">
        <f t="shared" si="116"/>
        <v>1</v>
      </c>
      <c r="CZ75" t="str">
        <f t="shared" si="117"/>
        <v>L1</v>
      </c>
      <c r="DA75" cm="1">
        <f t="array" ref="DA75">IFERROR(IF(BL75=2,_xlfn.IFS(BH75=3,VLOOKUP(BF75,Справочная_двигатели,3,FALSE),BH75=1,VLOOKUP(BF75,Справочная_двигатели,5,TRUE)),0),0)</f>
        <v>0</v>
      </c>
      <c r="DB75">
        <f>IFERROR(IF(BL75=3,VLOOKUP(BF75,Справочная_ЛЭД,2,TRUE),0),0)</f>
        <v>0</v>
      </c>
      <c r="DC75">
        <f t="shared" si="118"/>
        <v>0</v>
      </c>
      <c r="DD75" t="str">
        <f t="shared" si="119"/>
        <v>L2</v>
      </c>
      <c r="DE75" t="str" cm="1">
        <f t="array" ref="DE75">IF(D75="","",IFERROR(INDEX({"I особая","I","II","III"},MATCH(TRIM(AA75&amp;""),{"I особая","I","II","III"},0)),"III"))</f>
        <v>II</v>
      </c>
      <c r="DF75" t="str">
        <f>IF(D75="","",IF(TRIM(AB75&amp;"")&lt;&gt;"",IF(LOWER(TRIM(AB75&amp;""))="да","да","нет"),IF(IFERROR(_xlfn.XLOOKUP(AT75,Коды_код,Коды_пожарная),"")="да","да","нет")))</f>
        <v>нет</v>
      </c>
      <c r="DG75" t="str">
        <f t="shared" si="120"/>
        <v/>
      </c>
      <c r="DH75" t="str">
        <f t="shared" si="121"/>
        <v>основная</v>
      </c>
      <c r="DI75">
        <f t="shared" si="122"/>
        <v>1</v>
      </c>
      <c r="DJ75" t="str" cm="1">
        <f t="array" ref="DJ75">IF(D75="","",_xlfn.LET(_xlpm.t,IFERROR(_xlfn.XLOOKUP(1,(Шины[Шина]=DH75)*(((Шины[Щит]=A75)+(Шины[Щит]=""))&gt;0),Шины[Тип]),"")&amp;"",IF(_xlpm.t&lt;&gt;"",_xlpm.t,IF(ISNUMBER(SEARCH("ИБП",DH75)),"ИБП",IF(ISNUMBER(SEARCH("ДГУ",DH75)),"ДГУ","Ввод "&amp;DI75)))))</f>
        <v>Ввод 1</v>
      </c>
      <c r="DK75" t="str">
        <f t="shared" si="123"/>
        <v>Ввод 1</v>
      </c>
      <c r="DL75" t="str">
        <f>IF(D75="","",IF(OR(DJ75="ИБП",DJ75="ДГУ"),"I особая",IF(DJ75="Одиночная","III",_xlfn.XLOOKUP(A75,Щиты[Щит],Щиты[Категория шины «Ввод»],"III"))))</f>
        <v>II</v>
      </c>
      <c r="DM75">
        <f>IF(D75="",0,IFERROR(MATCH(DE75,{"III","II","I","I особая"},0),1))</f>
        <v>2</v>
      </c>
      <c r="DN75">
        <f t="shared" si="124"/>
        <v>2</v>
      </c>
      <c r="DO75" t="str">
        <f>IF(D75="","",IF(DM75&gt;IFERROR(MATCH(DL75,{"III","II","I","I особая"},0),1),"НЕ ОБЕСПЕЧЕНА","ОК"))</f>
        <v>ОК</v>
      </c>
      <c r="DP75" t="str">
        <f>IF(A75="","",_xlfn.XLOOKUP(A75,Щиты[Щит],Щиты[Путь],""))</f>
        <v>|ГРЩ-ЖД|ЩОВ-001|</v>
      </c>
      <c r="DQ75" t="str">
        <f>IF(D75="","",IF(Z75&lt;&gt;"",Z75,IF(IFERROR(_xlfn.XLOOKUP(AT75,Коды_код,Коды_вид)&amp;"","")="","Прочее",_xlfn.XLOOKUP(AT75,Коды_код,Коды_вид)&amp;"")))</f>
        <v>Кондиционирование и увлажнение</v>
      </c>
      <c r="DR75">
        <f>IF(BD75="","",INT((BD75-1)/Столбцов_на_лист)+1)</f>
        <v>3</v>
      </c>
      <c r="DS75" t="str">
        <f t="shared" si="125"/>
        <v>ВВГнг(А)-LS (3х2,5) L=35-2,26%</v>
      </c>
      <c r="DT75">
        <f t="shared" si="126"/>
        <v>1.9</v>
      </c>
      <c r="DU75">
        <f t="shared" si="127"/>
        <v>8.67</v>
      </c>
      <c r="DV75">
        <f t="shared" si="128"/>
        <v>1</v>
      </c>
      <c r="DW75">
        <f>IF(AT75="",0,_xlfn.LET(_xlpm.v,IFERROR(VLOOKUP(D75,УГО_спр,3,FALSE),IFERROR(VLOOKUP(AT75,УГО_спр,3,FALSE),IFERROR(VLOOKUP(LEFT(AT75,2),УГО_спр,3,FALSE),""))),IF(_xlpm.v="да",30,IF(ISNUMBER(_xlpm.v),_xlpm.v,0))))</f>
        <v>0</v>
      </c>
      <c r="DX75">
        <f t="shared" si="129"/>
        <v>0</v>
      </c>
      <c r="DY75">
        <f>IF(BD75="","",IF(AD75&lt;&gt;"",COUNTIFS(A$3:A75,A75,AD$3:AD75,"?*"),IF(OR(OR(AS75=1,A75&lt;&gt;A74),AL75="вручную"),"",IF(AS75=1,"",DZ74))))</f>
        <v>22</v>
      </c>
      <c r="DZ75">
        <f t="shared" si="130"/>
        <v>22</v>
      </c>
      <c r="EA75">
        <f>IF(D75="",0,MAX(IFERROR(--X75,0),IFERROR(--VLOOKUP(D75,УГО_спр,4,FALSE),IFERROR(--VLOOKUP(AT75,УГО_спр,4,FALSE),IFERROR(--VLOOKUP(LEFT(AT75,2),УГО_спр,4,FALSE),0)))))</f>
        <v>16</v>
      </c>
      <c r="EB75">
        <f>IF(D75="","",IFERROR(LOOKUP(INDEX(CHOOSE(BR75,Iдоп_1ж,Iдоп_2ж,Iдоп_3ж),MATCH(BS75,Iдоп_S,0))*BP75*BQ75,{6,10,16,20,25,32,40,50,63,80,100,125,160,200,250,315,400,500,630}),""))</f>
        <v>25</v>
      </c>
      <c r="EC75">
        <f>IF(AD75="","",SUMIFS(Линии[_Ток схемы],Линии[_гр.],DY75,Линии[Щит],A75,Линии[_в кабель выше],0))</f>
        <v>8.67</v>
      </c>
      <c r="ED75">
        <f>IF(AD75="","",IFERROR(VLOOKUP(EC75,Автомат_номиналы,2,TRUE),""))</f>
        <v>10</v>
      </c>
      <c r="EE75">
        <f>IF(AD75="","",MAX(N(ED75),_xlfn.MAXIFS(Линии[_мин. по типу],Линии[_гр.],DY75,Линии[Щит],A75)))</f>
        <v>16</v>
      </c>
      <c r="EF75">
        <f>IF(AD75="","",_xlfn.MINIFS(Линии[_макс. автомат по кабелю],Линии[_гр.],DY75,Линии[Щит],A75))</f>
        <v>25</v>
      </c>
      <c r="EG75">
        <f>IF(AD75="","",MAX(1,_xlfn.MAXIFS(Линии[_фаз],Линии[_гр.],DY75,Линии[Щит],A75)))</f>
        <v>1</v>
      </c>
      <c r="EH75">
        <f>IF(AD75="","",IF(AND(AD75&lt;&gt;"авто",AD75&lt;&gt;"+"),IF(ISNUMBER(SEARCH("мА",AD75)),IFERROR(--TRIM(RIGHT(SUBSTITUTE(LEFT(AD75,SEARCH("мА",AD75)-1)," ",REPT(" ",9)),6)),30),0),IF(AE75="нет",0,IF(ISNUMBER(AE75),AE75,IF(AE75="да",30,_xlfn.MINIFS(Линии[_дифзащита по коду, мА],Линии[_гр.],DY75,Линии[Щит],A75,Линии[_дифзащита по коду, мА],"&gt;0"))))))</f>
        <v>0</v>
      </c>
      <c r="EI75">
        <f t="shared" si="131"/>
        <v>0</v>
      </c>
      <c r="EJ75" t="str">
        <f t="shared" si="132"/>
        <v>QF22</v>
      </c>
      <c r="EK75" t="str">
        <f t="shared" si="133"/>
        <v>QF22</v>
      </c>
      <c r="EL75" t="str">
        <f t="shared" si="134"/>
        <v/>
      </c>
      <c r="EM75">
        <f t="shared" si="135"/>
        <v>0</v>
      </c>
      <c r="EN75">
        <f>IF(AD75="","",IF(EM75=1,MAX(EE75,Мин_автомат_БП),EE75))</f>
        <v>16</v>
      </c>
      <c r="EO75" t="str">
        <f t="shared" si="136"/>
        <v>1P</v>
      </c>
      <c r="EP75" t="str">
        <f t="shared" si="137"/>
        <v>1P С16А</v>
      </c>
      <c r="EQ75">
        <f t="shared" si="138"/>
        <v>16</v>
      </c>
      <c r="ER75" t="str">
        <f>IF(OR(AI75="",AI75="-"),"",IFERROR(VLOOKUP(AI75,Модули_спр,2,FALSE),"R"))</f>
        <v/>
      </c>
      <c r="ES75" t="str">
        <f>IF(ER75="","",ER75&amp;"."&amp;COUNTIFS(A$3:A75,A75,ER$3:ER75,ER75))</f>
        <v/>
      </c>
      <c r="ET75" t="str">
        <f t="shared" si="139"/>
        <v/>
      </c>
      <c r="EU75" t="str">
        <f t="shared" si="140"/>
        <v/>
      </c>
      <c r="EV75" t="str">
        <f t="shared" si="141"/>
        <v/>
      </c>
      <c r="EW75" t="str">
        <f t="shared" si="142"/>
        <v/>
      </c>
      <c r="EX75">
        <f t="shared" si="143"/>
        <v>1</v>
      </c>
      <c r="EY75" t="str">
        <f>IF(AK75="нет","",IF(AK75&lt;&gt;"",AK75,IF(EX75=1,"XT"&amp;COUNTIFS(A$3:A75,A75,EX$3:EX75,1),"")))</f>
        <v/>
      </c>
      <c r="EZ75" t="str">
        <f t="shared" si="144"/>
        <v>QF22</v>
      </c>
      <c r="FA75" t="str">
        <f t="shared" si="145"/>
        <v/>
      </c>
      <c r="FB75" t="str">
        <f t="shared" si="146"/>
        <v>ok</v>
      </c>
      <c r="FC75" t="str">
        <f>IF(OR(EV75="",ET75=""),"",IF(EV75&gt;IFERROR(VLOOKUP(EU75,Модули_спр,3,FALSE),99),"ЛИШНИЙ КАНАЛ",IF(AND(AJ75&lt;&gt;"=",COUNTIFS(Линии[_модуль гр.],ET75,Линии[Канал (итог)],EV75,Линии[Канал],"&lt;&gt;=",Линии[Щит],A75)&gt;1),"ДУБЛЬ КАНАЛА","")))</f>
        <v/>
      </c>
      <c r="FD75">
        <f t="shared" si="147"/>
        <v>16</v>
      </c>
      <c r="FE75" t="str">
        <f t="shared" si="148"/>
        <v>1P С16А</v>
      </c>
      <c r="FF75">
        <f t="shared" si="149"/>
        <v>0</v>
      </c>
      <c r="FG75">
        <f t="shared" si="150"/>
        <v>0</v>
      </c>
      <c r="FH75" t="str">
        <f t="shared" si="151"/>
        <v/>
      </c>
      <c r="FI75">
        <f t="shared" si="152"/>
        <v>10</v>
      </c>
      <c r="FJ75" t="str">
        <f t="shared" si="153"/>
        <v/>
      </c>
      <c r="FK75" t="str">
        <f>IF(AND(D75="",EZ75=""),"",_xlfn.TEXTJOIN("; ",TRUE,IF(AND(D75&lt;&gt;"",DD75=""),"нет фазы",""),IF(AND(D75&lt;&gt;"",N(DT75)=0,CN75&lt;&gt;"Нет"),"нет мощности",""),IF(AND(EY75&lt;&gt;"",COUNTIFS(Линии[Щит],A75,Линии[Клемма (итог)],EY75)&gt;1),"дубль клеммы "&amp;EY75,""),IF(AND(FB75&lt;&gt;"",FB75&lt;&gt;"ok"),FB75,""),IF(FC75&lt;&gt;"",FC75,""),IF(AND(ISNUMBER(SEARCH("(5х",DS75)),N(DV75)=1),"5 жил на 1 фазе",""),IF(AND(AT75="R",AD75&lt;&gt;"",OR(N(EH75)=0,N(EH75)&gt;30)),"розетка без дифзащиты до 30 мА",""),IFERROR(IF(AND(ISNUMBER(CD75),CD75&gt;CE75),"потери "&amp;FIXED(CD75,1)&amp;" % &gt; "&amp;CE75&amp;" %",""),""),IFERROR(IF(LEFT(FJ75,4)="мало","Iкз мало — отключение &gt; 0,4 с",""),""),IF(AND(D75&lt;&gt;"",BD75=""),"не на схеме","")))</f>
        <v/>
      </c>
      <c r="FL75">
        <f>IF(AD75="","",_xlfn.LET(_xlpm.t,IFERROR(_xlfn.XLOOKUP(EP75,Каталог!$U$4:$U$500,Каталог!$G$4:$G$500),""),_xlpm.k,SEARCH("кА",_xlpm.t),IFERROR(--TRIM(RIGHT(SUBSTITUTE(MID(_xlpm.t,MAX(1,_xlpm.k-4),_xlpm.k-MAX(1,_xlpm.k-4))," ",REPT(" ",9)),5)),"")))</f>
        <v>6</v>
      </c>
      <c r="FM75" t="str">
        <f>IF(OR(FL75="",AD75=""),"",IF(_xlfn.XLOOKUP(A75,Щиты[Щит],Щиты[Iкз max на шинах, кА],"")="","",IF(FL75&lt;_xlfn.XLOOKUP(A75,Щиты[Щит],Щиты[Iкз max на шинах, кА]),"Icu "&amp;FL75&amp;" кА &lt; Iкз max","ok")))</f>
        <v/>
      </c>
      <c r="FN75" t="str">
        <f t="shared" si="154"/>
        <v>QF22</v>
      </c>
      <c r="FO75" t="str">
        <f t="shared" si="155"/>
        <v>QF22|кабель ВВГнг(А)-LS (3х2,5) → Внешний блок кондиционирования Пом. Венткиосок</v>
      </c>
      <c r="FP75" t="str" cm="1">
        <f t="array" ref="FP75">IF(FO75="","",_xlfn.LET(_xlpm.nd,_xlfn.TEXTSPLIT(FO75,"|"),IF(COLUMNS(_xlpm.nd)&gt;1,A75&amp;"¦"&amp;INDEX(_xlpm.nd,1)&amp;"¦"&amp;INDEX(_xlpm.nd,2),"")))</f>
        <v>ЩОВ-001¦QF22¦кабель ВВГнг(А)-LS (3х2,5) → Внешний блок кондиционирования Пом. Венткиосок</v>
      </c>
      <c r="FQ75" t="str">
        <f t="shared" si="156"/>
        <v>K.7¦Внешний блок кондиционирования Пом. Венткиосок</v>
      </c>
      <c r="FR75" t="str" cm="1">
        <f t="array" ref="FR75">IF(FO75="","",_xlfn.LET(_xlpm.nd,_xlfn.TEXTSPLIT(FO75,"|"),IF(COLUMNS(_xlpm.nd)&gt;2,A75&amp;"¦"&amp;INDEX(_xlpm.nd,2)&amp;"¦"&amp;INDEX(_xlpm.nd,3),"")))</f>
        <v/>
      </c>
      <c r="FS75" t="str">
        <f t="shared" si="157"/>
        <v/>
      </c>
      <c r="FT75" t="str" cm="1">
        <f t="array" ref="FT75">IF(FO75="","",_xlfn.LET(_xlpm.nd,_xlfn.TEXTSPLIT(FO75,"|"),IF(COLUMNS(_xlpm.nd)&gt;3,A75&amp;"¦"&amp;INDEX(_xlpm.nd,3)&amp;"¦"&amp;INDEX(_xlpm.nd,4),"")))</f>
        <v/>
      </c>
      <c r="FU75" t="str">
        <f t="shared" si="158"/>
        <v/>
      </c>
      <c r="FV75" t="str" cm="1">
        <f t="array" ref="FV75">IF(FO75="","",_xlfn.LET(_xlpm.nd,_xlfn.TEXTSPLIT(FO75,"|"),IF(COLUMNS(_xlpm.nd)&gt;4,A75&amp;"¦"&amp;INDEX(_xlpm.nd,4)&amp;"¦"&amp;INDEX(_xlpm.nd,5),"")))</f>
        <v/>
      </c>
      <c r="FW75" t="str">
        <f t="shared" si="159"/>
        <v/>
      </c>
      <c r="FX75" t="str" cm="1">
        <f t="array" ref="FX75">IF(FO75="","",_xlfn.LET(_xlpm.nd,_xlfn.TEXTSPLIT(FO75,"|"),IF(COLUMNS(_xlpm.nd)&gt;5,A75&amp;"¦"&amp;INDEX(_xlpm.nd,5)&amp;"¦"&amp;INDEX(_xlpm.nd,6),"")))</f>
        <v/>
      </c>
      <c r="FY75" t="str">
        <f t="shared" si="160"/>
        <v/>
      </c>
      <c r="FZ75" t="str" cm="1">
        <f t="array" ref="FZ75">IF(FO75="","",_xlfn.LET(_xlpm.nd,_xlfn.TEXTSPLIT(FO75,"|"),IF(COLUMNS(_xlpm.nd)&gt;6,A75&amp;"¦"&amp;INDEX(_xlpm.nd,6)&amp;"¦"&amp;INDEX(_xlpm.nd,7),"")))</f>
        <v/>
      </c>
      <c r="GA75" t="str">
        <f t="shared" si="161"/>
        <v/>
      </c>
      <c r="GB75" t="str">
        <f t="shared" si="162"/>
        <v/>
      </c>
      <c r="GC75" t="str">
        <f t="shared" si="163"/>
        <v>QF22</v>
      </c>
      <c r="GD75">
        <f t="shared" si="164"/>
        <v>1</v>
      </c>
      <c r="GE75">
        <f t="shared" si="165"/>
        <v>0</v>
      </c>
      <c r="GF75">
        <f t="shared" si="166"/>
        <v>0</v>
      </c>
      <c r="GG75" t="str">
        <f t="shared" si="167"/>
        <v/>
      </c>
      <c r="GH75" t="str">
        <f t="shared" si="168"/>
        <v/>
      </c>
      <c r="GI75" t="str">
        <f t="shared" si="169"/>
        <v/>
      </c>
      <c r="GJ75" t="str">
        <f t="shared" si="170"/>
        <v/>
      </c>
      <c r="GK75">
        <f>IF(D75="","",IFERROR(VLOOKUP(D75,УГО_спр,2,FALSE),IFERROR(VLOOKUP(AT75,УГО_спр,2,FALSE),IFERROR(VLOOKUP(LEFT(AT75,2),УГО_спр,2,FALSE),""))))</f>
        <v>0</v>
      </c>
      <c r="GL75" t="str">
        <f>IF(D75="","",IF(OR(GK75="",GK75=0),"BOX",IFERROR(IF(VLOOKUP(GK75,УГО_блоки,3,FALSE)&amp;""&lt;&gt;"",VLOOKUP(GK75,УГО_блоки,3,FALSE),VLOOKUP(GK75,УГО_блоки,2,FALSE)),GK75)))</f>
        <v>BOX</v>
      </c>
      <c r="GM75">
        <f t="shared" si="171"/>
        <v>1</v>
      </c>
      <c r="GN75" t="str">
        <f>IF(EP75="","",IF(COUNTIF(EP$3:EP75,EP75)=1,MAX(GN$2:GN74)+1,""))</f>
        <v/>
      </c>
      <c r="GO75" t="str">
        <f>IF(AF75="","",IF(COUNTIF(AF$3:AF75,AF75)+COUNTIF(AG$2:AG74,AF75)+COUNTIF(AH$2:AH74,AF75)=1,MAX(GO$2:GQ74)+1,""))</f>
        <v/>
      </c>
      <c r="GP75" t="str">
        <f>IF(AG75="","",IF(COUNTIF(AF$3:AF75,AG75)+COUNTIF(AG$3:AG75,AG75)+COUNTIF(AH$2:AH74,AG75)=1,MAX(GO$2:GQ74,GO75)+1,""))</f>
        <v/>
      </c>
      <c r="GQ75" t="str">
        <f>IF(AH75="","",IF(COUNTIF(AF$3:AF75,AH75)+COUNTIF(AG$3:AG75,AH75)+COUNTIF(AH$3:AH75,AH75)=1,MAX(GO$2:GQ74,GO75,GP75)+1,""))</f>
        <v/>
      </c>
      <c r="GR75" t="str">
        <f t="shared" si="172"/>
        <v>3х2,5</v>
      </c>
      <c r="GS75" t="str">
        <f>IF(GR75="","",IF(COUNTIF(GR$3:GR75,GR75)=1,MAX(GS$2:GS74)+1,""))</f>
        <v/>
      </c>
      <c r="GT75" t="str">
        <f>IF(ES75="","",COUNTIF(ES$3:ES75,"?*"))</f>
        <v/>
      </c>
      <c r="GU75" t="str">
        <f>IF(OR(ES75="",EU75=""),"",IF(COUNTIFS(ES$3:ES75,"?*",EU$3:EU75,EU75)=1,MAX(GU$2:GU74)+1,""))</f>
        <v/>
      </c>
      <c r="GV75">
        <f t="shared" si="173"/>
        <v>0</v>
      </c>
      <c r="GW75">
        <f>IF(D75="","",COUNTIF(D$3:D75,"?*"))</f>
        <v>73</v>
      </c>
      <c r="GX75">
        <f>IF(EX75&lt;&gt;1,0,_xlfn.LET(_xlpm.k,MAX(IFERROR(--VLOOKUP(D75,УГО_спр,5,FALSE),0),IFERROR(--VLOOKUP(AT75,УГО_спр,5,FALSE),0),IFERROR(--VLOOKUP(LEFT(AT75,2),УГО_спр,5,FALSE),0)),IF(_xlpm.k&gt;0,_xlpm.k,IF(IFERROR(--LEFT(SUBSTITUTE(GR75,"x","х"),FIND("х",SUBSTITUTE(GR75,"x","х"))-1),3)&gt;3,Каталог!$S$9,1))))</f>
        <v>1</v>
      </c>
      <c r="GY75">
        <f t="shared" si="174"/>
        <v>0</v>
      </c>
    </row>
    <row r="76" spans="1:207" x14ac:dyDescent="0.3">
      <c r="A76" t="s">
        <v>752</v>
      </c>
      <c r="B76">
        <v>40</v>
      </c>
      <c r="C76" t="str">
        <f>IF(BD76="","",IF(BE76="вводной узел","узел ","")&amp;"л."&amp;(INT((BD76-1)/Столбцов_на_лист)+1)&amp;" / "&amp;(MOD(BD76-1,Столбцов_на_лист)+1))</f>
        <v>л.3 / 6</v>
      </c>
      <c r="D76" t="s">
        <v>1354</v>
      </c>
      <c r="E76" s="133" t="s">
        <v>1347</v>
      </c>
      <c r="G76">
        <v>1.9</v>
      </c>
      <c r="H76">
        <v>1</v>
      </c>
      <c r="I76">
        <v>1</v>
      </c>
      <c r="J76">
        <v>230</v>
      </c>
      <c r="K76" t="s">
        <v>602</v>
      </c>
      <c r="L76">
        <v>0.5</v>
      </c>
      <c r="O76">
        <v>3</v>
      </c>
      <c r="P76">
        <v>35</v>
      </c>
      <c r="R76">
        <v>31</v>
      </c>
      <c r="T76">
        <v>1</v>
      </c>
      <c r="U76" t="s">
        <v>11</v>
      </c>
      <c r="V76">
        <v>3</v>
      </c>
      <c r="W76">
        <v>2.5</v>
      </c>
      <c r="X76">
        <v>16</v>
      </c>
      <c r="Z76" t="s">
        <v>580</v>
      </c>
      <c r="AA76" t="s">
        <v>818</v>
      </c>
      <c r="AD76" t="s">
        <v>517</v>
      </c>
      <c r="AK76" t="s">
        <v>488</v>
      </c>
      <c r="AR76" t="str">
        <f t="shared" si="88"/>
        <v/>
      </c>
      <c r="AS76" cm="1">
        <f t="array" ref="AS76">ROW()-ROW(Линии[#Headers])</f>
        <v>74</v>
      </c>
      <c r="AT76" t="str">
        <f t="shared" si="89"/>
        <v>K</v>
      </c>
      <c r="AU76" t="str">
        <f t="shared" si="90"/>
        <v>8</v>
      </c>
      <c r="AV76" t="str">
        <f t="shared" si="91"/>
        <v>8</v>
      </c>
      <c r="AW76" t="str">
        <f t="shared" si="92"/>
        <v/>
      </c>
      <c r="AX76" t="str">
        <f t="shared" si="93"/>
        <v/>
      </c>
      <c r="AY76" t="str">
        <f>IF(D76="","",IF(ISERROR(SEARCH(".",D76)),IFERROR(VLOOKUP(D76,Потребители_обозначение,2,FALSE)&amp;"",""),IFERROR(IF(VLOOKUP(AT76,Потребители_обозначение,4,FALSE)=1,VLOOKUP(AT76,Потребители_обозначение,2,FALSE)&amp;" "&amp;VLOOKUP(AV76,Этаж_обозначение,2,FALSE)&amp;" Пом. №"&amp;AX76,VLOOKUP(AT76,Потребители_обозначение,2,FALSE)&amp;" Шлейф №"&amp;AV76),IFERROR(VLOOKUP(D76,Потребители_обозначение,2,FALSE),""))))</f>
        <v/>
      </c>
      <c r="AZ76" t="str">
        <f t="shared" si="94"/>
        <v>Внешний блок кондиционирования Пом. Венткиосок</v>
      </c>
      <c r="BA76" t="str">
        <f>IF(F76&lt;&gt;"",F76,IF(AND(D76&lt;&gt;"",D76&lt;&gt;A76,ISNUMBER(_xlfn.XMATCH(D76,Щиты[Щит]))),D76,""))</f>
        <v/>
      </c>
      <c r="BB76">
        <f>IFERROR(_xlfn.XMATCH(A76,Щиты[Щит]),0)</f>
        <v>4</v>
      </c>
      <c r="BC76">
        <f>IFERROR(N(_xlfn.XLOOKUP(A76,Щиты[Щит],Щиты[Мест под вводной узел])),15)</f>
        <v>13</v>
      </c>
      <c r="BD76">
        <f t="shared" si="95"/>
        <v>40</v>
      </c>
      <c r="BE76" t="str">
        <f t="shared" si="96"/>
        <v>линии</v>
      </c>
      <c r="BF76">
        <f>IF(D76="","",IF(BA76&lt;&gt;"",IFERROR(_xlfn.XLOOKUP(BA76,Щиты[Щит],Щиты[Руст, кВт]),0),N(G76)))</f>
        <v>1.9</v>
      </c>
      <c r="BG76">
        <f>IF(J76&lt;&gt;"",J76,IF(D76="","",IFERROR(IF(VLOOKUP(AT76,Потребители_обозначение,8,FALSE)=0,"",VLOOKUP(AT76,Потребители_обозначение,8,FALSE)),"")))</f>
        <v>230</v>
      </c>
      <c r="BH76">
        <f>IF(I76&lt;&gt;"",I76,IF(D76="","",IFERROR(IF(VLOOKUP(AT76,Потребители_обозначение,9,FALSE)=0,"",VLOOKUP(AT76,Потребители_обозначение,9,FALSE)),"")))</f>
        <v>1</v>
      </c>
      <c r="BI76" t="str">
        <f>IF(U76&lt;&gt;"",U76,IF(D76="","",IFERROR(IF(VLOOKUP(AT76,Потребители_обозначение,6,FALSE)=0,"",VLOOKUP(AT76,Потребители_обозначение,6,FALSE)),"")))</f>
        <v>мс</v>
      </c>
      <c r="BJ76">
        <f>IF(V76&lt;&gt;"",V76,IF(D76="","",IFERROR(IF(VLOOKUP(AT76,Потребители_обозначение,7,FALSE)=0,"",VLOOKUP(AT76,Потребители_обозначение,7,FALSE)),"")))</f>
        <v>3</v>
      </c>
      <c r="BK76">
        <f>IF(W76&lt;&gt;"",W76,IF(D76="","",IFERROR(IF(VLOOKUP(AT76,Потребители_обозначение,10,FALSE)=0,"",VLOOKUP(AT76,Потребители_обозначение,10,FALSE)),"")))</f>
        <v>2.5</v>
      </c>
      <c r="BL76">
        <f>IFERROR(VLOOKUP(AT76,Потребители_обозначение,5,FALSE),0)</f>
        <v>1</v>
      </c>
      <c r="BM76" cm="1">
        <f t="array" ref="BM76">IF(D76="","",IF(BA76&lt;&gt;"",IFERROR(_xlfn.XLOOKUP(BA76,Щиты[Щит],Щиты[cos φ]),0.95),IF(ISNUMBER(M76),M76,IFERROR(IF(BL76=2,_xlfn.IFS(BH76=3,VLOOKUP(BF76,Справочная_двигатели,8,FALSE),BH76=1,VLOOKUP(BF76,Справочная_двигатели,10,TRUE)),IF(AND(Методика="нормы 2026",CN76="Сил"),0.8,0.95)),0.95))))</f>
        <v>0.95</v>
      </c>
      <c r="BN76" cm="1">
        <f t="array" ref="BN76">IF(D76="","",IF(BA76&lt;&gt;"",IFERROR(_xlfn.XLOOKUP(BA76,Щиты[Щит],Щиты[Iр, А]),""),IFERROR(_xlfn.IFS(BH76=1,BF76/((Uн_лин/SQRT(3))*BM76),BH76=3,BF76/(SQRT(3)*Uн_лин*BM76)),"")))</f>
        <v>8.6602540378443855</v>
      </c>
      <c r="BO76">
        <f>IF(D76="","",IF(N(X76)=0,IFERROR(VLOOKUP(BN76,Автомат_номиналы,2,TRUE),""),X76))</f>
        <v>16</v>
      </c>
      <c r="BP76">
        <f t="shared" si="97"/>
        <v>1</v>
      </c>
      <c r="BQ76">
        <f>IF(ISNUMBER(Y76),Y76,К_прокл)</f>
        <v>1</v>
      </c>
      <c r="BR76">
        <f t="shared" si="98"/>
        <v>2</v>
      </c>
      <c r="BS76" cm="1">
        <f t="array" ref="BS76">IF(D76="","",IF(N(BK76)&lt;&gt;0,BK76,IFERROR(_xlfn.LET(_xlpm.need,BO76/(BP76*BQ76),_xlpm.t,CHOOSE(BR76,Iдоп_1ж,Iдоп_2ж,Iдоп_3ж),_xlpm.k,_xlfn.XMATCH(_xlpm.need,_xlpm.t,1),IF(ISNA(_xlpm.k),"Не исп",INDEX(Iдоп_S,_xlpm.k))),"Не исп")))</f>
        <v>2.5</v>
      </c>
      <c r="BT76">
        <f>IFERROR(VLOOKUP(BS76,Кабель_сопротивление,3,FALSE),"")</f>
        <v>2.2499999999999999E-2</v>
      </c>
      <c r="BU76">
        <f>IFERROR(VLOOKUP(BS76,Кабель_сопротивление,2,FALSE),"")</f>
        <v>0.1</v>
      </c>
      <c r="BV76">
        <f t="shared" si="99"/>
        <v>35</v>
      </c>
      <c r="BW76">
        <f>IF(D76="","",IFERROR(IF(VLOOKUP(AT76,Потребители_обозначение,4,FALSE)=1,VLOOKUP(AT76,Потребители_обозначение,3,FALSE)*(H76*2-1)+BV76+VLOOKUP(AV76,Этаж_обозначение,3,FALSE)+VLOOKUP(AV76,Этаж_обозначение,4,FALSE),VLOOKUP(AT76,Потребители_обозначение,3,FALSE)*(H76*2-1)+BV76),BV76))</f>
        <v>35</v>
      </c>
      <c r="BX76">
        <f t="shared" si="100"/>
        <v>31</v>
      </c>
      <c r="BY76">
        <f t="shared" si="101"/>
        <v>0</v>
      </c>
      <c r="BZ76">
        <f t="shared" si="102"/>
        <v>2</v>
      </c>
      <c r="CA76">
        <f t="shared" si="103"/>
        <v>0.31</v>
      </c>
      <c r="CB76">
        <f t="shared" si="104"/>
        <v>5.2019547929119865</v>
      </c>
      <c r="CC76">
        <f>IFERROR(ROUNDUP(CB76/((Uн_лин/SQRT(3))*1000)*100,2),"")</f>
        <v>2.2599999999999998</v>
      </c>
      <c r="CD76">
        <f>IF(ISNUMBER(CC76),CC76+IFERROR(_xlfn.XLOOKUP(A76,Щиты[Щит],Щиты[ΔU до шин, %]),0),"")</f>
        <v>2.76</v>
      </c>
      <c r="CE76">
        <f>IF(D76="","",IF(IFERROR(VLOOKUP(AT76,УГО_спр,2,FALSE),"")="Светильник",3,4)+IF(Методика="нормы 2026",MIN(0.5,MAX(0,N(BW76)-100)*0.005),0))</f>
        <v>4</v>
      </c>
      <c r="CF76" t="str">
        <f>IFERROR(VLOOKUP(BI76,Кабель_обозначение,2,FALSE),"")</f>
        <v>ВВГнг(А)-LS</v>
      </c>
      <c r="CG76" t="str">
        <f>IFERROR(IF(VLOOKUP(BI76,Кабель_обозначение,3,FALSE)=1,CF76&amp;" ("&amp;BJ76&amp;"х"&amp;BS76&amp;")",CF76),"")</f>
        <v>ВВГнг(А)-LS (3х2,5)</v>
      </c>
      <c r="CH76" t="str">
        <f t="shared" si="105"/>
        <v>ВВГнг(А)-LS (3х2,5)
L=35-2,26%</v>
      </c>
      <c r="CI76">
        <f>IFERROR(2*ρкз_Cu*BW76/BS76,"")</f>
        <v>0.73639999999999994</v>
      </c>
      <c r="CJ76">
        <f t="shared" si="106"/>
        <v>0.24500000000000002</v>
      </c>
      <c r="CK76" t="str">
        <f>IFERROR(IF(OR(D76="",NOT(ISNUMBER(BS76)),N(BW76)=0),"",_xlfn.XLOOKUP(A76,Щиты[Щит],Щиты[Zпетли на шинах, Ом])+CI76),"")</f>
        <v/>
      </c>
      <c r="CL76" t="str">
        <f>IF(ISNUMBER(CK76),c_min*(Uн_лин*1000/SQRT(3))/CK76,"")</f>
        <v/>
      </c>
      <c r="CM76" t="str">
        <f>IFERROR(IF(OR(D76="",NOT(ISNUMBER(BS76))),"",1.05*(Uн_лин*1000/SQRT(3))/(_xlfn.XLOOKUP(A76,Щиты[Щит],Щиты[Zmax на шинах, Ом])+CJ76)/1000),"")</f>
        <v/>
      </c>
      <c r="CN76" t="str">
        <f>IF(D76="","",IF(BA76&lt;&gt;"","Щит",IF(K76&lt;&gt;"",K76,IF(ISNUMBER(L76),"Сил",IF(IFERROR(_xlfn.XLOOKUP(AT76,Коды_код,Коды_группа)&amp;"","")="","Быт",_xlfn.XLOOKUP(AT76,Коды_код,Коды_группа)&amp;"")))))</f>
        <v>Сил</v>
      </c>
      <c r="CO76">
        <f>IF(CN76="Щит","щит",IF(CN76="","",IF(CN76="Быт",IFERROR(_xlfn.XLOOKUP(A76,Щиты[Щит],Щиты[Кс быт]),1),IF(CN76="Сил",IF(ISNUMBER(L76),L76,IF(Методика="нормы 2026",IFERROR(_xlfn.XLOOKUP(A76,Щиты[Щит],Щиты[Кс силовых (табл. 7.5)]),1),1)),IF(OR(CN76="Пост",CN76="Отоп"),1,IF(CN76="ВНГ",0.7,0))))))</f>
        <v>0.5</v>
      </c>
      <c r="CP76">
        <f t="shared" si="107"/>
        <v>1</v>
      </c>
      <c r="CQ76">
        <f t="shared" si="108"/>
        <v>1.9</v>
      </c>
      <c r="CR76">
        <f t="shared" si="109"/>
        <v>0</v>
      </c>
      <c r="CS76">
        <f t="shared" si="110"/>
        <v>0.95</v>
      </c>
      <c r="CT76">
        <f t="shared" si="111"/>
        <v>0</v>
      </c>
      <c r="CU76">
        <f t="shared" si="112"/>
        <v>0</v>
      </c>
      <c r="CV76">
        <f t="shared" si="113"/>
        <v>0</v>
      </c>
      <c r="CW76">
        <f t="shared" si="114"/>
        <v>1.9</v>
      </c>
      <c r="CX76">
        <f t="shared" si="115"/>
        <v>1.8049999999999999</v>
      </c>
      <c r="CY76">
        <f t="shared" si="116"/>
        <v>2</v>
      </c>
      <c r="CZ76" t="str">
        <f t="shared" si="117"/>
        <v>L2</v>
      </c>
      <c r="DA76" cm="1">
        <f t="array" ref="DA76">IFERROR(IF(BL76=2,_xlfn.IFS(BH76=3,VLOOKUP(BF76,Справочная_двигатели,3,FALSE),BH76=1,VLOOKUP(BF76,Справочная_двигатели,5,TRUE)),0),0)</f>
        <v>0</v>
      </c>
      <c r="DB76">
        <f>IFERROR(IF(BL76=3,VLOOKUP(BF76,Справочная_ЛЭД,2,TRUE),0),0)</f>
        <v>0</v>
      </c>
      <c r="DC76">
        <f t="shared" si="118"/>
        <v>0</v>
      </c>
      <c r="DD76" t="str">
        <f t="shared" si="119"/>
        <v>L3</v>
      </c>
      <c r="DE76" t="str" cm="1">
        <f t="array" ref="DE76">IF(D76="","",IFERROR(INDEX({"I особая","I","II","III"},MATCH(TRIM(AA76&amp;""),{"I особая","I","II","III"},0)),"III"))</f>
        <v>II</v>
      </c>
      <c r="DF76" t="str">
        <f>IF(D76="","",IF(TRIM(AB76&amp;"")&lt;&gt;"",IF(LOWER(TRIM(AB76&amp;""))="да","да","нет"),IF(IFERROR(_xlfn.XLOOKUP(AT76,Коды_код,Коды_пожарная),"")="да","да","нет")))</f>
        <v>нет</v>
      </c>
      <c r="DG76" t="str">
        <f t="shared" si="120"/>
        <v/>
      </c>
      <c r="DH76" t="str">
        <f t="shared" si="121"/>
        <v>основная</v>
      </c>
      <c r="DI76">
        <f t="shared" si="122"/>
        <v>1</v>
      </c>
      <c r="DJ76" t="str" cm="1">
        <f t="array" ref="DJ76">IF(D76="","",_xlfn.LET(_xlpm.t,IFERROR(_xlfn.XLOOKUP(1,(Шины[Шина]=DH76)*(((Шины[Щит]=A76)+(Шины[Щит]=""))&gt;0),Шины[Тип]),"")&amp;"",IF(_xlpm.t&lt;&gt;"",_xlpm.t,IF(ISNUMBER(SEARCH("ИБП",DH76)),"ИБП",IF(ISNUMBER(SEARCH("ДГУ",DH76)),"ДГУ","Ввод "&amp;DI76)))))</f>
        <v>Ввод 1</v>
      </c>
      <c r="DK76" t="str">
        <f t="shared" si="123"/>
        <v>Ввод 1</v>
      </c>
      <c r="DL76" t="str">
        <f>IF(D76="","",IF(OR(DJ76="ИБП",DJ76="ДГУ"),"I особая",IF(DJ76="Одиночная","III",_xlfn.XLOOKUP(A76,Щиты[Щит],Щиты[Категория шины «Ввод»],"III"))))</f>
        <v>II</v>
      </c>
      <c r="DM76">
        <f>IF(D76="",0,IFERROR(MATCH(DE76,{"III","II","I","I особая"},0),1))</f>
        <v>2</v>
      </c>
      <c r="DN76">
        <f t="shared" si="124"/>
        <v>2</v>
      </c>
      <c r="DO76" t="str">
        <f>IF(D76="","",IF(DM76&gt;IFERROR(MATCH(DL76,{"III","II","I","I особая"},0),1),"НЕ ОБЕСПЕЧЕНА","ОК"))</f>
        <v>ОК</v>
      </c>
      <c r="DP76" t="str">
        <f>IF(A76="","",_xlfn.XLOOKUP(A76,Щиты[Щит],Щиты[Путь],""))</f>
        <v>|ГРЩ-ЖД|ЩОВ-001|</v>
      </c>
      <c r="DQ76" t="str">
        <f>IF(D76="","",IF(Z76&lt;&gt;"",Z76,IF(IFERROR(_xlfn.XLOOKUP(AT76,Коды_код,Коды_вид)&amp;"","")="","Прочее",_xlfn.XLOOKUP(AT76,Коды_код,Коды_вид)&amp;"")))</f>
        <v>Кондиционирование и увлажнение</v>
      </c>
      <c r="DR76">
        <f>IF(BD76="","",INT((BD76-1)/Столбцов_на_лист)+1)</f>
        <v>3</v>
      </c>
      <c r="DS76" t="str">
        <f t="shared" si="125"/>
        <v>ВВГнг(А)-LS (3х2,5) L=35-2,26%</v>
      </c>
      <c r="DT76">
        <f t="shared" si="126"/>
        <v>1.9</v>
      </c>
      <c r="DU76">
        <f t="shared" si="127"/>
        <v>8.67</v>
      </c>
      <c r="DV76">
        <f t="shared" si="128"/>
        <v>1</v>
      </c>
      <c r="DW76">
        <f>IF(AT76="",0,_xlfn.LET(_xlpm.v,IFERROR(VLOOKUP(D76,УГО_спр,3,FALSE),IFERROR(VLOOKUP(AT76,УГО_спр,3,FALSE),IFERROR(VLOOKUP(LEFT(AT76,2),УГО_спр,3,FALSE),""))),IF(_xlpm.v="да",30,IF(ISNUMBER(_xlpm.v),_xlpm.v,0))))</f>
        <v>0</v>
      </c>
      <c r="DX76">
        <f t="shared" si="129"/>
        <v>0</v>
      </c>
      <c r="DY76">
        <f>IF(BD76="","",IF(AD76&lt;&gt;"",COUNTIFS(A$3:A76,A76,AD$3:AD76,"?*"),IF(OR(OR(AS76=1,A76&lt;&gt;A75),AL76="вручную"),"",IF(AS76=1,"",DZ75))))</f>
        <v>23</v>
      </c>
      <c r="DZ76">
        <f t="shared" si="130"/>
        <v>23</v>
      </c>
      <c r="EA76">
        <f>IF(D76="",0,MAX(IFERROR(--X76,0),IFERROR(--VLOOKUP(D76,УГО_спр,4,FALSE),IFERROR(--VLOOKUP(AT76,УГО_спр,4,FALSE),IFERROR(--VLOOKUP(LEFT(AT76,2),УГО_спр,4,FALSE),0)))))</f>
        <v>16</v>
      </c>
      <c r="EB76">
        <f>IF(D76="","",IFERROR(LOOKUP(INDEX(CHOOSE(BR76,Iдоп_1ж,Iдоп_2ж,Iдоп_3ж),MATCH(BS76,Iдоп_S,0))*BP76*BQ76,{6,10,16,20,25,32,40,50,63,80,100,125,160,200,250,315,400,500,630}),""))</f>
        <v>25</v>
      </c>
      <c r="EC76">
        <f>IF(AD76="","",SUMIFS(Линии[_Ток схемы],Линии[_гр.],DY76,Линии[Щит],A76,Линии[_в кабель выше],0))</f>
        <v>8.67</v>
      </c>
      <c r="ED76">
        <f>IF(AD76="","",IFERROR(VLOOKUP(EC76,Автомат_номиналы,2,TRUE),""))</f>
        <v>10</v>
      </c>
      <c r="EE76">
        <f>IF(AD76="","",MAX(N(ED76),_xlfn.MAXIFS(Линии[_мин. по типу],Линии[_гр.],DY76,Линии[Щит],A76)))</f>
        <v>16</v>
      </c>
      <c r="EF76">
        <f>IF(AD76="","",_xlfn.MINIFS(Линии[_макс. автомат по кабелю],Линии[_гр.],DY76,Линии[Щит],A76))</f>
        <v>25</v>
      </c>
      <c r="EG76">
        <f>IF(AD76="","",MAX(1,_xlfn.MAXIFS(Линии[_фаз],Линии[_гр.],DY76,Линии[Щит],A76)))</f>
        <v>1</v>
      </c>
      <c r="EH76">
        <f>IF(AD76="","",IF(AND(AD76&lt;&gt;"авто",AD76&lt;&gt;"+"),IF(ISNUMBER(SEARCH("мА",AD76)),IFERROR(--TRIM(RIGHT(SUBSTITUTE(LEFT(AD76,SEARCH("мА",AD76)-1)," ",REPT(" ",9)),6)),30),0),IF(AE76="нет",0,IF(ISNUMBER(AE76),AE76,IF(AE76="да",30,_xlfn.MINIFS(Линии[_дифзащита по коду, мА],Линии[_гр.],DY76,Линии[Щит],A76,Линии[_дифзащита по коду, мА],"&gt;0"))))))</f>
        <v>0</v>
      </c>
      <c r="EI76">
        <f t="shared" si="131"/>
        <v>0</v>
      </c>
      <c r="EJ76" t="str">
        <f t="shared" si="132"/>
        <v>QF23</v>
      </c>
      <c r="EK76" t="str">
        <f t="shared" si="133"/>
        <v>QF23</v>
      </c>
      <c r="EL76" t="str">
        <f t="shared" si="134"/>
        <v/>
      </c>
      <c r="EM76">
        <f t="shared" si="135"/>
        <v>0</v>
      </c>
      <c r="EN76">
        <f>IF(AD76="","",IF(EM76=1,MAX(EE76,Мин_автомат_БП),EE76))</f>
        <v>16</v>
      </c>
      <c r="EO76" t="str">
        <f t="shared" si="136"/>
        <v>1P</v>
      </c>
      <c r="EP76" t="str">
        <f t="shared" si="137"/>
        <v>1P С16А</v>
      </c>
      <c r="EQ76">
        <f t="shared" si="138"/>
        <v>16</v>
      </c>
      <c r="ER76" t="str">
        <f>IF(OR(AI76="",AI76="-"),"",IFERROR(VLOOKUP(AI76,Модули_спр,2,FALSE),"R"))</f>
        <v/>
      </c>
      <c r="ES76" t="str">
        <f>IF(ER76="","",ER76&amp;"."&amp;COUNTIFS(A$3:A76,A76,ER$3:ER76,ER76))</f>
        <v/>
      </c>
      <c r="ET76" t="str">
        <f t="shared" si="139"/>
        <v/>
      </c>
      <c r="EU76" t="str">
        <f t="shared" si="140"/>
        <v/>
      </c>
      <c r="EV76" t="str">
        <f t="shared" si="141"/>
        <v/>
      </c>
      <c r="EW76" t="str">
        <f t="shared" si="142"/>
        <v/>
      </c>
      <c r="EX76">
        <f t="shared" si="143"/>
        <v>1</v>
      </c>
      <c r="EY76" t="str">
        <f>IF(AK76="нет","",IF(AK76&lt;&gt;"",AK76,IF(EX76=1,"XT"&amp;COUNTIFS(A$3:A76,A76,EX$3:EX76,1),"")))</f>
        <v/>
      </c>
      <c r="EZ76" t="str">
        <f t="shared" si="144"/>
        <v>QF23</v>
      </c>
      <c r="FA76" t="str">
        <f t="shared" si="145"/>
        <v/>
      </c>
      <c r="FB76" t="str">
        <f t="shared" si="146"/>
        <v>ok</v>
      </c>
      <c r="FC76" t="str">
        <f>IF(OR(EV76="",ET76=""),"",IF(EV76&gt;IFERROR(VLOOKUP(EU76,Модули_спр,3,FALSE),99),"ЛИШНИЙ КАНАЛ",IF(AND(AJ76&lt;&gt;"=",COUNTIFS(Линии[_модуль гр.],ET76,Линии[Канал (итог)],EV76,Линии[Канал],"&lt;&gt;=",Линии[Щит],A76)&gt;1),"ДУБЛЬ КАНАЛА","")))</f>
        <v/>
      </c>
      <c r="FD76">
        <f t="shared" si="147"/>
        <v>16</v>
      </c>
      <c r="FE76" t="str">
        <f t="shared" si="148"/>
        <v>1P С16А</v>
      </c>
      <c r="FF76">
        <f t="shared" si="149"/>
        <v>0</v>
      </c>
      <c r="FG76">
        <f t="shared" si="150"/>
        <v>0</v>
      </c>
      <c r="FH76" t="str">
        <f t="shared" si="151"/>
        <v/>
      </c>
      <c r="FI76">
        <f t="shared" si="152"/>
        <v>10</v>
      </c>
      <c r="FJ76" t="str">
        <f t="shared" si="153"/>
        <v/>
      </c>
      <c r="FK76" t="str">
        <f>IF(AND(D76="",EZ76=""),"",_xlfn.TEXTJOIN("; ",TRUE,IF(AND(D76&lt;&gt;"",DD76=""),"нет фазы",""),IF(AND(D76&lt;&gt;"",N(DT76)=0,CN76&lt;&gt;"Нет"),"нет мощности",""),IF(AND(EY76&lt;&gt;"",COUNTIFS(Линии[Щит],A76,Линии[Клемма (итог)],EY76)&gt;1),"дубль клеммы "&amp;EY76,""),IF(AND(FB76&lt;&gt;"",FB76&lt;&gt;"ok"),FB76,""),IF(FC76&lt;&gt;"",FC76,""),IF(AND(ISNUMBER(SEARCH("(5х",DS76)),N(DV76)=1),"5 жил на 1 фазе",""),IF(AND(AT76="R",AD76&lt;&gt;"",OR(N(EH76)=0,N(EH76)&gt;30)),"розетка без дифзащиты до 30 мА",""),IFERROR(IF(AND(ISNUMBER(CD76),CD76&gt;CE76),"потери "&amp;FIXED(CD76,1)&amp;" % &gt; "&amp;CE76&amp;" %",""),""),IFERROR(IF(LEFT(FJ76,4)="мало","Iкз мало — отключение &gt; 0,4 с",""),""),IF(AND(D76&lt;&gt;"",BD76=""),"не на схеме","")))</f>
        <v/>
      </c>
      <c r="FL76">
        <f>IF(AD76="","",_xlfn.LET(_xlpm.t,IFERROR(_xlfn.XLOOKUP(EP76,Каталог!$U$4:$U$500,Каталог!$G$4:$G$500),""),_xlpm.k,SEARCH("кА",_xlpm.t),IFERROR(--TRIM(RIGHT(SUBSTITUTE(MID(_xlpm.t,MAX(1,_xlpm.k-4),_xlpm.k-MAX(1,_xlpm.k-4))," ",REPT(" ",9)),5)),"")))</f>
        <v>6</v>
      </c>
      <c r="FM76" t="str">
        <f>IF(OR(FL76="",AD76=""),"",IF(_xlfn.XLOOKUP(A76,Щиты[Щит],Щиты[Iкз max на шинах, кА],"")="","",IF(FL76&lt;_xlfn.XLOOKUP(A76,Щиты[Щит],Щиты[Iкз max на шинах, кА]),"Icu "&amp;FL76&amp;" кА &lt; Iкз max","ok")))</f>
        <v/>
      </c>
      <c r="FN76" t="str">
        <f t="shared" si="154"/>
        <v>QF23</v>
      </c>
      <c r="FO76" t="str">
        <f t="shared" si="155"/>
        <v>QF23|кабель ВВГнг(А)-LS (3х2,5) → Внешний блок кондиционирования Пом. Венткиосок</v>
      </c>
      <c r="FP76" t="str" cm="1">
        <f t="array" ref="FP76">IF(FO76="","",_xlfn.LET(_xlpm.nd,_xlfn.TEXTSPLIT(FO76,"|"),IF(COLUMNS(_xlpm.nd)&gt;1,A76&amp;"¦"&amp;INDEX(_xlpm.nd,1)&amp;"¦"&amp;INDEX(_xlpm.nd,2),"")))</f>
        <v>ЩОВ-001¦QF23¦кабель ВВГнг(А)-LS (3х2,5) → Внешний блок кондиционирования Пом. Венткиосок</v>
      </c>
      <c r="FQ76" t="str">
        <f t="shared" si="156"/>
        <v>K.8¦Внешний блок кондиционирования Пом. Венткиосок</v>
      </c>
      <c r="FR76" t="str" cm="1">
        <f t="array" ref="FR76">IF(FO76="","",_xlfn.LET(_xlpm.nd,_xlfn.TEXTSPLIT(FO76,"|"),IF(COLUMNS(_xlpm.nd)&gt;2,A76&amp;"¦"&amp;INDEX(_xlpm.nd,2)&amp;"¦"&amp;INDEX(_xlpm.nd,3),"")))</f>
        <v/>
      </c>
      <c r="FS76" t="str">
        <f t="shared" si="157"/>
        <v/>
      </c>
      <c r="FT76" t="str" cm="1">
        <f t="array" ref="FT76">IF(FO76="","",_xlfn.LET(_xlpm.nd,_xlfn.TEXTSPLIT(FO76,"|"),IF(COLUMNS(_xlpm.nd)&gt;3,A76&amp;"¦"&amp;INDEX(_xlpm.nd,3)&amp;"¦"&amp;INDEX(_xlpm.nd,4),"")))</f>
        <v/>
      </c>
      <c r="FU76" t="str">
        <f t="shared" si="158"/>
        <v/>
      </c>
      <c r="FV76" t="str" cm="1">
        <f t="array" ref="FV76">IF(FO76="","",_xlfn.LET(_xlpm.nd,_xlfn.TEXTSPLIT(FO76,"|"),IF(COLUMNS(_xlpm.nd)&gt;4,A76&amp;"¦"&amp;INDEX(_xlpm.nd,4)&amp;"¦"&amp;INDEX(_xlpm.nd,5),"")))</f>
        <v/>
      </c>
      <c r="FW76" t="str">
        <f t="shared" si="159"/>
        <v/>
      </c>
      <c r="FX76" t="str" cm="1">
        <f t="array" ref="FX76">IF(FO76="","",_xlfn.LET(_xlpm.nd,_xlfn.TEXTSPLIT(FO76,"|"),IF(COLUMNS(_xlpm.nd)&gt;5,A76&amp;"¦"&amp;INDEX(_xlpm.nd,5)&amp;"¦"&amp;INDEX(_xlpm.nd,6),"")))</f>
        <v/>
      </c>
      <c r="FY76" t="str">
        <f t="shared" si="160"/>
        <v/>
      </c>
      <c r="FZ76" t="str" cm="1">
        <f t="array" ref="FZ76">IF(FO76="","",_xlfn.LET(_xlpm.nd,_xlfn.TEXTSPLIT(FO76,"|"),IF(COLUMNS(_xlpm.nd)&gt;6,A76&amp;"¦"&amp;INDEX(_xlpm.nd,6)&amp;"¦"&amp;INDEX(_xlpm.nd,7),"")))</f>
        <v/>
      </c>
      <c r="GA76" t="str">
        <f t="shared" si="161"/>
        <v/>
      </c>
      <c r="GB76" t="str">
        <f t="shared" si="162"/>
        <v/>
      </c>
      <c r="GC76" t="str">
        <f t="shared" si="163"/>
        <v>QF23</v>
      </c>
      <c r="GD76">
        <f t="shared" si="164"/>
        <v>1</v>
      </c>
      <c r="GE76">
        <f t="shared" si="165"/>
        <v>0</v>
      </c>
      <c r="GF76">
        <f t="shared" si="166"/>
        <v>0</v>
      </c>
      <c r="GG76" t="str">
        <f t="shared" si="167"/>
        <v/>
      </c>
      <c r="GH76" t="str">
        <f t="shared" si="168"/>
        <v/>
      </c>
      <c r="GI76" t="str">
        <f t="shared" si="169"/>
        <v/>
      </c>
      <c r="GJ76" t="str">
        <f t="shared" si="170"/>
        <v/>
      </c>
      <c r="GK76">
        <f>IF(D76="","",IFERROR(VLOOKUP(D76,УГО_спр,2,FALSE),IFERROR(VLOOKUP(AT76,УГО_спр,2,FALSE),IFERROR(VLOOKUP(LEFT(AT76,2),УГО_спр,2,FALSE),""))))</f>
        <v>0</v>
      </c>
      <c r="GL76" t="str">
        <f>IF(D76="","",IF(OR(GK76="",GK76=0),"BOX",IFERROR(IF(VLOOKUP(GK76,УГО_блоки,3,FALSE)&amp;""&lt;&gt;"",VLOOKUP(GK76,УГО_блоки,3,FALSE),VLOOKUP(GK76,УГО_блоки,2,FALSE)),GK76)))</f>
        <v>BOX</v>
      </c>
      <c r="GM76">
        <f t="shared" si="171"/>
        <v>1</v>
      </c>
      <c r="GN76" t="str">
        <f>IF(EP76="","",IF(COUNTIF(EP$3:EP76,EP76)=1,MAX(GN$2:GN75)+1,""))</f>
        <v/>
      </c>
      <c r="GO76" t="str">
        <f>IF(AF76="","",IF(COUNTIF(AF$3:AF76,AF76)+COUNTIF(AG$2:AG75,AF76)+COUNTIF(AH$2:AH75,AF76)=1,MAX(GO$2:GQ75)+1,""))</f>
        <v/>
      </c>
      <c r="GP76" t="str">
        <f>IF(AG76="","",IF(COUNTIF(AF$3:AF76,AG76)+COUNTIF(AG$3:AG76,AG76)+COUNTIF(AH$2:AH75,AG76)=1,MAX(GO$2:GQ75,GO76)+1,""))</f>
        <v/>
      </c>
      <c r="GQ76" t="str">
        <f>IF(AH76="","",IF(COUNTIF(AF$3:AF76,AH76)+COUNTIF(AG$3:AG76,AH76)+COUNTIF(AH$3:AH76,AH76)=1,MAX(GO$2:GQ75,GO76,GP76)+1,""))</f>
        <v/>
      </c>
      <c r="GR76" t="str">
        <f t="shared" si="172"/>
        <v>3х2,5</v>
      </c>
      <c r="GS76" t="str">
        <f>IF(GR76="","",IF(COUNTIF(GR$3:GR76,GR76)=1,MAX(GS$2:GS75)+1,""))</f>
        <v/>
      </c>
      <c r="GT76" t="str">
        <f>IF(ES76="","",COUNTIF(ES$3:ES76,"?*"))</f>
        <v/>
      </c>
      <c r="GU76" t="str">
        <f>IF(OR(ES76="",EU76=""),"",IF(COUNTIFS(ES$3:ES76,"?*",EU$3:EU76,EU76)=1,MAX(GU$2:GU75)+1,""))</f>
        <v/>
      </c>
      <c r="GV76">
        <f t="shared" si="173"/>
        <v>0</v>
      </c>
      <c r="GW76">
        <f>IF(D76="","",COUNTIF(D$3:D76,"?*"))</f>
        <v>74</v>
      </c>
      <c r="GX76">
        <f>IF(EX76&lt;&gt;1,0,_xlfn.LET(_xlpm.k,MAX(IFERROR(--VLOOKUP(D76,УГО_спр,5,FALSE),0),IFERROR(--VLOOKUP(AT76,УГО_спр,5,FALSE),0),IFERROR(--VLOOKUP(LEFT(AT76,2),УГО_спр,5,FALSE),0)),IF(_xlpm.k&gt;0,_xlpm.k,IF(IFERROR(--LEFT(SUBSTITUTE(GR76,"x","х"),FIND("х",SUBSTITUTE(GR76,"x","х"))-1),3)&gt;3,Каталог!$S$9,1))))</f>
        <v>1</v>
      </c>
      <c r="GY76">
        <f t="shared" si="174"/>
        <v>0</v>
      </c>
    </row>
    <row r="77" spans="1:207" x14ac:dyDescent="0.3">
      <c r="A77" t="s">
        <v>752</v>
      </c>
      <c r="B77">
        <v>41</v>
      </c>
      <c r="C77" t="str">
        <f>IF(BD77="","",IF(BE77="вводной узел","узел ","")&amp;"л."&amp;(INT((BD77-1)/Столбцов_на_лист)+1)&amp;" / "&amp;(MOD(BD77-1,Столбцов_на_лист)+1))</f>
        <v>л.3 / 7</v>
      </c>
      <c r="D77" t="s">
        <v>1355</v>
      </c>
      <c r="E77" s="133" t="s">
        <v>1347</v>
      </c>
      <c r="G77">
        <v>1.9</v>
      </c>
      <c r="H77">
        <v>1</v>
      </c>
      <c r="I77">
        <v>1</v>
      </c>
      <c r="J77">
        <v>230</v>
      </c>
      <c r="K77" t="s">
        <v>602</v>
      </c>
      <c r="L77">
        <v>0.5</v>
      </c>
      <c r="O77">
        <v>1</v>
      </c>
      <c r="P77">
        <v>32</v>
      </c>
      <c r="R77">
        <v>28</v>
      </c>
      <c r="T77">
        <v>1</v>
      </c>
      <c r="U77" t="s">
        <v>11</v>
      </c>
      <c r="V77">
        <v>3</v>
      </c>
      <c r="W77">
        <v>2.5</v>
      </c>
      <c r="X77">
        <v>16</v>
      </c>
      <c r="Z77" t="s">
        <v>580</v>
      </c>
      <c r="AA77" t="s">
        <v>818</v>
      </c>
      <c r="AD77" t="s">
        <v>517</v>
      </c>
      <c r="AK77" t="s">
        <v>488</v>
      </c>
      <c r="AR77" t="str">
        <f t="shared" si="88"/>
        <v/>
      </c>
      <c r="AS77" cm="1">
        <f t="array" ref="AS77">ROW()-ROW(Линии[#Headers])</f>
        <v>75</v>
      </c>
      <c r="AT77" t="str">
        <f t="shared" si="89"/>
        <v>K</v>
      </c>
      <c r="AU77" t="str">
        <f t="shared" si="90"/>
        <v>9</v>
      </c>
      <c r="AV77" t="str">
        <f t="shared" si="91"/>
        <v>9</v>
      </c>
      <c r="AW77" t="str">
        <f t="shared" si="92"/>
        <v/>
      </c>
      <c r="AX77" t="str">
        <f t="shared" si="93"/>
        <v/>
      </c>
      <c r="AY77" t="str">
        <f>IF(D77="","",IF(ISERROR(SEARCH(".",D77)),IFERROR(VLOOKUP(D77,Потребители_обозначение,2,FALSE)&amp;"",""),IFERROR(IF(VLOOKUP(AT77,Потребители_обозначение,4,FALSE)=1,VLOOKUP(AT77,Потребители_обозначение,2,FALSE)&amp;" "&amp;VLOOKUP(AV77,Этаж_обозначение,2,FALSE)&amp;" Пом. №"&amp;AX77,VLOOKUP(AT77,Потребители_обозначение,2,FALSE)&amp;" Шлейф №"&amp;AV77),IFERROR(VLOOKUP(D77,Потребители_обозначение,2,FALSE),""))))</f>
        <v/>
      </c>
      <c r="AZ77" t="str">
        <f t="shared" si="94"/>
        <v>Внешний блок кондиционирования Пом. Венткиосок</v>
      </c>
      <c r="BA77" t="str">
        <f>IF(F77&lt;&gt;"",F77,IF(AND(D77&lt;&gt;"",D77&lt;&gt;A77,ISNUMBER(_xlfn.XMATCH(D77,Щиты[Щит]))),D77,""))</f>
        <v/>
      </c>
      <c r="BB77">
        <f>IFERROR(_xlfn.XMATCH(A77,Щиты[Щит]),0)</f>
        <v>4</v>
      </c>
      <c r="BC77">
        <f>IFERROR(N(_xlfn.XLOOKUP(A77,Щиты[Щит],Щиты[Мест под вводной узел])),15)</f>
        <v>13</v>
      </c>
      <c r="BD77">
        <f t="shared" si="95"/>
        <v>41</v>
      </c>
      <c r="BE77" t="str">
        <f t="shared" si="96"/>
        <v>линии</v>
      </c>
      <c r="BF77">
        <f>IF(D77="","",IF(BA77&lt;&gt;"",IFERROR(_xlfn.XLOOKUP(BA77,Щиты[Щит],Щиты[Руст, кВт]),0),N(G77)))</f>
        <v>1.9</v>
      </c>
      <c r="BG77">
        <f>IF(J77&lt;&gt;"",J77,IF(D77="","",IFERROR(IF(VLOOKUP(AT77,Потребители_обозначение,8,FALSE)=0,"",VLOOKUP(AT77,Потребители_обозначение,8,FALSE)),"")))</f>
        <v>230</v>
      </c>
      <c r="BH77">
        <f>IF(I77&lt;&gt;"",I77,IF(D77="","",IFERROR(IF(VLOOKUP(AT77,Потребители_обозначение,9,FALSE)=0,"",VLOOKUP(AT77,Потребители_обозначение,9,FALSE)),"")))</f>
        <v>1</v>
      </c>
      <c r="BI77" t="str">
        <f>IF(U77&lt;&gt;"",U77,IF(D77="","",IFERROR(IF(VLOOKUP(AT77,Потребители_обозначение,6,FALSE)=0,"",VLOOKUP(AT77,Потребители_обозначение,6,FALSE)),"")))</f>
        <v>мс</v>
      </c>
      <c r="BJ77">
        <f>IF(V77&lt;&gt;"",V77,IF(D77="","",IFERROR(IF(VLOOKUP(AT77,Потребители_обозначение,7,FALSE)=0,"",VLOOKUP(AT77,Потребители_обозначение,7,FALSE)),"")))</f>
        <v>3</v>
      </c>
      <c r="BK77">
        <f>IF(W77&lt;&gt;"",W77,IF(D77="","",IFERROR(IF(VLOOKUP(AT77,Потребители_обозначение,10,FALSE)=0,"",VLOOKUP(AT77,Потребители_обозначение,10,FALSE)),"")))</f>
        <v>2.5</v>
      </c>
      <c r="BL77">
        <f>IFERROR(VLOOKUP(AT77,Потребители_обозначение,5,FALSE),0)</f>
        <v>1</v>
      </c>
      <c r="BM77" cm="1">
        <f t="array" ref="BM77">IF(D77="","",IF(BA77&lt;&gt;"",IFERROR(_xlfn.XLOOKUP(BA77,Щиты[Щит],Щиты[cos φ]),0.95),IF(ISNUMBER(M77),M77,IFERROR(IF(BL77=2,_xlfn.IFS(BH77=3,VLOOKUP(BF77,Справочная_двигатели,8,FALSE),BH77=1,VLOOKUP(BF77,Справочная_двигатели,10,TRUE)),IF(AND(Методика="нормы 2026",CN77="Сил"),0.8,0.95)),0.95))))</f>
        <v>0.95</v>
      </c>
      <c r="BN77" cm="1">
        <f t="array" ref="BN77">IF(D77="","",IF(BA77&lt;&gt;"",IFERROR(_xlfn.XLOOKUP(BA77,Щиты[Щит],Щиты[Iр, А]),""),IFERROR(_xlfn.IFS(BH77=1,BF77/((Uн_лин/SQRT(3))*BM77),BH77=3,BF77/(SQRT(3)*Uн_лин*BM77)),"")))</f>
        <v>8.6602540378443855</v>
      </c>
      <c r="BO77">
        <f>IF(D77="","",IF(N(X77)=0,IFERROR(VLOOKUP(BN77,Автомат_номиналы,2,TRUE),""),X77))</f>
        <v>16</v>
      </c>
      <c r="BP77">
        <f t="shared" si="97"/>
        <v>1</v>
      </c>
      <c r="BQ77">
        <f>IF(ISNUMBER(Y77),Y77,К_прокл)</f>
        <v>1</v>
      </c>
      <c r="BR77">
        <f t="shared" si="98"/>
        <v>2</v>
      </c>
      <c r="BS77" cm="1">
        <f t="array" ref="BS77">IF(D77="","",IF(N(BK77)&lt;&gt;0,BK77,IFERROR(_xlfn.LET(_xlpm.need,BO77/(BP77*BQ77),_xlpm.t,CHOOSE(BR77,Iдоп_1ж,Iдоп_2ж,Iдоп_3ж),_xlpm.k,_xlfn.XMATCH(_xlpm.need,_xlpm.t,1),IF(ISNA(_xlpm.k),"Не исп",INDEX(Iдоп_S,_xlpm.k))),"Не исп")))</f>
        <v>2.5</v>
      </c>
      <c r="BT77">
        <f>IFERROR(VLOOKUP(BS77,Кабель_сопротивление,3,FALSE),"")</f>
        <v>2.2499999999999999E-2</v>
      </c>
      <c r="BU77">
        <f>IFERROR(VLOOKUP(BS77,Кабель_сопротивление,2,FALSE),"")</f>
        <v>0.1</v>
      </c>
      <c r="BV77">
        <f t="shared" si="99"/>
        <v>32</v>
      </c>
      <c r="BW77">
        <f>IF(D77="","",IFERROR(IF(VLOOKUP(AT77,Потребители_обозначение,4,FALSE)=1,VLOOKUP(AT77,Потребители_обозначение,3,FALSE)*(H77*2-1)+BV77+VLOOKUP(AV77,Этаж_обозначение,3,FALSE)+VLOOKUP(AV77,Этаж_обозначение,4,FALSE),VLOOKUP(AT77,Потребители_обозначение,3,FALSE)*(H77*2-1)+BV77),BV77))</f>
        <v>32</v>
      </c>
      <c r="BX77">
        <f t="shared" si="100"/>
        <v>28</v>
      </c>
      <c r="BY77">
        <f t="shared" si="101"/>
        <v>0</v>
      </c>
      <c r="BZ77">
        <f t="shared" si="102"/>
        <v>2</v>
      </c>
      <c r="CA77">
        <f t="shared" si="103"/>
        <v>0.31</v>
      </c>
      <c r="CB77">
        <f t="shared" si="104"/>
        <v>4.7560729535195305</v>
      </c>
      <c r="CC77">
        <f>IFERROR(ROUNDUP(CB77/((Uн_лин/SQRT(3))*1000)*100,2),"")</f>
        <v>2.0599999999999996</v>
      </c>
      <c r="CD77">
        <f>IF(ISNUMBER(CC77),CC77+IFERROR(_xlfn.XLOOKUP(A77,Щиты[Щит],Щиты[ΔU до шин, %]),0),"")</f>
        <v>2.5599999999999996</v>
      </c>
      <c r="CE77">
        <f>IF(D77="","",IF(IFERROR(VLOOKUP(AT77,УГО_спр,2,FALSE),"")="Светильник",3,4)+IF(Методика="нормы 2026",MIN(0.5,MAX(0,N(BW77)-100)*0.005),0))</f>
        <v>4</v>
      </c>
      <c r="CF77" t="str">
        <f>IFERROR(VLOOKUP(BI77,Кабель_обозначение,2,FALSE),"")</f>
        <v>ВВГнг(А)-LS</v>
      </c>
      <c r="CG77" t="str">
        <f>IFERROR(IF(VLOOKUP(BI77,Кабель_обозначение,3,FALSE)=1,CF77&amp;" ("&amp;BJ77&amp;"х"&amp;BS77&amp;")",CF77),"")</f>
        <v>ВВГнг(А)-LS (3х2,5)</v>
      </c>
      <c r="CH77" t="str">
        <f t="shared" si="105"/>
        <v>ВВГнг(А)-LS (3х2,5)
L=32-2,06%</v>
      </c>
      <c r="CI77">
        <f>IFERROR(2*ρкз_Cu*BW77/BS77,"")</f>
        <v>0.67327999999999999</v>
      </c>
      <c r="CJ77">
        <f t="shared" si="106"/>
        <v>0.22400000000000003</v>
      </c>
      <c r="CK77" t="str">
        <f>IFERROR(IF(OR(D77="",NOT(ISNUMBER(BS77)),N(BW77)=0),"",_xlfn.XLOOKUP(A77,Щиты[Щит],Щиты[Zпетли на шинах, Ом])+CI77),"")</f>
        <v/>
      </c>
      <c r="CL77" t="str">
        <f>IF(ISNUMBER(CK77),c_min*(Uн_лин*1000/SQRT(3))/CK77,"")</f>
        <v/>
      </c>
      <c r="CM77" t="str">
        <f>IFERROR(IF(OR(D77="",NOT(ISNUMBER(BS77))),"",1.05*(Uн_лин*1000/SQRT(3))/(_xlfn.XLOOKUP(A77,Щиты[Щит],Щиты[Zmax на шинах, Ом])+CJ77)/1000),"")</f>
        <v/>
      </c>
      <c r="CN77" t="str">
        <f>IF(D77="","",IF(BA77&lt;&gt;"","Щит",IF(K77&lt;&gt;"",K77,IF(ISNUMBER(L77),"Сил",IF(IFERROR(_xlfn.XLOOKUP(AT77,Коды_код,Коды_группа)&amp;"","")="","Быт",_xlfn.XLOOKUP(AT77,Коды_код,Коды_группа)&amp;"")))))</f>
        <v>Сил</v>
      </c>
      <c r="CO77">
        <f>IF(CN77="Щит","щит",IF(CN77="","",IF(CN77="Быт",IFERROR(_xlfn.XLOOKUP(A77,Щиты[Щит],Щиты[Кс быт]),1),IF(CN77="Сил",IF(ISNUMBER(L77),L77,IF(Методика="нормы 2026",IFERROR(_xlfn.XLOOKUP(A77,Щиты[Щит],Щиты[Кс силовых (табл. 7.5)]),1),1)),IF(OR(CN77="Пост",CN77="Отоп"),1,IF(CN77="ВНГ",0.7,0))))))</f>
        <v>0.5</v>
      </c>
      <c r="CP77">
        <f t="shared" si="107"/>
        <v>1</v>
      </c>
      <c r="CQ77">
        <f t="shared" si="108"/>
        <v>1.9</v>
      </c>
      <c r="CR77">
        <f t="shared" si="109"/>
        <v>0</v>
      </c>
      <c r="CS77">
        <f t="shared" si="110"/>
        <v>0.95</v>
      </c>
      <c r="CT77">
        <f t="shared" si="111"/>
        <v>0</v>
      </c>
      <c r="CU77">
        <f t="shared" si="112"/>
        <v>0</v>
      </c>
      <c r="CV77">
        <f t="shared" si="113"/>
        <v>0</v>
      </c>
      <c r="CW77">
        <f t="shared" si="114"/>
        <v>1.9</v>
      </c>
      <c r="CX77">
        <f t="shared" si="115"/>
        <v>1.8049999999999999</v>
      </c>
      <c r="CY77">
        <f t="shared" si="116"/>
        <v>3</v>
      </c>
      <c r="CZ77" t="str">
        <f t="shared" si="117"/>
        <v>L3</v>
      </c>
      <c r="DA77" cm="1">
        <f t="array" ref="DA77">IFERROR(IF(BL77=2,_xlfn.IFS(BH77=3,VLOOKUP(BF77,Справочная_двигатели,3,FALSE),BH77=1,VLOOKUP(BF77,Справочная_двигатели,5,TRUE)),0),0)</f>
        <v>0</v>
      </c>
      <c r="DB77">
        <f>IFERROR(IF(BL77=3,VLOOKUP(BF77,Справочная_ЛЭД,2,TRUE),0),0)</f>
        <v>0</v>
      </c>
      <c r="DC77">
        <f t="shared" si="118"/>
        <v>0</v>
      </c>
      <c r="DD77" t="str">
        <f t="shared" si="119"/>
        <v>L1</v>
      </c>
      <c r="DE77" t="str" cm="1">
        <f t="array" ref="DE77">IF(D77="","",IFERROR(INDEX({"I особая","I","II","III"},MATCH(TRIM(AA77&amp;""),{"I особая","I","II","III"},0)),"III"))</f>
        <v>II</v>
      </c>
      <c r="DF77" t="str">
        <f>IF(D77="","",IF(TRIM(AB77&amp;"")&lt;&gt;"",IF(LOWER(TRIM(AB77&amp;""))="да","да","нет"),IF(IFERROR(_xlfn.XLOOKUP(AT77,Коды_код,Коды_пожарная),"")="да","да","нет")))</f>
        <v>нет</v>
      </c>
      <c r="DG77" t="str">
        <f t="shared" si="120"/>
        <v/>
      </c>
      <c r="DH77" t="str">
        <f t="shared" si="121"/>
        <v>основная</v>
      </c>
      <c r="DI77">
        <f t="shared" si="122"/>
        <v>1</v>
      </c>
      <c r="DJ77" t="str" cm="1">
        <f t="array" ref="DJ77">IF(D77="","",_xlfn.LET(_xlpm.t,IFERROR(_xlfn.XLOOKUP(1,(Шины[Шина]=DH77)*(((Шины[Щит]=A77)+(Шины[Щит]=""))&gt;0),Шины[Тип]),"")&amp;"",IF(_xlpm.t&lt;&gt;"",_xlpm.t,IF(ISNUMBER(SEARCH("ИБП",DH77)),"ИБП",IF(ISNUMBER(SEARCH("ДГУ",DH77)),"ДГУ","Ввод "&amp;DI77)))))</f>
        <v>Ввод 1</v>
      </c>
      <c r="DK77" t="str">
        <f t="shared" si="123"/>
        <v>Ввод 1</v>
      </c>
      <c r="DL77" t="str">
        <f>IF(D77="","",IF(OR(DJ77="ИБП",DJ77="ДГУ"),"I особая",IF(DJ77="Одиночная","III",_xlfn.XLOOKUP(A77,Щиты[Щит],Щиты[Категория шины «Ввод»],"III"))))</f>
        <v>II</v>
      </c>
      <c r="DM77">
        <f>IF(D77="",0,IFERROR(MATCH(DE77,{"III","II","I","I особая"},0),1))</f>
        <v>2</v>
      </c>
      <c r="DN77">
        <f t="shared" si="124"/>
        <v>2</v>
      </c>
      <c r="DO77" t="str">
        <f>IF(D77="","",IF(DM77&gt;IFERROR(MATCH(DL77,{"III","II","I","I особая"},0),1),"НЕ ОБЕСПЕЧЕНА","ОК"))</f>
        <v>ОК</v>
      </c>
      <c r="DP77" t="str">
        <f>IF(A77="","",_xlfn.XLOOKUP(A77,Щиты[Щит],Щиты[Путь],""))</f>
        <v>|ГРЩ-ЖД|ЩОВ-001|</v>
      </c>
      <c r="DQ77" t="str">
        <f>IF(D77="","",IF(Z77&lt;&gt;"",Z77,IF(IFERROR(_xlfn.XLOOKUP(AT77,Коды_код,Коды_вид)&amp;"","")="","Прочее",_xlfn.XLOOKUP(AT77,Коды_код,Коды_вид)&amp;"")))</f>
        <v>Кондиционирование и увлажнение</v>
      </c>
      <c r="DR77">
        <f>IF(BD77="","",INT((BD77-1)/Столбцов_на_лист)+1)</f>
        <v>3</v>
      </c>
      <c r="DS77" t="str">
        <f t="shared" si="125"/>
        <v>ВВГнг(А)-LS (3х2,5) L=32-2,06%</v>
      </c>
      <c r="DT77">
        <f t="shared" si="126"/>
        <v>1.9</v>
      </c>
      <c r="DU77">
        <f t="shared" si="127"/>
        <v>8.67</v>
      </c>
      <c r="DV77">
        <f t="shared" si="128"/>
        <v>1</v>
      </c>
      <c r="DW77">
        <f>IF(AT77="",0,_xlfn.LET(_xlpm.v,IFERROR(VLOOKUP(D77,УГО_спр,3,FALSE),IFERROR(VLOOKUP(AT77,УГО_спр,3,FALSE),IFERROR(VLOOKUP(LEFT(AT77,2),УГО_спр,3,FALSE),""))),IF(_xlpm.v="да",30,IF(ISNUMBER(_xlpm.v),_xlpm.v,0))))</f>
        <v>0</v>
      </c>
      <c r="DX77">
        <f t="shared" si="129"/>
        <v>0</v>
      </c>
      <c r="DY77">
        <f>IF(BD77="","",IF(AD77&lt;&gt;"",COUNTIFS(A$3:A77,A77,AD$3:AD77,"?*"),IF(OR(OR(AS77=1,A77&lt;&gt;A76),AL77="вручную"),"",IF(AS77=1,"",DZ76))))</f>
        <v>24</v>
      </c>
      <c r="DZ77">
        <f t="shared" si="130"/>
        <v>24</v>
      </c>
      <c r="EA77">
        <f>IF(D77="",0,MAX(IFERROR(--X77,0),IFERROR(--VLOOKUP(D77,УГО_спр,4,FALSE),IFERROR(--VLOOKUP(AT77,УГО_спр,4,FALSE),IFERROR(--VLOOKUP(LEFT(AT77,2),УГО_спр,4,FALSE),0)))))</f>
        <v>16</v>
      </c>
      <c r="EB77">
        <f>IF(D77="","",IFERROR(LOOKUP(INDEX(CHOOSE(BR77,Iдоп_1ж,Iдоп_2ж,Iдоп_3ж),MATCH(BS77,Iдоп_S,0))*BP77*BQ77,{6,10,16,20,25,32,40,50,63,80,100,125,160,200,250,315,400,500,630}),""))</f>
        <v>25</v>
      </c>
      <c r="EC77">
        <f>IF(AD77="","",SUMIFS(Линии[_Ток схемы],Линии[_гр.],DY77,Линии[Щит],A77,Линии[_в кабель выше],0))</f>
        <v>8.67</v>
      </c>
      <c r="ED77">
        <f>IF(AD77="","",IFERROR(VLOOKUP(EC77,Автомат_номиналы,2,TRUE),""))</f>
        <v>10</v>
      </c>
      <c r="EE77">
        <f>IF(AD77="","",MAX(N(ED77),_xlfn.MAXIFS(Линии[_мин. по типу],Линии[_гр.],DY77,Линии[Щит],A77)))</f>
        <v>16</v>
      </c>
      <c r="EF77">
        <f>IF(AD77="","",_xlfn.MINIFS(Линии[_макс. автомат по кабелю],Линии[_гр.],DY77,Линии[Щит],A77))</f>
        <v>25</v>
      </c>
      <c r="EG77">
        <f>IF(AD77="","",MAX(1,_xlfn.MAXIFS(Линии[_фаз],Линии[_гр.],DY77,Линии[Щит],A77)))</f>
        <v>1</v>
      </c>
      <c r="EH77">
        <f>IF(AD77="","",IF(AND(AD77&lt;&gt;"авто",AD77&lt;&gt;"+"),IF(ISNUMBER(SEARCH("мА",AD77)),IFERROR(--TRIM(RIGHT(SUBSTITUTE(LEFT(AD77,SEARCH("мА",AD77)-1)," ",REPT(" ",9)),6)),30),0),IF(AE77="нет",0,IF(ISNUMBER(AE77),AE77,IF(AE77="да",30,_xlfn.MINIFS(Линии[_дифзащита по коду, мА],Линии[_гр.],DY77,Линии[Щит],A77,Линии[_дифзащита по коду, мА],"&gt;0"))))))</f>
        <v>0</v>
      </c>
      <c r="EI77">
        <f t="shared" si="131"/>
        <v>0</v>
      </c>
      <c r="EJ77" t="str">
        <f t="shared" si="132"/>
        <v>QF24</v>
      </c>
      <c r="EK77" t="str">
        <f t="shared" si="133"/>
        <v>QF24</v>
      </c>
      <c r="EL77" t="str">
        <f t="shared" si="134"/>
        <v/>
      </c>
      <c r="EM77">
        <f t="shared" si="135"/>
        <v>0</v>
      </c>
      <c r="EN77">
        <f>IF(AD77="","",IF(EM77=1,MAX(EE77,Мин_автомат_БП),EE77))</f>
        <v>16</v>
      </c>
      <c r="EO77" t="str">
        <f t="shared" si="136"/>
        <v>1P</v>
      </c>
      <c r="EP77" t="str">
        <f t="shared" si="137"/>
        <v>1P С16А</v>
      </c>
      <c r="EQ77">
        <f t="shared" si="138"/>
        <v>16</v>
      </c>
      <c r="ER77" t="str">
        <f>IF(OR(AI77="",AI77="-"),"",IFERROR(VLOOKUP(AI77,Модули_спр,2,FALSE),"R"))</f>
        <v/>
      </c>
      <c r="ES77" t="str">
        <f>IF(ER77="","",ER77&amp;"."&amp;COUNTIFS(A$3:A77,A77,ER$3:ER77,ER77))</f>
        <v/>
      </c>
      <c r="ET77" t="str">
        <f t="shared" si="139"/>
        <v/>
      </c>
      <c r="EU77" t="str">
        <f t="shared" si="140"/>
        <v/>
      </c>
      <c r="EV77" t="str">
        <f t="shared" si="141"/>
        <v/>
      </c>
      <c r="EW77" t="str">
        <f t="shared" si="142"/>
        <v/>
      </c>
      <c r="EX77">
        <f t="shared" si="143"/>
        <v>1</v>
      </c>
      <c r="EY77" t="str">
        <f>IF(AK77="нет","",IF(AK77&lt;&gt;"",AK77,IF(EX77=1,"XT"&amp;COUNTIFS(A$3:A77,A77,EX$3:EX77,1),"")))</f>
        <v/>
      </c>
      <c r="EZ77" t="str">
        <f t="shared" si="144"/>
        <v>QF24</v>
      </c>
      <c r="FA77" t="str">
        <f t="shared" si="145"/>
        <v/>
      </c>
      <c r="FB77" t="str">
        <f t="shared" si="146"/>
        <v>ok</v>
      </c>
      <c r="FC77" t="str">
        <f>IF(OR(EV77="",ET77=""),"",IF(EV77&gt;IFERROR(VLOOKUP(EU77,Модули_спр,3,FALSE),99),"ЛИШНИЙ КАНАЛ",IF(AND(AJ77&lt;&gt;"=",COUNTIFS(Линии[_модуль гр.],ET77,Линии[Канал (итог)],EV77,Линии[Канал],"&lt;&gt;=",Линии[Щит],A77)&gt;1),"ДУБЛЬ КАНАЛА","")))</f>
        <v/>
      </c>
      <c r="FD77">
        <f t="shared" si="147"/>
        <v>16</v>
      </c>
      <c r="FE77" t="str">
        <f t="shared" si="148"/>
        <v>1P С16А</v>
      </c>
      <c r="FF77">
        <f t="shared" si="149"/>
        <v>0</v>
      </c>
      <c r="FG77">
        <f t="shared" si="150"/>
        <v>0</v>
      </c>
      <c r="FH77" t="str">
        <f t="shared" si="151"/>
        <v/>
      </c>
      <c r="FI77">
        <f t="shared" si="152"/>
        <v>10</v>
      </c>
      <c r="FJ77" t="str">
        <f t="shared" si="153"/>
        <v/>
      </c>
      <c r="FK77" t="str">
        <f>IF(AND(D77="",EZ77=""),"",_xlfn.TEXTJOIN("; ",TRUE,IF(AND(D77&lt;&gt;"",DD77=""),"нет фазы",""),IF(AND(D77&lt;&gt;"",N(DT77)=0,CN77&lt;&gt;"Нет"),"нет мощности",""),IF(AND(EY77&lt;&gt;"",COUNTIFS(Линии[Щит],A77,Линии[Клемма (итог)],EY77)&gt;1),"дубль клеммы "&amp;EY77,""),IF(AND(FB77&lt;&gt;"",FB77&lt;&gt;"ok"),FB77,""),IF(FC77&lt;&gt;"",FC77,""),IF(AND(ISNUMBER(SEARCH("(5х",DS77)),N(DV77)=1),"5 жил на 1 фазе",""),IF(AND(AT77="R",AD77&lt;&gt;"",OR(N(EH77)=0,N(EH77)&gt;30)),"розетка без дифзащиты до 30 мА",""),IFERROR(IF(AND(ISNUMBER(CD77),CD77&gt;CE77),"потери "&amp;FIXED(CD77,1)&amp;" % &gt; "&amp;CE77&amp;" %",""),""),IFERROR(IF(LEFT(FJ77,4)="мало","Iкз мало — отключение &gt; 0,4 с",""),""),IF(AND(D77&lt;&gt;"",BD77=""),"не на схеме","")))</f>
        <v/>
      </c>
      <c r="FL77">
        <f>IF(AD77="","",_xlfn.LET(_xlpm.t,IFERROR(_xlfn.XLOOKUP(EP77,Каталог!$U$4:$U$500,Каталог!$G$4:$G$500),""),_xlpm.k,SEARCH("кА",_xlpm.t),IFERROR(--TRIM(RIGHT(SUBSTITUTE(MID(_xlpm.t,MAX(1,_xlpm.k-4),_xlpm.k-MAX(1,_xlpm.k-4))," ",REPT(" ",9)),5)),"")))</f>
        <v>6</v>
      </c>
      <c r="FM77" t="str">
        <f>IF(OR(FL77="",AD77=""),"",IF(_xlfn.XLOOKUP(A77,Щиты[Щит],Щиты[Iкз max на шинах, кА],"")="","",IF(FL77&lt;_xlfn.XLOOKUP(A77,Щиты[Щит],Щиты[Iкз max на шинах, кА]),"Icu "&amp;FL77&amp;" кА &lt; Iкз max","ok")))</f>
        <v/>
      </c>
      <c r="FN77" t="str">
        <f t="shared" si="154"/>
        <v>QF24</v>
      </c>
      <c r="FO77" t="str">
        <f t="shared" si="155"/>
        <v>QF24|кабель ВВГнг(А)-LS (3х2,5) → Внешний блок кондиционирования Пом. Венткиосок</v>
      </c>
      <c r="FP77" t="str" cm="1">
        <f t="array" ref="FP77">IF(FO77="","",_xlfn.LET(_xlpm.nd,_xlfn.TEXTSPLIT(FO77,"|"),IF(COLUMNS(_xlpm.nd)&gt;1,A77&amp;"¦"&amp;INDEX(_xlpm.nd,1)&amp;"¦"&amp;INDEX(_xlpm.nd,2),"")))</f>
        <v>ЩОВ-001¦QF24¦кабель ВВГнг(А)-LS (3х2,5) → Внешний блок кондиционирования Пом. Венткиосок</v>
      </c>
      <c r="FQ77" t="str">
        <f t="shared" si="156"/>
        <v>K.9¦Внешний блок кондиционирования Пом. Венткиосок</v>
      </c>
      <c r="FR77" t="str" cm="1">
        <f t="array" ref="FR77">IF(FO77="","",_xlfn.LET(_xlpm.nd,_xlfn.TEXTSPLIT(FO77,"|"),IF(COLUMNS(_xlpm.nd)&gt;2,A77&amp;"¦"&amp;INDEX(_xlpm.nd,2)&amp;"¦"&amp;INDEX(_xlpm.nd,3),"")))</f>
        <v/>
      </c>
      <c r="FS77" t="str">
        <f t="shared" si="157"/>
        <v/>
      </c>
      <c r="FT77" t="str" cm="1">
        <f t="array" ref="FT77">IF(FO77="","",_xlfn.LET(_xlpm.nd,_xlfn.TEXTSPLIT(FO77,"|"),IF(COLUMNS(_xlpm.nd)&gt;3,A77&amp;"¦"&amp;INDEX(_xlpm.nd,3)&amp;"¦"&amp;INDEX(_xlpm.nd,4),"")))</f>
        <v/>
      </c>
      <c r="FU77" t="str">
        <f t="shared" si="158"/>
        <v/>
      </c>
      <c r="FV77" t="str" cm="1">
        <f t="array" ref="FV77">IF(FO77="","",_xlfn.LET(_xlpm.nd,_xlfn.TEXTSPLIT(FO77,"|"),IF(COLUMNS(_xlpm.nd)&gt;4,A77&amp;"¦"&amp;INDEX(_xlpm.nd,4)&amp;"¦"&amp;INDEX(_xlpm.nd,5),"")))</f>
        <v/>
      </c>
      <c r="FW77" t="str">
        <f t="shared" si="159"/>
        <v/>
      </c>
      <c r="FX77" t="str" cm="1">
        <f t="array" ref="FX77">IF(FO77="","",_xlfn.LET(_xlpm.nd,_xlfn.TEXTSPLIT(FO77,"|"),IF(COLUMNS(_xlpm.nd)&gt;5,A77&amp;"¦"&amp;INDEX(_xlpm.nd,5)&amp;"¦"&amp;INDEX(_xlpm.nd,6),"")))</f>
        <v/>
      </c>
      <c r="FY77" t="str">
        <f t="shared" si="160"/>
        <v/>
      </c>
      <c r="FZ77" t="str" cm="1">
        <f t="array" ref="FZ77">IF(FO77="","",_xlfn.LET(_xlpm.nd,_xlfn.TEXTSPLIT(FO77,"|"),IF(COLUMNS(_xlpm.nd)&gt;6,A77&amp;"¦"&amp;INDEX(_xlpm.nd,6)&amp;"¦"&amp;INDEX(_xlpm.nd,7),"")))</f>
        <v/>
      </c>
      <c r="GA77" t="str">
        <f t="shared" si="161"/>
        <v/>
      </c>
      <c r="GB77" t="str">
        <f t="shared" si="162"/>
        <v/>
      </c>
      <c r="GC77" t="str">
        <f t="shared" si="163"/>
        <v>QF24</v>
      </c>
      <c r="GD77">
        <f t="shared" si="164"/>
        <v>1</v>
      </c>
      <c r="GE77">
        <f t="shared" si="165"/>
        <v>0</v>
      </c>
      <c r="GF77">
        <f t="shared" si="166"/>
        <v>0</v>
      </c>
      <c r="GG77" t="str">
        <f t="shared" si="167"/>
        <v/>
      </c>
      <c r="GH77" t="str">
        <f t="shared" si="168"/>
        <v/>
      </c>
      <c r="GI77" t="str">
        <f t="shared" si="169"/>
        <v/>
      </c>
      <c r="GJ77" t="str">
        <f t="shared" si="170"/>
        <v/>
      </c>
      <c r="GK77">
        <f>IF(D77="","",IFERROR(VLOOKUP(D77,УГО_спр,2,FALSE),IFERROR(VLOOKUP(AT77,УГО_спр,2,FALSE),IFERROR(VLOOKUP(LEFT(AT77,2),УГО_спр,2,FALSE),""))))</f>
        <v>0</v>
      </c>
      <c r="GL77" t="str">
        <f>IF(D77="","",IF(OR(GK77="",GK77=0),"BOX",IFERROR(IF(VLOOKUP(GK77,УГО_блоки,3,FALSE)&amp;""&lt;&gt;"",VLOOKUP(GK77,УГО_блоки,3,FALSE),VLOOKUP(GK77,УГО_блоки,2,FALSE)),GK77)))</f>
        <v>BOX</v>
      </c>
      <c r="GM77">
        <f t="shared" si="171"/>
        <v>1</v>
      </c>
      <c r="GN77" t="str">
        <f>IF(EP77="","",IF(COUNTIF(EP$3:EP77,EP77)=1,MAX(GN$2:GN76)+1,""))</f>
        <v/>
      </c>
      <c r="GO77" t="str">
        <f>IF(AF77="","",IF(COUNTIF(AF$3:AF77,AF77)+COUNTIF(AG$2:AG76,AF77)+COUNTIF(AH$2:AH76,AF77)=1,MAX(GO$2:GQ76)+1,""))</f>
        <v/>
      </c>
      <c r="GP77" t="str">
        <f>IF(AG77="","",IF(COUNTIF(AF$3:AF77,AG77)+COUNTIF(AG$3:AG77,AG77)+COUNTIF(AH$2:AH76,AG77)=1,MAX(GO$2:GQ76,GO77)+1,""))</f>
        <v/>
      </c>
      <c r="GQ77" t="str">
        <f>IF(AH77="","",IF(COUNTIF(AF$3:AF77,AH77)+COUNTIF(AG$3:AG77,AH77)+COUNTIF(AH$3:AH77,AH77)=1,MAX(GO$2:GQ76,GO77,GP77)+1,""))</f>
        <v/>
      </c>
      <c r="GR77" t="str">
        <f t="shared" si="172"/>
        <v>3х2,5</v>
      </c>
      <c r="GS77" t="str">
        <f>IF(GR77="","",IF(COUNTIF(GR$3:GR77,GR77)=1,MAX(GS$2:GS76)+1,""))</f>
        <v/>
      </c>
      <c r="GT77" t="str">
        <f>IF(ES77="","",COUNTIF(ES$3:ES77,"?*"))</f>
        <v/>
      </c>
      <c r="GU77" t="str">
        <f>IF(OR(ES77="",EU77=""),"",IF(COUNTIFS(ES$3:ES77,"?*",EU$3:EU77,EU77)=1,MAX(GU$2:GU76)+1,""))</f>
        <v/>
      </c>
      <c r="GV77">
        <f t="shared" si="173"/>
        <v>0</v>
      </c>
      <c r="GW77">
        <f>IF(D77="","",COUNTIF(D$3:D77,"?*"))</f>
        <v>75</v>
      </c>
      <c r="GX77">
        <f>IF(EX77&lt;&gt;1,0,_xlfn.LET(_xlpm.k,MAX(IFERROR(--VLOOKUP(D77,УГО_спр,5,FALSE),0),IFERROR(--VLOOKUP(AT77,УГО_спр,5,FALSE),0),IFERROR(--VLOOKUP(LEFT(AT77,2),УГО_спр,5,FALSE),0)),IF(_xlpm.k&gt;0,_xlpm.k,IF(IFERROR(--LEFT(SUBSTITUTE(GR77,"x","х"),FIND("х",SUBSTITUTE(GR77,"x","х"))-1),3)&gt;3,Каталог!$S$9,1))))</f>
        <v>1</v>
      </c>
      <c r="GY77">
        <f t="shared" si="174"/>
        <v>0</v>
      </c>
    </row>
    <row r="78" spans="1:207" x14ac:dyDescent="0.3">
      <c r="A78" t="s">
        <v>752</v>
      </c>
      <c r="B78">
        <v>42</v>
      </c>
      <c r="C78" t="str">
        <f>IF(BD78="","",IF(BE78="вводной узел","узел ","")&amp;"л."&amp;(INT((BD78-1)/Столбцов_на_лист)+1)&amp;" / "&amp;(MOD(BD78-1,Столбцов_на_лист)+1))</f>
        <v>л.3 / 8</v>
      </c>
      <c r="D78" t="s">
        <v>1356</v>
      </c>
      <c r="E78" s="133" t="s">
        <v>1347</v>
      </c>
      <c r="G78">
        <v>1.9</v>
      </c>
      <c r="H78">
        <v>1</v>
      </c>
      <c r="I78">
        <v>1</v>
      </c>
      <c r="J78">
        <v>230</v>
      </c>
      <c r="K78" t="s">
        <v>602</v>
      </c>
      <c r="L78">
        <v>0.5</v>
      </c>
      <c r="O78">
        <v>2</v>
      </c>
      <c r="P78">
        <v>32</v>
      </c>
      <c r="R78">
        <v>28</v>
      </c>
      <c r="T78">
        <v>1</v>
      </c>
      <c r="U78" t="s">
        <v>11</v>
      </c>
      <c r="V78">
        <v>3</v>
      </c>
      <c r="W78">
        <v>2.5</v>
      </c>
      <c r="X78">
        <v>16</v>
      </c>
      <c r="Z78" t="s">
        <v>580</v>
      </c>
      <c r="AA78" t="s">
        <v>818</v>
      </c>
      <c r="AD78" t="s">
        <v>517</v>
      </c>
      <c r="AK78" t="s">
        <v>488</v>
      </c>
      <c r="AR78" t="str">
        <f t="shared" si="88"/>
        <v/>
      </c>
      <c r="AS78" cm="1">
        <f t="array" ref="AS78">ROW()-ROW(Линии[#Headers])</f>
        <v>76</v>
      </c>
      <c r="AT78" t="str">
        <f t="shared" si="89"/>
        <v>K</v>
      </c>
      <c r="AU78" t="str">
        <f t="shared" si="90"/>
        <v>10</v>
      </c>
      <c r="AV78" t="str">
        <f t="shared" si="91"/>
        <v>10</v>
      </c>
      <c r="AW78" t="str">
        <f t="shared" si="92"/>
        <v/>
      </c>
      <c r="AX78" t="str">
        <f t="shared" si="93"/>
        <v/>
      </c>
      <c r="AY78" t="str">
        <f>IF(D78="","",IF(ISERROR(SEARCH(".",D78)),IFERROR(VLOOKUP(D78,Потребители_обозначение,2,FALSE)&amp;"",""),IFERROR(IF(VLOOKUP(AT78,Потребители_обозначение,4,FALSE)=1,VLOOKUP(AT78,Потребители_обозначение,2,FALSE)&amp;" "&amp;VLOOKUP(AV78,Этаж_обозначение,2,FALSE)&amp;" Пом. №"&amp;AX78,VLOOKUP(AT78,Потребители_обозначение,2,FALSE)&amp;" Шлейф №"&amp;AV78),IFERROR(VLOOKUP(D78,Потребители_обозначение,2,FALSE),""))))</f>
        <v/>
      </c>
      <c r="AZ78" t="str">
        <f t="shared" si="94"/>
        <v>Внешний блок кондиционирования Пом. Венткиосок</v>
      </c>
      <c r="BA78" t="str">
        <f>IF(F78&lt;&gt;"",F78,IF(AND(D78&lt;&gt;"",D78&lt;&gt;A78,ISNUMBER(_xlfn.XMATCH(D78,Щиты[Щит]))),D78,""))</f>
        <v/>
      </c>
      <c r="BB78">
        <f>IFERROR(_xlfn.XMATCH(A78,Щиты[Щит]),0)</f>
        <v>4</v>
      </c>
      <c r="BC78">
        <f>IFERROR(N(_xlfn.XLOOKUP(A78,Щиты[Щит],Щиты[Мест под вводной узел])),15)</f>
        <v>13</v>
      </c>
      <c r="BD78">
        <f t="shared" si="95"/>
        <v>42</v>
      </c>
      <c r="BE78" t="str">
        <f t="shared" si="96"/>
        <v>линии</v>
      </c>
      <c r="BF78">
        <f>IF(D78="","",IF(BA78&lt;&gt;"",IFERROR(_xlfn.XLOOKUP(BA78,Щиты[Щит],Щиты[Руст, кВт]),0),N(G78)))</f>
        <v>1.9</v>
      </c>
      <c r="BG78">
        <f>IF(J78&lt;&gt;"",J78,IF(D78="","",IFERROR(IF(VLOOKUP(AT78,Потребители_обозначение,8,FALSE)=0,"",VLOOKUP(AT78,Потребители_обозначение,8,FALSE)),"")))</f>
        <v>230</v>
      </c>
      <c r="BH78">
        <f>IF(I78&lt;&gt;"",I78,IF(D78="","",IFERROR(IF(VLOOKUP(AT78,Потребители_обозначение,9,FALSE)=0,"",VLOOKUP(AT78,Потребители_обозначение,9,FALSE)),"")))</f>
        <v>1</v>
      </c>
      <c r="BI78" t="str">
        <f>IF(U78&lt;&gt;"",U78,IF(D78="","",IFERROR(IF(VLOOKUP(AT78,Потребители_обозначение,6,FALSE)=0,"",VLOOKUP(AT78,Потребители_обозначение,6,FALSE)),"")))</f>
        <v>мс</v>
      </c>
      <c r="BJ78">
        <f>IF(V78&lt;&gt;"",V78,IF(D78="","",IFERROR(IF(VLOOKUP(AT78,Потребители_обозначение,7,FALSE)=0,"",VLOOKUP(AT78,Потребители_обозначение,7,FALSE)),"")))</f>
        <v>3</v>
      </c>
      <c r="BK78">
        <f>IF(W78&lt;&gt;"",W78,IF(D78="","",IFERROR(IF(VLOOKUP(AT78,Потребители_обозначение,10,FALSE)=0,"",VLOOKUP(AT78,Потребители_обозначение,10,FALSE)),"")))</f>
        <v>2.5</v>
      </c>
      <c r="BL78">
        <f>IFERROR(VLOOKUP(AT78,Потребители_обозначение,5,FALSE),0)</f>
        <v>1</v>
      </c>
      <c r="BM78" cm="1">
        <f t="array" ref="BM78">IF(D78="","",IF(BA78&lt;&gt;"",IFERROR(_xlfn.XLOOKUP(BA78,Щиты[Щит],Щиты[cos φ]),0.95),IF(ISNUMBER(M78),M78,IFERROR(IF(BL78=2,_xlfn.IFS(BH78=3,VLOOKUP(BF78,Справочная_двигатели,8,FALSE),BH78=1,VLOOKUP(BF78,Справочная_двигатели,10,TRUE)),IF(AND(Методика="нормы 2026",CN78="Сил"),0.8,0.95)),0.95))))</f>
        <v>0.95</v>
      </c>
      <c r="BN78" cm="1">
        <f t="array" ref="BN78">IF(D78="","",IF(BA78&lt;&gt;"",IFERROR(_xlfn.XLOOKUP(BA78,Щиты[Щит],Щиты[Iр, А]),""),IFERROR(_xlfn.IFS(BH78=1,BF78/((Uн_лин/SQRT(3))*BM78),BH78=3,BF78/(SQRT(3)*Uн_лин*BM78)),"")))</f>
        <v>8.6602540378443855</v>
      </c>
      <c r="BO78">
        <f>IF(D78="","",IF(N(X78)=0,IFERROR(VLOOKUP(BN78,Автомат_номиналы,2,TRUE),""),X78))</f>
        <v>16</v>
      </c>
      <c r="BP78">
        <f t="shared" si="97"/>
        <v>1</v>
      </c>
      <c r="BQ78">
        <f>IF(ISNUMBER(Y78),Y78,К_прокл)</f>
        <v>1</v>
      </c>
      <c r="BR78">
        <f t="shared" si="98"/>
        <v>2</v>
      </c>
      <c r="BS78" cm="1">
        <f t="array" ref="BS78">IF(D78="","",IF(N(BK78)&lt;&gt;0,BK78,IFERROR(_xlfn.LET(_xlpm.need,BO78/(BP78*BQ78),_xlpm.t,CHOOSE(BR78,Iдоп_1ж,Iдоп_2ж,Iдоп_3ж),_xlpm.k,_xlfn.XMATCH(_xlpm.need,_xlpm.t,1),IF(ISNA(_xlpm.k),"Не исп",INDEX(Iдоп_S,_xlpm.k))),"Не исп")))</f>
        <v>2.5</v>
      </c>
      <c r="BT78">
        <f>IFERROR(VLOOKUP(BS78,Кабель_сопротивление,3,FALSE),"")</f>
        <v>2.2499999999999999E-2</v>
      </c>
      <c r="BU78">
        <f>IFERROR(VLOOKUP(BS78,Кабель_сопротивление,2,FALSE),"")</f>
        <v>0.1</v>
      </c>
      <c r="BV78">
        <f t="shared" si="99"/>
        <v>32</v>
      </c>
      <c r="BW78">
        <f>IF(D78="","",IFERROR(IF(VLOOKUP(AT78,Потребители_обозначение,4,FALSE)=1,VLOOKUP(AT78,Потребители_обозначение,3,FALSE)*(H78*2-1)+BV78+VLOOKUP(AV78,Этаж_обозначение,3,FALSE)+VLOOKUP(AV78,Этаж_обозначение,4,FALSE),VLOOKUP(AT78,Потребители_обозначение,3,FALSE)*(H78*2-1)+BV78),BV78))</f>
        <v>32</v>
      </c>
      <c r="BX78">
        <f t="shared" si="100"/>
        <v>28</v>
      </c>
      <c r="BY78">
        <f t="shared" si="101"/>
        <v>0</v>
      </c>
      <c r="BZ78">
        <f t="shared" si="102"/>
        <v>2</v>
      </c>
      <c r="CA78">
        <f t="shared" si="103"/>
        <v>0.31</v>
      </c>
      <c r="CB78">
        <f t="shared" si="104"/>
        <v>4.7560729535195305</v>
      </c>
      <c r="CC78">
        <f>IFERROR(ROUNDUP(CB78/((Uн_лин/SQRT(3))*1000)*100,2),"")</f>
        <v>2.0599999999999996</v>
      </c>
      <c r="CD78">
        <f>IF(ISNUMBER(CC78),CC78+IFERROR(_xlfn.XLOOKUP(A78,Щиты[Щит],Щиты[ΔU до шин, %]),0),"")</f>
        <v>2.5599999999999996</v>
      </c>
      <c r="CE78">
        <f>IF(D78="","",IF(IFERROR(VLOOKUP(AT78,УГО_спр,2,FALSE),"")="Светильник",3,4)+IF(Методика="нормы 2026",MIN(0.5,MAX(0,N(BW78)-100)*0.005),0))</f>
        <v>4</v>
      </c>
      <c r="CF78" t="str">
        <f>IFERROR(VLOOKUP(BI78,Кабель_обозначение,2,FALSE),"")</f>
        <v>ВВГнг(А)-LS</v>
      </c>
      <c r="CG78" t="str">
        <f>IFERROR(IF(VLOOKUP(BI78,Кабель_обозначение,3,FALSE)=1,CF78&amp;" ("&amp;BJ78&amp;"х"&amp;BS78&amp;")",CF78),"")</f>
        <v>ВВГнг(А)-LS (3х2,5)</v>
      </c>
      <c r="CH78" t="str">
        <f t="shared" si="105"/>
        <v>ВВГнг(А)-LS (3х2,5)
L=32-2,06%</v>
      </c>
      <c r="CI78">
        <f>IFERROR(2*ρкз_Cu*BW78/BS78,"")</f>
        <v>0.67327999999999999</v>
      </c>
      <c r="CJ78">
        <f t="shared" si="106"/>
        <v>0.22400000000000003</v>
      </c>
      <c r="CK78" t="str">
        <f>IFERROR(IF(OR(D78="",NOT(ISNUMBER(BS78)),N(BW78)=0),"",_xlfn.XLOOKUP(A78,Щиты[Щит],Щиты[Zпетли на шинах, Ом])+CI78),"")</f>
        <v/>
      </c>
      <c r="CL78" t="str">
        <f>IF(ISNUMBER(CK78),c_min*(Uн_лин*1000/SQRT(3))/CK78,"")</f>
        <v/>
      </c>
      <c r="CM78" t="str">
        <f>IFERROR(IF(OR(D78="",NOT(ISNUMBER(BS78))),"",1.05*(Uн_лин*1000/SQRT(3))/(_xlfn.XLOOKUP(A78,Щиты[Щит],Щиты[Zmax на шинах, Ом])+CJ78)/1000),"")</f>
        <v/>
      </c>
      <c r="CN78" t="str">
        <f>IF(D78="","",IF(BA78&lt;&gt;"","Щит",IF(K78&lt;&gt;"",K78,IF(ISNUMBER(L78),"Сил",IF(IFERROR(_xlfn.XLOOKUP(AT78,Коды_код,Коды_группа)&amp;"","")="","Быт",_xlfn.XLOOKUP(AT78,Коды_код,Коды_группа)&amp;"")))))</f>
        <v>Сил</v>
      </c>
      <c r="CO78">
        <f>IF(CN78="Щит","щит",IF(CN78="","",IF(CN78="Быт",IFERROR(_xlfn.XLOOKUP(A78,Щиты[Щит],Щиты[Кс быт]),1),IF(CN78="Сил",IF(ISNUMBER(L78),L78,IF(Методика="нормы 2026",IFERROR(_xlfn.XLOOKUP(A78,Щиты[Щит],Щиты[Кс силовых (табл. 7.5)]),1),1)),IF(OR(CN78="Пост",CN78="Отоп"),1,IF(CN78="ВНГ",0.7,0))))))</f>
        <v>0.5</v>
      </c>
      <c r="CP78">
        <f t="shared" si="107"/>
        <v>1</v>
      </c>
      <c r="CQ78">
        <f t="shared" si="108"/>
        <v>1.9</v>
      </c>
      <c r="CR78">
        <f t="shared" si="109"/>
        <v>0</v>
      </c>
      <c r="CS78">
        <f t="shared" si="110"/>
        <v>0.95</v>
      </c>
      <c r="CT78">
        <f t="shared" si="111"/>
        <v>0</v>
      </c>
      <c r="CU78">
        <f t="shared" si="112"/>
        <v>0</v>
      </c>
      <c r="CV78">
        <f t="shared" si="113"/>
        <v>0</v>
      </c>
      <c r="CW78">
        <f t="shared" si="114"/>
        <v>1.9</v>
      </c>
      <c r="CX78">
        <f t="shared" si="115"/>
        <v>1.8049999999999999</v>
      </c>
      <c r="CY78">
        <f t="shared" si="116"/>
        <v>1</v>
      </c>
      <c r="CZ78" t="str">
        <f t="shared" si="117"/>
        <v>L1</v>
      </c>
      <c r="DA78" cm="1">
        <f t="array" ref="DA78">IFERROR(IF(BL78=2,_xlfn.IFS(BH78=3,VLOOKUP(BF78,Справочная_двигатели,3,FALSE),BH78=1,VLOOKUP(BF78,Справочная_двигатели,5,TRUE)),0),0)</f>
        <v>0</v>
      </c>
      <c r="DB78">
        <f>IFERROR(IF(BL78=3,VLOOKUP(BF78,Справочная_ЛЭД,2,TRUE),0),0)</f>
        <v>0</v>
      </c>
      <c r="DC78">
        <f t="shared" si="118"/>
        <v>0</v>
      </c>
      <c r="DD78" t="str">
        <f t="shared" si="119"/>
        <v>L2</v>
      </c>
      <c r="DE78" t="str" cm="1">
        <f t="array" ref="DE78">IF(D78="","",IFERROR(INDEX({"I особая","I","II","III"},MATCH(TRIM(AA78&amp;""),{"I особая","I","II","III"},0)),"III"))</f>
        <v>II</v>
      </c>
      <c r="DF78" t="str">
        <f>IF(D78="","",IF(TRIM(AB78&amp;"")&lt;&gt;"",IF(LOWER(TRIM(AB78&amp;""))="да","да","нет"),IF(IFERROR(_xlfn.XLOOKUP(AT78,Коды_код,Коды_пожарная),"")="да","да","нет")))</f>
        <v>нет</v>
      </c>
      <c r="DG78" t="str">
        <f t="shared" si="120"/>
        <v/>
      </c>
      <c r="DH78" t="str">
        <f t="shared" si="121"/>
        <v>основная</v>
      </c>
      <c r="DI78">
        <f t="shared" si="122"/>
        <v>1</v>
      </c>
      <c r="DJ78" t="str" cm="1">
        <f t="array" ref="DJ78">IF(D78="","",_xlfn.LET(_xlpm.t,IFERROR(_xlfn.XLOOKUP(1,(Шины[Шина]=DH78)*(((Шины[Щит]=A78)+(Шины[Щит]=""))&gt;0),Шины[Тип]),"")&amp;"",IF(_xlpm.t&lt;&gt;"",_xlpm.t,IF(ISNUMBER(SEARCH("ИБП",DH78)),"ИБП",IF(ISNUMBER(SEARCH("ДГУ",DH78)),"ДГУ","Ввод "&amp;DI78)))))</f>
        <v>Ввод 1</v>
      </c>
      <c r="DK78" t="str">
        <f t="shared" si="123"/>
        <v>Ввод 1</v>
      </c>
      <c r="DL78" t="str">
        <f>IF(D78="","",IF(OR(DJ78="ИБП",DJ78="ДГУ"),"I особая",IF(DJ78="Одиночная","III",_xlfn.XLOOKUP(A78,Щиты[Щит],Щиты[Категория шины «Ввод»],"III"))))</f>
        <v>II</v>
      </c>
      <c r="DM78">
        <f>IF(D78="",0,IFERROR(MATCH(DE78,{"III","II","I","I особая"},0),1))</f>
        <v>2</v>
      </c>
      <c r="DN78">
        <f t="shared" si="124"/>
        <v>2</v>
      </c>
      <c r="DO78" t="str">
        <f>IF(D78="","",IF(DM78&gt;IFERROR(MATCH(DL78,{"III","II","I","I особая"},0),1),"НЕ ОБЕСПЕЧЕНА","ОК"))</f>
        <v>ОК</v>
      </c>
      <c r="DP78" t="str">
        <f>IF(A78="","",_xlfn.XLOOKUP(A78,Щиты[Щит],Щиты[Путь],""))</f>
        <v>|ГРЩ-ЖД|ЩОВ-001|</v>
      </c>
      <c r="DQ78" t="str">
        <f>IF(D78="","",IF(Z78&lt;&gt;"",Z78,IF(IFERROR(_xlfn.XLOOKUP(AT78,Коды_код,Коды_вид)&amp;"","")="","Прочее",_xlfn.XLOOKUP(AT78,Коды_код,Коды_вид)&amp;"")))</f>
        <v>Кондиционирование и увлажнение</v>
      </c>
      <c r="DR78">
        <f>IF(BD78="","",INT((BD78-1)/Столбцов_на_лист)+1)</f>
        <v>3</v>
      </c>
      <c r="DS78" t="str">
        <f t="shared" si="125"/>
        <v>ВВГнг(А)-LS (3х2,5) L=32-2,06%</v>
      </c>
      <c r="DT78">
        <f t="shared" si="126"/>
        <v>1.9</v>
      </c>
      <c r="DU78">
        <f t="shared" si="127"/>
        <v>8.67</v>
      </c>
      <c r="DV78">
        <f t="shared" si="128"/>
        <v>1</v>
      </c>
      <c r="DW78">
        <f>IF(AT78="",0,_xlfn.LET(_xlpm.v,IFERROR(VLOOKUP(D78,УГО_спр,3,FALSE),IFERROR(VLOOKUP(AT78,УГО_спр,3,FALSE),IFERROR(VLOOKUP(LEFT(AT78,2),УГО_спр,3,FALSE),""))),IF(_xlpm.v="да",30,IF(ISNUMBER(_xlpm.v),_xlpm.v,0))))</f>
        <v>0</v>
      </c>
      <c r="DX78">
        <f t="shared" si="129"/>
        <v>0</v>
      </c>
      <c r="DY78">
        <f>IF(BD78="","",IF(AD78&lt;&gt;"",COUNTIFS(A$3:A78,A78,AD$3:AD78,"?*"),IF(OR(OR(AS78=1,A78&lt;&gt;A77),AL78="вручную"),"",IF(AS78=1,"",DZ77))))</f>
        <v>25</v>
      </c>
      <c r="DZ78">
        <f t="shared" si="130"/>
        <v>25</v>
      </c>
      <c r="EA78">
        <f>IF(D78="",0,MAX(IFERROR(--X78,0),IFERROR(--VLOOKUP(D78,УГО_спр,4,FALSE),IFERROR(--VLOOKUP(AT78,УГО_спр,4,FALSE),IFERROR(--VLOOKUP(LEFT(AT78,2),УГО_спр,4,FALSE),0)))))</f>
        <v>16</v>
      </c>
      <c r="EB78">
        <f>IF(D78="","",IFERROR(LOOKUP(INDEX(CHOOSE(BR78,Iдоп_1ж,Iдоп_2ж,Iдоп_3ж),MATCH(BS78,Iдоп_S,0))*BP78*BQ78,{6,10,16,20,25,32,40,50,63,80,100,125,160,200,250,315,400,500,630}),""))</f>
        <v>25</v>
      </c>
      <c r="EC78">
        <f>IF(AD78="","",SUMIFS(Линии[_Ток схемы],Линии[_гр.],DY78,Линии[Щит],A78,Линии[_в кабель выше],0))</f>
        <v>8.67</v>
      </c>
      <c r="ED78">
        <f>IF(AD78="","",IFERROR(VLOOKUP(EC78,Автомат_номиналы,2,TRUE),""))</f>
        <v>10</v>
      </c>
      <c r="EE78">
        <f>IF(AD78="","",MAX(N(ED78),_xlfn.MAXIFS(Линии[_мин. по типу],Линии[_гр.],DY78,Линии[Щит],A78)))</f>
        <v>16</v>
      </c>
      <c r="EF78">
        <f>IF(AD78="","",_xlfn.MINIFS(Линии[_макс. автомат по кабелю],Линии[_гр.],DY78,Линии[Щит],A78))</f>
        <v>25</v>
      </c>
      <c r="EG78">
        <f>IF(AD78="","",MAX(1,_xlfn.MAXIFS(Линии[_фаз],Линии[_гр.],DY78,Линии[Щит],A78)))</f>
        <v>1</v>
      </c>
      <c r="EH78">
        <f>IF(AD78="","",IF(AND(AD78&lt;&gt;"авто",AD78&lt;&gt;"+"),IF(ISNUMBER(SEARCH("мА",AD78)),IFERROR(--TRIM(RIGHT(SUBSTITUTE(LEFT(AD78,SEARCH("мА",AD78)-1)," ",REPT(" ",9)),6)),30),0),IF(AE78="нет",0,IF(ISNUMBER(AE78),AE78,IF(AE78="да",30,_xlfn.MINIFS(Линии[_дифзащита по коду, мА],Линии[_гр.],DY78,Линии[Щит],A78,Линии[_дифзащита по коду, мА],"&gt;0"))))))</f>
        <v>0</v>
      </c>
      <c r="EI78">
        <f t="shared" si="131"/>
        <v>0</v>
      </c>
      <c r="EJ78" t="str">
        <f t="shared" si="132"/>
        <v>QF25</v>
      </c>
      <c r="EK78" t="str">
        <f t="shared" si="133"/>
        <v>QF25</v>
      </c>
      <c r="EL78" t="str">
        <f t="shared" si="134"/>
        <v/>
      </c>
      <c r="EM78">
        <f t="shared" si="135"/>
        <v>0</v>
      </c>
      <c r="EN78">
        <f>IF(AD78="","",IF(EM78=1,MAX(EE78,Мин_автомат_БП),EE78))</f>
        <v>16</v>
      </c>
      <c r="EO78" t="str">
        <f t="shared" si="136"/>
        <v>1P</v>
      </c>
      <c r="EP78" t="str">
        <f t="shared" si="137"/>
        <v>1P С16А</v>
      </c>
      <c r="EQ78">
        <f t="shared" si="138"/>
        <v>16</v>
      </c>
      <c r="ER78" t="str">
        <f>IF(OR(AI78="",AI78="-"),"",IFERROR(VLOOKUP(AI78,Модули_спр,2,FALSE),"R"))</f>
        <v/>
      </c>
      <c r="ES78" t="str">
        <f>IF(ER78="","",ER78&amp;"."&amp;COUNTIFS(A$3:A78,A78,ER$3:ER78,ER78))</f>
        <v/>
      </c>
      <c r="ET78" t="str">
        <f t="shared" si="139"/>
        <v/>
      </c>
      <c r="EU78" t="str">
        <f t="shared" si="140"/>
        <v/>
      </c>
      <c r="EV78" t="str">
        <f t="shared" si="141"/>
        <v/>
      </c>
      <c r="EW78" t="str">
        <f t="shared" si="142"/>
        <v/>
      </c>
      <c r="EX78">
        <f t="shared" si="143"/>
        <v>1</v>
      </c>
      <c r="EY78" t="str">
        <f>IF(AK78="нет","",IF(AK78&lt;&gt;"",AK78,IF(EX78=1,"XT"&amp;COUNTIFS(A$3:A78,A78,EX$3:EX78,1),"")))</f>
        <v/>
      </c>
      <c r="EZ78" t="str">
        <f t="shared" si="144"/>
        <v>QF25</v>
      </c>
      <c r="FA78" t="str">
        <f t="shared" si="145"/>
        <v/>
      </c>
      <c r="FB78" t="str">
        <f t="shared" si="146"/>
        <v>ok</v>
      </c>
      <c r="FC78" t="str">
        <f>IF(OR(EV78="",ET78=""),"",IF(EV78&gt;IFERROR(VLOOKUP(EU78,Модули_спр,3,FALSE),99),"ЛИШНИЙ КАНАЛ",IF(AND(AJ78&lt;&gt;"=",COUNTIFS(Линии[_модуль гр.],ET78,Линии[Канал (итог)],EV78,Линии[Канал],"&lt;&gt;=",Линии[Щит],A78)&gt;1),"ДУБЛЬ КАНАЛА","")))</f>
        <v/>
      </c>
      <c r="FD78">
        <f t="shared" si="147"/>
        <v>16</v>
      </c>
      <c r="FE78" t="str">
        <f t="shared" si="148"/>
        <v>1P С16А</v>
      </c>
      <c r="FF78">
        <f t="shared" si="149"/>
        <v>0</v>
      </c>
      <c r="FG78">
        <f t="shared" si="150"/>
        <v>0</v>
      </c>
      <c r="FH78" t="str">
        <f t="shared" si="151"/>
        <v/>
      </c>
      <c r="FI78">
        <f t="shared" si="152"/>
        <v>10</v>
      </c>
      <c r="FJ78" t="str">
        <f t="shared" si="153"/>
        <v/>
      </c>
      <c r="FK78" t="str">
        <f>IF(AND(D78="",EZ78=""),"",_xlfn.TEXTJOIN("; ",TRUE,IF(AND(D78&lt;&gt;"",DD78=""),"нет фазы",""),IF(AND(D78&lt;&gt;"",N(DT78)=0,CN78&lt;&gt;"Нет"),"нет мощности",""),IF(AND(EY78&lt;&gt;"",COUNTIFS(Линии[Щит],A78,Линии[Клемма (итог)],EY78)&gt;1),"дубль клеммы "&amp;EY78,""),IF(AND(FB78&lt;&gt;"",FB78&lt;&gt;"ok"),FB78,""),IF(FC78&lt;&gt;"",FC78,""),IF(AND(ISNUMBER(SEARCH("(5х",DS78)),N(DV78)=1),"5 жил на 1 фазе",""),IF(AND(AT78="R",AD78&lt;&gt;"",OR(N(EH78)=0,N(EH78)&gt;30)),"розетка без дифзащиты до 30 мА",""),IFERROR(IF(AND(ISNUMBER(CD78),CD78&gt;CE78),"потери "&amp;FIXED(CD78,1)&amp;" % &gt; "&amp;CE78&amp;" %",""),""),IFERROR(IF(LEFT(FJ78,4)="мало","Iкз мало — отключение &gt; 0,4 с",""),""),IF(AND(D78&lt;&gt;"",BD78=""),"не на схеме","")))</f>
        <v/>
      </c>
      <c r="FL78">
        <f>IF(AD78="","",_xlfn.LET(_xlpm.t,IFERROR(_xlfn.XLOOKUP(EP78,Каталог!$U$4:$U$500,Каталог!$G$4:$G$500),""),_xlpm.k,SEARCH("кА",_xlpm.t),IFERROR(--TRIM(RIGHT(SUBSTITUTE(MID(_xlpm.t,MAX(1,_xlpm.k-4),_xlpm.k-MAX(1,_xlpm.k-4))," ",REPT(" ",9)),5)),"")))</f>
        <v>6</v>
      </c>
      <c r="FM78" t="str">
        <f>IF(OR(FL78="",AD78=""),"",IF(_xlfn.XLOOKUP(A78,Щиты[Щит],Щиты[Iкз max на шинах, кА],"")="","",IF(FL78&lt;_xlfn.XLOOKUP(A78,Щиты[Щит],Щиты[Iкз max на шинах, кА]),"Icu "&amp;FL78&amp;" кА &lt; Iкз max","ok")))</f>
        <v/>
      </c>
      <c r="FN78" t="str">
        <f t="shared" si="154"/>
        <v>QF25</v>
      </c>
      <c r="FO78" t="str">
        <f t="shared" si="155"/>
        <v>QF25|кабель ВВГнг(А)-LS (3х2,5) → Внешний блок кондиционирования Пом. Венткиосок</v>
      </c>
      <c r="FP78" t="str" cm="1">
        <f t="array" ref="FP78">IF(FO78="","",_xlfn.LET(_xlpm.nd,_xlfn.TEXTSPLIT(FO78,"|"),IF(COLUMNS(_xlpm.nd)&gt;1,A78&amp;"¦"&amp;INDEX(_xlpm.nd,1)&amp;"¦"&amp;INDEX(_xlpm.nd,2),"")))</f>
        <v>ЩОВ-001¦QF25¦кабель ВВГнг(А)-LS (3х2,5) → Внешний блок кондиционирования Пом. Венткиосок</v>
      </c>
      <c r="FQ78" t="str">
        <f t="shared" si="156"/>
        <v>K.10¦Внешний блок кондиционирования Пом. Венткиосок</v>
      </c>
      <c r="FR78" t="str" cm="1">
        <f t="array" ref="FR78">IF(FO78="","",_xlfn.LET(_xlpm.nd,_xlfn.TEXTSPLIT(FO78,"|"),IF(COLUMNS(_xlpm.nd)&gt;2,A78&amp;"¦"&amp;INDEX(_xlpm.nd,2)&amp;"¦"&amp;INDEX(_xlpm.nd,3),"")))</f>
        <v/>
      </c>
      <c r="FS78" t="str">
        <f t="shared" si="157"/>
        <v/>
      </c>
      <c r="FT78" t="str" cm="1">
        <f t="array" ref="FT78">IF(FO78="","",_xlfn.LET(_xlpm.nd,_xlfn.TEXTSPLIT(FO78,"|"),IF(COLUMNS(_xlpm.nd)&gt;3,A78&amp;"¦"&amp;INDEX(_xlpm.nd,3)&amp;"¦"&amp;INDEX(_xlpm.nd,4),"")))</f>
        <v/>
      </c>
      <c r="FU78" t="str">
        <f t="shared" si="158"/>
        <v/>
      </c>
      <c r="FV78" t="str" cm="1">
        <f t="array" ref="FV78">IF(FO78="","",_xlfn.LET(_xlpm.nd,_xlfn.TEXTSPLIT(FO78,"|"),IF(COLUMNS(_xlpm.nd)&gt;4,A78&amp;"¦"&amp;INDEX(_xlpm.nd,4)&amp;"¦"&amp;INDEX(_xlpm.nd,5),"")))</f>
        <v/>
      </c>
      <c r="FW78" t="str">
        <f t="shared" si="159"/>
        <v/>
      </c>
      <c r="FX78" t="str" cm="1">
        <f t="array" ref="FX78">IF(FO78="","",_xlfn.LET(_xlpm.nd,_xlfn.TEXTSPLIT(FO78,"|"),IF(COLUMNS(_xlpm.nd)&gt;5,A78&amp;"¦"&amp;INDEX(_xlpm.nd,5)&amp;"¦"&amp;INDEX(_xlpm.nd,6),"")))</f>
        <v/>
      </c>
      <c r="FY78" t="str">
        <f t="shared" si="160"/>
        <v/>
      </c>
      <c r="FZ78" t="str" cm="1">
        <f t="array" ref="FZ78">IF(FO78="","",_xlfn.LET(_xlpm.nd,_xlfn.TEXTSPLIT(FO78,"|"),IF(COLUMNS(_xlpm.nd)&gt;6,A78&amp;"¦"&amp;INDEX(_xlpm.nd,6)&amp;"¦"&amp;INDEX(_xlpm.nd,7),"")))</f>
        <v/>
      </c>
      <c r="GA78" t="str">
        <f t="shared" si="161"/>
        <v/>
      </c>
      <c r="GB78" t="str">
        <f t="shared" si="162"/>
        <v/>
      </c>
      <c r="GC78" t="str">
        <f t="shared" si="163"/>
        <v>QF25</v>
      </c>
      <c r="GD78">
        <f t="shared" si="164"/>
        <v>1</v>
      </c>
      <c r="GE78">
        <f t="shared" si="165"/>
        <v>0</v>
      </c>
      <c r="GF78">
        <f t="shared" si="166"/>
        <v>0</v>
      </c>
      <c r="GG78" t="str">
        <f t="shared" si="167"/>
        <v/>
      </c>
      <c r="GH78" t="str">
        <f t="shared" si="168"/>
        <v/>
      </c>
      <c r="GI78" t="str">
        <f t="shared" si="169"/>
        <v/>
      </c>
      <c r="GJ78" t="str">
        <f t="shared" si="170"/>
        <v/>
      </c>
      <c r="GK78">
        <f>IF(D78="","",IFERROR(VLOOKUP(D78,УГО_спр,2,FALSE),IFERROR(VLOOKUP(AT78,УГО_спр,2,FALSE),IFERROR(VLOOKUP(LEFT(AT78,2),УГО_спр,2,FALSE),""))))</f>
        <v>0</v>
      </c>
      <c r="GL78" t="str">
        <f>IF(D78="","",IF(OR(GK78="",GK78=0),"BOX",IFERROR(IF(VLOOKUP(GK78,УГО_блоки,3,FALSE)&amp;""&lt;&gt;"",VLOOKUP(GK78,УГО_блоки,3,FALSE),VLOOKUP(GK78,УГО_блоки,2,FALSE)),GK78)))</f>
        <v>BOX</v>
      </c>
      <c r="GM78">
        <f t="shared" si="171"/>
        <v>1</v>
      </c>
      <c r="GN78" t="str">
        <f>IF(EP78="","",IF(COUNTIF(EP$3:EP78,EP78)=1,MAX(GN$2:GN77)+1,""))</f>
        <v/>
      </c>
      <c r="GO78" t="str">
        <f>IF(AF78="","",IF(COUNTIF(AF$3:AF78,AF78)+COUNTIF(AG$2:AG77,AF78)+COUNTIF(AH$2:AH77,AF78)=1,MAX(GO$2:GQ77)+1,""))</f>
        <v/>
      </c>
      <c r="GP78" t="str">
        <f>IF(AG78="","",IF(COUNTIF(AF$3:AF78,AG78)+COUNTIF(AG$3:AG78,AG78)+COUNTIF(AH$2:AH77,AG78)=1,MAX(GO$2:GQ77,GO78)+1,""))</f>
        <v/>
      </c>
      <c r="GQ78" t="str">
        <f>IF(AH78="","",IF(COUNTIF(AF$3:AF78,AH78)+COUNTIF(AG$3:AG78,AH78)+COUNTIF(AH$3:AH78,AH78)=1,MAX(GO$2:GQ77,GO78,GP78)+1,""))</f>
        <v/>
      </c>
      <c r="GR78" t="str">
        <f t="shared" si="172"/>
        <v>3х2,5</v>
      </c>
      <c r="GS78" t="str">
        <f>IF(GR78="","",IF(COUNTIF(GR$3:GR78,GR78)=1,MAX(GS$2:GS77)+1,""))</f>
        <v/>
      </c>
      <c r="GT78" t="str">
        <f>IF(ES78="","",COUNTIF(ES$3:ES78,"?*"))</f>
        <v/>
      </c>
      <c r="GU78" t="str">
        <f>IF(OR(ES78="",EU78=""),"",IF(COUNTIFS(ES$3:ES78,"?*",EU$3:EU78,EU78)=1,MAX(GU$2:GU77)+1,""))</f>
        <v/>
      </c>
      <c r="GV78">
        <f t="shared" si="173"/>
        <v>0</v>
      </c>
      <c r="GW78">
        <f>IF(D78="","",COUNTIF(D$3:D78,"?*"))</f>
        <v>76</v>
      </c>
      <c r="GX78">
        <f>IF(EX78&lt;&gt;1,0,_xlfn.LET(_xlpm.k,MAX(IFERROR(--VLOOKUP(D78,УГО_спр,5,FALSE),0),IFERROR(--VLOOKUP(AT78,УГО_спр,5,FALSE),0),IFERROR(--VLOOKUP(LEFT(AT78,2),УГО_спр,5,FALSE),0)),IF(_xlpm.k&gt;0,_xlpm.k,IF(IFERROR(--LEFT(SUBSTITUTE(GR78,"x","х"),FIND("х",SUBSTITUTE(GR78,"x","х"))-1),3)&gt;3,Каталог!$S$9,1))))</f>
        <v>1</v>
      </c>
      <c r="GY78">
        <f t="shared" si="174"/>
        <v>0</v>
      </c>
    </row>
    <row r="79" spans="1:207" x14ac:dyDescent="0.3">
      <c r="A79" t="s">
        <v>752</v>
      </c>
      <c r="B79">
        <v>43</v>
      </c>
      <c r="C79" t="str">
        <f>IF(BD79="","",IF(BE79="вводной узел","узел ","")&amp;"л."&amp;(INT((BD79-1)/Столбцов_на_лист)+1)&amp;" / "&amp;(MOD(BD79-1,Столбцов_на_лист)+1))</f>
        <v>л.3 / 9</v>
      </c>
      <c r="D79" t="s">
        <v>1357</v>
      </c>
      <c r="E79" s="133" t="s">
        <v>1347</v>
      </c>
      <c r="G79">
        <v>1.9</v>
      </c>
      <c r="H79">
        <v>1</v>
      </c>
      <c r="I79">
        <v>1</v>
      </c>
      <c r="J79">
        <v>230</v>
      </c>
      <c r="K79" t="s">
        <v>602</v>
      </c>
      <c r="L79">
        <v>0.5</v>
      </c>
      <c r="O79">
        <v>3</v>
      </c>
      <c r="P79">
        <v>32</v>
      </c>
      <c r="R79">
        <v>28</v>
      </c>
      <c r="T79">
        <v>1</v>
      </c>
      <c r="U79" t="s">
        <v>11</v>
      </c>
      <c r="V79">
        <v>3</v>
      </c>
      <c r="W79">
        <v>2.5</v>
      </c>
      <c r="X79">
        <v>16</v>
      </c>
      <c r="Z79" t="s">
        <v>580</v>
      </c>
      <c r="AA79" t="s">
        <v>818</v>
      </c>
      <c r="AD79" t="s">
        <v>517</v>
      </c>
      <c r="AK79" t="s">
        <v>488</v>
      </c>
      <c r="AR79" t="str">
        <f t="shared" si="88"/>
        <v/>
      </c>
      <c r="AS79" cm="1">
        <f t="array" ref="AS79">ROW()-ROW(Линии[#Headers])</f>
        <v>77</v>
      </c>
      <c r="AT79" t="str">
        <f t="shared" si="89"/>
        <v>K</v>
      </c>
      <c r="AU79" t="str">
        <f t="shared" si="90"/>
        <v>11</v>
      </c>
      <c r="AV79" t="str">
        <f t="shared" si="91"/>
        <v>11</v>
      </c>
      <c r="AW79" t="str">
        <f t="shared" si="92"/>
        <v/>
      </c>
      <c r="AX79" t="str">
        <f t="shared" si="93"/>
        <v/>
      </c>
      <c r="AY79" t="str">
        <f>IF(D79="","",IF(ISERROR(SEARCH(".",D79)),IFERROR(VLOOKUP(D79,Потребители_обозначение,2,FALSE)&amp;"",""),IFERROR(IF(VLOOKUP(AT79,Потребители_обозначение,4,FALSE)=1,VLOOKUP(AT79,Потребители_обозначение,2,FALSE)&amp;" "&amp;VLOOKUP(AV79,Этаж_обозначение,2,FALSE)&amp;" Пом. №"&amp;AX79,VLOOKUP(AT79,Потребители_обозначение,2,FALSE)&amp;" Шлейф №"&amp;AV79),IFERROR(VLOOKUP(D79,Потребители_обозначение,2,FALSE),""))))</f>
        <v/>
      </c>
      <c r="AZ79" t="str">
        <f t="shared" si="94"/>
        <v>Внешний блок кондиционирования Пом. Венткиосок</v>
      </c>
      <c r="BA79" t="str">
        <f>IF(F79&lt;&gt;"",F79,IF(AND(D79&lt;&gt;"",D79&lt;&gt;A79,ISNUMBER(_xlfn.XMATCH(D79,Щиты[Щит]))),D79,""))</f>
        <v/>
      </c>
      <c r="BB79">
        <f>IFERROR(_xlfn.XMATCH(A79,Щиты[Щит]),0)</f>
        <v>4</v>
      </c>
      <c r="BC79">
        <f>IFERROR(N(_xlfn.XLOOKUP(A79,Щиты[Щит],Щиты[Мест под вводной узел])),15)</f>
        <v>13</v>
      </c>
      <c r="BD79">
        <f t="shared" si="95"/>
        <v>43</v>
      </c>
      <c r="BE79" t="str">
        <f t="shared" si="96"/>
        <v>линии</v>
      </c>
      <c r="BF79">
        <f>IF(D79="","",IF(BA79&lt;&gt;"",IFERROR(_xlfn.XLOOKUP(BA79,Щиты[Щит],Щиты[Руст, кВт]),0),N(G79)))</f>
        <v>1.9</v>
      </c>
      <c r="BG79">
        <f>IF(J79&lt;&gt;"",J79,IF(D79="","",IFERROR(IF(VLOOKUP(AT79,Потребители_обозначение,8,FALSE)=0,"",VLOOKUP(AT79,Потребители_обозначение,8,FALSE)),"")))</f>
        <v>230</v>
      </c>
      <c r="BH79">
        <f>IF(I79&lt;&gt;"",I79,IF(D79="","",IFERROR(IF(VLOOKUP(AT79,Потребители_обозначение,9,FALSE)=0,"",VLOOKUP(AT79,Потребители_обозначение,9,FALSE)),"")))</f>
        <v>1</v>
      </c>
      <c r="BI79" t="str">
        <f>IF(U79&lt;&gt;"",U79,IF(D79="","",IFERROR(IF(VLOOKUP(AT79,Потребители_обозначение,6,FALSE)=0,"",VLOOKUP(AT79,Потребители_обозначение,6,FALSE)),"")))</f>
        <v>мс</v>
      </c>
      <c r="BJ79">
        <f>IF(V79&lt;&gt;"",V79,IF(D79="","",IFERROR(IF(VLOOKUP(AT79,Потребители_обозначение,7,FALSE)=0,"",VLOOKUP(AT79,Потребители_обозначение,7,FALSE)),"")))</f>
        <v>3</v>
      </c>
      <c r="BK79">
        <f>IF(W79&lt;&gt;"",W79,IF(D79="","",IFERROR(IF(VLOOKUP(AT79,Потребители_обозначение,10,FALSE)=0,"",VLOOKUP(AT79,Потребители_обозначение,10,FALSE)),"")))</f>
        <v>2.5</v>
      </c>
      <c r="BL79">
        <f>IFERROR(VLOOKUP(AT79,Потребители_обозначение,5,FALSE),0)</f>
        <v>1</v>
      </c>
      <c r="BM79" cm="1">
        <f t="array" ref="BM79">IF(D79="","",IF(BA79&lt;&gt;"",IFERROR(_xlfn.XLOOKUP(BA79,Щиты[Щит],Щиты[cos φ]),0.95),IF(ISNUMBER(M79),M79,IFERROR(IF(BL79=2,_xlfn.IFS(BH79=3,VLOOKUP(BF79,Справочная_двигатели,8,FALSE),BH79=1,VLOOKUP(BF79,Справочная_двигатели,10,TRUE)),IF(AND(Методика="нормы 2026",CN79="Сил"),0.8,0.95)),0.95))))</f>
        <v>0.95</v>
      </c>
      <c r="BN79" cm="1">
        <f t="array" ref="BN79">IF(D79="","",IF(BA79&lt;&gt;"",IFERROR(_xlfn.XLOOKUP(BA79,Щиты[Щит],Щиты[Iр, А]),""),IFERROR(_xlfn.IFS(BH79=1,BF79/((Uн_лин/SQRT(3))*BM79),BH79=3,BF79/(SQRT(3)*Uн_лин*BM79)),"")))</f>
        <v>8.6602540378443855</v>
      </c>
      <c r="BO79">
        <f>IF(D79="","",IF(N(X79)=0,IFERROR(VLOOKUP(BN79,Автомат_номиналы,2,TRUE),""),X79))</f>
        <v>16</v>
      </c>
      <c r="BP79">
        <f t="shared" si="97"/>
        <v>1</v>
      </c>
      <c r="BQ79">
        <f>IF(ISNUMBER(Y79),Y79,К_прокл)</f>
        <v>1</v>
      </c>
      <c r="BR79">
        <f t="shared" si="98"/>
        <v>2</v>
      </c>
      <c r="BS79" cm="1">
        <f t="array" ref="BS79">IF(D79="","",IF(N(BK79)&lt;&gt;0,BK79,IFERROR(_xlfn.LET(_xlpm.need,BO79/(BP79*BQ79),_xlpm.t,CHOOSE(BR79,Iдоп_1ж,Iдоп_2ж,Iдоп_3ж),_xlpm.k,_xlfn.XMATCH(_xlpm.need,_xlpm.t,1),IF(ISNA(_xlpm.k),"Не исп",INDEX(Iдоп_S,_xlpm.k))),"Не исп")))</f>
        <v>2.5</v>
      </c>
      <c r="BT79">
        <f>IFERROR(VLOOKUP(BS79,Кабель_сопротивление,3,FALSE),"")</f>
        <v>2.2499999999999999E-2</v>
      </c>
      <c r="BU79">
        <f>IFERROR(VLOOKUP(BS79,Кабель_сопротивление,2,FALSE),"")</f>
        <v>0.1</v>
      </c>
      <c r="BV79">
        <f t="shared" si="99"/>
        <v>32</v>
      </c>
      <c r="BW79">
        <f>IF(D79="","",IFERROR(IF(VLOOKUP(AT79,Потребители_обозначение,4,FALSE)=1,VLOOKUP(AT79,Потребители_обозначение,3,FALSE)*(H79*2-1)+BV79+VLOOKUP(AV79,Этаж_обозначение,3,FALSE)+VLOOKUP(AV79,Этаж_обозначение,4,FALSE),VLOOKUP(AT79,Потребители_обозначение,3,FALSE)*(H79*2-1)+BV79),BV79))</f>
        <v>32</v>
      </c>
      <c r="BX79">
        <f t="shared" si="100"/>
        <v>28</v>
      </c>
      <c r="BY79">
        <f t="shared" si="101"/>
        <v>0</v>
      </c>
      <c r="BZ79">
        <f t="shared" si="102"/>
        <v>2</v>
      </c>
      <c r="CA79">
        <f t="shared" si="103"/>
        <v>0.31</v>
      </c>
      <c r="CB79">
        <f t="shared" si="104"/>
        <v>4.7560729535195305</v>
      </c>
      <c r="CC79">
        <f>IFERROR(ROUNDUP(CB79/((Uн_лин/SQRT(3))*1000)*100,2),"")</f>
        <v>2.0599999999999996</v>
      </c>
      <c r="CD79">
        <f>IF(ISNUMBER(CC79),CC79+IFERROR(_xlfn.XLOOKUP(A79,Щиты[Щит],Щиты[ΔU до шин, %]),0),"")</f>
        <v>2.5599999999999996</v>
      </c>
      <c r="CE79">
        <f>IF(D79="","",IF(IFERROR(VLOOKUP(AT79,УГО_спр,2,FALSE),"")="Светильник",3,4)+IF(Методика="нормы 2026",MIN(0.5,MAX(0,N(BW79)-100)*0.005),0))</f>
        <v>4</v>
      </c>
      <c r="CF79" t="str">
        <f>IFERROR(VLOOKUP(BI79,Кабель_обозначение,2,FALSE),"")</f>
        <v>ВВГнг(А)-LS</v>
      </c>
      <c r="CG79" t="str">
        <f>IFERROR(IF(VLOOKUP(BI79,Кабель_обозначение,3,FALSE)=1,CF79&amp;" ("&amp;BJ79&amp;"х"&amp;BS79&amp;")",CF79),"")</f>
        <v>ВВГнг(А)-LS (3х2,5)</v>
      </c>
      <c r="CH79" t="str">
        <f t="shared" si="105"/>
        <v>ВВГнг(А)-LS (3х2,5)
L=32-2,06%</v>
      </c>
      <c r="CI79">
        <f>IFERROR(2*ρкз_Cu*BW79/BS79,"")</f>
        <v>0.67327999999999999</v>
      </c>
      <c r="CJ79">
        <f t="shared" si="106"/>
        <v>0.22400000000000003</v>
      </c>
      <c r="CK79" t="str">
        <f>IFERROR(IF(OR(D79="",NOT(ISNUMBER(BS79)),N(BW79)=0),"",_xlfn.XLOOKUP(A79,Щиты[Щит],Щиты[Zпетли на шинах, Ом])+CI79),"")</f>
        <v/>
      </c>
      <c r="CL79" t="str">
        <f>IF(ISNUMBER(CK79),c_min*(Uн_лин*1000/SQRT(3))/CK79,"")</f>
        <v/>
      </c>
      <c r="CM79" t="str">
        <f>IFERROR(IF(OR(D79="",NOT(ISNUMBER(BS79))),"",1.05*(Uн_лин*1000/SQRT(3))/(_xlfn.XLOOKUP(A79,Щиты[Щит],Щиты[Zmax на шинах, Ом])+CJ79)/1000),"")</f>
        <v/>
      </c>
      <c r="CN79" t="str">
        <f>IF(D79="","",IF(BA79&lt;&gt;"","Щит",IF(K79&lt;&gt;"",K79,IF(ISNUMBER(L79),"Сил",IF(IFERROR(_xlfn.XLOOKUP(AT79,Коды_код,Коды_группа)&amp;"","")="","Быт",_xlfn.XLOOKUP(AT79,Коды_код,Коды_группа)&amp;"")))))</f>
        <v>Сил</v>
      </c>
      <c r="CO79">
        <f>IF(CN79="Щит","щит",IF(CN79="","",IF(CN79="Быт",IFERROR(_xlfn.XLOOKUP(A79,Щиты[Щит],Щиты[Кс быт]),1),IF(CN79="Сил",IF(ISNUMBER(L79),L79,IF(Методика="нормы 2026",IFERROR(_xlfn.XLOOKUP(A79,Щиты[Щит],Щиты[Кс силовых (табл. 7.5)]),1),1)),IF(OR(CN79="Пост",CN79="Отоп"),1,IF(CN79="ВНГ",0.7,0))))))</f>
        <v>0.5</v>
      </c>
      <c r="CP79">
        <f t="shared" si="107"/>
        <v>1</v>
      </c>
      <c r="CQ79">
        <f t="shared" si="108"/>
        <v>1.9</v>
      </c>
      <c r="CR79">
        <f t="shared" si="109"/>
        <v>0</v>
      </c>
      <c r="CS79">
        <f t="shared" si="110"/>
        <v>0.95</v>
      </c>
      <c r="CT79">
        <f t="shared" si="111"/>
        <v>0</v>
      </c>
      <c r="CU79">
        <f t="shared" si="112"/>
        <v>0</v>
      </c>
      <c r="CV79">
        <f t="shared" si="113"/>
        <v>0</v>
      </c>
      <c r="CW79">
        <f t="shared" si="114"/>
        <v>1.9</v>
      </c>
      <c r="CX79">
        <f t="shared" si="115"/>
        <v>1.8049999999999999</v>
      </c>
      <c r="CY79">
        <f t="shared" si="116"/>
        <v>2</v>
      </c>
      <c r="CZ79" t="str">
        <f t="shared" si="117"/>
        <v>L2</v>
      </c>
      <c r="DA79" cm="1">
        <f t="array" ref="DA79">IFERROR(IF(BL79=2,_xlfn.IFS(BH79=3,VLOOKUP(BF79,Справочная_двигатели,3,FALSE),BH79=1,VLOOKUP(BF79,Справочная_двигатели,5,TRUE)),0),0)</f>
        <v>0</v>
      </c>
      <c r="DB79">
        <f>IFERROR(IF(BL79=3,VLOOKUP(BF79,Справочная_ЛЭД,2,TRUE),0),0)</f>
        <v>0</v>
      </c>
      <c r="DC79">
        <f t="shared" si="118"/>
        <v>0</v>
      </c>
      <c r="DD79" t="str">
        <f t="shared" si="119"/>
        <v>L3</v>
      </c>
      <c r="DE79" t="str" cm="1">
        <f t="array" ref="DE79">IF(D79="","",IFERROR(INDEX({"I особая","I","II","III"},MATCH(TRIM(AA79&amp;""),{"I особая","I","II","III"},0)),"III"))</f>
        <v>II</v>
      </c>
      <c r="DF79" t="str">
        <f>IF(D79="","",IF(TRIM(AB79&amp;"")&lt;&gt;"",IF(LOWER(TRIM(AB79&amp;""))="да","да","нет"),IF(IFERROR(_xlfn.XLOOKUP(AT79,Коды_код,Коды_пожарная),"")="да","да","нет")))</f>
        <v>нет</v>
      </c>
      <c r="DG79" t="str">
        <f t="shared" si="120"/>
        <v/>
      </c>
      <c r="DH79" t="str">
        <f t="shared" si="121"/>
        <v>основная</v>
      </c>
      <c r="DI79">
        <f t="shared" si="122"/>
        <v>1</v>
      </c>
      <c r="DJ79" t="str" cm="1">
        <f t="array" ref="DJ79">IF(D79="","",_xlfn.LET(_xlpm.t,IFERROR(_xlfn.XLOOKUP(1,(Шины[Шина]=DH79)*(((Шины[Щит]=A79)+(Шины[Щит]=""))&gt;0),Шины[Тип]),"")&amp;"",IF(_xlpm.t&lt;&gt;"",_xlpm.t,IF(ISNUMBER(SEARCH("ИБП",DH79)),"ИБП",IF(ISNUMBER(SEARCH("ДГУ",DH79)),"ДГУ","Ввод "&amp;DI79)))))</f>
        <v>Ввод 1</v>
      </c>
      <c r="DK79" t="str">
        <f t="shared" si="123"/>
        <v>Ввод 1</v>
      </c>
      <c r="DL79" t="str">
        <f>IF(D79="","",IF(OR(DJ79="ИБП",DJ79="ДГУ"),"I особая",IF(DJ79="Одиночная","III",_xlfn.XLOOKUP(A79,Щиты[Щит],Щиты[Категория шины «Ввод»],"III"))))</f>
        <v>II</v>
      </c>
      <c r="DM79">
        <f>IF(D79="",0,IFERROR(MATCH(DE79,{"III","II","I","I особая"},0),1))</f>
        <v>2</v>
      </c>
      <c r="DN79">
        <f t="shared" si="124"/>
        <v>2</v>
      </c>
      <c r="DO79" t="str">
        <f>IF(D79="","",IF(DM79&gt;IFERROR(MATCH(DL79,{"III","II","I","I особая"},0),1),"НЕ ОБЕСПЕЧЕНА","ОК"))</f>
        <v>ОК</v>
      </c>
      <c r="DP79" t="str">
        <f>IF(A79="","",_xlfn.XLOOKUP(A79,Щиты[Щит],Щиты[Путь],""))</f>
        <v>|ГРЩ-ЖД|ЩОВ-001|</v>
      </c>
      <c r="DQ79" t="str">
        <f>IF(D79="","",IF(Z79&lt;&gt;"",Z79,IF(IFERROR(_xlfn.XLOOKUP(AT79,Коды_код,Коды_вид)&amp;"","")="","Прочее",_xlfn.XLOOKUP(AT79,Коды_код,Коды_вид)&amp;"")))</f>
        <v>Кондиционирование и увлажнение</v>
      </c>
      <c r="DR79">
        <f>IF(BD79="","",INT((BD79-1)/Столбцов_на_лист)+1)</f>
        <v>3</v>
      </c>
      <c r="DS79" t="str">
        <f t="shared" si="125"/>
        <v>ВВГнг(А)-LS (3х2,5) L=32-2,06%</v>
      </c>
      <c r="DT79">
        <f t="shared" si="126"/>
        <v>1.9</v>
      </c>
      <c r="DU79">
        <f t="shared" si="127"/>
        <v>8.67</v>
      </c>
      <c r="DV79">
        <f t="shared" si="128"/>
        <v>1</v>
      </c>
      <c r="DW79">
        <f>IF(AT79="",0,_xlfn.LET(_xlpm.v,IFERROR(VLOOKUP(D79,УГО_спр,3,FALSE),IFERROR(VLOOKUP(AT79,УГО_спр,3,FALSE),IFERROR(VLOOKUP(LEFT(AT79,2),УГО_спр,3,FALSE),""))),IF(_xlpm.v="да",30,IF(ISNUMBER(_xlpm.v),_xlpm.v,0))))</f>
        <v>0</v>
      </c>
      <c r="DX79">
        <f t="shared" si="129"/>
        <v>0</v>
      </c>
      <c r="DY79">
        <f>IF(BD79="","",IF(AD79&lt;&gt;"",COUNTIFS(A$3:A79,A79,AD$3:AD79,"?*"),IF(OR(OR(AS79=1,A79&lt;&gt;A78),AL79="вручную"),"",IF(AS79=1,"",DZ78))))</f>
        <v>26</v>
      </c>
      <c r="DZ79">
        <f t="shared" si="130"/>
        <v>26</v>
      </c>
      <c r="EA79">
        <f>IF(D79="",0,MAX(IFERROR(--X79,0),IFERROR(--VLOOKUP(D79,УГО_спр,4,FALSE),IFERROR(--VLOOKUP(AT79,УГО_спр,4,FALSE),IFERROR(--VLOOKUP(LEFT(AT79,2),УГО_спр,4,FALSE),0)))))</f>
        <v>16</v>
      </c>
      <c r="EB79">
        <f>IF(D79="","",IFERROR(LOOKUP(INDEX(CHOOSE(BR79,Iдоп_1ж,Iдоп_2ж,Iдоп_3ж),MATCH(BS79,Iдоп_S,0))*BP79*BQ79,{6,10,16,20,25,32,40,50,63,80,100,125,160,200,250,315,400,500,630}),""))</f>
        <v>25</v>
      </c>
      <c r="EC79">
        <f>IF(AD79="","",SUMIFS(Линии[_Ток схемы],Линии[_гр.],DY79,Линии[Щит],A79,Линии[_в кабель выше],0))</f>
        <v>8.67</v>
      </c>
      <c r="ED79">
        <f>IF(AD79="","",IFERROR(VLOOKUP(EC79,Автомат_номиналы,2,TRUE),""))</f>
        <v>10</v>
      </c>
      <c r="EE79">
        <f>IF(AD79="","",MAX(N(ED79),_xlfn.MAXIFS(Линии[_мин. по типу],Линии[_гр.],DY79,Линии[Щит],A79)))</f>
        <v>16</v>
      </c>
      <c r="EF79">
        <f>IF(AD79="","",_xlfn.MINIFS(Линии[_макс. автомат по кабелю],Линии[_гр.],DY79,Линии[Щит],A79))</f>
        <v>25</v>
      </c>
      <c r="EG79">
        <f>IF(AD79="","",MAX(1,_xlfn.MAXIFS(Линии[_фаз],Линии[_гр.],DY79,Линии[Щит],A79)))</f>
        <v>1</v>
      </c>
      <c r="EH79">
        <f>IF(AD79="","",IF(AND(AD79&lt;&gt;"авто",AD79&lt;&gt;"+"),IF(ISNUMBER(SEARCH("мА",AD79)),IFERROR(--TRIM(RIGHT(SUBSTITUTE(LEFT(AD79,SEARCH("мА",AD79)-1)," ",REPT(" ",9)),6)),30),0),IF(AE79="нет",0,IF(ISNUMBER(AE79),AE79,IF(AE79="да",30,_xlfn.MINIFS(Линии[_дифзащита по коду, мА],Линии[_гр.],DY79,Линии[Щит],A79,Линии[_дифзащита по коду, мА],"&gt;0"))))))</f>
        <v>0</v>
      </c>
      <c r="EI79">
        <f t="shared" si="131"/>
        <v>0</v>
      </c>
      <c r="EJ79" t="str">
        <f t="shared" si="132"/>
        <v>QF26</v>
      </c>
      <c r="EK79" t="str">
        <f t="shared" si="133"/>
        <v>QF26</v>
      </c>
      <c r="EL79" t="str">
        <f t="shared" si="134"/>
        <v/>
      </c>
      <c r="EM79">
        <f t="shared" si="135"/>
        <v>0</v>
      </c>
      <c r="EN79">
        <f>IF(AD79="","",IF(EM79=1,MAX(EE79,Мин_автомат_БП),EE79))</f>
        <v>16</v>
      </c>
      <c r="EO79" t="str">
        <f t="shared" si="136"/>
        <v>1P</v>
      </c>
      <c r="EP79" t="str">
        <f t="shared" si="137"/>
        <v>1P С16А</v>
      </c>
      <c r="EQ79">
        <f t="shared" si="138"/>
        <v>16</v>
      </c>
      <c r="ER79" t="str">
        <f>IF(OR(AI79="",AI79="-"),"",IFERROR(VLOOKUP(AI79,Модули_спр,2,FALSE),"R"))</f>
        <v/>
      </c>
      <c r="ES79" t="str">
        <f>IF(ER79="","",ER79&amp;"."&amp;COUNTIFS(A$3:A79,A79,ER$3:ER79,ER79))</f>
        <v/>
      </c>
      <c r="ET79" t="str">
        <f t="shared" si="139"/>
        <v/>
      </c>
      <c r="EU79" t="str">
        <f t="shared" si="140"/>
        <v/>
      </c>
      <c r="EV79" t="str">
        <f t="shared" si="141"/>
        <v/>
      </c>
      <c r="EW79" t="str">
        <f t="shared" si="142"/>
        <v/>
      </c>
      <c r="EX79">
        <f t="shared" si="143"/>
        <v>1</v>
      </c>
      <c r="EY79" t="str">
        <f>IF(AK79="нет","",IF(AK79&lt;&gt;"",AK79,IF(EX79=1,"XT"&amp;COUNTIFS(A$3:A79,A79,EX$3:EX79,1),"")))</f>
        <v/>
      </c>
      <c r="EZ79" t="str">
        <f t="shared" si="144"/>
        <v>QF26</v>
      </c>
      <c r="FA79" t="str">
        <f t="shared" si="145"/>
        <v/>
      </c>
      <c r="FB79" t="str">
        <f t="shared" si="146"/>
        <v>ok</v>
      </c>
      <c r="FC79" t="str">
        <f>IF(OR(EV79="",ET79=""),"",IF(EV79&gt;IFERROR(VLOOKUP(EU79,Модули_спр,3,FALSE),99),"ЛИШНИЙ КАНАЛ",IF(AND(AJ79&lt;&gt;"=",COUNTIFS(Линии[_модуль гр.],ET79,Линии[Канал (итог)],EV79,Линии[Канал],"&lt;&gt;=",Линии[Щит],A79)&gt;1),"ДУБЛЬ КАНАЛА","")))</f>
        <v/>
      </c>
      <c r="FD79">
        <f t="shared" si="147"/>
        <v>16</v>
      </c>
      <c r="FE79" t="str">
        <f t="shared" si="148"/>
        <v>1P С16А</v>
      </c>
      <c r="FF79">
        <f t="shared" si="149"/>
        <v>0</v>
      </c>
      <c r="FG79">
        <f t="shared" si="150"/>
        <v>0</v>
      </c>
      <c r="FH79" t="str">
        <f t="shared" si="151"/>
        <v/>
      </c>
      <c r="FI79">
        <f t="shared" si="152"/>
        <v>10</v>
      </c>
      <c r="FJ79" t="str">
        <f t="shared" si="153"/>
        <v/>
      </c>
      <c r="FK79" t="str">
        <f>IF(AND(D79="",EZ79=""),"",_xlfn.TEXTJOIN("; ",TRUE,IF(AND(D79&lt;&gt;"",DD79=""),"нет фазы",""),IF(AND(D79&lt;&gt;"",N(DT79)=0,CN79&lt;&gt;"Нет"),"нет мощности",""),IF(AND(EY79&lt;&gt;"",COUNTIFS(Линии[Щит],A79,Линии[Клемма (итог)],EY79)&gt;1),"дубль клеммы "&amp;EY79,""),IF(AND(FB79&lt;&gt;"",FB79&lt;&gt;"ok"),FB79,""),IF(FC79&lt;&gt;"",FC79,""),IF(AND(ISNUMBER(SEARCH("(5х",DS79)),N(DV79)=1),"5 жил на 1 фазе",""),IF(AND(AT79="R",AD79&lt;&gt;"",OR(N(EH79)=0,N(EH79)&gt;30)),"розетка без дифзащиты до 30 мА",""),IFERROR(IF(AND(ISNUMBER(CD79),CD79&gt;CE79),"потери "&amp;FIXED(CD79,1)&amp;" % &gt; "&amp;CE79&amp;" %",""),""),IFERROR(IF(LEFT(FJ79,4)="мало","Iкз мало — отключение &gt; 0,4 с",""),""),IF(AND(D79&lt;&gt;"",BD79=""),"не на схеме","")))</f>
        <v/>
      </c>
      <c r="FL79">
        <f>IF(AD79="","",_xlfn.LET(_xlpm.t,IFERROR(_xlfn.XLOOKUP(EP79,Каталог!$U$4:$U$500,Каталог!$G$4:$G$500),""),_xlpm.k,SEARCH("кА",_xlpm.t),IFERROR(--TRIM(RIGHT(SUBSTITUTE(MID(_xlpm.t,MAX(1,_xlpm.k-4),_xlpm.k-MAX(1,_xlpm.k-4))," ",REPT(" ",9)),5)),"")))</f>
        <v>6</v>
      </c>
      <c r="FM79" t="str">
        <f>IF(OR(FL79="",AD79=""),"",IF(_xlfn.XLOOKUP(A79,Щиты[Щит],Щиты[Iкз max на шинах, кА],"")="","",IF(FL79&lt;_xlfn.XLOOKUP(A79,Щиты[Щит],Щиты[Iкз max на шинах, кА]),"Icu "&amp;FL79&amp;" кА &lt; Iкз max","ok")))</f>
        <v/>
      </c>
      <c r="FN79" t="str">
        <f t="shared" si="154"/>
        <v>QF26</v>
      </c>
      <c r="FO79" t="str">
        <f t="shared" si="155"/>
        <v>QF26|кабель ВВГнг(А)-LS (3х2,5) → Внешний блок кондиционирования Пом. Венткиосок</v>
      </c>
      <c r="FP79" t="str" cm="1">
        <f t="array" ref="FP79">IF(FO79="","",_xlfn.LET(_xlpm.nd,_xlfn.TEXTSPLIT(FO79,"|"),IF(COLUMNS(_xlpm.nd)&gt;1,A79&amp;"¦"&amp;INDEX(_xlpm.nd,1)&amp;"¦"&amp;INDEX(_xlpm.nd,2),"")))</f>
        <v>ЩОВ-001¦QF26¦кабель ВВГнг(А)-LS (3х2,5) → Внешний блок кондиционирования Пом. Венткиосок</v>
      </c>
      <c r="FQ79" t="str">
        <f t="shared" si="156"/>
        <v>K.11¦Внешний блок кондиционирования Пом. Венткиосок</v>
      </c>
      <c r="FR79" t="str" cm="1">
        <f t="array" ref="FR79">IF(FO79="","",_xlfn.LET(_xlpm.nd,_xlfn.TEXTSPLIT(FO79,"|"),IF(COLUMNS(_xlpm.nd)&gt;2,A79&amp;"¦"&amp;INDEX(_xlpm.nd,2)&amp;"¦"&amp;INDEX(_xlpm.nd,3),"")))</f>
        <v/>
      </c>
      <c r="FS79" t="str">
        <f t="shared" si="157"/>
        <v/>
      </c>
      <c r="FT79" t="str" cm="1">
        <f t="array" ref="FT79">IF(FO79="","",_xlfn.LET(_xlpm.nd,_xlfn.TEXTSPLIT(FO79,"|"),IF(COLUMNS(_xlpm.nd)&gt;3,A79&amp;"¦"&amp;INDEX(_xlpm.nd,3)&amp;"¦"&amp;INDEX(_xlpm.nd,4),"")))</f>
        <v/>
      </c>
      <c r="FU79" t="str">
        <f t="shared" si="158"/>
        <v/>
      </c>
      <c r="FV79" t="str" cm="1">
        <f t="array" ref="FV79">IF(FO79="","",_xlfn.LET(_xlpm.nd,_xlfn.TEXTSPLIT(FO79,"|"),IF(COLUMNS(_xlpm.nd)&gt;4,A79&amp;"¦"&amp;INDEX(_xlpm.nd,4)&amp;"¦"&amp;INDEX(_xlpm.nd,5),"")))</f>
        <v/>
      </c>
      <c r="FW79" t="str">
        <f t="shared" si="159"/>
        <v/>
      </c>
      <c r="FX79" t="str" cm="1">
        <f t="array" ref="FX79">IF(FO79="","",_xlfn.LET(_xlpm.nd,_xlfn.TEXTSPLIT(FO79,"|"),IF(COLUMNS(_xlpm.nd)&gt;5,A79&amp;"¦"&amp;INDEX(_xlpm.nd,5)&amp;"¦"&amp;INDEX(_xlpm.nd,6),"")))</f>
        <v/>
      </c>
      <c r="FY79" t="str">
        <f t="shared" si="160"/>
        <v/>
      </c>
      <c r="FZ79" t="str" cm="1">
        <f t="array" ref="FZ79">IF(FO79="","",_xlfn.LET(_xlpm.nd,_xlfn.TEXTSPLIT(FO79,"|"),IF(COLUMNS(_xlpm.nd)&gt;6,A79&amp;"¦"&amp;INDEX(_xlpm.nd,6)&amp;"¦"&amp;INDEX(_xlpm.nd,7),"")))</f>
        <v/>
      </c>
      <c r="GA79" t="str">
        <f t="shared" si="161"/>
        <v/>
      </c>
      <c r="GB79" t="str">
        <f t="shared" si="162"/>
        <v/>
      </c>
      <c r="GC79" t="str">
        <f t="shared" si="163"/>
        <v>QF26</v>
      </c>
      <c r="GD79">
        <f t="shared" si="164"/>
        <v>1</v>
      </c>
      <c r="GE79">
        <f t="shared" si="165"/>
        <v>0</v>
      </c>
      <c r="GF79">
        <f t="shared" si="166"/>
        <v>0</v>
      </c>
      <c r="GG79" t="str">
        <f t="shared" si="167"/>
        <v/>
      </c>
      <c r="GH79" t="str">
        <f t="shared" si="168"/>
        <v/>
      </c>
      <c r="GI79" t="str">
        <f t="shared" si="169"/>
        <v/>
      </c>
      <c r="GJ79" t="str">
        <f t="shared" si="170"/>
        <v/>
      </c>
      <c r="GK79">
        <f>IF(D79="","",IFERROR(VLOOKUP(D79,УГО_спр,2,FALSE),IFERROR(VLOOKUP(AT79,УГО_спр,2,FALSE),IFERROR(VLOOKUP(LEFT(AT79,2),УГО_спр,2,FALSE),""))))</f>
        <v>0</v>
      </c>
      <c r="GL79" t="str">
        <f>IF(D79="","",IF(OR(GK79="",GK79=0),"BOX",IFERROR(IF(VLOOKUP(GK79,УГО_блоки,3,FALSE)&amp;""&lt;&gt;"",VLOOKUP(GK79,УГО_блоки,3,FALSE),VLOOKUP(GK79,УГО_блоки,2,FALSE)),GK79)))</f>
        <v>BOX</v>
      </c>
      <c r="GM79">
        <f t="shared" si="171"/>
        <v>1</v>
      </c>
      <c r="GN79" t="str">
        <f>IF(EP79="","",IF(COUNTIF(EP$3:EP79,EP79)=1,MAX(GN$2:GN78)+1,""))</f>
        <v/>
      </c>
      <c r="GO79" t="str">
        <f>IF(AF79="","",IF(COUNTIF(AF$3:AF79,AF79)+COUNTIF(AG$2:AG78,AF79)+COUNTIF(AH$2:AH78,AF79)=1,MAX(GO$2:GQ78)+1,""))</f>
        <v/>
      </c>
      <c r="GP79" t="str">
        <f>IF(AG79="","",IF(COUNTIF(AF$3:AF79,AG79)+COUNTIF(AG$3:AG79,AG79)+COUNTIF(AH$2:AH78,AG79)=1,MAX(GO$2:GQ78,GO79)+1,""))</f>
        <v/>
      </c>
      <c r="GQ79" t="str">
        <f>IF(AH79="","",IF(COUNTIF(AF$3:AF79,AH79)+COUNTIF(AG$3:AG79,AH79)+COUNTIF(AH$3:AH79,AH79)=1,MAX(GO$2:GQ78,GO79,GP79)+1,""))</f>
        <v/>
      </c>
      <c r="GR79" t="str">
        <f t="shared" si="172"/>
        <v>3х2,5</v>
      </c>
      <c r="GS79" t="str">
        <f>IF(GR79="","",IF(COUNTIF(GR$3:GR79,GR79)=1,MAX(GS$2:GS78)+1,""))</f>
        <v/>
      </c>
      <c r="GT79" t="str">
        <f>IF(ES79="","",COUNTIF(ES$3:ES79,"?*"))</f>
        <v/>
      </c>
      <c r="GU79" t="str">
        <f>IF(OR(ES79="",EU79=""),"",IF(COUNTIFS(ES$3:ES79,"?*",EU$3:EU79,EU79)=1,MAX(GU$2:GU78)+1,""))</f>
        <v/>
      </c>
      <c r="GV79">
        <f t="shared" si="173"/>
        <v>0</v>
      </c>
      <c r="GW79">
        <f>IF(D79="","",COUNTIF(D$3:D79,"?*"))</f>
        <v>77</v>
      </c>
      <c r="GX79">
        <f>IF(EX79&lt;&gt;1,0,_xlfn.LET(_xlpm.k,MAX(IFERROR(--VLOOKUP(D79,УГО_спр,5,FALSE),0),IFERROR(--VLOOKUP(AT79,УГО_спр,5,FALSE),0),IFERROR(--VLOOKUP(LEFT(AT79,2),УГО_спр,5,FALSE),0)),IF(_xlpm.k&gt;0,_xlpm.k,IF(IFERROR(--LEFT(SUBSTITUTE(GR79,"x","х"),FIND("х",SUBSTITUTE(GR79,"x","х"))-1),3)&gt;3,Каталог!$S$9,1))))</f>
        <v>1</v>
      </c>
      <c r="GY79">
        <f t="shared" si="174"/>
        <v>0</v>
      </c>
    </row>
    <row r="80" spans="1:207" x14ac:dyDescent="0.3">
      <c r="A80" t="s">
        <v>752</v>
      </c>
      <c r="B80">
        <v>47</v>
      </c>
      <c r="C80" t="str">
        <f>IF(BD80="","",IF(BE80="вводной узел","узел ","")&amp;"л."&amp;(INT((BD80-1)/Столбцов_на_лист)+1)&amp;" / "&amp;(MOD(BD80-1,Столбцов_на_лист)+1))</f>
        <v>л.3 / 13</v>
      </c>
      <c r="D80" t="s">
        <v>1358</v>
      </c>
      <c r="E80" s="133" t="s">
        <v>1347</v>
      </c>
      <c r="G80">
        <v>28</v>
      </c>
      <c r="H80">
        <v>1</v>
      </c>
      <c r="I80">
        <v>3</v>
      </c>
      <c r="J80">
        <v>400</v>
      </c>
      <c r="K80" t="s">
        <v>602</v>
      </c>
      <c r="L80">
        <v>0.5</v>
      </c>
      <c r="O80" t="s">
        <v>1298</v>
      </c>
      <c r="P80">
        <v>34</v>
      </c>
      <c r="Q80">
        <v>0</v>
      </c>
      <c r="R80">
        <v>30</v>
      </c>
      <c r="S80">
        <v>0</v>
      </c>
      <c r="T80">
        <v>1</v>
      </c>
      <c r="U80" t="s">
        <v>11</v>
      </c>
      <c r="V80">
        <v>5</v>
      </c>
      <c r="W80">
        <v>25</v>
      </c>
      <c r="X80">
        <v>63</v>
      </c>
      <c r="Z80" t="s">
        <v>580</v>
      </c>
      <c r="AA80" t="s">
        <v>818</v>
      </c>
      <c r="AD80" t="s">
        <v>517</v>
      </c>
      <c r="AK80" t="s">
        <v>488</v>
      </c>
      <c r="AR80" t="str">
        <f t="shared" si="88"/>
        <v/>
      </c>
      <c r="AS80" cm="1">
        <f t="array" ref="AS80">ROW()-ROW(Линии[#Headers])</f>
        <v>78</v>
      </c>
      <c r="AT80" t="str">
        <f t="shared" si="89"/>
        <v>ККБ-1</v>
      </c>
      <c r="AU80" t="str">
        <f t="shared" si="90"/>
        <v/>
      </c>
      <c r="AV80" t="str">
        <f t="shared" si="91"/>
        <v/>
      </c>
      <c r="AW80" t="str">
        <f t="shared" si="92"/>
        <v/>
      </c>
      <c r="AX80" t="str">
        <f t="shared" si="93"/>
        <v/>
      </c>
      <c r="AY80" t="str">
        <f>IF(D80="","",IF(ISERROR(SEARCH(".",D80)),IFERROR(VLOOKUP(D80,Потребители_обозначение,2,FALSE)&amp;"",""),IFERROR(IF(VLOOKUP(AT80,Потребители_обозначение,4,FALSE)=1,VLOOKUP(AT80,Потребители_обозначение,2,FALSE)&amp;" "&amp;VLOOKUP(AV80,Этаж_обозначение,2,FALSE)&amp;" Пом. №"&amp;AX80,VLOOKUP(AT80,Потребители_обозначение,2,FALSE)&amp;" Шлейф №"&amp;AV80),IFERROR(VLOOKUP(D80,Потребители_обозначение,2,FALSE),""))))</f>
        <v/>
      </c>
      <c r="AZ80" t="str">
        <f t="shared" si="94"/>
        <v>Внешний блок кондиционирования Пом. Венткиосок</v>
      </c>
      <c r="BA80" t="str">
        <f>IF(F80&lt;&gt;"",F80,IF(AND(D80&lt;&gt;"",D80&lt;&gt;A80,ISNUMBER(_xlfn.XMATCH(D80,Щиты[Щит]))),D80,""))</f>
        <v/>
      </c>
      <c r="BB80">
        <f>IFERROR(_xlfn.XMATCH(A80,Щиты[Щит]),0)</f>
        <v>4</v>
      </c>
      <c r="BC80">
        <f>IFERROR(N(_xlfn.XLOOKUP(A80,Щиты[Щит],Щиты[Мест под вводной узел])),15)</f>
        <v>13</v>
      </c>
      <c r="BD80">
        <f t="shared" si="95"/>
        <v>47</v>
      </c>
      <c r="BE80" t="str">
        <f t="shared" si="96"/>
        <v>линии</v>
      </c>
      <c r="BF80">
        <f>IF(D80="","",IF(BA80&lt;&gt;"",IFERROR(_xlfn.XLOOKUP(BA80,Щиты[Щит],Щиты[Руст, кВт]),0),N(G80)))</f>
        <v>28</v>
      </c>
      <c r="BG80">
        <f>IF(J80&lt;&gt;"",J80,IF(D80="","",IFERROR(IF(VLOOKUP(AT80,Потребители_обозначение,8,FALSE)=0,"",VLOOKUP(AT80,Потребители_обозначение,8,FALSE)),"")))</f>
        <v>400</v>
      </c>
      <c r="BH80">
        <f>IF(I80&lt;&gt;"",I80,IF(D80="","",IFERROR(IF(VLOOKUP(AT80,Потребители_обозначение,9,FALSE)=0,"",VLOOKUP(AT80,Потребители_обозначение,9,FALSE)),"")))</f>
        <v>3</v>
      </c>
      <c r="BI80" t="str">
        <f>IF(U80&lt;&gt;"",U80,IF(D80="","",IFERROR(IF(VLOOKUP(AT80,Потребители_обозначение,6,FALSE)=0,"",VLOOKUP(AT80,Потребители_обозначение,6,FALSE)),"")))</f>
        <v>мс</v>
      </c>
      <c r="BJ80">
        <f>IF(V80&lt;&gt;"",V80,IF(D80="","",IFERROR(IF(VLOOKUP(AT80,Потребители_обозначение,7,FALSE)=0,"",VLOOKUP(AT80,Потребители_обозначение,7,FALSE)),"")))</f>
        <v>5</v>
      </c>
      <c r="BK80">
        <f>IF(W80&lt;&gt;"",W80,IF(D80="","",IFERROR(IF(VLOOKUP(AT80,Потребители_обозначение,10,FALSE)=0,"",VLOOKUP(AT80,Потребители_обозначение,10,FALSE)),"")))</f>
        <v>25</v>
      </c>
      <c r="BL80">
        <f>IFERROR(VLOOKUP(AT80,Потребители_обозначение,5,FALSE),0)</f>
        <v>0</v>
      </c>
      <c r="BM80" cm="1">
        <f t="array" ref="BM80">IF(D80="","",IF(BA80&lt;&gt;"",IFERROR(_xlfn.XLOOKUP(BA80,Щиты[Щит],Щиты[cos φ]),0.95),IF(ISNUMBER(M80),M80,IFERROR(IF(BL80=2,_xlfn.IFS(BH80=3,VLOOKUP(BF80,Справочная_двигатели,8,FALSE),BH80=1,VLOOKUP(BF80,Справочная_двигатели,10,TRUE)),IF(AND(Методика="нормы 2026",CN80="Сил"),0.8,0.95)),0.95))))</f>
        <v>0.95</v>
      </c>
      <c r="BN80" cm="1">
        <f t="array" ref="BN80">IF(D80="","",IF(BA80&lt;&gt;"",IFERROR(_xlfn.XLOOKUP(BA80,Щиты[Щит],Щиты[Iр, А]),""),IFERROR(_xlfn.IFS(BH80=1,BF80/((Uн_лин/SQRT(3))*BM80),BH80=3,BF80/(SQRT(3)*Uн_лин*BM80)),"")))</f>
        <v>42.541598782393478</v>
      </c>
      <c r="BO80">
        <f>IF(D80="","",IF(N(X80)=0,IFERROR(VLOOKUP(BN80,Автомат_номиналы,2,TRUE),""),X80))</f>
        <v>63</v>
      </c>
      <c r="BP80">
        <f t="shared" si="97"/>
        <v>0.92</v>
      </c>
      <c r="BQ80">
        <f>IF(ISNUMBER(Y80),Y80,К_прокл)</f>
        <v>1</v>
      </c>
      <c r="BR80">
        <f t="shared" si="98"/>
        <v>3</v>
      </c>
      <c r="BS80" cm="1">
        <f t="array" ref="BS80">IF(D80="","",IF(N(BK80)&lt;&gt;0,BK80,IFERROR(_xlfn.LET(_xlpm.need,BO80/(BP80*BQ80),_xlpm.t,CHOOSE(BR80,Iдоп_1ж,Iдоп_2ж,Iдоп_3ж),_xlpm.k,_xlfn.XMATCH(_xlpm.need,_xlpm.t,1),IF(ISNA(_xlpm.k),"Не исп",INDEX(Iдоп_S,_xlpm.k))),"Не исп")))</f>
        <v>25</v>
      </c>
      <c r="BT80">
        <f>IFERROR(VLOOKUP(BS80,Кабель_сопротивление,3,FALSE),"")</f>
        <v>2.2499999999999999E-2</v>
      </c>
      <c r="BU80">
        <f>IFERROR(VLOOKUP(BS80,Кабель_сопротивление,2,FALSE),"")</f>
        <v>6.6199999999999995E-2</v>
      </c>
      <c r="BV80">
        <f t="shared" si="99"/>
        <v>34</v>
      </c>
      <c r="BW80">
        <f>IF(D80="","",IFERROR(IF(VLOOKUP(AT80,Потребители_обозначение,4,FALSE)=1,VLOOKUP(AT80,Потребители_обозначение,3,FALSE)*(H80*2-1)+BV80+VLOOKUP(AV80,Этаж_обозначение,3,FALSE)+VLOOKUP(AV80,Этаж_обозначение,4,FALSE),VLOOKUP(AT80,Потребители_обозначение,3,FALSE)*(H80*2-1)+BV80),BV80))</f>
        <v>34</v>
      </c>
      <c r="BX80">
        <f t="shared" si="100"/>
        <v>30</v>
      </c>
      <c r="BY80">
        <f t="shared" si="101"/>
        <v>0</v>
      </c>
      <c r="BZ80">
        <f t="shared" si="102"/>
        <v>1</v>
      </c>
      <c r="CA80">
        <f t="shared" si="103"/>
        <v>0.31</v>
      </c>
      <c r="CB80">
        <f t="shared" si="104"/>
        <v>1.2663675920713962</v>
      </c>
      <c r="CC80">
        <f>IFERROR(ROUNDUP(CB80/((Uн_лин/SQRT(3))*1000)*100,2),"")</f>
        <v>0.55000000000000004</v>
      </c>
      <c r="CD80">
        <f>IF(ISNUMBER(CC80),CC80+IFERROR(_xlfn.XLOOKUP(A80,Щиты[Щит],Щиты[ΔU до шин, %]),0),"")</f>
        <v>1.05</v>
      </c>
      <c r="CE80">
        <f>IF(D80="","",IF(IFERROR(VLOOKUP(AT80,УГО_спр,2,FALSE),"")="Светильник",3,4)+IF(Методика="нормы 2026",MIN(0.5,MAX(0,N(BW80)-100)*0.005),0))</f>
        <v>4</v>
      </c>
      <c r="CF80" t="str">
        <f>IFERROR(VLOOKUP(BI80,Кабель_обозначение,2,FALSE),"")</f>
        <v>ВВГнг(А)-LS</v>
      </c>
      <c r="CG80" t="str">
        <f>IFERROR(IF(VLOOKUP(BI80,Кабель_обозначение,3,FALSE)=1,CF80&amp;" ("&amp;BJ80&amp;"х"&amp;BS80&amp;")",CF80),"")</f>
        <v>ВВГнг(А)-LS (5х25)</v>
      </c>
      <c r="CH80" t="str">
        <f t="shared" si="105"/>
        <v>ВВГнг(А)-LS (5х25)
L=34-0,55%</v>
      </c>
      <c r="CI80">
        <f>IFERROR(2*ρкз_Cu*BW80/BS80,"")</f>
        <v>7.1536000000000002E-2</v>
      </c>
      <c r="CJ80">
        <f t="shared" si="106"/>
        <v>2.3800000000000002E-2</v>
      </c>
      <c r="CK80" t="str">
        <f>IFERROR(IF(OR(D80="",NOT(ISNUMBER(BS80)),N(BW80)=0),"",_xlfn.XLOOKUP(A80,Щиты[Щит],Щиты[Zпетли на шинах, Ом])+CI80),"")</f>
        <v/>
      </c>
      <c r="CL80" t="str">
        <f>IF(ISNUMBER(CK80),c_min*(Uн_лин*1000/SQRT(3))/CK80,"")</f>
        <v/>
      </c>
      <c r="CM80" t="str">
        <f>IFERROR(IF(OR(D80="",NOT(ISNUMBER(BS80))),"",1.05*(Uн_лин*1000/SQRT(3))/(_xlfn.XLOOKUP(A80,Щиты[Щит],Щиты[Zmax на шинах, Ом])+CJ80)/1000),"")</f>
        <v/>
      </c>
      <c r="CN80" t="str">
        <f>IF(D80="","",IF(BA80&lt;&gt;"","Щит",IF(K80&lt;&gt;"",K80,IF(ISNUMBER(L80),"Сил",IF(IFERROR(_xlfn.XLOOKUP(AT80,Коды_код,Коды_группа)&amp;"","")="","Быт",_xlfn.XLOOKUP(AT80,Коды_код,Коды_группа)&amp;"")))))</f>
        <v>Сил</v>
      </c>
      <c r="CO80">
        <f>IF(CN80="Щит","щит",IF(CN80="","",IF(CN80="Быт",IFERROR(_xlfn.XLOOKUP(A80,Щиты[Щит],Щиты[Кс быт]),1),IF(CN80="Сил",IF(ISNUMBER(L80),L80,IF(Методика="нормы 2026",IFERROR(_xlfn.XLOOKUP(A80,Щиты[Щит],Щиты[Кс силовых (табл. 7.5)]),1),1)),IF(OR(CN80="Пост",CN80="Отоп"),1,IF(CN80="ВНГ",0.7,0))))))</f>
        <v>0.5</v>
      </c>
      <c r="CP80">
        <f t="shared" si="107"/>
        <v>1</v>
      </c>
      <c r="CQ80">
        <f t="shared" si="108"/>
        <v>28</v>
      </c>
      <c r="CR80">
        <f t="shared" si="109"/>
        <v>0</v>
      </c>
      <c r="CS80">
        <f t="shared" si="110"/>
        <v>14</v>
      </c>
      <c r="CT80">
        <f t="shared" si="111"/>
        <v>0</v>
      </c>
      <c r="CU80">
        <f t="shared" si="112"/>
        <v>0</v>
      </c>
      <c r="CV80">
        <f t="shared" si="113"/>
        <v>0</v>
      </c>
      <c r="CW80">
        <f t="shared" si="114"/>
        <v>28</v>
      </c>
      <c r="CX80">
        <f t="shared" si="115"/>
        <v>26.599999999999998</v>
      </c>
      <c r="CY80">
        <f t="shared" si="116"/>
        <v>2</v>
      </c>
      <c r="CZ80" t="str">
        <f t="shared" si="117"/>
        <v>L1,L2,L3</v>
      </c>
      <c r="DA80" cm="1">
        <f t="array" ref="DA80">IFERROR(IF(BL80=2,_xlfn.IFS(BH80=3,VLOOKUP(BF80,Справочная_двигатели,3,FALSE),BH80=1,VLOOKUP(BF80,Справочная_двигатели,5,TRUE)),0),0)</f>
        <v>0</v>
      </c>
      <c r="DB80">
        <f>IFERROR(IF(BL80=3,VLOOKUP(BF80,Справочная_ЛЭД,2,TRUE),0),0)</f>
        <v>0</v>
      </c>
      <c r="DC80">
        <f t="shared" si="118"/>
        <v>0</v>
      </c>
      <c r="DD80" t="str">
        <f t="shared" si="119"/>
        <v>L1,L2,L3</v>
      </c>
      <c r="DE80" t="str" cm="1">
        <f t="array" ref="DE80">IF(D80="","",IFERROR(INDEX({"I особая","I","II","III"},MATCH(TRIM(AA80&amp;""),{"I особая","I","II","III"},0)),"III"))</f>
        <v>II</v>
      </c>
      <c r="DF80" t="str">
        <f>IF(D80="","",IF(TRIM(AB80&amp;"")&lt;&gt;"",IF(LOWER(TRIM(AB80&amp;""))="да","да","нет"),IF(IFERROR(_xlfn.XLOOKUP(AT80,Коды_код,Коды_пожарная),"")="да","да","нет")))</f>
        <v>нет</v>
      </c>
      <c r="DG80" t="str">
        <f t="shared" si="120"/>
        <v/>
      </c>
      <c r="DH80" t="str">
        <f t="shared" si="121"/>
        <v>основная</v>
      </c>
      <c r="DI80">
        <f t="shared" si="122"/>
        <v>1</v>
      </c>
      <c r="DJ80" t="str" cm="1">
        <f t="array" ref="DJ80">IF(D80="","",_xlfn.LET(_xlpm.t,IFERROR(_xlfn.XLOOKUP(1,(Шины[Шина]=DH80)*(((Шины[Щит]=A80)+(Шины[Щит]=""))&gt;0),Шины[Тип]),"")&amp;"",IF(_xlpm.t&lt;&gt;"",_xlpm.t,IF(ISNUMBER(SEARCH("ИБП",DH80)),"ИБП",IF(ISNUMBER(SEARCH("ДГУ",DH80)),"ДГУ","Ввод "&amp;DI80)))))</f>
        <v>Ввод 1</v>
      </c>
      <c r="DK80" t="str">
        <f t="shared" si="123"/>
        <v>Ввод 1</v>
      </c>
      <c r="DL80" t="str">
        <f>IF(D80="","",IF(OR(DJ80="ИБП",DJ80="ДГУ"),"I особая",IF(DJ80="Одиночная","III",_xlfn.XLOOKUP(A80,Щиты[Щит],Щиты[Категория шины «Ввод»],"III"))))</f>
        <v>II</v>
      </c>
      <c r="DM80">
        <f>IF(D80="",0,IFERROR(MATCH(DE80,{"III","II","I","I особая"},0),1))</f>
        <v>2</v>
      </c>
      <c r="DN80">
        <f t="shared" si="124"/>
        <v>2</v>
      </c>
      <c r="DO80" t="str">
        <f>IF(D80="","",IF(DM80&gt;IFERROR(MATCH(DL80,{"III","II","I","I особая"},0),1),"НЕ ОБЕСПЕЧЕНА","ОК"))</f>
        <v>ОК</v>
      </c>
      <c r="DP80" t="str">
        <f>IF(A80="","",_xlfn.XLOOKUP(A80,Щиты[Щит],Щиты[Путь],""))</f>
        <v>|ГРЩ-ЖД|ЩОВ-001|</v>
      </c>
      <c r="DQ80" t="str">
        <f>IF(D80="","",IF(Z80&lt;&gt;"",Z80,IF(IFERROR(_xlfn.XLOOKUP(AT80,Коды_код,Коды_вид)&amp;"","")="","Прочее",_xlfn.XLOOKUP(AT80,Коды_код,Коды_вид)&amp;"")))</f>
        <v>Кондиционирование и увлажнение</v>
      </c>
      <c r="DR80">
        <f>IF(BD80="","",INT((BD80-1)/Столбцов_на_лист)+1)</f>
        <v>3</v>
      </c>
      <c r="DS80" t="str">
        <f t="shared" si="125"/>
        <v>ВВГнг(А)-LS (5х25) L=34-0,55%</v>
      </c>
      <c r="DT80">
        <f t="shared" si="126"/>
        <v>28</v>
      </c>
      <c r="DU80">
        <f t="shared" si="127"/>
        <v>42.55</v>
      </c>
      <c r="DV80">
        <f t="shared" si="128"/>
        <v>3</v>
      </c>
      <c r="DW80">
        <f>IF(AT80="",0,_xlfn.LET(_xlpm.v,IFERROR(VLOOKUP(D80,УГО_спр,3,FALSE),IFERROR(VLOOKUP(AT80,УГО_спр,3,FALSE),IFERROR(VLOOKUP(LEFT(AT80,2),УГО_спр,3,FALSE),""))),IF(_xlpm.v="да",30,IF(ISNUMBER(_xlpm.v),_xlpm.v,0))))</f>
        <v>0</v>
      </c>
      <c r="DX80">
        <f t="shared" si="129"/>
        <v>0</v>
      </c>
      <c r="DY80">
        <f>IF(BD80="","",IF(AD80&lt;&gt;"",COUNTIFS(A$3:A80,A80,AD$3:AD80,"?*"),IF(OR(OR(AS80=1,A80&lt;&gt;A79),AL80="вручную"),"",IF(AS80=1,"",DZ79))))</f>
        <v>27</v>
      </c>
      <c r="DZ80">
        <f t="shared" si="130"/>
        <v>27</v>
      </c>
      <c r="EA80">
        <f>IF(D80="",0,MAX(IFERROR(--X80,0),IFERROR(--VLOOKUP(D80,УГО_спр,4,FALSE),IFERROR(--VLOOKUP(AT80,УГО_спр,4,FALSE),IFERROR(--VLOOKUP(LEFT(AT80,2),УГО_спр,4,FALSE),0)))))</f>
        <v>63</v>
      </c>
      <c r="EB80">
        <f>IF(D80="","",IFERROR(LOOKUP(INDEX(CHOOSE(BR80,Iдоп_1ж,Iдоп_2ж,Iдоп_3ж),MATCH(BS80,Iдоп_S,0))*BP80*BQ80,{6,10,16,20,25,32,40,50,63,80,100,125,160,200,250,315,400,500,630}),""))</f>
        <v>80</v>
      </c>
      <c r="EC80">
        <f>IF(AD80="","",SUMIFS(Линии[_Ток схемы],Линии[_гр.],DY80,Линии[Щит],A80,Линии[_в кабель выше],0))</f>
        <v>42.55</v>
      </c>
      <c r="ED80">
        <f>IF(AD80="","",IFERROR(VLOOKUP(EC80,Автомат_номиналы,2,TRUE),""))</f>
        <v>50</v>
      </c>
      <c r="EE80">
        <f>IF(AD80="","",MAX(N(ED80),_xlfn.MAXIFS(Линии[_мин. по типу],Линии[_гр.],DY80,Линии[Щит],A80)))</f>
        <v>63</v>
      </c>
      <c r="EF80">
        <f>IF(AD80="","",_xlfn.MINIFS(Линии[_макс. автомат по кабелю],Линии[_гр.],DY80,Линии[Щит],A80))</f>
        <v>80</v>
      </c>
      <c r="EG80">
        <f>IF(AD80="","",MAX(1,_xlfn.MAXIFS(Линии[_фаз],Линии[_гр.],DY80,Линии[Щит],A80)))</f>
        <v>3</v>
      </c>
      <c r="EH80">
        <f>IF(AD80="","",IF(AND(AD80&lt;&gt;"авто",AD80&lt;&gt;"+"),IF(ISNUMBER(SEARCH("мА",AD80)),IFERROR(--TRIM(RIGHT(SUBSTITUTE(LEFT(AD80,SEARCH("мА",AD80)-1)," ",REPT(" ",9)),6)),30),0),IF(AE80="нет",0,IF(ISNUMBER(AE80),AE80,IF(AE80="да",30,_xlfn.MINIFS(Линии[_дифзащита по коду, мА],Линии[_гр.],DY80,Линии[Щит],A80,Линии[_дифзащита по коду, мА],"&gt;0"))))))</f>
        <v>0</v>
      </c>
      <c r="EI80">
        <f t="shared" si="131"/>
        <v>0</v>
      </c>
      <c r="EJ80" t="str">
        <f t="shared" si="132"/>
        <v>QF27</v>
      </c>
      <c r="EK80" t="str">
        <f t="shared" si="133"/>
        <v>QF27</v>
      </c>
      <c r="EL80" t="str">
        <f t="shared" si="134"/>
        <v/>
      </c>
      <c r="EM80">
        <f t="shared" si="135"/>
        <v>0</v>
      </c>
      <c r="EN80">
        <f>IF(AD80="","",IF(EM80=1,MAX(EE80,Мин_автомат_БП),EE80))</f>
        <v>63</v>
      </c>
      <c r="EO80" t="str">
        <f t="shared" si="136"/>
        <v>3P</v>
      </c>
      <c r="EP80" t="str">
        <f t="shared" si="137"/>
        <v>3P С63А</v>
      </c>
      <c r="EQ80">
        <f t="shared" si="138"/>
        <v>63</v>
      </c>
      <c r="ER80" t="str">
        <f>IF(OR(AI80="",AI80="-"),"",IFERROR(VLOOKUP(AI80,Модули_спр,2,FALSE),"R"))</f>
        <v/>
      </c>
      <c r="ES80" t="str">
        <f>IF(ER80="","",ER80&amp;"."&amp;COUNTIFS(A$3:A80,A80,ER$3:ER80,ER80))</f>
        <v/>
      </c>
      <c r="ET80" t="str">
        <f t="shared" si="139"/>
        <v/>
      </c>
      <c r="EU80" t="str">
        <f t="shared" si="140"/>
        <v/>
      </c>
      <c r="EV80" t="str">
        <f t="shared" si="141"/>
        <v/>
      </c>
      <c r="EW80" t="str">
        <f t="shared" si="142"/>
        <v/>
      </c>
      <c r="EX80">
        <f t="shared" si="143"/>
        <v>1</v>
      </c>
      <c r="EY80" t="str">
        <f>IF(AK80="нет","",IF(AK80&lt;&gt;"",AK80,IF(EX80=1,"XT"&amp;COUNTIFS(A$3:A80,A80,EX$3:EX80,1),"")))</f>
        <v/>
      </c>
      <c r="EZ80" t="str">
        <f t="shared" si="144"/>
        <v>QF27</v>
      </c>
      <c r="FA80" t="str">
        <f t="shared" si="145"/>
        <v/>
      </c>
      <c r="FB80" t="str">
        <f t="shared" si="146"/>
        <v>ok</v>
      </c>
      <c r="FC80" t="str">
        <f>IF(OR(EV80="",ET80=""),"",IF(EV80&gt;IFERROR(VLOOKUP(EU80,Модули_спр,3,FALSE),99),"ЛИШНИЙ КАНАЛ",IF(AND(AJ80&lt;&gt;"=",COUNTIFS(Линии[_модуль гр.],ET80,Линии[Канал (итог)],EV80,Линии[Канал],"&lt;&gt;=",Линии[Щит],A80)&gt;1),"ДУБЛЬ КАНАЛА","")))</f>
        <v/>
      </c>
      <c r="FD80">
        <f t="shared" si="147"/>
        <v>63</v>
      </c>
      <c r="FE80" t="str">
        <f t="shared" si="148"/>
        <v>3P С63А</v>
      </c>
      <c r="FF80">
        <f t="shared" si="149"/>
        <v>0</v>
      </c>
      <c r="FG80">
        <f t="shared" si="150"/>
        <v>0</v>
      </c>
      <c r="FH80" t="str">
        <f t="shared" si="151"/>
        <v/>
      </c>
      <c r="FI80">
        <f t="shared" si="152"/>
        <v>10</v>
      </c>
      <c r="FJ80" t="str">
        <f t="shared" si="153"/>
        <v/>
      </c>
      <c r="FK80" t="str">
        <f>IF(AND(D80="",EZ80=""),"",_xlfn.TEXTJOIN("; ",TRUE,IF(AND(D80&lt;&gt;"",DD80=""),"нет фазы",""),IF(AND(D80&lt;&gt;"",N(DT80)=0,CN80&lt;&gt;"Нет"),"нет мощности",""),IF(AND(EY80&lt;&gt;"",COUNTIFS(Линии[Щит],A80,Линии[Клемма (итог)],EY80)&gt;1),"дубль клеммы "&amp;EY80,""),IF(AND(FB80&lt;&gt;"",FB80&lt;&gt;"ok"),FB80,""),IF(FC80&lt;&gt;"",FC80,""),IF(AND(ISNUMBER(SEARCH("(5х",DS80)),N(DV80)=1),"5 жил на 1 фазе",""),IF(AND(AT80="R",AD80&lt;&gt;"",OR(N(EH80)=0,N(EH80)&gt;30)),"розетка без дифзащиты до 30 мА",""),IFERROR(IF(AND(ISNUMBER(CD80),CD80&gt;CE80),"потери "&amp;FIXED(CD80,1)&amp;" % &gt; "&amp;CE80&amp;" %",""),""),IFERROR(IF(LEFT(FJ80,4)="мало","Iкз мало — отключение &gt; 0,4 с",""),""),IF(AND(D80&lt;&gt;"",BD80=""),"не на схеме","")))</f>
        <v/>
      </c>
      <c r="FL80" t="str">
        <f>IF(AD80="","",_xlfn.LET(_xlpm.t,IFERROR(_xlfn.XLOOKUP(EP80,Каталог!$U$4:$U$500,Каталог!$G$4:$G$500),""),_xlpm.k,SEARCH("кА",_xlpm.t),IFERROR(--TRIM(RIGHT(SUBSTITUTE(MID(_xlpm.t,MAX(1,_xlpm.k-4),_xlpm.k-MAX(1,_xlpm.k-4))," ",REPT(" ",9)),5)),"")))</f>
        <v/>
      </c>
      <c r="FM80" t="str">
        <f>IF(OR(FL80="",AD80=""),"",IF(_xlfn.XLOOKUP(A80,Щиты[Щит],Щиты[Iкз max на шинах, кА],"")="","",IF(FL80&lt;_xlfn.XLOOKUP(A80,Щиты[Щит],Щиты[Iкз max на шинах, кА]),"Icu "&amp;FL80&amp;" кА &lt; Iкз max","ok")))</f>
        <v/>
      </c>
      <c r="FN80" t="str">
        <f t="shared" si="154"/>
        <v>QF27</v>
      </c>
      <c r="FO80" t="str">
        <f t="shared" si="155"/>
        <v>QF27|кабель ВВГнг(А)-LS (5х25) → Внешний блок кондиционирования Пом. Венткиосок</v>
      </c>
      <c r="FP80" t="str" cm="1">
        <f t="array" ref="FP80">IF(FO80="","",_xlfn.LET(_xlpm.nd,_xlfn.TEXTSPLIT(FO80,"|"),IF(COLUMNS(_xlpm.nd)&gt;1,A80&amp;"¦"&amp;INDEX(_xlpm.nd,1)&amp;"¦"&amp;INDEX(_xlpm.nd,2),"")))</f>
        <v>ЩОВ-001¦QF27¦кабель ВВГнг(А)-LS (5х25) → Внешний блок кондиционирования Пом. Венткиосок</v>
      </c>
      <c r="FQ80" t="str">
        <f t="shared" si="156"/>
        <v>ККБ-1¦Внешний блок кондиционирования Пом. Венткиосок</v>
      </c>
      <c r="FR80" t="str" cm="1">
        <f t="array" ref="FR80">IF(FO80="","",_xlfn.LET(_xlpm.nd,_xlfn.TEXTSPLIT(FO80,"|"),IF(COLUMNS(_xlpm.nd)&gt;2,A80&amp;"¦"&amp;INDEX(_xlpm.nd,2)&amp;"¦"&amp;INDEX(_xlpm.nd,3),"")))</f>
        <v/>
      </c>
      <c r="FS80" t="str">
        <f t="shared" si="157"/>
        <v/>
      </c>
      <c r="FT80" t="str" cm="1">
        <f t="array" ref="FT80">IF(FO80="","",_xlfn.LET(_xlpm.nd,_xlfn.TEXTSPLIT(FO80,"|"),IF(COLUMNS(_xlpm.nd)&gt;3,A80&amp;"¦"&amp;INDEX(_xlpm.nd,3)&amp;"¦"&amp;INDEX(_xlpm.nd,4),"")))</f>
        <v/>
      </c>
      <c r="FU80" t="str">
        <f t="shared" si="158"/>
        <v/>
      </c>
      <c r="FV80" t="str" cm="1">
        <f t="array" ref="FV80">IF(FO80="","",_xlfn.LET(_xlpm.nd,_xlfn.TEXTSPLIT(FO80,"|"),IF(COLUMNS(_xlpm.nd)&gt;4,A80&amp;"¦"&amp;INDEX(_xlpm.nd,4)&amp;"¦"&amp;INDEX(_xlpm.nd,5),"")))</f>
        <v/>
      </c>
      <c r="FW80" t="str">
        <f t="shared" si="159"/>
        <v/>
      </c>
      <c r="FX80" t="str" cm="1">
        <f t="array" ref="FX80">IF(FO80="","",_xlfn.LET(_xlpm.nd,_xlfn.TEXTSPLIT(FO80,"|"),IF(COLUMNS(_xlpm.nd)&gt;5,A80&amp;"¦"&amp;INDEX(_xlpm.nd,5)&amp;"¦"&amp;INDEX(_xlpm.nd,6),"")))</f>
        <v/>
      </c>
      <c r="FY80" t="str">
        <f t="shared" si="160"/>
        <v/>
      </c>
      <c r="FZ80" t="str" cm="1">
        <f t="array" ref="FZ80">IF(FO80="","",_xlfn.LET(_xlpm.nd,_xlfn.TEXTSPLIT(FO80,"|"),IF(COLUMNS(_xlpm.nd)&gt;6,A80&amp;"¦"&amp;INDEX(_xlpm.nd,6)&amp;"¦"&amp;INDEX(_xlpm.nd,7),"")))</f>
        <v/>
      </c>
      <c r="GA80" t="str">
        <f t="shared" si="161"/>
        <v/>
      </c>
      <c r="GB80" t="str">
        <f t="shared" si="162"/>
        <v/>
      </c>
      <c r="GC80" t="str">
        <f t="shared" si="163"/>
        <v>QF27</v>
      </c>
      <c r="GD80">
        <f t="shared" si="164"/>
        <v>1</v>
      </c>
      <c r="GE80">
        <f t="shared" si="165"/>
        <v>0</v>
      </c>
      <c r="GF80">
        <f t="shared" si="166"/>
        <v>0</v>
      </c>
      <c r="GG80" t="str">
        <f t="shared" si="167"/>
        <v/>
      </c>
      <c r="GH80" t="str">
        <f t="shared" si="168"/>
        <v/>
      </c>
      <c r="GI80" t="str">
        <f t="shared" si="169"/>
        <v/>
      </c>
      <c r="GJ80" t="str">
        <f t="shared" si="170"/>
        <v/>
      </c>
      <c r="GK80" t="str">
        <f>IF(D80="","",IFERROR(VLOOKUP(D80,УГО_спр,2,FALSE),IFERROR(VLOOKUP(AT80,УГО_спр,2,FALSE),IFERROR(VLOOKUP(LEFT(AT80,2),УГО_спр,2,FALSE),""))))</f>
        <v/>
      </c>
      <c r="GL80" t="str">
        <f>IF(D80="","",IF(OR(GK80="",GK80=0),"BOX",IFERROR(IF(VLOOKUP(GK80,УГО_блоки,3,FALSE)&amp;""&lt;&gt;"",VLOOKUP(GK80,УГО_блоки,3,FALSE),VLOOKUP(GK80,УГО_блоки,2,FALSE)),GK80)))</f>
        <v>BOX</v>
      </c>
      <c r="GM80">
        <f t="shared" si="171"/>
        <v>1</v>
      </c>
      <c r="GN80">
        <f>IF(EP80="","",IF(COUNTIF(EP$3:EP80,EP80)=1,MAX(GN$2:GN79)+1,""))</f>
        <v>5</v>
      </c>
      <c r="GO80" t="str">
        <f>IF(AF80="","",IF(COUNTIF(AF$3:AF80,AF80)+COUNTIF(AG$2:AG79,AF80)+COUNTIF(AH$2:AH79,AF80)=1,MAX(GO$2:GQ79)+1,""))</f>
        <v/>
      </c>
      <c r="GP80" t="str">
        <f>IF(AG80="","",IF(COUNTIF(AF$3:AF80,AG80)+COUNTIF(AG$3:AG80,AG80)+COUNTIF(AH$2:AH79,AG80)=1,MAX(GO$2:GQ79,GO80)+1,""))</f>
        <v/>
      </c>
      <c r="GQ80" t="str">
        <f>IF(AH80="","",IF(COUNTIF(AF$3:AF80,AH80)+COUNTIF(AG$3:AG80,AH80)+COUNTIF(AH$3:AH80,AH80)=1,MAX(GO$2:GQ79,GO80,GP80)+1,""))</f>
        <v/>
      </c>
      <c r="GR80" t="str">
        <f t="shared" si="172"/>
        <v>5х25</v>
      </c>
      <c r="GS80">
        <f>IF(GR80="","",IF(COUNTIF(GR$3:GR80,GR80)=1,MAX(GS$2:GS79)+1,""))</f>
        <v>12</v>
      </c>
      <c r="GT80" t="str">
        <f>IF(ES80="","",COUNTIF(ES$3:ES80,"?*"))</f>
        <v/>
      </c>
      <c r="GU80" t="str">
        <f>IF(OR(ES80="",EU80=""),"",IF(COUNTIFS(ES$3:ES80,"?*",EU$3:EU80,EU80)=1,MAX(GU$2:GU79)+1,""))</f>
        <v/>
      </c>
      <c r="GV80">
        <f t="shared" si="173"/>
        <v>0</v>
      </c>
      <c r="GW80">
        <f>IF(D80="","",COUNTIF(D$3:D80,"?*"))</f>
        <v>78</v>
      </c>
      <c r="GX80">
        <f>IF(EX80&lt;&gt;1,0,_xlfn.LET(_xlpm.k,MAX(IFERROR(--VLOOKUP(D80,УГО_спр,5,FALSE),0),IFERROR(--VLOOKUP(AT80,УГО_спр,5,FALSE),0),IFERROR(--VLOOKUP(LEFT(AT80,2),УГО_спр,5,FALSE),0)),IF(_xlpm.k&gt;0,_xlpm.k,IF(IFERROR(--LEFT(SUBSTITUTE(GR80,"x","х"),FIND("х",SUBSTITUTE(GR80,"x","х"))-1),3)&gt;3,Каталог!$S$9,1))))</f>
        <v>1</v>
      </c>
      <c r="GY80">
        <f t="shared" si="174"/>
        <v>2</v>
      </c>
    </row>
    <row r="81" spans="1:207" x14ac:dyDescent="0.3">
      <c r="A81" t="s">
        <v>752</v>
      </c>
      <c r="B81">
        <v>48</v>
      </c>
      <c r="C81" t="str">
        <f>IF(BD81="","",IF(BE81="вводной узел","узел ","")&amp;"л."&amp;(INT((BD81-1)/Столбцов_на_лист)+1)&amp;" / "&amp;(MOD(BD81-1,Столбцов_на_лист)+1))</f>
        <v>л.3 / 14</v>
      </c>
      <c r="D81" t="s">
        <v>1359</v>
      </c>
      <c r="E81" s="133" t="s">
        <v>1347</v>
      </c>
      <c r="G81">
        <v>28</v>
      </c>
      <c r="H81">
        <v>1</v>
      </c>
      <c r="I81">
        <v>3</v>
      </c>
      <c r="J81">
        <v>400</v>
      </c>
      <c r="K81" t="s">
        <v>602</v>
      </c>
      <c r="L81">
        <v>0.5</v>
      </c>
      <c r="O81" t="s">
        <v>1298</v>
      </c>
      <c r="P81">
        <v>37</v>
      </c>
      <c r="Q81">
        <v>0</v>
      </c>
      <c r="R81">
        <v>33</v>
      </c>
      <c r="S81">
        <v>0</v>
      </c>
      <c r="T81">
        <v>1</v>
      </c>
      <c r="U81" t="s">
        <v>11</v>
      </c>
      <c r="V81">
        <v>5</v>
      </c>
      <c r="W81">
        <v>25</v>
      </c>
      <c r="X81">
        <v>63</v>
      </c>
      <c r="Z81" t="s">
        <v>580</v>
      </c>
      <c r="AA81" t="s">
        <v>818</v>
      </c>
      <c r="AD81" t="s">
        <v>517</v>
      </c>
      <c r="AR81" t="str">
        <f t="shared" si="88"/>
        <v/>
      </c>
      <c r="AS81" cm="1">
        <f t="array" ref="AS81">ROW()-ROW(Линии[#Headers])</f>
        <v>79</v>
      </c>
      <c r="AT81" t="str">
        <f t="shared" si="89"/>
        <v>ККБ-2</v>
      </c>
      <c r="AU81" t="str">
        <f t="shared" si="90"/>
        <v/>
      </c>
      <c r="AV81" t="str">
        <f t="shared" si="91"/>
        <v/>
      </c>
      <c r="AW81" t="str">
        <f t="shared" si="92"/>
        <v/>
      </c>
      <c r="AX81" t="str">
        <f t="shared" si="93"/>
        <v/>
      </c>
      <c r="AY81" t="str">
        <f>IF(D81="","",IF(ISERROR(SEARCH(".",D81)),IFERROR(VLOOKUP(D81,Потребители_обозначение,2,FALSE)&amp;"",""),IFERROR(IF(VLOOKUP(AT81,Потребители_обозначение,4,FALSE)=1,VLOOKUP(AT81,Потребители_обозначение,2,FALSE)&amp;" "&amp;VLOOKUP(AV81,Этаж_обозначение,2,FALSE)&amp;" Пом. №"&amp;AX81,VLOOKUP(AT81,Потребители_обозначение,2,FALSE)&amp;" Шлейф №"&amp;AV81),IFERROR(VLOOKUP(D81,Потребители_обозначение,2,FALSE),""))))</f>
        <v/>
      </c>
      <c r="AZ81" t="str">
        <f t="shared" si="94"/>
        <v>Внешний блок кондиционирования Пом. Венткиосок</v>
      </c>
      <c r="BA81" t="str">
        <f>IF(F81&lt;&gt;"",F81,IF(AND(D81&lt;&gt;"",D81&lt;&gt;A81,ISNUMBER(_xlfn.XMATCH(D81,Щиты[Щит]))),D81,""))</f>
        <v/>
      </c>
      <c r="BB81">
        <f>IFERROR(_xlfn.XMATCH(A81,Щиты[Щит]),0)</f>
        <v>4</v>
      </c>
      <c r="BC81">
        <f>IFERROR(N(_xlfn.XLOOKUP(A81,Щиты[Щит],Щиты[Мест под вводной узел])),15)</f>
        <v>13</v>
      </c>
      <c r="BD81">
        <f t="shared" si="95"/>
        <v>48</v>
      </c>
      <c r="BE81" t="str">
        <f t="shared" si="96"/>
        <v>линии</v>
      </c>
      <c r="BF81">
        <f>IF(D81="","",IF(BA81&lt;&gt;"",IFERROR(_xlfn.XLOOKUP(BA81,Щиты[Щит],Щиты[Руст, кВт]),0),N(G81)))</f>
        <v>28</v>
      </c>
      <c r="BG81">
        <f>IF(J81&lt;&gt;"",J81,IF(D81="","",IFERROR(IF(VLOOKUP(AT81,Потребители_обозначение,8,FALSE)=0,"",VLOOKUP(AT81,Потребители_обозначение,8,FALSE)),"")))</f>
        <v>400</v>
      </c>
      <c r="BH81">
        <f>IF(I81&lt;&gt;"",I81,IF(D81="","",IFERROR(IF(VLOOKUP(AT81,Потребители_обозначение,9,FALSE)=0,"",VLOOKUP(AT81,Потребители_обозначение,9,FALSE)),"")))</f>
        <v>3</v>
      </c>
      <c r="BI81" t="str">
        <f>IF(U81&lt;&gt;"",U81,IF(D81="","",IFERROR(IF(VLOOKUP(AT81,Потребители_обозначение,6,FALSE)=0,"",VLOOKUP(AT81,Потребители_обозначение,6,FALSE)),"")))</f>
        <v>мс</v>
      </c>
      <c r="BJ81">
        <f>IF(V81&lt;&gt;"",V81,IF(D81="","",IFERROR(IF(VLOOKUP(AT81,Потребители_обозначение,7,FALSE)=0,"",VLOOKUP(AT81,Потребители_обозначение,7,FALSE)),"")))</f>
        <v>5</v>
      </c>
      <c r="BK81">
        <f>IF(W81&lt;&gt;"",W81,IF(D81="","",IFERROR(IF(VLOOKUP(AT81,Потребители_обозначение,10,FALSE)=0,"",VLOOKUP(AT81,Потребители_обозначение,10,FALSE)),"")))</f>
        <v>25</v>
      </c>
      <c r="BL81">
        <f>IFERROR(VLOOKUP(AT81,Потребители_обозначение,5,FALSE),0)</f>
        <v>0</v>
      </c>
      <c r="BM81" cm="1">
        <f t="array" ref="BM81">IF(D81="","",IF(BA81&lt;&gt;"",IFERROR(_xlfn.XLOOKUP(BA81,Щиты[Щит],Щиты[cos φ]),0.95),IF(ISNUMBER(M81),M81,IFERROR(IF(BL81=2,_xlfn.IFS(BH81=3,VLOOKUP(BF81,Справочная_двигатели,8,FALSE),BH81=1,VLOOKUP(BF81,Справочная_двигатели,10,TRUE)),IF(AND(Методика="нормы 2026",CN81="Сил"),0.8,0.95)),0.95))))</f>
        <v>0.95</v>
      </c>
      <c r="BN81" cm="1">
        <f t="array" ref="BN81">IF(D81="","",IF(BA81&lt;&gt;"",IFERROR(_xlfn.XLOOKUP(BA81,Щиты[Щит],Щиты[Iр, А]),""),IFERROR(_xlfn.IFS(BH81=1,BF81/((Uн_лин/SQRT(3))*BM81),BH81=3,BF81/(SQRT(3)*Uн_лин*BM81)),"")))</f>
        <v>42.541598782393478</v>
      </c>
      <c r="BO81">
        <f>IF(D81="","",IF(N(X81)=0,IFERROR(VLOOKUP(BN81,Автомат_номиналы,2,TRUE),""),X81))</f>
        <v>63</v>
      </c>
      <c r="BP81">
        <f t="shared" si="97"/>
        <v>0.92</v>
      </c>
      <c r="BQ81">
        <f>IF(ISNUMBER(Y81),Y81,К_прокл)</f>
        <v>1</v>
      </c>
      <c r="BR81">
        <f t="shared" si="98"/>
        <v>3</v>
      </c>
      <c r="BS81" cm="1">
        <f t="array" ref="BS81">IF(D81="","",IF(N(BK81)&lt;&gt;0,BK81,IFERROR(_xlfn.LET(_xlpm.need,BO81/(BP81*BQ81),_xlpm.t,CHOOSE(BR81,Iдоп_1ж,Iдоп_2ж,Iдоп_3ж),_xlpm.k,_xlfn.XMATCH(_xlpm.need,_xlpm.t,1),IF(ISNA(_xlpm.k),"Не исп",INDEX(Iдоп_S,_xlpm.k))),"Не исп")))</f>
        <v>25</v>
      </c>
      <c r="BT81">
        <f>IFERROR(VLOOKUP(BS81,Кабель_сопротивление,3,FALSE),"")</f>
        <v>2.2499999999999999E-2</v>
      </c>
      <c r="BU81">
        <f>IFERROR(VLOOKUP(BS81,Кабель_сопротивление,2,FALSE),"")</f>
        <v>6.6199999999999995E-2</v>
      </c>
      <c r="BV81">
        <f t="shared" si="99"/>
        <v>37</v>
      </c>
      <c r="BW81">
        <f>IF(D81="","",IFERROR(IF(VLOOKUP(AT81,Потребители_обозначение,4,FALSE)=1,VLOOKUP(AT81,Потребители_обозначение,3,FALSE)*(H81*2-1)+BV81+VLOOKUP(AV81,Этаж_обозначение,3,FALSE)+VLOOKUP(AV81,Этаж_обозначение,4,FALSE),VLOOKUP(AT81,Потребители_обозначение,3,FALSE)*(H81*2-1)+BV81),BV81))</f>
        <v>37</v>
      </c>
      <c r="BX81">
        <f t="shared" si="100"/>
        <v>33</v>
      </c>
      <c r="BY81">
        <f t="shared" si="101"/>
        <v>0</v>
      </c>
      <c r="BZ81">
        <f t="shared" si="102"/>
        <v>1</v>
      </c>
      <c r="CA81">
        <f t="shared" si="103"/>
        <v>0.31</v>
      </c>
      <c r="CB81">
        <f t="shared" si="104"/>
        <v>1.3781059090188721</v>
      </c>
      <c r="CC81">
        <f>IFERROR(ROUNDUP(CB81/((Uн_лин/SQRT(3))*1000)*100,2),"")</f>
        <v>0.6</v>
      </c>
      <c r="CD81">
        <f>IF(ISNUMBER(CC81),CC81+IFERROR(_xlfn.XLOOKUP(A81,Щиты[Щит],Щиты[ΔU до шин, %]),0),"")</f>
        <v>1.1000000000000001</v>
      </c>
      <c r="CE81">
        <f>IF(D81="","",IF(IFERROR(VLOOKUP(AT81,УГО_спр,2,FALSE),"")="Светильник",3,4)+IF(Методика="нормы 2026",MIN(0.5,MAX(0,N(BW81)-100)*0.005),0))</f>
        <v>4</v>
      </c>
      <c r="CF81" t="str">
        <f>IFERROR(VLOOKUP(BI81,Кабель_обозначение,2,FALSE),"")</f>
        <v>ВВГнг(А)-LS</v>
      </c>
      <c r="CG81" t="str">
        <f>IFERROR(IF(VLOOKUP(BI81,Кабель_обозначение,3,FALSE)=1,CF81&amp;" ("&amp;BJ81&amp;"х"&amp;BS81&amp;")",CF81),"")</f>
        <v>ВВГнг(А)-LS (5х25)</v>
      </c>
      <c r="CH81" t="str">
        <f t="shared" si="105"/>
        <v>ВВГнг(А)-LS (5х25)
L=37-0,6%</v>
      </c>
      <c r="CI81">
        <f>IFERROR(2*ρкз_Cu*BW81/BS81,"")</f>
        <v>7.7848000000000001E-2</v>
      </c>
      <c r="CJ81">
        <f t="shared" si="106"/>
        <v>2.5900000000000003E-2</v>
      </c>
      <c r="CK81" t="str">
        <f>IFERROR(IF(OR(D81="",NOT(ISNUMBER(BS81)),N(BW81)=0),"",_xlfn.XLOOKUP(A81,Щиты[Щит],Щиты[Zпетли на шинах, Ом])+CI81),"")</f>
        <v/>
      </c>
      <c r="CL81" t="str">
        <f>IF(ISNUMBER(CK81),c_min*(Uн_лин*1000/SQRT(3))/CK81,"")</f>
        <v/>
      </c>
      <c r="CM81" t="str">
        <f>IFERROR(IF(OR(D81="",NOT(ISNUMBER(BS81))),"",1.05*(Uн_лин*1000/SQRT(3))/(_xlfn.XLOOKUP(A81,Щиты[Щит],Щиты[Zmax на шинах, Ом])+CJ81)/1000),"")</f>
        <v/>
      </c>
      <c r="CN81" t="str">
        <f>IF(D81="","",IF(BA81&lt;&gt;"","Щит",IF(K81&lt;&gt;"",K81,IF(ISNUMBER(L81),"Сил",IF(IFERROR(_xlfn.XLOOKUP(AT81,Коды_код,Коды_группа)&amp;"","")="","Быт",_xlfn.XLOOKUP(AT81,Коды_код,Коды_группа)&amp;"")))))</f>
        <v>Сил</v>
      </c>
      <c r="CO81">
        <f>IF(CN81="Щит","щит",IF(CN81="","",IF(CN81="Быт",IFERROR(_xlfn.XLOOKUP(A81,Щиты[Щит],Щиты[Кс быт]),1),IF(CN81="Сил",IF(ISNUMBER(L81),L81,IF(Методика="нормы 2026",IFERROR(_xlfn.XLOOKUP(A81,Щиты[Щит],Щиты[Кс силовых (табл. 7.5)]),1),1)),IF(OR(CN81="Пост",CN81="Отоп"),1,IF(CN81="ВНГ",0.7,0))))))</f>
        <v>0.5</v>
      </c>
      <c r="CP81">
        <f t="shared" si="107"/>
        <v>1</v>
      </c>
      <c r="CQ81">
        <f t="shared" si="108"/>
        <v>28</v>
      </c>
      <c r="CR81">
        <f t="shared" si="109"/>
        <v>0</v>
      </c>
      <c r="CS81">
        <f t="shared" si="110"/>
        <v>14</v>
      </c>
      <c r="CT81">
        <f t="shared" si="111"/>
        <v>0</v>
      </c>
      <c r="CU81">
        <f t="shared" si="112"/>
        <v>0</v>
      </c>
      <c r="CV81">
        <f t="shared" si="113"/>
        <v>0</v>
      </c>
      <c r="CW81">
        <f t="shared" si="114"/>
        <v>28</v>
      </c>
      <c r="CX81">
        <f t="shared" si="115"/>
        <v>26.599999999999998</v>
      </c>
      <c r="CY81">
        <f t="shared" si="116"/>
        <v>2</v>
      </c>
      <c r="CZ81" t="str">
        <f t="shared" si="117"/>
        <v>L1,L2,L3</v>
      </c>
      <c r="DA81" cm="1">
        <f t="array" ref="DA81">IFERROR(IF(BL81=2,_xlfn.IFS(BH81=3,VLOOKUP(BF81,Справочная_двигатели,3,FALSE),BH81=1,VLOOKUP(BF81,Справочная_двигатели,5,TRUE)),0),0)</f>
        <v>0</v>
      </c>
      <c r="DB81">
        <f>IFERROR(IF(BL81=3,VLOOKUP(BF81,Справочная_ЛЭД,2,TRUE),0),0)</f>
        <v>0</v>
      </c>
      <c r="DC81">
        <f t="shared" si="118"/>
        <v>0</v>
      </c>
      <c r="DD81" t="str">
        <f t="shared" si="119"/>
        <v>L1,L2,L3</v>
      </c>
      <c r="DE81" t="str" cm="1">
        <f t="array" ref="DE81">IF(D81="","",IFERROR(INDEX({"I особая","I","II","III"},MATCH(TRIM(AA81&amp;""),{"I особая","I","II","III"},0)),"III"))</f>
        <v>II</v>
      </c>
      <c r="DF81" t="str">
        <f>IF(D81="","",IF(TRIM(AB81&amp;"")&lt;&gt;"",IF(LOWER(TRIM(AB81&amp;""))="да","да","нет"),IF(IFERROR(_xlfn.XLOOKUP(AT81,Коды_код,Коды_пожарная),"")="да","да","нет")))</f>
        <v>нет</v>
      </c>
      <c r="DG81" t="str">
        <f t="shared" si="120"/>
        <v/>
      </c>
      <c r="DH81" t="str">
        <f t="shared" si="121"/>
        <v>основная</v>
      </c>
      <c r="DI81">
        <f t="shared" si="122"/>
        <v>1</v>
      </c>
      <c r="DJ81" t="str" cm="1">
        <f t="array" ref="DJ81">IF(D81="","",_xlfn.LET(_xlpm.t,IFERROR(_xlfn.XLOOKUP(1,(Шины[Шина]=DH81)*(((Шины[Щит]=A81)+(Шины[Щит]=""))&gt;0),Шины[Тип]),"")&amp;"",IF(_xlpm.t&lt;&gt;"",_xlpm.t,IF(ISNUMBER(SEARCH("ИБП",DH81)),"ИБП",IF(ISNUMBER(SEARCH("ДГУ",DH81)),"ДГУ","Ввод "&amp;DI81)))))</f>
        <v>Ввод 1</v>
      </c>
      <c r="DK81" t="str">
        <f t="shared" si="123"/>
        <v>Ввод 1</v>
      </c>
      <c r="DL81" t="str">
        <f>IF(D81="","",IF(OR(DJ81="ИБП",DJ81="ДГУ"),"I особая",IF(DJ81="Одиночная","III",_xlfn.XLOOKUP(A81,Щиты[Щит],Щиты[Категория шины «Ввод»],"III"))))</f>
        <v>II</v>
      </c>
      <c r="DM81">
        <f>IF(D81="",0,IFERROR(MATCH(DE81,{"III","II","I","I особая"},0),1))</f>
        <v>2</v>
      </c>
      <c r="DN81">
        <f t="shared" si="124"/>
        <v>2</v>
      </c>
      <c r="DO81" t="str">
        <f>IF(D81="","",IF(DM81&gt;IFERROR(MATCH(DL81,{"III","II","I","I особая"},0),1),"НЕ ОБЕСПЕЧЕНА","ОК"))</f>
        <v>ОК</v>
      </c>
      <c r="DP81" t="str">
        <f>IF(A81="","",_xlfn.XLOOKUP(A81,Щиты[Щит],Щиты[Путь],""))</f>
        <v>|ГРЩ-ЖД|ЩОВ-001|</v>
      </c>
      <c r="DQ81" t="str">
        <f>IF(D81="","",IF(Z81&lt;&gt;"",Z81,IF(IFERROR(_xlfn.XLOOKUP(AT81,Коды_код,Коды_вид)&amp;"","")="","Прочее",_xlfn.XLOOKUP(AT81,Коды_код,Коды_вид)&amp;"")))</f>
        <v>Кондиционирование и увлажнение</v>
      </c>
      <c r="DR81">
        <f>IF(BD81="","",INT((BD81-1)/Столбцов_на_лист)+1)</f>
        <v>3</v>
      </c>
      <c r="DS81" t="str">
        <f t="shared" si="125"/>
        <v>ВВГнг(А)-LS (5х25) L=37-0,6%</v>
      </c>
      <c r="DT81">
        <f t="shared" si="126"/>
        <v>28</v>
      </c>
      <c r="DU81">
        <f t="shared" si="127"/>
        <v>42.55</v>
      </c>
      <c r="DV81">
        <f t="shared" si="128"/>
        <v>3</v>
      </c>
      <c r="DW81">
        <f>IF(AT81="",0,_xlfn.LET(_xlpm.v,IFERROR(VLOOKUP(D81,УГО_спр,3,FALSE),IFERROR(VLOOKUP(AT81,УГО_спр,3,FALSE),IFERROR(VLOOKUP(LEFT(AT81,2),УГО_спр,3,FALSE),""))),IF(_xlpm.v="да",30,IF(ISNUMBER(_xlpm.v),_xlpm.v,0))))</f>
        <v>0</v>
      </c>
      <c r="DX81">
        <f t="shared" si="129"/>
        <v>0</v>
      </c>
      <c r="DY81">
        <f>IF(BD81="","",IF(AD81&lt;&gt;"",COUNTIFS(A$3:A81,A81,AD$3:AD81,"?*"),IF(OR(OR(AS81=1,A81&lt;&gt;A80),AL81="вручную"),"",IF(AS81=1,"",DZ80))))</f>
        <v>28</v>
      </c>
      <c r="DZ81">
        <f t="shared" si="130"/>
        <v>28</v>
      </c>
      <c r="EA81">
        <f>IF(D81="",0,MAX(IFERROR(--X81,0),IFERROR(--VLOOKUP(D81,УГО_спр,4,FALSE),IFERROR(--VLOOKUP(AT81,УГО_спр,4,FALSE),IFERROR(--VLOOKUP(LEFT(AT81,2),УГО_спр,4,FALSE),0)))))</f>
        <v>63</v>
      </c>
      <c r="EB81">
        <f>IF(D81="","",IFERROR(LOOKUP(INDEX(CHOOSE(BR81,Iдоп_1ж,Iдоп_2ж,Iдоп_3ж),MATCH(BS81,Iдоп_S,0))*BP81*BQ81,{6,10,16,20,25,32,40,50,63,80,100,125,160,200,250,315,400,500,630}),""))</f>
        <v>80</v>
      </c>
      <c r="EC81">
        <f>IF(AD81="","",SUMIFS(Линии[_Ток схемы],Линии[_гр.],DY81,Линии[Щит],A81,Линии[_в кабель выше],0))</f>
        <v>42.55</v>
      </c>
      <c r="ED81">
        <f>IF(AD81="","",IFERROR(VLOOKUP(EC81,Автомат_номиналы,2,TRUE),""))</f>
        <v>50</v>
      </c>
      <c r="EE81">
        <f>IF(AD81="","",MAX(N(ED81),_xlfn.MAXIFS(Линии[_мин. по типу],Линии[_гр.],DY81,Линии[Щит],A81)))</f>
        <v>63</v>
      </c>
      <c r="EF81">
        <f>IF(AD81="","",_xlfn.MINIFS(Линии[_макс. автомат по кабелю],Линии[_гр.],DY81,Линии[Щит],A81))</f>
        <v>80</v>
      </c>
      <c r="EG81">
        <f>IF(AD81="","",MAX(1,_xlfn.MAXIFS(Линии[_фаз],Линии[_гр.],DY81,Линии[Щит],A81)))</f>
        <v>3</v>
      </c>
      <c r="EH81">
        <f>IF(AD81="","",IF(AND(AD81&lt;&gt;"авто",AD81&lt;&gt;"+"),IF(ISNUMBER(SEARCH("мА",AD81)),IFERROR(--TRIM(RIGHT(SUBSTITUTE(LEFT(AD81,SEARCH("мА",AD81)-1)," ",REPT(" ",9)),6)),30),0),IF(AE81="нет",0,IF(ISNUMBER(AE81),AE81,IF(AE81="да",30,_xlfn.MINIFS(Линии[_дифзащита по коду, мА],Линии[_гр.],DY81,Линии[Щит],A81,Линии[_дифзащита по коду, мА],"&gt;0"))))))</f>
        <v>0</v>
      </c>
      <c r="EI81">
        <f t="shared" si="131"/>
        <v>0</v>
      </c>
      <c r="EJ81" t="str">
        <f t="shared" si="132"/>
        <v>QF28</v>
      </c>
      <c r="EK81" t="str">
        <f t="shared" si="133"/>
        <v>QF28</v>
      </c>
      <c r="EL81" t="str">
        <f t="shared" si="134"/>
        <v/>
      </c>
      <c r="EM81">
        <f t="shared" si="135"/>
        <v>0</v>
      </c>
      <c r="EN81">
        <f>IF(AD81="","",IF(EM81=1,MAX(EE81,Мин_автомат_БП),EE81))</f>
        <v>63</v>
      </c>
      <c r="EO81" t="str">
        <f t="shared" si="136"/>
        <v>3P</v>
      </c>
      <c r="EP81" t="str">
        <f t="shared" si="137"/>
        <v>3P С63А</v>
      </c>
      <c r="EQ81">
        <f t="shared" si="138"/>
        <v>63</v>
      </c>
      <c r="ER81" t="str">
        <f>IF(OR(AI81="",AI81="-"),"",IFERROR(VLOOKUP(AI81,Модули_спр,2,FALSE),"R"))</f>
        <v/>
      </c>
      <c r="ES81" t="str">
        <f>IF(ER81="","",ER81&amp;"."&amp;COUNTIFS(A$3:A81,A81,ER$3:ER81,ER81))</f>
        <v/>
      </c>
      <c r="ET81" t="str">
        <f t="shared" si="139"/>
        <v/>
      </c>
      <c r="EU81" t="str">
        <f t="shared" si="140"/>
        <v/>
      </c>
      <c r="EV81" t="str">
        <f t="shared" si="141"/>
        <v/>
      </c>
      <c r="EW81" t="str">
        <f t="shared" si="142"/>
        <v/>
      </c>
      <c r="EX81">
        <f t="shared" si="143"/>
        <v>1</v>
      </c>
      <c r="EY81" t="str">
        <f>IF(AK81="нет","",IF(AK81&lt;&gt;"",AK81,IF(EX81=1,"XT"&amp;COUNTIFS(A$3:A81,A81,EX$3:EX81,1),"")))</f>
        <v>XT29</v>
      </c>
      <c r="EZ81" t="str">
        <f t="shared" si="144"/>
        <v>QF28</v>
      </c>
      <c r="FA81" t="str">
        <f t="shared" si="145"/>
        <v/>
      </c>
      <c r="FB81" t="str">
        <f t="shared" si="146"/>
        <v>ok</v>
      </c>
      <c r="FC81" t="str">
        <f>IF(OR(EV81="",ET81=""),"",IF(EV81&gt;IFERROR(VLOOKUP(EU81,Модули_спр,3,FALSE),99),"ЛИШНИЙ КАНАЛ",IF(AND(AJ81&lt;&gt;"=",COUNTIFS(Линии[_модуль гр.],ET81,Линии[Канал (итог)],EV81,Линии[Канал],"&lt;&gt;=",Линии[Щит],A81)&gt;1),"ДУБЛЬ КАНАЛА","")))</f>
        <v/>
      </c>
      <c r="FD81">
        <f t="shared" si="147"/>
        <v>63</v>
      </c>
      <c r="FE81" t="str">
        <f t="shared" si="148"/>
        <v>3P С63А</v>
      </c>
      <c r="FF81">
        <f t="shared" si="149"/>
        <v>0</v>
      </c>
      <c r="FG81">
        <f t="shared" si="150"/>
        <v>0</v>
      </c>
      <c r="FH81" t="str">
        <f t="shared" si="151"/>
        <v/>
      </c>
      <c r="FI81">
        <f t="shared" si="152"/>
        <v>10</v>
      </c>
      <c r="FJ81" t="str">
        <f t="shared" si="153"/>
        <v/>
      </c>
      <c r="FK81" t="str">
        <f>IF(AND(D81="",EZ81=""),"",_xlfn.TEXTJOIN("; ",TRUE,IF(AND(D81&lt;&gt;"",DD81=""),"нет фазы",""),IF(AND(D81&lt;&gt;"",N(DT81)=0,CN81&lt;&gt;"Нет"),"нет мощности",""),IF(AND(EY81&lt;&gt;"",COUNTIFS(Линии[Щит],A81,Линии[Клемма (итог)],EY81)&gt;1),"дубль клеммы "&amp;EY81,""),IF(AND(FB81&lt;&gt;"",FB81&lt;&gt;"ok"),FB81,""),IF(FC81&lt;&gt;"",FC81,""),IF(AND(ISNUMBER(SEARCH("(5х",DS81)),N(DV81)=1),"5 жил на 1 фазе",""),IF(AND(AT81="R",AD81&lt;&gt;"",OR(N(EH81)=0,N(EH81)&gt;30)),"розетка без дифзащиты до 30 мА",""),IFERROR(IF(AND(ISNUMBER(CD81),CD81&gt;CE81),"потери "&amp;FIXED(CD81,1)&amp;" % &gt; "&amp;CE81&amp;" %",""),""),IFERROR(IF(LEFT(FJ81,4)="мало","Iкз мало — отключение &gt; 0,4 с",""),""),IF(AND(D81&lt;&gt;"",BD81=""),"не на схеме","")))</f>
        <v/>
      </c>
      <c r="FL81" t="str">
        <f>IF(AD81="","",_xlfn.LET(_xlpm.t,IFERROR(_xlfn.XLOOKUP(EP81,Каталог!$U$4:$U$500,Каталог!$G$4:$G$500),""),_xlpm.k,SEARCH("кА",_xlpm.t),IFERROR(--TRIM(RIGHT(SUBSTITUTE(MID(_xlpm.t,MAX(1,_xlpm.k-4),_xlpm.k-MAX(1,_xlpm.k-4))," ",REPT(" ",9)),5)),"")))</f>
        <v/>
      </c>
      <c r="FM81" t="str">
        <f>IF(OR(FL81="",AD81=""),"",IF(_xlfn.XLOOKUP(A81,Щиты[Щит],Щиты[Iкз max на шинах, кА],"")="","",IF(FL81&lt;_xlfn.XLOOKUP(A81,Щиты[Щит],Щиты[Iкз max на шинах, кА]),"Icu "&amp;FL81&amp;" кА &lt; Iкз max","ok")))</f>
        <v/>
      </c>
      <c r="FN81" t="str">
        <f t="shared" si="154"/>
        <v>QF28|XT29</v>
      </c>
      <c r="FO81" t="str">
        <f t="shared" si="155"/>
        <v>QF28|XT29|кабель ВВГнг(А)-LS (5х25) → Внешний блок кондиционирования Пом. Венткиосок</v>
      </c>
      <c r="FP81" t="str" cm="1">
        <f t="array" ref="FP81">IF(FO81="","",_xlfn.LET(_xlpm.nd,_xlfn.TEXTSPLIT(FO81,"|"),IF(COLUMNS(_xlpm.nd)&gt;1,A81&amp;"¦"&amp;INDEX(_xlpm.nd,1)&amp;"¦"&amp;INDEX(_xlpm.nd,2),"")))</f>
        <v>ЩОВ-001¦QF28¦XT29</v>
      </c>
      <c r="FQ81" t="str">
        <f t="shared" si="156"/>
        <v>ККБ-2¦Внешний блок кондиционирования Пом. Венткиосок</v>
      </c>
      <c r="FR81" t="str" cm="1">
        <f t="array" ref="FR81">IF(FO81="","",_xlfn.LET(_xlpm.nd,_xlfn.TEXTSPLIT(FO81,"|"),IF(COLUMNS(_xlpm.nd)&gt;2,A81&amp;"¦"&amp;INDEX(_xlpm.nd,2)&amp;"¦"&amp;INDEX(_xlpm.nd,3),"")))</f>
        <v>ЩОВ-001¦XT29¦кабель ВВГнг(А)-LS (5х25) → Внешний блок кондиционирования Пом. Венткиосок</v>
      </c>
      <c r="FS81" t="str">
        <f t="shared" si="157"/>
        <v>ККБ-2¦Внешний блок кондиционирования Пом. Венткиосок</v>
      </c>
      <c r="FT81" t="str" cm="1">
        <f t="array" ref="FT81">IF(FO81="","",_xlfn.LET(_xlpm.nd,_xlfn.TEXTSPLIT(FO81,"|"),IF(COLUMNS(_xlpm.nd)&gt;3,A81&amp;"¦"&amp;INDEX(_xlpm.nd,3)&amp;"¦"&amp;INDEX(_xlpm.nd,4),"")))</f>
        <v/>
      </c>
      <c r="FU81" t="str">
        <f t="shared" si="158"/>
        <v/>
      </c>
      <c r="FV81" t="str" cm="1">
        <f t="array" ref="FV81">IF(FO81="","",_xlfn.LET(_xlpm.nd,_xlfn.TEXTSPLIT(FO81,"|"),IF(COLUMNS(_xlpm.nd)&gt;4,A81&amp;"¦"&amp;INDEX(_xlpm.nd,4)&amp;"¦"&amp;INDEX(_xlpm.nd,5),"")))</f>
        <v/>
      </c>
      <c r="FW81" t="str">
        <f t="shared" si="159"/>
        <v/>
      </c>
      <c r="FX81" t="str" cm="1">
        <f t="array" ref="FX81">IF(FO81="","",_xlfn.LET(_xlpm.nd,_xlfn.TEXTSPLIT(FO81,"|"),IF(COLUMNS(_xlpm.nd)&gt;5,A81&amp;"¦"&amp;INDEX(_xlpm.nd,5)&amp;"¦"&amp;INDEX(_xlpm.nd,6),"")))</f>
        <v/>
      </c>
      <c r="FY81" t="str">
        <f t="shared" si="160"/>
        <v/>
      </c>
      <c r="FZ81" t="str" cm="1">
        <f t="array" ref="FZ81">IF(FO81="","",_xlfn.LET(_xlpm.nd,_xlfn.TEXTSPLIT(FO81,"|"),IF(COLUMNS(_xlpm.nd)&gt;6,A81&amp;"¦"&amp;INDEX(_xlpm.nd,6)&amp;"¦"&amp;INDEX(_xlpm.nd,7),"")))</f>
        <v/>
      </c>
      <c r="GA81" t="str">
        <f t="shared" si="161"/>
        <v/>
      </c>
      <c r="GB81" t="str">
        <f t="shared" si="162"/>
        <v/>
      </c>
      <c r="GC81" t="str">
        <f t="shared" si="163"/>
        <v>QF28 → XT29</v>
      </c>
      <c r="GD81">
        <f t="shared" si="164"/>
        <v>1</v>
      </c>
      <c r="GE81">
        <f t="shared" si="165"/>
        <v>0</v>
      </c>
      <c r="GF81">
        <f t="shared" si="166"/>
        <v>0</v>
      </c>
      <c r="GG81" t="str">
        <f t="shared" si="167"/>
        <v/>
      </c>
      <c r="GH81" t="str">
        <f t="shared" si="168"/>
        <v/>
      </c>
      <c r="GI81" t="str">
        <f t="shared" si="169"/>
        <v/>
      </c>
      <c r="GJ81" t="str">
        <f t="shared" si="170"/>
        <v/>
      </c>
      <c r="GK81" t="str">
        <f>IF(D81="","",IFERROR(VLOOKUP(D81,УГО_спр,2,FALSE),IFERROR(VLOOKUP(AT81,УГО_спр,2,FALSE),IFERROR(VLOOKUP(LEFT(AT81,2),УГО_спр,2,FALSE),""))))</f>
        <v/>
      </c>
      <c r="GL81" t="str">
        <f>IF(D81="","",IF(OR(GK81="",GK81=0),"BOX",IFERROR(IF(VLOOKUP(GK81,УГО_блоки,3,FALSE)&amp;""&lt;&gt;"",VLOOKUP(GK81,УГО_блоки,3,FALSE),VLOOKUP(GK81,УГО_блоки,2,FALSE)),GK81)))</f>
        <v>BOX</v>
      </c>
      <c r="GM81">
        <f t="shared" si="171"/>
        <v>1</v>
      </c>
      <c r="GN81" t="str">
        <f>IF(EP81="","",IF(COUNTIF(EP$3:EP81,EP81)=1,MAX(GN$2:GN80)+1,""))</f>
        <v/>
      </c>
      <c r="GO81" t="str">
        <f>IF(AF81="","",IF(COUNTIF(AF$3:AF81,AF81)+COUNTIF(AG$2:AG80,AF81)+COUNTIF(AH$2:AH80,AF81)=1,MAX(GO$2:GQ80)+1,""))</f>
        <v/>
      </c>
      <c r="GP81" t="str">
        <f>IF(AG81="","",IF(COUNTIF(AF$3:AF81,AG81)+COUNTIF(AG$3:AG81,AG81)+COUNTIF(AH$2:AH80,AG81)=1,MAX(GO$2:GQ80,GO81)+1,""))</f>
        <v/>
      </c>
      <c r="GQ81" t="str">
        <f>IF(AH81="","",IF(COUNTIF(AF$3:AF81,AH81)+COUNTIF(AG$3:AG81,AH81)+COUNTIF(AH$3:AH81,AH81)=1,MAX(GO$2:GQ80,GO81,GP81)+1,""))</f>
        <v/>
      </c>
      <c r="GR81" t="str">
        <f t="shared" si="172"/>
        <v>5х25</v>
      </c>
      <c r="GS81" t="str">
        <f>IF(GR81="","",IF(COUNTIF(GR$3:GR81,GR81)=1,MAX(GS$2:GS80)+1,""))</f>
        <v/>
      </c>
      <c r="GT81" t="str">
        <f>IF(ES81="","",COUNTIF(ES$3:ES81,"?*"))</f>
        <v/>
      </c>
      <c r="GU81" t="str">
        <f>IF(OR(ES81="",EU81=""),"",IF(COUNTIFS(ES$3:ES81,"?*",EU$3:EU81,EU81)=1,MAX(GU$2:GU80)+1,""))</f>
        <v/>
      </c>
      <c r="GV81">
        <f t="shared" si="173"/>
        <v>0</v>
      </c>
      <c r="GW81">
        <f>IF(D81="","",COUNTIF(D$3:D81,"?*"))</f>
        <v>79</v>
      </c>
      <c r="GX81">
        <f>IF(EX81&lt;&gt;1,0,_xlfn.LET(_xlpm.k,MAX(IFERROR(--VLOOKUP(D81,УГО_спр,5,FALSE),0),IFERROR(--VLOOKUP(AT81,УГО_спр,5,FALSE),0),IFERROR(--VLOOKUP(LEFT(AT81,2),УГО_спр,5,FALSE),0)),IF(_xlpm.k&gt;0,_xlpm.k,IF(IFERROR(--LEFT(SUBSTITUTE(GR81,"x","х"),FIND("х",SUBSTITUTE(GR81,"x","х"))-1),3)&gt;3,Каталог!$S$9,1))))</f>
        <v>1</v>
      </c>
      <c r="GY81">
        <f t="shared" si="174"/>
        <v>2</v>
      </c>
    </row>
    <row r="82" spans="1:207" x14ac:dyDescent="0.3">
      <c r="A82" t="s">
        <v>752</v>
      </c>
      <c r="B82">
        <v>49</v>
      </c>
      <c r="C82" t="str">
        <f>IF(BD82="","",IF(BE82="вводной узел","узел ","")&amp;"л."&amp;(INT((BD82-1)/Столбцов_на_лист)+1)&amp;" / "&amp;(MOD(BD82-1,Столбцов_на_лист)+1))</f>
        <v>л.3 / 15</v>
      </c>
      <c r="D82" t="s">
        <v>1360</v>
      </c>
      <c r="E82" s="133" t="s">
        <v>1347</v>
      </c>
      <c r="G82">
        <v>27.79</v>
      </c>
      <c r="H82">
        <v>1</v>
      </c>
      <c r="I82">
        <v>3</v>
      </c>
      <c r="J82">
        <v>400</v>
      </c>
      <c r="K82" t="s">
        <v>602</v>
      </c>
      <c r="L82">
        <v>0.5</v>
      </c>
      <c r="O82" t="s">
        <v>1298</v>
      </c>
      <c r="P82">
        <v>51</v>
      </c>
      <c r="Q82">
        <v>0</v>
      </c>
      <c r="R82">
        <v>47</v>
      </c>
      <c r="S82">
        <v>0</v>
      </c>
      <c r="T82">
        <v>1</v>
      </c>
      <c r="U82" t="s">
        <v>11</v>
      </c>
      <c r="V82">
        <v>5</v>
      </c>
      <c r="W82">
        <v>25</v>
      </c>
      <c r="X82">
        <v>63</v>
      </c>
      <c r="Z82" t="s">
        <v>580</v>
      </c>
      <c r="AA82" t="s">
        <v>818</v>
      </c>
      <c r="AD82" t="s">
        <v>517</v>
      </c>
      <c r="AR82" t="str">
        <f t="shared" si="88"/>
        <v/>
      </c>
      <c r="AS82" cm="1">
        <f t="array" ref="AS82">ROW()-ROW(Линии[#Headers])</f>
        <v>80</v>
      </c>
      <c r="AT82" t="str">
        <f t="shared" si="89"/>
        <v>НБ-1</v>
      </c>
      <c r="AU82" t="str">
        <f t="shared" si="90"/>
        <v/>
      </c>
      <c r="AV82" t="str">
        <f t="shared" si="91"/>
        <v/>
      </c>
      <c r="AW82" t="str">
        <f t="shared" si="92"/>
        <v/>
      </c>
      <c r="AX82" t="str">
        <f t="shared" si="93"/>
        <v/>
      </c>
      <c r="AY82" t="str">
        <f>IF(D82="","",IF(ISERROR(SEARCH(".",D82)),IFERROR(VLOOKUP(D82,Потребители_обозначение,2,FALSE)&amp;"",""),IFERROR(IF(VLOOKUP(AT82,Потребители_обозначение,4,FALSE)=1,VLOOKUP(AT82,Потребители_обозначение,2,FALSE)&amp;" "&amp;VLOOKUP(AV82,Этаж_обозначение,2,FALSE)&amp;" Пом. №"&amp;AX82,VLOOKUP(AT82,Потребители_обозначение,2,FALSE)&amp;" Шлейф №"&amp;AV82),IFERROR(VLOOKUP(D82,Потребители_обозначение,2,FALSE),""))))</f>
        <v/>
      </c>
      <c r="AZ82" t="str">
        <f t="shared" si="94"/>
        <v>Внешний блок кондиционирования Пом. Венткиосок</v>
      </c>
      <c r="BA82" t="str">
        <f>IF(F82&lt;&gt;"",F82,IF(AND(D82&lt;&gt;"",D82&lt;&gt;A82,ISNUMBER(_xlfn.XMATCH(D82,Щиты[Щит]))),D82,""))</f>
        <v/>
      </c>
      <c r="BB82">
        <f>IFERROR(_xlfn.XMATCH(A82,Щиты[Щит]),0)</f>
        <v>4</v>
      </c>
      <c r="BC82">
        <f>IFERROR(N(_xlfn.XLOOKUP(A82,Щиты[Щит],Щиты[Мест под вводной узел])),15)</f>
        <v>13</v>
      </c>
      <c r="BD82">
        <f t="shared" si="95"/>
        <v>49</v>
      </c>
      <c r="BE82" t="str">
        <f t="shared" si="96"/>
        <v>линии</v>
      </c>
      <c r="BF82">
        <f>IF(D82="","",IF(BA82&lt;&gt;"",IFERROR(_xlfn.XLOOKUP(BA82,Щиты[Щит],Щиты[Руст, кВт]),0),N(G82)))</f>
        <v>27.79</v>
      </c>
      <c r="BG82">
        <f>IF(J82&lt;&gt;"",J82,IF(D82="","",IFERROR(IF(VLOOKUP(AT82,Потребители_обозначение,8,FALSE)=0,"",VLOOKUP(AT82,Потребители_обозначение,8,FALSE)),"")))</f>
        <v>400</v>
      </c>
      <c r="BH82">
        <f>IF(I82&lt;&gt;"",I82,IF(D82="","",IFERROR(IF(VLOOKUP(AT82,Потребители_обозначение,9,FALSE)=0,"",VLOOKUP(AT82,Потребители_обозначение,9,FALSE)),"")))</f>
        <v>3</v>
      </c>
      <c r="BI82" t="str">
        <f>IF(U82&lt;&gt;"",U82,IF(D82="","",IFERROR(IF(VLOOKUP(AT82,Потребители_обозначение,6,FALSE)=0,"",VLOOKUP(AT82,Потребители_обозначение,6,FALSE)),"")))</f>
        <v>мс</v>
      </c>
      <c r="BJ82">
        <f>IF(V82&lt;&gt;"",V82,IF(D82="","",IFERROR(IF(VLOOKUP(AT82,Потребители_обозначение,7,FALSE)=0,"",VLOOKUP(AT82,Потребители_обозначение,7,FALSE)),"")))</f>
        <v>5</v>
      </c>
      <c r="BK82">
        <f>IF(W82&lt;&gt;"",W82,IF(D82="","",IFERROR(IF(VLOOKUP(AT82,Потребители_обозначение,10,FALSE)=0,"",VLOOKUP(AT82,Потребители_обозначение,10,FALSE)),"")))</f>
        <v>25</v>
      </c>
      <c r="BL82">
        <f>IFERROR(VLOOKUP(AT82,Потребители_обозначение,5,FALSE),0)</f>
        <v>0</v>
      </c>
      <c r="BM82" cm="1">
        <f t="array" ref="BM82">IF(D82="","",IF(BA82&lt;&gt;"",IFERROR(_xlfn.XLOOKUP(BA82,Щиты[Щит],Щиты[cos φ]),0.95),IF(ISNUMBER(M82),M82,IFERROR(IF(BL82=2,_xlfn.IFS(BH82=3,VLOOKUP(BF82,Справочная_двигатели,8,FALSE),BH82=1,VLOOKUP(BF82,Справочная_двигатели,10,TRUE)),IF(AND(Методика="нормы 2026",CN82="Сил"),0.8,0.95)),0.95))))</f>
        <v>0.95</v>
      </c>
      <c r="BN82" cm="1">
        <f t="array" ref="BN82">IF(D82="","",IF(BA82&lt;&gt;"",IFERROR(_xlfn.XLOOKUP(BA82,Щиты[Щит],Щиты[Iр, А]),""),IFERROR(_xlfn.IFS(BH82=1,BF82/((Uн_лин/SQRT(3))*BM82),BH82=3,BF82/(SQRT(3)*Uн_лин*BM82)),"")))</f>
        <v>42.222536791525528</v>
      </c>
      <c r="BO82">
        <f>IF(D82="","",IF(N(X82)=0,IFERROR(VLOOKUP(BN82,Автомат_номиналы,2,TRUE),""),X82))</f>
        <v>63</v>
      </c>
      <c r="BP82">
        <f t="shared" si="97"/>
        <v>0.92</v>
      </c>
      <c r="BQ82">
        <f>IF(ISNUMBER(Y82),Y82,К_прокл)</f>
        <v>1</v>
      </c>
      <c r="BR82">
        <f t="shared" si="98"/>
        <v>3</v>
      </c>
      <c r="BS82" cm="1">
        <f t="array" ref="BS82">IF(D82="","",IF(N(BK82)&lt;&gt;0,BK82,IFERROR(_xlfn.LET(_xlpm.need,BO82/(BP82*BQ82),_xlpm.t,CHOOSE(BR82,Iдоп_1ж,Iдоп_2ж,Iдоп_3ж),_xlpm.k,_xlfn.XMATCH(_xlpm.need,_xlpm.t,1),IF(ISNA(_xlpm.k),"Не исп",INDEX(Iдоп_S,_xlpm.k))),"Не исп")))</f>
        <v>25</v>
      </c>
      <c r="BT82">
        <f>IFERROR(VLOOKUP(BS82,Кабель_сопротивление,3,FALSE),"")</f>
        <v>2.2499999999999999E-2</v>
      </c>
      <c r="BU82">
        <f>IFERROR(VLOOKUP(BS82,Кабель_сопротивление,2,FALSE),"")</f>
        <v>6.6199999999999995E-2</v>
      </c>
      <c r="BV82">
        <f t="shared" si="99"/>
        <v>51</v>
      </c>
      <c r="BW82">
        <f>IF(D82="","",IFERROR(IF(VLOOKUP(AT82,Потребители_обозначение,4,FALSE)=1,VLOOKUP(AT82,Потребители_обозначение,3,FALSE)*(H82*2-1)+BV82+VLOOKUP(AV82,Этаж_обозначение,3,FALSE)+VLOOKUP(AV82,Этаж_обозначение,4,FALSE),VLOOKUP(AT82,Потребители_обозначение,3,FALSE)*(H82*2-1)+BV82),BV82))</f>
        <v>51</v>
      </c>
      <c r="BX82">
        <f t="shared" si="100"/>
        <v>47</v>
      </c>
      <c r="BY82">
        <f t="shared" si="101"/>
        <v>0</v>
      </c>
      <c r="BZ82">
        <f t="shared" si="102"/>
        <v>1</v>
      </c>
      <c r="CA82">
        <f t="shared" si="103"/>
        <v>0.31</v>
      </c>
      <c r="CB82">
        <f t="shared" si="104"/>
        <v>1.8853047526962905</v>
      </c>
      <c r="CC82">
        <f>IFERROR(ROUNDUP(CB82/((Uн_лин/SQRT(3))*1000)*100,2),"")</f>
        <v>0.82000000000000006</v>
      </c>
      <c r="CD82">
        <f>IF(ISNUMBER(CC82),CC82+IFERROR(_xlfn.XLOOKUP(A82,Щиты[Щит],Щиты[ΔU до шин, %]),0),"")</f>
        <v>1.32</v>
      </c>
      <c r="CE82">
        <f>IF(D82="","",IF(IFERROR(VLOOKUP(AT82,УГО_спр,2,FALSE),"")="Светильник",3,4)+IF(Методика="нормы 2026",MIN(0.5,MAX(0,N(BW82)-100)*0.005),0))</f>
        <v>4</v>
      </c>
      <c r="CF82" t="str">
        <f>IFERROR(VLOOKUP(BI82,Кабель_обозначение,2,FALSE),"")</f>
        <v>ВВГнг(А)-LS</v>
      </c>
      <c r="CG82" t="str">
        <f>IFERROR(IF(VLOOKUP(BI82,Кабель_обозначение,3,FALSE)=1,CF82&amp;" ("&amp;BJ82&amp;"х"&amp;BS82&amp;")",CF82),"")</f>
        <v>ВВГнг(А)-LS (5х25)</v>
      </c>
      <c r="CH82" t="str">
        <f t="shared" si="105"/>
        <v>ВВГнг(А)-LS (5х25)
L=51-0,82%</v>
      </c>
      <c r="CI82">
        <f>IFERROR(2*ρкз_Cu*BW82/BS82,"")</f>
        <v>0.107304</v>
      </c>
      <c r="CJ82">
        <f t="shared" si="106"/>
        <v>3.5700000000000003E-2</v>
      </c>
      <c r="CK82" t="str">
        <f>IFERROR(IF(OR(D82="",NOT(ISNUMBER(BS82)),N(BW82)=0),"",_xlfn.XLOOKUP(A82,Щиты[Щит],Щиты[Zпетли на шинах, Ом])+CI82),"")</f>
        <v/>
      </c>
      <c r="CL82" t="str">
        <f>IF(ISNUMBER(CK82),c_min*(Uн_лин*1000/SQRT(3))/CK82,"")</f>
        <v/>
      </c>
      <c r="CM82" t="str">
        <f>IFERROR(IF(OR(D82="",NOT(ISNUMBER(BS82))),"",1.05*(Uн_лин*1000/SQRT(3))/(_xlfn.XLOOKUP(A82,Щиты[Щит],Щиты[Zmax на шинах, Ом])+CJ82)/1000),"")</f>
        <v/>
      </c>
      <c r="CN82" t="str">
        <f>IF(D82="","",IF(BA82&lt;&gt;"","Щит",IF(K82&lt;&gt;"",K82,IF(ISNUMBER(L82),"Сил",IF(IFERROR(_xlfn.XLOOKUP(AT82,Коды_код,Коды_группа)&amp;"","")="","Быт",_xlfn.XLOOKUP(AT82,Коды_код,Коды_группа)&amp;"")))))</f>
        <v>Сил</v>
      </c>
      <c r="CO82">
        <f>IF(CN82="Щит","щит",IF(CN82="","",IF(CN82="Быт",IFERROR(_xlfn.XLOOKUP(A82,Щиты[Щит],Щиты[Кс быт]),1),IF(CN82="Сил",IF(ISNUMBER(L82),L82,IF(Методика="нормы 2026",IFERROR(_xlfn.XLOOKUP(A82,Щиты[Щит],Щиты[Кс силовых (табл. 7.5)]),1),1)),IF(OR(CN82="Пост",CN82="Отоп"),1,IF(CN82="ВНГ",0.7,0))))))</f>
        <v>0.5</v>
      </c>
      <c r="CP82">
        <f t="shared" si="107"/>
        <v>1</v>
      </c>
      <c r="CQ82">
        <f t="shared" si="108"/>
        <v>27.79</v>
      </c>
      <c r="CR82">
        <f t="shared" si="109"/>
        <v>0</v>
      </c>
      <c r="CS82">
        <f t="shared" si="110"/>
        <v>13.895</v>
      </c>
      <c r="CT82">
        <f t="shared" si="111"/>
        <v>0</v>
      </c>
      <c r="CU82">
        <f t="shared" si="112"/>
        <v>0</v>
      </c>
      <c r="CV82">
        <f t="shared" si="113"/>
        <v>0</v>
      </c>
      <c r="CW82">
        <f t="shared" si="114"/>
        <v>27.79</v>
      </c>
      <c r="CX82">
        <f t="shared" si="115"/>
        <v>26.400499999999997</v>
      </c>
      <c r="CY82">
        <f t="shared" si="116"/>
        <v>2</v>
      </c>
      <c r="CZ82" t="str">
        <f t="shared" si="117"/>
        <v>L1,L2,L3</v>
      </c>
      <c r="DA82" cm="1">
        <f t="array" ref="DA82">IFERROR(IF(BL82=2,_xlfn.IFS(BH82=3,VLOOKUP(BF82,Справочная_двигатели,3,FALSE),BH82=1,VLOOKUP(BF82,Справочная_двигатели,5,TRUE)),0),0)</f>
        <v>0</v>
      </c>
      <c r="DB82">
        <f>IFERROR(IF(BL82=3,VLOOKUP(BF82,Справочная_ЛЭД,2,TRUE),0),0)</f>
        <v>0</v>
      </c>
      <c r="DC82">
        <f t="shared" si="118"/>
        <v>0</v>
      </c>
      <c r="DD82" t="str">
        <f t="shared" si="119"/>
        <v>L1,L2,L3</v>
      </c>
      <c r="DE82" t="str" cm="1">
        <f t="array" ref="DE82">IF(D82="","",IFERROR(INDEX({"I особая","I","II","III"},MATCH(TRIM(AA82&amp;""),{"I особая","I","II","III"},0)),"III"))</f>
        <v>II</v>
      </c>
      <c r="DF82" t="str">
        <f>IF(D82="","",IF(TRIM(AB82&amp;"")&lt;&gt;"",IF(LOWER(TRIM(AB82&amp;""))="да","да","нет"),IF(IFERROR(_xlfn.XLOOKUP(AT82,Коды_код,Коды_пожарная),"")="да","да","нет")))</f>
        <v>нет</v>
      </c>
      <c r="DG82" t="str">
        <f t="shared" si="120"/>
        <v/>
      </c>
      <c r="DH82" t="str">
        <f t="shared" si="121"/>
        <v>основная</v>
      </c>
      <c r="DI82">
        <f t="shared" si="122"/>
        <v>1</v>
      </c>
      <c r="DJ82" t="str" cm="1">
        <f t="array" ref="DJ82">IF(D82="","",_xlfn.LET(_xlpm.t,IFERROR(_xlfn.XLOOKUP(1,(Шины[Шина]=DH82)*(((Шины[Щит]=A82)+(Шины[Щит]=""))&gt;0),Шины[Тип]),"")&amp;"",IF(_xlpm.t&lt;&gt;"",_xlpm.t,IF(ISNUMBER(SEARCH("ИБП",DH82)),"ИБП",IF(ISNUMBER(SEARCH("ДГУ",DH82)),"ДГУ","Ввод "&amp;DI82)))))</f>
        <v>Ввод 1</v>
      </c>
      <c r="DK82" t="str">
        <f t="shared" si="123"/>
        <v>Ввод 1</v>
      </c>
      <c r="DL82" t="str">
        <f>IF(D82="","",IF(OR(DJ82="ИБП",DJ82="ДГУ"),"I особая",IF(DJ82="Одиночная","III",_xlfn.XLOOKUP(A82,Щиты[Щит],Щиты[Категория шины «Ввод»],"III"))))</f>
        <v>II</v>
      </c>
      <c r="DM82">
        <f>IF(D82="",0,IFERROR(MATCH(DE82,{"III","II","I","I особая"},0),1))</f>
        <v>2</v>
      </c>
      <c r="DN82">
        <f t="shared" si="124"/>
        <v>2</v>
      </c>
      <c r="DO82" t="str">
        <f>IF(D82="","",IF(DM82&gt;IFERROR(MATCH(DL82,{"III","II","I","I особая"},0),1),"НЕ ОБЕСПЕЧЕНА","ОК"))</f>
        <v>ОК</v>
      </c>
      <c r="DP82" t="str">
        <f>IF(A82="","",_xlfn.XLOOKUP(A82,Щиты[Щит],Щиты[Путь],""))</f>
        <v>|ГРЩ-ЖД|ЩОВ-001|</v>
      </c>
      <c r="DQ82" t="str">
        <f>IF(D82="","",IF(Z82&lt;&gt;"",Z82,IF(IFERROR(_xlfn.XLOOKUP(AT82,Коды_код,Коды_вид)&amp;"","")="","Прочее",_xlfn.XLOOKUP(AT82,Коды_код,Коды_вид)&amp;"")))</f>
        <v>Кондиционирование и увлажнение</v>
      </c>
      <c r="DR82">
        <f>IF(BD82="","",INT((BD82-1)/Столбцов_на_лист)+1)</f>
        <v>3</v>
      </c>
      <c r="DS82" t="str">
        <f t="shared" si="125"/>
        <v>ВВГнг(А)-LS (5х25) L=51-0,82%</v>
      </c>
      <c r="DT82">
        <f t="shared" si="126"/>
        <v>27.79</v>
      </c>
      <c r="DU82">
        <f t="shared" si="127"/>
        <v>42.23</v>
      </c>
      <c r="DV82">
        <f t="shared" si="128"/>
        <v>3</v>
      </c>
      <c r="DW82">
        <f>IF(AT82="",0,_xlfn.LET(_xlpm.v,IFERROR(VLOOKUP(D82,УГО_спр,3,FALSE),IFERROR(VLOOKUP(AT82,УГО_спр,3,FALSE),IFERROR(VLOOKUP(LEFT(AT82,2),УГО_спр,3,FALSE),""))),IF(_xlpm.v="да",30,IF(ISNUMBER(_xlpm.v),_xlpm.v,0))))</f>
        <v>0</v>
      </c>
      <c r="DX82">
        <f t="shared" si="129"/>
        <v>0</v>
      </c>
      <c r="DY82">
        <f>IF(BD82="","",IF(AD82&lt;&gt;"",COUNTIFS(A$3:A82,A82,AD$3:AD82,"?*"),IF(OR(OR(AS82=1,A82&lt;&gt;A81),AL82="вручную"),"",IF(AS82=1,"",DZ81))))</f>
        <v>29</v>
      </c>
      <c r="DZ82">
        <f t="shared" si="130"/>
        <v>29</v>
      </c>
      <c r="EA82">
        <f>IF(D82="",0,MAX(IFERROR(--X82,0),IFERROR(--VLOOKUP(D82,УГО_спр,4,FALSE),IFERROR(--VLOOKUP(AT82,УГО_спр,4,FALSE),IFERROR(--VLOOKUP(LEFT(AT82,2),УГО_спр,4,FALSE),0)))))</f>
        <v>63</v>
      </c>
      <c r="EB82">
        <f>IF(D82="","",IFERROR(LOOKUP(INDEX(CHOOSE(BR82,Iдоп_1ж,Iдоп_2ж,Iдоп_3ж),MATCH(BS82,Iдоп_S,0))*BP82*BQ82,{6,10,16,20,25,32,40,50,63,80,100,125,160,200,250,315,400,500,630}),""))</f>
        <v>80</v>
      </c>
      <c r="EC82">
        <f>IF(AD82="","",SUMIFS(Линии[_Ток схемы],Линии[_гр.],DY82,Линии[Щит],A82,Линии[_в кабель выше],0))</f>
        <v>42.23</v>
      </c>
      <c r="ED82">
        <f>IF(AD82="","",IFERROR(VLOOKUP(EC82,Автомат_номиналы,2,TRUE),""))</f>
        <v>50</v>
      </c>
      <c r="EE82">
        <f>IF(AD82="","",MAX(N(ED82),_xlfn.MAXIFS(Линии[_мин. по типу],Линии[_гр.],DY82,Линии[Щит],A82)))</f>
        <v>63</v>
      </c>
      <c r="EF82">
        <f>IF(AD82="","",_xlfn.MINIFS(Линии[_макс. автомат по кабелю],Линии[_гр.],DY82,Линии[Щит],A82))</f>
        <v>80</v>
      </c>
      <c r="EG82">
        <f>IF(AD82="","",MAX(1,_xlfn.MAXIFS(Линии[_фаз],Линии[_гр.],DY82,Линии[Щит],A82)))</f>
        <v>3</v>
      </c>
      <c r="EH82">
        <f>IF(AD82="","",IF(AND(AD82&lt;&gt;"авто",AD82&lt;&gt;"+"),IF(ISNUMBER(SEARCH("мА",AD82)),IFERROR(--TRIM(RIGHT(SUBSTITUTE(LEFT(AD82,SEARCH("мА",AD82)-1)," ",REPT(" ",9)),6)),30),0),IF(AE82="нет",0,IF(ISNUMBER(AE82),AE82,IF(AE82="да",30,_xlfn.MINIFS(Линии[_дифзащита по коду, мА],Линии[_гр.],DY82,Линии[Щит],A82,Линии[_дифзащита по коду, мА],"&gt;0"))))))</f>
        <v>0</v>
      </c>
      <c r="EI82">
        <f t="shared" si="131"/>
        <v>0</v>
      </c>
      <c r="EJ82" t="str">
        <f t="shared" si="132"/>
        <v>QF29</v>
      </c>
      <c r="EK82" t="str">
        <f t="shared" si="133"/>
        <v>QF29</v>
      </c>
      <c r="EL82" t="str">
        <f t="shared" si="134"/>
        <v/>
      </c>
      <c r="EM82">
        <f t="shared" si="135"/>
        <v>0</v>
      </c>
      <c r="EN82">
        <f>IF(AD82="","",IF(EM82=1,MAX(EE82,Мин_автомат_БП),EE82))</f>
        <v>63</v>
      </c>
      <c r="EO82" t="str">
        <f t="shared" si="136"/>
        <v>3P</v>
      </c>
      <c r="EP82" t="str">
        <f t="shared" si="137"/>
        <v>3P С63А</v>
      </c>
      <c r="EQ82">
        <f t="shared" si="138"/>
        <v>63</v>
      </c>
      <c r="ER82" t="str">
        <f>IF(OR(AI82="",AI82="-"),"",IFERROR(VLOOKUP(AI82,Модули_спр,2,FALSE),"R"))</f>
        <v/>
      </c>
      <c r="ES82" t="str">
        <f>IF(ER82="","",ER82&amp;"."&amp;COUNTIFS(A$3:A82,A82,ER$3:ER82,ER82))</f>
        <v/>
      </c>
      <c r="ET82" t="str">
        <f t="shared" si="139"/>
        <v/>
      </c>
      <c r="EU82" t="str">
        <f t="shared" si="140"/>
        <v/>
      </c>
      <c r="EV82" t="str">
        <f t="shared" si="141"/>
        <v/>
      </c>
      <c r="EW82" t="str">
        <f t="shared" si="142"/>
        <v/>
      </c>
      <c r="EX82">
        <f t="shared" si="143"/>
        <v>1</v>
      </c>
      <c r="EY82" t="str">
        <f>IF(AK82="нет","",IF(AK82&lt;&gt;"",AK82,IF(EX82=1,"XT"&amp;COUNTIFS(A$3:A82,A82,EX$3:EX82,1),"")))</f>
        <v>XT30</v>
      </c>
      <c r="EZ82" t="str">
        <f t="shared" si="144"/>
        <v>QF29</v>
      </c>
      <c r="FA82" t="str">
        <f t="shared" si="145"/>
        <v/>
      </c>
      <c r="FB82" t="str">
        <f t="shared" si="146"/>
        <v>ok</v>
      </c>
      <c r="FC82" t="str">
        <f>IF(OR(EV82="",ET82=""),"",IF(EV82&gt;IFERROR(VLOOKUP(EU82,Модули_спр,3,FALSE),99),"ЛИШНИЙ КАНАЛ",IF(AND(AJ82&lt;&gt;"=",COUNTIFS(Линии[_модуль гр.],ET82,Линии[Канал (итог)],EV82,Линии[Канал],"&lt;&gt;=",Линии[Щит],A82)&gt;1),"ДУБЛЬ КАНАЛА","")))</f>
        <v/>
      </c>
      <c r="FD82">
        <f t="shared" si="147"/>
        <v>63</v>
      </c>
      <c r="FE82" t="str">
        <f t="shared" si="148"/>
        <v>3P С63А</v>
      </c>
      <c r="FF82">
        <f t="shared" si="149"/>
        <v>0</v>
      </c>
      <c r="FG82">
        <f t="shared" si="150"/>
        <v>0</v>
      </c>
      <c r="FH82" t="str">
        <f t="shared" si="151"/>
        <v/>
      </c>
      <c r="FI82">
        <f t="shared" si="152"/>
        <v>10</v>
      </c>
      <c r="FJ82" t="str">
        <f t="shared" si="153"/>
        <v/>
      </c>
      <c r="FK82" t="str">
        <f>IF(AND(D82="",EZ82=""),"",_xlfn.TEXTJOIN("; ",TRUE,IF(AND(D82&lt;&gt;"",DD82=""),"нет фазы",""),IF(AND(D82&lt;&gt;"",N(DT82)=0,CN82&lt;&gt;"Нет"),"нет мощности",""),IF(AND(EY82&lt;&gt;"",COUNTIFS(Линии[Щит],A82,Линии[Клемма (итог)],EY82)&gt;1),"дубль клеммы "&amp;EY82,""),IF(AND(FB82&lt;&gt;"",FB82&lt;&gt;"ok"),FB82,""),IF(FC82&lt;&gt;"",FC82,""),IF(AND(ISNUMBER(SEARCH("(5х",DS82)),N(DV82)=1),"5 жил на 1 фазе",""),IF(AND(AT82="R",AD82&lt;&gt;"",OR(N(EH82)=0,N(EH82)&gt;30)),"розетка без дифзащиты до 30 мА",""),IFERROR(IF(AND(ISNUMBER(CD82),CD82&gt;CE82),"потери "&amp;FIXED(CD82,1)&amp;" % &gt; "&amp;CE82&amp;" %",""),""),IFERROR(IF(LEFT(FJ82,4)="мало","Iкз мало — отключение &gt; 0,4 с",""),""),IF(AND(D82&lt;&gt;"",BD82=""),"не на схеме","")))</f>
        <v/>
      </c>
      <c r="FL82" t="str">
        <f>IF(AD82="","",_xlfn.LET(_xlpm.t,IFERROR(_xlfn.XLOOKUP(EP82,Каталог!$U$4:$U$500,Каталог!$G$4:$G$500),""),_xlpm.k,SEARCH("кА",_xlpm.t),IFERROR(--TRIM(RIGHT(SUBSTITUTE(MID(_xlpm.t,MAX(1,_xlpm.k-4),_xlpm.k-MAX(1,_xlpm.k-4))," ",REPT(" ",9)),5)),"")))</f>
        <v/>
      </c>
      <c r="FM82" t="str">
        <f>IF(OR(FL82="",AD82=""),"",IF(_xlfn.XLOOKUP(A82,Щиты[Щит],Щиты[Iкз max на шинах, кА],"")="","",IF(FL82&lt;_xlfn.XLOOKUP(A82,Щиты[Щит],Щиты[Iкз max на шинах, кА]),"Icu "&amp;FL82&amp;" кА &lt; Iкз max","ok")))</f>
        <v/>
      </c>
      <c r="FN82" t="str">
        <f t="shared" si="154"/>
        <v>QF29|XT30</v>
      </c>
      <c r="FO82" t="str">
        <f t="shared" si="155"/>
        <v>QF29|XT30|кабель ВВГнг(А)-LS (5х25) → Внешний блок кондиционирования Пом. Венткиосок</v>
      </c>
      <c r="FP82" t="str" cm="1">
        <f t="array" ref="FP82">IF(FO82="","",_xlfn.LET(_xlpm.nd,_xlfn.TEXTSPLIT(FO82,"|"),IF(COLUMNS(_xlpm.nd)&gt;1,A82&amp;"¦"&amp;INDEX(_xlpm.nd,1)&amp;"¦"&amp;INDEX(_xlpm.nd,2),"")))</f>
        <v>ЩОВ-001¦QF29¦XT30</v>
      </c>
      <c r="FQ82" t="str">
        <f t="shared" si="156"/>
        <v>НБ-1¦Внешний блок кондиционирования Пом. Венткиосок</v>
      </c>
      <c r="FR82" t="str" cm="1">
        <f t="array" ref="FR82">IF(FO82="","",_xlfn.LET(_xlpm.nd,_xlfn.TEXTSPLIT(FO82,"|"),IF(COLUMNS(_xlpm.nd)&gt;2,A82&amp;"¦"&amp;INDEX(_xlpm.nd,2)&amp;"¦"&amp;INDEX(_xlpm.nd,3),"")))</f>
        <v>ЩОВ-001¦XT30¦кабель ВВГнг(А)-LS (5х25) → Внешний блок кондиционирования Пом. Венткиосок</v>
      </c>
      <c r="FS82" t="str">
        <f t="shared" si="157"/>
        <v>НБ-1¦Внешний блок кондиционирования Пом. Венткиосок</v>
      </c>
      <c r="FT82" t="str" cm="1">
        <f t="array" ref="FT82">IF(FO82="","",_xlfn.LET(_xlpm.nd,_xlfn.TEXTSPLIT(FO82,"|"),IF(COLUMNS(_xlpm.nd)&gt;3,A82&amp;"¦"&amp;INDEX(_xlpm.nd,3)&amp;"¦"&amp;INDEX(_xlpm.nd,4),"")))</f>
        <v/>
      </c>
      <c r="FU82" t="str">
        <f t="shared" si="158"/>
        <v/>
      </c>
      <c r="FV82" t="str" cm="1">
        <f t="array" ref="FV82">IF(FO82="","",_xlfn.LET(_xlpm.nd,_xlfn.TEXTSPLIT(FO82,"|"),IF(COLUMNS(_xlpm.nd)&gt;4,A82&amp;"¦"&amp;INDEX(_xlpm.nd,4)&amp;"¦"&amp;INDEX(_xlpm.nd,5),"")))</f>
        <v/>
      </c>
      <c r="FW82" t="str">
        <f t="shared" si="159"/>
        <v/>
      </c>
      <c r="FX82" t="str" cm="1">
        <f t="array" ref="FX82">IF(FO82="","",_xlfn.LET(_xlpm.nd,_xlfn.TEXTSPLIT(FO82,"|"),IF(COLUMNS(_xlpm.nd)&gt;5,A82&amp;"¦"&amp;INDEX(_xlpm.nd,5)&amp;"¦"&amp;INDEX(_xlpm.nd,6),"")))</f>
        <v/>
      </c>
      <c r="FY82" t="str">
        <f t="shared" si="160"/>
        <v/>
      </c>
      <c r="FZ82" t="str" cm="1">
        <f t="array" ref="FZ82">IF(FO82="","",_xlfn.LET(_xlpm.nd,_xlfn.TEXTSPLIT(FO82,"|"),IF(COLUMNS(_xlpm.nd)&gt;6,A82&amp;"¦"&amp;INDEX(_xlpm.nd,6)&amp;"¦"&amp;INDEX(_xlpm.nd,7),"")))</f>
        <v/>
      </c>
      <c r="GA82" t="str">
        <f t="shared" si="161"/>
        <v/>
      </c>
      <c r="GB82" t="str">
        <f t="shared" si="162"/>
        <v/>
      </c>
      <c r="GC82" t="str">
        <f t="shared" si="163"/>
        <v>QF29 → XT30</v>
      </c>
      <c r="GD82">
        <f t="shared" si="164"/>
        <v>1</v>
      </c>
      <c r="GE82">
        <f t="shared" si="165"/>
        <v>0</v>
      </c>
      <c r="GF82">
        <f t="shared" si="166"/>
        <v>0</v>
      </c>
      <c r="GG82" t="str">
        <f t="shared" si="167"/>
        <v/>
      </c>
      <c r="GH82" t="str">
        <f t="shared" si="168"/>
        <v/>
      </c>
      <c r="GI82" t="str">
        <f t="shared" si="169"/>
        <v/>
      </c>
      <c r="GJ82" t="str">
        <f t="shared" si="170"/>
        <v/>
      </c>
      <c r="GK82" t="str">
        <f>IF(D82="","",IFERROR(VLOOKUP(D82,УГО_спр,2,FALSE),IFERROR(VLOOKUP(AT82,УГО_спр,2,FALSE),IFERROR(VLOOKUP(LEFT(AT82,2),УГО_спр,2,FALSE),""))))</f>
        <v>Привод (двигатель)</v>
      </c>
      <c r="GL82" t="str">
        <f>IF(D82="","",IF(OR(GK82="",GK82=0),"BOX",IFERROR(IF(VLOOKUP(GK82,УГО_блоки,3,FALSE)&amp;""&lt;&gt;"",VLOOKUP(GK82,УГО_блоки,3,FALSE),VLOOKUP(GK82,УГО_блоки,2,FALSE)),GK82)))</f>
        <v>MOTOR</v>
      </c>
      <c r="GM82">
        <f t="shared" si="171"/>
        <v>1</v>
      </c>
      <c r="GN82" t="str">
        <f>IF(EP82="","",IF(COUNTIF(EP$3:EP82,EP82)=1,MAX(GN$2:GN81)+1,""))</f>
        <v/>
      </c>
      <c r="GO82" t="str">
        <f>IF(AF82="","",IF(COUNTIF(AF$3:AF82,AF82)+COUNTIF(AG$2:AG81,AF82)+COUNTIF(AH$2:AH81,AF82)=1,MAX(GO$2:GQ81)+1,""))</f>
        <v/>
      </c>
      <c r="GP82" t="str">
        <f>IF(AG82="","",IF(COUNTIF(AF$3:AF82,AG82)+COUNTIF(AG$3:AG82,AG82)+COUNTIF(AH$2:AH81,AG82)=1,MAX(GO$2:GQ81,GO82)+1,""))</f>
        <v/>
      </c>
      <c r="GQ82" t="str">
        <f>IF(AH82="","",IF(COUNTIF(AF$3:AF82,AH82)+COUNTIF(AG$3:AG82,AH82)+COUNTIF(AH$3:AH82,AH82)=1,MAX(GO$2:GQ81,GO82,GP82)+1,""))</f>
        <v/>
      </c>
      <c r="GR82" t="str">
        <f t="shared" si="172"/>
        <v>5х25</v>
      </c>
      <c r="GS82" t="str">
        <f>IF(GR82="","",IF(COUNTIF(GR$3:GR82,GR82)=1,MAX(GS$2:GS81)+1,""))</f>
        <v/>
      </c>
      <c r="GT82" t="str">
        <f>IF(ES82="","",COUNTIF(ES$3:ES82,"?*"))</f>
        <v/>
      </c>
      <c r="GU82" t="str">
        <f>IF(OR(ES82="",EU82=""),"",IF(COUNTIFS(ES$3:ES82,"?*",EU$3:EU82,EU82)=1,MAX(GU$2:GU81)+1,""))</f>
        <v/>
      </c>
      <c r="GV82">
        <f t="shared" si="173"/>
        <v>0</v>
      </c>
      <c r="GW82">
        <f>IF(D82="","",COUNTIF(D$3:D82,"?*"))</f>
        <v>80</v>
      </c>
      <c r="GX82">
        <f>IF(EX82&lt;&gt;1,0,_xlfn.LET(_xlpm.k,MAX(IFERROR(--VLOOKUP(D82,УГО_спр,5,FALSE),0),IFERROR(--VLOOKUP(AT82,УГО_спр,5,FALSE),0),IFERROR(--VLOOKUP(LEFT(AT82,2),УГО_спр,5,FALSE),0)),IF(_xlpm.k&gt;0,_xlpm.k,IF(IFERROR(--LEFT(SUBSTITUTE(GR82,"x","х"),FIND("х",SUBSTITUTE(GR82,"x","х"))-1),3)&gt;3,Каталог!$S$9,1))))</f>
        <v>1</v>
      </c>
      <c r="GY82">
        <f t="shared" si="174"/>
        <v>2</v>
      </c>
    </row>
    <row r="83" spans="1:207" x14ac:dyDescent="0.3">
      <c r="A83" t="s">
        <v>752</v>
      </c>
      <c r="B83">
        <v>57</v>
      </c>
      <c r="C83" t="str">
        <f>IF(BD83="","",IF(BE83="вводной узел","узел ","")&amp;"л."&amp;(INT((BD83-1)/Столбцов_на_лист)+1)&amp;" / "&amp;(MOD(BD83-1,Столбцов_на_лист)+1))</f>
        <v>л.4 / 6</v>
      </c>
      <c r="D83" t="s">
        <v>1361</v>
      </c>
      <c r="E83" s="133" t="s">
        <v>1347</v>
      </c>
      <c r="G83">
        <v>28</v>
      </c>
      <c r="H83">
        <v>1</v>
      </c>
      <c r="I83">
        <v>3</v>
      </c>
      <c r="J83">
        <v>400</v>
      </c>
      <c r="K83" t="s">
        <v>602</v>
      </c>
      <c r="L83">
        <v>0.5</v>
      </c>
      <c r="O83" t="s">
        <v>1298</v>
      </c>
      <c r="P83">
        <v>36</v>
      </c>
      <c r="Q83">
        <v>0</v>
      </c>
      <c r="R83">
        <v>32</v>
      </c>
      <c r="S83">
        <v>0</v>
      </c>
      <c r="T83">
        <v>1</v>
      </c>
      <c r="U83" t="s">
        <v>11</v>
      </c>
      <c r="V83">
        <v>5</v>
      </c>
      <c r="W83">
        <v>25</v>
      </c>
      <c r="X83">
        <v>63</v>
      </c>
      <c r="Z83" t="s">
        <v>580</v>
      </c>
      <c r="AA83" t="s">
        <v>818</v>
      </c>
      <c r="AD83" t="s">
        <v>517</v>
      </c>
      <c r="AR83" t="str">
        <f t="shared" si="88"/>
        <v/>
      </c>
      <c r="AS83" cm="1">
        <f t="array" ref="AS83">ROW()-ROW(Линии[#Headers])</f>
        <v>81</v>
      </c>
      <c r="AT83" t="str">
        <f t="shared" si="89"/>
        <v>ККБ-3</v>
      </c>
      <c r="AU83" t="str">
        <f t="shared" si="90"/>
        <v/>
      </c>
      <c r="AV83" t="str">
        <f t="shared" si="91"/>
        <v/>
      </c>
      <c r="AW83" t="str">
        <f t="shared" si="92"/>
        <v/>
      </c>
      <c r="AX83" t="str">
        <f t="shared" si="93"/>
        <v/>
      </c>
      <c r="AY83" t="str">
        <f>IF(D83="","",IF(ISERROR(SEARCH(".",D83)),IFERROR(VLOOKUP(D83,Потребители_обозначение,2,FALSE)&amp;"",""),IFERROR(IF(VLOOKUP(AT83,Потребители_обозначение,4,FALSE)=1,VLOOKUP(AT83,Потребители_обозначение,2,FALSE)&amp;" "&amp;VLOOKUP(AV83,Этаж_обозначение,2,FALSE)&amp;" Пом. №"&amp;AX83,VLOOKUP(AT83,Потребители_обозначение,2,FALSE)&amp;" Шлейф №"&amp;AV83),IFERROR(VLOOKUP(D83,Потребители_обозначение,2,FALSE),""))))</f>
        <v/>
      </c>
      <c r="AZ83" t="str">
        <f t="shared" si="94"/>
        <v>Внешний блок кондиционирования Пом. Венткиосок</v>
      </c>
      <c r="BA83" t="str">
        <f>IF(F83&lt;&gt;"",F83,IF(AND(D83&lt;&gt;"",D83&lt;&gt;A83,ISNUMBER(_xlfn.XMATCH(D83,Щиты[Щит]))),D83,""))</f>
        <v/>
      </c>
      <c r="BB83">
        <f>IFERROR(_xlfn.XMATCH(A83,Щиты[Щит]),0)</f>
        <v>4</v>
      </c>
      <c r="BC83">
        <f>IFERROR(N(_xlfn.XLOOKUP(A83,Щиты[Щит],Щиты[Мест под вводной узел])),15)</f>
        <v>13</v>
      </c>
      <c r="BD83">
        <f t="shared" si="95"/>
        <v>57</v>
      </c>
      <c r="BE83" t="str">
        <f t="shared" si="96"/>
        <v>линии</v>
      </c>
      <c r="BF83">
        <f>IF(D83="","",IF(BA83&lt;&gt;"",IFERROR(_xlfn.XLOOKUP(BA83,Щиты[Щит],Щиты[Руст, кВт]),0),N(G83)))</f>
        <v>28</v>
      </c>
      <c r="BG83">
        <f>IF(J83&lt;&gt;"",J83,IF(D83="","",IFERROR(IF(VLOOKUP(AT83,Потребители_обозначение,8,FALSE)=0,"",VLOOKUP(AT83,Потребители_обозначение,8,FALSE)),"")))</f>
        <v>400</v>
      </c>
      <c r="BH83">
        <f>IF(I83&lt;&gt;"",I83,IF(D83="","",IFERROR(IF(VLOOKUP(AT83,Потребители_обозначение,9,FALSE)=0,"",VLOOKUP(AT83,Потребители_обозначение,9,FALSE)),"")))</f>
        <v>3</v>
      </c>
      <c r="BI83" t="str">
        <f>IF(U83&lt;&gt;"",U83,IF(D83="","",IFERROR(IF(VLOOKUP(AT83,Потребители_обозначение,6,FALSE)=0,"",VLOOKUP(AT83,Потребители_обозначение,6,FALSE)),"")))</f>
        <v>мс</v>
      </c>
      <c r="BJ83">
        <f>IF(V83&lt;&gt;"",V83,IF(D83="","",IFERROR(IF(VLOOKUP(AT83,Потребители_обозначение,7,FALSE)=0,"",VLOOKUP(AT83,Потребители_обозначение,7,FALSE)),"")))</f>
        <v>5</v>
      </c>
      <c r="BK83">
        <f>IF(W83&lt;&gt;"",W83,IF(D83="","",IFERROR(IF(VLOOKUP(AT83,Потребители_обозначение,10,FALSE)=0,"",VLOOKUP(AT83,Потребители_обозначение,10,FALSE)),"")))</f>
        <v>25</v>
      </c>
      <c r="BL83">
        <f>IFERROR(VLOOKUP(AT83,Потребители_обозначение,5,FALSE),0)</f>
        <v>0</v>
      </c>
      <c r="BM83" cm="1">
        <f t="array" ref="BM83">IF(D83="","",IF(BA83&lt;&gt;"",IFERROR(_xlfn.XLOOKUP(BA83,Щиты[Щит],Щиты[cos φ]),0.95),IF(ISNUMBER(M83),M83,IFERROR(IF(BL83=2,_xlfn.IFS(BH83=3,VLOOKUP(BF83,Справочная_двигатели,8,FALSE),BH83=1,VLOOKUP(BF83,Справочная_двигатели,10,TRUE)),IF(AND(Методика="нормы 2026",CN83="Сил"),0.8,0.95)),0.95))))</f>
        <v>0.95</v>
      </c>
      <c r="BN83" cm="1">
        <f t="array" ref="BN83">IF(D83="","",IF(BA83&lt;&gt;"",IFERROR(_xlfn.XLOOKUP(BA83,Щиты[Щит],Щиты[Iр, А]),""),IFERROR(_xlfn.IFS(BH83=1,BF83/((Uн_лин/SQRT(3))*BM83),BH83=3,BF83/(SQRT(3)*Uн_лин*BM83)),"")))</f>
        <v>42.541598782393478</v>
      </c>
      <c r="BO83">
        <f>IF(D83="","",IF(N(X83)=0,IFERROR(VLOOKUP(BN83,Автомат_номиналы,2,TRUE),""),X83))</f>
        <v>63</v>
      </c>
      <c r="BP83">
        <f t="shared" si="97"/>
        <v>0.92</v>
      </c>
      <c r="BQ83">
        <f>IF(ISNUMBER(Y83),Y83,К_прокл)</f>
        <v>1</v>
      </c>
      <c r="BR83">
        <f t="shared" si="98"/>
        <v>3</v>
      </c>
      <c r="BS83" cm="1">
        <f t="array" ref="BS83">IF(D83="","",IF(N(BK83)&lt;&gt;0,BK83,IFERROR(_xlfn.LET(_xlpm.need,BO83/(BP83*BQ83),_xlpm.t,CHOOSE(BR83,Iдоп_1ж,Iдоп_2ж,Iдоп_3ж),_xlpm.k,_xlfn.XMATCH(_xlpm.need,_xlpm.t,1),IF(ISNA(_xlpm.k),"Не исп",INDEX(Iдоп_S,_xlpm.k))),"Не исп")))</f>
        <v>25</v>
      </c>
      <c r="BT83">
        <f>IFERROR(VLOOKUP(BS83,Кабель_сопротивление,3,FALSE),"")</f>
        <v>2.2499999999999999E-2</v>
      </c>
      <c r="BU83">
        <f>IFERROR(VLOOKUP(BS83,Кабель_сопротивление,2,FALSE),"")</f>
        <v>6.6199999999999995E-2</v>
      </c>
      <c r="BV83">
        <f t="shared" si="99"/>
        <v>36</v>
      </c>
      <c r="BW83">
        <f>IF(D83="","",IFERROR(IF(VLOOKUP(AT83,Потребители_обозначение,4,FALSE)=1,VLOOKUP(AT83,Потребители_обозначение,3,FALSE)*(H83*2-1)+BV83+VLOOKUP(AV83,Этаж_обозначение,3,FALSE)+VLOOKUP(AV83,Этаж_обозначение,4,FALSE),VLOOKUP(AT83,Потребители_обозначение,3,FALSE)*(H83*2-1)+BV83),BV83))</f>
        <v>36</v>
      </c>
      <c r="BX83">
        <f t="shared" si="100"/>
        <v>32</v>
      </c>
      <c r="BY83">
        <f t="shared" si="101"/>
        <v>0</v>
      </c>
      <c r="BZ83">
        <f t="shared" si="102"/>
        <v>1</v>
      </c>
      <c r="CA83">
        <f t="shared" si="103"/>
        <v>0.31</v>
      </c>
      <c r="CB83">
        <f t="shared" si="104"/>
        <v>1.3408598033697132</v>
      </c>
      <c r="CC83">
        <f>IFERROR(ROUNDUP(CB83/((Uн_лин/SQRT(3))*1000)*100,2),"")</f>
        <v>0.59</v>
      </c>
      <c r="CD83">
        <f>IF(ISNUMBER(CC83),CC83+IFERROR(_xlfn.XLOOKUP(A83,Щиты[Щит],Щиты[ΔU до шин, %]),0),"")</f>
        <v>1.0899999999999999</v>
      </c>
      <c r="CE83">
        <f>IF(D83="","",IF(IFERROR(VLOOKUP(AT83,УГО_спр,2,FALSE),"")="Светильник",3,4)+IF(Методика="нормы 2026",MIN(0.5,MAX(0,N(BW83)-100)*0.005),0))</f>
        <v>4</v>
      </c>
      <c r="CF83" t="str">
        <f>IFERROR(VLOOKUP(BI83,Кабель_обозначение,2,FALSE),"")</f>
        <v>ВВГнг(А)-LS</v>
      </c>
      <c r="CG83" t="str">
        <f>IFERROR(IF(VLOOKUP(BI83,Кабель_обозначение,3,FALSE)=1,CF83&amp;" ("&amp;BJ83&amp;"х"&amp;BS83&amp;")",CF83),"")</f>
        <v>ВВГнг(А)-LS (5х25)</v>
      </c>
      <c r="CH83" t="str">
        <f t="shared" si="105"/>
        <v>ВВГнг(А)-LS (5х25)
L=36-0,59%</v>
      </c>
      <c r="CI83">
        <f>IFERROR(2*ρкз_Cu*BW83/BS83,"")</f>
        <v>7.5743999999999992E-2</v>
      </c>
      <c r="CJ83">
        <f t="shared" si="106"/>
        <v>2.5200000000000004E-2</v>
      </c>
      <c r="CK83" t="str">
        <f>IFERROR(IF(OR(D83="",NOT(ISNUMBER(BS83)),N(BW83)=0),"",_xlfn.XLOOKUP(A83,Щиты[Щит],Щиты[Zпетли на шинах, Ом])+CI83),"")</f>
        <v/>
      </c>
      <c r="CL83" t="str">
        <f>IF(ISNUMBER(CK83),c_min*(Uн_лин*1000/SQRT(3))/CK83,"")</f>
        <v/>
      </c>
      <c r="CM83" t="str">
        <f>IFERROR(IF(OR(D83="",NOT(ISNUMBER(BS83))),"",1.05*(Uн_лин*1000/SQRT(3))/(_xlfn.XLOOKUP(A83,Щиты[Щит],Щиты[Zmax на шинах, Ом])+CJ83)/1000),"")</f>
        <v/>
      </c>
      <c r="CN83" t="str">
        <f>IF(D83="","",IF(BA83&lt;&gt;"","Щит",IF(K83&lt;&gt;"",K83,IF(ISNUMBER(L83),"Сил",IF(IFERROR(_xlfn.XLOOKUP(AT83,Коды_код,Коды_группа)&amp;"","")="","Быт",_xlfn.XLOOKUP(AT83,Коды_код,Коды_группа)&amp;"")))))</f>
        <v>Сил</v>
      </c>
      <c r="CO83">
        <f>IF(CN83="Щит","щит",IF(CN83="","",IF(CN83="Быт",IFERROR(_xlfn.XLOOKUP(A83,Щиты[Щит],Щиты[Кс быт]),1),IF(CN83="Сил",IF(ISNUMBER(L83),L83,IF(Методика="нормы 2026",IFERROR(_xlfn.XLOOKUP(A83,Щиты[Щит],Щиты[Кс силовых (табл. 7.5)]),1),1)),IF(OR(CN83="Пост",CN83="Отоп"),1,IF(CN83="ВНГ",0.7,0))))))</f>
        <v>0.5</v>
      </c>
      <c r="CP83">
        <f t="shared" si="107"/>
        <v>1</v>
      </c>
      <c r="CQ83">
        <f t="shared" si="108"/>
        <v>28</v>
      </c>
      <c r="CR83">
        <f t="shared" si="109"/>
        <v>0</v>
      </c>
      <c r="CS83">
        <f t="shared" si="110"/>
        <v>14</v>
      </c>
      <c r="CT83">
        <f t="shared" si="111"/>
        <v>0</v>
      </c>
      <c r="CU83">
        <f t="shared" si="112"/>
        <v>0</v>
      </c>
      <c r="CV83">
        <f t="shared" si="113"/>
        <v>0</v>
      </c>
      <c r="CW83">
        <f t="shared" si="114"/>
        <v>28</v>
      </c>
      <c r="CX83">
        <f t="shared" si="115"/>
        <v>26.599999999999998</v>
      </c>
      <c r="CY83">
        <f t="shared" si="116"/>
        <v>2</v>
      </c>
      <c r="CZ83" t="str">
        <f t="shared" si="117"/>
        <v>L1,L2,L3</v>
      </c>
      <c r="DA83" cm="1">
        <f t="array" ref="DA83">IFERROR(IF(BL83=2,_xlfn.IFS(BH83=3,VLOOKUP(BF83,Справочная_двигатели,3,FALSE),BH83=1,VLOOKUP(BF83,Справочная_двигатели,5,TRUE)),0),0)</f>
        <v>0</v>
      </c>
      <c r="DB83">
        <f>IFERROR(IF(BL83=3,VLOOKUP(BF83,Справочная_ЛЭД,2,TRUE),0),0)</f>
        <v>0</v>
      </c>
      <c r="DC83">
        <f t="shared" si="118"/>
        <v>0</v>
      </c>
      <c r="DD83" t="str">
        <f t="shared" si="119"/>
        <v>L1,L2,L3</v>
      </c>
      <c r="DE83" t="str" cm="1">
        <f t="array" ref="DE83">IF(D83="","",IFERROR(INDEX({"I особая","I","II","III"},MATCH(TRIM(AA83&amp;""),{"I особая","I","II","III"},0)),"III"))</f>
        <v>II</v>
      </c>
      <c r="DF83" t="str">
        <f>IF(D83="","",IF(TRIM(AB83&amp;"")&lt;&gt;"",IF(LOWER(TRIM(AB83&amp;""))="да","да","нет"),IF(IFERROR(_xlfn.XLOOKUP(AT83,Коды_код,Коды_пожарная),"")="да","да","нет")))</f>
        <v>нет</v>
      </c>
      <c r="DG83" t="str">
        <f t="shared" si="120"/>
        <v/>
      </c>
      <c r="DH83" t="str">
        <f t="shared" si="121"/>
        <v>основная</v>
      </c>
      <c r="DI83">
        <f t="shared" si="122"/>
        <v>1</v>
      </c>
      <c r="DJ83" t="str" cm="1">
        <f t="array" ref="DJ83">IF(D83="","",_xlfn.LET(_xlpm.t,IFERROR(_xlfn.XLOOKUP(1,(Шины[Шина]=DH83)*(((Шины[Щит]=A83)+(Шины[Щит]=""))&gt;0),Шины[Тип]),"")&amp;"",IF(_xlpm.t&lt;&gt;"",_xlpm.t,IF(ISNUMBER(SEARCH("ИБП",DH83)),"ИБП",IF(ISNUMBER(SEARCH("ДГУ",DH83)),"ДГУ","Ввод "&amp;DI83)))))</f>
        <v>Ввод 1</v>
      </c>
      <c r="DK83" t="str">
        <f t="shared" si="123"/>
        <v>Ввод 1</v>
      </c>
      <c r="DL83" t="str">
        <f>IF(D83="","",IF(OR(DJ83="ИБП",DJ83="ДГУ"),"I особая",IF(DJ83="Одиночная","III",_xlfn.XLOOKUP(A83,Щиты[Щит],Щиты[Категория шины «Ввод»],"III"))))</f>
        <v>II</v>
      </c>
      <c r="DM83">
        <f>IF(D83="",0,IFERROR(MATCH(DE83,{"III","II","I","I особая"},0),1))</f>
        <v>2</v>
      </c>
      <c r="DN83">
        <f t="shared" si="124"/>
        <v>2</v>
      </c>
      <c r="DO83" t="str">
        <f>IF(D83="","",IF(DM83&gt;IFERROR(MATCH(DL83,{"III","II","I","I особая"},0),1),"НЕ ОБЕСПЕЧЕНА","ОК"))</f>
        <v>ОК</v>
      </c>
      <c r="DP83" t="str">
        <f>IF(A83="","",_xlfn.XLOOKUP(A83,Щиты[Щит],Щиты[Путь],""))</f>
        <v>|ГРЩ-ЖД|ЩОВ-001|</v>
      </c>
      <c r="DQ83" t="str">
        <f>IF(D83="","",IF(Z83&lt;&gt;"",Z83,IF(IFERROR(_xlfn.XLOOKUP(AT83,Коды_код,Коды_вид)&amp;"","")="","Прочее",_xlfn.XLOOKUP(AT83,Коды_код,Коды_вид)&amp;"")))</f>
        <v>Кондиционирование и увлажнение</v>
      </c>
      <c r="DR83">
        <f>IF(BD83="","",INT((BD83-1)/Столбцов_на_лист)+1)</f>
        <v>4</v>
      </c>
      <c r="DS83" t="str">
        <f t="shared" si="125"/>
        <v>ВВГнг(А)-LS (5х25) L=36-0,59%</v>
      </c>
      <c r="DT83">
        <f t="shared" si="126"/>
        <v>28</v>
      </c>
      <c r="DU83">
        <f t="shared" si="127"/>
        <v>42.55</v>
      </c>
      <c r="DV83">
        <f t="shared" si="128"/>
        <v>3</v>
      </c>
      <c r="DW83">
        <f>IF(AT83="",0,_xlfn.LET(_xlpm.v,IFERROR(VLOOKUP(D83,УГО_спр,3,FALSE),IFERROR(VLOOKUP(AT83,УГО_спр,3,FALSE),IFERROR(VLOOKUP(LEFT(AT83,2),УГО_спр,3,FALSE),""))),IF(_xlpm.v="да",30,IF(ISNUMBER(_xlpm.v),_xlpm.v,0))))</f>
        <v>0</v>
      </c>
      <c r="DX83">
        <f t="shared" si="129"/>
        <v>0</v>
      </c>
      <c r="DY83">
        <f>IF(BD83="","",IF(AD83&lt;&gt;"",COUNTIFS(A$3:A83,A83,AD$3:AD83,"?*"),IF(OR(OR(AS83=1,A83&lt;&gt;A82),AL83="вручную"),"",IF(AS83=1,"",DZ82))))</f>
        <v>30</v>
      </c>
      <c r="DZ83">
        <f t="shared" si="130"/>
        <v>30</v>
      </c>
      <c r="EA83">
        <f>IF(D83="",0,MAX(IFERROR(--X83,0),IFERROR(--VLOOKUP(D83,УГО_спр,4,FALSE),IFERROR(--VLOOKUP(AT83,УГО_спр,4,FALSE),IFERROR(--VLOOKUP(LEFT(AT83,2),УГО_спр,4,FALSE),0)))))</f>
        <v>63</v>
      </c>
      <c r="EB83">
        <f>IF(D83="","",IFERROR(LOOKUP(INDEX(CHOOSE(BR83,Iдоп_1ж,Iдоп_2ж,Iдоп_3ж),MATCH(BS83,Iдоп_S,0))*BP83*BQ83,{6,10,16,20,25,32,40,50,63,80,100,125,160,200,250,315,400,500,630}),""))</f>
        <v>80</v>
      </c>
      <c r="EC83">
        <f>IF(AD83="","",SUMIFS(Линии[_Ток схемы],Линии[_гр.],DY83,Линии[Щит],A83,Линии[_в кабель выше],0))</f>
        <v>42.55</v>
      </c>
      <c r="ED83">
        <f>IF(AD83="","",IFERROR(VLOOKUP(EC83,Автомат_номиналы,2,TRUE),""))</f>
        <v>50</v>
      </c>
      <c r="EE83">
        <f>IF(AD83="","",MAX(N(ED83),_xlfn.MAXIFS(Линии[_мин. по типу],Линии[_гр.],DY83,Линии[Щит],A83)))</f>
        <v>63</v>
      </c>
      <c r="EF83">
        <f>IF(AD83="","",_xlfn.MINIFS(Линии[_макс. автомат по кабелю],Линии[_гр.],DY83,Линии[Щит],A83))</f>
        <v>80</v>
      </c>
      <c r="EG83">
        <f>IF(AD83="","",MAX(1,_xlfn.MAXIFS(Линии[_фаз],Линии[_гр.],DY83,Линии[Щит],A83)))</f>
        <v>3</v>
      </c>
      <c r="EH83">
        <f>IF(AD83="","",IF(AND(AD83&lt;&gt;"авто",AD83&lt;&gt;"+"),IF(ISNUMBER(SEARCH("мА",AD83)),IFERROR(--TRIM(RIGHT(SUBSTITUTE(LEFT(AD83,SEARCH("мА",AD83)-1)," ",REPT(" ",9)),6)),30),0),IF(AE83="нет",0,IF(ISNUMBER(AE83),AE83,IF(AE83="да",30,_xlfn.MINIFS(Линии[_дифзащита по коду, мА],Линии[_гр.],DY83,Линии[Щит],A83,Линии[_дифзащита по коду, мА],"&gt;0"))))))</f>
        <v>0</v>
      </c>
      <c r="EI83">
        <f t="shared" si="131"/>
        <v>0</v>
      </c>
      <c r="EJ83" t="str">
        <f t="shared" si="132"/>
        <v>QF30</v>
      </c>
      <c r="EK83" t="str">
        <f t="shared" si="133"/>
        <v>QF30</v>
      </c>
      <c r="EL83" t="str">
        <f t="shared" si="134"/>
        <v/>
      </c>
      <c r="EM83">
        <f t="shared" si="135"/>
        <v>0</v>
      </c>
      <c r="EN83">
        <f>IF(AD83="","",IF(EM83=1,MAX(EE83,Мин_автомат_БП),EE83))</f>
        <v>63</v>
      </c>
      <c r="EO83" t="str">
        <f t="shared" si="136"/>
        <v>3P</v>
      </c>
      <c r="EP83" t="str">
        <f t="shared" si="137"/>
        <v>3P С63А</v>
      </c>
      <c r="EQ83">
        <f t="shared" si="138"/>
        <v>63</v>
      </c>
      <c r="ER83" t="str">
        <f>IF(OR(AI83="",AI83="-"),"",IFERROR(VLOOKUP(AI83,Модули_спр,2,FALSE),"R"))</f>
        <v/>
      </c>
      <c r="ES83" t="str">
        <f>IF(ER83="","",ER83&amp;"."&amp;COUNTIFS(A$3:A83,A83,ER$3:ER83,ER83))</f>
        <v/>
      </c>
      <c r="ET83" t="str">
        <f t="shared" si="139"/>
        <v/>
      </c>
      <c r="EU83" t="str">
        <f t="shared" si="140"/>
        <v/>
      </c>
      <c r="EV83" t="str">
        <f t="shared" si="141"/>
        <v/>
      </c>
      <c r="EW83" t="str">
        <f t="shared" si="142"/>
        <v/>
      </c>
      <c r="EX83">
        <f t="shared" si="143"/>
        <v>1</v>
      </c>
      <c r="EY83" t="str">
        <f>IF(AK83="нет","",IF(AK83&lt;&gt;"",AK83,IF(EX83=1,"XT"&amp;COUNTIFS(A$3:A83,A83,EX$3:EX83,1),"")))</f>
        <v>XT31</v>
      </c>
      <c r="EZ83" t="str">
        <f t="shared" si="144"/>
        <v>QF30</v>
      </c>
      <c r="FA83" t="str">
        <f t="shared" si="145"/>
        <v/>
      </c>
      <c r="FB83" t="str">
        <f t="shared" si="146"/>
        <v>ok</v>
      </c>
      <c r="FC83" t="str">
        <f>IF(OR(EV83="",ET83=""),"",IF(EV83&gt;IFERROR(VLOOKUP(EU83,Модули_спр,3,FALSE),99),"ЛИШНИЙ КАНАЛ",IF(AND(AJ83&lt;&gt;"=",COUNTIFS(Линии[_модуль гр.],ET83,Линии[Канал (итог)],EV83,Линии[Канал],"&lt;&gt;=",Линии[Щит],A83)&gt;1),"ДУБЛЬ КАНАЛА","")))</f>
        <v/>
      </c>
      <c r="FD83">
        <f t="shared" si="147"/>
        <v>63</v>
      </c>
      <c r="FE83" t="str">
        <f t="shared" si="148"/>
        <v>3P С63А</v>
      </c>
      <c r="FF83">
        <f t="shared" si="149"/>
        <v>0</v>
      </c>
      <c r="FG83">
        <f t="shared" si="150"/>
        <v>0</v>
      </c>
      <c r="FH83" t="str">
        <f t="shared" si="151"/>
        <v/>
      </c>
      <c r="FI83">
        <f t="shared" si="152"/>
        <v>10</v>
      </c>
      <c r="FJ83" t="str">
        <f t="shared" si="153"/>
        <v/>
      </c>
      <c r="FK83" t="str">
        <f>IF(AND(D83="",EZ83=""),"",_xlfn.TEXTJOIN("; ",TRUE,IF(AND(D83&lt;&gt;"",DD83=""),"нет фазы",""),IF(AND(D83&lt;&gt;"",N(DT83)=0,CN83&lt;&gt;"Нет"),"нет мощности",""),IF(AND(EY83&lt;&gt;"",COUNTIFS(Линии[Щит],A83,Линии[Клемма (итог)],EY83)&gt;1),"дубль клеммы "&amp;EY83,""),IF(AND(FB83&lt;&gt;"",FB83&lt;&gt;"ok"),FB83,""),IF(FC83&lt;&gt;"",FC83,""),IF(AND(ISNUMBER(SEARCH("(5х",DS83)),N(DV83)=1),"5 жил на 1 фазе",""),IF(AND(AT83="R",AD83&lt;&gt;"",OR(N(EH83)=0,N(EH83)&gt;30)),"розетка без дифзащиты до 30 мА",""),IFERROR(IF(AND(ISNUMBER(CD83),CD83&gt;CE83),"потери "&amp;FIXED(CD83,1)&amp;" % &gt; "&amp;CE83&amp;" %",""),""),IFERROR(IF(LEFT(FJ83,4)="мало","Iкз мало — отключение &gt; 0,4 с",""),""),IF(AND(D83&lt;&gt;"",BD83=""),"не на схеме","")))</f>
        <v/>
      </c>
      <c r="FL83" t="str">
        <f>IF(AD83="","",_xlfn.LET(_xlpm.t,IFERROR(_xlfn.XLOOKUP(EP83,Каталог!$U$4:$U$500,Каталог!$G$4:$G$500),""),_xlpm.k,SEARCH("кА",_xlpm.t),IFERROR(--TRIM(RIGHT(SUBSTITUTE(MID(_xlpm.t,MAX(1,_xlpm.k-4),_xlpm.k-MAX(1,_xlpm.k-4))," ",REPT(" ",9)),5)),"")))</f>
        <v/>
      </c>
      <c r="FM83" t="str">
        <f>IF(OR(FL83="",AD83=""),"",IF(_xlfn.XLOOKUP(A83,Щиты[Щит],Щиты[Iкз max на шинах, кА],"")="","",IF(FL83&lt;_xlfn.XLOOKUP(A83,Щиты[Щит],Щиты[Iкз max на шинах, кА]),"Icu "&amp;FL83&amp;" кА &lt; Iкз max","ok")))</f>
        <v/>
      </c>
      <c r="FN83" t="str">
        <f t="shared" si="154"/>
        <v>QF30|XT31</v>
      </c>
      <c r="FO83" t="str">
        <f t="shared" si="155"/>
        <v>QF30|XT31|кабель ВВГнг(А)-LS (5х25) → Внешний блок кондиционирования Пом. Венткиосок</v>
      </c>
      <c r="FP83" t="str" cm="1">
        <f t="array" ref="FP83">IF(FO83="","",_xlfn.LET(_xlpm.nd,_xlfn.TEXTSPLIT(FO83,"|"),IF(COLUMNS(_xlpm.nd)&gt;1,A83&amp;"¦"&amp;INDEX(_xlpm.nd,1)&amp;"¦"&amp;INDEX(_xlpm.nd,2),"")))</f>
        <v>ЩОВ-001¦QF30¦XT31</v>
      </c>
      <c r="FQ83" t="str">
        <f t="shared" si="156"/>
        <v>ККБ-3¦Внешний блок кондиционирования Пом. Венткиосок</v>
      </c>
      <c r="FR83" t="str" cm="1">
        <f t="array" ref="FR83">IF(FO83="","",_xlfn.LET(_xlpm.nd,_xlfn.TEXTSPLIT(FO83,"|"),IF(COLUMNS(_xlpm.nd)&gt;2,A83&amp;"¦"&amp;INDEX(_xlpm.nd,2)&amp;"¦"&amp;INDEX(_xlpm.nd,3),"")))</f>
        <v>ЩОВ-001¦XT31¦кабель ВВГнг(А)-LS (5х25) → Внешний блок кондиционирования Пом. Венткиосок</v>
      </c>
      <c r="FS83" t="str">
        <f t="shared" si="157"/>
        <v>ККБ-3¦Внешний блок кондиционирования Пом. Венткиосок</v>
      </c>
      <c r="FT83" t="str" cm="1">
        <f t="array" ref="FT83">IF(FO83="","",_xlfn.LET(_xlpm.nd,_xlfn.TEXTSPLIT(FO83,"|"),IF(COLUMNS(_xlpm.nd)&gt;3,A83&amp;"¦"&amp;INDEX(_xlpm.nd,3)&amp;"¦"&amp;INDEX(_xlpm.nd,4),"")))</f>
        <v/>
      </c>
      <c r="FU83" t="str">
        <f t="shared" si="158"/>
        <v/>
      </c>
      <c r="FV83" t="str" cm="1">
        <f t="array" ref="FV83">IF(FO83="","",_xlfn.LET(_xlpm.nd,_xlfn.TEXTSPLIT(FO83,"|"),IF(COLUMNS(_xlpm.nd)&gt;4,A83&amp;"¦"&amp;INDEX(_xlpm.nd,4)&amp;"¦"&amp;INDEX(_xlpm.nd,5),"")))</f>
        <v/>
      </c>
      <c r="FW83" t="str">
        <f t="shared" si="159"/>
        <v/>
      </c>
      <c r="FX83" t="str" cm="1">
        <f t="array" ref="FX83">IF(FO83="","",_xlfn.LET(_xlpm.nd,_xlfn.TEXTSPLIT(FO83,"|"),IF(COLUMNS(_xlpm.nd)&gt;5,A83&amp;"¦"&amp;INDEX(_xlpm.nd,5)&amp;"¦"&amp;INDEX(_xlpm.nd,6),"")))</f>
        <v/>
      </c>
      <c r="FY83" t="str">
        <f t="shared" si="160"/>
        <v/>
      </c>
      <c r="FZ83" t="str" cm="1">
        <f t="array" ref="FZ83">IF(FO83="","",_xlfn.LET(_xlpm.nd,_xlfn.TEXTSPLIT(FO83,"|"),IF(COLUMNS(_xlpm.nd)&gt;6,A83&amp;"¦"&amp;INDEX(_xlpm.nd,6)&amp;"¦"&amp;INDEX(_xlpm.nd,7),"")))</f>
        <v/>
      </c>
      <c r="GA83" t="str">
        <f t="shared" si="161"/>
        <v/>
      </c>
      <c r="GB83" t="str">
        <f t="shared" si="162"/>
        <v/>
      </c>
      <c r="GC83" t="str">
        <f t="shared" si="163"/>
        <v>QF30 → XT31</v>
      </c>
      <c r="GD83">
        <f t="shared" si="164"/>
        <v>1</v>
      </c>
      <c r="GE83">
        <f t="shared" si="165"/>
        <v>0</v>
      </c>
      <c r="GF83">
        <f t="shared" si="166"/>
        <v>0</v>
      </c>
      <c r="GG83" t="str">
        <f t="shared" si="167"/>
        <v/>
      </c>
      <c r="GH83" t="str">
        <f t="shared" si="168"/>
        <v/>
      </c>
      <c r="GI83" t="str">
        <f t="shared" si="169"/>
        <v/>
      </c>
      <c r="GJ83" t="str">
        <f t="shared" si="170"/>
        <v/>
      </c>
      <c r="GK83" t="str">
        <f>IF(D83="","",IFERROR(VLOOKUP(D83,УГО_спр,2,FALSE),IFERROR(VLOOKUP(AT83,УГО_спр,2,FALSE),IFERROR(VLOOKUP(LEFT(AT83,2),УГО_спр,2,FALSE),""))))</f>
        <v/>
      </c>
      <c r="GL83" t="str">
        <f>IF(D83="","",IF(OR(GK83="",GK83=0),"BOX",IFERROR(IF(VLOOKUP(GK83,УГО_блоки,3,FALSE)&amp;""&lt;&gt;"",VLOOKUP(GK83,УГО_блоки,3,FALSE),VLOOKUP(GK83,УГО_блоки,2,FALSE)),GK83)))</f>
        <v>BOX</v>
      </c>
      <c r="GM83">
        <f t="shared" si="171"/>
        <v>1</v>
      </c>
      <c r="GN83" t="str">
        <f>IF(EP83="","",IF(COUNTIF(EP$3:EP83,EP83)=1,MAX(GN$2:GN82)+1,""))</f>
        <v/>
      </c>
      <c r="GO83" t="str">
        <f>IF(AF83="","",IF(COUNTIF(AF$3:AF83,AF83)+COUNTIF(AG$2:AG82,AF83)+COUNTIF(AH$2:AH82,AF83)=1,MAX(GO$2:GQ82)+1,""))</f>
        <v/>
      </c>
      <c r="GP83" t="str">
        <f>IF(AG83="","",IF(COUNTIF(AF$3:AF83,AG83)+COUNTIF(AG$3:AG83,AG83)+COUNTIF(AH$2:AH82,AG83)=1,MAX(GO$2:GQ82,GO83)+1,""))</f>
        <v/>
      </c>
      <c r="GQ83" t="str">
        <f>IF(AH83="","",IF(COUNTIF(AF$3:AF83,AH83)+COUNTIF(AG$3:AG83,AH83)+COUNTIF(AH$3:AH83,AH83)=1,MAX(GO$2:GQ82,GO83,GP83)+1,""))</f>
        <v/>
      </c>
      <c r="GR83" t="str">
        <f t="shared" si="172"/>
        <v>5х25</v>
      </c>
      <c r="GS83" t="str">
        <f>IF(GR83="","",IF(COUNTIF(GR$3:GR83,GR83)=1,MAX(GS$2:GS82)+1,""))</f>
        <v/>
      </c>
      <c r="GT83" t="str">
        <f>IF(ES83="","",COUNTIF(ES$3:ES83,"?*"))</f>
        <v/>
      </c>
      <c r="GU83" t="str">
        <f>IF(OR(ES83="",EU83=""),"",IF(COUNTIFS(ES$3:ES83,"?*",EU$3:EU83,EU83)=1,MAX(GU$2:GU82)+1,""))</f>
        <v/>
      </c>
      <c r="GV83">
        <f t="shared" si="173"/>
        <v>0</v>
      </c>
      <c r="GW83">
        <f>IF(D83="","",COUNTIF(D$3:D83,"?*"))</f>
        <v>81</v>
      </c>
      <c r="GX83">
        <f>IF(EX83&lt;&gt;1,0,_xlfn.LET(_xlpm.k,MAX(IFERROR(--VLOOKUP(D83,УГО_спр,5,FALSE),0),IFERROR(--VLOOKUP(AT83,УГО_спр,5,FALSE),0),IFERROR(--VLOOKUP(LEFT(AT83,2),УГО_спр,5,FALSE),0)),IF(_xlpm.k&gt;0,_xlpm.k,IF(IFERROR(--LEFT(SUBSTITUTE(GR83,"x","х"),FIND("х",SUBSTITUTE(GR83,"x","х"))-1),3)&gt;3,Каталог!$S$9,1))))</f>
        <v>1</v>
      </c>
      <c r="GY83">
        <f t="shared" si="174"/>
        <v>2</v>
      </c>
    </row>
    <row r="84" spans="1:207" x14ac:dyDescent="0.3">
      <c r="A84" t="s">
        <v>752</v>
      </c>
      <c r="B84">
        <v>58</v>
      </c>
      <c r="C84" t="str">
        <f>IF(BD84="","",IF(BE84="вводной узел","узел ","")&amp;"л."&amp;(INT((BD84-1)/Столбцов_на_лист)+1)&amp;" / "&amp;(MOD(BD84-1,Столбцов_на_лист)+1))</f>
        <v>л.4 / 7</v>
      </c>
      <c r="D84" t="s">
        <v>1362</v>
      </c>
      <c r="E84" s="133" t="s">
        <v>1347</v>
      </c>
      <c r="G84">
        <v>28</v>
      </c>
      <c r="H84">
        <v>1</v>
      </c>
      <c r="I84">
        <v>3</v>
      </c>
      <c r="J84">
        <v>400</v>
      </c>
      <c r="K84" t="s">
        <v>602</v>
      </c>
      <c r="L84">
        <v>0.5</v>
      </c>
      <c r="O84" t="s">
        <v>1298</v>
      </c>
      <c r="P84">
        <v>40</v>
      </c>
      <c r="Q84">
        <v>0</v>
      </c>
      <c r="R84">
        <v>36</v>
      </c>
      <c r="S84">
        <v>0</v>
      </c>
      <c r="T84">
        <v>1</v>
      </c>
      <c r="U84" t="s">
        <v>11</v>
      </c>
      <c r="V84">
        <v>5</v>
      </c>
      <c r="W84">
        <v>25</v>
      </c>
      <c r="X84">
        <v>63</v>
      </c>
      <c r="Z84" t="s">
        <v>580</v>
      </c>
      <c r="AA84" t="s">
        <v>818</v>
      </c>
      <c r="AD84" t="s">
        <v>517</v>
      </c>
      <c r="AR84" t="str">
        <f t="shared" si="88"/>
        <v/>
      </c>
      <c r="AS84" cm="1">
        <f t="array" ref="AS84">ROW()-ROW(Линии[#Headers])</f>
        <v>82</v>
      </c>
      <c r="AT84" t="str">
        <f t="shared" si="89"/>
        <v>ККБ-4</v>
      </c>
      <c r="AU84" t="str">
        <f t="shared" si="90"/>
        <v/>
      </c>
      <c r="AV84" t="str">
        <f t="shared" si="91"/>
        <v/>
      </c>
      <c r="AW84" t="str">
        <f t="shared" si="92"/>
        <v/>
      </c>
      <c r="AX84" t="str">
        <f t="shared" si="93"/>
        <v/>
      </c>
      <c r="AY84" t="str">
        <f>IF(D84="","",IF(ISERROR(SEARCH(".",D84)),IFERROR(VLOOKUP(D84,Потребители_обозначение,2,FALSE)&amp;"",""),IFERROR(IF(VLOOKUP(AT84,Потребители_обозначение,4,FALSE)=1,VLOOKUP(AT84,Потребители_обозначение,2,FALSE)&amp;" "&amp;VLOOKUP(AV84,Этаж_обозначение,2,FALSE)&amp;" Пом. №"&amp;AX84,VLOOKUP(AT84,Потребители_обозначение,2,FALSE)&amp;" Шлейф №"&amp;AV84),IFERROR(VLOOKUP(D84,Потребители_обозначение,2,FALSE),""))))</f>
        <v/>
      </c>
      <c r="AZ84" t="str">
        <f t="shared" si="94"/>
        <v>Внешний блок кондиционирования Пом. Венткиосок</v>
      </c>
      <c r="BA84" t="str">
        <f>IF(F84&lt;&gt;"",F84,IF(AND(D84&lt;&gt;"",D84&lt;&gt;A84,ISNUMBER(_xlfn.XMATCH(D84,Щиты[Щит]))),D84,""))</f>
        <v/>
      </c>
      <c r="BB84">
        <f>IFERROR(_xlfn.XMATCH(A84,Щиты[Щит]),0)</f>
        <v>4</v>
      </c>
      <c r="BC84">
        <f>IFERROR(N(_xlfn.XLOOKUP(A84,Щиты[Щит],Щиты[Мест под вводной узел])),15)</f>
        <v>13</v>
      </c>
      <c r="BD84">
        <f t="shared" si="95"/>
        <v>58</v>
      </c>
      <c r="BE84" t="str">
        <f t="shared" si="96"/>
        <v>линии</v>
      </c>
      <c r="BF84">
        <f>IF(D84="","",IF(BA84&lt;&gt;"",IFERROR(_xlfn.XLOOKUP(BA84,Щиты[Щит],Щиты[Руст, кВт]),0),N(G84)))</f>
        <v>28</v>
      </c>
      <c r="BG84">
        <f>IF(J84&lt;&gt;"",J84,IF(D84="","",IFERROR(IF(VLOOKUP(AT84,Потребители_обозначение,8,FALSE)=0,"",VLOOKUP(AT84,Потребители_обозначение,8,FALSE)),"")))</f>
        <v>400</v>
      </c>
      <c r="BH84">
        <f>IF(I84&lt;&gt;"",I84,IF(D84="","",IFERROR(IF(VLOOKUP(AT84,Потребители_обозначение,9,FALSE)=0,"",VLOOKUP(AT84,Потребители_обозначение,9,FALSE)),"")))</f>
        <v>3</v>
      </c>
      <c r="BI84" t="str">
        <f>IF(U84&lt;&gt;"",U84,IF(D84="","",IFERROR(IF(VLOOKUP(AT84,Потребители_обозначение,6,FALSE)=0,"",VLOOKUP(AT84,Потребители_обозначение,6,FALSE)),"")))</f>
        <v>мс</v>
      </c>
      <c r="BJ84">
        <f>IF(V84&lt;&gt;"",V84,IF(D84="","",IFERROR(IF(VLOOKUP(AT84,Потребители_обозначение,7,FALSE)=0,"",VLOOKUP(AT84,Потребители_обозначение,7,FALSE)),"")))</f>
        <v>5</v>
      </c>
      <c r="BK84">
        <f>IF(W84&lt;&gt;"",W84,IF(D84="","",IFERROR(IF(VLOOKUP(AT84,Потребители_обозначение,10,FALSE)=0,"",VLOOKUP(AT84,Потребители_обозначение,10,FALSE)),"")))</f>
        <v>25</v>
      </c>
      <c r="BL84">
        <f>IFERROR(VLOOKUP(AT84,Потребители_обозначение,5,FALSE),0)</f>
        <v>0</v>
      </c>
      <c r="BM84" cm="1">
        <f t="array" ref="BM84">IF(D84="","",IF(BA84&lt;&gt;"",IFERROR(_xlfn.XLOOKUP(BA84,Щиты[Щит],Щиты[cos φ]),0.95),IF(ISNUMBER(M84),M84,IFERROR(IF(BL84=2,_xlfn.IFS(BH84=3,VLOOKUP(BF84,Справочная_двигатели,8,FALSE),BH84=1,VLOOKUP(BF84,Справочная_двигатели,10,TRUE)),IF(AND(Методика="нормы 2026",CN84="Сил"),0.8,0.95)),0.95))))</f>
        <v>0.95</v>
      </c>
      <c r="BN84" cm="1">
        <f t="array" ref="BN84">IF(D84="","",IF(BA84&lt;&gt;"",IFERROR(_xlfn.XLOOKUP(BA84,Щиты[Щит],Щиты[Iр, А]),""),IFERROR(_xlfn.IFS(BH84=1,BF84/((Uн_лин/SQRT(3))*BM84),BH84=3,BF84/(SQRT(3)*Uн_лин*BM84)),"")))</f>
        <v>42.541598782393478</v>
      </c>
      <c r="BO84">
        <f>IF(D84="","",IF(N(X84)=0,IFERROR(VLOOKUP(BN84,Автомат_номиналы,2,TRUE),""),X84))</f>
        <v>63</v>
      </c>
      <c r="BP84">
        <f t="shared" si="97"/>
        <v>0.92</v>
      </c>
      <c r="BQ84">
        <f>IF(ISNUMBER(Y84),Y84,К_прокл)</f>
        <v>1</v>
      </c>
      <c r="BR84">
        <f t="shared" si="98"/>
        <v>3</v>
      </c>
      <c r="BS84" cm="1">
        <f t="array" ref="BS84">IF(D84="","",IF(N(BK84)&lt;&gt;0,BK84,IFERROR(_xlfn.LET(_xlpm.need,BO84/(BP84*BQ84),_xlpm.t,CHOOSE(BR84,Iдоп_1ж,Iдоп_2ж,Iдоп_3ж),_xlpm.k,_xlfn.XMATCH(_xlpm.need,_xlpm.t,1),IF(ISNA(_xlpm.k),"Не исп",INDEX(Iдоп_S,_xlpm.k))),"Не исп")))</f>
        <v>25</v>
      </c>
      <c r="BT84">
        <f>IFERROR(VLOOKUP(BS84,Кабель_сопротивление,3,FALSE),"")</f>
        <v>2.2499999999999999E-2</v>
      </c>
      <c r="BU84">
        <f>IFERROR(VLOOKUP(BS84,Кабель_сопротивление,2,FALSE),"")</f>
        <v>6.6199999999999995E-2</v>
      </c>
      <c r="BV84">
        <f t="shared" si="99"/>
        <v>40</v>
      </c>
      <c r="BW84">
        <f>IF(D84="","",IFERROR(IF(VLOOKUP(AT84,Потребители_обозначение,4,FALSE)=1,VLOOKUP(AT84,Потребители_обозначение,3,FALSE)*(H84*2-1)+BV84+VLOOKUP(AV84,Этаж_обозначение,3,FALSE)+VLOOKUP(AV84,Этаж_обозначение,4,FALSE),VLOOKUP(AT84,Потребители_обозначение,3,FALSE)*(H84*2-1)+BV84),BV84))</f>
        <v>40</v>
      </c>
      <c r="BX84">
        <f t="shared" si="100"/>
        <v>36</v>
      </c>
      <c r="BY84">
        <f t="shared" si="101"/>
        <v>0</v>
      </c>
      <c r="BZ84">
        <f t="shared" si="102"/>
        <v>1</v>
      </c>
      <c r="CA84">
        <f t="shared" si="103"/>
        <v>0.31</v>
      </c>
      <c r="CB84">
        <f t="shared" si="104"/>
        <v>1.489844225966348</v>
      </c>
      <c r="CC84">
        <f>IFERROR(ROUNDUP(CB84/((Uн_лин/SQRT(3))*1000)*100,2),"")</f>
        <v>0.65</v>
      </c>
      <c r="CD84">
        <f>IF(ISNUMBER(CC84),CC84+IFERROR(_xlfn.XLOOKUP(A84,Щиты[Щит],Щиты[ΔU до шин, %]),0),"")</f>
        <v>1.1499999999999999</v>
      </c>
      <c r="CE84">
        <f>IF(D84="","",IF(IFERROR(VLOOKUP(AT84,УГО_спр,2,FALSE),"")="Светильник",3,4)+IF(Методика="нормы 2026",MIN(0.5,MAX(0,N(BW84)-100)*0.005),0))</f>
        <v>4</v>
      </c>
      <c r="CF84" t="str">
        <f>IFERROR(VLOOKUP(BI84,Кабель_обозначение,2,FALSE),"")</f>
        <v>ВВГнг(А)-LS</v>
      </c>
      <c r="CG84" t="str">
        <f>IFERROR(IF(VLOOKUP(BI84,Кабель_обозначение,3,FALSE)=1,CF84&amp;" ("&amp;BJ84&amp;"х"&amp;BS84&amp;")",CF84),"")</f>
        <v>ВВГнг(А)-LS (5х25)</v>
      </c>
      <c r="CH84" t="str">
        <f t="shared" si="105"/>
        <v>ВВГнг(А)-LS (5х25)
L=40-0,65%</v>
      </c>
      <c r="CI84">
        <f>IFERROR(2*ρкз_Cu*BW84/BS84,"")</f>
        <v>8.4159999999999999E-2</v>
      </c>
      <c r="CJ84">
        <f t="shared" si="106"/>
        <v>2.8000000000000004E-2</v>
      </c>
      <c r="CK84" t="str">
        <f>IFERROR(IF(OR(D84="",NOT(ISNUMBER(BS84)),N(BW84)=0),"",_xlfn.XLOOKUP(A84,Щиты[Щит],Щиты[Zпетли на шинах, Ом])+CI84),"")</f>
        <v/>
      </c>
      <c r="CL84" t="str">
        <f>IF(ISNUMBER(CK84),c_min*(Uн_лин*1000/SQRT(3))/CK84,"")</f>
        <v/>
      </c>
      <c r="CM84" t="str">
        <f>IFERROR(IF(OR(D84="",NOT(ISNUMBER(BS84))),"",1.05*(Uн_лин*1000/SQRT(3))/(_xlfn.XLOOKUP(A84,Щиты[Щит],Щиты[Zmax на шинах, Ом])+CJ84)/1000),"")</f>
        <v/>
      </c>
      <c r="CN84" t="str">
        <f>IF(D84="","",IF(BA84&lt;&gt;"","Щит",IF(K84&lt;&gt;"",K84,IF(ISNUMBER(L84),"Сил",IF(IFERROR(_xlfn.XLOOKUP(AT84,Коды_код,Коды_группа)&amp;"","")="","Быт",_xlfn.XLOOKUP(AT84,Коды_код,Коды_группа)&amp;"")))))</f>
        <v>Сил</v>
      </c>
      <c r="CO84">
        <f>IF(CN84="Щит","щит",IF(CN84="","",IF(CN84="Быт",IFERROR(_xlfn.XLOOKUP(A84,Щиты[Щит],Щиты[Кс быт]),1),IF(CN84="Сил",IF(ISNUMBER(L84),L84,IF(Методика="нормы 2026",IFERROR(_xlfn.XLOOKUP(A84,Щиты[Щит],Щиты[Кс силовых (табл. 7.5)]),1),1)),IF(OR(CN84="Пост",CN84="Отоп"),1,IF(CN84="ВНГ",0.7,0))))))</f>
        <v>0.5</v>
      </c>
      <c r="CP84">
        <f t="shared" si="107"/>
        <v>1</v>
      </c>
      <c r="CQ84">
        <f t="shared" si="108"/>
        <v>28</v>
      </c>
      <c r="CR84">
        <f t="shared" si="109"/>
        <v>0</v>
      </c>
      <c r="CS84">
        <f t="shared" si="110"/>
        <v>14</v>
      </c>
      <c r="CT84">
        <f t="shared" si="111"/>
        <v>0</v>
      </c>
      <c r="CU84">
        <f t="shared" si="112"/>
        <v>0</v>
      </c>
      <c r="CV84">
        <f t="shared" si="113"/>
        <v>0</v>
      </c>
      <c r="CW84">
        <f t="shared" si="114"/>
        <v>28</v>
      </c>
      <c r="CX84">
        <f t="shared" si="115"/>
        <v>26.599999999999998</v>
      </c>
      <c r="CY84">
        <f t="shared" si="116"/>
        <v>2</v>
      </c>
      <c r="CZ84" t="str">
        <f t="shared" si="117"/>
        <v>L1,L2,L3</v>
      </c>
      <c r="DA84" cm="1">
        <f t="array" ref="DA84">IFERROR(IF(BL84=2,_xlfn.IFS(BH84=3,VLOOKUP(BF84,Справочная_двигатели,3,FALSE),BH84=1,VLOOKUP(BF84,Справочная_двигатели,5,TRUE)),0),0)</f>
        <v>0</v>
      </c>
      <c r="DB84">
        <f>IFERROR(IF(BL84=3,VLOOKUP(BF84,Справочная_ЛЭД,2,TRUE),0),0)</f>
        <v>0</v>
      </c>
      <c r="DC84">
        <f t="shared" si="118"/>
        <v>0</v>
      </c>
      <c r="DD84" t="str">
        <f t="shared" si="119"/>
        <v>L1,L2,L3</v>
      </c>
      <c r="DE84" t="str" cm="1">
        <f t="array" ref="DE84">IF(D84="","",IFERROR(INDEX({"I особая","I","II","III"},MATCH(TRIM(AA84&amp;""),{"I особая","I","II","III"},0)),"III"))</f>
        <v>II</v>
      </c>
      <c r="DF84" t="str">
        <f>IF(D84="","",IF(TRIM(AB84&amp;"")&lt;&gt;"",IF(LOWER(TRIM(AB84&amp;""))="да","да","нет"),IF(IFERROR(_xlfn.XLOOKUP(AT84,Коды_код,Коды_пожарная),"")="да","да","нет")))</f>
        <v>нет</v>
      </c>
      <c r="DG84" t="str">
        <f t="shared" si="120"/>
        <v/>
      </c>
      <c r="DH84" t="str">
        <f t="shared" si="121"/>
        <v>основная</v>
      </c>
      <c r="DI84">
        <f t="shared" si="122"/>
        <v>1</v>
      </c>
      <c r="DJ84" t="str" cm="1">
        <f t="array" ref="DJ84">IF(D84="","",_xlfn.LET(_xlpm.t,IFERROR(_xlfn.XLOOKUP(1,(Шины[Шина]=DH84)*(((Шины[Щит]=A84)+(Шины[Щит]=""))&gt;0),Шины[Тип]),"")&amp;"",IF(_xlpm.t&lt;&gt;"",_xlpm.t,IF(ISNUMBER(SEARCH("ИБП",DH84)),"ИБП",IF(ISNUMBER(SEARCH("ДГУ",DH84)),"ДГУ","Ввод "&amp;DI84)))))</f>
        <v>Ввод 1</v>
      </c>
      <c r="DK84" t="str">
        <f t="shared" si="123"/>
        <v>Ввод 1</v>
      </c>
      <c r="DL84" t="str">
        <f>IF(D84="","",IF(OR(DJ84="ИБП",DJ84="ДГУ"),"I особая",IF(DJ84="Одиночная","III",_xlfn.XLOOKUP(A84,Щиты[Щит],Щиты[Категория шины «Ввод»],"III"))))</f>
        <v>II</v>
      </c>
      <c r="DM84">
        <f>IF(D84="",0,IFERROR(MATCH(DE84,{"III","II","I","I особая"},0),1))</f>
        <v>2</v>
      </c>
      <c r="DN84">
        <f t="shared" si="124"/>
        <v>2</v>
      </c>
      <c r="DO84" t="str">
        <f>IF(D84="","",IF(DM84&gt;IFERROR(MATCH(DL84,{"III","II","I","I особая"},0),1),"НЕ ОБЕСПЕЧЕНА","ОК"))</f>
        <v>ОК</v>
      </c>
      <c r="DP84" t="str">
        <f>IF(A84="","",_xlfn.XLOOKUP(A84,Щиты[Щит],Щиты[Путь],""))</f>
        <v>|ГРЩ-ЖД|ЩОВ-001|</v>
      </c>
      <c r="DQ84" t="str">
        <f>IF(D84="","",IF(Z84&lt;&gt;"",Z84,IF(IFERROR(_xlfn.XLOOKUP(AT84,Коды_код,Коды_вид)&amp;"","")="","Прочее",_xlfn.XLOOKUP(AT84,Коды_код,Коды_вид)&amp;"")))</f>
        <v>Кондиционирование и увлажнение</v>
      </c>
      <c r="DR84">
        <f>IF(BD84="","",INT((BD84-1)/Столбцов_на_лист)+1)</f>
        <v>4</v>
      </c>
      <c r="DS84" t="str">
        <f t="shared" si="125"/>
        <v>ВВГнг(А)-LS (5х25) L=40-0,65%</v>
      </c>
      <c r="DT84">
        <f t="shared" si="126"/>
        <v>28</v>
      </c>
      <c r="DU84">
        <f t="shared" si="127"/>
        <v>42.55</v>
      </c>
      <c r="DV84">
        <f t="shared" si="128"/>
        <v>3</v>
      </c>
      <c r="DW84">
        <f>IF(AT84="",0,_xlfn.LET(_xlpm.v,IFERROR(VLOOKUP(D84,УГО_спр,3,FALSE),IFERROR(VLOOKUP(AT84,УГО_спр,3,FALSE),IFERROR(VLOOKUP(LEFT(AT84,2),УГО_спр,3,FALSE),""))),IF(_xlpm.v="да",30,IF(ISNUMBER(_xlpm.v),_xlpm.v,0))))</f>
        <v>0</v>
      </c>
      <c r="DX84">
        <f t="shared" si="129"/>
        <v>0</v>
      </c>
      <c r="DY84">
        <f>IF(BD84="","",IF(AD84&lt;&gt;"",COUNTIFS(A$3:A84,A84,AD$3:AD84,"?*"),IF(OR(OR(AS84=1,A84&lt;&gt;A83),AL84="вручную"),"",IF(AS84=1,"",DZ83))))</f>
        <v>31</v>
      </c>
      <c r="DZ84">
        <f t="shared" si="130"/>
        <v>31</v>
      </c>
      <c r="EA84">
        <f>IF(D84="",0,MAX(IFERROR(--X84,0),IFERROR(--VLOOKUP(D84,УГО_спр,4,FALSE),IFERROR(--VLOOKUP(AT84,УГО_спр,4,FALSE),IFERROR(--VLOOKUP(LEFT(AT84,2),УГО_спр,4,FALSE),0)))))</f>
        <v>63</v>
      </c>
      <c r="EB84">
        <f>IF(D84="","",IFERROR(LOOKUP(INDEX(CHOOSE(BR84,Iдоп_1ж,Iдоп_2ж,Iдоп_3ж),MATCH(BS84,Iдоп_S,0))*BP84*BQ84,{6,10,16,20,25,32,40,50,63,80,100,125,160,200,250,315,400,500,630}),""))</f>
        <v>80</v>
      </c>
      <c r="EC84">
        <f>IF(AD84="","",SUMIFS(Линии[_Ток схемы],Линии[_гр.],DY84,Линии[Щит],A84,Линии[_в кабель выше],0))</f>
        <v>42.55</v>
      </c>
      <c r="ED84">
        <f>IF(AD84="","",IFERROR(VLOOKUP(EC84,Автомат_номиналы,2,TRUE),""))</f>
        <v>50</v>
      </c>
      <c r="EE84">
        <f>IF(AD84="","",MAX(N(ED84),_xlfn.MAXIFS(Линии[_мин. по типу],Линии[_гр.],DY84,Линии[Щит],A84)))</f>
        <v>63</v>
      </c>
      <c r="EF84">
        <f>IF(AD84="","",_xlfn.MINIFS(Линии[_макс. автомат по кабелю],Линии[_гр.],DY84,Линии[Щит],A84))</f>
        <v>80</v>
      </c>
      <c r="EG84">
        <f>IF(AD84="","",MAX(1,_xlfn.MAXIFS(Линии[_фаз],Линии[_гр.],DY84,Линии[Щит],A84)))</f>
        <v>3</v>
      </c>
      <c r="EH84">
        <f>IF(AD84="","",IF(AND(AD84&lt;&gt;"авто",AD84&lt;&gt;"+"),IF(ISNUMBER(SEARCH("мА",AD84)),IFERROR(--TRIM(RIGHT(SUBSTITUTE(LEFT(AD84,SEARCH("мА",AD84)-1)," ",REPT(" ",9)),6)),30),0),IF(AE84="нет",0,IF(ISNUMBER(AE84),AE84,IF(AE84="да",30,_xlfn.MINIFS(Линии[_дифзащита по коду, мА],Линии[_гр.],DY84,Линии[Щит],A84,Линии[_дифзащита по коду, мА],"&gt;0"))))))</f>
        <v>0</v>
      </c>
      <c r="EI84">
        <f t="shared" si="131"/>
        <v>0</v>
      </c>
      <c r="EJ84" t="str">
        <f t="shared" si="132"/>
        <v>QF31</v>
      </c>
      <c r="EK84" t="str">
        <f t="shared" si="133"/>
        <v>QF31</v>
      </c>
      <c r="EL84" t="str">
        <f t="shared" si="134"/>
        <v/>
      </c>
      <c r="EM84">
        <f t="shared" si="135"/>
        <v>0</v>
      </c>
      <c r="EN84">
        <f>IF(AD84="","",IF(EM84=1,MAX(EE84,Мин_автомат_БП),EE84))</f>
        <v>63</v>
      </c>
      <c r="EO84" t="str">
        <f t="shared" si="136"/>
        <v>3P</v>
      </c>
      <c r="EP84" t="str">
        <f t="shared" si="137"/>
        <v>3P С63А</v>
      </c>
      <c r="EQ84">
        <f t="shared" si="138"/>
        <v>63</v>
      </c>
      <c r="ER84" t="str">
        <f>IF(OR(AI84="",AI84="-"),"",IFERROR(VLOOKUP(AI84,Модули_спр,2,FALSE),"R"))</f>
        <v/>
      </c>
      <c r="ES84" t="str">
        <f>IF(ER84="","",ER84&amp;"."&amp;COUNTIFS(A$3:A84,A84,ER$3:ER84,ER84))</f>
        <v/>
      </c>
      <c r="ET84" t="str">
        <f t="shared" si="139"/>
        <v/>
      </c>
      <c r="EU84" t="str">
        <f t="shared" si="140"/>
        <v/>
      </c>
      <c r="EV84" t="str">
        <f t="shared" si="141"/>
        <v/>
      </c>
      <c r="EW84" t="str">
        <f t="shared" si="142"/>
        <v/>
      </c>
      <c r="EX84">
        <f t="shared" si="143"/>
        <v>1</v>
      </c>
      <c r="EY84" t="str">
        <f>IF(AK84="нет","",IF(AK84&lt;&gt;"",AK84,IF(EX84=1,"XT"&amp;COUNTIFS(A$3:A84,A84,EX$3:EX84,1),"")))</f>
        <v>XT32</v>
      </c>
      <c r="EZ84" t="str">
        <f t="shared" si="144"/>
        <v>QF31</v>
      </c>
      <c r="FA84" t="str">
        <f t="shared" si="145"/>
        <v/>
      </c>
      <c r="FB84" t="str">
        <f t="shared" si="146"/>
        <v>ok</v>
      </c>
      <c r="FC84" t="str">
        <f>IF(OR(EV84="",ET84=""),"",IF(EV84&gt;IFERROR(VLOOKUP(EU84,Модули_спр,3,FALSE),99),"ЛИШНИЙ КАНАЛ",IF(AND(AJ84&lt;&gt;"=",COUNTIFS(Линии[_модуль гр.],ET84,Линии[Канал (итог)],EV84,Линии[Канал],"&lt;&gt;=",Линии[Щит],A84)&gt;1),"ДУБЛЬ КАНАЛА","")))</f>
        <v/>
      </c>
      <c r="FD84">
        <f t="shared" si="147"/>
        <v>63</v>
      </c>
      <c r="FE84" t="str">
        <f t="shared" si="148"/>
        <v>3P С63А</v>
      </c>
      <c r="FF84">
        <f t="shared" si="149"/>
        <v>0</v>
      </c>
      <c r="FG84">
        <f t="shared" si="150"/>
        <v>0</v>
      </c>
      <c r="FH84" t="str">
        <f t="shared" si="151"/>
        <v/>
      </c>
      <c r="FI84">
        <f t="shared" si="152"/>
        <v>10</v>
      </c>
      <c r="FJ84" t="str">
        <f t="shared" si="153"/>
        <v/>
      </c>
      <c r="FK84" t="str">
        <f>IF(AND(D84="",EZ84=""),"",_xlfn.TEXTJOIN("; ",TRUE,IF(AND(D84&lt;&gt;"",DD84=""),"нет фазы",""),IF(AND(D84&lt;&gt;"",N(DT84)=0,CN84&lt;&gt;"Нет"),"нет мощности",""),IF(AND(EY84&lt;&gt;"",COUNTIFS(Линии[Щит],A84,Линии[Клемма (итог)],EY84)&gt;1),"дубль клеммы "&amp;EY84,""),IF(AND(FB84&lt;&gt;"",FB84&lt;&gt;"ok"),FB84,""),IF(FC84&lt;&gt;"",FC84,""),IF(AND(ISNUMBER(SEARCH("(5х",DS84)),N(DV84)=1),"5 жил на 1 фазе",""),IF(AND(AT84="R",AD84&lt;&gt;"",OR(N(EH84)=0,N(EH84)&gt;30)),"розетка без дифзащиты до 30 мА",""),IFERROR(IF(AND(ISNUMBER(CD84),CD84&gt;CE84),"потери "&amp;FIXED(CD84,1)&amp;" % &gt; "&amp;CE84&amp;" %",""),""),IFERROR(IF(LEFT(FJ84,4)="мало","Iкз мало — отключение &gt; 0,4 с",""),""),IF(AND(D84&lt;&gt;"",BD84=""),"не на схеме","")))</f>
        <v/>
      </c>
      <c r="FL84" t="str">
        <f>IF(AD84="","",_xlfn.LET(_xlpm.t,IFERROR(_xlfn.XLOOKUP(EP84,Каталог!$U$4:$U$500,Каталог!$G$4:$G$500),""),_xlpm.k,SEARCH("кА",_xlpm.t),IFERROR(--TRIM(RIGHT(SUBSTITUTE(MID(_xlpm.t,MAX(1,_xlpm.k-4),_xlpm.k-MAX(1,_xlpm.k-4))," ",REPT(" ",9)),5)),"")))</f>
        <v/>
      </c>
      <c r="FM84" t="str">
        <f>IF(OR(FL84="",AD84=""),"",IF(_xlfn.XLOOKUP(A84,Щиты[Щит],Щиты[Iкз max на шинах, кА],"")="","",IF(FL84&lt;_xlfn.XLOOKUP(A84,Щиты[Щит],Щиты[Iкз max на шинах, кА]),"Icu "&amp;FL84&amp;" кА &lt; Iкз max","ok")))</f>
        <v/>
      </c>
      <c r="FN84" t="str">
        <f t="shared" si="154"/>
        <v>QF31|XT32</v>
      </c>
      <c r="FO84" t="str">
        <f t="shared" si="155"/>
        <v>QF31|XT32|кабель ВВГнг(А)-LS (5х25) → Внешний блок кондиционирования Пом. Венткиосок</v>
      </c>
      <c r="FP84" t="str" cm="1">
        <f t="array" ref="FP84">IF(FO84="","",_xlfn.LET(_xlpm.nd,_xlfn.TEXTSPLIT(FO84,"|"),IF(COLUMNS(_xlpm.nd)&gt;1,A84&amp;"¦"&amp;INDEX(_xlpm.nd,1)&amp;"¦"&amp;INDEX(_xlpm.nd,2),"")))</f>
        <v>ЩОВ-001¦QF31¦XT32</v>
      </c>
      <c r="FQ84" t="str">
        <f t="shared" si="156"/>
        <v>ККБ-4¦Внешний блок кондиционирования Пом. Венткиосок</v>
      </c>
      <c r="FR84" t="str" cm="1">
        <f t="array" ref="FR84">IF(FO84="","",_xlfn.LET(_xlpm.nd,_xlfn.TEXTSPLIT(FO84,"|"),IF(COLUMNS(_xlpm.nd)&gt;2,A84&amp;"¦"&amp;INDEX(_xlpm.nd,2)&amp;"¦"&amp;INDEX(_xlpm.nd,3),"")))</f>
        <v>ЩОВ-001¦XT32¦кабель ВВГнг(А)-LS (5х25) → Внешний блок кондиционирования Пом. Венткиосок</v>
      </c>
      <c r="FS84" t="str">
        <f t="shared" si="157"/>
        <v>ККБ-4¦Внешний блок кондиционирования Пом. Венткиосок</v>
      </c>
      <c r="FT84" t="str" cm="1">
        <f t="array" ref="FT84">IF(FO84="","",_xlfn.LET(_xlpm.nd,_xlfn.TEXTSPLIT(FO84,"|"),IF(COLUMNS(_xlpm.nd)&gt;3,A84&amp;"¦"&amp;INDEX(_xlpm.nd,3)&amp;"¦"&amp;INDEX(_xlpm.nd,4),"")))</f>
        <v/>
      </c>
      <c r="FU84" t="str">
        <f t="shared" si="158"/>
        <v/>
      </c>
      <c r="FV84" t="str" cm="1">
        <f t="array" ref="FV84">IF(FO84="","",_xlfn.LET(_xlpm.nd,_xlfn.TEXTSPLIT(FO84,"|"),IF(COLUMNS(_xlpm.nd)&gt;4,A84&amp;"¦"&amp;INDEX(_xlpm.nd,4)&amp;"¦"&amp;INDEX(_xlpm.nd,5),"")))</f>
        <v/>
      </c>
      <c r="FW84" t="str">
        <f t="shared" si="159"/>
        <v/>
      </c>
      <c r="FX84" t="str" cm="1">
        <f t="array" ref="FX84">IF(FO84="","",_xlfn.LET(_xlpm.nd,_xlfn.TEXTSPLIT(FO84,"|"),IF(COLUMNS(_xlpm.nd)&gt;5,A84&amp;"¦"&amp;INDEX(_xlpm.nd,5)&amp;"¦"&amp;INDEX(_xlpm.nd,6),"")))</f>
        <v/>
      </c>
      <c r="FY84" t="str">
        <f t="shared" si="160"/>
        <v/>
      </c>
      <c r="FZ84" t="str" cm="1">
        <f t="array" ref="FZ84">IF(FO84="","",_xlfn.LET(_xlpm.nd,_xlfn.TEXTSPLIT(FO84,"|"),IF(COLUMNS(_xlpm.nd)&gt;6,A84&amp;"¦"&amp;INDEX(_xlpm.nd,6)&amp;"¦"&amp;INDEX(_xlpm.nd,7),"")))</f>
        <v/>
      </c>
      <c r="GA84" t="str">
        <f t="shared" si="161"/>
        <v/>
      </c>
      <c r="GB84" t="str">
        <f t="shared" si="162"/>
        <v/>
      </c>
      <c r="GC84" t="str">
        <f t="shared" si="163"/>
        <v>QF31 → XT32</v>
      </c>
      <c r="GD84">
        <f t="shared" si="164"/>
        <v>1</v>
      </c>
      <c r="GE84">
        <f t="shared" si="165"/>
        <v>0</v>
      </c>
      <c r="GF84">
        <f t="shared" si="166"/>
        <v>0</v>
      </c>
      <c r="GG84" t="str">
        <f t="shared" si="167"/>
        <v/>
      </c>
      <c r="GH84" t="str">
        <f t="shared" si="168"/>
        <v/>
      </c>
      <c r="GI84" t="str">
        <f t="shared" si="169"/>
        <v/>
      </c>
      <c r="GJ84" t="str">
        <f t="shared" si="170"/>
        <v/>
      </c>
      <c r="GK84" t="str">
        <f>IF(D84="","",IFERROR(VLOOKUP(D84,УГО_спр,2,FALSE),IFERROR(VLOOKUP(AT84,УГО_спр,2,FALSE),IFERROR(VLOOKUP(LEFT(AT84,2),УГО_спр,2,FALSE),""))))</f>
        <v/>
      </c>
      <c r="GL84" t="str">
        <f>IF(D84="","",IF(OR(GK84="",GK84=0),"BOX",IFERROR(IF(VLOOKUP(GK84,УГО_блоки,3,FALSE)&amp;""&lt;&gt;"",VLOOKUP(GK84,УГО_блоки,3,FALSE),VLOOKUP(GK84,УГО_блоки,2,FALSE)),GK84)))</f>
        <v>BOX</v>
      </c>
      <c r="GM84">
        <f t="shared" si="171"/>
        <v>1</v>
      </c>
      <c r="GN84" t="str">
        <f>IF(EP84="","",IF(COUNTIF(EP$3:EP84,EP84)=1,MAX(GN$2:GN83)+1,""))</f>
        <v/>
      </c>
      <c r="GO84" t="str">
        <f>IF(AF84="","",IF(COUNTIF(AF$3:AF84,AF84)+COUNTIF(AG$2:AG83,AF84)+COUNTIF(AH$2:AH83,AF84)=1,MAX(GO$2:GQ83)+1,""))</f>
        <v/>
      </c>
      <c r="GP84" t="str">
        <f>IF(AG84="","",IF(COUNTIF(AF$3:AF84,AG84)+COUNTIF(AG$3:AG84,AG84)+COUNTIF(AH$2:AH83,AG84)=1,MAX(GO$2:GQ83,GO84)+1,""))</f>
        <v/>
      </c>
      <c r="GQ84" t="str">
        <f>IF(AH84="","",IF(COUNTIF(AF$3:AF84,AH84)+COUNTIF(AG$3:AG84,AH84)+COUNTIF(AH$3:AH84,AH84)=1,MAX(GO$2:GQ83,GO84,GP84)+1,""))</f>
        <v/>
      </c>
      <c r="GR84" t="str">
        <f t="shared" si="172"/>
        <v>5х25</v>
      </c>
      <c r="GS84" t="str">
        <f>IF(GR84="","",IF(COUNTIF(GR$3:GR84,GR84)=1,MAX(GS$2:GS83)+1,""))</f>
        <v/>
      </c>
      <c r="GT84" t="str">
        <f>IF(ES84="","",COUNTIF(ES$3:ES84,"?*"))</f>
        <v/>
      </c>
      <c r="GU84" t="str">
        <f>IF(OR(ES84="",EU84=""),"",IF(COUNTIFS(ES$3:ES84,"?*",EU$3:EU84,EU84)=1,MAX(GU$2:GU83)+1,""))</f>
        <v/>
      </c>
      <c r="GV84">
        <f t="shared" si="173"/>
        <v>0</v>
      </c>
      <c r="GW84">
        <f>IF(D84="","",COUNTIF(D$3:D84,"?*"))</f>
        <v>82</v>
      </c>
      <c r="GX84">
        <f>IF(EX84&lt;&gt;1,0,_xlfn.LET(_xlpm.k,MAX(IFERROR(--VLOOKUP(D84,УГО_спр,5,FALSE),0),IFERROR(--VLOOKUP(AT84,УГО_спр,5,FALSE),0),IFERROR(--VLOOKUP(LEFT(AT84,2),УГО_спр,5,FALSE),0)),IF(_xlpm.k&gt;0,_xlpm.k,IF(IFERROR(--LEFT(SUBSTITUTE(GR84,"x","х"),FIND("х",SUBSTITUTE(GR84,"x","х"))-1),3)&gt;3,Каталог!$S$9,1))))</f>
        <v>1</v>
      </c>
      <c r="GY84">
        <f t="shared" si="174"/>
        <v>2</v>
      </c>
    </row>
    <row r="85" spans="1:207" x14ac:dyDescent="0.3">
      <c r="A85" t="s">
        <v>752</v>
      </c>
      <c r="B85">
        <v>59</v>
      </c>
      <c r="C85" t="str">
        <f>IF(BD85="","",IF(BE85="вводной узел","узел ","")&amp;"л."&amp;(INT((BD85-1)/Столбцов_на_лист)+1)&amp;" / "&amp;(MOD(BD85-1,Столбцов_на_лист)+1))</f>
        <v>л.4 / 8</v>
      </c>
      <c r="D85" t="s">
        <v>1363</v>
      </c>
      <c r="E85" s="133" t="s">
        <v>1347</v>
      </c>
      <c r="G85">
        <v>27.79</v>
      </c>
      <c r="H85">
        <v>1</v>
      </c>
      <c r="I85">
        <v>3</v>
      </c>
      <c r="J85">
        <v>400</v>
      </c>
      <c r="K85" t="s">
        <v>602</v>
      </c>
      <c r="L85">
        <v>0.5</v>
      </c>
      <c r="O85" t="s">
        <v>1298</v>
      </c>
      <c r="P85">
        <v>44</v>
      </c>
      <c r="Q85">
        <v>0</v>
      </c>
      <c r="R85">
        <v>40</v>
      </c>
      <c r="S85">
        <v>0</v>
      </c>
      <c r="T85">
        <v>1</v>
      </c>
      <c r="U85" t="s">
        <v>11</v>
      </c>
      <c r="V85">
        <v>5</v>
      </c>
      <c r="W85">
        <v>25</v>
      </c>
      <c r="X85">
        <v>63</v>
      </c>
      <c r="Z85" t="s">
        <v>580</v>
      </c>
      <c r="AA85" t="s">
        <v>818</v>
      </c>
      <c r="AD85" t="s">
        <v>517</v>
      </c>
      <c r="AR85" t="str">
        <f t="shared" si="88"/>
        <v/>
      </c>
      <c r="AS85" cm="1">
        <f t="array" ref="AS85">ROW()-ROW(Линии[#Headers])</f>
        <v>83</v>
      </c>
      <c r="AT85" t="str">
        <f t="shared" si="89"/>
        <v>НБ-2</v>
      </c>
      <c r="AU85" t="str">
        <f t="shared" si="90"/>
        <v/>
      </c>
      <c r="AV85" t="str">
        <f t="shared" si="91"/>
        <v/>
      </c>
      <c r="AW85" t="str">
        <f t="shared" si="92"/>
        <v/>
      </c>
      <c r="AX85" t="str">
        <f t="shared" si="93"/>
        <v/>
      </c>
      <c r="AY85" t="str">
        <f>IF(D85="","",IF(ISERROR(SEARCH(".",D85)),IFERROR(VLOOKUP(D85,Потребители_обозначение,2,FALSE)&amp;"",""),IFERROR(IF(VLOOKUP(AT85,Потребители_обозначение,4,FALSE)=1,VLOOKUP(AT85,Потребители_обозначение,2,FALSE)&amp;" "&amp;VLOOKUP(AV85,Этаж_обозначение,2,FALSE)&amp;" Пом. №"&amp;AX85,VLOOKUP(AT85,Потребители_обозначение,2,FALSE)&amp;" Шлейф №"&amp;AV85),IFERROR(VLOOKUP(D85,Потребители_обозначение,2,FALSE),""))))</f>
        <v/>
      </c>
      <c r="AZ85" t="str">
        <f t="shared" si="94"/>
        <v>Внешний блок кондиционирования Пом. Венткиосок</v>
      </c>
      <c r="BA85" t="str">
        <f>IF(F85&lt;&gt;"",F85,IF(AND(D85&lt;&gt;"",D85&lt;&gt;A85,ISNUMBER(_xlfn.XMATCH(D85,Щиты[Щит]))),D85,""))</f>
        <v/>
      </c>
      <c r="BB85">
        <f>IFERROR(_xlfn.XMATCH(A85,Щиты[Щит]),0)</f>
        <v>4</v>
      </c>
      <c r="BC85">
        <f>IFERROR(N(_xlfn.XLOOKUP(A85,Щиты[Щит],Щиты[Мест под вводной узел])),15)</f>
        <v>13</v>
      </c>
      <c r="BD85">
        <f t="shared" si="95"/>
        <v>59</v>
      </c>
      <c r="BE85" t="str">
        <f t="shared" si="96"/>
        <v>линии</v>
      </c>
      <c r="BF85">
        <f>IF(D85="","",IF(BA85&lt;&gt;"",IFERROR(_xlfn.XLOOKUP(BA85,Щиты[Щит],Щиты[Руст, кВт]),0),N(G85)))</f>
        <v>27.79</v>
      </c>
      <c r="BG85">
        <f>IF(J85&lt;&gt;"",J85,IF(D85="","",IFERROR(IF(VLOOKUP(AT85,Потребители_обозначение,8,FALSE)=0,"",VLOOKUP(AT85,Потребители_обозначение,8,FALSE)),"")))</f>
        <v>400</v>
      </c>
      <c r="BH85">
        <f>IF(I85&lt;&gt;"",I85,IF(D85="","",IFERROR(IF(VLOOKUP(AT85,Потребители_обозначение,9,FALSE)=0,"",VLOOKUP(AT85,Потребители_обозначение,9,FALSE)),"")))</f>
        <v>3</v>
      </c>
      <c r="BI85" t="str">
        <f>IF(U85&lt;&gt;"",U85,IF(D85="","",IFERROR(IF(VLOOKUP(AT85,Потребители_обозначение,6,FALSE)=0,"",VLOOKUP(AT85,Потребители_обозначение,6,FALSE)),"")))</f>
        <v>мс</v>
      </c>
      <c r="BJ85">
        <f>IF(V85&lt;&gt;"",V85,IF(D85="","",IFERROR(IF(VLOOKUP(AT85,Потребители_обозначение,7,FALSE)=0,"",VLOOKUP(AT85,Потребители_обозначение,7,FALSE)),"")))</f>
        <v>5</v>
      </c>
      <c r="BK85">
        <f>IF(W85&lt;&gt;"",W85,IF(D85="","",IFERROR(IF(VLOOKUP(AT85,Потребители_обозначение,10,FALSE)=0,"",VLOOKUP(AT85,Потребители_обозначение,10,FALSE)),"")))</f>
        <v>25</v>
      </c>
      <c r="BL85">
        <f>IFERROR(VLOOKUP(AT85,Потребители_обозначение,5,FALSE),0)</f>
        <v>0</v>
      </c>
      <c r="BM85" cm="1">
        <f t="array" ref="BM85">IF(D85="","",IF(BA85&lt;&gt;"",IFERROR(_xlfn.XLOOKUP(BA85,Щиты[Щит],Щиты[cos φ]),0.95),IF(ISNUMBER(M85),M85,IFERROR(IF(BL85=2,_xlfn.IFS(BH85=3,VLOOKUP(BF85,Справочная_двигатели,8,FALSE),BH85=1,VLOOKUP(BF85,Справочная_двигатели,10,TRUE)),IF(AND(Методика="нормы 2026",CN85="Сил"),0.8,0.95)),0.95))))</f>
        <v>0.95</v>
      </c>
      <c r="BN85" cm="1">
        <f t="array" ref="BN85">IF(D85="","",IF(BA85&lt;&gt;"",IFERROR(_xlfn.XLOOKUP(BA85,Щиты[Щит],Щиты[Iр, А]),""),IFERROR(_xlfn.IFS(BH85=1,BF85/((Uн_лин/SQRT(3))*BM85),BH85=3,BF85/(SQRT(3)*Uн_лин*BM85)),"")))</f>
        <v>42.222536791525528</v>
      </c>
      <c r="BO85">
        <f>IF(D85="","",IF(N(X85)=0,IFERROR(VLOOKUP(BN85,Автомат_номиналы,2,TRUE),""),X85))</f>
        <v>63</v>
      </c>
      <c r="BP85">
        <f t="shared" si="97"/>
        <v>0.92</v>
      </c>
      <c r="BQ85">
        <f>IF(ISNUMBER(Y85),Y85,К_прокл)</f>
        <v>1</v>
      </c>
      <c r="BR85">
        <f t="shared" si="98"/>
        <v>3</v>
      </c>
      <c r="BS85" cm="1">
        <f t="array" ref="BS85">IF(D85="","",IF(N(BK85)&lt;&gt;0,BK85,IFERROR(_xlfn.LET(_xlpm.need,BO85/(BP85*BQ85),_xlpm.t,CHOOSE(BR85,Iдоп_1ж,Iдоп_2ж,Iдоп_3ж),_xlpm.k,_xlfn.XMATCH(_xlpm.need,_xlpm.t,1),IF(ISNA(_xlpm.k),"Не исп",INDEX(Iдоп_S,_xlpm.k))),"Не исп")))</f>
        <v>25</v>
      </c>
      <c r="BT85">
        <f>IFERROR(VLOOKUP(BS85,Кабель_сопротивление,3,FALSE),"")</f>
        <v>2.2499999999999999E-2</v>
      </c>
      <c r="BU85">
        <f>IFERROR(VLOOKUP(BS85,Кабель_сопротивление,2,FALSE),"")</f>
        <v>6.6199999999999995E-2</v>
      </c>
      <c r="BV85">
        <f t="shared" si="99"/>
        <v>44</v>
      </c>
      <c r="BW85">
        <f>IF(D85="","",IFERROR(IF(VLOOKUP(AT85,Потребители_обозначение,4,FALSE)=1,VLOOKUP(AT85,Потребители_обозначение,3,FALSE)*(H85*2-1)+BV85+VLOOKUP(AV85,Этаж_обозначение,3,FALSE)+VLOOKUP(AV85,Этаж_обозначение,4,FALSE),VLOOKUP(AT85,Потребители_обозначение,3,FALSE)*(H85*2-1)+BV85),BV85))</f>
        <v>44</v>
      </c>
      <c r="BX85">
        <f t="shared" si="100"/>
        <v>40</v>
      </c>
      <c r="BY85">
        <f t="shared" si="101"/>
        <v>0</v>
      </c>
      <c r="BZ85">
        <f t="shared" si="102"/>
        <v>1</v>
      </c>
      <c r="CA85">
        <f t="shared" si="103"/>
        <v>0.31</v>
      </c>
      <c r="CB85">
        <f t="shared" si="104"/>
        <v>1.6265374336987601</v>
      </c>
      <c r="CC85">
        <f>IFERROR(ROUNDUP(CB85/((Uн_лин/SQRT(3))*1000)*100,2),"")</f>
        <v>0.71</v>
      </c>
      <c r="CD85">
        <f>IF(ISNUMBER(CC85),CC85+IFERROR(_xlfn.XLOOKUP(A85,Щиты[Щит],Щиты[ΔU до шин, %]),0),"")</f>
        <v>1.21</v>
      </c>
      <c r="CE85">
        <f>IF(D85="","",IF(IFERROR(VLOOKUP(AT85,УГО_спр,2,FALSE),"")="Светильник",3,4)+IF(Методика="нормы 2026",MIN(0.5,MAX(0,N(BW85)-100)*0.005),0))</f>
        <v>4</v>
      </c>
      <c r="CF85" t="str">
        <f>IFERROR(VLOOKUP(BI85,Кабель_обозначение,2,FALSE),"")</f>
        <v>ВВГнг(А)-LS</v>
      </c>
      <c r="CG85" t="str">
        <f>IFERROR(IF(VLOOKUP(BI85,Кабель_обозначение,3,FALSE)=1,CF85&amp;" ("&amp;BJ85&amp;"х"&amp;BS85&amp;")",CF85),"")</f>
        <v>ВВГнг(А)-LS (5х25)</v>
      </c>
      <c r="CH85" t="str">
        <f t="shared" si="105"/>
        <v>ВВГнг(А)-LS (5х25)
L=44-0,71%</v>
      </c>
      <c r="CI85">
        <f>IFERROR(2*ρкз_Cu*BW85/BS85,"")</f>
        <v>9.2576000000000006E-2</v>
      </c>
      <c r="CJ85">
        <f t="shared" si="106"/>
        <v>3.0800000000000001E-2</v>
      </c>
      <c r="CK85" t="str">
        <f>IFERROR(IF(OR(D85="",NOT(ISNUMBER(BS85)),N(BW85)=0),"",_xlfn.XLOOKUP(A85,Щиты[Щит],Щиты[Zпетли на шинах, Ом])+CI85),"")</f>
        <v/>
      </c>
      <c r="CL85" t="str">
        <f>IF(ISNUMBER(CK85),c_min*(Uн_лин*1000/SQRT(3))/CK85,"")</f>
        <v/>
      </c>
      <c r="CM85" t="str">
        <f>IFERROR(IF(OR(D85="",NOT(ISNUMBER(BS85))),"",1.05*(Uн_лин*1000/SQRT(3))/(_xlfn.XLOOKUP(A85,Щиты[Щит],Щиты[Zmax на шинах, Ом])+CJ85)/1000),"")</f>
        <v/>
      </c>
      <c r="CN85" t="str">
        <f>IF(D85="","",IF(BA85&lt;&gt;"","Щит",IF(K85&lt;&gt;"",K85,IF(ISNUMBER(L85),"Сил",IF(IFERROR(_xlfn.XLOOKUP(AT85,Коды_код,Коды_группа)&amp;"","")="","Быт",_xlfn.XLOOKUP(AT85,Коды_код,Коды_группа)&amp;"")))))</f>
        <v>Сил</v>
      </c>
      <c r="CO85">
        <f>IF(CN85="Щит","щит",IF(CN85="","",IF(CN85="Быт",IFERROR(_xlfn.XLOOKUP(A85,Щиты[Щит],Щиты[Кс быт]),1),IF(CN85="Сил",IF(ISNUMBER(L85),L85,IF(Методика="нормы 2026",IFERROR(_xlfn.XLOOKUP(A85,Щиты[Щит],Щиты[Кс силовых (табл. 7.5)]),1),1)),IF(OR(CN85="Пост",CN85="Отоп"),1,IF(CN85="ВНГ",0.7,0))))))</f>
        <v>0.5</v>
      </c>
      <c r="CP85">
        <f t="shared" si="107"/>
        <v>1</v>
      </c>
      <c r="CQ85">
        <f t="shared" si="108"/>
        <v>27.79</v>
      </c>
      <c r="CR85">
        <f t="shared" si="109"/>
        <v>0</v>
      </c>
      <c r="CS85">
        <f t="shared" si="110"/>
        <v>13.895</v>
      </c>
      <c r="CT85">
        <f t="shared" si="111"/>
        <v>0</v>
      </c>
      <c r="CU85">
        <f t="shared" si="112"/>
        <v>0</v>
      </c>
      <c r="CV85">
        <f t="shared" si="113"/>
        <v>0</v>
      </c>
      <c r="CW85">
        <f t="shared" si="114"/>
        <v>27.79</v>
      </c>
      <c r="CX85">
        <f t="shared" si="115"/>
        <v>26.400499999999997</v>
      </c>
      <c r="CY85">
        <f t="shared" si="116"/>
        <v>2</v>
      </c>
      <c r="CZ85" t="str">
        <f t="shared" si="117"/>
        <v>L1,L2,L3</v>
      </c>
      <c r="DA85" cm="1">
        <f t="array" ref="DA85">IFERROR(IF(BL85=2,_xlfn.IFS(BH85=3,VLOOKUP(BF85,Справочная_двигатели,3,FALSE),BH85=1,VLOOKUP(BF85,Справочная_двигатели,5,TRUE)),0),0)</f>
        <v>0</v>
      </c>
      <c r="DB85">
        <f>IFERROR(IF(BL85=3,VLOOKUP(BF85,Справочная_ЛЭД,2,TRUE),0),0)</f>
        <v>0</v>
      </c>
      <c r="DC85">
        <f t="shared" si="118"/>
        <v>0</v>
      </c>
      <c r="DD85" t="str">
        <f t="shared" si="119"/>
        <v>L1,L2,L3</v>
      </c>
      <c r="DE85" t="str" cm="1">
        <f t="array" ref="DE85">IF(D85="","",IFERROR(INDEX({"I особая","I","II","III"},MATCH(TRIM(AA85&amp;""),{"I особая","I","II","III"},0)),"III"))</f>
        <v>II</v>
      </c>
      <c r="DF85" t="str">
        <f>IF(D85="","",IF(TRIM(AB85&amp;"")&lt;&gt;"",IF(LOWER(TRIM(AB85&amp;""))="да","да","нет"),IF(IFERROR(_xlfn.XLOOKUP(AT85,Коды_код,Коды_пожарная),"")="да","да","нет")))</f>
        <v>нет</v>
      </c>
      <c r="DG85" t="str">
        <f t="shared" si="120"/>
        <v/>
      </c>
      <c r="DH85" t="str">
        <f t="shared" si="121"/>
        <v>основная</v>
      </c>
      <c r="DI85">
        <f t="shared" si="122"/>
        <v>1</v>
      </c>
      <c r="DJ85" t="str" cm="1">
        <f t="array" ref="DJ85">IF(D85="","",_xlfn.LET(_xlpm.t,IFERROR(_xlfn.XLOOKUP(1,(Шины[Шина]=DH85)*(((Шины[Щит]=A85)+(Шины[Щит]=""))&gt;0),Шины[Тип]),"")&amp;"",IF(_xlpm.t&lt;&gt;"",_xlpm.t,IF(ISNUMBER(SEARCH("ИБП",DH85)),"ИБП",IF(ISNUMBER(SEARCH("ДГУ",DH85)),"ДГУ","Ввод "&amp;DI85)))))</f>
        <v>Ввод 1</v>
      </c>
      <c r="DK85" t="str">
        <f t="shared" si="123"/>
        <v>Ввод 1</v>
      </c>
      <c r="DL85" t="str">
        <f>IF(D85="","",IF(OR(DJ85="ИБП",DJ85="ДГУ"),"I особая",IF(DJ85="Одиночная","III",_xlfn.XLOOKUP(A85,Щиты[Щит],Щиты[Категория шины «Ввод»],"III"))))</f>
        <v>II</v>
      </c>
      <c r="DM85">
        <f>IF(D85="",0,IFERROR(MATCH(DE85,{"III","II","I","I особая"},0),1))</f>
        <v>2</v>
      </c>
      <c r="DN85">
        <f t="shared" si="124"/>
        <v>2</v>
      </c>
      <c r="DO85" t="str">
        <f>IF(D85="","",IF(DM85&gt;IFERROR(MATCH(DL85,{"III","II","I","I особая"},0),1),"НЕ ОБЕСПЕЧЕНА","ОК"))</f>
        <v>ОК</v>
      </c>
      <c r="DP85" t="str">
        <f>IF(A85="","",_xlfn.XLOOKUP(A85,Щиты[Щит],Щиты[Путь],""))</f>
        <v>|ГРЩ-ЖД|ЩОВ-001|</v>
      </c>
      <c r="DQ85" t="str">
        <f>IF(D85="","",IF(Z85&lt;&gt;"",Z85,IF(IFERROR(_xlfn.XLOOKUP(AT85,Коды_код,Коды_вид)&amp;"","")="","Прочее",_xlfn.XLOOKUP(AT85,Коды_код,Коды_вид)&amp;"")))</f>
        <v>Кондиционирование и увлажнение</v>
      </c>
      <c r="DR85">
        <f>IF(BD85="","",INT((BD85-1)/Столбцов_на_лист)+1)</f>
        <v>4</v>
      </c>
      <c r="DS85" t="str">
        <f t="shared" si="125"/>
        <v>ВВГнг(А)-LS (5х25) L=44-0,71%</v>
      </c>
      <c r="DT85">
        <f t="shared" si="126"/>
        <v>27.79</v>
      </c>
      <c r="DU85">
        <f t="shared" si="127"/>
        <v>42.23</v>
      </c>
      <c r="DV85">
        <f t="shared" si="128"/>
        <v>3</v>
      </c>
      <c r="DW85">
        <f>IF(AT85="",0,_xlfn.LET(_xlpm.v,IFERROR(VLOOKUP(D85,УГО_спр,3,FALSE),IFERROR(VLOOKUP(AT85,УГО_спр,3,FALSE),IFERROR(VLOOKUP(LEFT(AT85,2),УГО_спр,3,FALSE),""))),IF(_xlpm.v="да",30,IF(ISNUMBER(_xlpm.v),_xlpm.v,0))))</f>
        <v>0</v>
      </c>
      <c r="DX85">
        <f t="shared" si="129"/>
        <v>0</v>
      </c>
      <c r="DY85">
        <f>IF(BD85="","",IF(AD85&lt;&gt;"",COUNTIFS(A$3:A85,A85,AD$3:AD85,"?*"),IF(OR(OR(AS85=1,A85&lt;&gt;A84),AL85="вручную"),"",IF(AS85=1,"",DZ84))))</f>
        <v>32</v>
      </c>
      <c r="DZ85">
        <f t="shared" si="130"/>
        <v>32</v>
      </c>
      <c r="EA85">
        <f>IF(D85="",0,MAX(IFERROR(--X85,0),IFERROR(--VLOOKUP(D85,УГО_спр,4,FALSE),IFERROR(--VLOOKUP(AT85,УГО_спр,4,FALSE),IFERROR(--VLOOKUP(LEFT(AT85,2),УГО_спр,4,FALSE),0)))))</f>
        <v>63</v>
      </c>
      <c r="EB85">
        <f>IF(D85="","",IFERROR(LOOKUP(INDEX(CHOOSE(BR85,Iдоп_1ж,Iдоп_2ж,Iдоп_3ж),MATCH(BS85,Iдоп_S,0))*BP85*BQ85,{6,10,16,20,25,32,40,50,63,80,100,125,160,200,250,315,400,500,630}),""))</f>
        <v>80</v>
      </c>
      <c r="EC85">
        <f>IF(AD85="","",SUMIFS(Линии[_Ток схемы],Линии[_гр.],DY85,Линии[Щит],A85,Линии[_в кабель выше],0))</f>
        <v>42.23</v>
      </c>
      <c r="ED85">
        <f>IF(AD85="","",IFERROR(VLOOKUP(EC85,Автомат_номиналы,2,TRUE),""))</f>
        <v>50</v>
      </c>
      <c r="EE85">
        <f>IF(AD85="","",MAX(N(ED85),_xlfn.MAXIFS(Линии[_мин. по типу],Линии[_гр.],DY85,Линии[Щит],A85)))</f>
        <v>63</v>
      </c>
      <c r="EF85">
        <f>IF(AD85="","",_xlfn.MINIFS(Линии[_макс. автомат по кабелю],Линии[_гр.],DY85,Линии[Щит],A85))</f>
        <v>80</v>
      </c>
      <c r="EG85">
        <f>IF(AD85="","",MAX(1,_xlfn.MAXIFS(Линии[_фаз],Линии[_гр.],DY85,Линии[Щит],A85)))</f>
        <v>3</v>
      </c>
      <c r="EH85">
        <f>IF(AD85="","",IF(AND(AD85&lt;&gt;"авто",AD85&lt;&gt;"+"),IF(ISNUMBER(SEARCH("мА",AD85)),IFERROR(--TRIM(RIGHT(SUBSTITUTE(LEFT(AD85,SEARCH("мА",AD85)-1)," ",REPT(" ",9)),6)),30),0),IF(AE85="нет",0,IF(ISNUMBER(AE85),AE85,IF(AE85="да",30,_xlfn.MINIFS(Линии[_дифзащита по коду, мА],Линии[_гр.],DY85,Линии[Щит],A85,Линии[_дифзащита по коду, мА],"&gt;0"))))))</f>
        <v>0</v>
      </c>
      <c r="EI85">
        <f t="shared" si="131"/>
        <v>0</v>
      </c>
      <c r="EJ85" t="str">
        <f t="shared" si="132"/>
        <v>QF32</v>
      </c>
      <c r="EK85" t="str">
        <f t="shared" si="133"/>
        <v>QF32</v>
      </c>
      <c r="EL85" t="str">
        <f t="shared" si="134"/>
        <v/>
      </c>
      <c r="EM85">
        <f t="shared" si="135"/>
        <v>0</v>
      </c>
      <c r="EN85">
        <f>IF(AD85="","",IF(EM85=1,MAX(EE85,Мин_автомат_БП),EE85))</f>
        <v>63</v>
      </c>
      <c r="EO85" t="str">
        <f t="shared" si="136"/>
        <v>3P</v>
      </c>
      <c r="EP85" t="str">
        <f t="shared" si="137"/>
        <v>3P С63А</v>
      </c>
      <c r="EQ85">
        <f t="shared" si="138"/>
        <v>63</v>
      </c>
      <c r="ER85" t="str">
        <f>IF(OR(AI85="",AI85="-"),"",IFERROR(VLOOKUP(AI85,Модули_спр,2,FALSE),"R"))</f>
        <v/>
      </c>
      <c r="ES85" t="str">
        <f>IF(ER85="","",ER85&amp;"."&amp;COUNTIFS(A$3:A85,A85,ER$3:ER85,ER85))</f>
        <v/>
      </c>
      <c r="ET85" t="str">
        <f t="shared" si="139"/>
        <v/>
      </c>
      <c r="EU85" t="str">
        <f t="shared" si="140"/>
        <v/>
      </c>
      <c r="EV85" t="str">
        <f t="shared" si="141"/>
        <v/>
      </c>
      <c r="EW85" t="str">
        <f t="shared" si="142"/>
        <v/>
      </c>
      <c r="EX85">
        <f t="shared" si="143"/>
        <v>1</v>
      </c>
      <c r="EY85" t="str">
        <f>IF(AK85="нет","",IF(AK85&lt;&gt;"",AK85,IF(EX85=1,"XT"&amp;COUNTIFS(A$3:A85,A85,EX$3:EX85,1),"")))</f>
        <v>XT33</v>
      </c>
      <c r="EZ85" t="str">
        <f t="shared" si="144"/>
        <v>QF32</v>
      </c>
      <c r="FA85" t="str">
        <f t="shared" si="145"/>
        <v/>
      </c>
      <c r="FB85" t="str">
        <f t="shared" si="146"/>
        <v>ok</v>
      </c>
      <c r="FC85" t="str">
        <f>IF(OR(EV85="",ET85=""),"",IF(EV85&gt;IFERROR(VLOOKUP(EU85,Модули_спр,3,FALSE),99),"ЛИШНИЙ КАНАЛ",IF(AND(AJ85&lt;&gt;"=",COUNTIFS(Линии[_модуль гр.],ET85,Линии[Канал (итог)],EV85,Линии[Канал],"&lt;&gt;=",Линии[Щит],A85)&gt;1),"ДУБЛЬ КАНАЛА","")))</f>
        <v/>
      </c>
      <c r="FD85">
        <f t="shared" si="147"/>
        <v>63</v>
      </c>
      <c r="FE85" t="str">
        <f t="shared" si="148"/>
        <v>3P С63А</v>
      </c>
      <c r="FF85">
        <f t="shared" si="149"/>
        <v>0</v>
      </c>
      <c r="FG85">
        <f t="shared" si="150"/>
        <v>0</v>
      </c>
      <c r="FH85" t="str">
        <f t="shared" si="151"/>
        <v/>
      </c>
      <c r="FI85">
        <f t="shared" si="152"/>
        <v>10</v>
      </c>
      <c r="FJ85" t="str">
        <f t="shared" si="153"/>
        <v/>
      </c>
      <c r="FK85" t="str">
        <f>IF(AND(D85="",EZ85=""),"",_xlfn.TEXTJOIN("; ",TRUE,IF(AND(D85&lt;&gt;"",DD85=""),"нет фазы",""),IF(AND(D85&lt;&gt;"",N(DT85)=0,CN85&lt;&gt;"Нет"),"нет мощности",""),IF(AND(EY85&lt;&gt;"",COUNTIFS(Линии[Щит],A85,Линии[Клемма (итог)],EY85)&gt;1),"дубль клеммы "&amp;EY85,""),IF(AND(FB85&lt;&gt;"",FB85&lt;&gt;"ok"),FB85,""),IF(FC85&lt;&gt;"",FC85,""),IF(AND(ISNUMBER(SEARCH("(5х",DS85)),N(DV85)=1),"5 жил на 1 фазе",""),IF(AND(AT85="R",AD85&lt;&gt;"",OR(N(EH85)=0,N(EH85)&gt;30)),"розетка без дифзащиты до 30 мА",""),IFERROR(IF(AND(ISNUMBER(CD85),CD85&gt;CE85),"потери "&amp;FIXED(CD85,1)&amp;" % &gt; "&amp;CE85&amp;" %",""),""),IFERROR(IF(LEFT(FJ85,4)="мало","Iкз мало — отключение &gt; 0,4 с",""),""),IF(AND(D85&lt;&gt;"",BD85=""),"не на схеме","")))</f>
        <v/>
      </c>
      <c r="FL85" t="str">
        <f>IF(AD85="","",_xlfn.LET(_xlpm.t,IFERROR(_xlfn.XLOOKUP(EP85,Каталог!$U$4:$U$500,Каталог!$G$4:$G$500),""),_xlpm.k,SEARCH("кА",_xlpm.t),IFERROR(--TRIM(RIGHT(SUBSTITUTE(MID(_xlpm.t,MAX(1,_xlpm.k-4),_xlpm.k-MAX(1,_xlpm.k-4))," ",REPT(" ",9)),5)),"")))</f>
        <v/>
      </c>
      <c r="FM85" t="str">
        <f>IF(OR(FL85="",AD85=""),"",IF(_xlfn.XLOOKUP(A85,Щиты[Щит],Щиты[Iкз max на шинах, кА],"")="","",IF(FL85&lt;_xlfn.XLOOKUP(A85,Щиты[Щит],Щиты[Iкз max на шинах, кА]),"Icu "&amp;FL85&amp;" кА &lt; Iкз max","ok")))</f>
        <v/>
      </c>
      <c r="FN85" t="str">
        <f t="shared" si="154"/>
        <v>QF32|XT33</v>
      </c>
      <c r="FO85" t="str">
        <f t="shared" si="155"/>
        <v>QF32|XT33|кабель ВВГнг(А)-LS (5х25) → Внешний блок кондиционирования Пом. Венткиосок</v>
      </c>
      <c r="FP85" t="str" cm="1">
        <f t="array" ref="FP85">IF(FO85="","",_xlfn.LET(_xlpm.nd,_xlfn.TEXTSPLIT(FO85,"|"),IF(COLUMNS(_xlpm.nd)&gt;1,A85&amp;"¦"&amp;INDEX(_xlpm.nd,1)&amp;"¦"&amp;INDEX(_xlpm.nd,2),"")))</f>
        <v>ЩОВ-001¦QF32¦XT33</v>
      </c>
      <c r="FQ85" t="str">
        <f t="shared" si="156"/>
        <v>НБ-2¦Внешний блок кондиционирования Пом. Венткиосок</v>
      </c>
      <c r="FR85" t="str" cm="1">
        <f t="array" ref="FR85">IF(FO85="","",_xlfn.LET(_xlpm.nd,_xlfn.TEXTSPLIT(FO85,"|"),IF(COLUMNS(_xlpm.nd)&gt;2,A85&amp;"¦"&amp;INDEX(_xlpm.nd,2)&amp;"¦"&amp;INDEX(_xlpm.nd,3),"")))</f>
        <v>ЩОВ-001¦XT33¦кабель ВВГнг(А)-LS (5х25) → Внешний блок кондиционирования Пом. Венткиосок</v>
      </c>
      <c r="FS85" t="str">
        <f t="shared" si="157"/>
        <v>НБ-2¦Внешний блок кондиционирования Пом. Венткиосок</v>
      </c>
      <c r="FT85" t="str" cm="1">
        <f t="array" ref="FT85">IF(FO85="","",_xlfn.LET(_xlpm.nd,_xlfn.TEXTSPLIT(FO85,"|"),IF(COLUMNS(_xlpm.nd)&gt;3,A85&amp;"¦"&amp;INDEX(_xlpm.nd,3)&amp;"¦"&amp;INDEX(_xlpm.nd,4),"")))</f>
        <v/>
      </c>
      <c r="FU85" t="str">
        <f t="shared" si="158"/>
        <v/>
      </c>
      <c r="FV85" t="str" cm="1">
        <f t="array" ref="FV85">IF(FO85="","",_xlfn.LET(_xlpm.nd,_xlfn.TEXTSPLIT(FO85,"|"),IF(COLUMNS(_xlpm.nd)&gt;4,A85&amp;"¦"&amp;INDEX(_xlpm.nd,4)&amp;"¦"&amp;INDEX(_xlpm.nd,5),"")))</f>
        <v/>
      </c>
      <c r="FW85" t="str">
        <f t="shared" si="159"/>
        <v/>
      </c>
      <c r="FX85" t="str" cm="1">
        <f t="array" ref="FX85">IF(FO85="","",_xlfn.LET(_xlpm.nd,_xlfn.TEXTSPLIT(FO85,"|"),IF(COLUMNS(_xlpm.nd)&gt;5,A85&amp;"¦"&amp;INDEX(_xlpm.nd,5)&amp;"¦"&amp;INDEX(_xlpm.nd,6),"")))</f>
        <v/>
      </c>
      <c r="FY85" t="str">
        <f t="shared" si="160"/>
        <v/>
      </c>
      <c r="FZ85" t="str" cm="1">
        <f t="array" ref="FZ85">IF(FO85="","",_xlfn.LET(_xlpm.nd,_xlfn.TEXTSPLIT(FO85,"|"),IF(COLUMNS(_xlpm.nd)&gt;6,A85&amp;"¦"&amp;INDEX(_xlpm.nd,6)&amp;"¦"&amp;INDEX(_xlpm.nd,7),"")))</f>
        <v/>
      </c>
      <c r="GA85" t="str">
        <f t="shared" si="161"/>
        <v/>
      </c>
      <c r="GB85" t="str">
        <f t="shared" si="162"/>
        <v/>
      </c>
      <c r="GC85" t="str">
        <f t="shared" si="163"/>
        <v>QF32 → XT33</v>
      </c>
      <c r="GD85">
        <f t="shared" si="164"/>
        <v>1</v>
      </c>
      <c r="GE85">
        <f t="shared" si="165"/>
        <v>0</v>
      </c>
      <c r="GF85">
        <f t="shared" si="166"/>
        <v>0</v>
      </c>
      <c r="GG85" t="str">
        <f t="shared" si="167"/>
        <v/>
      </c>
      <c r="GH85" t="str">
        <f t="shared" si="168"/>
        <v/>
      </c>
      <c r="GI85" t="str">
        <f t="shared" si="169"/>
        <v/>
      </c>
      <c r="GJ85" t="str">
        <f t="shared" si="170"/>
        <v/>
      </c>
      <c r="GK85" t="str">
        <f>IF(D85="","",IFERROR(VLOOKUP(D85,УГО_спр,2,FALSE),IFERROR(VLOOKUP(AT85,УГО_спр,2,FALSE),IFERROR(VLOOKUP(LEFT(AT85,2),УГО_спр,2,FALSE),""))))</f>
        <v>Привод (двигатель)</v>
      </c>
      <c r="GL85" t="str">
        <f>IF(D85="","",IF(OR(GK85="",GK85=0),"BOX",IFERROR(IF(VLOOKUP(GK85,УГО_блоки,3,FALSE)&amp;""&lt;&gt;"",VLOOKUP(GK85,УГО_блоки,3,FALSE),VLOOKUP(GK85,УГО_блоки,2,FALSE)),GK85)))</f>
        <v>MOTOR</v>
      </c>
      <c r="GM85">
        <f t="shared" si="171"/>
        <v>1</v>
      </c>
      <c r="GN85" t="str">
        <f>IF(EP85="","",IF(COUNTIF(EP$3:EP85,EP85)=1,MAX(GN$2:GN84)+1,""))</f>
        <v/>
      </c>
      <c r="GO85" t="str">
        <f>IF(AF85="","",IF(COUNTIF(AF$3:AF85,AF85)+COUNTIF(AG$2:AG84,AF85)+COUNTIF(AH$2:AH84,AF85)=1,MAX(GO$2:GQ84)+1,""))</f>
        <v/>
      </c>
      <c r="GP85" t="str">
        <f>IF(AG85="","",IF(COUNTIF(AF$3:AF85,AG85)+COUNTIF(AG$3:AG85,AG85)+COUNTIF(AH$2:AH84,AG85)=1,MAX(GO$2:GQ84,GO85)+1,""))</f>
        <v/>
      </c>
      <c r="GQ85" t="str">
        <f>IF(AH85="","",IF(COUNTIF(AF$3:AF85,AH85)+COUNTIF(AG$3:AG85,AH85)+COUNTIF(AH$3:AH85,AH85)=1,MAX(GO$2:GQ84,GO85,GP85)+1,""))</f>
        <v/>
      </c>
      <c r="GR85" t="str">
        <f t="shared" si="172"/>
        <v>5х25</v>
      </c>
      <c r="GS85" t="str">
        <f>IF(GR85="","",IF(COUNTIF(GR$3:GR85,GR85)=1,MAX(GS$2:GS84)+1,""))</f>
        <v/>
      </c>
      <c r="GT85" t="str">
        <f>IF(ES85="","",COUNTIF(ES$3:ES85,"?*"))</f>
        <v/>
      </c>
      <c r="GU85" t="str">
        <f>IF(OR(ES85="",EU85=""),"",IF(COUNTIFS(ES$3:ES85,"?*",EU$3:EU85,EU85)=1,MAX(GU$2:GU84)+1,""))</f>
        <v/>
      </c>
      <c r="GV85">
        <f t="shared" si="173"/>
        <v>0</v>
      </c>
      <c r="GW85">
        <f>IF(D85="","",COUNTIF(D$3:D85,"?*"))</f>
        <v>83</v>
      </c>
      <c r="GX85">
        <f>IF(EX85&lt;&gt;1,0,_xlfn.LET(_xlpm.k,MAX(IFERROR(--VLOOKUP(D85,УГО_спр,5,FALSE),0),IFERROR(--VLOOKUP(AT85,УГО_спр,5,FALSE),0),IFERROR(--VLOOKUP(LEFT(AT85,2),УГО_спр,5,FALSE),0)),IF(_xlpm.k&gt;0,_xlpm.k,IF(IFERROR(--LEFT(SUBSTITUTE(GR85,"x","х"),FIND("х",SUBSTITUTE(GR85,"x","х"))-1),3)&gt;3,Каталог!$S$9,1))))</f>
        <v>1</v>
      </c>
      <c r="GY85">
        <f t="shared" si="174"/>
        <v>2</v>
      </c>
    </row>
    <row r="86" spans="1:207" x14ac:dyDescent="0.3">
      <c r="A86" t="s">
        <v>752</v>
      </c>
      <c r="B86">
        <v>60</v>
      </c>
      <c r="C86" t="str">
        <f>IF(BD86="","",IF(BE86="вводной узел","узел ","")&amp;"л."&amp;(INT((BD86-1)/Столбцов_на_лист)+1)&amp;" / "&amp;(MOD(BD86-1,Столбцов_на_лист)+1))</f>
        <v>л.4 / 9</v>
      </c>
      <c r="D86" t="s">
        <v>1364</v>
      </c>
      <c r="E86" s="133" t="s">
        <v>1347</v>
      </c>
      <c r="G86">
        <v>10.69</v>
      </c>
      <c r="H86">
        <v>1</v>
      </c>
      <c r="I86">
        <v>3</v>
      </c>
      <c r="J86">
        <v>400</v>
      </c>
      <c r="K86" t="s">
        <v>602</v>
      </c>
      <c r="L86">
        <v>0.5</v>
      </c>
      <c r="O86" t="s">
        <v>1298</v>
      </c>
      <c r="P86">
        <v>47</v>
      </c>
      <c r="Q86">
        <v>0</v>
      </c>
      <c r="R86">
        <v>43</v>
      </c>
      <c r="S86">
        <v>0</v>
      </c>
      <c r="T86">
        <v>1</v>
      </c>
      <c r="U86" t="s">
        <v>11</v>
      </c>
      <c r="V86">
        <v>5</v>
      </c>
      <c r="W86">
        <v>6</v>
      </c>
      <c r="X86">
        <v>25</v>
      </c>
      <c r="Z86" t="s">
        <v>580</v>
      </c>
      <c r="AA86" t="s">
        <v>818</v>
      </c>
      <c r="AD86" t="s">
        <v>517</v>
      </c>
      <c r="AR86" t="str">
        <f t="shared" si="88"/>
        <v/>
      </c>
      <c r="AS86" cm="1">
        <f t="array" ref="AS86">ROW()-ROW(Линии[#Headers])</f>
        <v>84</v>
      </c>
      <c r="AT86" t="str">
        <f t="shared" si="89"/>
        <v>НБ-3</v>
      </c>
      <c r="AU86" t="str">
        <f t="shared" si="90"/>
        <v/>
      </c>
      <c r="AV86" t="str">
        <f t="shared" si="91"/>
        <v/>
      </c>
      <c r="AW86" t="str">
        <f t="shared" si="92"/>
        <v/>
      </c>
      <c r="AX86" t="str">
        <f t="shared" si="93"/>
        <v/>
      </c>
      <c r="AY86" t="str">
        <f>IF(D86="","",IF(ISERROR(SEARCH(".",D86)),IFERROR(VLOOKUP(D86,Потребители_обозначение,2,FALSE)&amp;"",""),IFERROR(IF(VLOOKUP(AT86,Потребители_обозначение,4,FALSE)=1,VLOOKUP(AT86,Потребители_обозначение,2,FALSE)&amp;" "&amp;VLOOKUP(AV86,Этаж_обозначение,2,FALSE)&amp;" Пом. №"&amp;AX86,VLOOKUP(AT86,Потребители_обозначение,2,FALSE)&amp;" Шлейф №"&amp;AV86),IFERROR(VLOOKUP(D86,Потребители_обозначение,2,FALSE),""))))</f>
        <v/>
      </c>
      <c r="AZ86" t="str">
        <f t="shared" si="94"/>
        <v>Внешний блок кондиционирования Пом. Венткиосок</v>
      </c>
      <c r="BA86" t="str">
        <f>IF(F86&lt;&gt;"",F86,IF(AND(D86&lt;&gt;"",D86&lt;&gt;A86,ISNUMBER(_xlfn.XMATCH(D86,Щиты[Щит]))),D86,""))</f>
        <v/>
      </c>
      <c r="BB86">
        <f>IFERROR(_xlfn.XMATCH(A86,Щиты[Щит]),0)</f>
        <v>4</v>
      </c>
      <c r="BC86">
        <f>IFERROR(N(_xlfn.XLOOKUP(A86,Щиты[Щит],Щиты[Мест под вводной узел])),15)</f>
        <v>13</v>
      </c>
      <c r="BD86">
        <f t="shared" si="95"/>
        <v>60</v>
      </c>
      <c r="BE86" t="str">
        <f t="shared" si="96"/>
        <v>линии</v>
      </c>
      <c r="BF86">
        <f>IF(D86="","",IF(BA86&lt;&gt;"",IFERROR(_xlfn.XLOOKUP(BA86,Щиты[Щит],Щиты[Руст, кВт]),0),N(G86)))</f>
        <v>10.69</v>
      </c>
      <c r="BG86">
        <f>IF(J86&lt;&gt;"",J86,IF(D86="","",IFERROR(IF(VLOOKUP(AT86,Потребители_обозначение,8,FALSE)=0,"",VLOOKUP(AT86,Потребители_обозначение,8,FALSE)),"")))</f>
        <v>400</v>
      </c>
      <c r="BH86">
        <f>IF(I86&lt;&gt;"",I86,IF(D86="","",IFERROR(IF(VLOOKUP(AT86,Потребители_обозначение,9,FALSE)=0,"",VLOOKUP(AT86,Потребители_обозначение,9,FALSE)),"")))</f>
        <v>3</v>
      </c>
      <c r="BI86" t="str">
        <f>IF(U86&lt;&gt;"",U86,IF(D86="","",IFERROR(IF(VLOOKUP(AT86,Потребители_обозначение,6,FALSE)=0,"",VLOOKUP(AT86,Потребители_обозначение,6,FALSE)),"")))</f>
        <v>мс</v>
      </c>
      <c r="BJ86">
        <f>IF(V86&lt;&gt;"",V86,IF(D86="","",IFERROR(IF(VLOOKUP(AT86,Потребители_обозначение,7,FALSE)=0,"",VLOOKUP(AT86,Потребители_обозначение,7,FALSE)),"")))</f>
        <v>5</v>
      </c>
      <c r="BK86">
        <f>IF(W86&lt;&gt;"",W86,IF(D86="","",IFERROR(IF(VLOOKUP(AT86,Потребители_обозначение,10,FALSE)=0,"",VLOOKUP(AT86,Потребители_обозначение,10,FALSE)),"")))</f>
        <v>6</v>
      </c>
      <c r="BL86">
        <f>IFERROR(VLOOKUP(AT86,Потребители_обозначение,5,FALSE),0)</f>
        <v>0</v>
      </c>
      <c r="BM86" cm="1">
        <f t="array" ref="BM86">IF(D86="","",IF(BA86&lt;&gt;"",IFERROR(_xlfn.XLOOKUP(BA86,Щиты[Щит],Щиты[cos φ]),0.95),IF(ISNUMBER(M86),M86,IFERROR(IF(BL86=2,_xlfn.IFS(BH86=3,VLOOKUP(BF86,Справочная_двигатели,8,FALSE),BH86=1,VLOOKUP(BF86,Справочная_двигатели,10,TRUE)),IF(AND(Методика="нормы 2026",CN86="Сил"),0.8,0.95)),0.95))))</f>
        <v>0.95</v>
      </c>
      <c r="BN86" cm="1">
        <f t="array" ref="BN86">IF(D86="","",IF(BA86&lt;&gt;"",IFERROR(_xlfn.XLOOKUP(BA86,Щиты[Щит],Щиты[Iр, А]),""),IFERROR(_xlfn.IFS(BH86=1,BF86/((Uн_лин/SQRT(3))*BM86),BH86=3,BF86/(SQRT(3)*Uн_лин*BM86)),"")))</f>
        <v>16.241774677992368</v>
      </c>
      <c r="BO86">
        <f>IF(D86="","",IF(N(X86)=0,IFERROR(VLOOKUP(BN86,Автомат_номиналы,2,TRUE),""),X86))</f>
        <v>25</v>
      </c>
      <c r="BP86">
        <f t="shared" si="97"/>
        <v>0.92</v>
      </c>
      <c r="BQ86">
        <f>IF(ISNUMBER(Y86),Y86,К_прокл)</f>
        <v>1</v>
      </c>
      <c r="BR86">
        <f t="shared" si="98"/>
        <v>3</v>
      </c>
      <c r="BS86" cm="1">
        <f t="array" ref="BS86">IF(D86="","",IF(N(BK86)&lt;&gt;0,BK86,IFERROR(_xlfn.LET(_xlpm.need,BO86/(BP86*BQ86),_xlpm.t,CHOOSE(BR86,Iдоп_1ж,Iдоп_2ж,Iдоп_3ж),_xlpm.k,_xlfn.XMATCH(_xlpm.need,_xlpm.t,1),IF(ISNA(_xlpm.k),"Не исп",INDEX(Iдоп_S,_xlpm.k))),"Не исп")))</f>
        <v>6</v>
      </c>
      <c r="BT86">
        <f>IFERROR(VLOOKUP(BS86,Кабель_сопротивление,3,FALSE),"")</f>
        <v>2.2499999999999999E-2</v>
      </c>
      <c r="BU86">
        <f>IFERROR(VLOOKUP(BS86,Кабель_сопротивление,2,FALSE),"")</f>
        <v>0.09</v>
      </c>
      <c r="BV86">
        <f t="shared" si="99"/>
        <v>47</v>
      </c>
      <c r="BW86">
        <f>IF(D86="","",IFERROR(IF(VLOOKUP(AT86,Потребители_обозначение,4,FALSE)=1,VLOOKUP(AT86,Потребители_обозначение,3,FALSE)*(H86*2-1)+BV86+VLOOKUP(AV86,Этаж_обозначение,3,FALSE)+VLOOKUP(AV86,Этаж_обозначение,4,FALSE),VLOOKUP(AT86,Потребители_обозначение,3,FALSE)*(H86*2-1)+BV86),BV86))</f>
        <v>47</v>
      </c>
      <c r="BX86">
        <f t="shared" si="100"/>
        <v>43</v>
      </c>
      <c r="BY86">
        <f t="shared" si="101"/>
        <v>0</v>
      </c>
      <c r="BZ86">
        <f t="shared" si="102"/>
        <v>1</v>
      </c>
      <c r="CA86">
        <f t="shared" si="103"/>
        <v>0.31</v>
      </c>
      <c r="CB86">
        <f t="shared" si="104"/>
        <v>2.7407799867815981</v>
      </c>
      <c r="CC86">
        <f>IFERROR(ROUNDUP(CB86/((Uн_лин/SQRT(3))*1000)*100,2),"")</f>
        <v>1.19</v>
      </c>
      <c r="CD86">
        <f>IF(ISNUMBER(CC86),CC86+IFERROR(_xlfn.XLOOKUP(A86,Щиты[Щит],Щиты[ΔU до шин, %]),0),"")</f>
        <v>1.69</v>
      </c>
      <c r="CE86">
        <f>IF(D86="","",IF(IFERROR(VLOOKUP(AT86,УГО_спр,2,FALSE),"")="Светильник",3,4)+IF(Методика="нормы 2026",MIN(0.5,MAX(0,N(BW86)-100)*0.005),0))</f>
        <v>4</v>
      </c>
      <c r="CF86" t="str">
        <f>IFERROR(VLOOKUP(BI86,Кабель_обозначение,2,FALSE),"")</f>
        <v>ВВГнг(А)-LS</v>
      </c>
      <c r="CG86" t="str">
        <f>IFERROR(IF(VLOOKUP(BI86,Кабель_обозначение,3,FALSE)=1,CF86&amp;" ("&amp;BJ86&amp;"х"&amp;BS86&amp;")",CF86),"")</f>
        <v>ВВГнг(А)-LS (5х6)</v>
      </c>
      <c r="CH86" t="str">
        <f t="shared" si="105"/>
        <v>ВВГнг(А)-LS (5х6)
L=47-1,19%</v>
      </c>
      <c r="CI86">
        <f>IFERROR(2*ρкз_Cu*BW86/BS86,"")</f>
        <v>0.41203333333333331</v>
      </c>
      <c r="CJ86">
        <f t="shared" si="106"/>
        <v>0.13708333333333336</v>
      </c>
      <c r="CK86" t="str">
        <f>IFERROR(IF(OR(D86="",NOT(ISNUMBER(BS86)),N(BW86)=0),"",_xlfn.XLOOKUP(A86,Щиты[Щит],Щиты[Zпетли на шинах, Ом])+CI86),"")</f>
        <v/>
      </c>
      <c r="CL86" t="str">
        <f>IF(ISNUMBER(CK86),c_min*(Uн_лин*1000/SQRT(3))/CK86,"")</f>
        <v/>
      </c>
      <c r="CM86" t="str">
        <f>IFERROR(IF(OR(D86="",NOT(ISNUMBER(BS86))),"",1.05*(Uн_лин*1000/SQRT(3))/(_xlfn.XLOOKUP(A86,Щиты[Щит],Щиты[Zmax на шинах, Ом])+CJ86)/1000),"")</f>
        <v/>
      </c>
      <c r="CN86" t="str">
        <f>IF(D86="","",IF(BA86&lt;&gt;"","Щит",IF(K86&lt;&gt;"",K86,IF(ISNUMBER(L86),"Сил",IF(IFERROR(_xlfn.XLOOKUP(AT86,Коды_код,Коды_группа)&amp;"","")="","Быт",_xlfn.XLOOKUP(AT86,Коды_код,Коды_группа)&amp;"")))))</f>
        <v>Сил</v>
      </c>
      <c r="CO86">
        <f>IF(CN86="Щит","щит",IF(CN86="","",IF(CN86="Быт",IFERROR(_xlfn.XLOOKUP(A86,Щиты[Щит],Щиты[Кс быт]),1),IF(CN86="Сил",IF(ISNUMBER(L86),L86,IF(Методика="нормы 2026",IFERROR(_xlfn.XLOOKUP(A86,Щиты[Щит],Щиты[Кс силовых (табл. 7.5)]),1),1)),IF(OR(CN86="Пост",CN86="Отоп"),1,IF(CN86="ВНГ",0.7,0))))))</f>
        <v>0.5</v>
      </c>
      <c r="CP86">
        <f t="shared" si="107"/>
        <v>1</v>
      </c>
      <c r="CQ86">
        <f t="shared" si="108"/>
        <v>10.69</v>
      </c>
      <c r="CR86">
        <f t="shared" si="109"/>
        <v>0</v>
      </c>
      <c r="CS86">
        <f t="shared" si="110"/>
        <v>5.3449999999999998</v>
      </c>
      <c r="CT86">
        <f t="shared" si="111"/>
        <v>0</v>
      </c>
      <c r="CU86">
        <f t="shared" si="112"/>
        <v>0</v>
      </c>
      <c r="CV86">
        <f t="shared" si="113"/>
        <v>0</v>
      </c>
      <c r="CW86">
        <f t="shared" si="114"/>
        <v>10.69</v>
      </c>
      <c r="CX86">
        <f t="shared" si="115"/>
        <v>10.155499999999998</v>
      </c>
      <c r="CY86">
        <f t="shared" si="116"/>
        <v>2</v>
      </c>
      <c r="CZ86" t="str">
        <f t="shared" si="117"/>
        <v>L1,L2,L3</v>
      </c>
      <c r="DA86" cm="1">
        <f t="array" ref="DA86">IFERROR(IF(BL86=2,_xlfn.IFS(BH86=3,VLOOKUP(BF86,Справочная_двигатели,3,FALSE),BH86=1,VLOOKUP(BF86,Справочная_двигатели,5,TRUE)),0),0)</f>
        <v>0</v>
      </c>
      <c r="DB86">
        <f>IFERROR(IF(BL86=3,VLOOKUP(BF86,Справочная_ЛЭД,2,TRUE),0),0)</f>
        <v>0</v>
      </c>
      <c r="DC86">
        <f t="shared" si="118"/>
        <v>0</v>
      </c>
      <c r="DD86" t="str">
        <f t="shared" si="119"/>
        <v>L1,L2,L3</v>
      </c>
      <c r="DE86" t="str" cm="1">
        <f t="array" ref="DE86">IF(D86="","",IFERROR(INDEX({"I особая","I","II","III"},MATCH(TRIM(AA86&amp;""),{"I особая","I","II","III"},0)),"III"))</f>
        <v>II</v>
      </c>
      <c r="DF86" t="str">
        <f>IF(D86="","",IF(TRIM(AB86&amp;"")&lt;&gt;"",IF(LOWER(TRIM(AB86&amp;""))="да","да","нет"),IF(IFERROR(_xlfn.XLOOKUP(AT86,Коды_код,Коды_пожарная),"")="да","да","нет")))</f>
        <v>нет</v>
      </c>
      <c r="DG86" t="str">
        <f t="shared" si="120"/>
        <v/>
      </c>
      <c r="DH86" t="str">
        <f t="shared" si="121"/>
        <v>основная</v>
      </c>
      <c r="DI86">
        <f t="shared" si="122"/>
        <v>1</v>
      </c>
      <c r="DJ86" t="str" cm="1">
        <f t="array" ref="DJ86">IF(D86="","",_xlfn.LET(_xlpm.t,IFERROR(_xlfn.XLOOKUP(1,(Шины[Шина]=DH86)*(((Шины[Щит]=A86)+(Шины[Щит]=""))&gt;0),Шины[Тип]),"")&amp;"",IF(_xlpm.t&lt;&gt;"",_xlpm.t,IF(ISNUMBER(SEARCH("ИБП",DH86)),"ИБП",IF(ISNUMBER(SEARCH("ДГУ",DH86)),"ДГУ","Ввод "&amp;DI86)))))</f>
        <v>Ввод 1</v>
      </c>
      <c r="DK86" t="str">
        <f t="shared" si="123"/>
        <v>Ввод 1</v>
      </c>
      <c r="DL86" t="str">
        <f>IF(D86="","",IF(OR(DJ86="ИБП",DJ86="ДГУ"),"I особая",IF(DJ86="Одиночная","III",_xlfn.XLOOKUP(A86,Щиты[Щит],Щиты[Категория шины «Ввод»],"III"))))</f>
        <v>II</v>
      </c>
      <c r="DM86">
        <f>IF(D86="",0,IFERROR(MATCH(DE86,{"III","II","I","I особая"},0),1))</f>
        <v>2</v>
      </c>
      <c r="DN86">
        <f t="shared" si="124"/>
        <v>2</v>
      </c>
      <c r="DO86" t="str">
        <f>IF(D86="","",IF(DM86&gt;IFERROR(MATCH(DL86,{"III","II","I","I особая"},0),1),"НЕ ОБЕСПЕЧЕНА","ОК"))</f>
        <v>ОК</v>
      </c>
      <c r="DP86" t="str">
        <f>IF(A86="","",_xlfn.XLOOKUP(A86,Щиты[Щит],Щиты[Путь],""))</f>
        <v>|ГРЩ-ЖД|ЩОВ-001|</v>
      </c>
      <c r="DQ86" t="str">
        <f>IF(D86="","",IF(Z86&lt;&gt;"",Z86,IF(IFERROR(_xlfn.XLOOKUP(AT86,Коды_код,Коды_вид)&amp;"","")="","Прочее",_xlfn.XLOOKUP(AT86,Коды_код,Коды_вид)&amp;"")))</f>
        <v>Кондиционирование и увлажнение</v>
      </c>
      <c r="DR86">
        <f>IF(BD86="","",INT((BD86-1)/Столбцов_на_лист)+1)</f>
        <v>4</v>
      </c>
      <c r="DS86" t="str">
        <f t="shared" si="125"/>
        <v>ВВГнг(А)-LS (5х6) L=47-1,19%</v>
      </c>
      <c r="DT86">
        <f t="shared" si="126"/>
        <v>10.69</v>
      </c>
      <c r="DU86">
        <f t="shared" si="127"/>
        <v>16.25</v>
      </c>
      <c r="DV86">
        <f t="shared" si="128"/>
        <v>3</v>
      </c>
      <c r="DW86">
        <f>IF(AT86="",0,_xlfn.LET(_xlpm.v,IFERROR(VLOOKUP(D86,УГО_спр,3,FALSE),IFERROR(VLOOKUP(AT86,УГО_спр,3,FALSE),IFERROR(VLOOKUP(LEFT(AT86,2),УГО_спр,3,FALSE),""))),IF(_xlpm.v="да",30,IF(ISNUMBER(_xlpm.v),_xlpm.v,0))))</f>
        <v>0</v>
      </c>
      <c r="DX86">
        <f t="shared" si="129"/>
        <v>0</v>
      </c>
      <c r="DY86">
        <f>IF(BD86="","",IF(AD86&lt;&gt;"",COUNTIFS(A$3:A86,A86,AD$3:AD86,"?*"),IF(OR(OR(AS86=1,A86&lt;&gt;A85),AL86="вручную"),"",IF(AS86=1,"",DZ85))))</f>
        <v>33</v>
      </c>
      <c r="DZ86">
        <f t="shared" si="130"/>
        <v>33</v>
      </c>
      <c r="EA86">
        <f>IF(D86="",0,MAX(IFERROR(--X86,0),IFERROR(--VLOOKUP(D86,УГО_спр,4,FALSE),IFERROR(--VLOOKUP(AT86,УГО_спр,4,FALSE),IFERROR(--VLOOKUP(LEFT(AT86,2),УГО_спр,4,FALSE),0)))))</f>
        <v>25</v>
      </c>
      <c r="EB86">
        <f>IF(D86="","",IFERROR(LOOKUP(INDEX(CHOOSE(BR86,Iдоп_1ж,Iдоп_2ж,Iдоп_3ж),MATCH(BS86,Iдоп_S,0))*BP86*BQ86,{6,10,16,20,25,32,40,50,63,80,100,125,160,200,250,315,400,500,630}),""))</f>
        <v>32</v>
      </c>
      <c r="EC86">
        <f>IF(AD86="","",SUMIFS(Линии[_Ток схемы],Линии[_гр.],DY86,Линии[Щит],A86,Линии[_в кабель выше],0))</f>
        <v>16.25</v>
      </c>
      <c r="ED86">
        <f>IF(AD86="","",IFERROR(VLOOKUP(EC86,Автомат_номиналы,2,TRUE),""))</f>
        <v>20</v>
      </c>
      <c r="EE86">
        <f>IF(AD86="","",MAX(N(ED86),_xlfn.MAXIFS(Линии[_мин. по типу],Линии[_гр.],DY86,Линии[Щит],A86)))</f>
        <v>25</v>
      </c>
      <c r="EF86">
        <f>IF(AD86="","",_xlfn.MINIFS(Линии[_макс. автомат по кабелю],Линии[_гр.],DY86,Линии[Щит],A86))</f>
        <v>32</v>
      </c>
      <c r="EG86">
        <f>IF(AD86="","",MAX(1,_xlfn.MAXIFS(Линии[_фаз],Линии[_гр.],DY86,Линии[Щит],A86)))</f>
        <v>3</v>
      </c>
      <c r="EH86">
        <f>IF(AD86="","",IF(AND(AD86&lt;&gt;"авто",AD86&lt;&gt;"+"),IF(ISNUMBER(SEARCH("мА",AD86)),IFERROR(--TRIM(RIGHT(SUBSTITUTE(LEFT(AD86,SEARCH("мА",AD86)-1)," ",REPT(" ",9)),6)),30),0),IF(AE86="нет",0,IF(ISNUMBER(AE86),AE86,IF(AE86="да",30,_xlfn.MINIFS(Линии[_дифзащита по коду, мА],Линии[_гр.],DY86,Линии[Щит],A86,Линии[_дифзащита по коду, мА],"&gt;0"))))))</f>
        <v>0</v>
      </c>
      <c r="EI86">
        <f t="shared" si="131"/>
        <v>0</v>
      </c>
      <c r="EJ86" t="str">
        <f t="shared" si="132"/>
        <v>QF33</v>
      </c>
      <c r="EK86" t="str">
        <f t="shared" si="133"/>
        <v>QF33</v>
      </c>
      <c r="EL86" t="str">
        <f t="shared" si="134"/>
        <v/>
      </c>
      <c r="EM86">
        <f t="shared" si="135"/>
        <v>0</v>
      </c>
      <c r="EN86">
        <f>IF(AD86="","",IF(EM86=1,MAX(EE86,Мин_автомат_БП),EE86))</f>
        <v>25</v>
      </c>
      <c r="EO86" t="str">
        <f t="shared" si="136"/>
        <v>3P</v>
      </c>
      <c r="EP86" t="str">
        <f t="shared" si="137"/>
        <v>3P С25А</v>
      </c>
      <c r="EQ86">
        <f t="shared" si="138"/>
        <v>25</v>
      </c>
      <c r="ER86" t="str">
        <f>IF(OR(AI86="",AI86="-"),"",IFERROR(VLOOKUP(AI86,Модули_спр,2,FALSE),"R"))</f>
        <v/>
      </c>
      <c r="ES86" t="str">
        <f>IF(ER86="","",ER86&amp;"."&amp;COUNTIFS(A$3:A86,A86,ER$3:ER86,ER86))</f>
        <v/>
      </c>
      <c r="ET86" t="str">
        <f t="shared" si="139"/>
        <v/>
      </c>
      <c r="EU86" t="str">
        <f t="shared" si="140"/>
        <v/>
      </c>
      <c r="EV86" t="str">
        <f t="shared" si="141"/>
        <v/>
      </c>
      <c r="EW86" t="str">
        <f t="shared" si="142"/>
        <v/>
      </c>
      <c r="EX86">
        <f t="shared" si="143"/>
        <v>1</v>
      </c>
      <c r="EY86" t="str">
        <f>IF(AK86="нет","",IF(AK86&lt;&gt;"",AK86,IF(EX86=1,"XT"&amp;COUNTIFS(A$3:A86,A86,EX$3:EX86,1),"")))</f>
        <v>XT34</v>
      </c>
      <c r="EZ86" t="str">
        <f t="shared" si="144"/>
        <v>QF33</v>
      </c>
      <c r="FA86" t="str">
        <f t="shared" si="145"/>
        <v/>
      </c>
      <c r="FB86" t="str">
        <f t="shared" si="146"/>
        <v>ok</v>
      </c>
      <c r="FC86" t="str">
        <f>IF(OR(EV86="",ET86=""),"",IF(EV86&gt;IFERROR(VLOOKUP(EU86,Модули_спр,3,FALSE),99),"ЛИШНИЙ КАНАЛ",IF(AND(AJ86&lt;&gt;"=",COUNTIFS(Линии[_модуль гр.],ET86,Линии[Канал (итог)],EV86,Линии[Канал],"&lt;&gt;=",Линии[Щит],A86)&gt;1),"ДУБЛЬ КАНАЛА","")))</f>
        <v/>
      </c>
      <c r="FD86">
        <f t="shared" si="147"/>
        <v>25</v>
      </c>
      <c r="FE86" t="str">
        <f t="shared" si="148"/>
        <v>3P С25А</v>
      </c>
      <c r="FF86">
        <f t="shared" si="149"/>
        <v>0</v>
      </c>
      <c r="FG86">
        <f t="shared" si="150"/>
        <v>0</v>
      </c>
      <c r="FH86" t="str">
        <f t="shared" si="151"/>
        <v/>
      </c>
      <c r="FI86">
        <f t="shared" si="152"/>
        <v>10</v>
      </c>
      <c r="FJ86" t="str">
        <f t="shared" si="153"/>
        <v/>
      </c>
      <c r="FK86" t="str">
        <f>IF(AND(D86="",EZ86=""),"",_xlfn.TEXTJOIN("; ",TRUE,IF(AND(D86&lt;&gt;"",DD86=""),"нет фазы",""),IF(AND(D86&lt;&gt;"",N(DT86)=0,CN86&lt;&gt;"Нет"),"нет мощности",""),IF(AND(EY86&lt;&gt;"",COUNTIFS(Линии[Щит],A86,Линии[Клемма (итог)],EY86)&gt;1),"дубль клеммы "&amp;EY86,""),IF(AND(FB86&lt;&gt;"",FB86&lt;&gt;"ok"),FB86,""),IF(FC86&lt;&gt;"",FC86,""),IF(AND(ISNUMBER(SEARCH("(5х",DS86)),N(DV86)=1),"5 жил на 1 фазе",""),IF(AND(AT86="R",AD86&lt;&gt;"",OR(N(EH86)=0,N(EH86)&gt;30)),"розетка без дифзащиты до 30 мА",""),IFERROR(IF(AND(ISNUMBER(CD86),CD86&gt;CE86),"потери "&amp;FIXED(CD86,1)&amp;" % &gt; "&amp;CE86&amp;" %",""),""),IFERROR(IF(LEFT(FJ86,4)="мало","Iкз мало — отключение &gt; 0,4 с",""),""),IF(AND(D86&lt;&gt;"",BD86=""),"не на схеме","")))</f>
        <v/>
      </c>
      <c r="FL86" t="str">
        <f>IF(AD86="","",_xlfn.LET(_xlpm.t,IFERROR(_xlfn.XLOOKUP(EP86,Каталог!$U$4:$U$500,Каталог!$G$4:$G$500),""),_xlpm.k,SEARCH("кА",_xlpm.t),IFERROR(--TRIM(RIGHT(SUBSTITUTE(MID(_xlpm.t,MAX(1,_xlpm.k-4),_xlpm.k-MAX(1,_xlpm.k-4))," ",REPT(" ",9)),5)),"")))</f>
        <v/>
      </c>
      <c r="FM86" t="str">
        <f>IF(OR(FL86="",AD86=""),"",IF(_xlfn.XLOOKUP(A86,Щиты[Щит],Щиты[Iкз max на шинах, кА],"")="","",IF(FL86&lt;_xlfn.XLOOKUP(A86,Щиты[Щит],Щиты[Iкз max на шинах, кА]),"Icu "&amp;FL86&amp;" кА &lt; Iкз max","ok")))</f>
        <v/>
      </c>
      <c r="FN86" t="str">
        <f t="shared" si="154"/>
        <v>QF33|XT34</v>
      </c>
      <c r="FO86" t="str">
        <f t="shared" si="155"/>
        <v>QF33|XT34|кабель ВВГнг(А)-LS (5х6) → Внешний блок кондиционирования Пом. Венткиосок</v>
      </c>
      <c r="FP86" t="str" cm="1">
        <f t="array" ref="FP86">IF(FO86="","",_xlfn.LET(_xlpm.nd,_xlfn.TEXTSPLIT(FO86,"|"),IF(COLUMNS(_xlpm.nd)&gt;1,A86&amp;"¦"&amp;INDEX(_xlpm.nd,1)&amp;"¦"&amp;INDEX(_xlpm.nd,2),"")))</f>
        <v>ЩОВ-001¦QF33¦XT34</v>
      </c>
      <c r="FQ86" t="str">
        <f t="shared" si="156"/>
        <v>НБ-3¦Внешний блок кондиционирования Пом. Венткиосок</v>
      </c>
      <c r="FR86" t="str" cm="1">
        <f t="array" ref="FR86">IF(FO86="","",_xlfn.LET(_xlpm.nd,_xlfn.TEXTSPLIT(FO86,"|"),IF(COLUMNS(_xlpm.nd)&gt;2,A86&amp;"¦"&amp;INDEX(_xlpm.nd,2)&amp;"¦"&amp;INDEX(_xlpm.nd,3),"")))</f>
        <v>ЩОВ-001¦XT34¦кабель ВВГнг(А)-LS (5х6) → Внешний блок кондиционирования Пом. Венткиосок</v>
      </c>
      <c r="FS86" t="str">
        <f t="shared" si="157"/>
        <v>НБ-3¦Внешний блок кондиционирования Пом. Венткиосок</v>
      </c>
      <c r="FT86" t="str" cm="1">
        <f t="array" ref="FT86">IF(FO86="","",_xlfn.LET(_xlpm.nd,_xlfn.TEXTSPLIT(FO86,"|"),IF(COLUMNS(_xlpm.nd)&gt;3,A86&amp;"¦"&amp;INDEX(_xlpm.nd,3)&amp;"¦"&amp;INDEX(_xlpm.nd,4),"")))</f>
        <v/>
      </c>
      <c r="FU86" t="str">
        <f t="shared" si="158"/>
        <v/>
      </c>
      <c r="FV86" t="str" cm="1">
        <f t="array" ref="FV86">IF(FO86="","",_xlfn.LET(_xlpm.nd,_xlfn.TEXTSPLIT(FO86,"|"),IF(COLUMNS(_xlpm.nd)&gt;4,A86&amp;"¦"&amp;INDEX(_xlpm.nd,4)&amp;"¦"&amp;INDEX(_xlpm.nd,5),"")))</f>
        <v/>
      </c>
      <c r="FW86" t="str">
        <f t="shared" si="159"/>
        <v/>
      </c>
      <c r="FX86" t="str" cm="1">
        <f t="array" ref="FX86">IF(FO86="","",_xlfn.LET(_xlpm.nd,_xlfn.TEXTSPLIT(FO86,"|"),IF(COLUMNS(_xlpm.nd)&gt;5,A86&amp;"¦"&amp;INDEX(_xlpm.nd,5)&amp;"¦"&amp;INDEX(_xlpm.nd,6),"")))</f>
        <v/>
      </c>
      <c r="FY86" t="str">
        <f t="shared" si="160"/>
        <v/>
      </c>
      <c r="FZ86" t="str" cm="1">
        <f t="array" ref="FZ86">IF(FO86="","",_xlfn.LET(_xlpm.nd,_xlfn.TEXTSPLIT(FO86,"|"),IF(COLUMNS(_xlpm.nd)&gt;6,A86&amp;"¦"&amp;INDEX(_xlpm.nd,6)&amp;"¦"&amp;INDEX(_xlpm.nd,7),"")))</f>
        <v/>
      </c>
      <c r="GA86" t="str">
        <f t="shared" si="161"/>
        <v/>
      </c>
      <c r="GB86" t="str">
        <f t="shared" si="162"/>
        <v/>
      </c>
      <c r="GC86" t="str">
        <f t="shared" si="163"/>
        <v>QF33 → XT34</v>
      </c>
      <c r="GD86">
        <f t="shared" si="164"/>
        <v>1</v>
      </c>
      <c r="GE86">
        <f t="shared" si="165"/>
        <v>0</v>
      </c>
      <c r="GF86">
        <f t="shared" si="166"/>
        <v>0</v>
      </c>
      <c r="GG86" t="str">
        <f t="shared" si="167"/>
        <v/>
      </c>
      <c r="GH86" t="str">
        <f t="shared" si="168"/>
        <v/>
      </c>
      <c r="GI86" t="str">
        <f t="shared" si="169"/>
        <v/>
      </c>
      <c r="GJ86" t="str">
        <f t="shared" si="170"/>
        <v/>
      </c>
      <c r="GK86" t="str">
        <f>IF(D86="","",IFERROR(VLOOKUP(D86,УГО_спр,2,FALSE),IFERROR(VLOOKUP(AT86,УГО_спр,2,FALSE),IFERROR(VLOOKUP(LEFT(AT86,2),УГО_спр,2,FALSE),""))))</f>
        <v>Привод (двигатель)</v>
      </c>
      <c r="GL86" t="str">
        <f>IF(D86="","",IF(OR(GK86="",GK86=0),"BOX",IFERROR(IF(VLOOKUP(GK86,УГО_блоки,3,FALSE)&amp;""&lt;&gt;"",VLOOKUP(GK86,УГО_блоки,3,FALSE),VLOOKUP(GK86,УГО_блоки,2,FALSE)),GK86)))</f>
        <v>MOTOR</v>
      </c>
      <c r="GM86">
        <f t="shared" si="171"/>
        <v>1</v>
      </c>
      <c r="GN86">
        <f>IF(EP86="","",IF(COUNTIF(EP$3:EP86,EP86)=1,MAX(GN$2:GN85)+1,""))</f>
        <v>6</v>
      </c>
      <c r="GO86" t="str">
        <f>IF(AF86="","",IF(COUNTIF(AF$3:AF86,AF86)+COUNTIF(AG$2:AG85,AF86)+COUNTIF(AH$2:AH85,AF86)=1,MAX(GO$2:GQ85)+1,""))</f>
        <v/>
      </c>
      <c r="GP86" t="str">
        <f>IF(AG86="","",IF(COUNTIF(AF$3:AF86,AG86)+COUNTIF(AG$3:AG86,AG86)+COUNTIF(AH$2:AH85,AG86)=1,MAX(GO$2:GQ85,GO86)+1,""))</f>
        <v/>
      </c>
      <c r="GQ86" t="str">
        <f>IF(AH86="","",IF(COUNTIF(AF$3:AF86,AH86)+COUNTIF(AG$3:AG86,AH86)+COUNTIF(AH$3:AH86,AH86)=1,MAX(GO$2:GQ85,GO86,GP86)+1,""))</f>
        <v/>
      </c>
      <c r="GR86" t="str">
        <f t="shared" si="172"/>
        <v>5х6</v>
      </c>
      <c r="GS86" t="str">
        <f>IF(GR86="","",IF(COUNTIF(GR$3:GR86,GR86)=1,MAX(GS$2:GS85)+1,""))</f>
        <v/>
      </c>
      <c r="GT86" t="str">
        <f>IF(ES86="","",COUNTIF(ES$3:ES86,"?*"))</f>
        <v/>
      </c>
      <c r="GU86" t="str">
        <f>IF(OR(ES86="",EU86=""),"",IF(COUNTIFS(ES$3:ES86,"?*",EU$3:EU86,EU86)=1,MAX(GU$2:GU85)+1,""))</f>
        <v/>
      </c>
      <c r="GV86">
        <f t="shared" si="173"/>
        <v>0</v>
      </c>
      <c r="GW86">
        <f>IF(D86="","",COUNTIF(D$3:D86,"?*"))</f>
        <v>84</v>
      </c>
      <c r="GX86">
        <f>IF(EX86&lt;&gt;1,0,_xlfn.LET(_xlpm.k,MAX(IFERROR(--VLOOKUP(D86,УГО_спр,5,FALSE),0),IFERROR(--VLOOKUP(AT86,УГО_спр,5,FALSE),0),IFERROR(--VLOOKUP(LEFT(AT86,2),УГО_спр,5,FALSE),0)),IF(_xlpm.k&gt;0,_xlpm.k,IF(IFERROR(--LEFT(SUBSTITUTE(GR86,"x","х"),FIND("х",SUBSTITUTE(GR86,"x","х"))-1),3)&gt;3,Каталог!$S$9,1))))</f>
        <v>1</v>
      </c>
      <c r="GY86">
        <f t="shared" si="174"/>
        <v>2</v>
      </c>
    </row>
    <row r="87" spans="1:207" x14ac:dyDescent="0.3">
      <c r="A87" t="s">
        <v>752</v>
      </c>
      <c r="B87">
        <v>61</v>
      </c>
      <c r="C87" t="str">
        <f>IF(BD87="","",IF(BE87="вводной узел","узел ","")&amp;"л."&amp;(INT((BD87-1)/Столбцов_на_лист)+1)&amp;" / "&amp;(MOD(BD87-1,Столбцов_на_лист)+1))</f>
        <v>л.4 / 10</v>
      </c>
      <c r="D87" t="s">
        <v>1365</v>
      </c>
      <c r="E87" s="133" t="s">
        <v>1347</v>
      </c>
      <c r="G87">
        <v>5.8</v>
      </c>
      <c r="H87">
        <v>1</v>
      </c>
      <c r="I87">
        <v>3</v>
      </c>
      <c r="J87">
        <v>400</v>
      </c>
      <c r="K87" t="s">
        <v>602</v>
      </c>
      <c r="L87">
        <v>0.5</v>
      </c>
      <c r="O87" t="s">
        <v>1298</v>
      </c>
      <c r="P87">
        <v>45</v>
      </c>
      <c r="Q87">
        <v>0</v>
      </c>
      <c r="R87">
        <v>41</v>
      </c>
      <c r="S87">
        <v>0</v>
      </c>
      <c r="T87">
        <v>1</v>
      </c>
      <c r="U87" t="s">
        <v>11</v>
      </c>
      <c r="V87">
        <v>5</v>
      </c>
      <c r="W87">
        <v>4</v>
      </c>
      <c r="X87">
        <v>16</v>
      </c>
      <c r="Z87" t="s">
        <v>580</v>
      </c>
      <c r="AA87" t="s">
        <v>818</v>
      </c>
      <c r="AD87" t="s">
        <v>517</v>
      </c>
      <c r="AR87" t="str">
        <f t="shared" si="88"/>
        <v/>
      </c>
      <c r="AS87" cm="1">
        <f t="array" ref="AS87">ROW()-ROW(Линии[#Headers])</f>
        <v>85</v>
      </c>
      <c r="AT87" t="str">
        <f t="shared" si="89"/>
        <v>НБ-4</v>
      </c>
      <c r="AU87" t="str">
        <f t="shared" si="90"/>
        <v/>
      </c>
      <c r="AV87" t="str">
        <f t="shared" si="91"/>
        <v/>
      </c>
      <c r="AW87" t="str">
        <f t="shared" si="92"/>
        <v/>
      </c>
      <c r="AX87" t="str">
        <f t="shared" si="93"/>
        <v/>
      </c>
      <c r="AY87" t="str">
        <f>IF(D87="","",IF(ISERROR(SEARCH(".",D87)),IFERROR(VLOOKUP(D87,Потребители_обозначение,2,FALSE)&amp;"",""),IFERROR(IF(VLOOKUP(AT87,Потребители_обозначение,4,FALSE)=1,VLOOKUP(AT87,Потребители_обозначение,2,FALSE)&amp;" "&amp;VLOOKUP(AV87,Этаж_обозначение,2,FALSE)&amp;" Пом. №"&amp;AX87,VLOOKUP(AT87,Потребители_обозначение,2,FALSE)&amp;" Шлейф №"&amp;AV87),IFERROR(VLOOKUP(D87,Потребители_обозначение,2,FALSE),""))))</f>
        <v/>
      </c>
      <c r="AZ87" t="str">
        <f t="shared" si="94"/>
        <v>Внешний блок кондиционирования Пом. Венткиосок</v>
      </c>
      <c r="BA87" t="str">
        <f>IF(F87&lt;&gt;"",F87,IF(AND(D87&lt;&gt;"",D87&lt;&gt;A87,ISNUMBER(_xlfn.XMATCH(D87,Щиты[Щит]))),D87,""))</f>
        <v/>
      </c>
      <c r="BB87">
        <f>IFERROR(_xlfn.XMATCH(A87,Щиты[Щит]),0)</f>
        <v>4</v>
      </c>
      <c r="BC87">
        <f>IFERROR(N(_xlfn.XLOOKUP(A87,Щиты[Щит],Щиты[Мест под вводной узел])),15)</f>
        <v>13</v>
      </c>
      <c r="BD87">
        <f t="shared" si="95"/>
        <v>61</v>
      </c>
      <c r="BE87" t="str">
        <f t="shared" si="96"/>
        <v>линии</v>
      </c>
      <c r="BF87">
        <f>IF(D87="","",IF(BA87&lt;&gt;"",IFERROR(_xlfn.XLOOKUP(BA87,Щиты[Щит],Щиты[Руст, кВт]),0),N(G87)))</f>
        <v>5.8</v>
      </c>
      <c r="BG87">
        <f>IF(J87&lt;&gt;"",J87,IF(D87="","",IFERROR(IF(VLOOKUP(AT87,Потребители_обозначение,8,FALSE)=0,"",VLOOKUP(AT87,Потребители_обозначение,8,FALSE)),"")))</f>
        <v>400</v>
      </c>
      <c r="BH87">
        <f>IF(I87&lt;&gt;"",I87,IF(D87="","",IFERROR(IF(VLOOKUP(AT87,Потребители_обозначение,9,FALSE)=0,"",VLOOKUP(AT87,Потребители_обозначение,9,FALSE)),"")))</f>
        <v>3</v>
      </c>
      <c r="BI87" t="str">
        <f>IF(U87&lt;&gt;"",U87,IF(D87="","",IFERROR(IF(VLOOKUP(AT87,Потребители_обозначение,6,FALSE)=0,"",VLOOKUP(AT87,Потребители_обозначение,6,FALSE)),"")))</f>
        <v>мс</v>
      </c>
      <c r="BJ87">
        <f>IF(V87&lt;&gt;"",V87,IF(D87="","",IFERROR(IF(VLOOKUP(AT87,Потребители_обозначение,7,FALSE)=0,"",VLOOKUP(AT87,Потребители_обозначение,7,FALSE)),"")))</f>
        <v>5</v>
      </c>
      <c r="BK87">
        <f>IF(W87&lt;&gt;"",W87,IF(D87="","",IFERROR(IF(VLOOKUP(AT87,Потребители_обозначение,10,FALSE)=0,"",VLOOKUP(AT87,Потребители_обозначение,10,FALSE)),"")))</f>
        <v>4</v>
      </c>
      <c r="BL87">
        <f>IFERROR(VLOOKUP(AT87,Потребители_обозначение,5,FALSE),0)</f>
        <v>0</v>
      </c>
      <c r="BM87" cm="1">
        <f t="array" ref="BM87">IF(D87="","",IF(BA87&lt;&gt;"",IFERROR(_xlfn.XLOOKUP(BA87,Щиты[Щит],Щиты[cos φ]),0.95),IF(ISNUMBER(M87),M87,IFERROR(IF(BL87=2,_xlfn.IFS(BH87=3,VLOOKUP(BF87,Справочная_двигатели,8,FALSE),BH87=1,VLOOKUP(BF87,Справочная_двигатели,10,TRUE)),IF(AND(Методика="нормы 2026",CN87="Сил"),0.8,0.95)),0.95))))</f>
        <v>0.95</v>
      </c>
      <c r="BN87" cm="1">
        <f t="array" ref="BN87">IF(D87="","",IF(BA87&lt;&gt;"",IFERROR(_xlfn.XLOOKUP(BA87,Щиты[Щит],Щиты[Iр, А]),""),IFERROR(_xlfn.IFS(BH87=1,BF87/((Uн_лин/SQRT(3))*BM87),BH87=3,BF87/(SQRT(3)*Uн_лин*BM87)),"")))</f>
        <v>8.8121883192100778</v>
      </c>
      <c r="BO87">
        <f>IF(D87="","",IF(N(X87)=0,IFERROR(VLOOKUP(BN87,Автомат_номиналы,2,TRUE),""),X87))</f>
        <v>16</v>
      </c>
      <c r="BP87">
        <f t="shared" si="97"/>
        <v>0.92</v>
      </c>
      <c r="BQ87">
        <f>IF(ISNUMBER(Y87),Y87,К_прокл)</f>
        <v>1</v>
      </c>
      <c r="BR87">
        <f t="shared" si="98"/>
        <v>3</v>
      </c>
      <c r="BS87" cm="1">
        <f t="array" ref="BS87">IF(D87="","",IF(N(BK87)&lt;&gt;0,BK87,IFERROR(_xlfn.LET(_xlpm.need,BO87/(BP87*BQ87),_xlpm.t,CHOOSE(BR87,Iдоп_1ж,Iдоп_2ж,Iдоп_3ж),_xlpm.k,_xlfn.XMATCH(_xlpm.need,_xlpm.t,1),IF(ISNA(_xlpm.k),"Не исп",INDEX(Iдоп_S,_xlpm.k))),"Не исп")))</f>
        <v>4</v>
      </c>
      <c r="BT87">
        <f>IFERROR(VLOOKUP(BS87,Кабель_сопротивление,3,FALSE),"")</f>
        <v>2.2499999999999999E-2</v>
      </c>
      <c r="BU87">
        <f>IFERROR(VLOOKUP(BS87,Кабель_сопротивление,2,FALSE),"")</f>
        <v>9.5000000000000001E-2</v>
      </c>
      <c r="BV87">
        <f t="shared" si="99"/>
        <v>45</v>
      </c>
      <c r="BW87">
        <f>IF(D87="","",IFERROR(IF(VLOOKUP(AT87,Потребители_обозначение,4,FALSE)=1,VLOOKUP(AT87,Потребители_обозначение,3,FALSE)*(H87*2-1)+BV87+VLOOKUP(AV87,Этаж_обозначение,3,FALSE)+VLOOKUP(AV87,Этаж_обозначение,4,FALSE),VLOOKUP(AT87,Потребители_обозначение,3,FALSE)*(H87*2-1)+BV87),BV87))</f>
        <v>45</v>
      </c>
      <c r="BX87">
        <f t="shared" si="100"/>
        <v>41</v>
      </c>
      <c r="BY87">
        <f t="shared" si="101"/>
        <v>0</v>
      </c>
      <c r="BZ87">
        <f t="shared" si="102"/>
        <v>1</v>
      </c>
      <c r="CA87">
        <f t="shared" si="103"/>
        <v>0.31</v>
      </c>
      <c r="CB87">
        <f t="shared" si="104"/>
        <v>2.1307342624550816</v>
      </c>
      <c r="CC87">
        <f>IFERROR(ROUNDUP(CB87/((Uн_лин/SQRT(3))*1000)*100,2),"")</f>
        <v>0.93</v>
      </c>
      <c r="CD87">
        <f>IF(ISNUMBER(CC87),CC87+IFERROR(_xlfn.XLOOKUP(A87,Щиты[Щит],Щиты[ΔU до шин, %]),0),"")</f>
        <v>1.4300000000000002</v>
      </c>
      <c r="CE87">
        <f>IF(D87="","",IF(IFERROR(VLOOKUP(AT87,УГО_спр,2,FALSE),"")="Светильник",3,4)+IF(Методика="нормы 2026",MIN(0.5,MAX(0,N(BW87)-100)*0.005),0))</f>
        <v>4</v>
      </c>
      <c r="CF87" t="str">
        <f>IFERROR(VLOOKUP(BI87,Кабель_обозначение,2,FALSE),"")</f>
        <v>ВВГнг(А)-LS</v>
      </c>
      <c r="CG87" t="str">
        <f>IFERROR(IF(VLOOKUP(BI87,Кабель_обозначение,3,FALSE)=1,CF87&amp;" ("&amp;BJ87&amp;"х"&amp;BS87&amp;")",CF87),"")</f>
        <v>ВВГнг(А)-LS (5х4)</v>
      </c>
      <c r="CH87" t="str">
        <f t="shared" si="105"/>
        <v>ВВГнг(А)-LS (5х4)
L=45-0,93%</v>
      </c>
      <c r="CI87">
        <f>IFERROR(2*ρкз_Cu*BW87/BS87,"")</f>
        <v>0.59175</v>
      </c>
      <c r="CJ87">
        <f t="shared" si="106"/>
        <v>0.19687500000000002</v>
      </c>
      <c r="CK87" t="str">
        <f>IFERROR(IF(OR(D87="",NOT(ISNUMBER(BS87)),N(BW87)=0),"",_xlfn.XLOOKUP(A87,Щиты[Щит],Щиты[Zпетли на шинах, Ом])+CI87),"")</f>
        <v/>
      </c>
      <c r="CL87" t="str">
        <f>IF(ISNUMBER(CK87),c_min*(Uн_лин*1000/SQRT(3))/CK87,"")</f>
        <v/>
      </c>
      <c r="CM87" t="str">
        <f>IFERROR(IF(OR(D87="",NOT(ISNUMBER(BS87))),"",1.05*(Uн_лин*1000/SQRT(3))/(_xlfn.XLOOKUP(A87,Щиты[Щит],Щиты[Zmax на шинах, Ом])+CJ87)/1000),"")</f>
        <v/>
      </c>
      <c r="CN87" t="str">
        <f>IF(D87="","",IF(BA87&lt;&gt;"","Щит",IF(K87&lt;&gt;"",K87,IF(ISNUMBER(L87),"Сил",IF(IFERROR(_xlfn.XLOOKUP(AT87,Коды_код,Коды_группа)&amp;"","")="","Быт",_xlfn.XLOOKUP(AT87,Коды_код,Коды_группа)&amp;"")))))</f>
        <v>Сил</v>
      </c>
      <c r="CO87">
        <f>IF(CN87="Щит","щит",IF(CN87="","",IF(CN87="Быт",IFERROR(_xlfn.XLOOKUP(A87,Щиты[Щит],Щиты[Кс быт]),1),IF(CN87="Сил",IF(ISNUMBER(L87),L87,IF(Методика="нормы 2026",IFERROR(_xlfn.XLOOKUP(A87,Щиты[Щит],Щиты[Кс силовых (табл. 7.5)]),1),1)),IF(OR(CN87="Пост",CN87="Отоп"),1,IF(CN87="ВНГ",0.7,0))))))</f>
        <v>0.5</v>
      </c>
      <c r="CP87">
        <f t="shared" si="107"/>
        <v>1</v>
      </c>
      <c r="CQ87">
        <f t="shared" si="108"/>
        <v>5.8</v>
      </c>
      <c r="CR87">
        <f t="shared" si="109"/>
        <v>0</v>
      </c>
      <c r="CS87">
        <f t="shared" si="110"/>
        <v>2.9</v>
      </c>
      <c r="CT87">
        <f t="shared" si="111"/>
        <v>0</v>
      </c>
      <c r="CU87">
        <f t="shared" si="112"/>
        <v>0</v>
      </c>
      <c r="CV87">
        <f t="shared" si="113"/>
        <v>0</v>
      </c>
      <c r="CW87">
        <f t="shared" si="114"/>
        <v>5.8</v>
      </c>
      <c r="CX87">
        <f t="shared" si="115"/>
        <v>5.51</v>
      </c>
      <c r="CY87">
        <f t="shared" si="116"/>
        <v>2</v>
      </c>
      <c r="CZ87" t="str">
        <f t="shared" si="117"/>
        <v>L1,L2,L3</v>
      </c>
      <c r="DA87" cm="1">
        <f t="array" ref="DA87">IFERROR(IF(BL87=2,_xlfn.IFS(BH87=3,VLOOKUP(BF87,Справочная_двигатели,3,FALSE),BH87=1,VLOOKUP(BF87,Справочная_двигатели,5,TRUE)),0),0)</f>
        <v>0</v>
      </c>
      <c r="DB87">
        <f>IFERROR(IF(BL87=3,VLOOKUP(BF87,Справочная_ЛЭД,2,TRUE),0),0)</f>
        <v>0</v>
      </c>
      <c r="DC87">
        <f t="shared" si="118"/>
        <v>0</v>
      </c>
      <c r="DD87" t="str">
        <f t="shared" si="119"/>
        <v>L1,L2,L3</v>
      </c>
      <c r="DE87" t="str" cm="1">
        <f t="array" ref="DE87">IF(D87="","",IFERROR(INDEX({"I особая","I","II","III"},MATCH(TRIM(AA87&amp;""),{"I особая","I","II","III"},0)),"III"))</f>
        <v>II</v>
      </c>
      <c r="DF87" t="str">
        <f>IF(D87="","",IF(TRIM(AB87&amp;"")&lt;&gt;"",IF(LOWER(TRIM(AB87&amp;""))="да","да","нет"),IF(IFERROR(_xlfn.XLOOKUP(AT87,Коды_код,Коды_пожарная),"")="да","да","нет")))</f>
        <v>нет</v>
      </c>
      <c r="DG87" t="str">
        <f t="shared" si="120"/>
        <v/>
      </c>
      <c r="DH87" t="str">
        <f t="shared" si="121"/>
        <v>основная</v>
      </c>
      <c r="DI87">
        <f t="shared" si="122"/>
        <v>1</v>
      </c>
      <c r="DJ87" t="str" cm="1">
        <f t="array" ref="DJ87">IF(D87="","",_xlfn.LET(_xlpm.t,IFERROR(_xlfn.XLOOKUP(1,(Шины[Шина]=DH87)*(((Шины[Щит]=A87)+(Шины[Щит]=""))&gt;0),Шины[Тип]),"")&amp;"",IF(_xlpm.t&lt;&gt;"",_xlpm.t,IF(ISNUMBER(SEARCH("ИБП",DH87)),"ИБП",IF(ISNUMBER(SEARCH("ДГУ",DH87)),"ДГУ","Ввод "&amp;DI87)))))</f>
        <v>Ввод 1</v>
      </c>
      <c r="DK87" t="str">
        <f t="shared" si="123"/>
        <v>Ввод 1</v>
      </c>
      <c r="DL87" t="str">
        <f>IF(D87="","",IF(OR(DJ87="ИБП",DJ87="ДГУ"),"I особая",IF(DJ87="Одиночная","III",_xlfn.XLOOKUP(A87,Щиты[Щит],Щиты[Категория шины «Ввод»],"III"))))</f>
        <v>II</v>
      </c>
      <c r="DM87">
        <f>IF(D87="",0,IFERROR(MATCH(DE87,{"III","II","I","I особая"},0),1))</f>
        <v>2</v>
      </c>
      <c r="DN87">
        <f t="shared" si="124"/>
        <v>2</v>
      </c>
      <c r="DO87" t="str">
        <f>IF(D87="","",IF(DM87&gt;IFERROR(MATCH(DL87,{"III","II","I","I особая"},0),1),"НЕ ОБЕСПЕЧЕНА","ОК"))</f>
        <v>ОК</v>
      </c>
      <c r="DP87" t="str">
        <f>IF(A87="","",_xlfn.XLOOKUP(A87,Щиты[Щит],Щиты[Путь],""))</f>
        <v>|ГРЩ-ЖД|ЩОВ-001|</v>
      </c>
      <c r="DQ87" t="str">
        <f>IF(D87="","",IF(Z87&lt;&gt;"",Z87,IF(IFERROR(_xlfn.XLOOKUP(AT87,Коды_код,Коды_вид)&amp;"","")="","Прочее",_xlfn.XLOOKUP(AT87,Коды_код,Коды_вид)&amp;"")))</f>
        <v>Кондиционирование и увлажнение</v>
      </c>
      <c r="DR87">
        <f>IF(BD87="","",INT((BD87-1)/Столбцов_на_лист)+1)</f>
        <v>4</v>
      </c>
      <c r="DS87" t="str">
        <f t="shared" si="125"/>
        <v>ВВГнг(А)-LS (5х4) L=45-0,93%</v>
      </c>
      <c r="DT87">
        <f t="shared" si="126"/>
        <v>5.8</v>
      </c>
      <c r="DU87">
        <f t="shared" si="127"/>
        <v>8.82</v>
      </c>
      <c r="DV87">
        <f t="shared" si="128"/>
        <v>3</v>
      </c>
      <c r="DW87">
        <f>IF(AT87="",0,_xlfn.LET(_xlpm.v,IFERROR(VLOOKUP(D87,УГО_спр,3,FALSE),IFERROR(VLOOKUP(AT87,УГО_спр,3,FALSE),IFERROR(VLOOKUP(LEFT(AT87,2),УГО_спр,3,FALSE),""))),IF(_xlpm.v="да",30,IF(ISNUMBER(_xlpm.v),_xlpm.v,0))))</f>
        <v>0</v>
      </c>
      <c r="DX87">
        <f t="shared" si="129"/>
        <v>0</v>
      </c>
      <c r="DY87">
        <f>IF(BD87="","",IF(AD87&lt;&gt;"",COUNTIFS(A$3:A87,A87,AD$3:AD87,"?*"),IF(OR(OR(AS87=1,A87&lt;&gt;A86),AL87="вручную"),"",IF(AS87=1,"",DZ86))))</f>
        <v>34</v>
      </c>
      <c r="DZ87">
        <f t="shared" si="130"/>
        <v>34</v>
      </c>
      <c r="EA87">
        <f>IF(D87="",0,MAX(IFERROR(--X87,0),IFERROR(--VLOOKUP(D87,УГО_спр,4,FALSE),IFERROR(--VLOOKUP(AT87,УГО_спр,4,FALSE),IFERROR(--VLOOKUP(LEFT(AT87,2),УГО_спр,4,FALSE),0)))))</f>
        <v>16</v>
      </c>
      <c r="EB87">
        <f>IF(D87="","",IFERROR(LOOKUP(INDEX(CHOOSE(BR87,Iдоп_1ж,Iдоп_2ж,Iдоп_3ж),MATCH(BS87,Iдоп_S,0))*BP87*BQ87,{6,10,16,20,25,32,40,50,63,80,100,125,160,200,250,315,400,500,630}),""))</f>
        <v>32</v>
      </c>
      <c r="EC87">
        <f>IF(AD87="","",SUMIFS(Линии[_Ток схемы],Линии[_гр.],DY87,Линии[Щит],A87,Линии[_в кабель выше],0))</f>
        <v>8.82</v>
      </c>
      <c r="ED87">
        <f>IF(AD87="","",IFERROR(VLOOKUP(EC87,Автомат_номиналы,2,TRUE),""))</f>
        <v>10</v>
      </c>
      <c r="EE87">
        <f>IF(AD87="","",MAX(N(ED87),_xlfn.MAXIFS(Линии[_мин. по типу],Линии[_гр.],DY87,Линии[Щит],A87)))</f>
        <v>16</v>
      </c>
      <c r="EF87">
        <f>IF(AD87="","",_xlfn.MINIFS(Линии[_макс. автомат по кабелю],Линии[_гр.],DY87,Линии[Щит],A87))</f>
        <v>32</v>
      </c>
      <c r="EG87">
        <f>IF(AD87="","",MAX(1,_xlfn.MAXIFS(Линии[_фаз],Линии[_гр.],DY87,Линии[Щит],A87)))</f>
        <v>3</v>
      </c>
      <c r="EH87">
        <f>IF(AD87="","",IF(AND(AD87&lt;&gt;"авто",AD87&lt;&gt;"+"),IF(ISNUMBER(SEARCH("мА",AD87)),IFERROR(--TRIM(RIGHT(SUBSTITUTE(LEFT(AD87,SEARCH("мА",AD87)-1)," ",REPT(" ",9)),6)),30),0),IF(AE87="нет",0,IF(ISNUMBER(AE87),AE87,IF(AE87="да",30,_xlfn.MINIFS(Линии[_дифзащита по коду, мА],Линии[_гр.],DY87,Линии[Щит],A87,Линии[_дифзащита по коду, мА],"&gt;0"))))))</f>
        <v>0</v>
      </c>
      <c r="EI87">
        <f t="shared" si="131"/>
        <v>0</v>
      </c>
      <c r="EJ87" t="str">
        <f t="shared" si="132"/>
        <v>QF34</v>
      </c>
      <c r="EK87" t="str">
        <f t="shared" si="133"/>
        <v>QF34</v>
      </c>
      <c r="EL87" t="str">
        <f t="shared" si="134"/>
        <v/>
      </c>
      <c r="EM87">
        <f t="shared" si="135"/>
        <v>0</v>
      </c>
      <c r="EN87">
        <f>IF(AD87="","",IF(EM87=1,MAX(EE87,Мин_автомат_БП),EE87))</f>
        <v>16</v>
      </c>
      <c r="EO87" t="str">
        <f t="shared" si="136"/>
        <v>3P</v>
      </c>
      <c r="EP87" t="str">
        <f t="shared" si="137"/>
        <v>3P С16А</v>
      </c>
      <c r="EQ87">
        <f t="shared" si="138"/>
        <v>16</v>
      </c>
      <c r="ER87" t="str">
        <f>IF(OR(AI87="",AI87="-"),"",IFERROR(VLOOKUP(AI87,Модули_спр,2,FALSE),"R"))</f>
        <v/>
      </c>
      <c r="ES87" t="str">
        <f>IF(ER87="","",ER87&amp;"."&amp;COUNTIFS(A$3:A87,A87,ER$3:ER87,ER87))</f>
        <v/>
      </c>
      <c r="ET87" t="str">
        <f t="shared" si="139"/>
        <v/>
      </c>
      <c r="EU87" t="str">
        <f t="shared" si="140"/>
        <v/>
      </c>
      <c r="EV87" t="str">
        <f t="shared" si="141"/>
        <v/>
      </c>
      <c r="EW87" t="str">
        <f t="shared" si="142"/>
        <v/>
      </c>
      <c r="EX87">
        <f t="shared" si="143"/>
        <v>1</v>
      </c>
      <c r="EY87" t="str">
        <f>IF(AK87="нет","",IF(AK87&lt;&gt;"",AK87,IF(EX87=1,"XT"&amp;COUNTIFS(A$3:A87,A87,EX$3:EX87,1),"")))</f>
        <v>XT35</v>
      </c>
      <c r="EZ87" t="str">
        <f t="shared" si="144"/>
        <v>QF34</v>
      </c>
      <c r="FA87" t="str">
        <f t="shared" si="145"/>
        <v/>
      </c>
      <c r="FB87" t="str">
        <f t="shared" si="146"/>
        <v>ok</v>
      </c>
      <c r="FC87" t="str">
        <f>IF(OR(EV87="",ET87=""),"",IF(EV87&gt;IFERROR(VLOOKUP(EU87,Модули_спр,3,FALSE),99),"ЛИШНИЙ КАНАЛ",IF(AND(AJ87&lt;&gt;"=",COUNTIFS(Линии[_модуль гр.],ET87,Линии[Канал (итог)],EV87,Линии[Канал],"&lt;&gt;=",Линии[Щит],A87)&gt;1),"ДУБЛЬ КАНАЛА","")))</f>
        <v/>
      </c>
      <c r="FD87">
        <f t="shared" si="147"/>
        <v>16</v>
      </c>
      <c r="FE87" t="str">
        <f t="shared" si="148"/>
        <v>3P С16А</v>
      </c>
      <c r="FF87">
        <f t="shared" si="149"/>
        <v>0</v>
      </c>
      <c r="FG87">
        <f t="shared" si="150"/>
        <v>0</v>
      </c>
      <c r="FH87" t="str">
        <f t="shared" si="151"/>
        <v/>
      </c>
      <c r="FI87">
        <f t="shared" si="152"/>
        <v>10</v>
      </c>
      <c r="FJ87" t="str">
        <f t="shared" si="153"/>
        <v/>
      </c>
      <c r="FK87" t="str">
        <f>IF(AND(D87="",EZ87=""),"",_xlfn.TEXTJOIN("; ",TRUE,IF(AND(D87&lt;&gt;"",DD87=""),"нет фазы",""),IF(AND(D87&lt;&gt;"",N(DT87)=0,CN87&lt;&gt;"Нет"),"нет мощности",""),IF(AND(EY87&lt;&gt;"",COUNTIFS(Линии[Щит],A87,Линии[Клемма (итог)],EY87)&gt;1),"дубль клеммы "&amp;EY87,""),IF(AND(FB87&lt;&gt;"",FB87&lt;&gt;"ok"),FB87,""),IF(FC87&lt;&gt;"",FC87,""),IF(AND(ISNUMBER(SEARCH("(5х",DS87)),N(DV87)=1),"5 жил на 1 фазе",""),IF(AND(AT87="R",AD87&lt;&gt;"",OR(N(EH87)=0,N(EH87)&gt;30)),"розетка без дифзащиты до 30 мА",""),IFERROR(IF(AND(ISNUMBER(CD87),CD87&gt;CE87),"потери "&amp;FIXED(CD87,1)&amp;" % &gt; "&amp;CE87&amp;" %",""),""),IFERROR(IF(LEFT(FJ87,4)="мало","Iкз мало — отключение &gt; 0,4 с",""),""),IF(AND(D87&lt;&gt;"",BD87=""),"не на схеме","")))</f>
        <v/>
      </c>
      <c r="FL87" t="str">
        <f>IF(AD87="","",_xlfn.LET(_xlpm.t,IFERROR(_xlfn.XLOOKUP(EP87,Каталог!$U$4:$U$500,Каталог!$G$4:$G$500),""),_xlpm.k,SEARCH("кА",_xlpm.t),IFERROR(--TRIM(RIGHT(SUBSTITUTE(MID(_xlpm.t,MAX(1,_xlpm.k-4),_xlpm.k-MAX(1,_xlpm.k-4))," ",REPT(" ",9)),5)),"")))</f>
        <v/>
      </c>
      <c r="FM87" t="str">
        <f>IF(OR(FL87="",AD87=""),"",IF(_xlfn.XLOOKUP(A87,Щиты[Щит],Щиты[Iкз max на шинах, кА],"")="","",IF(FL87&lt;_xlfn.XLOOKUP(A87,Щиты[Щит],Щиты[Iкз max на шинах, кА]),"Icu "&amp;FL87&amp;" кА &lt; Iкз max","ok")))</f>
        <v/>
      </c>
      <c r="FN87" t="str">
        <f t="shared" si="154"/>
        <v>QF34|XT35</v>
      </c>
      <c r="FO87" t="str">
        <f t="shared" si="155"/>
        <v>QF34|XT35|кабель ВВГнг(А)-LS (5х4) → Внешний блок кондиционирования Пом. Венткиосок</v>
      </c>
      <c r="FP87" t="str" cm="1">
        <f t="array" ref="FP87">IF(FO87="","",_xlfn.LET(_xlpm.nd,_xlfn.TEXTSPLIT(FO87,"|"),IF(COLUMNS(_xlpm.nd)&gt;1,A87&amp;"¦"&amp;INDEX(_xlpm.nd,1)&amp;"¦"&amp;INDEX(_xlpm.nd,2),"")))</f>
        <v>ЩОВ-001¦QF34¦XT35</v>
      </c>
      <c r="FQ87" t="str">
        <f t="shared" si="156"/>
        <v>НБ-4¦Внешний блок кондиционирования Пом. Венткиосок</v>
      </c>
      <c r="FR87" t="str" cm="1">
        <f t="array" ref="FR87">IF(FO87="","",_xlfn.LET(_xlpm.nd,_xlfn.TEXTSPLIT(FO87,"|"),IF(COLUMNS(_xlpm.nd)&gt;2,A87&amp;"¦"&amp;INDEX(_xlpm.nd,2)&amp;"¦"&amp;INDEX(_xlpm.nd,3),"")))</f>
        <v>ЩОВ-001¦XT35¦кабель ВВГнг(А)-LS (5х4) → Внешний блок кондиционирования Пом. Венткиосок</v>
      </c>
      <c r="FS87" t="str">
        <f t="shared" si="157"/>
        <v>НБ-4¦Внешний блок кондиционирования Пом. Венткиосок</v>
      </c>
      <c r="FT87" t="str" cm="1">
        <f t="array" ref="FT87">IF(FO87="","",_xlfn.LET(_xlpm.nd,_xlfn.TEXTSPLIT(FO87,"|"),IF(COLUMNS(_xlpm.nd)&gt;3,A87&amp;"¦"&amp;INDEX(_xlpm.nd,3)&amp;"¦"&amp;INDEX(_xlpm.nd,4),"")))</f>
        <v/>
      </c>
      <c r="FU87" t="str">
        <f t="shared" si="158"/>
        <v/>
      </c>
      <c r="FV87" t="str" cm="1">
        <f t="array" ref="FV87">IF(FO87="","",_xlfn.LET(_xlpm.nd,_xlfn.TEXTSPLIT(FO87,"|"),IF(COLUMNS(_xlpm.nd)&gt;4,A87&amp;"¦"&amp;INDEX(_xlpm.nd,4)&amp;"¦"&amp;INDEX(_xlpm.nd,5),"")))</f>
        <v/>
      </c>
      <c r="FW87" t="str">
        <f t="shared" si="159"/>
        <v/>
      </c>
      <c r="FX87" t="str" cm="1">
        <f t="array" ref="FX87">IF(FO87="","",_xlfn.LET(_xlpm.nd,_xlfn.TEXTSPLIT(FO87,"|"),IF(COLUMNS(_xlpm.nd)&gt;5,A87&amp;"¦"&amp;INDEX(_xlpm.nd,5)&amp;"¦"&amp;INDEX(_xlpm.nd,6),"")))</f>
        <v/>
      </c>
      <c r="FY87" t="str">
        <f t="shared" si="160"/>
        <v/>
      </c>
      <c r="FZ87" t="str" cm="1">
        <f t="array" ref="FZ87">IF(FO87="","",_xlfn.LET(_xlpm.nd,_xlfn.TEXTSPLIT(FO87,"|"),IF(COLUMNS(_xlpm.nd)&gt;6,A87&amp;"¦"&amp;INDEX(_xlpm.nd,6)&amp;"¦"&amp;INDEX(_xlpm.nd,7),"")))</f>
        <v/>
      </c>
      <c r="GA87" t="str">
        <f t="shared" si="161"/>
        <v/>
      </c>
      <c r="GB87" t="str">
        <f t="shared" si="162"/>
        <v/>
      </c>
      <c r="GC87" t="str">
        <f t="shared" si="163"/>
        <v>QF34 → XT35</v>
      </c>
      <c r="GD87">
        <f t="shared" si="164"/>
        <v>1</v>
      </c>
      <c r="GE87">
        <f t="shared" si="165"/>
        <v>0</v>
      </c>
      <c r="GF87">
        <f t="shared" si="166"/>
        <v>0</v>
      </c>
      <c r="GG87" t="str">
        <f t="shared" si="167"/>
        <v/>
      </c>
      <c r="GH87" t="str">
        <f t="shared" si="168"/>
        <v/>
      </c>
      <c r="GI87" t="str">
        <f t="shared" si="169"/>
        <v/>
      </c>
      <c r="GJ87" t="str">
        <f t="shared" si="170"/>
        <v/>
      </c>
      <c r="GK87" t="str">
        <f>IF(D87="","",IFERROR(VLOOKUP(D87,УГО_спр,2,FALSE),IFERROR(VLOOKUP(AT87,УГО_спр,2,FALSE),IFERROR(VLOOKUP(LEFT(AT87,2),УГО_спр,2,FALSE),""))))</f>
        <v>Привод (двигатель)</v>
      </c>
      <c r="GL87" t="str">
        <f>IF(D87="","",IF(OR(GK87="",GK87=0),"BOX",IFERROR(IF(VLOOKUP(GK87,УГО_блоки,3,FALSE)&amp;""&lt;&gt;"",VLOOKUP(GK87,УГО_блоки,3,FALSE),VLOOKUP(GK87,УГО_блоки,2,FALSE)),GK87)))</f>
        <v>MOTOR</v>
      </c>
      <c r="GM87">
        <f t="shared" si="171"/>
        <v>1</v>
      </c>
      <c r="GN87">
        <f>IF(EP87="","",IF(COUNTIF(EP$3:EP87,EP87)=1,MAX(GN$2:GN86)+1,""))</f>
        <v>7</v>
      </c>
      <c r="GO87" t="str">
        <f>IF(AF87="","",IF(COUNTIF(AF$3:AF87,AF87)+COUNTIF(AG$2:AG86,AF87)+COUNTIF(AH$2:AH86,AF87)=1,MAX(GO$2:GQ86)+1,""))</f>
        <v/>
      </c>
      <c r="GP87" t="str">
        <f>IF(AG87="","",IF(COUNTIF(AF$3:AF87,AG87)+COUNTIF(AG$3:AG87,AG87)+COUNTIF(AH$2:AH86,AG87)=1,MAX(GO$2:GQ86,GO87)+1,""))</f>
        <v/>
      </c>
      <c r="GQ87" t="str">
        <f>IF(AH87="","",IF(COUNTIF(AF$3:AF87,AH87)+COUNTIF(AG$3:AG87,AH87)+COUNTIF(AH$3:AH87,AH87)=1,MAX(GO$2:GQ86,GO87,GP87)+1,""))</f>
        <v/>
      </c>
      <c r="GR87" t="str">
        <f t="shared" si="172"/>
        <v>5х4</v>
      </c>
      <c r="GS87" t="str">
        <f>IF(GR87="","",IF(COUNTIF(GR$3:GR87,GR87)=1,MAX(GS$2:GS86)+1,""))</f>
        <v/>
      </c>
      <c r="GT87" t="str">
        <f>IF(ES87="","",COUNTIF(ES$3:ES87,"?*"))</f>
        <v/>
      </c>
      <c r="GU87" t="str">
        <f>IF(OR(ES87="",EU87=""),"",IF(COUNTIFS(ES$3:ES87,"?*",EU$3:EU87,EU87)=1,MAX(GU$2:GU86)+1,""))</f>
        <v/>
      </c>
      <c r="GV87">
        <f t="shared" si="173"/>
        <v>0</v>
      </c>
      <c r="GW87">
        <f>IF(D87="","",COUNTIF(D$3:D87,"?*"))</f>
        <v>85</v>
      </c>
      <c r="GX87">
        <f>IF(EX87&lt;&gt;1,0,_xlfn.LET(_xlpm.k,MAX(IFERROR(--VLOOKUP(D87,УГО_спр,5,FALSE),0),IFERROR(--VLOOKUP(AT87,УГО_спр,5,FALSE),0),IFERROR(--VLOOKUP(LEFT(AT87,2),УГО_спр,5,FALSE),0)),IF(_xlpm.k&gt;0,_xlpm.k,IF(IFERROR(--LEFT(SUBSTITUTE(GR87,"x","х"),FIND("х",SUBSTITUTE(GR87,"x","х"))-1),3)&gt;3,Каталог!$S$9,1))))</f>
        <v>1</v>
      </c>
      <c r="GY87">
        <f t="shared" si="174"/>
        <v>2</v>
      </c>
    </row>
    <row r="88" spans="1:207" x14ac:dyDescent="0.3">
      <c r="A88" t="s">
        <v>754</v>
      </c>
      <c r="B88">
        <v>2</v>
      </c>
      <c r="C88" t="str">
        <f>IF(BD88="","",IF(BE88="вводной узел","узел ","")&amp;"л."&amp;(INT((BD88-1)/Столбцов_на_лист)+1)&amp;" / "&amp;(MOD(BD88-1,Столбцов_на_лист)+1))</f>
        <v>узел л.1 / 2</v>
      </c>
      <c r="D88" t="s">
        <v>746</v>
      </c>
      <c r="E88" s="133" t="s">
        <v>58</v>
      </c>
      <c r="G88">
        <v>0</v>
      </c>
      <c r="H88">
        <v>1</v>
      </c>
      <c r="I88">
        <v>3</v>
      </c>
      <c r="J88">
        <v>400</v>
      </c>
      <c r="K88" t="s">
        <v>551</v>
      </c>
      <c r="O88" t="s">
        <v>1298</v>
      </c>
      <c r="P88">
        <v>34</v>
      </c>
      <c r="Q88">
        <v>16</v>
      </c>
      <c r="R88">
        <v>18</v>
      </c>
      <c r="T88">
        <v>1</v>
      </c>
      <c r="U88" t="s">
        <v>11</v>
      </c>
      <c r="V88">
        <v>5</v>
      </c>
      <c r="W88">
        <v>4</v>
      </c>
      <c r="X88">
        <v>16</v>
      </c>
      <c r="AL88" t="s">
        <v>1301</v>
      </c>
      <c r="AR88" t="str">
        <f t="shared" si="88"/>
        <v/>
      </c>
      <c r="AS88" cm="1">
        <f t="array" ref="AS88">ROW()-ROW(Линии[#Headers])</f>
        <v>86</v>
      </c>
      <c r="AT88" t="str">
        <f t="shared" si="89"/>
        <v>Ввод</v>
      </c>
      <c r="AU88" t="str">
        <f t="shared" si="90"/>
        <v>1</v>
      </c>
      <c r="AV88" t="str">
        <f t="shared" si="91"/>
        <v>1</v>
      </c>
      <c r="AW88" t="str">
        <f t="shared" si="92"/>
        <v/>
      </c>
      <c r="AX88" t="str">
        <f t="shared" si="93"/>
        <v/>
      </c>
      <c r="AY88" t="str">
        <f>IF(D88="","",IF(ISERROR(SEARCH(".",D88)),IFERROR(VLOOKUP(D88,Потребители_обозначение,2,FALSE)&amp;"",""),IFERROR(IF(VLOOKUP(AT88,Потребители_обозначение,4,FALSE)=1,VLOOKUP(AT88,Потребители_обозначение,2,FALSE)&amp;" "&amp;VLOOKUP(AV88,Этаж_обозначение,2,FALSE)&amp;" Пом. №"&amp;AX88,VLOOKUP(AT88,Потребители_обозначение,2,FALSE)&amp;" Шлейф №"&amp;AV88),IFERROR(VLOOKUP(D88,Потребители_обозначение,2,FALSE),""))))</f>
        <v>Вводной кабель Шлейф №1</v>
      </c>
      <c r="AZ88" t="str">
        <f t="shared" si="94"/>
        <v>Ввод</v>
      </c>
      <c r="BA88" t="str">
        <f>IF(F88&lt;&gt;"",F88,IF(AND(D88&lt;&gt;"",D88&lt;&gt;A88,ISNUMBER(_xlfn.XMATCH(D88,Щиты[Щит]))),D88,""))</f>
        <v/>
      </c>
      <c r="BB88">
        <f>IFERROR(_xlfn.XMATCH(A88,Щиты[Щит]),0)</f>
        <v>5</v>
      </c>
      <c r="BC88">
        <f>IFERROR(N(_xlfn.XLOOKUP(A88,Щиты[Щит],Щиты[Мест под вводной узел])),15)</f>
        <v>18</v>
      </c>
      <c r="BD88">
        <f t="shared" si="95"/>
        <v>2</v>
      </c>
      <c r="BE88" t="str">
        <f t="shared" si="96"/>
        <v>вводной узел</v>
      </c>
      <c r="BF88">
        <f>IF(D88="","",IF(BA88&lt;&gt;"",IFERROR(_xlfn.XLOOKUP(BA88,Щиты[Щит],Щиты[Руст, кВт]),0),N(G88)))</f>
        <v>0</v>
      </c>
      <c r="BG88">
        <f>IF(J88&lt;&gt;"",J88,IF(D88="","",IFERROR(IF(VLOOKUP(AT88,Потребители_обозначение,8,FALSE)=0,"",VLOOKUP(AT88,Потребители_обозначение,8,FALSE)),"")))</f>
        <v>400</v>
      </c>
      <c r="BH88">
        <f>IF(I88&lt;&gt;"",I88,IF(D88="","",IFERROR(IF(VLOOKUP(AT88,Потребители_обозначение,9,FALSE)=0,"",VLOOKUP(AT88,Потребители_обозначение,9,FALSE)),"")))</f>
        <v>3</v>
      </c>
      <c r="BI88" t="str">
        <f>IF(U88&lt;&gt;"",U88,IF(D88="","",IFERROR(IF(VLOOKUP(AT88,Потребители_обозначение,6,FALSE)=0,"",VLOOKUP(AT88,Потребители_обозначение,6,FALSE)),"")))</f>
        <v>мс</v>
      </c>
      <c r="BJ88">
        <f>IF(V88&lt;&gt;"",V88,IF(D88="","",IFERROR(IF(VLOOKUP(AT88,Потребители_обозначение,7,FALSE)=0,"",VLOOKUP(AT88,Потребители_обозначение,7,FALSE)),"")))</f>
        <v>5</v>
      </c>
      <c r="BK88">
        <f>IF(W88&lt;&gt;"",W88,IF(D88="","",IFERROR(IF(VLOOKUP(AT88,Потребители_обозначение,10,FALSE)=0,"",VLOOKUP(AT88,Потребители_обозначение,10,FALSE)),"")))</f>
        <v>4</v>
      </c>
      <c r="BL88">
        <f>IFERROR(VLOOKUP(AT88,Потребители_обозначение,5,FALSE),0)</f>
        <v>1</v>
      </c>
      <c r="BM88" cm="1">
        <f t="array" ref="BM88">IF(D88="","",IF(BA88&lt;&gt;"",IFERROR(_xlfn.XLOOKUP(BA88,Щиты[Щит],Щиты[cos φ]),0.95),IF(ISNUMBER(M88),M88,IFERROR(IF(BL88=2,_xlfn.IFS(BH88=3,VLOOKUP(BF88,Справочная_двигатели,8,FALSE),BH88=1,VLOOKUP(BF88,Справочная_двигатели,10,TRUE)),IF(AND(Методика="нормы 2026",CN88="Сил"),0.8,0.95)),0.95))))</f>
        <v>0.95</v>
      </c>
      <c r="BN88" cm="1">
        <f t="array" ref="BN88">IF(D88="","",IF(BA88&lt;&gt;"",IFERROR(_xlfn.XLOOKUP(BA88,Щиты[Щит],Щиты[Iр, А]),""),IFERROR(_xlfn.IFS(BH88=1,BF88/((Uн_лин/SQRT(3))*BM88),BH88=3,BF88/(SQRT(3)*Uн_лин*BM88)),"")))</f>
        <v>0</v>
      </c>
      <c r="BO88">
        <f>IF(D88="","",IF(N(X88)=0,IFERROR(VLOOKUP(BN88,Автомат_номиналы,2,TRUE),""),X88))</f>
        <v>16</v>
      </c>
      <c r="BP88">
        <f t="shared" si="97"/>
        <v>0.92</v>
      </c>
      <c r="BQ88">
        <f>IF(ISNUMBER(Y88),Y88,К_прокл)</f>
        <v>1</v>
      </c>
      <c r="BR88">
        <f t="shared" si="98"/>
        <v>3</v>
      </c>
      <c r="BS88" cm="1">
        <f t="array" ref="BS88">IF(D88="","",IF(N(BK88)&lt;&gt;0,BK88,IFERROR(_xlfn.LET(_xlpm.need,BO88/(BP88*BQ88),_xlpm.t,CHOOSE(BR88,Iдоп_1ж,Iдоп_2ж,Iдоп_3ж),_xlpm.k,_xlfn.XMATCH(_xlpm.need,_xlpm.t,1),IF(ISNA(_xlpm.k),"Не исп",INDEX(Iдоп_S,_xlpm.k))),"Не исп")))</f>
        <v>4</v>
      </c>
      <c r="BT88">
        <f>IFERROR(VLOOKUP(BS88,Кабель_сопротивление,3,FALSE),"")</f>
        <v>2.2499999999999999E-2</v>
      </c>
      <c r="BU88">
        <f>IFERROR(VLOOKUP(BS88,Кабель_сопротивление,2,FALSE),"")</f>
        <v>9.5000000000000001E-2</v>
      </c>
      <c r="BV88">
        <f t="shared" si="99"/>
        <v>34</v>
      </c>
      <c r="BW88">
        <f>IF(D88="","",IFERROR(IF(VLOOKUP(AT88,Потребители_обозначение,4,FALSE)=1,VLOOKUP(AT88,Потребители_обозначение,3,FALSE)*(H88*2-1)+BV88+VLOOKUP(AV88,Этаж_обозначение,3,FALSE)+VLOOKUP(AV88,Этаж_обозначение,4,FALSE),VLOOKUP(AT88,Потребители_обозначение,3,FALSE)*(H88*2-1)+BV88),BV88))</f>
        <v>34</v>
      </c>
      <c r="BX88">
        <f t="shared" si="100"/>
        <v>18</v>
      </c>
      <c r="BY88">
        <f t="shared" si="101"/>
        <v>0</v>
      </c>
      <c r="BZ88">
        <f t="shared" si="102"/>
        <v>1</v>
      </c>
      <c r="CA88">
        <f t="shared" si="103"/>
        <v>0.31</v>
      </c>
      <c r="CB88">
        <f t="shared" si="104"/>
        <v>0</v>
      </c>
      <c r="CC88">
        <f>IFERROR(ROUNDUP(CB88/((Uн_лин/SQRT(3))*1000)*100,2),"")</f>
        <v>0</v>
      </c>
      <c r="CD88">
        <f>IF(ISNUMBER(CC88),CC88+IFERROR(_xlfn.XLOOKUP(A88,Щиты[Щит],Щиты[ΔU до шин, %]),0),"")</f>
        <v>0.66</v>
      </c>
      <c r="CE88">
        <f>IF(D88="","",IF(IFERROR(VLOOKUP(AT88,УГО_спр,2,FALSE),"")="Светильник",3,4)+IF(Методика="нормы 2026",MIN(0.5,MAX(0,N(BW88)-100)*0.005),0))</f>
        <v>4</v>
      </c>
      <c r="CF88" t="str">
        <f>IFERROR(VLOOKUP(BI88,Кабель_обозначение,2,FALSE),"")</f>
        <v>ВВГнг(А)-LS</v>
      </c>
      <c r="CG88" t="str">
        <f>IFERROR(IF(VLOOKUP(BI88,Кабель_обозначение,3,FALSE)=1,CF88&amp;" ("&amp;BJ88&amp;"х"&amp;BS88&amp;")",CF88),"")</f>
        <v>ВВГнг(А)-LS (5х4)</v>
      </c>
      <c r="CH88" t="str">
        <f t="shared" si="105"/>
        <v>ВВГнг(А)-LS (5х4)
L=34-0%</v>
      </c>
      <c r="CI88">
        <f>IFERROR(2*ρкз_Cu*BW88/BS88,"")</f>
        <v>0.4471</v>
      </c>
      <c r="CJ88">
        <f t="shared" si="106"/>
        <v>0.14875000000000002</v>
      </c>
      <c r="CK88" t="str">
        <f>IFERROR(IF(OR(D88="",NOT(ISNUMBER(BS88)),N(BW88)=0),"",_xlfn.XLOOKUP(A88,Щиты[Щит],Щиты[Zпетли на шинах, Ом])+CI88),"")</f>
        <v/>
      </c>
      <c r="CL88" t="str">
        <f>IF(ISNUMBER(CK88),c_min*(Uн_лин*1000/SQRT(3))/CK88,"")</f>
        <v/>
      </c>
      <c r="CM88" t="str">
        <f>IFERROR(IF(OR(D88="",NOT(ISNUMBER(BS88))),"",1.05*(Uн_лин*1000/SQRT(3))/(_xlfn.XLOOKUP(A88,Щиты[Щит],Щиты[Zmax на шинах, Ом])+CJ88)/1000),"")</f>
        <v/>
      </c>
      <c r="CN88" t="str">
        <f>IF(D88="","",IF(BA88&lt;&gt;"","Щит",IF(K88&lt;&gt;"",K88,IF(ISNUMBER(L88),"Сил",IF(IFERROR(_xlfn.XLOOKUP(AT88,Коды_код,Коды_группа)&amp;"","")="","Быт",_xlfn.XLOOKUP(AT88,Коды_код,Коды_группа)&amp;"")))))</f>
        <v>Нет</v>
      </c>
      <c r="CO88">
        <f>IF(CN88="Щит","щит",IF(CN88="","",IF(CN88="Быт",IFERROR(_xlfn.XLOOKUP(A88,Щиты[Щит],Щиты[Кс быт]),1),IF(CN88="Сил",IF(ISNUMBER(L88),L88,IF(Методика="нормы 2026",IFERROR(_xlfn.XLOOKUP(A88,Щиты[Щит],Щиты[Кс силовых (табл. 7.5)]),1),1)),IF(OR(CN88="Пост",CN88="Отоп"),1,IF(CN88="ВНГ",0.7,0))))))</f>
        <v>0</v>
      </c>
      <c r="CP88">
        <f t="shared" si="107"/>
        <v>1</v>
      </c>
      <c r="CQ88">
        <f t="shared" si="108"/>
        <v>0</v>
      </c>
      <c r="CR88">
        <f t="shared" si="109"/>
        <v>0</v>
      </c>
      <c r="CS88">
        <f t="shared" si="110"/>
        <v>0</v>
      </c>
      <c r="CT88">
        <f t="shared" si="111"/>
        <v>0</v>
      </c>
      <c r="CU88">
        <f t="shared" si="112"/>
        <v>0</v>
      </c>
      <c r="CV88">
        <f t="shared" si="113"/>
        <v>0</v>
      </c>
      <c r="CW88">
        <f t="shared" si="114"/>
        <v>0</v>
      </c>
      <c r="CX88">
        <f t="shared" si="115"/>
        <v>0</v>
      </c>
      <c r="CY88">
        <f t="shared" si="116"/>
        <v>0</v>
      </c>
      <c r="CZ88" t="str">
        <f t="shared" si="117"/>
        <v>L1,L2,L3</v>
      </c>
      <c r="DA88" cm="1">
        <f t="array" ref="DA88">IFERROR(IF(BL88=2,_xlfn.IFS(BH88=3,VLOOKUP(BF88,Справочная_двигатели,3,FALSE),BH88=1,VLOOKUP(BF88,Справочная_двигатели,5,TRUE)),0),0)</f>
        <v>0</v>
      </c>
      <c r="DB88">
        <f>IFERROR(IF(BL88=3,VLOOKUP(BF88,Справочная_ЛЭД,2,TRUE),0),0)</f>
        <v>0</v>
      </c>
      <c r="DC88">
        <f t="shared" si="118"/>
        <v>0</v>
      </c>
      <c r="DD88" t="str">
        <f t="shared" si="119"/>
        <v>L1,L2,L3</v>
      </c>
      <c r="DE88" t="str" cm="1">
        <f t="array" ref="DE88">IF(D88="","",IFERROR(INDEX({"I особая","I","II","III"},MATCH(TRIM(AA88&amp;""),{"I особая","I","II","III"},0)),"III"))</f>
        <v>III</v>
      </c>
      <c r="DF88" t="str">
        <f>IF(D88="","",IF(TRIM(AB88&amp;"")&lt;&gt;"",IF(LOWER(TRIM(AB88&amp;""))="да","да","нет"),IF(IFERROR(_xlfn.XLOOKUP(AT88,Коды_код,Коды_пожарная),"")="да","да","нет")))</f>
        <v>нет</v>
      </c>
      <c r="DG88" t="str">
        <f t="shared" si="120"/>
        <v/>
      </c>
      <c r="DH88" t="str">
        <f t="shared" si="121"/>
        <v>основная</v>
      </c>
      <c r="DI88">
        <f t="shared" si="122"/>
        <v>1</v>
      </c>
      <c r="DJ88" t="str" cm="1">
        <f t="array" ref="DJ88">IF(D88="","",_xlfn.LET(_xlpm.t,IFERROR(_xlfn.XLOOKUP(1,(Шины[Шина]=DH88)*(((Шины[Щит]=A88)+(Шины[Щит]=""))&gt;0),Шины[Тип]),"")&amp;"",IF(_xlpm.t&lt;&gt;"",_xlpm.t,IF(ISNUMBER(SEARCH("ИБП",DH88)),"ИБП",IF(ISNUMBER(SEARCH("ДГУ",DH88)),"ДГУ","Ввод "&amp;DI88)))))</f>
        <v>Ввод 1</v>
      </c>
      <c r="DK88" t="str">
        <f t="shared" si="123"/>
        <v>Ввод 1</v>
      </c>
      <c r="DL88" t="str">
        <f>IF(D88="","",IF(OR(DJ88="ИБП",DJ88="ДГУ"),"I особая",IF(DJ88="Одиночная","III",_xlfn.XLOOKUP(A88,Щиты[Щит],Щиты[Категория шины «Ввод»],"III"))))</f>
        <v>II</v>
      </c>
      <c r="DM88">
        <f>IF(D88="",0,IFERROR(MATCH(DE88,{"III","II","I","I особая"},0),1))</f>
        <v>1</v>
      </c>
      <c r="DN88">
        <f t="shared" si="124"/>
        <v>1</v>
      </c>
      <c r="DO88" t="str">
        <f>IF(D88="","",IF(DM88&gt;IFERROR(MATCH(DL88,{"III","II","I","I особая"},0),1),"НЕ ОБЕСПЕЧЕНА","ОК"))</f>
        <v>ОК</v>
      </c>
      <c r="DP88" t="str">
        <f>IF(A88="","",_xlfn.XLOOKUP(A88,Щиты[Щит],Щиты[Путь],""))</f>
        <v>|ГРЩ-ЖД|ЩОВ-002|</v>
      </c>
      <c r="DQ88" t="str">
        <f>IF(D88="","",IF(Z88&lt;&gt;"",Z88,IF(IFERROR(_xlfn.XLOOKUP(AT88,Коды_код,Коды_вид)&amp;"","")="","Прочее",_xlfn.XLOOKUP(AT88,Коды_код,Коды_вид)&amp;"")))</f>
        <v>Прочее</v>
      </c>
      <c r="DR88">
        <f>IF(BD88="","",INT((BD88-1)/Столбцов_на_лист)+1)</f>
        <v>1</v>
      </c>
      <c r="DS88" t="str">
        <f t="shared" si="125"/>
        <v>ВВГнг(А)-LS (5х4) L=34-0%</v>
      </c>
      <c r="DT88">
        <f t="shared" si="126"/>
        <v>0</v>
      </c>
      <c r="DU88">
        <f t="shared" si="127"/>
        <v>0</v>
      </c>
      <c r="DV88">
        <f t="shared" si="128"/>
        <v>3</v>
      </c>
      <c r="DW88">
        <f>IF(AT88="",0,_xlfn.LET(_xlpm.v,IFERROR(VLOOKUP(D88,УГО_спр,3,FALSE),IFERROR(VLOOKUP(AT88,УГО_спр,3,FALSE),IFERROR(VLOOKUP(LEFT(AT88,2),УГО_спр,3,FALSE),""))),IF(_xlpm.v="да",30,IF(ISNUMBER(_xlpm.v),_xlpm.v,0))))</f>
        <v>0</v>
      </c>
      <c r="DX88">
        <f t="shared" si="129"/>
        <v>0</v>
      </c>
      <c r="DY88" t="str">
        <f>IF(BD88="","",IF(AD88&lt;&gt;"",COUNTIFS(A$3:A88,A88,AD$3:AD88,"?*"),IF(OR(OR(AS88=1,A88&lt;&gt;A87),AL88="вручную"),"",IF(AS88=1,"",DZ87))))</f>
        <v/>
      </c>
      <c r="DZ88" t="str">
        <f t="shared" si="130"/>
        <v/>
      </c>
      <c r="EA88">
        <f>IF(D88="",0,MAX(IFERROR(--X88,0),IFERROR(--VLOOKUP(D88,УГО_спр,4,FALSE),IFERROR(--VLOOKUP(AT88,УГО_спр,4,FALSE),IFERROR(--VLOOKUP(LEFT(AT88,2),УГО_спр,4,FALSE),0)))))</f>
        <v>16</v>
      </c>
      <c r="EB88">
        <f>IF(D88="","",IFERROR(LOOKUP(INDEX(CHOOSE(BR88,Iдоп_1ж,Iдоп_2ж,Iдоп_3ж),MATCH(BS88,Iдоп_S,0))*BP88*BQ88,{6,10,16,20,25,32,40,50,63,80,100,125,160,200,250,315,400,500,630}),""))</f>
        <v>32</v>
      </c>
      <c r="EC88" t="str">
        <f>IF(AD88="","",SUMIFS(Линии[_Ток схемы],Линии[_гр.],DY88,Линии[Щит],A88,Линии[_в кабель выше],0))</f>
        <v/>
      </c>
      <c r="ED88" t="str">
        <f>IF(AD88="","",IFERROR(VLOOKUP(EC88,Автомат_номиналы,2,TRUE),""))</f>
        <v/>
      </c>
      <c r="EE88" t="str">
        <f>IF(AD88="","",MAX(N(ED88),_xlfn.MAXIFS(Линии[_мин. по типу],Линии[_гр.],DY88,Линии[Щит],A88)))</f>
        <v/>
      </c>
      <c r="EF88" t="str">
        <f>IF(AD88="","",_xlfn.MINIFS(Линии[_макс. автомат по кабелю],Линии[_гр.],DY88,Линии[Щит],A88))</f>
        <v/>
      </c>
      <c r="EG88" t="str">
        <f>IF(AD88="","",MAX(1,_xlfn.MAXIFS(Линии[_фаз],Линии[_гр.],DY88,Линии[Щит],A88)))</f>
        <v/>
      </c>
      <c r="EH88" t="str">
        <f>IF(AD88="","",IF(AND(AD88&lt;&gt;"авто",AD88&lt;&gt;"+"),IF(ISNUMBER(SEARCH("мА",AD88)),IFERROR(--TRIM(RIGHT(SUBSTITUTE(LEFT(AD88,SEARCH("мА",AD88)-1)," ",REPT(" ",9)),6)),30),0),IF(AE88="нет",0,IF(ISNUMBER(AE88),AE88,IF(AE88="да",30,_xlfn.MINIFS(Линии[_дифзащита по коду, мА],Линии[_гр.],DY88,Линии[Щит],A88,Линии[_дифзащита по коду, мА],"&gt;0"))))))</f>
        <v/>
      </c>
      <c r="EI88" t="str">
        <f t="shared" si="131"/>
        <v/>
      </c>
      <c r="EJ88" t="str">
        <f t="shared" si="132"/>
        <v/>
      </c>
      <c r="EK88" t="str">
        <f t="shared" si="133"/>
        <v/>
      </c>
      <c r="EL88" t="str">
        <f t="shared" si="134"/>
        <v/>
      </c>
      <c r="EM88">
        <f t="shared" si="135"/>
        <v>0</v>
      </c>
      <c r="EN88" t="str">
        <f>IF(AD88="","",IF(EM88=1,MAX(EE88,Мин_автомат_БП),EE88))</f>
        <v/>
      </c>
      <c r="EO88" t="str">
        <f t="shared" si="136"/>
        <v/>
      </c>
      <c r="EP88" t="str">
        <f t="shared" si="137"/>
        <v/>
      </c>
      <c r="EQ88" t="str">
        <f t="shared" si="138"/>
        <v/>
      </c>
      <c r="ER88" t="str">
        <f>IF(OR(AI88="",AI88="-"),"",IFERROR(VLOOKUP(AI88,Модули_спр,2,FALSE),"R"))</f>
        <v/>
      </c>
      <c r="ES88" t="str">
        <f>IF(ER88="","",ER88&amp;"."&amp;COUNTIFS(A$3:A88,A88,ER$3:ER88,ER88))</f>
        <v/>
      </c>
      <c r="ET88" t="str">
        <f t="shared" si="139"/>
        <v/>
      </c>
      <c r="EU88" t="str">
        <f t="shared" si="140"/>
        <v/>
      </c>
      <c r="EV88" t="str">
        <f t="shared" si="141"/>
        <v/>
      </c>
      <c r="EW88" t="str">
        <f t="shared" si="142"/>
        <v/>
      </c>
      <c r="EX88">
        <f t="shared" si="143"/>
        <v>1</v>
      </c>
      <c r="EY88" t="str">
        <f>IF(AK88="нет","",IF(AK88&lt;&gt;"",AK88,IF(EX88=1,"XT"&amp;COUNTIFS(A$3:A88,A88,EX$3:EX88,1),"")))</f>
        <v>XT1</v>
      </c>
      <c r="EZ88" t="str">
        <f t="shared" si="144"/>
        <v/>
      </c>
      <c r="FA88" t="str">
        <f t="shared" si="145"/>
        <v/>
      </c>
      <c r="FB88" t="str">
        <f t="shared" si="146"/>
        <v/>
      </c>
      <c r="FC88" t="str">
        <f>IF(OR(EV88="",ET88=""),"",IF(EV88&gt;IFERROR(VLOOKUP(EU88,Модули_спр,3,FALSE),99),"ЛИШНИЙ КАНАЛ",IF(AND(AJ88&lt;&gt;"=",COUNTIFS(Линии[_модуль гр.],ET88,Линии[Канал (итог)],EV88,Линии[Канал],"&lt;&gt;=",Линии[Щит],A88)&gt;1),"ДУБЛЬ КАНАЛА","")))</f>
        <v/>
      </c>
      <c r="FD88" t="str">
        <f t="shared" si="147"/>
        <v/>
      </c>
      <c r="FE88" t="str">
        <f t="shared" si="148"/>
        <v/>
      </c>
      <c r="FF88" t="str">
        <f t="shared" si="149"/>
        <v/>
      </c>
      <c r="FG88" t="str">
        <f t="shared" si="150"/>
        <v/>
      </c>
      <c r="FH88" t="str">
        <f t="shared" si="151"/>
        <v/>
      </c>
      <c r="FI88">
        <f t="shared" si="152"/>
        <v>10</v>
      </c>
      <c r="FJ88" t="str">
        <f t="shared" si="153"/>
        <v/>
      </c>
      <c r="FK88" t="str">
        <f>IF(AND(D88="",EZ88=""),"",_xlfn.TEXTJOIN("; ",TRUE,IF(AND(D88&lt;&gt;"",DD88=""),"нет фазы",""),IF(AND(D88&lt;&gt;"",N(DT88)=0,CN88&lt;&gt;"Нет"),"нет мощности",""),IF(AND(EY88&lt;&gt;"",COUNTIFS(Линии[Щит],A88,Линии[Клемма (итог)],EY88)&gt;1),"дубль клеммы "&amp;EY88,""),IF(AND(FB88&lt;&gt;"",FB88&lt;&gt;"ok"),FB88,""),IF(FC88&lt;&gt;"",FC88,""),IF(AND(ISNUMBER(SEARCH("(5х",DS88)),N(DV88)=1),"5 жил на 1 фазе",""),IF(AND(AT88="R",AD88&lt;&gt;"",OR(N(EH88)=0,N(EH88)&gt;30)),"розетка без дифзащиты до 30 мА",""),IFERROR(IF(AND(ISNUMBER(CD88),CD88&gt;CE88),"потери "&amp;FIXED(CD88,1)&amp;" % &gt; "&amp;CE88&amp;" %",""),""),IFERROR(IF(LEFT(FJ88,4)="мало","Iкз мало — отключение &gt; 0,4 с",""),""),IF(AND(D88&lt;&gt;"",BD88=""),"не на схеме","")))</f>
        <v/>
      </c>
      <c r="FL88" t="str">
        <f>IF(AD88="","",_xlfn.LET(_xlpm.t,IFERROR(_xlfn.XLOOKUP(EP88,Каталог!$U$4:$U$500,Каталог!$G$4:$G$500),""),_xlpm.k,SEARCH("кА",_xlpm.t),IFERROR(--TRIM(RIGHT(SUBSTITUTE(MID(_xlpm.t,MAX(1,_xlpm.k-4),_xlpm.k-MAX(1,_xlpm.k-4))," ",REPT(" ",9)),5)),"")))</f>
        <v/>
      </c>
      <c r="FM88" t="str">
        <f>IF(OR(FL88="",AD88=""),"",IF(_xlfn.XLOOKUP(A88,Щиты[Щит],Щиты[Iкз max на шинах, кА],"")="","",IF(FL88&lt;_xlfn.XLOOKUP(A88,Щиты[Щит],Щиты[Iкз max на шинах, кА]),"Icu "&amp;FL88&amp;" кА &lt; Iкз max","ok")))</f>
        <v/>
      </c>
      <c r="FN88" t="str">
        <f t="shared" si="154"/>
        <v/>
      </c>
      <c r="FO88" t="str">
        <f t="shared" si="155"/>
        <v/>
      </c>
      <c r="FP88" t="str" cm="1">
        <f t="array" ref="FP88">IF(FO88="","",_xlfn.LET(_xlpm.nd,_xlfn.TEXTSPLIT(FO88,"|"),IF(COLUMNS(_xlpm.nd)&gt;1,A88&amp;"¦"&amp;INDEX(_xlpm.nd,1)&amp;"¦"&amp;INDEX(_xlpm.nd,2),"")))</f>
        <v/>
      </c>
      <c r="FQ88" t="str">
        <f t="shared" si="156"/>
        <v/>
      </c>
      <c r="FR88" t="str" cm="1">
        <f t="array" ref="FR88">IF(FO88="","",_xlfn.LET(_xlpm.nd,_xlfn.TEXTSPLIT(FO88,"|"),IF(COLUMNS(_xlpm.nd)&gt;2,A88&amp;"¦"&amp;INDEX(_xlpm.nd,2)&amp;"¦"&amp;INDEX(_xlpm.nd,3),"")))</f>
        <v/>
      </c>
      <c r="FS88" t="str">
        <f t="shared" si="157"/>
        <v/>
      </c>
      <c r="FT88" t="str" cm="1">
        <f t="array" ref="FT88">IF(FO88="","",_xlfn.LET(_xlpm.nd,_xlfn.TEXTSPLIT(FO88,"|"),IF(COLUMNS(_xlpm.nd)&gt;3,A88&amp;"¦"&amp;INDEX(_xlpm.nd,3)&amp;"¦"&amp;INDEX(_xlpm.nd,4),"")))</f>
        <v/>
      </c>
      <c r="FU88" t="str">
        <f t="shared" si="158"/>
        <v/>
      </c>
      <c r="FV88" t="str" cm="1">
        <f t="array" ref="FV88">IF(FO88="","",_xlfn.LET(_xlpm.nd,_xlfn.TEXTSPLIT(FO88,"|"),IF(COLUMNS(_xlpm.nd)&gt;4,A88&amp;"¦"&amp;INDEX(_xlpm.nd,4)&amp;"¦"&amp;INDEX(_xlpm.nd,5),"")))</f>
        <v/>
      </c>
      <c r="FW88" t="str">
        <f t="shared" si="159"/>
        <v/>
      </c>
      <c r="FX88" t="str" cm="1">
        <f t="array" ref="FX88">IF(FO88="","",_xlfn.LET(_xlpm.nd,_xlfn.TEXTSPLIT(FO88,"|"),IF(COLUMNS(_xlpm.nd)&gt;5,A88&amp;"¦"&amp;INDEX(_xlpm.nd,5)&amp;"¦"&amp;INDEX(_xlpm.nd,6),"")))</f>
        <v/>
      </c>
      <c r="FY88" t="str">
        <f t="shared" si="160"/>
        <v/>
      </c>
      <c r="FZ88" t="str" cm="1">
        <f t="array" ref="FZ88">IF(FO88="","",_xlfn.LET(_xlpm.nd,_xlfn.TEXTSPLIT(FO88,"|"),IF(COLUMNS(_xlpm.nd)&gt;6,A88&amp;"¦"&amp;INDEX(_xlpm.nd,6)&amp;"¦"&amp;INDEX(_xlpm.nd,7),"")))</f>
        <v/>
      </c>
      <c r="GA88" t="str">
        <f t="shared" si="161"/>
        <v/>
      </c>
      <c r="GB88" t="str">
        <f t="shared" si="162"/>
        <v/>
      </c>
      <c r="GC88" t="str">
        <f t="shared" si="163"/>
        <v>XT1</v>
      </c>
      <c r="GD88">
        <f t="shared" si="164"/>
        <v>0</v>
      </c>
      <c r="GE88">
        <f t="shared" si="165"/>
        <v>0</v>
      </c>
      <c r="GF88">
        <f t="shared" si="166"/>
        <v>0</v>
      </c>
      <c r="GG88" t="str">
        <f t="shared" si="167"/>
        <v/>
      </c>
      <c r="GH88" t="str">
        <f t="shared" si="168"/>
        <v/>
      </c>
      <c r="GI88" t="str">
        <f t="shared" si="169"/>
        <v/>
      </c>
      <c r="GJ88" t="str">
        <f t="shared" si="170"/>
        <v/>
      </c>
      <c r="GK88">
        <f>IF(D88="","",IFERROR(VLOOKUP(D88,УГО_спр,2,FALSE),IFERROR(VLOOKUP(AT88,УГО_спр,2,FALSE),IFERROR(VLOOKUP(LEFT(AT88,2),УГО_спр,2,FALSE),""))))</f>
        <v>0</v>
      </c>
      <c r="GL88" t="str">
        <f>IF(D88="","",IF(OR(GK88="",GK88=0),"BOX",IFERROR(IF(VLOOKUP(GK88,УГО_блоки,3,FALSE)&amp;""&lt;&gt;"",VLOOKUP(GK88,УГО_блоки,3,FALSE),VLOOKUP(GK88,УГО_блоки,2,FALSE)),GK88)))</f>
        <v>BOX</v>
      </c>
      <c r="GM88">
        <f t="shared" si="171"/>
        <v>1</v>
      </c>
      <c r="GN88" t="str">
        <f>IF(EP88="","",IF(COUNTIF(EP$3:EP88,EP88)=1,MAX(GN$2:GN87)+1,""))</f>
        <v/>
      </c>
      <c r="GO88" t="str">
        <f>IF(AF88="","",IF(COUNTIF(AF$3:AF88,AF88)+COUNTIF(AG$2:AG87,AF88)+COUNTIF(AH$2:AH87,AF88)=1,MAX(GO$2:GQ87)+1,""))</f>
        <v/>
      </c>
      <c r="GP88" t="str">
        <f>IF(AG88="","",IF(COUNTIF(AF$3:AF88,AG88)+COUNTIF(AG$3:AG88,AG88)+COUNTIF(AH$2:AH87,AG88)=1,MAX(GO$2:GQ87,GO88)+1,""))</f>
        <v/>
      </c>
      <c r="GQ88" t="str">
        <f>IF(AH88="","",IF(COUNTIF(AF$3:AF88,AH88)+COUNTIF(AG$3:AG88,AH88)+COUNTIF(AH$3:AH88,AH88)=1,MAX(GO$2:GQ87,GO88,GP88)+1,""))</f>
        <v/>
      </c>
      <c r="GR88" t="str">
        <f t="shared" si="172"/>
        <v>5х4</v>
      </c>
      <c r="GS88" t="str">
        <f>IF(GR88="","",IF(COUNTIF(GR$3:GR88,GR88)=1,MAX(GS$2:GS87)+1,""))</f>
        <v/>
      </c>
      <c r="GT88" t="str">
        <f>IF(ES88="","",COUNTIF(ES$3:ES88,"?*"))</f>
        <v/>
      </c>
      <c r="GU88" t="str">
        <f>IF(OR(ES88="",EU88=""),"",IF(COUNTIFS(ES$3:ES88,"?*",EU$3:EU88,EU88)=1,MAX(GU$2:GU87)+1,""))</f>
        <v/>
      </c>
      <c r="GV88">
        <f t="shared" si="173"/>
        <v>0</v>
      </c>
      <c r="GW88">
        <f>IF(D88="","",COUNTIF(D$3:D88,"?*"))</f>
        <v>86</v>
      </c>
      <c r="GX88">
        <f>IF(EX88&lt;&gt;1,0,_xlfn.LET(_xlpm.k,MAX(IFERROR(--VLOOKUP(D88,УГО_спр,5,FALSE),0),IFERROR(--VLOOKUP(AT88,УГО_спр,5,FALSE),0),IFERROR(--VLOOKUP(LEFT(AT88,2),УГО_спр,5,FALSE),0)),IF(_xlpm.k&gt;0,_xlpm.k,IF(IFERROR(--LEFT(SUBSTITUTE(GR88,"x","х"),FIND("х",SUBSTITUTE(GR88,"x","х"))-1),3)&gt;3,Каталог!$S$9,1))))</f>
        <v>1</v>
      </c>
      <c r="GY88">
        <f t="shared" si="174"/>
        <v>2</v>
      </c>
    </row>
    <row r="89" spans="1:207" x14ac:dyDescent="0.3">
      <c r="A89" t="s">
        <v>754</v>
      </c>
      <c r="B89">
        <v>19</v>
      </c>
      <c r="C89" t="str">
        <f>IF(BD89="","",IF(BE89="вводной узел","узел ","")&amp;"л."&amp;(INT((BD89-1)/Столбцов_на_лист)+1)&amp;" / "&amp;(MOD(BD89-1,Столбцов_на_лист)+1))</f>
        <v>л.2 / 2</v>
      </c>
      <c r="D89" t="s">
        <v>1366</v>
      </c>
      <c r="E89" s="133" t="s">
        <v>1367</v>
      </c>
      <c r="G89">
        <v>0.55000000000000004</v>
      </c>
      <c r="H89">
        <v>1</v>
      </c>
      <c r="I89">
        <v>1</v>
      </c>
      <c r="J89">
        <v>230</v>
      </c>
      <c r="K89" t="s">
        <v>602</v>
      </c>
      <c r="L89">
        <v>0.5</v>
      </c>
      <c r="O89">
        <v>1</v>
      </c>
      <c r="P89">
        <v>19</v>
      </c>
      <c r="Q89">
        <v>0</v>
      </c>
      <c r="R89">
        <v>23</v>
      </c>
      <c r="T89">
        <v>1</v>
      </c>
      <c r="U89" t="s">
        <v>11</v>
      </c>
      <c r="V89">
        <v>3</v>
      </c>
      <c r="W89">
        <v>1.5</v>
      </c>
      <c r="X89">
        <v>10</v>
      </c>
      <c r="Z89" t="s">
        <v>584</v>
      </c>
      <c r="AA89" t="s">
        <v>818</v>
      </c>
      <c r="AD89" t="s">
        <v>517</v>
      </c>
      <c r="AK89" t="s">
        <v>488</v>
      </c>
      <c r="AR89" t="str">
        <f t="shared" si="88"/>
        <v/>
      </c>
      <c r="AS89" cm="1">
        <f t="array" ref="AS89">ROW()-ROW(Линии[#Headers])</f>
        <v>87</v>
      </c>
      <c r="AT89" t="str">
        <f t="shared" si="89"/>
        <v>В</v>
      </c>
      <c r="AU89" t="str">
        <f t="shared" si="90"/>
        <v>7</v>
      </c>
      <c r="AV89" t="str">
        <f t="shared" si="91"/>
        <v>7</v>
      </c>
      <c r="AW89" t="str">
        <f t="shared" si="92"/>
        <v/>
      </c>
      <c r="AX89" t="str">
        <f t="shared" si="93"/>
        <v/>
      </c>
      <c r="AY89" t="str">
        <f>IF(D89="","",IF(ISERROR(SEARCH(".",D89)),IFERROR(VLOOKUP(D89,Потребители_обозначение,2,FALSE)&amp;"",""),IFERROR(IF(VLOOKUP(AT89,Потребители_обозначение,4,FALSE)=1,VLOOKUP(AT89,Потребители_обозначение,2,FALSE)&amp;" "&amp;VLOOKUP(AV89,Этаж_обозначение,2,FALSE)&amp;" Пом. №"&amp;AX89,VLOOKUP(AT89,Потребители_обозначение,2,FALSE)&amp;" Шлейф №"&amp;AV89),IFERROR(VLOOKUP(D89,Потребители_обозначение,2,FALSE),""))))</f>
        <v>Вытяжная установка Шлейф №7</v>
      </c>
      <c r="AZ89" t="str">
        <f t="shared" si="94"/>
        <v>Вытяжная установка Шлейф Подвальный этаж Пом. №003Т</v>
      </c>
      <c r="BA89" t="str">
        <f>IF(F89&lt;&gt;"",F89,IF(AND(D89&lt;&gt;"",D89&lt;&gt;A89,ISNUMBER(_xlfn.XMATCH(D89,Щиты[Щит]))),D89,""))</f>
        <v/>
      </c>
      <c r="BB89">
        <f>IFERROR(_xlfn.XMATCH(A89,Щиты[Щит]),0)</f>
        <v>5</v>
      </c>
      <c r="BC89">
        <f>IFERROR(N(_xlfn.XLOOKUP(A89,Щиты[Щит],Щиты[Мест под вводной узел])),15)</f>
        <v>18</v>
      </c>
      <c r="BD89">
        <f t="shared" si="95"/>
        <v>19</v>
      </c>
      <c r="BE89" t="str">
        <f t="shared" si="96"/>
        <v>линии</v>
      </c>
      <c r="BF89">
        <f>IF(D89="","",IF(BA89&lt;&gt;"",IFERROR(_xlfn.XLOOKUP(BA89,Щиты[Щит],Щиты[Руст, кВт]),0),N(G89)))</f>
        <v>0.55000000000000004</v>
      </c>
      <c r="BG89">
        <f>IF(J89&lt;&gt;"",J89,IF(D89="","",IFERROR(IF(VLOOKUP(AT89,Потребители_обозначение,8,FALSE)=0,"",VLOOKUP(AT89,Потребители_обозначение,8,FALSE)),"")))</f>
        <v>230</v>
      </c>
      <c r="BH89">
        <f>IF(I89&lt;&gt;"",I89,IF(D89="","",IFERROR(IF(VLOOKUP(AT89,Потребители_обозначение,9,FALSE)=0,"",VLOOKUP(AT89,Потребители_обозначение,9,FALSE)),"")))</f>
        <v>1</v>
      </c>
      <c r="BI89" t="str">
        <f>IF(U89&lt;&gt;"",U89,IF(D89="","",IFERROR(IF(VLOOKUP(AT89,Потребители_обозначение,6,FALSE)=0,"",VLOOKUP(AT89,Потребители_обозначение,6,FALSE)),"")))</f>
        <v>мс</v>
      </c>
      <c r="BJ89">
        <f>IF(V89&lt;&gt;"",V89,IF(D89="","",IFERROR(IF(VLOOKUP(AT89,Потребители_обозначение,7,FALSE)=0,"",VLOOKUP(AT89,Потребители_обозначение,7,FALSE)),"")))</f>
        <v>3</v>
      </c>
      <c r="BK89">
        <f>IF(W89&lt;&gt;"",W89,IF(D89="","",IFERROR(IF(VLOOKUP(AT89,Потребители_обозначение,10,FALSE)=0,"",VLOOKUP(AT89,Потребители_обозначение,10,FALSE)),"")))</f>
        <v>1.5</v>
      </c>
      <c r="BL89">
        <f>IFERROR(VLOOKUP(AT89,Потребители_обозначение,5,FALSE),0)</f>
        <v>1</v>
      </c>
      <c r="BM89" cm="1">
        <f t="array" ref="BM89">IF(D89="","",IF(BA89&lt;&gt;"",IFERROR(_xlfn.XLOOKUP(BA89,Щиты[Щит],Щиты[cos φ]),0.95),IF(ISNUMBER(M89),M89,IFERROR(IF(BL89=2,_xlfn.IFS(BH89=3,VLOOKUP(BF89,Справочная_двигатели,8,FALSE),BH89=1,VLOOKUP(BF89,Справочная_двигатели,10,TRUE)),IF(AND(Методика="нормы 2026",CN89="Сил"),0.8,0.95)),0.95))))</f>
        <v>0.95</v>
      </c>
      <c r="BN89" cm="1">
        <f t="array" ref="BN89">IF(D89="","",IF(BA89&lt;&gt;"",IFERROR(_xlfn.XLOOKUP(BA89,Щиты[Щит],Щиты[Iр, А]),""),IFERROR(_xlfn.IFS(BH89=1,BF89/((Uн_лин/SQRT(3))*BM89),BH89=3,BF89/(SQRT(3)*Uн_лин*BM89)),"")))</f>
        <v>2.5069156425339014</v>
      </c>
      <c r="BO89">
        <f>IF(D89="","",IF(N(X89)=0,IFERROR(VLOOKUP(BN89,Автомат_номиналы,2,TRUE),""),X89))</f>
        <v>10</v>
      </c>
      <c r="BP89">
        <f t="shared" si="97"/>
        <v>1</v>
      </c>
      <c r="BQ89">
        <f>IF(ISNUMBER(Y89),Y89,К_прокл)</f>
        <v>1</v>
      </c>
      <c r="BR89">
        <f t="shared" si="98"/>
        <v>2</v>
      </c>
      <c r="BS89" cm="1">
        <f t="array" ref="BS89">IF(D89="","",IF(N(BK89)&lt;&gt;0,BK89,IFERROR(_xlfn.LET(_xlpm.need,BO89/(BP89*BQ89),_xlpm.t,CHOOSE(BR89,Iдоп_1ж,Iдоп_2ж,Iдоп_3ж),_xlpm.k,_xlfn.XMATCH(_xlpm.need,_xlpm.t,1),IF(ISNA(_xlpm.k),"Не исп",INDEX(Iдоп_S,_xlpm.k))),"Не исп")))</f>
        <v>1.5</v>
      </c>
      <c r="BT89">
        <f>IFERROR(VLOOKUP(BS89,Кабель_сопротивление,3,FALSE),"")</f>
        <v>2.2499999999999999E-2</v>
      </c>
      <c r="BU89">
        <f>IFERROR(VLOOKUP(BS89,Кабель_сопротивление,2,FALSE),"")</f>
        <v>0.11</v>
      </c>
      <c r="BV89">
        <f t="shared" si="99"/>
        <v>19</v>
      </c>
      <c r="BW89">
        <f>IF(D89="","",IFERROR(IF(VLOOKUP(AT89,Потребители_обозначение,4,FALSE)=1,VLOOKUP(AT89,Потребители_обозначение,3,FALSE)*(H89*2-1)+BV89+VLOOKUP(AV89,Этаж_обозначение,3,FALSE)+VLOOKUP(AV89,Этаж_обозначение,4,FALSE),VLOOKUP(AT89,Потребители_обозначение,3,FALSE)*(H89*2-1)+BV89),BV89))</f>
        <v>23</v>
      </c>
      <c r="BX89">
        <f t="shared" si="100"/>
        <v>23</v>
      </c>
      <c r="BY89">
        <f t="shared" si="101"/>
        <v>0</v>
      </c>
      <c r="BZ89">
        <f t="shared" si="102"/>
        <v>2</v>
      </c>
      <c r="CA89">
        <f t="shared" si="103"/>
        <v>0.31</v>
      </c>
      <c r="CB89">
        <f t="shared" si="104"/>
        <v>1.647215551557851</v>
      </c>
      <c r="CC89">
        <f>IFERROR(ROUNDUP(CB89/((Uн_лин/SQRT(3))*1000)*100,2),"")</f>
        <v>0.72</v>
      </c>
      <c r="CD89">
        <f>IF(ISNUMBER(CC89),CC89+IFERROR(_xlfn.XLOOKUP(A89,Щиты[Щит],Щиты[ΔU до шин, %]),0),"")</f>
        <v>1.38</v>
      </c>
      <c r="CE89">
        <f>IF(D89="","",IF(IFERROR(VLOOKUP(AT89,УГО_спр,2,FALSE),"")="Светильник",3,4)+IF(Методика="нормы 2026",MIN(0.5,MAX(0,N(BW89)-100)*0.005),0))</f>
        <v>4</v>
      </c>
      <c r="CF89" t="str">
        <f>IFERROR(VLOOKUP(BI89,Кабель_обозначение,2,FALSE),"")</f>
        <v>ВВГнг(А)-LS</v>
      </c>
      <c r="CG89" t="str">
        <f>IFERROR(IF(VLOOKUP(BI89,Кабель_обозначение,3,FALSE)=1,CF89&amp;" ("&amp;BJ89&amp;"х"&amp;BS89&amp;")",CF89),"")</f>
        <v>ВВГнг(А)-LS (3х1,5)</v>
      </c>
      <c r="CH89" t="str">
        <f t="shared" si="105"/>
        <v>ВВГнг(А)-LS (3х1,5)
L=23-0,72%</v>
      </c>
      <c r="CI89">
        <f>IFERROR(2*ρкз_Cu*BW89/BS89,"")</f>
        <v>0.80653333333333332</v>
      </c>
      <c r="CJ89">
        <f t="shared" si="106"/>
        <v>0.26833333333333337</v>
      </c>
      <c r="CK89" t="str">
        <f>IFERROR(IF(OR(D89="",NOT(ISNUMBER(BS89)),N(BW89)=0),"",_xlfn.XLOOKUP(A89,Щиты[Щит],Щиты[Zпетли на шинах, Ом])+CI89),"")</f>
        <v/>
      </c>
      <c r="CL89" t="str">
        <f>IF(ISNUMBER(CK89),c_min*(Uн_лин*1000/SQRT(3))/CK89,"")</f>
        <v/>
      </c>
      <c r="CM89" t="str">
        <f>IFERROR(IF(OR(D89="",NOT(ISNUMBER(BS89))),"",1.05*(Uн_лин*1000/SQRT(3))/(_xlfn.XLOOKUP(A89,Щиты[Щит],Щиты[Zmax на шинах, Ом])+CJ89)/1000),"")</f>
        <v/>
      </c>
      <c r="CN89" t="str">
        <f>IF(D89="","",IF(BA89&lt;&gt;"","Щит",IF(K89&lt;&gt;"",K89,IF(ISNUMBER(L89),"Сил",IF(IFERROR(_xlfn.XLOOKUP(AT89,Коды_код,Коды_группа)&amp;"","")="","Быт",_xlfn.XLOOKUP(AT89,Коды_код,Коды_группа)&amp;"")))))</f>
        <v>Сил</v>
      </c>
      <c r="CO89">
        <f>IF(CN89="Щит","щит",IF(CN89="","",IF(CN89="Быт",IFERROR(_xlfn.XLOOKUP(A89,Щиты[Щит],Щиты[Кс быт]),1),IF(CN89="Сил",IF(ISNUMBER(L89),L89,IF(Методика="нормы 2026",IFERROR(_xlfn.XLOOKUP(A89,Щиты[Щит],Щиты[Кс силовых (табл. 7.5)]),1),1)),IF(OR(CN89="Пост",CN89="Отоп"),1,IF(CN89="ВНГ",0.7,0))))))</f>
        <v>0.5</v>
      </c>
      <c r="CP89">
        <f t="shared" si="107"/>
        <v>1</v>
      </c>
      <c r="CQ89">
        <f t="shared" si="108"/>
        <v>0.55000000000000004</v>
      </c>
      <c r="CR89">
        <f t="shared" si="109"/>
        <v>0</v>
      </c>
      <c r="CS89">
        <f t="shared" si="110"/>
        <v>0.27500000000000002</v>
      </c>
      <c r="CT89">
        <f t="shared" si="111"/>
        <v>0</v>
      </c>
      <c r="CU89">
        <f t="shared" si="112"/>
        <v>0</v>
      </c>
      <c r="CV89">
        <f t="shared" si="113"/>
        <v>0</v>
      </c>
      <c r="CW89">
        <f t="shared" si="114"/>
        <v>0.55000000000000004</v>
      </c>
      <c r="CX89">
        <f t="shared" si="115"/>
        <v>0.52249999999999996</v>
      </c>
      <c r="CY89">
        <f t="shared" si="116"/>
        <v>1</v>
      </c>
      <c r="CZ89" t="str">
        <f t="shared" si="117"/>
        <v>L1</v>
      </c>
      <c r="DA89" cm="1">
        <f t="array" ref="DA89">IFERROR(IF(BL89=2,_xlfn.IFS(BH89=3,VLOOKUP(BF89,Справочная_двигатели,3,FALSE),BH89=1,VLOOKUP(BF89,Справочная_двигатели,5,TRUE)),0),0)</f>
        <v>0</v>
      </c>
      <c r="DB89">
        <f>IFERROR(IF(BL89=3,VLOOKUP(BF89,Справочная_ЛЭД,2,TRUE),0),0)</f>
        <v>0</v>
      </c>
      <c r="DC89">
        <f t="shared" si="118"/>
        <v>0</v>
      </c>
      <c r="DD89" t="str">
        <f t="shared" si="119"/>
        <v>L1</v>
      </c>
      <c r="DE89" t="str" cm="1">
        <f t="array" ref="DE89">IF(D89="","",IFERROR(INDEX({"I особая","I","II","III"},MATCH(TRIM(AA89&amp;""),{"I особая","I","II","III"},0)),"III"))</f>
        <v>II</v>
      </c>
      <c r="DF89" t="str">
        <f>IF(D89="","",IF(TRIM(AB89&amp;"")&lt;&gt;"",IF(LOWER(TRIM(AB89&amp;""))="да","да","нет"),IF(IFERROR(_xlfn.XLOOKUP(AT89,Коды_код,Коды_пожарная),"")="да","да","нет")))</f>
        <v>нет</v>
      </c>
      <c r="DG89" t="str">
        <f t="shared" si="120"/>
        <v/>
      </c>
      <c r="DH89" t="str">
        <f t="shared" si="121"/>
        <v>основная</v>
      </c>
      <c r="DI89">
        <f t="shared" si="122"/>
        <v>1</v>
      </c>
      <c r="DJ89" t="str" cm="1">
        <f t="array" ref="DJ89">IF(D89="","",_xlfn.LET(_xlpm.t,IFERROR(_xlfn.XLOOKUP(1,(Шины[Шина]=DH89)*(((Шины[Щит]=A89)+(Шины[Щит]=""))&gt;0),Шины[Тип]),"")&amp;"",IF(_xlpm.t&lt;&gt;"",_xlpm.t,IF(ISNUMBER(SEARCH("ИБП",DH89)),"ИБП",IF(ISNUMBER(SEARCH("ДГУ",DH89)),"ДГУ","Ввод "&amp;DI89)))))</f>
        <v>Ввод 1</v>
      </c>
      <c r="DK89" t="str">
        <f t="shared" si="123"/>
        <v>Ввод 1</v>
      </c>
      <c r="DL89" t="str">
        <f>IF(D89="","",IF(OR(DJ89="ИБП",DJ89="ДГУ"),"I особая",IF(DJ89="Одиночная","III",_xlfn.XLOOKUP(A89,Щиты[Щит],Щиты[Категория шины «Ввод»],"III"))))</f>
        <v>II</v>
      </c>
      <c r="DM89">
        <f>IF(D89="",0,IFERROR(MATCH(DE89,{"III","II","I","I особая"},0),1))</f>
        <v>2</v>
      </c>
      <c r="DN89">
        <f t="shared" si="124"/>
        <v>2</v>
      </c>
      <c r="DO89" t="str">
        <f>IF(D89="","",IF(DM89&gt;IFERROR(MATCH(DL89,{"III","II","I","I особая"},0),1),"НЕ ОБЕСПЕЧЕНА","ОК"))</f>
        <v>ОК</v>
      </c>
      <c r="DP89" t="str">
        <f>IF(A89="","",_xlfn.XLOOKUP(A89,Щиты[Щит],Щиты[Путь],""))</f>
        <v>|ГРЩ-ЖД|ЩОВ-002|</v>
      </c>
      <c r="DQ89" t="str">
        <f>IF(D89="","",IF(Z89&lt;&gt;"",Z89,IF(IFERROR(_xlfn.XLOOKUP(AT89,Коды_код,Коды_вид)&amp;"","")="","Прочее",_xlfn.XLOOKUP(AT89,Коды_код,Коды_вид)&amp;"")))</f>
        <v>Вентиляция</v>
      </c>
      <c r="DR89">
        <f>IF(BD89="","",INT((BD89-1)/Столбцов_на_лист)+1)</f>
        <v>2</v>
      </c>
      <c r="DS89" t="str">
        <f t="shared" si="125"/>
        <v>ВВГнг(А)-LS (3х1,5) L=23-0,72%</v>
      </c>
      <c r="DT89">
        <f t="shared" si="126"/>
        <v>0.55000000000000004</v>
      </c>
      <c r="DU89">
        <f t="shared" si="127"/>
        <v>2.5099999999999998</v>
      </c>
      <c r="DV89">
        <f t="shared" si="128"/>
        <v>1</v>
      </c>
      <c r="DW89">
        <f>IF(AT89="",0,_xlfn.LET(_xlpm.v,IFERROR(VLOOKUP(D89,УГО_спр,3,FALSE),IFERROR(VLOOKUP(AT89,УГО_спр,3,FALSE),IFERROR(VLOOKUP(LEFT(AT89,2),УГО_спр,3,FALSE),""))),IF(_xlpm.v="да",30,IF(ISNUMBER(_xlpm.v),_xlpm.v,0))))</f>
        <v>0</v>
      </c>
      <c r="DX89">
        <f t="shared" si="129"/>
        <v>0</v>
      </c>
      <c r="DY89">
        <f>IF(BD89="","",IF(AD89&lt;&gt;"",COUNTIFS(A$3:A89,A89,AD$3:AD89,"?*"),IF(OR(OR(AS89=1,A89&lt;&gt;A88),AL89="вручную"),"",IF(AS89=1,"",DZ88))))</f>
        <v>1</v>
      </c>
      <c r="DZ89">
        <f t="shared" si="130"/>
        <v>1</v>
      </c>
      <c r="EA89">
        <f>IF(D89="",0,MAX(IFERROR(--X89,0),IFERROR(--VLOOKUP(D89,УГО_спр,4,FALSE),IFERROR(--VLOOKUP(AT89,УГО_спр,4,FALSE),IFERROR(--VLOOKUP(LEFT(AT89,2),УГО_спр,4,FALSE),0)))))</f>
        <v>10</v>
      </c>
      <c r="EB89">
        <f>IF(D89="","",IFERROR(LOOKUP(INDEX(CHOOSE(BR89,Iдоп_1ж,Iдоп_2ж,Iдоп_3ж),MATCH(BS89,Iдоп_S,0))*BP89*BQ89,{6,10,16,20,25,32,40,50,63,80,100,125,160,200,250,315,400,500,630}),""))</f>
        <v>16</v>
      </c>
      <c r="EC89">
        <f>IF(AD89="","",SUMIFS(Линии[_Ток схемы],Линии[_гр.],DY89,Линии[Щит],A89,Линии[_в кабель выше],0))</f>
        <v>2.5099999999999998</v>
      </c>
      <c r="ED89">
        <f>IF(AD89="","",IFERROR(VLOOKUP(EC89,Автомат_номиналы,2,TRUE),""))</f>
        <v>6</v>
      </c>
      <c r="EE89">
        <f>IF(AD89="","",MAX(N(ED89),_xlfn.MAXIFS(Линии[_мин. по типу],Линии[_гр.],DY89,Линии[Щит],A89)))</f>
        <v>10</v>
      </c>
      <c r="EF89">
        <f>IF(AD89="","",_xlfn.MINIFS(Линии[_макс. автомат по кабелю],Линии[_гр.],DY89,Линии[Щит],A89))</f>
        <v>16</v>
      </c>
      <c r="EG89">
        <f>IF(AD89="","",MAX(1,_xlfn.MAXIFS(Линии[_фаз],Линии[_гр.],DY89,Линии[Щит],A89)))</f>
        <v>1</v>
      </c>
      <c r="EH89">
        <f>IF(AD89="","",IF(AND(AD89&lt;&gt;"авто",AD89&lt;&gt;"+"),IF(ISNUMBER(SEARCH("мА",AD89)),IFERROR(--TRIM(RIGHT(SUBSTITUTE(LEFT(AD89,SEARCH("мА",AD89)-1)," ",REPT(" ",9)),6)),30),0),IF(AE89="нет",0,IF(ISNUMBER(AE89),AE89,IF(AE89="да",30,_xlfn.MINIFS(Линии[_дифзащита по коду, мА],Линии[_гр.],DY89,Линии[Щит],A89,Линии[_дифзащита по коду, мА],"&gt;0"))))))</f>
        <v>0</v>
      </c>
      <c r="EI89">
        <f t="shared" si="131"/>
        <v>0</v>
      </c>
      <c r="EJ89" t="str">
        <f t="shared" si="132"/>
        <v>QF1</v>
      </c>
      <c r="EK89" t="str">
        <f t="shared" si="133"/>
        <v>QF1</v>
      </c>
      <c r="EL89" t="str">
        <f t="shared" si="134"/>
        <v/>
      </c>
      <c r="EM89">
        <f t="shared" si="135"/>
        <v>0</v>
      </c>
      <c r="EN89">
        <f>IF(AD89="","",IF(EM89=1,MAX(EE89,Мин_автомат_БП),EE89))</f>
        <v>10</v>
      </c>
      <c r="EO89" t="str">
        <f t="shared" si="136"/>
        <v>1P</v>
      </c>
      <c r="EP89" t="str">
        <f t="shared" si="137"/>
        <v>1P С10А</v>
      </c>
      <c r="EQ89">
        <f t="shared" si="138"/>
        <v>10</v>
      </c>
      <c r="ER89" t="str">
        <f>IF(OR(AI89="",AI89="-"),"",IFERROR(VLOOKUP(AI89,Модули_спр,2,FALSE),"R"))</f>
        <v/>
      </c>
      <c r="ES89" t="str">
        <f>IF(ER89="","",ER89&amp;"."&amp;COUNTIFS(A$3:A89,A89,ER$3:ER89,ER89))</f>
        <v/>
      </c>
      <c r="ET89" t="str">
        <f t="shared" si="139"/>
        <v/>
      </c>
      <c r="EU89" t="str">
        <f t="shared" si="140"/>
        <v/>
      </c>
      <c r="EV89" t="str">
        <f t="shared" si="141"/>
        <v/>
      </c>
      <c r="EW89" t="str">
        <f t="shared" si="142"/>
        <v/>
      </c>
      <c r="EX89">
        <f t="shared" si="143"/>
        <v>1</v>
      </c>
      <c r="EY89" t="str">
        <f>IF(AK89="нет","",IF(AK89&lt;&gt;"",AK89,IF(EX89=1,"XT"&amp;COUNTIFS(A$3:A89,A89,EX$3:EX89,1),"")))</f>
        <v/>
      </c>
      <c r="EZ89" t="str">
        <f t="shared" si="144"/>
        <v>QF1</v>
      </c>
      <c r="FA89" t="str">
        <f t="shared" si="145"/>
        <v/>
      </c>
      <c r="FB89" t="str">
        <f t="shared" si="146"/>
        <v>ok</v>
      </c>
      <c r="FC89" t="str">
        <f>IF(OR(EV89="",ET89=""),"",IF(EV89&gt;IFERROR(VLOOKUP(EU89,Модули_спр,3,FALSE),99),"ЛИШНИЙ КАНАЛ",IF(AND(AJ89&lt;&gt;"=",COUNTIFS(Линии[_модуль гр.],ET89,Линии[Канал (итог)],EV89,Линии[Канал],"&lt;&gt;=",Линии[Щит],A89)&gt;1),"ДУБЛЬ КАНАЛА","")))</f>
        <v/>
      </c>
      <c r="FD89">
        <f t="shared" si="147"/>
        <v>10</v>
      </c>
      <c r="FE89" t="str">
        <f t="shared" si="148"/>
        <v>1P С10А</v>
      </c>
      <c r="FF89">
        <f t="shared" si="149"/>
        <v>0</v>
      </c>
      <c r="FG89">
        <f t="shared" si="150"/>
        <v>0</v>
      </c>
      <c r="FH89" t="str">
        <f t="shared" si="151"/>
        <v/>
      </c>
      <c r="FI89">
        <f t="shared" si="152"/>
        <v>10</v>
      </c>
      <c r="FJ89" t="str">
        <f t="shared" si="153"/>
        <v/>
      </c>
      <c r="FK89" t="str">
        <f>IF(AND(D89="",EZ89=""),"",_xlfn.TEXTJOIN("; ",TRUE,IF(AND(D89&lt;&gt;"",DD89=""),"нет фазы",""),IF(AND(D89&lt;&gt;"",N(DT89)=0,CN89&lt;&gt;"Нет"),"нет мощности",""),IF(AND(EY89&lt;&gt;"",COUNTIFS(Линии[Щит],A89,Линии[Клемма (итог)],EY89)&gt;1),"дубль клеммы "&amp;EY89,""),IF(AND(FB89&lt;&gt;"",FB89&lt;&gt;"ok"),FB89,""),IF(FC89&lt;&gt;"",FC89,""),IF(AND(ISNUMBER(SEARCH("(5х",DS89)),N(DV89)=1),"5 жил на 1 фазе",""),IF(AND(AT89="R",AD89&lt;&gt;"",OR(N(EH89)=0,N(EH89)&gt;30)),"розетка без дифзащиты до 30 мА",""),IFERROR(IF(AND(ISNUMBER(CD89),CD89&gt;CE89),"потери "&amp;FIXED(CD89,1)&amp;" % &gt; "&amp;CE89&amp;" %",""),""),IFERROR(IF(LEFT(FJ89,4)="мало","Iкз мало — отключение &gt; 0,4 с",""),""),IF(AND(D89&lt;&gt;"",BD89=""),"не на схеме","")))</f>
        <v/>
      </c>
      <c r="FL89">
        <f>IF(AD89="","",_xlfn.LET(_xlpm.t,IFERROR(_xlfn.XLOOKUP(EP89,Каталог!$U$4:$U$500,Каталог!$G$4:$G$500),""),_xlpm.k,SEARCH("кА",_xlpm.t),IFERROR(--TRIM(RIGHT(SUBSTITUTE(MID(_xlpm.t,MAX(1,_xlpm.k-4),_xlpm.k-MAX(1,_xlpm.k-4))," ",REPT(" ",9)),5)),"")))</f>
        <v>6</v>
      </c>
      <c r="FM89" t="str">
        <f>IF(OR(FL89="",AD89=""),"",IF(_xlfn.XLOOKUP(A89,Щиты[Щит],Щиты[Iкз max на шинах, кА],"")="","",IF(FL89&lt;_xlfn.XLOOKUP(A89,Щиты[Щит],Щиты[Iкз max на шинах, кА]),"Icu "&amp;FL89&amp;" кА &lt; Iкз max","ok")))</f>
        <v/>
      </c>
      <c r="FN89" t="str">
        <f t="shared" si="154"/>
        <v>QF1</v>
      </c>
      <c r="FO89" t="str">
        <f t="shared" si="155"/>
        <v>QF1|кабель ВВГнг(А)-LS (3х1,5) → Вытяжная установка Шлейф Подвальный этаж Пом. №003Т</v>
      </c>
      <c r="FP89" t="str" cm="1">
        <f t="array" ref="FP89">IF(FO89="","",_xlfn.LET(_xlpm.nd,_xlfn.TEXTSPLIT(FO89,"|"),IF(COLUMNS(_xlpm.nd)&gt;1,A89&amp;"¦"&amp;INDEX(_xlpm.nd,1)&amp;"¦"&amp;INDEX(_xlpm.nd,2),"")))</f>
        <v>ЩОВ-002¦QF1¦кабель ВВГнг(А)-LS (3х1,5) → Вытяжная установка Шлейф Подвальный этаж Пом. №003Т</v>
      </c>
      <c r="FQ89" t="str">
        <f t="shared" si="156"/>
        <v>В.7¦Вытяжная установка Шлейф Подвальный этаж Пом. №003Т</v>
      </c>
      <c r="FR89" t="str" cm="1">
        <f t="array" ref="FR89">IF(FO89="","",_xlfn.LET(_xlpm.nd,_xlfn.TEXTSPLIT(FO89,"|"),IF(COLUMNS(_xlpm.nd)&gt;2,A89&amp;"¦"&amp;INDEX(_xlpm.nd,2)&amp;"¦"&amp;INDEX(_xlpm.nd,3),"")))</f>
        <v/>
      </c>
      <c r="FS89" t="str">
        <f t="shared" si="157"/>
        <v/>
      </c>
      <c r="FT89" t="str" cm="1">
        <f t="array" ref="FT89">IF(FO89="","",_xlfn.LET(_xlpm.nd,_xlfn.TEXTSPLIT(FO89,"|"),IF(COLUMNS(_xlpm.nd)&gt;3,A89&amp;"¦"&amp;INDEX(_xlpm.nd,3)&amp;"¦"&amp;INDEX(_xlpm.nd,4),"")))</f>
        <v/>
      </c>
      <c r="FU89" t="str">
        <f t="shared" si="158"/>
        <v/>
      </c>
      <c r="FV89" t="str" cm="1">
        <f t="array" ref="FV89">IF(FO89="","",_xlfn.LET(_xlpm.nd,_xlfn.TEXTSPLIT(FO89,"|"),IF(COLUMNS(_xlpm.nd)&gt;4,A89&amp;"¦"&amp;INDEX(_xlpm.nd,4)&amp;"¦"&amp;INDEX(_xlpm.nd,5),"")))</f>
        <v/>
      </c>
      <c r="FW89" t="str">
        <f t="shared" si="159"/>
        <v/>
      </c>
      <c r="FX89" t="str" cm="1">
        <f t="array" ref="FX89">IF(FO89="","",_xlfn.LET(_xlpm.nd,_xlfn.TEXTSPLIT(FO89,"|"),IF(COLUMNS(_xlpm.nd)&gt;5,A89&amp;"¦"&amp;INDEX(_xlpm.nd,5)&amp;"¦"&amp;INDEX(_xlpm.nd,6),"")))</f>
        <v/>
      </c>
      <c r="FY89" t="str">
        <f t="shared" si="160"/>
        <v/>
      </c>
      <c r="FZ89" t="str" cm="1">
        <f t="array" ref="FZ89">IF(FO89="","",_xlfn.LET(_xlpm.nd,_xlfn.TEXTSPLIT(FO89,"|"),IF(COLUMNS(_xlpm.nd)&gt;6,A89&amp;"¦"&amp;INDEX(_xlpm.nd,6)&amp;"¦"&amp;INDEX(_xlpm.nd,7),"")))</f>
        <v/>
      </c>
      <c r="GA89" t="str">
        <f t="shared" si="161"/>
        <v/>
      </c>
      <c r="GB89" t="str">
        <f t="shared" si="162"/>
        <v/>
      </c>
      <c r="GC89" t="str">
        <f t="shared" si="163"/>
        <v>QF1</v>
      </c>
      <c r="GD89">
        <f t="shared" si="164"/>
        <v>1</v>
      </c>
      <c r="GE89">
        <f t="shared" si="165"/>
        <v>0</v>
      </c>
      <c r="GF89">
        <f t="shared" si="166"/>
        <v>0</v>
      </c>
      <c r="GG89" t="str">
        <f t="shared" si="167"/>
        <v/>
      </c>
      <c r="GH89" t="str">
        <f t="shared" si="168"/>
        <v/>
      </c>
      <c r="GI89" t="str">
        <f t="shared" si="169"/>
        <v/>
      </c>
      <c r="GJ89" t="str">
        <f t="shared" si="170"/>
        <v/>
      </c>
      <c r="GK89" t="str">
        <f>IF(D89="","",IFERROR(VLOOKUP(D89,УГО_спр,2,FALSE),IFERROR(VLOOKUP(AT89,УГО_спр,2,FALSE),IFERROR(VLOOKUP(LEFT(AT89,2),УГО_спр,2,FALSE),""))))</f>
        <v>Привод (двигатель)</v>
      </c>
      <c r="GL89" t="str">
        <f>IF(D89="","",IF(OR(GK89="",GK89=0),"BOX",IFERROR(IF(VLOOKUP(GK89,УГО_блоки,3,FALSE)&amp;""&lt;&gt;"",VLOOKUP(GK89,УГО_блоки,3,FALSE),VLOOKUP(GK89,УГО_блоки,2,FALSE)),GK89)))</f>
        <v>MOTOR</v>
      </c>
      <c r="GM89">
        <f t="shared" si="171"/>
        <v>1</v>
      </c>
      <c r="GN89" t="str">
        <f>IF(EP89="","",IF(COUNTIF(EP$3:EP89,EP89)=1,MAX(GN$2:GN88)+1,""))</f>
        <v/>
      </c>
      <c r="GO89" t="str">
        <f>IF(AF89="","",IF(COUNTIF(AF$3:AF89,AF89)+COUNTIF(AG$2:AG88,AF89)+COUNTIF(AH$2:AH88,AF89)=1,MAX(GO$2:GQ88)+1,""))</f>
        <v/>
      </c>
      <c r="GP89" t="str">
        <f>IF(AG89="","",IF(COUNTIF(AF$3:AF89,AG89)+COUNTIF(AG$3:AG89,AG89)+COUNTIF(AH$2:AH88,AG89)=1,MAX(GO$2:GQ88,GO89)+1,""))</f>
        <v/>
      </c>
      <c r="GQ89" t="str">
        <f>IF(AH89="","",IF(COUNTIF(AF$3:AF89,AH89)+COUNTIF(AG$3:AG89,AH89)+COUNTIF(AH$3:AH89,AH89)=1,MAX(GO$2:GQ88,GO89,GP89)+1,""))</f>
        <v/>
      </c>
      <c r="GR89" t="str">
        <f t="shared" si="172"/>
        <v>3х1,5</v>
      </c>
      <c r="GS89" t="str">
        <f>IF(GR89="","",IF(COUNTIF(GR$3:GR89,GR89)=1,MAX(GS$2:GS88)+1,""))</f>
        <v/>
      </c>
      <c r="GT89" t="str">
        <f>IF(ES89="","",COUNTIF(ES$3:ES89,"?*"))</f>
        <v/>
      </c>
      <c r="GU89" t="str">
        <f>IF(OR(ES89="",EU89=""),"",IF(COUNTIFS(ES$3:ES89,"?*",EU$3:EU89,EU89)=1,MAX(GU$2:GU88)+1,""))</f>
        <v/>
      </c>
      <c r="GV89">
        <f t="shared" si="173"/>
        <v>0</v>
      </c>
      <c r="GW89">
        <f>IF(D89="","",COUNTIF(D$3:D89,"?*"))</f>
        <v>87</v>
      </c>
      <c r="GX89">
        <f>IF(EX89&lt;&gt;1,0,_xlfn.LET(_xlpm.k,MAX(IFERROR(--VLOOKUP(D89,УГО_спр,5,FALSE),0),IFERROR(--VLOOKUP(AT89,УГО_спр,5,FALSE),0),IFERROR(--VLOOKUP(LEFT(AT89,2),УГО_спр,5,FALSE),0)),IF(_xlpm.k&gt;0,_xlpm.k,IF(IFERROR(--LEFT(SUBSTITUTE(GR89,"x","х"),FIND("х",SUBSTITUTE(GR89,"x","х"))-1),3)&gt;3,Каталог!$S$9,1))))</f>
        <v>1</v>
      </c>
      <c r="GY89">
        <f t="shared" si="174"/>
        <v>0</v>
      </c>
    </row>
    <row r="90" spans="1:207" x14ac:dyDescent="0.3">
      <c r="A90" t="s">
        <v>754</v>
      </c>
      <c r="B90">
        <v>20</v>
      </c>
      <c r="C90" t="str">
        <f>IF(BD90="","",IF(BE90="вводной узел","узел ","")&amp;"л."&amp;(INT((BD90-1)/Столбцов_на_лист)+1)&amp;" / "&amp;(MOD(BD90-1,Столбцов_на_лист)+1))</f>
        <v>л.2 / 3</v>
      </c>
      <c r="D90" t="s">
        <v>1368</v>
      </c>
      <c r="E90" s="133" t="s">
        <v>1369</v>
      </c>
      <c r="G90">
        <v>2.1</v>
      </c>
      <c r="H90">
        <v>1</v>
      </c>
      <c r="I90">
        <v>1</v>
      </c>
      <c r="J90">
        <v>230</v>
      </c>
      <c r="K90" t="s">
        <v>602</v>
      </c>
      <c r="L90">
        <v>0.5</v>
      </c>
      <c r="O90">
        <v>2</v>
      </c>
      <c r="P90">
        <v>15</v>
      </c>
      <c r="Q90">
        <v>0</v>
      </c>
      <c r="R90">
        <v>19</v>
      </c>
      <c r="T90">
        <v>1</v>
      </c>
      <c r="U90" t="s">
        <v>11</v>
      </c>
      <c r="V90">
        <v>3</v>
      </c>
      <c r="W90">
        <v>2.5</v>
      </c>
      <c r="X90">
        <v>16</v>
      </c>
      <c r="Z90" t="s">
        <v>584</v>
      </c>
      <c r="AA90" t="s">
        <v>818</v>
      </c>
      <c r="AD90" t="s">
        <v>517</v>
      </c>
      <c r="AR90" t="str">
        <f t="shared" si="88"/>
        <v/>
      </c>
      <c r="AS90" cm="1">
        <f t="array" ref="AS90">ROW()-ROW(Линии[#Headers])</f>
        <v>88</v>
      </c>
      <c r="AT90" t="str">
        <f t="shared" si="89"/>
        <v>ПВ</v>
      </c>
      <c r="AU90" t="str">
        <f t="shared" si="90"/>
        <v>1</v>
      </c>
      <c r="AV90" t="str">
        <f t="shared" si="91"/>
        <v>1</v>
      </c>
      <c r="AW90" t="str">
        <f t="shared" si="92"/>
        <v/>
      </c>
      <c r="AX90" t="str">
        <f t="shared" si="93"/>
        <v/>
      </c>
      <c r="AY90" t="str">
        <f>IF(D90="","",IF(ISERROR(SEARCH(".",D90)),IFERROR(VLOOKUP(D90,Потребители_обозначение,2,FALSE)&amp;"",""),IFERROR(IF(VLOOKUP(AT90,Потребители_обозначение,4,FALSE)=1,VLOOKUP(AT90,Потребители_обозначение,2,FALSE)&amp;" "&amp;VLOOKUP(AV90,Этаж_обозначение,2,FALSE)&amp;" Пом. №"&amp;AX90,VLOOKUP(AT90,Потребители_обозначение,2,FALSE)&amp;" Шлейф №"&amp;AV90),IFERROR(VLOOKUP(D90,Потребители_обозначение,2,FALSE),""))))</f>
        <v>Приточно-вытяжная установка Шлейф №1</v>
      </c>
      <c r="AZ90" t="str">
        <f t="shared" si="94"/>
        <v>Приточно-вытяжная установка Подвальный этаж Пом. №003Т</v>
      </c>
      <c r="BA90" t="str">
        <f>IF(F90&lt;&gt;"",F90,IF(AND(D90&lt;&gt;"",D90&lt;&gt;A90,ISNUMBER(_xlfn.XMATCH(D90,Щиты[Щит]))),D90,""))</f>
        <v/>
      </c>
      <c r="BB90">
        <f>IFERROR(_xlfn.XMATCH(A90,Щиты[Щит]),0)</f>
        <v>5</v>
      </c>
      <c r="BC90">
        <f>IFERROR(N(_xlfn.XLOOKUP(A90,Щиты[Щит],Щиты[Мест под вводной узел])),15)</f>
        <v>18</v>
      </c>
      <c r="BD90">
        <f t="shared" si="95"/>
        <v>20</v>
      </c>
      <c r="BE90" t="str">
        <f t="shared" si="96"/>
        <v>линии</v>
      </c>
      <c r="BF90">
        <f>IF(D90="","",IF(BA90&lt;&gt;"",IFERROR(_xlfn.XLOOKUP(BA90,Щиты[Щит],Щиты[Руст, кВт]),0),N(G90)))</f>
        <v>2.1</v>
      </c>
      <c r="BG90">
        <f>IF(J90&lt;&gt;"",J90,IF(D90="","",IFERROR(IF(VLOOKUP(AT90,Потребители_обозначение,8,FALSE)=0,"",VLOOKUP(AT90,Потребители_обозначение,8,FALSE)),"")))</f>
        <v>230</v>
      </c>
      <c r="BH90">
        <f>IF(I90&lt;&gt;"",I90,IF(D90="","",IFERROR(IF(VLOOKUP(AT90,Потребители_обозначение,9,FALSE)=0,"",VLOOKUP(AT90,Потребители_обозначение,9,FALSE)),"")))</f>
        <v>1</v>
      </c>
      <c r="BI90" t="str">
        <f>IF(U90&lt;&gt;"",U90,IF(D90="","",IFERROR(IF(VLOOKUP(AT90,Потребители_обозначение,6,FALSE)=0,"",VLOOKUP(AT90,Потребители_обозначение,6,FALSE)),"")))</f>
        <v>мс</v>
      </c>
      <c r="BJ90">
        <f>IF(V90&lt;&gt;"",V90,IF(D90="","",IFERROR(IF(VLOOKUP(AT90,Потребители_обозначение,7,FALSE)=0,"",VLOOKUP(AT90,Потребители_обозначение,7,FALSE)),"")))</f>
        <v>3</v>
      </c>
      <c r="BK90">
        <f>IF(W90&lt;&gt;"",W90,IF(D90="","",IFERROR(IF(VLOOKUP(AT90,Потребители_обозначение,10,FALSE)=0,"",VLOOKUP(AT90,Потребители_обозначение,10,FALSE)),"")))</f>
        <v>2.5</v>
      </c>
      <c r="BL90">
        <f>IFERROR(VLOOKUP(AT90,Потребители_обозначение,5,FALSE),0)</f>
        <v>1</v>
      </c>
      <c r="BM90" cm="1">
        <f t="array" ref="BM90">IF(D90="","",IF(BA90&lt;&gt;"",IFERROR(_xlfn.XLOOKUP(BA90,Щиты[Щит],Щиты[cos φ]),0.95),IF(ISNUMBER(M90),M90,IFERROR(IF(BL90=2,_xlfn.IFS(BH90=3,VLOOKUP(BF90,Справочная_двигатели,8,FALSE),BH90=1,VLOOKUP(BF90,Справочная_двигатели,10,TRUE)),IF(AND(Методика="нормы 2026",CN90="Сил"),0.8,0.95)),0.95))))</f>
        <v>0.95</v>
      </c>
      <c r="BN90" cm="1">
        <f t="array" ref="BN90">IF(D90="","",IF(BA90&lt;&gt;"",IFERROR(_xlfn.XLOOKUP(BA90,Щиты[Щит],Щиты[Iр, А]),""),IFERROR(_xlfn.IFS(BH90=1,BF90/((Uн_лин/SQRT(3))*BM90),BH90=3,BF90/(SQRT(3)*Uн_лин*BM90)),"")))</f>
        <v>9.5718597260385323</v>
      </c>
      <c r="BO90">
        <f>IF(D90="","",IF(N(X90)=0,IFERROR(VLOOKUP(BN90,Автомат_номиналы,2,TRUE),""),X90))</f>
        <v>16</v>
      </c>
      <c r="BP90">
        <f t="shared" si="97"/>
        <v>1</v>
      </c>
      <c r="BQ90">
        <f>IF(ISNUMBER(Y90),Y90,К_прокл)</f>
        <v>1</v>
      </c>
      <c r="BR90">
        <f t="shared" si="98"/>
        <v>2</v>
      </c>
      <c r="BS90" cm="1">
        <f t="array" ref="BS90">IF(D90="","",IF(N(BK90)&lt;&gt;0,BK90,IFERROR(_xlfn.LET(_xlpm.need,BO90/(BP90*BQ90),_xlpm.t,CHOOSE(BR90,Iдоп_1ж,Iдоп_2ж,Iдоп_3ж),_xlpm.k,_xlfn.XMATCH(_xlpm.need,_xlpm.t,1),IF(ISNA(_xlpm.k),"Не исп",INDEX(Iдоп_S,_xlpm.k))),"Не исп")))</f>
        <v>2.5</v>
      </c>
      <c r="BT90">
        <f>IFERROR(VLOOKUP(BS90,Кабель_сопротивление,3,FALSE),"")</f>
        <v>2.2499999999999999E-2</v>
      </c>
      <c r="BU90">
        <f>IFERROR(VLOOKUP(BS90,Кабель_сопротивление,2,FALSE),"")</f>
        <v>0.1</v>
      </c>
      <c r="BV90">
        <f t="shared" si="99"/>
        <v>15</v>
      </c>
      <c r="BW90">
        <f>IF(D90="","",IFERROR(IF(VLOOKUP(AT90,Потребители_обозначение,4,FALSE)=1,VLOOKUP(AT90,Потребители_обозначение,3,FALSE)*(H90*2-1)+BV90+VLOOKUP(AV90,Этаж_обозначение,3,FALSE)+VLOOKUP(AV90,Этаж_обозначение,4,FALSE),VLOOKUP(AT90,Потребители_обозначение,3,FALSE)*(H90*2-1)+BV90),BV90))</f>
        <v>19</v>
      </c>
      <c r="BX90">
        <f t="shared" si="100"/>
        <v>19</v>
      </c>
      <c r="BY90">
        <f t="shared" si="101"/>
        <v>0</v>
      </c>
      <c r="BZ90">
        <f t="shared" si="102"/>
        <v>2</v>
      </c>
      <c r="CA90">
        <f t="shared" si="103"/>
        <v>0.31</v>
      </c>
      <c r="CB90">
        <f t="shared" si="104"/>
        <v>3.1211728757471922</v>
      </c>
      <c r="CC90">
        <f>IFERROR(ROUNDUP(CB90/((Uн_лин/SQRT(3))*1000)*100,2),"")</f>
        <v>1.36</v>
      </c>
      <c r="CD90">
        <f>IF(ISNUMBER(CC90),CC90+IFERROR(_xlfn.XLOOKUP(A90,Щиты[Щит],Щиты[ΔU до шин, %]),0),"")</f>
        <v>2.02</v>
      </c>
      <c r="CE90">
        <f>IF(D90="","",IF(IFERROR(VLOOKUP(AT90,УГО_спр,2,FALSE),"")="Светильник",3,4)+IF(Методика="нормы 2026",MIN(0.5,MAX(0,N(BW90)-100)*0.005),0))</f>
        <v>4</v>
      </c>
      <c r="CF90" t="str">
        <f>IFERROR(VLOOKUP(BI90,Кабель_обозначение,2,FALSE),"")</f>
        <v>ВВГнг(А)-LS</v>
      </c>
      <c r="CG90" t="str">
        <f>IFERROR(IF(VLOOKUP(BI90,Кабель_обозначение,3,FALSE)=1,CF90&amp;" ("&amp;BJ90&amp;"х"&amp;BS90&amp;")",CF90),"")</f>
        <v>ВВГнг(А)-LS (3х2,5)</v>
      </c>
      <c r="CH90" t="str">
        <f t="shared" si="105"/>
        <v>ВВГнг(А)-LS (3х2,5)
L=19-1,36%</v>
      </c>
      <c r="CI90">
        <f>IFERROR(2*ρкз_Cu*BW90/BS90,"")</f>
        <v>0.39976</v>
      </c>
      <c r="CJ90">
        <f t="shared" si="106"/>
        <v>0.13300000000000001</v>
      </c>
      <c r="CK90" t="str">
        <f>IFERROR(IF(OR(D90="",NOT(ISNUMBER(BS90)),N(BW90)=0),"",_xlfn.XLOOKUP(A90,Щиты[Щит],Щиты[Zпетли на шинах, Ом])+CI90),"")</f>
        <v/>
      </c>
      <c r="CL90" t="str">
        <f>IF(ISNUMBER(CK90),c_min*(Uн_лин*1000/SQRT(3))/CK90,"")</f>
        <v/>
      </c>
      <c r="CM90" t="str">
        <f>IFERROR(IF(OR(D90="",NOT(ISNUMBER(BS90))),"",1.05*(Uн_лин*1000/SQRT(3))/(_xlfn.XLOOKUP(A90,Щиты[Щит],Щиты[Zmax на шинах, Ом])+CJ90)/1000),"")</f>
        <v/>
      </c>
      <c r="CN90" t="str">
        <f>IF(D90="","",IF(BA90&lt;&gt;"","Щит",IF(K90&lt;&gt;"",K90,IF(ISNUMBER(L90),"Сил",IF(IFERROR(_xlfn.XLOOKUP(AT90,Коды_код,Коды_группа)&amp;"","")="","Быт",_xlfn.XLOOKUP(AT90,Коды_код,Коды_группа)&amp;"")))))</f>
        <v>Сил</v>
      </c>
      <c r="CO90">
        <f>IF(CN90="Щит","щит",IF(CN90="","",IF(CN90="Быт",IFERROR(_xlfn.XLOOKUP(A90,Щиты[Щит],Щиты[Кс быт]),1),IF(CN90="Сил",IF(ISNUMBER(L90),L90,IF(Методика="нормы 2026",IFERROR(_xlfn.XLOOKUP(A90,Щиты[Щит],Щиты[Кс силовых (табл. 7.5)]),1),1)),IF(OR(CN90="Пост",CN90="Отоп"),1,IF(CN90="ВНГ",0.7,0))))))</f>
        <v>0.5</v>
      </c>
      <c r="CP90">
        <f t="shared" si="107"/>
        <v>1</v>
      </c>
      <c r="CQ90">
        <f t="shared" si="108"/>
        <v>2.1</v>
      </c>
      <c r="CR90">
        <f t="shared" si="109"/>
        <v>0</v>
      </c>
      <c r="CS90">
        <f t="shared" si="110"/>
        <v>1.05</v>
      </c>
      <c r="CT90">
        <f t="shared" si="111"/>
        <v>0</v>
      </c>
      <c r="CU90">
        <f t="shared" si="112"/>
        <v>0</v>
      </c>
      <c r="CV90">
        <f t="shared" si="113"/>
        <v>0</v>
      </c>
      <c r="CW90">
        <f t="shared" si="114"/>
        <v>2.1</v>
      </c>
      <c r="CX90">
        <f t="shared" si="115"/>
        <v>1.9949999999999999</v>
      </c>
      <c r="CY90">
        <f t="shared" si="116"/>
        <v>2</v>
      </c>
      <c r="CZ90" t="str">
        <f t="shared" si="117"/>
        <v>L2</v>
      </c>
      <c r="DA90" cm="1">
        <f t="array" ref="DA90">IFERROR(IF(BL90=2,_xlfn.IFS(BH90=3,VLOOKUP(BF90,Справочная_двигатели,3,FALSE),BH90=1,VLOOKUP(BF90,Справочная_двигатели,5,TRUE)),0),0)</f>
        <v>0</v>
      </c>
      <c r="DB90">
        <f>IFERROR(IF(BL90=3,VLOOKUP(BF90,Справочная_ЛЭД,2,TRUE),0),0)</f>
        <v>0</v>
      </c>
      <c r="DC90">
        <f t="shared" si="118"/>
        <v>0</v>
      </c>
      <c r="DD90" t="str">
        <f t="shared" si="119"/>
        <v>L2</v>
      </c>
      <c r="DE90" t="str" cm="1">
        <f t="array" ref="DE90">IF(D90="","",IFERROR(INDEX({"I особая","I","II","III"},MATCH(TRIM(AA90&amp;""),{"I особая","I","II","III"},0)),"III"))</f>
        <v>II</v>
      </c>
      <c r="DF90" t="str">
        <f>IF(D90="","",IF(TRIM(AB90&amp;"")&lt;&gt;"",IF(LOWER(TRIM(AB90&amp;""))="да","да","нет"),IF(IFERROR(_xlfn.XLOOKUP(AT90,Коды_код,Коды_пожарная),"")="да","да","нет")))</f>
        <v>нет</v>
      </c>
      <c r="DG90" t="str">
        <f t="shared" si="120"/>
        <v/>
      </c>
      <c r="DH90" t="str">
        <f t="shared" si="121"/>
        <v>основная</v>
      </c>
      <c r="DI90">
        <f t="shared" si="122"/>
        <v>1</v>
      </c>
      <c r="DJ90" t="str" cm="1">
        <f t="array" ref="DJ90">IF(D90="","",_xlfn.LET(_xlpm.t,IFERROR(_xlfn.XLOOKUP(1,(Шины[Шина]=DH90)*(((Шины[Щит]=A90)+(Шины[Щит]=""))&gt;0),Шины[Тип]),"")&amp;"",IF(_xlpm.t&lt;&gt;"",_xlpm.t,IF(ISNUMBER(SEARCH("ИБП",DH90)),"ИБП",IF(ISNUMBER(SEARCH("ДГУ",DH90)),"ДГУ","Ввод "&amp;DI90)))))</f>
        <v>Ввод 1</v>
      </c>
      <c r="DK90" t="str">
        <f t="shared" si="123"/>
        <v>Ввод 1</v>
      </c>
      <c r="DL90" t="str">
        <f>IF(D90="","",IF(OR(DJ90="ИБП",DJ90="ДГУ"),"I особая",IF(DJ90="Одиночная","III",_xlfn.XLOOKUP(A90,Щиты[Щит],Щиты[Категория шины «Ввод»],"III"))))</f>
        <v>II</v>
      </c>
      <c r="DM90">
        <f>IF(D90="",0,IFERROR(MATCH(DE90,{"III","II","I","I особая"},0),1))</f>
        <v>2</v>
      </c>
      <c r="DN90">
        <f t="shared" si="124"/>
        <v>2</v>
      </c>
      <c r="DO90" t="str">
        <f>IF(D90="","",IF(DM90&gt;IFERROR(MATCH(DL90,{"III","II","I","I особая"},0),1),"НЕ ОБЕСПЕЧЕНА","ОК"))</f>
        <v>ОК</v>
      </c>
      <c r="DP90" t="str">
        <f>IF(A90="","",_xlfn.XLOOKUP(A90,Щиты[Щит],Щиты[Путь],""))</f>
        <v>|ГРЩ-ЖД|ЩОВ-002|</v>
      </c>
      <c r="DQ90" t="str">
        <f>IF(D90="","",IF(Z90&lt;&gt;"",Z90,IF(IFERROR(_xlfn.XLOOKUP(AT90,Коды_код,Коды_вид)&amp;"","")="","Прочее",_xlfn.XLOOKUP(AT90,Коды_код,Коды_вид)&amp;"")))</f>
        <v>Вентиляция</v>
      </c>
      <c r="DR90">
        <f>IF(BD90="","",INT((BD90-1)/Столбцов_на_лист)+1)</f>
        <v>2</v>
      </c>
      <c r="DS90" t="str">
        <f t="shared" si="125"/>
        <v>ВВГнг(А)-LS (3х2,5) L=19-1,36%</v>
      </c>
      <c r="DT90">
        <f t="shared" si="126"/>
        <v>2.1</v>
      </c>
      <c r="DU90">
        <f t="shared" si="127"/>
        <v>9.58</v>
      </c>
      <c r="DV90">
        <f t="shared" si="128"/>
        <v>1</v>
      </c>
      <c r="DW90">
        <f>IF(AT90="",0,_xlfn.LET(_xlpm.v,IFERROR(VLOOKUP(D90,УГО_спр,3,FALSE),IFERROR(VLOOKUP(AT90,УГО_спр,3,FALSE),IFERROR(VLOOKUP(LEFT(AT90,2),УГО_спр,3,FALSE),""))),IF(_xlpm.v="да",30,IF(ISNUMBER(_xlpm.v),_xlpm.v,0))))</f>
        <v>0</v>
      </c>
      <c r="DX90">
        <f t="shared" si="129"/>
        <v>0</v>
      </c>
      <c r="DY90">
        <f>IF(BD90="","",IF(AD90&lt;&gt;"",COUNTIFS(A$3:A90,A90,AD$3:AD90,"?*"),IF(OR(OR(AS90=1,A90&lt;&gt;A89),AL90="вручную"),"",IF(AS90=1,"",DZ89))))</f>
        <v>2</v>
      </c>
      <c r="DZ90">
        <f t="shared" si="130"/>
        <v>2</v>
      </c>
      <c r="EA90">
        <f>IF(D90="",0,MAX(IFERROR(--X90,0),IFERROR(--VLOOKUP(D90,УГО_спр,4,FALSE),IFERROR(--VLOOKUP(AT90,УГО_спр,4,FALSE),IFERROR(--VLOOKUP(LEFT(AT90,2),УГО_спр,4,FALSE),0)))))</f>
        <v>16</v>
      </c>
      <c r="EB90">
        <f>IF(D90="","",IFERROR(LOOKUP(INDEX(CHOOSE(BR90,Iдоп_1ж,Iдоп_2ж,Iдоп_3ж),MATCH(BS90,Iдоп_S,0))*BP90*BQ90,{6,10,16,20,25,32,40,50,63,80,100,125,160,200,250,315,400,500,630}),""))</f>
        <v>25</v>
      </c>
      <c r="EC90">
        <f>IF(AD90="","",SUMIFS(Линии[_Ток схемы],Линии[_гр.],DY90,Линии[Щит],A90,Линии[_в кабель выше],0))</f>
        <v>9.58</v>
      </c>
      <c r="ED90">
        <f>IF(AD90="","",IFERROR(VLOOKUP(EC90,Автомат_номиналы,2,TRUE),""))</f>
        <v>16</v>
      </c>
      <c r="EE90">
        <f>IF(AD90="","",MAX(N(ED90),_xlfn.MAXIFS(Линии[_мин. по типу],Линии[_гр.],DY90,Линии[Щит],A90)))</f>
        <v>16</v>
      </c>
      <c r="EF90">
        <f>IF(AD90="","",_xlfn.MINIFS(Линии[_макс. автомат по кабелю],Линии[_гр.],DY90,Линии[Щит],A90))</f>
        <v>25</v>
      </c>
      <c r="EG90">
        <f>IF(AD90="","",MAX(1,_xlfn.MAXIFS(Линии[_фаз],Линии[_гр.],DY90,Линии[Щит],A90)))</f>
        <v>1</v>
      </c>
      <c r="EH90">
        <f>IF(AD90="","",IF(AND(AD90&lt;&gt;"авто",AD90&lt;&gt;"+"),IF(ISNUMBER(SEARCH("мА",AD90)),IFERROR(--TRIM(RIGHT(SUBSTITUTE(LEFT(AD90,SEARCH("мА",AD90)-1)," ",REPT(" ",9)),6)),30),0),IF(AE90="нет",0,IF(ISNUMBER(AE90),AE90,IF(AE90="да",30,_xlfn.MINIFS(Линии[_дифзащита по коду, мА],Линии[_гр.],DY90,Линии[Щит],A90,Линии[_дифзащита по коду, мА],"&gt;0"))))))</f>
        <v>0</v>
      </c>
      <c r="EI90">
        <f t="shared" si="131"/>
        <v>0</v>
      </c>
      <c r="EJ90" t="str">
        <f t="shared" si="132"/>
        <v>QF2</v>
      </c>
      <c r="EK90" t="str">
        <f t="shared" si="133"/>
        <v>QF2</v>
      </c>
      <c r="EL90" t="str">
        <f t="shared" si="134"/>
        <v/>
      </c>
      <c r="EM90">
        <f t="shared" si="135"/>
        <v>0</v>
      </c>
      <c r="EN90">
        <f>IF(AD90="","",IF(EM90=1,MAX(EE90,Мин_автомат_БП),EE90))</f>
        <v>16</v>
      </c>
      <c r="EO90" t="str">
        <f t="shared" si="136"/>
        <v>1P</v>
      </c>
      <c r="EP90" t="str">
        <f t="shared" si="137"/>
        <v>1P С16А</v>
      </c>
      <c r="EQ90">
        <f t="shared" si="138"/>
        <v>16</v>
      </c>
      <c r="ER90" t="str">
        <f>IF(OR(AI90="",AI90="-"),"",IFERROR(VLOOKUP(AI90,Модули_спр,2,FALSE),"R"))</f>
        <v/>
      </c>
      <c r="ES90" t="str">
        <f>IF(ER90="","",ER90&amp;"."&amp;COUNTIFS(A$3:A90,A90,ER$3:ER90,ER90))</f>
        <v/>
      </c>
      <c r="ET90" t="str">
        <f t="shared" si="139"/>
        <v/>
      </c>
      <c r="EU90" t="str">
        <f t="shared" si="140"/>
        <v/>
      </c>
      <c r="EV90" t="str">
        <f t="shared" si="141"/>
        <v/>
      </c>
      <c r="EW90" t="str">
        <f t="shared" si="142"/>
        <v/>
      </c>
      <c r="EX90">
        <f t="shared" si="143"/>
        <v>1</v>
      </c>
      <c r="EY90" t="str">
        <f>IF(AK90="нет","",IF(AK90&lt;&gt;"",AK90,IF(EX90=1,"XT"&amp;COUNTIFS(A$3:A90,A90,EX$3:EX90,1),"")))</f>
        <v>XT3</v>
      </c>
      <c r="EZ90" t="str">
        <f t="shared" si="144"/>
        <v>QF2</v>
      </c>
      <c r="FA90" t="str">
        <f t="shared" si="145"/>
        <v/>
      </c>
      <c r="FB90" t="str">
        <f t="shared" si="146"/>
        <v>ok</v>
      </c>
      <c r="FC90" t="str">
        <f>IF(OR(EV90="",ET90=""),"",IF(EV90&gt;IFERROR(VLOOKUP(EU90,Модули_спр,3,FALSE),99),"ЛИШНИЙ КАНАЛ",IF(AND(AJ90&lt;&gt;"=",COUNTIFS(Линии[_модуль гр.],ET90,Линии[Канал (итог)],EV90,Линии[Канал],"&lt;&gt;=",Линии[Щит],A90)&gt;1),"ДУБЛЬ КАНАЛА","")))</f>
        <v/>
      </c>
      <c r="FD90">
        <f t="shared" si="147"/>
        <v>16</v>
      </c>
      <c r="FE90" t="str">
        <f t="shared" si="148"/>
        <v>1P С16А</v>
      </c>
      <c r="FF90">
        <f t="shared" si="149"/>
        <v>0</v>
      </c>
      <c r="FG90">
        <f t="shared" si="150"/>
        <v>0</v>
      </c>
      <c r="FH90" t="str">
        <f t="shared" si="151"/>
        <v/>
      </c>
      <c r="FI90">
        <f t="shared" si="152"/>
        <v>10</v>
      </c>
      <c r="FJ90" t="str">
        <f t="shared" si="153"/>
        <v/>
      </c>
      <c r="FK90" t="str">
        <f>IF(AND(D90="",EZ90=""),"",_xlfn.TEXTJOIN("; ",TRUE,IF(AND(D90&lt;&gt;"",DD90=""),"нет фазы",""),IF(AND(D90&lt;&gt;"",N(DT90)=0,CN90&lt;&gt;"Нет"),"нет мощности",""),IF(AND(EY90&lt;&gt;"",COUNTIFS(Линии[Щит],A90,Линии[Клемма (итог)],EY90)&gt;1),"дубль клеммы "&amp;EY90,""),IF(AND(FB90&lt;&gt;"",FB90&lt;&gt;"ok"),FB90,""),IF(FC90&lt;&gt;"",FC90,""),IF(AND(ISNUMBER(SEARCH("(5х",DS90)),N(DV90)=1),"5 жил на 1 фазе",""),IF(AND(AT90="R",AD90&lt;&gt;"",OR(N(EH90)=0,N(EH90)&gt;30)),"розетка без дифзащиты до 30 мА",""),IFERROR(IF(AND(ISNUMBER(CD90),CD90&gt;CE90),"потери "&amp;FIXED(CD90,1)&amp;" % &gt; "&amp;CE90&amp;" %",""),""),IFERROR(IF(LEFT(FJ90,4)="мало","Iкз мало — отключение &gt; 0,4 с",""),""),IF(AND(D90&lt;&gt;"",BD90=""),"не на схеме","")))</f>
        <v/>
      </c>
      <c r="FL90">
        <f>IF(AD90="","",_xlfn.LET(_xlpm.t,IFERROR(_xlfn.XLOOKUP(EP90,Каталог!$U$4:$U$500,Каталог!$G$4:$G$500),""),_xlpm.k,SEARCH("кА",_xlpm.t),IFERROR(--TRIM(RIGHT(SUBSTITUTE(MID(_xlpm.t,MAX(1,_xlpm.k-4),_xlpm.k-MAX(1,_xlpm.k-4))," ",REPT(" ",9)),5)),"")))</f>
        <v>6</v>
      </c>
      <c r="FM90" t="str">
        <f>IF(OR(FL90="",AD90=""),"",IF(_xlfn.XLOOKUP(A90,Щиты[Щит],Щиты[Iкз max на шинах, кА],"")="","",IF(FL90&lt;_xlfn.XLOOKUP(A90,Щиты[Щит],Щиты[Iкз max на шинах, кА]),"Icu "&amp;FL90&amp;" кА &lt; Iкз max","ok")))</f>
        <v/>
      </c>
      <c r="FN90" t="str">
        <f t="shared" si="154"/>
        <v>QF2|XT3</v>
      </c>
      <c r="FO90" t="str">
        <f t="shared" si="155"/>
        <v>QF2|XT3|кабель ВВГнг(А)-LS (3х2,5) → Приточно-вытяжная установка Подвальный этаж Пом. №003Т</v>
      </c>
      <c r="FP90" t="str" cm="1">
        <f t="array" ref="FP90">IF(FO90="","",_xlfn.LET(_xlpm.nd,_xlfn.TEXTSPLIT(FO90,"|"),IF(COLUMNS(_xlpm.nd)&gt;1,A90&amp;"¦"&amp;INDEX(_xlpm.nd,1)&amp;"¦"&amp;INDEX(_xlpm.nd,2),"")))</f>
        <v>ЩОВ-002¦QF2¦XT3</v>
      </c>
      <c r="FQ90" t="str">
        <f t="shared" si="156"/>
        <v>ПВ.1¦Приточно-вытяжная установка Подвальный этаж Пом. №003Т</v>
      </c>
      <c r="FR90" t="str" cm="1">
        <f t="array" ref="FR90">IF(FO90="","",_xlfn.LET(_xlpm.nd,_xlfn.TEXTSPLIT(FO90,"|"),IF(COLUMNS(_xlpm.nd)&gt;2,A90&amp;"¦"&amp;INDEX(_xlpm.nd,2)&amp;"¦"&amp;INDEX(_xlpm.nd,3),"")))</f>
        <v>ЩОВ-002¦XT3¦кабель ВВГнг(А)-LS (3х2,5) → Приточно-вытяжная установка Подвальный этаж Пом. №003Т</v>
      </c>
      <c r="FS90" t="str">
        <f t="shared" si="157"/>
        <v>ПВ.1¦Приточно-вытяжная установка Подвальный этаж Пом. №003Т</v>
      </c>
      <c r="FT90" t="str" cm="1">
        <f t="array" ref="FT90">IF(FO90="","",_xlfn.LET(_xlpm.nd,_xlfn.TEXTSPLIT(FO90,"|"),IF(COLUMNS(_xlpm.nd)&gt;3,A90&amp;"¦"&amp;INDEX(_xlpm.nd,3)&amp;"¦"&amp;INDEX(_xlpm.nd,4),"")))</f>
        <v/>
      </c>
      <c r="FU90" t="str">
        <f t="shared" si="158"/>
        <v/>
      </c>
      <c r="FV90" t="str" cm="1">
        <f t="array" ref="FV90">IF(FO90="","",_xlfn.LET(_xlpm.nd,_xlfn.TEXTSPLIT(FO90,"|"),IF(COLUMNS(_xlpm.nd)&gt;4,A90&amp;"¦"&amp;INDEX(_xlpm.nd,4)&amp;"¦"&amp;INDEX(_xlpm.nd,5),"")))</f>
        <v/>
      </c>
      <c r="FW90" t="str">
        <f t="shared" si="159"/>
        <v/>
      </c>
      <c r="FX90" t="str" cm="1">
        <f t="array" ref="FX90">IF(FO90="","",_xlfn.LET(_xlpm.nd,_xlfn.TEXTSPLIT(FO90,"|"),IF(COLUMNS(_xlpm.nd)&gt;5,A90&amp;"¦"&amp;INDEX(_xlpm.nd,5)&amp;"¦"&amp;INDEX(_xlpm.nd,6),"")))</f>
        <v/>
      </c>
      <c r="FY90" t="str">
        <f t="shared" si="160"/>
        <v/>
      </c>
      <c r="FZ90" t="str" cm="1">
        <f t="array" ref="FZ90">IF(FO90="","",_xlfn.LET(_xlpm.nd,_xlfn.TEXTSPLIT(FO90,"|"),IF(COLUMNS(_xlpm.nd)&gt;6,A90&amp;"¦"&amp;INDEX(_xlpm.nd,6)&amp;"¦"&amp;INDEX(_xlpm.nd,7),"")))</f>
        <v/>
      </c>
      <c r="GA90" t="str">
        <f t="shared" si="161"/>
        <v/>
      </c>
      <c r="GB90" t="str">
        <f t="shared" si="162"/>
        <v/>
      </c>
      <c r="GC90" t="str">
        <f t="shared" si="163"/>
        <v>QF2 → XT3</v>
      </c>
      <c r="GD90">
        <f t="shared" si="164"/>
        <v>1</v>
      </c>
      <c r="GE90">
        <f t="shared" si="165"/>
        <v>0</v>
      </c>
      <c r="GF90">
        <f t="shared" si="166"/>
        <v>0</v>
      </c>
      <c r="GG90" t="str">
        <f t="shared" si="167"/>
        <v/>
      </c>
      <c r="GH90" t="str">
        <f t="shared" si="168"/>
        <v/>
      </c>
      <c r="GI90" t="str">
        <f t="shared" si="169"/>
        <v/>
      </c>
      <c r="GJ90" t="str">
        <f t="shared" si="170"/>
        <v/>
      </c>
      <c r="GK90" t="str">
        <f>IF(D90="","",IFERROR(VLOOKUP(D90,УГО_спр,2,FALSE),IFERROR(VLOOKUP(AT90,УГО_спр,2,FALSE),IFERROR(VLOOKUP(LEFT(AT90,2),УГО_спр,2,FALSE),""))))</f>
        <v>Привод (двигатель)</v>
      </c>
      <c r="GL90" t="str">
        <f>IF(D90="","",IF(OR(GK90="",GK90=0),"BOX",IFERROR(IF(VLOOKUP(GK90,УГО_блоки,3,FALSE)&amp;""&lt;&gt;"",VLOOKUP(GK90,УГО_блоки,3,FALSE),VLOOKUP(GK90,УГО_блоки,2,FALSE)),GK90)))</f>
        <v>MOTOR</v>
      </c>
      <c r="GM90">
        <f t="shared" si="171"/>
        <v>1</v>
      </c>
      <c r="GN90" t="str">
        <f>IF(EP90="","",IF(COUNTIF(EP$3:EP90,EP90)=1,MAX(GN$2:GN89)+1,""))</f>
        <v/>
      </c>
      <c r="GO90" t="str">
        <f>IF(AF90="","",IF(COUNTIF(AF$3:AF90,AF90)+COUNTIF(AG$2:AG89,AF90)+COUNTIF(AH$2:AH89,AF90)=1,MAX(GO$2:GQ89)+1,""))</f>
        <v/>
      </c>
      <c r="GP90" t="str">
        <f>IF(AG90="","",IF(COUNTIF(AF$3:AF90,AG90)+COUNTIF(AG$3:AG90,AG90)+COUNTIF(AH$2:AH89,AG90)=1,MAX(GO$2:GQ89,GO90)+1,""))</f>
        <v/>
      </c>
      <c r="GQ90" t="str">
        <f>IF(AH90="","",IF(COUNTIF(AF$3:AF90,AH90)+COUNTIF(AG$3:AG90,AH90)+COUNTIF(AH$3:AH90,AH90)=1,MAX(GO$2:GQ89,GO90,GP90)+1,""))</f>
        <v/>
      </c>
      <c r="GR90" t="str">
        <f t="shared" si="172"/>
        <v>3х2,5</v>
      </c>
      <c r="GS90" t="str">
        <f>IF(GR90="","",IF(COUNTIF(GR$3:GR90,GR90)=1,MAX(GS$2:GS89)+1,""))</f>
        <v/>
      </c>
      <c r="GT90" t="str">
        <f>IF(ES90="","",COUNTIF(ES$3:ES90,"?*"))</f>
        <v/>
      </c>
      <c r="GU90" t="str">
        <f>IF(OR(ES90="",EU90=""),"",IF(COUNTIFS(ES$3:ES90,"?*",EU$3:EU90,EU90)=1,MAX(GU$2:GU89)+1,""))</f>
        <v/>
      </c>
      <c r="GV90">
        <f t="shared" si="173"/>
        <v>0</v>
      </c>
      <c r="GW90">
        <f>IF(D90="","",COUNTIF(D$3:D90,"?*"))</f>
        <v>88</v>
      </c>
      <c r="GX90">
        <f>IF(EX90&lt;&gt;1,0,_xlfn.LET(_xlpm.k,MAX(IFERROR(--VLOOKUP(D90,УГО_спр,5,FALSE),0),IFERROR(--VLOOKUP(AT90,УГО_спр,5,FALSE),0),IFERROR(--VLOOKUP(LEFT(AT90,2),УГО_спр,5,FALSE),0)),IF(_xlpm.k&gt;0,_xlpm.k,IF(IFERROR(--LEFT(SUBSTITUTE(GR90,"x","х"),FIND("х",SUBSTITUTE(GR90,"x","х"))-1),3)&gt;3,Каталог!$S$9,1))))</f>
        <v>1</v>
      </c>
      <c r="GY90">
        <f t="shared" si="174"/>
        <v>0</v>
      </c>
    </row>
    <row r="91" spans="1:207" x14ac:dyDescent="0.3">
      <c r="A91" t="s">
        <v>754</v>
      </c>
      <c r="B91">
        <v>21</v>
      </c>
      <c r="C91" t="str">
        <f>IF(BD91="","",IF(BE91="вводной узел","узел ","")&amp;"л."&amp;(INT((BD91-1)/Столбцов_на_лист)+1)&amp;" / "&amp;(MOD(BD91-1,Столбцов_на_лист)+1))</f>
        <v>л.2 / 4</v>
      </c>
      <c r="D91" t="s">
        <v>1370</v>
      </c>
      <c r="E91" s="133" t="s">
        <v>1369</v>
      </c>
      <c r="G91">
        <v>0.35</v>
      </c>
      <c r="H91">
        <v>1</v>
      </c>
      <c r="I91">
        <v>1</v>
      </c>
      <c r="J91">
        <v>230</v>
      </c>
      <c r="K91" t="s">
        <v>602</v>
      </c>
      <c r="L91">
        <v>0.5</v>
      </c>
      <c r="O91">
        <v>1</v>
      </c>
      <c r="P91">
        <v>12</v>
      </c>
      <c r="Q91">
        <v>0</v>
      </c>
      <c r="R91">
        <v>16</v>
      </c>
      <c r="T91">
        <v>1</v>
      </c>
      <c r="U91" t="s">
        <v>11</v>
      </c>
      <c r="V91">
        <v>3</v>
      </c>
      <c r="W91">
        <v>1.5</v>
      </c>
      <c r="X91">
        <v>10</v>
      </c>
      <c r="Z91" t="s">
        <v>584</v>
      </c>
      <c r="AA91" t="s">
        <v>818</v>
      </c>
      <c r="AD91" t="s">
        <v>517</v>
      </c>
      <c r="AK91" t="s">
        <v>488</v>
      </c>
      <c r="AR91" t="str">
        <f t="shared" si="88"/>
        <v/>
      </c>
      <c r="AS91" cm="1">
        <f t="array" ref="AS91">ROW()-ROW(Линии[#Headers])</f>
        <v>89</v>
      </c>
      <c r="AT91" t="str">
        <f t="shared" si="89"/>
        <v>ПВ</v>
      </c>
      <c r="AU91" t="str">
        <f t="shared" si="90"/>
        <v>К</v>
      </c>
      <c r="AV91" t="str">
        <f t="shared" si="91"/>
        <v>К</v>
      </c>
      <c r="AW91" t="str">
        <f t="shared" si="92"/>
        <v/>
      </c>
      <c r="AX91" t="str">
        <f t="shared" si="93"/>
        <v/>
      </c>
      <c r="AY91" t="str">
        <f>IF(D91="","",IF(ISERROR(SEARCH(".",D91)),IFERROR(VLOOKUP(D91,Потребители_обозначение,2,FALSE)&amp;"",""),IFERROR(IF(VLOOKUP(AT91,Потребители_обозначение,4,FALSE)=1,VLOOKUP(AT91,Потребители_обозначение,2,FALSE)&amp;" "&amp;VLOOKUP(AV91,Этаж_обозначение,2,FALSE)&amp;" Пом. №"&amp;AX91,VLOOKUP(AT91,Потребители_обозначение,2,FALSE)&amp;" Шлейф №"&amp;AV91),IFERROR(VLOOKUP(D91,Потребители_обозначение,2,FALSE),""))))</f>
        <v>Приточно-вытяжная установка Шлейф №К</v>
      </c>
      <c r="AZ91" t="str">
        <f t="shared" si="94"/>
        <v>Приточно-вытяжная установка Подвальный этаж Пом. №003Т</v>
      </c>
      <c r="BA91" t="str">
        <f>IF(F91&lt;&gt;"",F91,IF(AND(D91&lt;&gt;"",D91&lt;&gt;A91,ISNUMBER(_xlfn.XMATCH(D91,Щиты[Щит]))),D91,""))</f>
        <v/>
      </c>
      <c r="BB91">
        <f>IFERROR(_xlfn.XMATCH(A91,Щиты[Щит]),0)</f>
        <v>5</v>
      </c>
      <c r="BC91">
        <f>IFERROR(N(_xlfn.XLOOKUP(A91,Щиты[Щит],Щиты[Мест под вводной узел])),15)</f>
        <v>18</v>
      </c>
      <c r="BD91">
        <f t="shared" si="95"/>
        <v>21</v>
      </c>
      <c r="BE91" t="str">
        <f t="shared" si="96"/>
        <v>линии</v>
      </c>
      <c r="BF91">
        <f>IF(D91="","",IF(BA91&lt;&gt;"",IFERROR(_xlfn.XLOOKUP(BA91,Щиты[Щит],Щиты[Руст, кВт]),0),N(G91)))</f>
        <v>0.35</v>
      </c>
      <c r="BG91">
        <f>IF(J91&lt;&gt;"",J91,IF(D91="","",IFERROR(IF(VLOOKUP(AT91,Потребители_обозначение,8,FALSE)=0,"",VLOOKUP(AT91,Потребители_обозначение,8,FALSE)),"")))</f>
        <v>230</v>
      </c>
      <c r="BH91">
        <f>IF(I91&lt;&gt;"",I91,IF(D91="","",IFERROR(IF(VLOOKUP(AT91,Потребители_обозначение,9,FALSE)=0,"",VLOOKUP(AT91,Потребители_обозначение,9,FALSE)),"")))</f>
        <v>1</v>
      </c>
      <c r="BI91" t="str">
        <f>IF(U91&lt;&gt;"",U91,IF(D91="","",IFERROR(IF(VLOOKUP(AT91,Потребители_обозначение,6,FALSE)=0,"",VLOOKUP(AT91,Потребители_обозначение,6,FALSE)),"")))</f>
        <v>мс</v>
      </c>
      <c r="BJ91">
        <f>IF(V91&lt;&gt;"",V91,IF(D91="","",IFERROR(IF(VLOOKUP(AT91,Потребители_обозначение,7,FALSE)=0,"",VLOOKUP(AT91,Потребители_обозначение,7,FALSE)),"")))</f>
        <v>3</v>
      </c>
      <c r="BK91">
        <f>IF(W91&lt;&gt;"",W91,IF(D91="","",IFERROR(IF(VLOOKUP(AT91,Потребители_обозначение,10,FALSE)=0,"",VLOOKUP(AT91,Потребители_обозначение,10,FALSE)),"")))</f>
        <v>1.5</v>
      </c>
      <c r="BL91">
        <f>IFERROR(VLOOKUP(AT91,Потребители_обозначение,5,FALSE),0)</f>
        <v>1</v>
      </c>
      <c r="BM91" cm="1">
        <f t="array" ref="BM91">IF(D91="","",IF(BA91&lt;&gt;"",IFERROR(_xlfn.XLOOKUP(BA91,Щиты[Щит],Щиты[cos φ]),0.95),IF(ISNUMBER(M91),M91,IFERROR(IF(BL91=2,_xlfn.IFS(BH91=3,VLOOKUP(BF91,Справочная_двигатели,8,FALSE),BH91=1,VLOOKUP(BF91,Справочная_двигатели,10,TRUE)),IF(AND(Методика="нормы 2026",CN91="Сил"),0.8,0.95)),0.95))))</f>
        <v>0.95</v>
      </c>
      <c r="BN91" cm="1">
        <f t="array" ref="BN91">IF(D91="","",IF(BA91&lt;&gt;"",IFERROR(_xlfn.XLOOKUP(BA91,Щиты[Щит],Щиты[Iр, А]),""),IFERROR(_xlfn.IFS(BH91=1,BF91/((Uн_лин/SQRT(3))*BM91),BH91=3,BF91/(SQRT(3)*Uн_лин*BM91)),"")))</f>
        <v>1.5953099543397553</v>
      </c>
      <c r="BO91">
        <f>IF(D91="","",IF(N(X91)=0,IFERROR(VLOOKUP(BN91,Автомат_номиналы,2,TRUE),""),X91))</f>
        <v>10</v>
      </c>
      <c r="BP91">
        <f t="shared" si="97"/>
        <v>1</v>
      </c>
      <c r="BQ91">
        <f>IF(ISNUMBER(Y91),Y91,К_прокл)</f>
        <v>1</v>
      </c>
      <c r="BR91">
        <f t="shared" si="98"/>
        <v>2</v>
      </c>
      <c r="BS91" cm="1">
        <f t="array" ref="BS91">IF(D91="","",IF(N(BK91)&lt;&gt;0,BK91,IFERROR(_xlfn.LET(_xlpm.need,BO91/(BP91*BQ91),_xlpm.t,CHOOSE(BR91,Iдоп_1ж,Iдоп_2ж,Iдоп_3ж),_xlpm.k,_xlfn.XMATCH(_xlpm.need,_xlpm.t,1),IF(ISNA(_xlpm.k),"Не исп",INDEX(Iдоп_S,_xlpm.k))),"Не исп")))</f>
        <v>1.5</v>
      </c>
      <c r="BT91">
        <f>IFERROR(VLOOKUP(BS91,Кабель_сопротивление,3,FALSE),"")</f>
        <v>2.2499999999999999E-2</v>
      </c>
      <c r="BU91">
        <f>IFERROR(VLOOKUP(BS91,Кабель_сопротивление,2,FALSE),"")</f>
        <v>0.11</v>
      </c>
      <c r="BV91">
        <f t="shared" si="99"/>
        <v>12</v>
      </c>
      <c r="BW91">
        <f>IF(D91="","",IFERROR(IF(VLOOKUP(AT91,Потребители_обозначение,4,FALSE)=1,VLOOKUP(AT91,Потребители_обозначение,3,FALSE)*(H91*2-1)+BV91+VLOOKUP(AV91,Этаж_обозначение,3,FALSE)+VLOOKUP(AV91,Этаж_обозначение,4,FALSE),VLOOKUP(AT91,Потребители_обозначение,3,FALSE)*(H91*2-1)+BV91),BV91))</f>
        <v>16</v>
      </c>
      <c r="BX91">
        <f t="shared" si="100"/>
        <v>16</v>
      </c>
      <c r="BY91">
        <f t="shared" si="101"/>
        <v>0</v>
      </c>
      <c r="BZ91">
        <f t="shared" si="102"/>
        <v>2</v>
      </c>
      <c r="CA91">
        <f t="shared" si="103"/>
        <v>0.31</v>
      </c>
      <c r="CB91">
        <f t="shared" si="104"/>
        <v>0.72920214140110395</v>
      </c>
      <c r="CC91">
        <f>IFERROR(ROUNDUP(CB91/((Uн_лин/SQRT(3))*1000)*100,2),"")</f>
        <v>0.32</v>
      </c>
      <c r="CD91">
        <f>IF(ISNUMBER(CC91),CC91+IFERROR(_xlfn.XLOOKUP(A91,Щиты[Щит],Щиты[ΔU до шин, %]),0),"")</f>
        <v>0.98</v>
      </c>
      <c r="CE91">
        <f>IF(D91="","",IF(IFERROR(VLOOKUP(AT91,УГО_спр,2,FALSE),"")="Светильник",3,4)+IF(Методика="нормы 2026",MIN(0.5,MAX(0,N(BW91)-100)*0.005),0))</f>
        <v>4</v>
      </c>
      <c r="CF91" t="str">
        <f>IFERROR(VLOOKUP(BI91,Кабель_обозначение,2,FALSE),"")</f>
        <v>ВВГнг(А)-LS</v>
      </c>
      <c r="CG91" t="str">
        <f>IFERROR(IF(VLOOKUP(BI91,Кабель_обозначение,3,FALSE)=1,CF91&amp;" ("&amp;BJ91&amp;"х"&amp;BS91&amp;")",CF91),"")</f>
        <v>ВВГнг(А)-LS (3х1,5)</v>
      </c>
      <c r="CH91" t="str">
        <f t="shared" si="105"/>
        <v>ВВГнг(А)-LS (3х1,5)
L=16-0,32%</v>
      </c>
      <c r="CI91">
        <f>IFERROR(2*ρкз_Cu*BW91/BS91,"")</f>
        <v>0.56106666666666671</v>
      </c>
      <c r="CJ91">
        <f t="shared" si="106"/>
        <v>0.18666666666666668</v>
      </c>
      <c r="CK91" t="str">
        <f>IFERROR(IF(OR(D91="",NOT(ISNUMBER(BS91)),N(BW91)=0),"",_xlfn.XLOOKUP(A91,Щиты[Щит],Щиты[Zпетли на шинах, Ом])+CI91),"")</f>
        <v/>
      </c>
      <c r="CL91" t="str">
        <f>IF(ISNUMBER(CK91),c_min*(Uн_лин*1000/SQRT(3))/CK91,"")</f>
        <v/>
      </c>
      <c r="CM91" t="str">
        <f>IFERROR(IF(OR(D91="",NOT(ISNUMBER(BS91))),"",1.05*(Uн_лин*1000/SQRT(3))/(_xlfn.XLOOKUP(A91,Щиты[Щит],Щиты[Zmax на шинах, Ом])+CJ91)/1000),"")</f>
        <v/>
      </c>
      <c r="CN91" t="str">
        <f>IF(D91="","",IF(BA91&lt;&gt;"","Щит",IF(K91&lt;&gt;"",K91,IF(ISNUMBER(L91),"Сил",IF(IFERROR(_xlfn.XLOOKUP(AT91,Коды_код,Коды_группа)&amp;"","")="","Быт",_xlfn.XLOOKUP(AT91,Коды_код,Коды_группа)&amp;"")))))</f>
        <v>Сил</v>
      </c>
      <c r="CO91">
        <f>IF(CN91="Щит","щит",IF(CN91="","",IF(CN91="Быт",IFERROR(_xlfn.XLOOKUP(A91,Щиты[Щит],Щиты[Кс быт]),1),IF(CN91="Сил",IF(ISNUMBER(L91),L91,IF(Методика="нормы 2026",IFERROR(_xlfn.XLOOKUP(A91,Щиты[Щит],Щиты[Кс силовых (табл. 7.5)]),1),1)),IF(OR(CN91="Пост",CN91="Отоп"),1,IF(CN91="ВНГ",0.7,0))))))</f>
        <v>0.5</v>
      </c>
      <c r="CP91">
        <f t="shared" si="107"/>
        <v>1</v>
      </c>
      <c r="CQ91">
        <f t="shared" si="108"/>
        <v>0.35</v>
      </c>
      <c r="CR91">
        <f t="shared" si="109"/>
        <v>0</v>
      </c>
      <c r="CS91">
        <f t="shared" si="110"/>
        <v>0.17499999999999999</v>
      </c>
      <c r="CT91">
        <f t="shared" si="111"/>
        <v>0</v>
      </c>
      <c r="CU91">
        <f t="shared" si="112"/>
        <v>0</v>
      </c>
      <c r="CV91">
        <f t="shared" si="113"/>
        <v>0</v>
      </c>
      <c r="CW91">
        <f t="shared" si="114"/>
        <v>0.35</v>
      </c>
      <c r="CX91">
        <f t="shared" si="115"/>
        <v>0.33249999999999996</v>
      </c>
      <c r="CY91">
        <f t="shared" si="116"/>
        <v>3</v>
      </c>
      <c r="CZ91" t="str">
        <f t="shared" si="117"/>
        <v>L3</v>
      </c>
      <c r="DA91" cm="1">
        <f t="array" ref="DA91">IFERROR(IF(BL91=2,_xlfn.IFS(BH91=3,VLOOKUP(BF91,Справочная_двигатели,3,FALSE),BH91=1,VLOOKUP(BF91,Справочная_двигатели,5,TRUE)),0),0)</f>
        <v>0</v>
      </c>
      <c r="DB91">
        <f>IFERROR(IF(BL91=3,VLOOKUP(BF91,Справочная_ЛЭД,2,TRUE),0),0)</f>
        <v>0</v>
      </c>
      <c r="DC91">
        <f t="shared" si="118"/>
        <v>0</v>
      </c>
      <c r="DD91" t="str">
        <f t="shared" si="119"/>
        <v>L1</v>
      </c>
      <c r="DE91" t="str" cm="1">
        <f t="array" ref="DE91">IF(D91="","",IFERROR(INDEX({"I особая","I","II","III"},MATCH(TRIM(AA91&amp;""),{"I особая","I","II","III"},0)),"III"))</f>
        <v>II</v>
      </c>
      <c r="DF91" t="str">
        <f>IF(D91="","",IF(TRIM(AB91&amp;"")&lt;&gt;"",IF(LOWER(TRIM(AB91&amp;""))="да","да","нет"),IF(IFERROR(_xlfn.XLOOKUP(AT91,Коды_код,Коды_пожарная),"")="да","да","нет")))</f>
        <v>нет</v>
      </c>
      <c r="DG91" t="str">
        <f t="shared" si="120"/>
        <v/>
      </c>
      <c r="DH91" t="str">
        <f t="shared" si="121"/>
        <v>основная</v>
      </c>
      <c r="DI91">
        <f t="shared" si="122"/>
        <v>1</v>
      </c>
      <c r="DJ91" t="str" cm="1">
        <f t="array" ref="DJ91">IF(D91="","",_xlfn.LET(_xlpm.t,IFERROR(_xlfn.XLOOKUP(1,(Шины[Шина]=DH91)*(((Шины[Щит]=A91)+(Шины[Щит]=""))&gt;0),Шины[Тип]),"")&amp;"",IF(_xlpm.t&lt;&gt;"",_xlpm.t,IF(ISNUMBER(SEARCH("ИБП",DH91)),"ИБП",IF(ISNUMBER(SEARCH("ДГУ",DH91)),"ДГУ","Ввод "&amp;DI91)))))</f>
        <v>Ввод 1</v>
      </c>
      <c r="DK91" t="str">
        <f t="shared" si="123"/>
        <v>Ввод 1</v>
      </c>
      <c r="DL91" t="str">
        <f>IF(D91="","",IF(OR(DJ91="ИБП",DJ91="ДГУ"),"I особая",IF(DJ91="Одиночная","III",_xlfn.XLOOKUP(A91,Щиты[Щит],Щиты[Категория шины «Ввод»],"III"))))</f>
        <v>II</v>
      </c>
      <c r="DM91">
        <f>IF(D91="",0,IFERROR(MATCH(DE91,{"III","II","I","I особая"},0),1))</f>
        <v>2</v>
      </c>
      <c r="DN91">
        <f t="shared" si="124"/>
        <v>2</v>
      </c>
      <c r="DO91" t="str">
        <f>IF(D91="","",IF(DM91&gt;IFERROR(MATCH(DL91,{"III","II","I","I особая"},0),1),"НЕ ОБЕСПЕЧЕНА","ОК"))</f>
        <v>ОК</v>
      </c>
      <c r="DP91" t="str">
        <f>IF(A91="","",_xlfn.XLOOKUP(A91,Щиты[Щит],Щиты[Путь],""))</f>
        <v>|ГРЩ-ЖД|ЩОВ-002|</v>
      </c>
      <c r="DQ91" t="str">
        <f>IF(D91="","",IF(Z91&lt;&gt;"",Z91,IF(IFERROR(_xlfn.XLOOKUP(AT91,Коды_код,Коды_вид)&amp;"","")="","Прочее",_xlfn.XLOOKUP(AT91,Коды_код,Коды_вид)&amp;"")))</f>
        <v>Вентиляция</v>
      </c>
      <c r="DR91">
        <f>IF(BD91="","",INT((BD91-1)/Столбцов_на_лист)+1)</f>
        <v>2</v>
      </c>
      <c r="DS91" t="str">
        <f t="shared" si="125"/>
        <v>ВВГнг(А)-LS (3х1,5) L=16-0,32%</v>
      </c>
      <c r="DT91">
        <f t="shared" si="126"/>
        <v>0.35</v>
      </c>
      <c r="DU91">
        <f t="shared" si="127"/>
        <v>1.6</v>
      </c>
      <c r="DV91">
        <f t="shared" si="128"/>
        <v>1</v>
      </c>
      <c r="DW91">
        <f>IF(AT91="",0,_xlfn.LET(_xlpm.v,IFERROR(VLOOKUP(D91,УГО_спр,3,FALSE),IFERROR(VLOOKUP(AT91,УГО_спр,3,FALSE),IFERROR(VLOOKUP(LEFT(AT91,2),УГО_спр,3,FALSE),""))),IF(_xlpm.v="да",30,IF(ISNUMBER(_xlpm.v),_xlpm.v,0))))</f>
        <v>0</v>
      </c>
      <c r="DX91">
        <f t="shared" si="129"/>
        <v>0</v>
      </c>
      <c r="DY91">
        <f>IF(BD91="","",IF(AD91&lt;&gt;"",COUNTIFS(A$3:A91,A91,AD$3:AD91,"?*"),IF(OR(OR(AS91=1,A91&lt;&gt;A90),AL91="вручную"),"",IF(AS91=1,"",DZ90))))</f>
        <v>3</v>
      </c>
      <c r="DZ91">
        <f t="shared" si="130"/>
        <v>3</v>
      </c>
      <c r="EA91">
        <f>IF(D91="",0,MAX(IFERROR(--X91,0),IFERROR(--VLOOKUP(D91,УГО_спр,4,FALSE),IFERROR(--VLOOKUP(AT91,УГО_спр,4,FALSE),IFERROR(--VLOOKUP(LEFT(AT91,2),УГО_спр,4,FALSE),0)))))</f>
        <v>10</v>
      </c>
      <c r="EB91">
        <f>IF(D91="","",IFERROR(LOOKUP(INDEX(CHOOSE(BR91,Iдоп_1ж,Iдоп_2ж,Iдоп_3ж),MATCH(BS91,Iдоп_S,0))*BP91*BQ91,{6,10,16,20,25,32,40,50,63,80,100,125,160,200,250,315,400,500,630}),""))</f>
        <v>16</v>
      </c>
      <c r="EC91">
        <f>IF(AD91="","",SUMIFS(Линии[_Ток схемы],Линии[_гр.],DY91,Линии[Щит],A91,Линии[_в кабель выше],0))</f>
        <v>1.6</v>
      </c>
      <c r="ED91">
        <f>IF(AD91="","",IFERROR(VLOOKUP(EC91,Автомат_номиналы,2,TRUE),""))</f>
        <v>6</v>
      </c>
      <c r="EE91">
        <f>IF(AD91="","",MAX(N(ED91),_xlfn.MAXIFS(Линии[_мин. по типу],Линии[_гр.],DY91,Линии[Щит],A91)))</f>
        <v>10</v>
      </c>
      <c r="EF91">
        <f>IF(AD91="","",_xlfn.MINIFS(Линии[_макс. автомат по кабелю],Линии[_гр.],DY91,Линии[Щит],A91))</f>
        <v>16</v>
      </c>
      <c r="EG91">
        <f>IF(AD91="","",MAX(1,_xlfn.MAXIFS(Линии[_фаз],Линии[_гр.],DY91,Линии[Щит],A91)))</f>
        <v>1</v>
      </c>
      <c r="EH91">
        <f>IF(AD91="","",IF(AND(AD91&lt;&gt;"авто",AD91&lt;&gt;"+"),IF(ISNUMBER(SEARCH("мА",AD91)),IFERROR(--TRIM(RIGHT(SUBSTITUTE(LEFT(AD91,SEARCH("мА",AD91)-1)," ",REPT(" ",9)),6)),30),0),IF(AE91="нет",0,IF(ISNUMBER(AE91),AE91,IF(AE91="да",30,_xlfn.MINIFS(Линии[_дифзащита по коду, мА],Линии[_гр.],DY91,Линии[Щит],A91,Линии[_дифзащита по коду, мА],"&gt;0"))))))</f>
        <v>0</v>
      </c>
      <c r="EI91">
        <f t="shared" si="131"/>
        <v>0</v>
      </c>
      <c r="EJ91" t="str">
        <f t="shared" si="132"/>
        <v>QF3</v>
      </c>
      <c r="EK91" t="str">
        <f t="shared" si="133"/>
        <v>QF3</v>
      </c>
      <c r="EL91" t="str">
        <f t="shared" si="134"/>
        <v/>
      </c>
      <c r="EM91">
        <f t="shared" si="135"/>
        <v>0</v>
      </c>
      <c r="EN91">
        <f>IF(AD91="","",IF(EM91=1,MAX(EE91,Мин_автомат_БП),EE91))</f>
        <v>10</v>
      </c>
      <c r="EO91" t="str">
        <f t="shared" si="136"/>
        <v>1P</v>
      </c>
      <c r="EP91" t="str">
        <f t="shared" si="137"/>
        <v>1P С10А</v>
      </c>
      <c r="EQ91">
        <f t="shared" si="138"/>
        <v>10</v>
      </c>
      <c r="ER91" t="str">
        <f>IF(OR(AI91="",AI91="-"),"",IFERROR(VLOOKUP(AI91,Модули_спр,2,FALSE),"R"))</f>
        <v/>
      </c>
      <c r="ES91" t="str">
        <f>IF(ER91="","",ER91&amp;"."&amp;COUNTIFS(A$3:A91,A91,ER$3:ER91,ER91))</f>
        <v/>
      </c>
      <c r="ET91" t="str">
        <f t="shared" si="139"/>
        <v/>
      </c>
      <c r="EU91" t="str">
        <f t="shared" si="140"/>
        <v/>
      </c>
      <c r="EV91" t="str">
        <f t="shared" si="141"/>
        <v/>
      </c>
      <c r="EW91" t="str">
        <f t="shared" si="142"/>
        <v/>
      </c>
      <c r="EX91">
        <f t="shared" si="143"/>
        <v>1</v>
      </c>
      <c r="EY91" t="str">
        <f>IF(AK91="нет","",IF(AK91&lt;&gt;"",AK91,IF(EX91=1,"XT"&amp;COUNTIFS(A$3:A91,A91,EX$3:EX91,1),"")))</f>
        <v/>
      </c>
      <c r="EZ91" t="str">
        <f t="shared" si="144"/>
        <v>QF3</v>
      </c>
      <c r="FA91" t="str">
        <f t="shared" si="145"/>
        <v/>
      </c>
      <c r="FB91" t="str">
        <f t="shared" si="146"/>
        <v>ok</v>
      </c>
      <c r="FC91" t="str">
        <f>IF(OR(EV91="",ET91=""),"",IF(EV91&gt;IFERROR(VLOOKUP(EU91,Модули_спр,3,FALSE),99),"ЛИШНИЙ КАНАЛ",IF(AND(AJ91&lt;&gt;"=",COUNTIFS(Линии[_модуль гр.],ET91,Линии[Канал (итог)],EV91,Линии[Канал],"&lt;&gt;=",Линии[Щит],A91)&gt;1),"ДУБЛЬ КАНАЛА","")))</f>
        <v/>
      </c>
      <c r="FD91">
        <f t="shared" si="147"/>
        <v>10</v>
      </c>
      <c r="FE91" t="str">
        <f t="shared" si="148"/>
        <v>1P С10А</v>
      </c>
      <c r="FF91">
        <f t="shared" si="149"/>
        <v>0</v>
      </c>
      <c r="FG91">
        <f t="shared" si="150"/>
        <v>0</v>
      </c>
      <c r="FH91" t="str">
        <f t="shared" si="151"/>
        <v/>
      </c>
      <c r="FI91">
        <f t="shared" si="152"/>
        <v>10</v>
      </c>
      <c r="FJ91" t="str">
        <f t="shared" si="153"/>
        <v/>
      </c>
      <c r="FK91" t="str">
        <f>IF(AND(D91="",EZ91=""),"",_xlfn.TEXTJOIN("; ",TRUE,IF(AND(D91&lt;&gt;"",DD91=""),"нет фазы",""),IF(AND(D91&lt;&gt;"",N(DT91)=0,CN91&lt;&gt;"Нет"),"нет мощности",""),IF(AND(EY91&lt;&gt;"",COUNTIFS(Линии[Щит],A91,Линии[Клемма (итог)],EY91)&gt;1),"дубль клеммы "&amp;EY91,""),IF(AND(FB91&lt;&gt;"",FB91&lt;&gt;"ok"),FB91,""),IF(FC91&lt;&gt;"",FC91,""),IF(AND(ISNUMBER(SEARCH("(5х",DS91)),N(DV91)=1),"5 жил на 1 фазе",""),IF(AND(AT91="R",AD91&lt;&gt;"",OR(N(EH91)=0,N(EH91)&gt;30)),"розетка без дифзащиты до 30 мА",""),IFERROR(IF(AND(ISNUMBER(CD91),CD91&gt;CE91),"потери "&amp;FIXED(CD91,1)&amp;" % &gt; "&amp;CE91&amp;" %",""),""),IFERROR(IF(LEFT(FJ91,4)="мало","Iкз мало — отключение &gt; 0,4 с",""),""),IF(AND(D91&lt;&gt;"",BD91=""),"не на схеме","")))</f>
        <v/>
      </c>
      <c r="FL91">
        <f>IF(AD91="","",_xlfn.LET(_xlpm.t,IFERROR(_xlfn.XLOOKUP(EP91,Каталог!$U$4:$U$500,Каталог!$G$4:$G$500),""),_xlpm.k,SEARCH("кА",_xlpm.t),IFERROR(--TRIM(RIGHT(SUBSTITUTE(MID(_xlpm.t,MAX(1,_xlpm.k-4),_xlpm.k-MAX(1,_xlpm.k-4))," ",REPT(" ",9)),5)),"")))</f>
        <v>6</v>
      </c>
      <c r="FM91" t="str">
        <f>IF(OR(FL91="",AD91=""),"",IF(_xlfn.XLOOKUP(A91,Щиты[Щит],Щиты[Iкз max на шинах, кА],"")="","",IF(FL91&lt;_xlfn.XLOOKUP(A91,Щиты[Щит],Щиты[Iкз max на шинах, кА]),"Icu "&amp;FL91&amp;" кА &lt; Iкз max","ok")))</f>
        <v/>
      </c>
      <c r="FN91" t="str">
        <f t="shared" si="154"/>
        <v>QF3</v>
      </c>
      <c r="FO91" t="str">
        <f t="shared" si="155"/>
        <v>QF3|кабель ВВГнг(А)-LS (3х1,5) → Приточно-вытяжная установка Подвальный этаж Пом. №003Т</v>
      </c>
      <c r="FP91" t="str" cm="1">
        <f t="array" ref="FP91">IF(FO91="","",_xlfn.LET(_xlpm.nd,_xlfn.TEXTSPLIT(FO91,"|"),IF(COLUMNS(_xlpm.nd)&gt;1,A91&amp;"¦"&amp;INDEX(_xlpm.nd,1)&amp;"¦"&amp;INDEX(_xlpm.nd,2),"")))</f>
        <v>ЩОВ-002¦QF3¦кабель ВВГнг(А)-LS (3х1,5) → Приточно-вытяжная установка Подвальный этаж Пом. №003Т</v>
      </c>
      <c r="FQ91" t="str">
        <f t="shared" si="156"/>
        <v>ПВ.К¦Приточно-вытяжная установка Подвальный этаж Пом. №003Т</v>
      </c>
      <c r="FR91" t="str" cm="1">
        <f t="array" ref="FR91">IF(FO91="","",_xlfn.LET(_xlpm.nd,_xlfn.TEXTSPLIT(FO91,"|"),IF(COLUMNS(_xlpm.nd)&gt;2,A91&amp;"¦"&amp;INDEX(_xlpm.nd,2)&amp;"¦"&amp;INDEX(_xlpm.nd,3),"")))</f>
        <v/>
      </c>
      <c r="FS91" t="str">
        <f t="shared" si="157"/>
        <v/>
      </c>
      <c r="FT91" t="str" cm="1">
        <f t="array" ref="FT91">IF(FO91="","",_xlfn.LET(_xlpm.nd,_xlfn.TEXTSPLIT(FO91,"|"),IF(COLUMNS(_xlpm.nd)&gt;3,A91&amp;"¦"&amp;INDEX(_xlpm.nd,3)&amp;"¦"&amp;INDEX(_xlpm.nd,4),"")))</f>
        <v/>
      </c>
      <c r="FU91" t="str">
        <f t="shared" si="158"/>
        <v/>
      </c>
      <c r="FV91" t="str" cm="1">
        <f t="array" ref="FV91">IF(FO91="","",_xlfn.LET(_xlpm.nd,_xlfn.TEXTSPLIT(FO91,"|"),IF(COLUMNS(_xlpm.nd)&gt;4,A91&amp;"¦"&amp;INDEX(_xlpm.nd,4)&amp;"¦"&amp;INDEX(_xlpm.nd,5),"")))</f>
        <v/>
      </c>
      <c r="FW91" t="str">
        <f t="shared" si="159"/>
        <v/>
      </c>
      <c r="FX91" t="str" cm="1">
        <f t="array" ref="FX91">IF(FO91="","",_xlfn.LET(_xlpm.nd,_xlfn.TEXTSPLIT(FO91,"|"),IF(COLUMNS(_xlpm.nd)&gt;5,A91&amp;"¦"&amp;INDEX(_xlpm.nd,5)&amp;"¦"&amp;INDEX(_xlpm.nd,6),"")))</f>
        <v/>
      </c>
      <c r="FY91" t="str">
        <f t="shared" si="160"/>
        <v/>
      </c>
      <c r="FZ91" t="str" cm="1">
        <f t="array" ref="FZ91">IF(FO91="","",_xlfn.LET(_xlpm.nd,_xlfn.TEXTSPLIT(FO91,"|"),IF(COLUMNS(_xlpm.nd)&gt;6,A91&amp;"¦"&amp;INDEX(_xlpm.nd,6)&amp;"¦"&amp;INDEX(_xlpm.nd,7),"")))</f>
        <v/>
      </c>
      <c r="GA91" t="str">
        <f t="shared" si="161"/>
        <v/>
      </c>
      <c r="GB91" t="str">
        <f t="shared" si="162"/>
        <v/>
      </c>
      <c r="GC91" t="str">
        <f t="shared" si="163"/>
        <v>QF3</v>
      </c>
      <c r="GD91">
        <f t="shared" si="164"/>
        <v>1</v>
      </c>
      <c r="GE91">
        <f t="shared" si="165"/>
        <v>0</v>
      </c>
      <c r="GF91">
        <f t="shared" si="166"/>
        <v>0</v>
      </c>
      <c r="GG91" t="str">
        <f t="shared" si="167"/>
        <v/>
      </c>
      <c r="GH91" t="str">
        <f t="shared" si="168"/>
        <v/>
      </c>
      <c r="GI91" t="str">
        <f t="shared" si="169"/>
        <v/>
      </c>
      <c r="GJ91" t="str">
        <f t="shared" si="170"/>
        <v/>
      </c>
      <c r="GK91" t="str">
        <f>IF(D91="","",IFERROR(VLOOKUP(D91,УГО_спр,2,FALSE),IFERROR(VLOOKUP(AT91,УГО_спр,2,FALSE),IFERROR(VLOOKUP(LEFT(AT91,2),УГО_спр,2,FALSE),""))))</f>
        <v>Привод (двигатель)</v>
      </c>
      <c r="GL91" t="str">
        <f>IF(D91="","",IF(OR(GK91="",GK91=0),"BOX",IFERROR(IF(VLOOKUP(GK91,УГО_блоки,3,FALSE)&amp;""&lt;&gt;"",VLOOKUP(GK91,УГО_блоки,3,FALSE),VLOOKUP(GK91,УГО_блоки,2,FALSE)),GK91)))</f>
        <v>MOTOR</v>
      </c>
      <c r="GM91">
        <f t="shared" si="171"/>
        <v>1</v>
      </c>
      <c r="GN91" t="str">
        <f>IF(EP91="","",IF(COUNTIF(EP$3:EP91,EP91)=1,MAX(GN$2:GN90)+1,""))</f>
        <v/>
      </c>
      <c r="GO91" t="str">
        <f>IF(AF91="","",IF(COUNTIF(AF$3:AF91,AF91)+COUNTIF(AG$2:AG90,AF91)+COUNTIF(AH$2:AH90,AF91)=1,MAX(GO$2:GQ90)+1,""))</f>
        <v/>
      </c>
      <c r="GP91" t="str">
        <f>IF(AG91="","",IF(COUNTIF(AF$3:AF91,AG91)+COUNTIF(AG$3:AG91,AG91)+COUNTIF(AH$2:AH90,AG91)=1,MAX(GO$2:GQ90,GO91)+1,""))</f>
        <v/>
      </c>
      <c r="GQ91" t="str">
        <f>IF(AH91="","",IF(COUNTIF(AF$3:AF91,AH91)+COUNTIF(AG$3:AG91,AH91)+COUNTIF(AH$3:AH91,AH91)=1,MAX(GO$2:GQ90,GO91,GP91)+1,""))</f>
        <v/>
      </c>
      <c r="GR91" t="str">
        <f t="shared" si="172"/>
        <v>3х1,5</v>
      </c>
      <c r="GS91" t="str">
        <f>IF(GR91="","",IF(COUNTIF(GR$3:GR91,GR91)=1,MAX(GS$2:GS90)+1,""))</f>
        <v/>
      </c>
      <c r="GT91" t="str">
        <f>IF(ES91="","",COUNTIF(ES$3:ES91,"?*"))</f>
        <v/>
      </c>
      <c r="GU91" t="str">
        <f>IF(OR(ES91="",EU91=""),"",IF(COUNTIFS(ES$3:ES91,"?*",EU$3:EU91,EU91)=1,MAX(GU$2:GU90)+1,""))</f>
        <v/>
      </c>
      <c r="GV91">
        <f t="shared" si="173"/>
        <v>0</v>
      </c>
      <c r="GW91">
        <f>IF(D91="","",COUNTIF(D$3:D91,"?*"))</f>
        <v>89</v>
      </c>
      <c r="GX91">
        <f>IF(EX91&lt;&gt;1,0,_xlfn.LET(_xlpm.k,MAX(IFERROR(--VLOOKUP(D91,УГО_спр,5,FALSE),0),IFERROR(--VLOOKUP(AT91,УГО_спр,5,FALSE),0),IFERROR(--VLOOKUP(LEFT(AT91,2),УГО_спр,5,FALSE),0)),IF(_xlpm.k&gt;0,_xlpm.k,IF(IFERROR(--LEFT(SUBSTITUTE(GR91,"x","х"),FIND("х",SUBSTITUTE(GR91,"x","х"))-1),3)&gt;3,Каталог!$S$9,1))))</f>
        <v>1</v>
      </c>
      <c r="GY91">
        <f t="shared" si="174"/>
        <v>0</v>
      </c>
    </row>
    <row r="92" spans="1:207" x14ac:dyDescent="0.3">
      <c r="A92" t="s">
        <v>754</v>
      </c>
      <c r="B92">
        <v>22</v>
      </c>
      <c r="C92" t="str">
        <f>IF(BD92="","",IF(BE92="вводной узел","узел ","")&amp;"л."&amp;(INT((BD92-1)/Столбцов_на_лист)+1)&amp;" / "&amp;(MOD(BD92-1,Столбцов_на_лист)+1))</f>
        <v>л.2 / 5</v>
      </c>
      <c r="D92" t="s">
        <v>1371</v>
      </c>
      <c r="E92" s="133" t="s">
        <v>1372</v>
      </c>
      <c r="G92">
        <v>3</v>
      </c>
      <c r="H92">
        <v>1</v>
      </c>
      <c r="I92">
        <v>1</v>
      </c>
      <c r="J92">
        <v>230</v>
      </c>
      <c r="K92" t="s">
        <v>602</v>
      </c>
      <c r="L92">
        <v>0.5</v>
      </c>
      <c r="O92">
        <v>3</v>
      </c>
      <c r="P92">
        <v>29</v>
      </c>
      <c r="Q92">
        <v>11</v>
      </c>
      <c r="R92">
        <v>22</v>
      </c>
      <c r="T92">
        <v>1</v>
      </c>
      <c r="U92" t="s">
        <v>11</v>
      </c>
      <c r="V92">
        <v>3</v>
      </c>
      <c r="W92">
        <v>4</v>
      </c>
      <c r="X92">
        <v>16</v>
      </c>
      <c r="Z92" t="s">
        <v>584</v>
      </c>
      <c r="AA92" t="s">
        <v>818</v>
      </c>
      <c r="AD92" t="s">
        <v>517</v>
      </c>
      <c r="AK92" t="s">
        <v>488</v>
      </c>
      <c r="AR92" t="str">
        <f t="shared" si="88"/>
        <v/>
      </c>
      <c r="AS92" cm="1">
        <f t="array" ref="AS92">ROW()-ROW(Линии[#Headers])</f>
        <v>90</v>
      </c>
      <c r="AT92" t="str">
        <f t="shared" si="89"/>
        <v>ПВ</v>
      </c>
      <c r="AU92" t="str">
        <f t="shared" si="90"/>
        <v>10</v>
      </c>
      <c r="AV92" t="str">
        <f t="shared" si="91"/>
        <v>10</v>
      </c>
      <c r="AW92" t="str">
        <f t="shared" si="92"/>
        <v/>
      </c>
      <c r="AX92" t="str">
        <f t="shared" si="93"/>
        <v/>
      </c>
      <c r="AY92" t="str">
        <f>IF(D92="","",IF(ISERROR(SEARCH(".",D92)),IFERROR(VLOOKUP(D92,Потребители_обозначение,2,FALSE)&amp;"",""),IFERROR(IF(VLOOKUP(AT92,Потребители_обозначение,4,FALSE)=1,VLOOKUP(AT92,Потребители_обозначение,2,FALSE)&amp;" "&amp;VLOOKUP(AV92,Этаж_обозначение,2,FALSE)&amp;" Пом. №"&amp;AX92,VLOOKUP(AT92,Потребители_обозначение,2,FALSE)&amp;" Шлейф №"&amp;AV92),IFERROR(VLOOKUP(D92,Потребители_обозначение,2,FALSE),""))))</f>
        <v>Приточно-вытяжная установка Шлейф №10</v>
      </c>
      <c r="AZ92" t="str">
        <f t="shared" si="94"/>
        <v>Приточно-вытяжная установка Подвальный этаж Пом. №005Т</v>
      </c>
      <c r="BA92" t="str">
        <f>IF(F92&lt;&gt;"",F92,IF(AND(D92&lt;&gt;"",D92&lt;&gt;A92,ISNUMBER(_xlfn.XMATCH(D92,Щиты[Щит]))),D92,""))</f>
        <v/>
      </c>
      <c r="BB92">
        <f>IFERROR(_xlfn.XMATCH(A92,Щиты[Щит]),0)</f>
        <v>5</v>
      </c>
      <c r="BC92">
        <f>IFERROR(N(_xlfn.XLOOKUP(A92,Щиты[Щит],Щиты[Мест под вводной узел])),15)</f>
        <v>18</v>
      </c>
      <c r="BD92">
        <f t="shared" si="95"/>
        <v>22</v>
      </c>
      <c r="BE92" t="str">
        <f t="shared" si="96"/>
        <v>линии</v>
      </c>
      <c r="BF92">
        <f>IF(D92="","",IF(BA92&lt;&gt;"",IFERROR(_xlfn.XLOOKUP(BA92,Щиты[Щит],Щиты[Руст, кВт]),0),N(G92)))</f>
        <v>3</v>
      </c>
      <c r="BG92">
        <f>IF(J92&lt;&gt;"",J92,IF(D92="","",IFERROR(IF(VLOOKUP(AT92,Потребители_обозначение,8,FALSE)=0,"",VLOOKUP(AT92,Потребители_обозначение,8,FALSE)),"")))</f>
        <v>230</v>
      </c>
      <c r="BH92">
        <f>IF(I92&lt;&gt;"",I92,IF(D92="","",IFERROR(IF(VLOOKUP(AT92,Потребители_обозначение,9,FALSE)=0,"",VLOOKUP(AT92,Потребители_обозначение,9,FALSE)),"")))</f>
        <v>1</v>
      </c>
      <c r="BI92" t="str">
        <f>IF(U92&lt;&gt;"",U92,IF(D92="","",IFERROR(IF(VLOOKUP(AT92,Потребители_обозначение,6,FALSE)=0,"",VLOOKUP(AT92,Потребители_обозначение,6,FALSE)),"")))</f>
        <v>мс</v>
      </c>
      <c r="BJ92">
        <f>IF(V92&lt;&gt;"",V92,IF(D92="","",IFERROR(IF(VLOOKUP(AT92,Потребители_обозначение,7,FALSE)=0,"",VLOOKUP(AT92,Потребители_обозначение,7,FALSE)),"")))</f>
        <v>3</v>
      </c>
      <c r="BK92">
        <f>IF(W92&lt;&gt;"",W92,IF(D92="","",IFERROR(IF(VLOOKUP(AT92,Потребители_обозначение,10,FALSE)=0,"",VLOOKUP(AT92,Потребители_обозначение,10,FALSE)),"")))</f>
        <v>4</v>
      </c>
      <c r="BL92">
        <f>IFERROR(VLOOKUP(AT92,Потребители_обозначение,5,FALSE),0)</f>
        <v>1</v>
      </c>
      <c r="BM92" cm="1">
        <f t="array" ref="BM92">IF(D92="","",IF(BA92&lt;&gt;"",IFERROR(_xlfn.XLOOKUP(BA92,Щиты[Щит],Щиты[cos φ]),0.95),IF(ISNUMBER(M92),M92,IFERROR(IF(BL92=2,_xlfn.IFS(BH92=3,VLOOKUP(BF92,Справочная_двигатели,8,FALSE),BH92=1,VLOOKUP(BF92,Справочная_двигатели,10,TRUE)),IF(AND(Методика="нормы 2026",CN92="Сил"),0.8,0.95)),0.95))))</f>
        <v>0.95</v>
      </c>
      <c r="BN92" cm="1">
        <f t="array" ref="BN92">IF(D92="","",IF(BA92&lt;&gt;"",IFERROR(_xlfn.XLOOKUP(BA92,Щиты[Щит],Щиты[Iр, А]),""),IFERROR(_xlfn.IFS(BH92=1,BF92/((Uн_лин/SQRT(3))*BM92),BH92=3,BF92/(SQRT(3)*Uн_лин*BM92)),"")))</f>
        <v>13.674085322912189</v>
      </c>
      <c r="BO92">
        <f>IF(D92="","",IF(N(X92)=0,IFERROR(VLOOKUP(BN92,Автомат_номиналы,2,TRUE),""),X92))</f>
        <v>16</v>
      </c>
      <c r="BP92">
        <f t="shared" si="97"/>
        <v>1</v>
      </c>
      <c r="BQ92">
        <f>IF(ISNUMBER(Y92),Y92,К_прокл)</f>
        <v>1</v>
      </c>
      <c r="BR92">
        <f t="shared" si="98"/>
        <v>2</v>
      </c>
      <c r="BS92" cm="1">
        <f t="array" ref="BS92">IF(D92="","",IF(N(BK92)&lt;&gt;0,BK92,IFERROR(_xlfn.LET(_xlpm.need,BO92/(BP92*BQ92),_xlpm.t,CHOOSE(BR92,Iдоп_1ж,Iдоп_2ж,Iдоп_3ж),_xlpm.k,_xlfn.XMATCH(_xlpm.need,_xlpm.t,1),IF(ISNA(_xlpm.k),"Не исп",INDEX(Iдоп_S,_xlpm.k))),"Не исп")))</f>
        <v>4</v>
      </c>
      <c r="BT92">
        <f>IFERROR(VLOOKUP(BS92,Кабель_сопротивление,3,FALSE),"")</f>
        <v>2.2499999999999999E-2</v>
      </c>
      <c r="BU92">
        <f>IFERROR(VLOOKUP(BS92,Кабель_сопротивление,2,FALSE),"")</f>
        <v>9.5000000000000001E-2</v>
      </c>
      <c r="BV92">
        <f t="shared" si="99"/>
        <v>29</v>
      </c>
      <c r="BW92">
        <f>IF(D92="","",IFERROR(IF(VLOOKUP(AT92,Потребители_обозначение,4,FALSE)=1,VLOOKUP(AT92,Потребители_обозначение,3,FALSE)*(H92*2-1)+BV92+VLOOKUP(AV92,Этаж_обозначение,3,FALSE)+VLOOKUP(AV92,Этаж_обозначение,4,FALSE),VLOOKUP(AT92,Потребители_обозначение,3,FALSE)*(H92*2-1)+BV92),BV92))</f>
        <v>33</v>
      </c>
      <c r="BX92">
        <f t="shared" si="100"/>
        <v>22</v>
      </c>
      <c r="BY92">
        <f t="shared" si="101"/>
        <v>0</v>
      </c>
      <c r="BZ92">
        <f t="shared" si="102"/>
        <v>2</v>
      </c>
      <c r="CA92">
        <f t="shared" si="103"/>
        <v>0.31</v>
      </c>
      <c r="CB92">
        <f t="shared" si="104"/>
        <v>4.8492572869667363</v>
      </c>
      <c r="CC92">
        <f>IFERROR(ROUNDUP(CB92/((Uн_лин/SQRT(3))*1000)*100,2),"")</f>
        <v>2.0999999999999996</v>
      </c>
      <c r="CD92">
        <f>IF(ISNUMBER(CC92),CC92+IFERROR(_xlfn.XLOOKUP(A92,Щиты[Щит],Щиты[ΔU до шин, %]),0),"")</f>
        <v>2.76</v>
      </c>
      <c r="CE92">
        <f>IF(D92="","",IF(IFERROR(VLOOKUP(AT92,УГО_спр,2,FALSE),"")="Светильник",3,4)+IF(Методика="нормы 2026",MIN(0.5,MAX(0,N(BW92)-100)*0.005),0))</f>
        <v>4</v>
      </c>
      <c r="CF92" t="str">
        <f>IFERROR(VLOOKUP(BI92,Кабель_обозначение,2,FALSE),"")</f>
        <v>ВВГнг(А)-LS</v>
      </c>
      <c r="CG92" t="str">
        <f>IFERROR(IF(VLOOKUP(BI92,Кабель_обозначение,3,FALSE)=1,CF92&amp;" ("&amp;BJ92&amp;"х"&amp;BS92&amp;")",CF92),"")</f>
        <v>ВВГнг(А)-LS (3х4)</v>
      </c>
      <c r="CH92" t="str">
        <f t="shared" si="105"/>
        <v>ВВГнг(А)-LS (3х4)
L=33-2,1%</v>
      </c>
      <c r="CI92">
        <f>IFERROR(2*ρкз_Cu*BW92/BS92,"")</f>
        <v>0.43395</v>
      </c>
      <c r="CJ92">
        <f t="shared" si="106"/>
        <v>0.144375</v>
      </c>
      <c r="CK92" t="str">
        <f>IFERROR(IF(OR(D92="",NOT(ISNUMBER(BS92)),N(BW92)=0),"",_xlfn.XLOOKUP(A92,Щиты[Щит],Щиты[Zпетли на шинах, Ом])+CI92),"")</f>
        <v/>
      </c>
      <c r="CL92" t="str">
        <f>IF(ISNUMBER(CK92),c_min*(Uн_лин*1000/SQRT(3))/CK92,"")</f>
        <v/>
      </c>
      <c r="CM92" t="str">
        <f>IFERROR(IF(OR(D92="",NOT(ISNUMBER(BS92))),"",1.05*(Uн_лин*1000/SQRT(3))/(_xlfn.XLOOKUP(A92,Щиты[Щит],Щиты[Zmax на шинах, Ом])+CJ92)/1000),"")</f>
        <v/>
      </c>
      <c r="CN92" t="str">
        <f>IF(D92="","",IF(BA92&lt;&gt;"","Щит",IF(K92&lt;&gt;"",K92,IF(ISNUMBER(L92),"Сил",IF(IFERROR(_xlfn.XLOOKUP(AT92,Коды_код,Коды_группа)&amp;"","")="","Быт",_xlfn.XLOOKUP(AT92,Коды_код,Коды_группа)&amp;"")))))</f>
        <v>Сил</v>
      </c>
      <c r="CO92">
        <f>IF(CN92="Щит","щит",IF(CN92="","",IF(CN92="Быт",IFERROR(_xlfn.XLOOKUP(A92,Щиты[Щит],Щиты[Кс быт]),1),IF(CN92="Сил",IF(ISNUMBER(L92),L92,IF(Методика="нормы 2026",IFERROR(_xlfn.XLOOKUP(A92,Щиты[Щит],Щиты[Кс силовых (табл. 7.5)]),1),1)),IF(OR(CN92="Пост",CN92="Отоп"),1,IF(CN92="ВНГ",0.7,0))))))</f>
        <v>0.5</v>
      </c>
      <c r="CP92">
        <f t="shared" si="107"/>
        <v>1</v>
      </c>
      <c r="CQ92">
        <f t="shared" si="108"/>
        <v>3</v>
      </c>
      <c r="CR92">
        <f t="shared" si="109"/>
        <v>0</v>
      </c>
      <c r="CS92">
        <f t="shared" si="110"/>
        <v>1.5</v>
      </c>
      <c r="CT92">
        <f t="shared" si="111"/>
        <v>0</v>
      </c>
      <c r="CU92">
        <f t="shared" si="112"/>
        <v>0</v>
      </c>
      <c r="CV92">
        <f t="shared" si="113"/>
        <v>0</v>
      </c>
      <c r="CW92">
        <f t="shared" si="114"/>
        <v>3</v>
      </c>
      <c r="CX92">
        <f t="shared" si="115"/>
        <v>2.8499999999999996</v>
      </c>
      <c r="CY92">
        <f t="shared" si="116"/>
        <v>1</v>
      </c>
      <c r="CZ92" t="str">
        <f t="shared" si="117"/>
        <v>L1</v>
      </c>
      <c r="DA92" cm="1">
        <f t="array" ref="DA92">IFERROR(IF(BL92=2,_xlfn.IFS(BH92=3,VLOOKUP(BF92,Справочная_двигатели,3,FALSE),BH92=1,VLOOKUP(BF92,Справочная_двигатели,5,TRUE)),0),0)</f>
        <v>0</v>
      </c>
      <c r="DB92">
        <f>IFERROR(IF(BL92=3,VLOOKUP(BF92,Справочная_ЛЭД,2,TRUE),0),0)</f>
        <v>0</v>
      </c>
      <c r="DC92">
        <f t="shared" si="118"/>
        <v>0</v>
      </c>
      <c r="DD92" t="str">
        <f t="shared" si="119"/>
        <v>L3</v>
      </c>
      <c r="DE92" t="str" cm="1">
        <f t="array" ref="DE92">IF(D92="","",IFERROR(INDEX({"I особая","I","II","III"},MATCH(TRIM(AA92&amp;""),{"I особая","I","II","III"},0)),"III"))</f>
        <v>II</v>
      </c>
      <c r="DF92" t="str">
        <f>IF(D92="","",IF(TRIM(AB92&amp;"")&lt;&gt;"",IF(LOWER(TRIM(AB92&amp;""))="да","да","нет"),IF(IFERROR(_xlfn.XLOOKUP(AT92,Коды_код,Коды_пожарная),"")="да","да","нет")))</f>
        <v>нет</v>
      </c>
      <c r="DG92" t="str">
        <f t="shared" si="120"/>
        <v/>
      </c>
      <c r="DH92" t="str">
        <f t="shared" si="121"/>
        <v>основная</v>
      </c>
      <c r="DI92">
        <f t="shared" si="122"/>
        <v>1</v>
      </c>
      <c r="DJ92" t="str" cm="1">
        <f t="array" ref="DJ92">IF(D92="","",_xlfn.LET(_xlpm.t,IFERROR(_xlfn.XLOOKUP(1,(Шины[Шина]=DH92)*(((Шины[Щит]=A92)+(Шины[Щит]=""))&gt;0),Шины[Тип]),"")&amp;"",IF(_xlpm.t&lt;&gt;"",_xlpm.t,IF(ISNUMBER(SEARCH("ИБП",DH92)),"ИБП",IF(ISNUMBER(SEARCH("ДГУ",DH92)),"ДГУ","Ввод "&amp;DI92)))))</f>
        <v>Ввод 1</v>
      </c>
      <c r="DK92" t="str">
        <f t="shared" si="123"/>
        <v>Ввод 1</v>
      </c>
      <c r="DL92" t="str">
        <f>IF(D92="","",IF(OR(DJ92="ИБП",DJ92="ДГУ"),"I особая",IF(DJ92="Одиночная","III",_xlfn.XLOOKUP(A92,Щиты[Щит],Щиты[Категория шины «Ввод»],"III"))))</f>
        <v>II</v>
      </c>
      <c r="DM92">
        <f>IF(D92="",0,IFERROR(MATCH(DE92,{"III","II","I","I особая"},0),1))</f>
        <v>2</v>
      </c>
      <c r="DN92">
        <f t="shared" si="124"/>
        <v>2</v>
      </c>
      <c r="DO92" t="str">
        <f>IF(D92="","",IF(DM92&gt;IFERROR(MATCH(DL92,{"III","II","I","I особая"},0),1),"НЕ ОБЕСПЕЧЕНА","ОК"))</f>
        <v>ОК</v>
      </c>
      <c r="DP92" t="str">
        <f>IF(A92="","",_xlfn.XLOOKUP(A92,Щиты[Щит],Щиты[Путь],""))</f>
        <v>|ГРЩ-ЖД|ЩОВ-002|</v>
      </c>
      <c r="DQ92" t="str">
        <f>IF(D92="","",IF(Z92&lt;&gt;"",Z92,IF(IFERROR(_xlfn.XLOOKUP(AT92,Коды_код,Коды_вид)&amp;"","")="","Прочее",_xlfn.XLOOKUP(AT92,Коды_код,Коды_вид)&amp;"")))</f>
        <v>Вентиляция</v>
      </c>
      <c r="DR92">
        <f>IF(BD92="","",INT((BD92-1)/Столбцов_на_лист)+1)</f>
        <v>2</v>
      </c>
      <c r="DS92" t="str">
        <f t="shared" si="125"/>
        <v>ВВГнг(А)-LS (3х4) L=33-2,1%</v>
      </c>
      <c r="DT92">
        <f t="shared" si="126"/>
        <v>3</v>
      </c>
      <c r="DU92">
        <f t="shared" si="127"/>
        <v>13.68</v>
      </c>
      <c r="DV92">
        <f t="shared" si="128"/>
        <v>1</v>
      </c>
      <c r="DW92">
        <f>IF(AT92="",0,_xlfn.LET(_xlpm.v,IFERROR(VLOOKUP(D92,УГО_спр,3,FALSE),IFERROR(VLOOKUP(AT92,УГО_спр,3,FALSE),IFERROR(VLOOKUP(LEFT(AT92,2),УГО_спр,3,FALSE),""))),IF(_xlpm.v="да",30,IF(ISNUMBER(_xlpm.v),_xlpm.v,0))))</f>
        <v>0</v>
      </c>
      <c r="DX92">
        <f t="shared" si="129"/>
        <v>0</v>
      </c>
      <c r="DY92">
        <f>IF(BD92="","",IF(AD92&lt;&gt;"",COUNTIFS(A$3:A92,A92,AD$3:AD92,"?*"),IF(OR(OR(AS92=1,A92&lt;&gt;A91),AL92="вручную"),"",IF(AS92=1,"",DZ91))))</f>
        <v>4</v>
      </c>
      <c r="DZ92">
        <f t="shared" si="130"/>
        <v>4</v>
      </c>
      <c r="EA92">
        <f>IF(D92="",0,MAX(IFERROR(--X92,0),IFERROR(--VLOOKUP(D92,УГО_спр,4,FALSE),IFERROR(--VLOOKUP(AT92,УГО_спр,4,FALSE),IFERROR(--VLOOKUP(LEFT(AT92,2),УГО_спр,4,FALSE),0)))))</f>
        <v>16</v>
      </c>
      <c r="EB92">
        <f>IF(D92="","",IFERROR(LOOKUP(INDEX(CHOOSE(BR92,Iдоп_1ж,Iдоп_2ж,Iдоп_3ж),MATCH(BS92,Iдоп_S,0))*BP92*BQ92,{6,10,16,20,25,32,40,50,63,80,100,125,160,200,250,315,400,500,630}),""))</f>
        <v>32</v>
      </c>
      <c r="EC92">
        <f>IF(AD92="","",SUMIFS(Линии[_Ток схемы],Линии[_гр.],DY92,Линии[Щит],A92,Линии[_в кабель выше],0))</f>
        <v>13.68</v>
      </c>
      <c r="ED92">
        <f>IF(AD92="","",IFERROR(VLOOKUP(EC92,Автомат_номиналы,2,TRUE),""))</f>
        <v>16</v>
      </c>
      <c r="EE92">
        <f>IF(AD92="","",MAX(N(ED92),_xlfn.MAXIFS(Линии[_мин. по типу],Линии[_гр.],DY92,Линии[Щит],A92)))</f>
        <v>16</v>
      </c>
      <c r="EF92">
        <f>IF(AD92="","",_xlfn.MINIFS(Линии[_макс. автомат по кабелю],Линии[_гр.],DY92,Линии[Щит],A92))</f>
        <v>32</v>
      </c>
      <c r="EG92">
        <f>IF(AD92="","",MAX(1,_xlfn.MAXIFS(Линии[_фаз],Линии[_гр.],DY92,Линии[Щит],A92)))</f>
        <v>1</v>
      </c>
      <c r="EH92">
        <f>IF(AD92="","",IF(AND(AD92&lt;&gt;"авто",AD92&lt;&gt;"+"),IF(ISNUMBER(SEARCH("мА",AD92)),IFERROR(--TRIM(RIGHT(SUBSTITUTE(LEFT(AD92,SEARCH("мА",AD92)-1)," ",REPT(" ",9)),6)),30),0),IF(AE92="нет",0,IF(ISNUMBER(AE92),AE92,IF(AE92="да",30,_xlfn.MINIFS(Линии[_дифзащита по коду, мА],Линии[_гр.],DY92,Линии[Щит],A92,Линии[_дифзащита по коду, мА],"&gt;0"))))))</f>
        <v>0</v>
      </c>
      <c r="EI92">
        <f t="shared" si="131"/>
        <v>0</v>
      </c>
      <c r="EJ92" t="str">
        <f t="shared" si="132"/>
        <v>QF4</v>
      </c>
      <c r="EK92" t="str">
        <f t="shared" si="133"/>
        <v>QF4</v>
      </c>
      <c r="EL92" t="str">
        <f t="shared" si="134"/>
        <v/>
      </c>
      <c r="EM92">
        <f t="shared" si="135"/>
        <v>0</v>
      </c>
      <c r="EN92">
        <f>IF(AD92="","",IF(EM92=1,MAX(EE92,Мин_автомат_БП),EE92))</f>
        <v>16</v>
      </c>
      <c r="EO92" t="str">
        <f t="shared" si="136"/>
        <v>1P</v>
      </c>
      <c r="EP92" t="str">
        <f t="shared" si="137"/>
        <v>1P С16А</v>
      </c>
      <c r="EQ92">
        <f t="shared" si="138"/>
        <v>16</v>
      </c>
      <c r="ER92" t="str">
        <f>IF(OR(AI92="",AI92="-"),"",IFERROR(VLOOKUP(AI92,Модули_спр,2,FALSE),"R"))</f>
        <v/>
      </c>
      <c r="ES92" t="str">
        <f>IF(ER92="","",ER92&amp;"."&amp;COUNTIFS(A$3:A92,A92,ER$3:ER92,ER92))</f>
        <v/>
      </c>
      <c r="ET92" t="str">
        <f t="shared" si="139"/>
        <v/>
      </c>
      <c r="EU92" t="str">
        <f t="shared" si="140"/>
        <v/>
      </c>
      <c r="EV92" t="str">
        <f t="shared" si="141"/>
        <v/>
      </c>
      <c r="EW92" t="str">
        <f t="shared" si="142"/>
        <v/>
      </c>
      <c r="EX92">
        <f t="shared" si="143"/>
        <v>1</v>
      </c>
      <c r="EY92" t="str">
        <f>IF(AK92="нет","",IF(AK92&lt;&gt;"",AK92,IF(EX92=1,"XT"&amp;COUNTIFS(A$3:A92,A92,EX$3:EX92,1),"")))</f>
        <v/>
      </c>
      <c r="EZ92" t="str">
        <f t="shared" si="144"/>
        <v>QF4</v>
      </c>
      <c r="FA92" t="str">
        <f t="shared" si="145"/>
        <v/>
      </c>
      <c r="FB92" t="str">
        <f t="shared" si="146"/>
        <v>ok</v>
      </c>
      <c r="FC92" t="str">
        <f>IF(OR(EV92="",ET92=""),"",IF(EV92&gt;IFERROR(VLOOKUP(EU92,Модули_спр,3,FALSE),99),"ЛИШНИЙ КАНАЛ",IF(AND(AJ92&lt;&gt;"=",COUNTIFS(Линии[_модуль гр.],ET92,Линии[Канал (итог)],EV92,Линии[Канал],"&lt;&gt;=",Линии[Щит],A92)&gt;1),"ДУБЛЬ КАНАЛА","")))</f>
        <v/>
      </c>
      <c r="FD92">
        <f t="shared" si="147"/>
        <v>16</v>
      </c>
      <c r="FE92" t="str">
        <f t="shared" si="148"/>
        <v>1P С16А</v>
      </c>
      <c r="FF92">
        <f t="shared" si="149"/>
        <v>0</v>
      </c>
      <c r="FG92">
        <f t="shared" si="150"/>
        <v>0</v>
      </c>
      <c r="FH92" t="str">
        <f t="shared" si="151"/>
        <v/>
      </c>
      <c r="FI92">
        <f t="shared" si="152"/>
        <v>10</v>
      </c>
      <c r="FJ92" t="str">
        <f t="shared" si="153"/>
        <v/>
      </c>
      <c r="FK92" t="str">
        <f>IF(AND(D92="",EZ92=""),"",_xlfn.TEXTJOIN("; ",TRUE,IF(AND(D92&lt;&gt;"",DD92=""),"нет фазы",""),IF(AND(D92&lt;&gt;"",N(DT92)=0,CN92&lt;&gt;"Нет"),"нет мощности",""),IF(AND(EY92&lt;&gt;"",COUNTIFS(Линии[Щит],A92,Линии[Клемма (итог)],EY92)&gt;1),"дубль клеммы "&amp;EY92,""),IF(AND(FB92&lt;&gt;"",FB92&lt;&gt;"ok"),FB92,""),IF(FC92&lt;&gt;"",FC92,""),IF(AND(ISNUMBER(SEARCH("(5х",DS92)),N(DV92)=1),"5 жил на 1 фазе",""),IF(AND(AT92="R",AD92&lt;&gt;"",OR(N(EH92)=0,N(EH92)&gt;30)),"розетка без дифзащиты до 30 мА",""),IFERROR(IF(AND(ISNUMBER(CD92),CD92&gt;CE92),"потери "&amp;FIXED(CD92,1)&amp;" % &gt; "&amp;CE92&amp;" %",""),""),IFERROR(IF(LEFT(FJ92,4)="мало","Iкз мало — отключение &gt; 0,4 с",""),""),IF(AND(D92&lt;&gt;"",BD92=""),"не на схеме","")))</f>
        <v/>
      </c>
      <c r="FL92">
        <f>IF(AD92="","",_xlfn.LET(_xlpm.t,IFERROR(_xlfn.XLOOKUP(EP92,Каталог!$U$4:$U$500,Каталог!$G$4:$G$500),""),_xlpm.k,SEARCH("кА",_xlpm.t),IFERROR(--TRIM(RIGHT(SUBSTITUTE(MID(_xlpm.t,MAX(1,_xlpm.k-4),_xlpm.k-MAX(1,_xlpm.k-4))," ",REPT(" ",9)),5)),"")))</f>
        <v>6</v>
      </c>
      <c r="FM92" t="str">
        <f>IF(OR(FL92="",AD92=""),"",IF(_xlfn.XLOOKUP(A92,Щиты[Щит],Щиты[Iкз max на шинах, кА],"")="","",IF(FL92&lt;_xlfn.XLOOKUP(A92,Щиты[Щит],Щиты[Iкз max на шинах, кА]),"Icu "&amp;FL92&amp;" кА &lt; Iкз max","ok")))</f>
        <v/>
      </c>
      <c r="FN92" t="str">
        <f t="shared" si="154"/>
        <v>QF4</v>
      </c>
      <c r="FO92" t="str">
        <f t="shared" si="155"/>
        <v>QF4|кабель ВВГнг(А)-LS (3х4) → Приточно-вытяжная установка Подвальный этаж Пом. №005Т</v>
      </c>
      <c r="FP92" t="str" cm="1">
        <f t="array" ref="FP92">IF(FO92="","",_xlfn.LET(_xlpm.nd,_xlfn.TEXTSPLIT(FO92,"|"),IF(COLUMNS(_xlpm.nd)&gt;1,A92&amp;"¦"&amp;INDEX(_xlpm.nd,1)&amp;"¦"&amp;INDEX(_xlpm.nd,2),"")))</f>
        <v>ЩОВ-002¦QF4¦кабель ВВГнг(А)-LS (3х4) → Приточно-вытяжная установка Подвальный этаж Пом. №005Т</v>
      </c>
      <c r="FQ92" t="str">
        <f t="shared" si="156"/>
        <v>ПВ.10¦Приточно-вытяжная установка Подвальный этаж Пом. №005Т</v>
      </c>
      <c r="FR92" t="str" cm="1">
        <f t="array" ref="FR92">IF(FO92="","",_xlfn.LET(_xlpm.nd,_xlfn.TEXTSPLIT(FO92,"|"),IF(COLUMNS(_xlpm.nd)&gt;2,A92&amp;"¦"&amp;INDEX(_xlpm.nd,2)&amp;"¦"&amp;INDEX(_xlpm.nd,3),"")))</f>
        <v/>
      </c>
      <c r="FS92" t="str">
        <f t="shared" si="157"/>
        <v/>
      </c>
      <c r="FT92" t="str" cm="1">
        <f t="array" ref="FT92">IF(FO92="","",_xlfn.LET(_xlpm.nd,_xlfn.TEXTSPLIT(FO92,"|"),IF(COLUMNS(_xlpm.nd)&gt;3,A92&amp;"¦"&amp;INDEX(_xlpm.nd,3)&amp;"¦"&amp;INDEX(_xlpm.nd,4),"")))</f>
        <v/>
      </c>
      <c r="FU92" t="str">
        <f t="shared" si="158"/>
        <v/>
      </c>
      <c r="FV92" t="str" cm="1">
        <f t="array" ref="FV92">IF(FO92="","",_xlfn.LET(_xlpm.nd,_xlfn.TEXTSPLIT(FO92,"|"),IF(COLUMNS(_xlpm.nd)&gt;4,A92&amp;"¦"&amp;INDEX(_xlpm.nd,4)&amp;"¦"&amp;INDEX(_xlpm.nd,5),"")))</f>
        <v/>
      </c>
      <c r="FW92" t="str">
        <f t="shared" si="159"/>
        <v/>
      </c>
      <c r="FX92" t="str" cm="1">
        <f t="array" ref="FX92">IF(FO92="","",_xlfn.LET(_xlpm.nd,_xlfn.TEXTSPLIT(FO92,"|"),IF(COLUMNS(_xlpm.nd)&gt;5,A92&amp;"¦"&amp;INDEX(_xlpm.nd,5)&amp;"¦"&amp;INDEX(_xlpm.nd,6),"")))</f>
        <v/>
      </c>
      <c r="FY92" t="str">
        <f t="shared" si="160"/>
        <v/>
      </c>
      <c r="FZ92" t="str" cm="1">
        <f t="array" ref="FZ92">IF(FO92="","",_xlfn.LET(_xlpm.nd,_xlfn.TEXTSPLIT(FO92,"|"),IF(COLUMNS(_xlpm.nd)&gt;6,A92&amp;"¦"&amp;INDEX(_xlpm.nd,6)&amp;"¦"&amp;INDEX(_xlpm.nd,7),"")))</f>
        <v/>
      </c>
      <c r="GA92" t="str">
        <f t="shared" si="161"/>
        <v/>
      </c>
      <c r="GB92" t="str">
        <f t="shared" si="162"/>
        <v/>
      </c>
      <c r="GC92" t="str">
        <f t="shared" si="163"/>
        <v>QF4</v>
      </c>
      <c r="GD92">
        <f t="shared" si="164"/>
        <v>1</v>
      </c>
      <c r="GE92">
        <f t="shared" si="165"/>
        <v>0</v>
      </c>
      <c r="GF92">
        <f t="shared" si="166"/>
        <v>0</v>
      </c>
      <c r="GG92" t="str">
        <f t="shared" si="167"/>
        <v/>
      </c>
      <c r="GH92" t="str">
        <f t="shared" si="168"/>
        <v/>
      </c>
      <c r="GI92" t="str">
        <f t="shared" si="169"/>
        <v/>
      </c>
      <c r="GJ92" t="str">
        <f t="shared" si="170"/>
        <v/>
      </c>
      <c r="GK92" t="str">
        <f>IF(D92="","",IFERROR(VLOOKUP(D92,УГО_спр,2,FALSE),IFERROR(VLOOKUP(AT92,УГО_спр,2,FALSE),IFERROR(VLOOKUP(LEFT(AT92,2),УГО_спр,2,FALSE),""))))</f>
        <v>Привод (двигатель)</v>
      </c>
      <c r="GL92" t="str">
        <f>IF(D92="","",IF(OR(GK92="",GK92=0),"BOX",IFERROR(IF(VLOOKUP(GK92,УГО_блоки,3,FALSE)&amp;""&lt;&gt;"",VLOOKUP(GK92,УГО_блоки,3,FALSE),VLOOKUP(GK92,УГО_блоки,2,FALSE)),GK92)))</f>
        <v>MOTOR</v>
      </c>
      <c r="GM92">
        <f t="shared" si="171"/>
        <v>1</v>
      </c>
      <c r="GN92" t="str">
        <f>IF(EP92="","",IF(COUNTIF(EP$3:EP92,EP92)=1,MAX(GN$2:GN91)+1,""))</f>
        <v/>
      </c>
      <c r="GO92" t="str">
        <f>IF(AF92="","",IF(COUNTIF(AF$3:AF92,AF92)+COUNTIF(AG$2:AG91,AF92)+COUNTIF(AH$2:AH91,AF92)=1,MAX(GO$2:GQ91)+1,""))</f>
        <v/>
      </c>
      <c r="GP92" t="str">
        <f>IF(AG92="","",IF(COUNTIF(AF$3:AF92,AG92)+COUNTIF(AG$3:AG92,AG92)+COUNTIF(AH$2:AH91,AG92)=1,MAX(GO$2:GQ91,GO92)+1,""))</f>
        <v/>
      </c>
      <c r="GQ92" t="str">
        <f>IF(AH92="","",IF(COUNTIF(AF$3:AF92,AH92)+COUNTIF(AG$3:AG92,AH92)+COUNTIF(AH$3:AH92,AH92)=1,MAX(GO$2:GQ91,GO92,GP92)+1,""))</f>
        <v/>
      </c>
      <c r="GR92" t="str">
        <f t="shared" si="172"/>
        <v>3х4</v>
      </c>
      <c r="GS92" t="str">
        <f>IF(GR92="","",IF(COUNTIF(GR$3:GR92,GR92)=1,MAX(GS$2:GS91)+1,""))</f>
        <v/>
      </c>
      <c r="GT92" t="str">
        <f>IF(ES92="","",COUNTIF(ES$3:ES92,"?*"))</f>
        <v/>
      </c>
      <c r="GU92" t="str">
        <f>IF(OR(ES92="",EU92=""),"",IF(COUNTIFS(ES$3:ES92,"?*",EU$3:EU92,EU92)=1,MAX(GU$2:GU91)+1,""))</f>
        <v/>
      </c>
      <c r="GV92">
        <f t="shared" si="173"/>
        <v>0</v>
      </c>
      <c r="GW92">
        <f>IF(D92="","",COUNTIF(D$3:D92,"?*"))</f>
        <v>90</v>
      </c>
      <c r="GX92">
        <f>IF(EX92&lt;&gt;1,0,_xlfn.LET(_xlpm.k,MAX(IFERROR(--VLOOKUP(D92,УГО_спр,5,FALSE),0),IFERROR(--VLOOKUP(AT92,УГО_спр,5,FALSE),0),IFERROR(--VLOOKUP(LEFT(AT92,2),УГО_спр,5,FALSE),0)),IF(_xlpm.k&gt;0,_xlpm.k,IF(IFERROR(--LEFT(SUBSTITUTE(GR92,"x","х"),FIND("х",SUBSTITUTE(GR92,"x","х"))-1),3)&gt;3,Каталог!$S$9,1))))</f>
        <v>1</v>
      </c>
      <c r="GY92">
        <f t="shared" si="174"/>
        <v>0</v>
      </c>
    </row>
    <row r="93" spans="1:207" x14ac:dyDescent="0.3">
      <c r="A93" t="s">
        <v>754</v>
      </c>
      <c r="B93">
        <v>23</v>
      </c>
      <c r="C93" t="str">
        <f>IF(BD93="","",IF(BE93="вводной узел","узел ","")&amp;"л."&amp;(INT((BD93-1)/Столбцов_на_лист)+1)&amp;" / "&amp;(MOD(BD93-1,Столбцов_на_лист)+1))</f>
        <v>л.2 / 6</v>
      </c>
      <c r="D93" t="s">
        <v>1373</v>
      </c>
      <c r="E93" s="133" t="s">
        <v>1374</v>
      </c>
      <c r="G93">
        <v>0.151</v>
      </c>
      <c r="H93">
        <v>1</v>
      </c>
      <c r="I93">
        <v>1</v>
      </c>
      <c r="J93">
        <v>230</v>
      </c>
      <c r="K93" t="s">
        <v>602</v>
      </c>
      <c r="L93">
        <v>0.5</v>
      </c>
      <c r="O93">
        <v>1</v>
      </c>
      <c r="P93">
        <v>20</v>
      </c>
      <c r="Q93">
        <v>11</v>
      </c>
      <c r="R93">
        <v>11</v>
      </c>
      <c r="T93">
        <v>1</v>
      </c>
      <c r="U93" t="s">
        <v>11</v>
      </c>
      <c r="V93">
        <v>3</v>
      </c>
      <c r="W93">
        <v>1.5</v>
      </c>
      <c r="X93">
        <v>10</v>
      </c>
      <c r="Z93" t="s">
        <v>580</v>
      </c>
      <c r="AA93" t="s">
        <v>818</v>
      </c>
      <c r="AD93" t="s">
        <v>517</v>
      </c>
      <c r="AK93" t="s">
        <v>488</v>
      </c>
      <c r="AR93" t="str">
        <f t="shared" si="88"/>
        <v/>
      </c>
      <c r="AS93" cm="1">
        <f t="array" ref="AS93">ROW()-ROW(Линии[#Headers])</f>
        <v>91</v>
      </c>
      <c r="AT93" t="str">
        <f t="shared" si="89"/>
        <v>K</v>
      </c>
      <c r="AU93" t="str">
        <f t="shared" si="90"/>
        <v>0.002A</v>
      </c>
      <c r="AV93" t="str">
        <f t="shared" si="91"/>
        <v>0</v>
      </c>
      <c r="AW93" t="str">
        <f t="shared" si="92"/>
        <v>002A</v>
      </c>
      <c r="AX93" t="str">
        <f t="shared" si="93"/>
        <v>002A</v>
      </c>
      <c r="AY93" t="str">
        <f>IF(D93="","",IF(ISERROR(SEARCH(".",D93)),IFERROR(VLOOKUP(D93,Потребители_обозначение,2,FALSE)&amp;"",""),IFERROR(IF(VLOOKUP(AT93,Потребители_обозначение,4,FALSE)=1,VLOOKUP(AT93,Потребители_обозначение,2,FALSE)&amp;" "&amp;VLOOKUP(AV93,Этаж_обозначение,2,FALSE)&amp;" Пом. №"&amp;AX93,VLOOKUP(AT93,Потребители_обозначение,2,FALSE)&amp;" Шлейф №"&amp;AV93),IFERROR(VLOOKUP(D93,Потребители_обозначение,2,FALSE),""))))</f>
        <v>Внутренний блок кондиционирования Цокольный этаж Пом. №002A</v>
      </c>
      <c r="AZ93" t="str">
        <f t="shared" si="94"/>
        <v>Внутренний блок кондиционирования Подвальный этаж Пом. №005Т</v>
      </c>
      <c r="BA93" t="str">
        <f>IF(F93&lt;&gt;"",F93,IF(AND(D93&lt;&gt;"",D93&lt;&gt;A93,ISNUMBER(_xlfn.XMATCH(D93,Щиты[Щит]))),D93,""))</f>
        <v/>
      </c>
      <c r="BB93">
        <f>IFERROR(_xlfn.XMATCH(A93,Щиты[Щит]),0)</f>
        <v>5</v>
      </c>
      <c r="BC93">
        <f>IFERROR(N(_xlfn.XLOOKUP(A93,Щиты[Щит],Щиты[Мест под вводной узел])),15)</f>
        <v>18</v>
      </c>
      <c r="BD93">
        <f t="shared" si="95"/>
        <v>23</v>
      </c>
      <c r="BE93" t="str">
        <f t="shared" si="96"/>
        <v>линии</v>
      </c>
      <c r="BF93">
        <f>IF(D93="","",IF(BA93&lt;&gt;"",IFERROR(_xlfn.XLOOKUP(BA93,Щиты[Щит],Щиты[Руст, кВт]),0),N(G93)))</f>
        <v>0.151</v>
      </c>
      <c r="BG93">
        <f>IF(J93&lt;&gt;"",J93,IF(D93="","",IFERROR(IF(VLOOKUP(AT93,Потребители_обозначение,8,FALSE)=0,"",VLOOKUP(AT93,Потребители_обозначение,8,FALSE)),"")))</f>
        <v>230</v>
      </c>
      <c r="BH93">
        <f>IF(I93&lt;&gt;"",I93,IF(D93="","",IFERROR(IF(VLOOKUP(AT93,Потребители_обозначение,9,FALSE)=0,"",VLOOKUP(AT93,Потребители_обозначение,9,FALSE)),"")))</f>
        <v>1</v>
      </c>
      <c r="BI93" t="str">
        <f>IF(U93&lt;&gt;"",U93,IF(D93="","",IFERROR(IF(VLOOKUP(AT93,Потребители_обозначение,6,FALSE)=0,"",VLOOKUP(AT93,Потребители_обозначение,6,FALSE)),"")))</f>
        <v>мс</v>
      </c>
      <c r="BJ93">
        <f>IF(V93&lt;&gt;"",V93,IF(D93="","",IFERROR(IF(VLOOKUP(AT93,Потребители_обозначение,7,FALSE)=0,"",VLOOKUP(AT93,Потребители_обозначение,7,FALSE)),"")))</f>
        <v>3</v>
      </c>
      <c r="BK93">
        <f>IF(W93&lt;&gt;"",W93,IF(D93="","",IFERROR(IF(VLOOKUP(AT93,Потребители_обозначение,10,FALSE)=0,"",VLOOKUP(AT93,Потребители_обозначение,10,FALSE)),"")))</f>
        <v>1.5</v>
      </c>
      <c r="BL93">
        <f>IFERROR(VLOOKUP(AT93,Потребители_обозначение,5,FALSE),0)</f>
        <v>1</v>
      </c>
      <c r="BM93" cm="1">
        <f t="array" ref="BM93">IF(D93="","",IF(BA93&lt;&gt;"",IFERROR(_xlfn.XLOOKUP(BA93,Щиты[Щит],Щиты[cos φ]),0.95),IF(ISNUMBER(M93),M93,IFERROR(IF(BL93=2,_xlfn.IFS(BH93=3,VLOOKUP(BF93,Справочная_двигатели,8,FALSE),BH93=1,VLOOKUP(BF93,Справочная_двигатели,10,TRUE)),IF(AND(Методика="нормы 2026",CN93="Сил"),0.8,0.95)),0.95))))</f>
        <v>0.95</v>
      </c>
      <c r="BN93" cm="1">
        <f t="array" ref="BN93">IF(D93="","",IF(BA93&lt;&gt;"",IFERROR(_xlfn.XLOOKUP(BA93,Щиты[Щит],Щиты[Iр, А]),""),IFERROR(_xlfn.IFS(BH93=1,BF93/((Uн_лин/SQRT(3))*BM93),BH93=3,BF93/(SQRT(3)*Uн_лин*BM93)),"")))</f>
        <v>0.68826229458658017</v>
      </c>
      <c r="BO93">
        <f>IF(D93="","",IF(N(X93)=0,IFERROR(VLOOKUP(BN93,Автомат_номиналы,2,TRUE),""),X93))</f>
        <v>10</v>
      </c>
      <c r="BP93">
        <f t="shared" si="97"/>
        <v>1</v>
      </c>
      <c r="BQ93">
        <f>IF(ISNUMBER(Y93),Y93,К_прокл)</f>
        <v>1</v>
      </c>
      <c r="BR93">
        <f t="shared" si="98"/>
        <v>2</v>
      </c>
      <c r="BS93" cm="1">
        <f t="array" ref="BS93">IF(D93="","",IF(N(BK93)&lt;&gt;0,BK93,IFERROR(_xlfn.LET(_xlpm.need,BO93/(BP93*BQ93),_xlpm.t,CHOOSE(BR93,Iдоп_1ж,Iдоп_2ж,Iдоп_3ж),_xlpm.k,_xlfn.XMATCH(_xlpm.need,_xlpm.t,1),IF(ISNA(_xlpm.k),"Не исп",INDEX(Iдоп_S,_xlpm.k))),"Не исп")))</f>
        <v>1.5</v>
      </c>
      <c r="BT93">
        <f>IFERROR(VLOOKUP(BS93,Кабель_сопротивление,3,FALSE),"")</f>
        <v>2.2499999999999999E-2</v>
      </c>
      <c r="BU93">
        <f>IFERROR(VLOOKUP(BS93,Кабель_сопротивление,2,FALSE),"")</f>
        <v>0.11</v>
      </c>
      <c r="BV93">
        <f t="shared" si="99"/>
        <v>20</v>
      </c>
      <c r="BW93">
        <f>IF(D93="","",IFERROR(IF(VLOOKUP(AT93,Потребители_обозначение,4,FALSE)=1,VLOOKUP(AT93,Потребители_обозначение,3,FALSE)*(H93*2-1)+BV93+VLOOKUP(AV93,Этаж_обозначение,3,FALSE)+VLOOKUP(AV93,Этаж_обозначение,4,FALSE),VLOOKUP(AT93,Потребители_обозначение,3,FALSE)*(H93*2-1)+BV93),BV93))</f>
        <v>22</v>
      </c>
      <c r="BX93">
        <f t="shared" si="100"/>
        <v>11</v>
      </c>
      <c r="BY93">
        <f t="shared" si="101"/>
        <v>0</v>
      </c>
      <c r="BZ93">
        <f t="shared" si="102"/>
        <v>2</v>
      </c>
      <c r="CA93">
        <f t="shared" si="103"/>
        <v>0.31</v>
      </c>
      <c r="CB93">
        <f t="shared" si="104"/>
        <v>0.43257312745258342</v>
      </c>
      <c r="CC93">
        <f>IFERROR(ROUNDUP(CB93/((Uн_лин/SQRT(3))*1000)*100,2),"")</f>
        <v>0.19</v>
      </c>
      <c r="CD93">
        <f>IF(ISNUMBER(CC93),CC93+IFERROR(_xlfn.XLOOKUP(A93,Щиты[Щит],Щиты[ΔU до шин, %]),0),"")</f>
        <v>0.85000000000000009</v>
      </c>
      <c r="CE93">
        <f>IF(D93="","",IF(IFERROR(VLOOKUP(AT93,УГО_спр,2,FALSE),"")="Светильник",3,4)+IF(Методика="нормы 2026",MIN(0.5,MAX(0,N(BW93)-100)*0.005),0))</f>
        <v>4</v>
      </c>
      <c r="CF93" t="str">
        <f>IFERROR(VLOOKUP(BI93,Кабель_обозначение,2,FALSE),"")</f>
        <v>ВВГнг(А)-LS</v>
      </c>
      <c r="CG93" t="str">
        <f>IFERROR(IF(VLOOKUP(BI93,Кабель_обозначение,3,FALSE)=1,CF93&amp;" ("&amp;BJ93&amp;"х"&amp;BS93&amp;")",CF93),"")</f>
        <v>ВВГнг(А)-LS (3х1,5)</v>
      </c>
      <c r="CH93" t="str">
        <f t="shared" si="105"/>
        <v>ВВГнг(А)-LS (3х1,5)
L=22-0,19%</v>
      </c>
      <c r="CI93">
        <f>IFERROR(2*ρкз_Cu*BW93/BS93,"")</f>
        <v>0.77146666666666663</v>
      </c>
      <c r="CJ93">
        <f t="shared" si="106"/>
        <v>0.25666666666666665</v>
      </c>
      <c r="CK93" t="str">
        <f>IFERROR(IF(OR(D93="",NOT(ISNUMBER(BS93)),N(BW93)=0),"",_xlfn.XLOOKUP(A93,Щиты[Щит],Щиты[Zпетли на шинах, Ом])+CI93),"")</f>
        <v/>
      </c>
      <c r="CL93" t="str">
        <f>IF(ISNUMBER(CK93),c_min*(Uн_лин*1000/SQRT(3))/CK93,"")</f>
        <v/>
      </c>
      <c r="CM93" t="str">
        <f>IFERROR(IF(OR(D93="",NOT(ISNUMBER(BS93))),"",1.05*(Uн_лин*1000/SQRT(3))/(_xlfn.XLOOKUP(A93,Щиты[Щит],Щиты[Zmax на шинах, Ом])+CJ93)/1000),"")</f>
        <v/>
      </c>
      <c r="CN93" t="str">
        <f>IF(D93="","",IF(BA93&lt;&gt;"","Щит",IF(K93&lt;&gt;"",K93,IF(ISNUMBER(L93),"Сил",IF(IFERROR(_xlfn.XLOOKUP(AT93,Коды_код,Коды_группа)&amp;"","")="","Быт",_xlfn.XLOOKUP(AT93,Коды_код,Коды_группа)&amp;"")))))</f>
        <v>Сил</v>
      </c>
      <c r="CO93">
        <f>IF(CN93="Щит","щит",IF(CN93="","",IF(CN93="Быт",IFERROR(_xlfn.XLOOKUP(A93,Щиты[Щит],Щиты[Кс быт]),1),IF(CN93="Сил",IF(ISNUMBER(L93),L93,IF(Методика="нормы 2026",IFERROR(_xlfn.XLOOKUP(A93,Щиты[Щит],Щиты[Кс силовых (табл. 7.5)]),1),1)),IF(OR(CN93="Пост",CN93="Отоп"),1,IF(CN93="ВНГ",0.7,0))))))</f>
        <v>0.5</v>
      </c>
      <c r="CP93">
        <f t="shared" si="107"/>
        <v>1</v>
      </c>
      <c r="CQ93">
        <f t="shared" si="108"/>
        <v>0.151</v>
      </c>
      <c r="CR93">
        <f t="shared" si="109"/>
        <v>0</v>
      </c>
      <c r="CS93">
        <f t="shared" si="110"/>
        <v>7.5499999999999998E-2</v>
      </c>
      <c r="CT93">
        <f t="shared" si="111"/>
        <v>0</v>
      </c>
      <c r="CU93">
        <f t="shared" si="112"/>
        <v>0</v>
      </c>
      <c r="CV93">
        <f t="shared" si="113"/>
        <v>0</v>
      </c>
      <c r="CW93">
        <f t="shared" si="114"/>
        <v>0.151</v>
      </c>
      <c r="CX93">
        <f t="shared" si="115"/>
        <v>0.14344999999999999</v>
      </c>
      <c r="CY93">
        <f t="shared" si="116"/>
        <v>2</v>
      </c>
      <c r="CZ93" t="str">
        <f t="shared" si="117"/>
        <v>L2</v>
      </c>
      <c r="DA93" cm="1">
        <f t="array" ref="DA93">IFERROR(IF(BL93=2,_xlfn.IFS(BH93=3,VLOOKUP(BF93,Справочная_двигатели,3,FALSE),BH93=1,VLOOKUP(BF93,Справочная_двигатели,5,TRUE)),0),0)</f>
        <v>0</v>
      </c>
      <c r="DB93">
        <f>IFERROR(IF(BL93=3,VLOOKUP(BF93,Справочная_ЛЭД,2,TRUE),0),0)</f>
        <v>0</v>
      </c>
      <c r="DC93">
        <f t="shared" si="118"/>
        <v>0</v>
      </c>
      <c r="DD93" t="str">
        <f t="shared" si="119"/>
        <v>L1</v>
      </c>
      <c r="DE93" t="str" cm="1">
        <f t="array" ref="DE93">IF(D93="","",IFERROR(INDEX({"I особая","I","II","III"},MATCH(TRIM(AA93&amp;""),{"I особая","I","II","III"},0)),"III"))</f>
        <v>II</v>
      </c>
      <c r="DF93" t="str">
        <f>IF(D93="","",IF(TRIM(AB93&amp;"")&lt;&gt;"",IF(LOWER(TRIM(AB93&amp;""))="да","да","нет"),IF(IFERROR(_xlfn.XLOOKUP(AT93,Коды_код,Коды_пожарная),"")="да","да","нет")))</f>
        <v>нет</v>
      </c>
      <c r="DG93" t="str">
        <f t="shared" si="120"/>
        <v/>
      </c>
      <c r="DH93" t="str">
        <f t="shared" si="121"/>
        <v>основная</v>
      </c>
      <c r="DI93">
        <f t="shared" si="122"/>
        <v>1</v>
      </c>
      <c r="DJ93" t="str" cm="1">
        <f t="array" ref="DJ93">IF(D93="","",_xlfn.LET(_xlpm.t,IFERROR(_xlfn.XLOOKUP(1,(Шины[Шина]=DH93)*(((Шины[Щит]=A93)+(Шины[Щит]=""))&gt;0),Шины[Тип]),"")&amp;"",IF(_xlpm.t&lt;&gt;"",_xlpm.t,IF(ISNUMBER(SEARCH("ИБП",DH93)),"ИБП",IF(ISNUMBER(SEARCH("ДГУ",DH93)),"ДГУ","Ввод "&amp;DI93)))))</f>
        <v>Ввод 1</v>
      </c>
      <c r="DK93" t="str">
        <f t="shared" si="123"/>
        <v>Ввод 1</v>
      </c>
      <c r="DL93" t="str">
        <f>IF(D93="","",IF(OR(DJ93="ИБП",DJ93="ДГУ"),"I особая",IF(DJ93="Одиночная","III",_xlfn.XLOOKUP(A93,Щиты[Щит],Щиты[Категория шины «Ввод»],"III"))))</f>
        <v>II</v>
      </c>
      <c r="DM93">
        <f>IF(D93="",0,IFERROR(MATCH(DE93,{"III","II","I","I особая"},0),1))</f>
        <v>2</v>
      </c>
      <c r="DN93">
        <f t="shared" si="124"/>
        <v>2</v>
      </c>
      <c r="DO93" t="str">
        <f>IF(D93="","",IF(DM93&gt;IFERROR(MATCH(DL93,{"III","II","I","I особая"},0),1),"НЕ ОБЕСПЕЧЕНА","ОК"))</f>
        <v>ОК</v>
      </c>
      <c r="DP93" t="str">
        <f>IF(A93="","",_xlfn.XLOOKUP(A93,Щиты[Щит],Щиты[Путь],""))</f>
        <v>|ГРЩ-ЖД|ЩОВ-002|</v>
      </c>
      <c r="DQ93" t="str">
        <f>IF(D93="","",IF(Z93&lt;&gt;"",Z93,IF(IFERROR(_xlfn.XLOOKUP(AT93,Коды_код,Коды_вид)&amp;"","")="","Прочее",_xlfn.XLOOKUP(AT93,Коды_код,Коды_вид)&amp;"")))</f>
        <v>Кондиционирование и увлажнение</v>
      </c>
      <c r="DR93">
        <f>IF(BD93="","",INT((BD93-1)/Столбцов_на_лист)+1)</f>
        <v>2</v>
      </c>
      <c r="DS93" t="str">
        <f t="shared" si="125"/>
        <v>ВВГнг(А)-LS (3х1,5) L=22-0,19%</v>
      </c>
      <c r="DT93">
        <f t="shared" si="126"/>
        <v>0.151</v>
      </c>
      <c r="DU93">
        <f t="shared" si="127"/>
        <v>0.69000000000000006</v>
      </c>
      <c r="DV93">
        <f t="shared" si="128"/>
        <v>1</v>
      </c>
      <c r="DW93">
        <f>IF(AT93="",0,_xlfn.LET(_xlpm.v,IFERROR(VLOOKUP(D93,УГО_спр,3,FALSE),IFERROR(VLOOKUP(AT93,УГО_спр,3,FALSE),IFERROR(VLOOKUP(LEFT(AT93,2),УГО_спр,3,FALSE),""))),IF(_xlpm.v="да",30,IF(ISNUMBER(_xlpm.v),_xlpm.v,0))))</f>
        <v>0</v>
      </c>
      <c r="DX93">
        <f t="shared" si="129"/>
        <v>0</v>
      </c>
      <c r="DY93">
        <f>IF(BD93="","",IF(AD93&lt;&gt;"",COUNTIFS(A$3:A93,A93,AD$3:AD93,"?*"),IF(OR(OR(AS93=1,A93&lt;&gt;A92),AL93="вручную"),"",IF(AS93=1,"",DZ92))))</f>
        <v>5</v>
      </c>
      <c r="DZ93">
        <f t="shared" si="130"/>
        <v>5</v>
      </c>
      <c r="EA93">
        <f>IF(D93="",0,MAX(IFERROR(--X93,0),IFERROR(--VLOOKUP(D93,УГО_спр,4,FALSE),IFERROR(--VLOOKUP(AT93,УГО_спр,4,FALSE),IFERROR(--VLOOKUP(LEFT(AT93,2),УГО_спр,4,FALSE),0)))))</f>
        <v>10</v>
      </c>
      <c r="EB93">
        <f>IF(D93="","",IFERROR(LOOKUP(INDEX(CHOOSE(BR93,Iдоп_1ж,Iдоп_2ж,Iдоп_3ж),MATCH(BS93,Iдоп_S,0))*BP93*BQ93,{6,10,16,20,25,32,40,50,63,80,100,125,160,200,250,315,400,500,630}),""))</f>
        <v>16</v>
      </c>
      <c r="EC93">
        <f>IF(AD93="","",SUMIFS(Линии[_Ток схемы],Линии[_гр.],DY93,Линии[Щит],A93,Линии[_в кабель выше],0))</f>
        <v>0.69000000000000006</v>
      </c>
      <c r="ED93">
        <f>IF(AD93="","",IFERROR(VLOOKUP(EC93,Автомат_номиналы,2,TRUE),""))</f>
        <v>6</v>
      </c>
      <c r="EE93">
        <f>IF(AD93="","",MAX(N(ED93),_xlfn.MAXIFS(Линии[_мин. по типу],Линии[_гр.],DY93,Линии[Щит],A93)))</f>
        <v>10</v>
      </c>
      <c r="EF93">
        <f>IF(AD93="","",_xlfn.MINIFS(Линии[_макс. автомат по кабелю],Линии[_гр.],DY93,Линии[Щит],A93))</f>
        <v>16</v>
      </c>
      <c r="EG93">
        <f>IF(AD93="","",MAX(1,_xlfn.MAXIFS(Линии[_фаз],Линии[_гр.],DY93,Линии[Щит],A93)))</f>
        <v>1</v>
      </c>
      <c r="EH93">
        <f>IF(AD93="","",IF(AND(AD93&lt;&gt;"авто",AD93&lt;&gt;"+"),IF(ISNUMBER(SEARCH("мА",AD93)),IFERROR(--TRIM(RIGHT(SUBSTITUTE(LEFT(AD93,SEARCH("мА",AD93)-1)," ",REPT(" ",9)),6)),30),0),IF(AE93="нет",0,IF(ISNUMBER(AE93),AE93,IF(AE93="да",30,_xlfn.MINIFS(Линии[_дифзащита по коду, мА],Линии[_гр.],DY93,Линии[Щит],A93,Линии[_дифзащита по коду, мА],"&gt;0"))))))</f>
        <v>0</v>
      </c>
      <c r="EI93">
        <f t="shared" si="131"/>
        <v>0</v>
      </c>
      <c r="EJ93" t="str">
        <f t="shared" si="132"/>
        <v>QF5</v>
      </c>
      <c r="EK93" t="str">
        <f t="shared" si="133"/>
        <v>QF5</v>
      </c>
      <c r="EL93" t="str">
        <f t="shared" si="134"/>
        <v/>
      </c>
      <c r="EM93">
        <f t="shared" si="135"/>
        <v>0</v>
      </c>
      <c r="EN93">
        <f>IF(AD93="","",IF(EM93=1,MAX(EE93,Мин_автомат_БП),EE93))</f>
        <v>10</v>
      </c>
      <c r="EO93" t="str">
        <f t="shared" si="136"/>
        <v>1P</v>
      </c>
      <c r="EP93" t="str">
        <f t="shared" si="137"/>
        <v>1P С10А</v>
      </c>
      <c r="EQ93">
        <f t="shared" si="138"/>
        <v>10</v>
      </c>
      <c r="ER93" t="str">
        <f>IF(OR(AI93="",AI93="-"),"",IFERROR(VLOOKUP(AI93,Модули_спр,2,FALSE),"R"))</f>
        <v/>
      </c>
      <c r="ES93" t="str">
        <f>IF(ER93="","",ER93&amp;"."&amp;COUNTIFS(A$3:A93,A93,ER$3:ER93,ER93))</f>
        <v/>
      </c>
      <c r="ET93" t="str">
        <f t="shared" si="139"/>
        <v/>
      </c>
      <c r="EU93" t="str">
        <f t="shared" si="140"/>
        <v/>
      </c>
      <c r="EV93" t="str">
        <f t="shared" si="141"/>
        <v/>
      </c>
      <c r="EW93" t="str">
        <f t="shared" si="142"/>
        <v/>
      </c>
      <c r="EX93">
        <f t="shared" si="143"/>
        <v>1</v>
      </c>
      <c r="EY93" t="str">
        <f>IF(AK93="нет","",IF(AK93&lt;&gt;"",AK93,IF(EX93=1,"XT"&amp;COUNTIFS(A$3:A93,A93,EX$3:EX93,1),"")))</f>
        <v/>
      </c>
      <c r="EZ93" t="str">
        <f t="shared" si="144"/>
        <v>QF5</v>
      </c>
      <c r="FA93" t="str">
        <f t="shared" si="145"/>
        <v/>
      </c>
      <c r="FB93" t="str">
        <f t="shared" si="146"/>
        <v>ok</v>
      </c>
      <c r="FC93" t="str">
        <f>IF(OR(EV93="",ET93=""),"",IF(EV93&gt;IFERROR(VLOOKUP(EU93,Модули_спр,3,FALSE),99),"ЛИШНИЙ КАНАЛ",IF(AND(AJ93&lt;&gt;"=",COUNTIFS(Линии[_модуль гр.],ET93,Линии[Канал (итог)],EV93,Линии[Канал],"&lt;&gt;=",Линии[Щит],A93)&gt;1),"ДУБЛЬ КАНАЛА","")))</f>
        <v/>
      </c>
      <c r="FD93">
        <f t="shared" si="147"/>
        <v>10</v>
      </c>
      <c r="FE93" t="str">
        <f t="shared" si="148"/>
        <v>1P С10А</v>
      </c>
      <c r="FF93">
        <f t="shared" si="149"/>
        <v>0</v>
      </c>
      <c r="FG93">
        <f t="shared" si="150"/>
        <v>0</v>
      </c>
      <c r="FH93" t="str">
        <f t="shared" si="151"/>
        <v/>
      </c>
      <c r="FI93">
        <f t="shared" si="152"/>
        <v>10</v>
      </c>
      <c r="FJ93" t="str">
        <f t="shared" si="153"/>
        <v/>
      </c>
      <c r="FK93" t="str">
        <f>IF(AND(D93="",EZ93=""),"",_xlfn.TEXTJOIN("; ",TRUE,IF(AND(D93&lt;&gt;"",DD93=""),"нет фазы",""),IF(AND(D93&lt;&gt;"",N(DT93)=0,CN93&lt;&gt;"Нет"),"нет мощности",""),IF(AND(EY93&lt;&gt;"",COUNTIFS(Линии[Щит],A93,Линии[Клемма (итог)],EY93)&gt;1),"дубль клеммы "&amp;EY93,""),IF(AND(FB93&lt;&gt;"",FB93&lt;&gt;"ok"),FB93,""),IF(FC93&lt;&gt;"",FC93,""),IF(AND(ISNUMBER(SEARCH("(5х",DS93)),N(DV93)=1),"5 жил на 1 фазе",""),IF(AND(AT93="R",AD93&lt;&gt;"",OR(N(EH93)=0,N(EH93)&gt;30)),"розетка без дифзащиты до 30 мА",""),IFERROR(IF(AND(ISNUMBER(CD93),CD93&gt;CE93),"потери "&amp;FIXED(CD93,1)&amp;" % &gt; "&amp;CE93&amp;" %",""),""),IFERROR(IF(LEFT(FJ93,4)="мало","Iкз мало — отключение &gt; 0,4 с",""),""),IF(AND(D93&lt;&gt;"",BD93=""),"не на схеме","")))</f>
        <v/>
      </c>
      <c r="FL93">
        <f>IF(AD93="","",_xlfn.LET(_xlpm.t,IFERROR(_xlfn.XLOOKUP(EP93,Каталог!$U$4:$U$500,Каталог!$G$4:$G$500),""),_xlpm.k,SEARCH("кА",_xlpm.t),IFERROR(--TRIM(RIGHT(SUBSTITUTE(MID(_xlpm.t,MAX(1,_xlpm.k-4),_xlpm.k-MAX(1,_xlpm.k-4))," ",REPT(" ",9)),5)),"")))</f>
        <v>6</v>
      </c>
      <c r="FM93" t="str">
        <f>IF(OR(FL93="",AD93=""),"",IF(_xlfn.XLOOKUP(A93,Щиты[Щит],Щиты[Iкз max на шинах, кА],"")="","",IF(FL93&lt;_xlfn.XLOOKUP(A93,Щиты[Щит],Щиты[Iкз max на шинах, кА]),"Icu "&amp;FL93&amp;" кА &lt; Iкз max","ok")))</f>
        <v/>
      </c>
      <c r="FN93" t="str">
        <f t="shared" si="154"/>
        <v>QF5</v>
      </c>
      <c r="FO93" t="str">
        <f t="shared" si="155"/>
        <v>QF5|кабель ВВГнг(А)-LS (3х1,5) → Внутренний блок кондиционирования Подвальный этаж Пом. №005Т</v>
      </c>
      <c r="FP93" t="str" cm="1">
        <f t="array" ref="FP93">IF(FO93="","",_xlfn.LET(_xlpm.nd,_xlfn.TEXTSPLIT(FO93,"|"),IF(COLUMNS(_xlpm.nd)&gt;1,A93&amp;"¦"&amp;INDEX(_xlpm.nd,1)&amp;"¦"&amp;INDEX(_xlpm.nd,2),"")))</f>
        <v>ЩОВ-002¦QF5¦кабель ВВГнг(А)-LS (3х1,5) → Внутренний блок кондиционирования Подвальный этаж Пом. №005Т</v>
      </c>
      <c r="FQ93" t="str">
        <f t="shared" si="156"/>
        <v>K.0.002A¦Внутренний блок кондиционирования Подвальный этаж Пом. №005Т</v>
      </c>
      <c r="FR93" t="str" cm="1">
        <f t="array" ref="FR93">IF(FO93="","",_xlfn.LET(_xlpm.nd,_xlfn.TEXTSPLIT(FO93,"|"),IF(COLUMNS(_xlpm.nd)&gt;2,A93&amp;"¦"&amp;INDEX(_xlpm.nd,2)&amp;"¦"&amp;INDEX(_xlpm.nd,3),"")))</f>
        <v/>
      </c>
      <c r="FS93" t="str">
        <f t="shared" si="157"/>
        <v/>
      </c>
      <c r="FT93" t="str" cm="1">
        <f t="array" ref="FT93">IF(FO93="","",_xlfn.LET(_xlpm.nd,_xlfn.TEXTSPLIT(FO93,"|"),IF(COLUMNS(_xlpm.nd)&gt;3,A93&amp;"¦"&amp;INDEX(_xlpm.nd,3)&amp;"¦"&amp;INDEX(_xlpm.nd,4),"")))</f>
        <v/>
      </c>
      <c r="FU93" t="str">
        <f t="shared" si="158"/>
        <v/>
      </c>
      <c r="FV93" t="str" cm="1">
        <f t="array" ref="FV93">IF(FO93="","",_xlfn.LET(_xlpm.nd,_xlfn.TEXTSPLIT(FO93,"|"),IF(COLUMNS(_xlpm.nd)&gt;4,A93&amp;"¦"&amp;INDEX(_xlpm.nd,4)&amp;"¦"&amp;INDEX(_xlpm.nd,5),"")))</f>
        <v/>
      </c>
      <c r="FW93" t="str">
        <f t="shared" si="159"/>
        <v/>
      </c>
      <c r="FX93" t="str" cm="1">
        <f t="array" ref="FX93">IF(FO93="","",_xlfn.LET(_xlpm.nd,_xlfn.TEXTSPLIT(FO93,"|"),IF(COLUMNS(_xlpm.nd)&gt;5,A93&amp;"¦"&amp;INDEX(_xlpm.nd,5)&amp;"¦"&amp;INDEX(_xlpm.nd,6),"")))</f>
        <v/>
      </c>
      <c r="FY93" t="str">
        <f t="shared" si="160"/>
        <v/>
      </c>
      <c r="FZ93" t="str" cm="1">
        <f t="array" ref="FZ93">IF(FO93="","",_xlfn.LET(_xlpm.nd,_xlfn.TEXTSPLIT(FO93,"|"),IF(COLUMNS(_xlpm.nd)&gt;6,A93&amp;"¦"&amp;INDEX(_xlpm.nd,6)&amp;"¦"&amp;INDEX(_xlpm.nd,7),"")))</f>
        <v/>
      </c>
      <c r="GA93" t="str">
        <f t="shared" si="161"/>
        <v/>
      </c>
      <c r="GB93" t="str">
        <f t="shared" si="162"/>
        <v/>
      </c>
      <c r="GC93" t="str">
        <f t="shared" si="163"/>
        <v>QF5</v>
      </c>
      <c r="GD93">
        <f t="shared" si="164"/>
        <v>1</v>
      </c>
      <c r="GE93">
        <f t="shared" si="165"/>
        <v>0</v>
      </c>
      <c r="GF93">
        <f t="shared" si="166"/>
        <v>0</v>
      </c>
      <c r="GG93" t="str">
        <f t="shared" si="167"/>
        <v/>
      </c>
      <c r="GH93" t="str">
        <f t="shared" si="168"/>
        <v/>
      </c>
      <c r="GI93" t="str">
        <f t="shared" si="169"/>
        <v/>
      </c>
      <c r="GJ93" t="str">
        <f t="shared" si="170"/>
        <v/>
      </c>
      <c r="GK93">
        <f>IF(D93="","",IFERROR(VLOOKUP(D93,УГО_спр,2,FALSE),IFERROR(VLOOKUP(AT93,УГО_спр,2,FALSE),IFERROR(VLOOKUP(LEFT(AT93,2),УГО_спр,2,FALSE),""))))</f>
        <v>0</v>
      </c>
      <c r="GL93" t="str">
        <f>IF(D93="","",IF(OR(GK93="",GK93=0),"BOX",IFERROR(IF(VLOOKUP(GK93,УГО_блоки,3,FALSE)&amp;""&lt;&gt;"",VLOOKUP(GK93,УГО_блоки,3,FALSE),VLOOKUP(GK93,УГО_блоки,2,FALSE)),GK93)))</f>
        <v>BOX</v>
      </c>
      <c r="GM93">
        <f t="shared" si="171"/>
        <v>1</v>
      </c>
      <c r="GN93" t="str">
        <f>IF(EP93="","",IF(COUNTIF(EP$3:EP93,EP93)=1,MAX(GN$2:GN92)+1,""))</f>
        <v/>
      </c>
      <c r="GO93" t="str">
        <f>IF(AF93="","",IF(COUNTIF(AF$3:AF93,AF93)+COUNTIF(AG$2:AG92,AF93)+COUNTIF(AH$2:AH92,AF93)=1,MAX(GO$2:GQ92)+1,""))</f>
        <v/>
      </c>
      <c r="GP93" t="str">
        <f>IF(AG93="","",IF(COUNTIF(AF$3:AF93,AG93)+COUNTIF(AG$3:AG93,AG93)+COUNTIF(AH$2:AH92,AG93)=1,MAX(GO$2:GQ92,GO93)+1,""))</f>
        <v/>
      </c>
      <c r="GQ93" t="str">
        <f>IF(AH93="","",IF(COUNTIF(AF$3:AF93,AH93)+COUNTIF(AG$3:AG93,AH93)+COUNTIF(AH$3:AH93,AH93)=1,MAX(GO$2:GQ92,GO93,GP93)+1,""))</f>
        <v/>
      </c>
      <c r="GR93" t="str">
        <f t="shared" si="172"/>
        <v>3х1,5</v>
      </c>
      <c r="GS93" t="str">
        <f>IF(GR93="","",IF(COUNTIF(GR$3:GR93,GR93)=1,MAX(GS$2:GS92)+1,""))</f>
        <v/>
      </c>
      <c r="GT93" t="str">
        <f>IF(ES93="","",COUNTIF(ES$3:ES93,"?*"))</f>
        <v/>
      </c>
      <c r="GU93" t="str">
        <f>IF(OR(ES93="",EU93=""),"",IF(COUNTIFS(ES$3:ES93,"?*",EU$3:EU93,EU93)=1,MAX(GU$2:GU92)+1,""))</f>
        <v/>
      </c>
      <c r="GV93">
        <f t="shared" si="173"/>
        <v>0</v>
      </c>
      <c r="GW93">
        <f>IF(D93="","",COUNTIF(D$3:D93,"?*"))</f>
        <v>91</v>
      </c>
      <c r="GX93">
        <f>IF(EX93&lt;&gt;1,0,_xlfn.LET(_xlpm.k,MAX(IFERROR(--VLOOKUP(D93,УГО_спр,5,FALSE),0),IFERROR(--VLOOKUP(AT93,УГО_спр,5,FALSE),0),IFERROR(--VLOOKUP(LEFT(AT93,2),УГО_спр,5,FALSE),0)),IF(_xlpm.k&gt;0,_xlpm.k,IF(IFERROR(--LEFT(SUBSTITUTE(GR93,"x","х"),FIND("х",SUBSTITUTE(GR93,"x","х"))-1),3)&gt;3,Каталог!$S$9,1))))</f>
        <v>1</v>
      </c>
      <c r="GY93">
        <f t="shared" si="174"/>
        <v>0</v>
      </c>
    </row>
    <row r="94" spans="1:207" x14ac:dyDescent="0.3">
      <c r="A94" t="s">
        <v>754</v>
      </c>
      <c r="B94">
        <v>24</v>
      </c>
      <c r="C94" t="str">
        <f>IF(BD94="","",IF(BE94="вводной узел","узел ","")&amp;"л."&amp;(INT((BD94-1)/Столбцов_на_лист)+1)&amp;" / "&amp;(MOD(BD94-1,Столбцов_на_лист)+1))</f>
        <v>л.2 / 7</v>
      </c>
      <c r="D94" t="s">
        <v>1375</v>
      </c>
      <c r="E94" s="133" t="s">
        <v>1374</v>
      </c>
      <c r="G94">
        <v>0.111</v>
      </c>
      <c r="H94">
        <v>1</v>
      </c>
      <c r="I94">
        <v>1</v>
      </c>
      <c r="J94">
        <v>230</v>
      </c>
      <c r="K94" t="s">
        <v>602</v>
      </c>
      <c r="L94">
        <v>0.5</v>
      </c>
      <c r="O94">
        <v>1</v>
      </c>
      <c r="P94">
        <v>24</v>
      </c>
      <c r="Q94">
        <v>11</v>
      </c>
      <c r="R94">
        <v>15</v>
      </c>
      <c r="T94">
        <v>1</v>
      </c>
      <c r="U94" t="s">
        <v>11</v>
      </c>
      <c r="V94">
        <v>3</v>
      </c>
      <c r="W94">
        <v>1.5</v>
      </c>
      <c r="X94">
        <v>10</v>
      </c>
      <c r="Z94" t="s">
        <v>580</v>
      </c>
      <c r="AA94" t="s">
        <v>818</v>
      </c>
      <c r="AD94" t="s">
        <v>517</v>
      </c>
      <c r="AK94" t="s">
        <v>488</v>
      </c>
      <c r="AR94" t="str">
        <f t="shared" si="88"/>
        <v/>
      </c>
      <c r="AS94" cm="1">
        <f t="array" ref="AS94">ROW()-ROW(Линии[#Headers])</f>
        <v>92</v>
      </c>
      <c r="AT94" t="str">
        <f t="shared" si="89"/>
        <v>K</v>
      </c>
      <c r="AU94" t="str">
        <f t="shared" si="90"/>
        <v>0.006A</v>
      </c>
      <c r="AV94" t="str">
        <f t="shared" si="91"/>
        <v>0</v>
      </c>
      <c r="AW94" t="str">
        <f t="shared" si="92"/>
        <v>006A</v>
      </c>
      <c r="AX94" t="str">
        <f t="shared" si="93"/>
        <v>006A</v>
      </c>
      <c r="AY94" t="str">
        <f>IF(D94="","",IF(ISERROR(SEARCH(".",D94)),IFERROR(VLOOKUP(D94,Потребители_обозначение,2,FALSE)&amp;"",""),IFERROR(IF(VLOOKUP(AT94,Потребители_обозначение,4,FALSE)=1,VLOOKUP(AT94,Потребители_обозначение,2,FALSE)&amp;" "&amp;VLOOKUP(AV94,Этаж_обозначение,2,FALSE)&amp;" Пом. №"&amp;AX94,VLOOKUP(AT94,Потребители_обозначение,2,FALSE)&amp;" Шлейф №"&amp;AV94),IFERROR(VLOOKUP(D94,Потребители_обозначение,2,FALSE),""))))</f>
        <v>Внутренний блок кондиционирования Цокольный этаж Пом. №006A</v>
      </c>
      <c r="AZ94" t="str">
        <f t="shared" si="94"/>
        <v>Внутренний блок кондиционирования Подвальный этаж Пом. №005Т</v>
      </c>
      <c r="BA94" t="str">
        <f>IF(F94&lt;&gt;"",F94,IF(AND(D94&lt;&gt;"",D94&lt;&gt;A94,ISNUMBER(_xlfn.XMATCH(D94,Щиты[Щит]))),D94,""))</f>
        <v/>
      </c>
      <c r="BB94">
        <f>IFERROR(_xlfn.XMATCH(A94,Щиты[Щит]),0)</f>
        <v>5</v>
      </c>
      <c r="BC94">
        <f>IFERROR(N(_xlfn.XLOOKUP(A94,Щиты[Щит],Щиты[Мест под вводной узел])),15)</f>
        <v>18</v>
      </c>
      <c r="BD94">
        <f t="shared" si="95"/>
        <v>24</v>
      </c>
      <c r="BE94" t="str">
        <f t="shared" si="96"/>
        <v>линии</v>
      </c>
      <c r="BF94">
        <f>IF(D94="","",IF(BA94&lt;&gt;"",IFERROR(_xlfn.XLOOKUP(BA94,Щиты[Щит],Щиты[Руст, кВт]),0),N(G94)))</f>
        <v>0.111</v>
      </c>
      <c r="BG94">
        <f>IF(J94&lt;&gt;"",J94,IF(D94="","",IFERROR(IF(VLOOKUP(AT94,Потребители_обозначение,8,FALSE)=0,"",VLOOKUP(AT94,Потребители_обозначение,8,FALSE)),"")))</f>
        <v>230</v>
      </c>
      <c r="BH94">
        <f>IF(I94&lt;&gt;"",I94,IF(D94="","",IFERROR(IF(VLOOKUP(AT94,Потребители_обозначение,9,FALSE)=0,"",VLOOKUP(AT94,Потребители_обозначение,9,FALSE)),"")))</f>
        <v>1</v>
      </c>
      <c r="BI94" t="str">
        <f>IF(U94&lt;&gt;"",U94,IF(D94="","",IFERROR(IF(VLOOKUP(AT94,Потребители_обозначение,6,FALSE)=0,"",VLOOKUP(AT94,Потребители_обозначение,6,FALSE)),"")))</f>
        <v>мс</v>
      </c>
      <c r="BJ94">
        <f>IF(V94&lt;&gt;"",V94,IF(D94="","",IFERROR(IF(VLOOKUP(AT94,Потребители_обозначение,7,FALSE)=0,"",VLOOKUP(AT94,Потребители_обозначение,7,FALSE)),"")))</f>
        <v>3</v>
      </c>
      <c r="BK94">
        <f>IF(W94&lt;&gt;"",W94,IF(D94="","",IFERROR(IF(VLOOKUP(AT94,Потребители_обозначение,10,FALSE)=0,"",VLOOKUP(AT94,Потребители_обозначение,10,FALSE)),"")))</f>
        <v>1.5</v>
      </c>
      <c r="BL94">
        <f>IFERROR(VLOOKUP(AT94,Потребители_обозначение,5,FALSE),0)</f>
        <v>1</v>
      </c>
      <c r="BM94" cm="1">
        <f t="array" ref="BM94">IF(D94="","",IF(BA94&lt;&gt;"",IFERROR(_xlfn.XLOOKUP(BA94,Щиты[Щит],Щиты[cos φ]),0.95),IF(ISNUMBER(M94),M94,IFERROR(IF(BL94=2,_xlfn.IFS(BH94=3,VLOOKUP(BF94,Справочная_двигатели,8,FALSE),BH94=1,VLOOKUP(BF94,Справочная_двигатели,10,TRUE)),IF(AND(Методика="нормы 2026",CN94="Сил"),0.8,0.95)),0.95))))</f>
        <v>0.95</v>
      </c>
      <c r="BN94" cm="1">
        <f t="array" ref="BN94">IF(D94="","",IF(BA94&lt;&gt;"",IFERROR(_xlfn.XLOOKUP(BA94,Щиты[Щит],Щиты[Iр, А]),""),IFERROR(_xlfn.IFS(BH94=1,BF94/((Uн_лин/SQRT(3))*BM94),BH94=3,BF94/(SQRT(3)*Uн_лин*BM94)),"")))</f>
        <v>0.50594115694775099</v>
      </c>
      <c r="BO94">
        <f>IF(D94="","",IF(N(X94)=0,IFERROR(VLOOKUP(BN94,Автомат_номиналы,2,TRUE),""),X94))</f>
        <v>10</v>
      </c>
      <c r="BP94">
        <f t="shared" si="97"/>
        <v>1</v>
      </c>
      <c r="BQ94">
        <f>IF(ISNUMBER(Y94),Y94,К_прокл)</f>
        <v>1</v>
      </c>
      <c r="BR94">
        <f t="shared" si="98"/>
        <v>2</v>
      </c>
      <c r="BS94" cm="1">
        <f t="array" ref="BS94">IF(D94="","",IF(N(BK94)&lt;&gt;0,BK94,IFERROR(_xlfn.LET(_xlpm.need,BO94/(BP94*BQ94),_xlpm.t,CHOOSE(BR94,Iдоп_1ж,Iдоп_2ж,Iдоп_3ж),_xlpm.k,_xlfn.XMATCH(_xlpm.need,_xlpm.t,1),IF(ISNA(_xlpm.k),"Не исп",INDEX(Iдоп_S,_xlpm.k))),"Не исп")))</f>
        <v>1.5</v>
      </c>
      <c r="BT94">
        <f>IFERROR(VLOOKUP(BS94,Кабель_сопротивление,3,FALSE),"")</f>
        <v>2.2499999999999999E-2</v>
      </c>
      <c r="BU94">
        <f>IFERROR(VLOOKUP(BS94,Кабель_сопротивление,2,FALSE),"")</f>
        <v>0.11</v>
      </c>
      <c r="BV94">
        <f t="shared" si="99"/>
        <v>24</v>
      </c>
      <c r="BW94">
        <f>IF(D94="","",IFERROR(IF(VLOOKUP(AT94,Потребители_обозначение,4,FALSE)=1,VLOOKUP(AT94,Потребители_обозначение,3,FALSE)*(H94*2-1)+BV94+VLOOKUP(AV94,Этаж_обозначение,3,FALSE)+VLOOKUP(AV94,Этаж_обозначение,4,FALSE),VLOOKUP(AT94,Потребители_обозначение,3,FALSE)*(H94*2-1)+BV94),BV94))</f>
        <v>26</v>
      </c>
      <c r="BX94">
        <f t="shared" si="100"/>
        <v>15</v>
      </c>
      <c r="BY94">
        <f t="shared" si="101"/>
        <v>0</v>
      </c>
      <c r="BZ94">
        <f t="shared" si="102"/>
        <v>2</v>
      </c>
      <c r="CA94">
        <f t="shared" si="103"/>
        <v>0.31</v>
      </c>
      <c r="CB94">
        <f t="shared" si="104"/>
        <v>0.37579953215778317</v>
      </c>
      <c r="CC94">
        <f>IFERROR(ROUNDUP(CB94/((Uн_лин/SQRT(3))*1000)*100,2),"")</f>
        <v>0.17</v>
      </c>
      <c r="CD94">
        <f>IF(ISNUMBER(CC94),CC94+IFERROR(_xlfn.XLOOKUP(A94,Щиты[Щит],Щиты[ΔU до шин, %]),0),"")</f>
        <v>0.83000000000000007</v>
      </c>
      <c r="CE94">
        <f>IF(D94="","",IF(IFERROR(VLOOKUP(AT94,УГО_спр,2,FALSE),"")="Светильник",3,4)+IF(Методика="нормы 2026",MIN(0.5,MAX(0,N(BW94)-100)*0.005),0))</f>
        <v>4</v>
      </c>
      <c r="CF94" t="str">
        <f>IFERROR(VLOOKUP(BI94,Кабель_обозначение,2,FALSE),"")</f>
        <v>ВВГнг(А)-LS</v>
      </c>
      <c r="CG94" t="str">
        <f>IFERROR(IF(VLOOKUP(BI94,Кабель_обозначение,3,FALSE)=1,CF94&amp;" ("&amp;BJ94&amp;"х"&amp;BS94&amp;")",CF94),"")</f>
        <v>ВВГнг(А)-LS (3х1,5)</v>
      </c>
      <c r="CH94" t="str">
        <f t="shared" si="105"/>
        <v>ВВГнг(А)-LS (3х1,5)
L=26-0,17%</v>
      </c>
      <c r="CI94">
        <f>IFERROR(2*ρкз_Cu*BW94/BS94,"")</f>
        <v>0.91173333333333328</v>
      </c>
      <c r="CJ94">
        <f t="shared" si="106"/>
        <v>0.3033333333333334</v>
      </c>
      <c r="CK94" t="str">
        <f>IFERROR(IF(OR(D94="",NOT(ISNUMBER(BS94)),N(BW94)=0),"",_xlfn.XLOOKUP(A94,Щиты[Щит],Щиты[Zпетли на шинах, Ом])+CI94),"")</f>
        <v/>
      </c>
      <c r="CL94" t="str">
        <f>IF(ISNUMBER(CK94),c_min*(Uн_лин*1000/SQRT(3))/CK94,"")</f>
        <v/>
      </c>
      <c r="CM94" t="str">
        <f>IFERROR(IF(OR(D94="",NOT(ISNUMBER(BS94))),"",1.05*(Uн_лин*1000/SQRT(3))/(_xlfn.XLOOKUP(A94,Щиты[Щит],Щиты[Zmax на шинах, Ом])+CJ94)/1000),"")</f>
        <v/>
      </c>
      <c r="CN94" t="str">
        <f>IF(D94="","",IF(BA94&lt;&gt;"","Щит",IF(K94&lt;&gt;"",K94,IF(ISNUMBER(L94),"Сил",IF(IFERROR(_xlfn.XLOOKUP(AT94,Коды_код,Коды_группа)&amp;"","")="","Быт",_xlfn.XLOOKUP(AT94,Коды_код,Коды_группа)&amp;"")))))</f>
        <v>Сил</v>
      </c>
      <c r="CO94">
        <f>IF(CN94="Щит","щит",IF(CN94="","",IF(CN94="Быт",IFERROR(_xlfn.XLOOKUP(A94,Щиты[Щит],Щиты[Кс быт]),1),IF(CN94="Сил",IF(ISNUMBER(L94),L94,IF(Методика="нормы 2026",IFERROR(_xlfn.XLOOKUP(A94,Щиты[Щит],Щиты[Кс силовых (табл. 7.5)]),1),1)),IF(OR(CN94="Пост",CN94="Отоп"),1,IF(CN94="ВНГ",0.7,0))))))</f>
        <v>0.5</v>
      </c>
      <c r="CP94">
        <f t="shared" si="107"/>
        <v>1</v>
      </c>
      <c r="CQ94">
        <f t="shared" si="108"/>
        <v>0.111</v>
      </c>
      <c r="CR94">
        <f t="shared" si="109"/>
        <v>0</v>
      </c>
      <c r="CS94">
        <f t="shared" si="110"/>
        <v>5.5500000000000001E-2</v>
      </c>
      <c r="CT94">
        <f t="shared" si="111"/>
        <v>0</v>
      </c>
      <c r="CU94">
        <f t="shared" si="112"/>
        <v>0</v>
      </c>
      <c r="CV94">
        <f t="shared" si="113"/>
        <v>0</v>
      </c>
      <c r="CW94">
        <f t="shared" si="114"/>
        <v>0.111</v>
      </c>
      <c r="CX94">
        <f t="shared" si="115"/>
        <v>0.10545</v>
      </c>
      <c r="CY94">
        <f t="shared" si="116"/>
        <v>3</v>
      </c>
      <c r="CZ94" t="str">
        <f t="shared" si="117"/>
        <v>L3</v>
      </c>
      <c r="DA94" cm="1">
        <f t="array" ref="DA94">IFERROR(IF(BL94=2,_xlfn.IFS(BH94=3,VLOOKUP(BF94,Справочная_двигатели,3,FALSE),BH94=1,VLOOKUP(BF94,Справочная_двигатели,5,TRUE)),0),0)</f>
        <v>0</v>
      </c>
      <c r="DB94">
        <f>IFERROR(IF(BL94=3,VLOOKUP(BF94,Справочная_ЛЭД,2,TRUE),0),0)</f>
        <v>0</v>
      </c>
      <c r="DC94">
        <f t="shared" si="118"/>
        <v>0</v>
      </c>
      <c r="DD94" t="str">
        <f t="shared" si="119"/>
        <v>L1</v>
      </c>
      <c r="DE94" t="str" cm="1">
        <f t="array" ref="DE94">IF(D94="","",IFERROR(INDEX({"I особая","I","II","III"},MATCH(TRIM(AA94&amp;""),{"I особая","I","II","III"},0)),"III"))</f>
        <v>II</v>
      </c>
      <c r="DF94" t="str">
        <f>IF(D94="","",IF(TRIM(AB94&amp;"")&lt;&gt;"",IF(LOWER(TRIM(AB94&amp;""))="да","да","нет"),IF(IFERROR(_xlfn.XLOOKUP(AT94,Коды_код,Коды_пожарная),"")="да","да","нет")))</f>
        <v>нет</v>
      </c>
      <c r="DG94" t="str">
        <f t="shared" si="120"/>
        <v/>
      </c>
      <c r="DH94" t="str">
        <f t="shared" si="121"/>
        <v>основная</v>
      </c>
      <c r="DI94">
        <f t="shared" si="122"/>
        <v>1</v>
      </c>
      <c r="DJ94" t="str" cm="1">
        <f t="array" ref="DJ94">IF(D94="","",_xlfn.LET(_xlpm.t,IFERROR(_xlfn.XLOOKUP(1,(Шины[Шина]=DH94)*(((Шины[Щит]=A94)+(Шины[Щит]=""))&gt;0),Шины[Тип]),"")&amp;"",IF(_xlpm.t&lt;&gt;"",_xlpm.t,IF(ISNUMBER(SEARCH("ИБП",DH94)),"ИБП",IF(ISNUMBER(SEARCH("ДГУ",DH94)),"ДГУ","Ввод "&amp;DI94)))))</f>
        <v>Ввод 1</v>
      </c>
      <c r="DK94" t="str">
        <f t="shared" si="123"/>
        <v>Ввод 1</v>
      </c>
      <c r="DL94" t="str">
        <f>IF(D94="","",IF(OR(DJ94="ИБП",DJ94="ДГУ"),"I особая",IF(DJ94="Одиночная","III",_xlfn.XLOOKUP(A94,Щиты[Щит],Щиты[Категория шины «Ввод»],"III"))))</f>
        <v>II</v>
      </c>
      <c r="DM94">
        <f>IF(D94="",0,IFERROR(MATCH(DE94,{"III","II","I","I особая"},0),1))</f>
        <v>2</v>
      </c>
      <c r="DN94">
        <f t="shared" si="124"/>
        <v>2</v>
      </c>
      <c r="DO94" t="str">
        <f>IF(D94="","",IF(DM94&gt;IFERROR(MATCH(DL94,{"III","II","I","I особая"},0),1),"НЕ ОБЕСПЕЧЕНА","ОК"))</f>
        <v>ОК</v>
      </c>
      <c r="DP94" t="str">
        <f>IF(A94="","",_xlfn.XLOOKUP(A94,Щиты[Щит],Щиты[Путь],""))</f>
        <v>|ГРЩ-ЖД|ЩОВ-002|</v>
      </c>
      <c r="DQ94" t="str">
        <f>IF(D94="","",IF(Z94&lt;&gt;"",Z94,IF(IFERROR(_xlfn.XLOOKUP(AT94,Коды_код,Коды_вид)&amp;"","")="","Прочее",_xlfn.XLOOKUP(AT94,Коды_код,Коды_вид)&amp;"")))</f>
        <v>Кондиционирование и увлажнение</v>
      </c>
      <c r="DR94">
        <f>IF(BD94="","",INT((BD94-1)/Столбцов_на_лист)+1)</f>
        <v>2</v>
      </c>
      <c r="DS94" t="str">
        <f t="shared" si="125"/>
        <v>ВВГнг(А)-LS (3х1,5) L=26-0,17%</v>
      </c>
      <c r="DT94">
        <f t="shared" si="126"/>
        <v>0.111</v>
      </c>
      <c r="DU94">
        <f t="shared" si="127"/>
        <v>0.51</v>
      </c>
      <c r="DV94">
        <f t="shared" si="128"/>
        <v>1</v>
      </c>
      <c r="DW94">
        <f>IF(AT94="",0,_xlfn.LET(_xlpm.v,IFERROR(VLOOKUP(D94,УГО_спр,3,FALSE),IFERROR(VLOOKUP(AT94,УГО_спр,3,FALSE),IFERROR(VLOOKUP(LEFT(AT94,2),УГО_спр,3,FALSE),""))),IF(_xlpm.v="да",30,IF(ISNUMBER(_xlpm.v),_xlpm.v,0))))</f>
        <v>0</v>
      </c>
      <c r="DX94">
        <f t="shared" si="129"/>
        <v>0</v>
      </c>
      <c r="DY94">
        <f>IF(BD94="","",IF(AD94&lt;&gt;"",COUNTIFS(A$3:A94,A94,AD$3:AD94,"?*"),IF(OR(OR(AS94=1,A94&lt;&gt;A93),AL94="вручную"),"",IF(AS94=1,"",DZ93))))</f>
        <v>6</v>
      </c>
      <c r="DZ94">
        <f t="shared" si="130"/>
        <v>6</v>
      </c>
      <c r="EA94">
        <f>IF(D94="",0,MAX(IFERROR(--X94,0),IFERROR(--VLOOKUP(D94,УГО_спр,4,FALSE),IFERROR(--VLOOKUP(AT94,УГО_спр,4,FALSE),IFERROR(--VLOOKUP(LEFT(AT94,2),УГО_спр,4,FALSE),0)))))</f>
        <v>10</v>
      </c>
      <c r="EB94">
        <f>IF(D94="","",IFERROR(LOOKUP(INDEX(CHOOSE(BR94,Iдоп_1ж,Iдоп_2ж,Iдоп_3ж),MATCH(BS94,Iдоп_S,0))*BP94*BQ94,{6,10,16,20,25,32,40,50,63,80,100,125,160,200,250,315,400,500,630}),""))</f>
        <v>16</v>
      </c>
      <c r="EC94">
        <f>IF(AD94="","",SUMIFS(Линии[_Ток схемы],Линии[_гр.],DY94,Линии[Щит],A94,Линии[_в кабель выше],0))</f>
        <v>0.51</v>
      </c>
      <c r="ED94">
        <f>IF(AD94="","",IFERROR(VLOOKUP(EC94,Автомат_номиналы,2,TRUE),""))</f>
        <v>6</v>
      </c>
      <c r="EE94">
        <f>IF(AD94="","",MAX(N(ED94),_xlfn.MAXIFS(Линии[_мин. по типу],Линии[_гр.],DY94,Линии[Щит],A94)))</f>
        <v>10</v>
      </c>
      <c r="EF94">
        <f>IF(AD94="","",_xlfn.MINIFS(Линии[_макс. автомат по кабелю],Линии[_гр.],DY94,Линии[Щит],A94))</f>
        <v>16</v>
      </c>
      <c r="EG94">
        <f>IF(AD94="","",MAX(1,_xlfn.MAXIFS(Линии[_фаз],Линии[_гр.],DY94,Линии[Щит],A94)))</f>
        <v>1</v>
      </c>
      <c r="EH94">
        <f>IF(AD94="","",IF(AND(AD94&lt;&gt;"авто",AD94&lt;&gt;"+"),IF(ISNUMBER(SEARCH("мА",AD94)),IFERROR(--TRIM(RIGHT(SUBSTITUTE(LEFT(AD94,SEARCH("мА",AD94)-1)," ",REPT(" ",9)),6)),30),0),IF(AE94="нет",0,IF(ISNUMBER(AE94),AE94,IF(AE94="да",30,_xlfn.MINIFS(Линии[_дифзащита по коду, мА],Линии[_гр.],DY94,Линии[Щит],A94,Линии[_дифзащита по коду, мА],"&gt;0"))))))</f>
        <v>0</v>
      </c>
      <c r="EI94">
        <f t="shared" si="131"/>
        <v>0</v>
      </c>
      <c r="EJ94" t="str">
        <f t="shared" si="132"/>
        <v>QF6</v>
      </c>
      <c r="EK94" t="str">
        <f t="shared" si="133"/>
        <v>QF6</v>
      </c>
      <c r="EL94" t="str">
        <f t="shared" si="134"/>
        <v/>
      </c>
      <c r="EM94">
        <f t="shared" si="135"/>
        <v>0</v>
      </c>
      <c r="EN94">
        <f>IF(AD94="","",IF(EM94=1,MAX(EE94,Мин_автомат_БП),EE94))</f>
        <v>10</v>
      </c>
      <c r="EO94" t="str">
        <f t="shared" si="136"/>
        <v>1P</v>
      </c>
      <c r="EP94" t="str">
        <f t="shared" si="137"/>
        <v>1P С10А</v>
      </c>
      <c r="EQ94">
        <f t="shared" si="138"/>
        <v>10</v>
      </c>
      <c r="ER94" t="str">
        <f>IF(OR(AI94="",AI94="-"),"",IFERROR(VLOOKUP(AI94,Модули_спр,2,FALSE),"R"))</f>
        <v/>
      </c>
      <c r="ES94" t="str">
        <f>IF(ER94="","",ER94&amp;"."&amp;COUNTIFS(A$3:A94,A94,ER$3:ER94,ER94))</f>
        <v/>
      </c>
      <c r="ET94" t="str">
        <f t="shared" si="139"/>
        <v/>
      </c>
      <c r="EU94" t="str">
        <f t="shared" si="140"/>
        <v/>
      </c>
      <c r="EV94" t="str">
        <f t="shared" si="141"/>
        <v/>
      </c>
      <c r="EW94" t="str">
        <f t="shared" si="142"/>
        <v/>
      </c>
      <c r="EX94">
        <f t="shared" si="143"/>
        <v>1</v>
      </c>
      <c r="EY94" t="str">
        <f>IF(AK94="нет","",IF(AK94&lt;&gt;"",AK94,IF(EX94=1,"XT"&amp;COUNTIFS(A$3:A94,A94,EX$3:EX94,1),"")))</f>
        <v/>
      </c>
      <c r="EZ94" t="str">
        <f t="shared" si="144"/>
        <v>QF6</v>
      </c>
      <c r="FA94" t="str">
        <f t="shared" si="145"/>
        <v/>
      </c>
      <c r="FB94" t="str">
        <f t="shared" si="146"/>
        <v>ok</v>
      </c>
      <c r="FC94" t="str">
        <f>IF(OR(EV94="",ET94=""),"",IF(EV94&gt;IFERROR(VLOOKUP(EU94,Модули_спр,3,FALSE),99),"ЛИШНИЙ КАНАЛ",IF(AND(AJ94&lt;&gt;"=",COUNTIFS(Линии[_модуль гр.],ET94,Линии[Канал (итог)],EV94,Линии[Канал],"&lt;&gt;=",Линии[Щит],A94)&gt;1),"ДУБЛЬ КАНАЛА","")))</f>
        <v/>
      </c>
      <c r="FD94">
        <f t="shared" si="147"/>
        <v>10</v>
      </c>
      <c r="FE94" t="str">
        <f t="shared" si="148"/>
        <v>1P С10А</v>
      </c>
      <c r="FF94">
        <f t="shared" si="149"/>
        <v>0</v>
      </c>
      <c r="FG94">
        <f t="shared" si="150"/>
        <v>0</v>
      </c>
      <c r="FH94" t="str">
        <f t="shared" si="151"/>
        <v/>
      </c>
      <c r="FI94">
        <f t="shared" si="152"/>
        <v>10</v>
      </c>
      <c r="FJ94" t="str">
        <f t="shared" si="153"/>
        <v/>
      </c>
      <c r="FK94" t="str">
        <f>IF(AND(D94="",EZ94=""),"",_xlfn.TEXTJOIN("; ",TRUE,IF(AND(D94&lt;&gt;"",DD94=""),"нет фазы",""),IF(AND(D94&lt;&gt;"",N(DT94)=0,CN94&lt;&gt;"Нет"),"нет мощности",""),IF(AND(EY94&lt;&gt;"",COUNTIFS(Линии[Щит],A94,Линии[Клемма (итог)],EY94)&gt;1),"дубль клеммы "&amp;EY94,""),IF(AND(FB94&lt;&gt;"",FB94&lt;&gt;"ok"),FB94,""),IF(FC94&lt;&gt;"",FC94,""),IF(AND(ISNUMBER(SEARCH("(5х",DS94)),N(DV94)=1),"5 жил на 1 фазе",""),IF(AND(AT94="R",AD94&lt;&gt;"",OR(N(EH94)=0,N(EH94)&gt;30)),"розетка без дифзащиты до 30 мА",""),IFERROR(IF(AND(ISNUMBER(CD94),CD94&gt;CE94),"потери "&amp;FIXED(CD94,1)&amp;" % &gt; "&amp;CE94&amp;" %",""),""),IFERROR(IF(LEFT(FJ94,4)="мало","Iкз мало — отключение &gt; 0,4 с",""),""),IF(AND(D94&lt;&gt;"",BD94=""),"не на схеме","")))</f>
        <v/>
      </c>
      <c r="FL94">
        <f>IF(AD94="","",_xlfn.LET(_xlpm.t,IFERROR(_xlfn.XLOOKUP(EP94,Каталог!$U$4:$U$500,Каталог!$G$4:$G$500),""),_xlpm.k,SEARCH("кА",_xlpm.t),IFERROR(--TRIM(RIGHT(SUBSTITUTE(MID(_xlpm.t,MAX(1,_xlpm.k-4),_xlpm.k-MAX(1,_xlpm.k-4))," ",REPT(" ",9)),5)),"")))</f>
        <v>6</v>
      </c>
      <c r="FM94" t="str">
        <f>IF(OR(FL94="",AD94=""),"",IF(_xlfn.XLOOKUP(A94,Щиты[Щит],Щиты[Iкз max на шинах, кА],"")="","",IF(FL94&lt;_xlfn.XLOOKUP(A94,Щиты[Щит],Щиты[Iкз max на шинах, кА]),"Icu "&amp;FL94&amp;" кА &lt; Iкз max","ok")))</f>
        <v/>
      </c>
      <c r="FN94" t="str">
        <f t="shared" si="154"/>
        <v>QF6</v>
      </c>
      <c r="FO94" t="str">
        <f t="shared" si="155"/>
        <v>QF6|кабель ВВГнг(А)-LS (3х1,5) → Внутренний блок кондиционирования Подвальный этаж Пом. №005Т</v>
      </c>
      <c r="FP94" t="str" cm="1">
        <f t="array" ref="FP94">IF(FO94="","",_xlfn.LET(_xlpm.nd,_xlfn.TEXTSPLIT(FO94,"|"),IF(COLUMNS(_xlpm.nd)&gt;1,A94&amp;"¦"&amp;INDEX(_xlpm.nd,1)&amp;"¦"&amp;INDEX(_xlpm.nd,2),"")))</f>
        <v>ЩОВ-002¦QF6¦кабель ВВГнг(А)-LS (3х1,5) → Внутренний блок кондиционирования Подвальный этаж Пом. №005Т</v>
      </c>
      <c r="FQ94" t="str">
        <f t="shared" si="156"/>
        <v>K.0.006A¦Внутренний блок кондиционирования Подвальный этаж Пом. №005Т</v>
      </c>
      <c r="FR94" t="str" cm="1">
        <f t="array" ref="FR94">IF(FO94="","",_xlfn.LET(_xlpm.nd,_xlfn.TEXTSPLIT(FO94,"|"),IF(COLUMNS(_xlpm.nd)&gt;2,A94&amp;"¦"&amp;INDEX(_xlpm.nd,2)&amp;"¦"&amp;INDEX(_xlpm.nd,3),"")))</f>
        <v/>
      </c>
      <c r="FS94" t="str">
        <f t="shared" si="157"/>
        <v/>
      </c>
      <c r="FT94" t="str" cm="1">
        <f t="array" ref="FT94">IF(FO94="","",_xlfn.LET(_xlpm.nd,_xlfn.TEXTSPLIT(FO94,"|"),IF(COLUMNS(_xlpm.nd)&gt;3,A94&amp;"¦"&amp;INDEX(_xlpm.nd,3)&amp;"¦"&amp;INDEX(_xlpm.nd,4),"")))</f>
        <v/>
      </c>
      <c r="FU94" t="str">
        <f t="shared" si="158"/>
        <v/>
      </c>
      <c r="FV94" t="str" cm="1">
        <f t="array" ref="FV94">IF(FO94="","",_xlfn.LET(_xlpm.nd,_xlfn.TEXTSPLIT(FO94,"|"),IF(COLUMNS(_xlpm.nd)&gt;4,A94&amp;"¦"&amp;INDEX(_xlpm.nd,4)&amp;"¦"&amp;INDEX(_xlpm.nd,5),"")))</f>
        <v/>
      </c>
      <c r="FW94" t="str">
        <f t="shared" si="159"/>
        <v/>
      </c>
      <c r="FX94" t="str" cm="1">
        <f t="array" ref="FX94">IF(FO94="","",_xlfn.LET(_xlpm.nd,_xlfn.TEXTSPLIT(FO94,"|"),IF(COLUMNS(_xlpm.nd)&gt;5,A94&amp;"¦"&amp;INDEX(_xlpm.nd,5)&amp;"¦"&amp;INDEX(_xlpm.nd,6),"")))</f>
        <v/>
      </c>
      <c r="FY94" t="str">
        <f t="shared" si="160"/>
        <v/>
      </c>
      <c r="FZ94" t="str" cm="1">
        <f t="array" ref="FZ94">IF(FO94="","",_xlfn.LET(_xlpm.nd,_xlfn.TEXTSPLIT(FO94,"|"),IF(COLUMNS(_xlpm.nd)&gt;6,A94&amp;"¦"&amp;INDEX(_xlpm.nd,6)&amp;"¦"&amp;INDEX(_xlpm.nd,7),"")))</f>
        <v/>
      </c>
      <c r="GA94" t="str">
        <f t="shared" si="161"/>
        <v/>
      </c>
      <c r="GB94" t="str">
        <f t="shared" si="162"/>
        <v/>
      </c>
      <c r="GC94" t="str">
        <f t="shared" si="163"/>
        <v>QF6</v>
      </c>
      <c r="GD94">
        <f t="shared" si="164"/>
        <v>1</v>
      </c>
      <c r="GE94">
        <f t="shared" si="165"/>
        <v>0</v>
      </c>
      <c r="GF94">
        <f t="shared" si="166"/>
        <v>0</v>
      </c>
      <c r="GG94" t="str">
        <f t="shared" si="167"/>
        <v/>
      </c>
      <c r="GH94" t="str">
        <f t="shared" si="168"/>
        <v/>
      </c>
      <c r="GI94" t="str">
        <f t="shared" si="169"/>
        <v/>
      </c>
      <c r="GJ94" t="str">
        <f t="shared" si="170"/>
        <v/>
      </c>
      <c r="GK94">
        <f>IF(D94="","",IFERROR(VLOOKUP(D94,УГО_спр,2,FALSE),IFERROR(VLOOKUP(AT94,УГО_спр,2,FALSE),IFERROR(VLOOKUP(LEFT(AT94,2),УГО_спр,2,FALSE),""))))</f>
        <v>0</v>
      </c>
      <c r="GL94" t="str">
        <f>IF(D94="","",IF(OR(GK94="",GK94=0),"BOX",IFERROR(IF(VLOOKUP(GK94,УГО_блоки,3,FALSE)&amp;""&lt;&gt;"",VLOOKUP(GK94,УГО_блоки,3,FALSE),VLOOKUP(GK94,УГО_блоки,2,FALSE)),GK94)))</f>
        <v>BOX</v>
      </c>
      <c r="GM94">
        <f t="shared" si="171"/>
        <v>1</v>
      </c>
      <c r="GN94" t="str">
        <f>IF(EP94="","",IF(COUNTIF(EP$3:EP94,EP94)=1,MAX(GN$2:GN93)+1,""))</f>
        <v/>
      </c>
      <c r="GO94" t="str">
        <f>IF(AF94="","",IF(COUNTIF(AF$3:AF94,AF94)+COUNTIF(AG$2:AG93,AF94)+COUNTIF(AH$2:AH93,AF94)=1,MAX(GO$2:GQ93)+1,""))</f>
        <v/>
      </c>
      <c r="GP94" t="str">
        <f>IF(AG94="","",IF(COUNTIF(AF$3:AF94,AG94)+COUNTIF(AG$3:AG94,AG94)+COUNTIF(AH$2:AH93,AG94)=1,MAX(GO$2:GQ93,GO94)+1,""))</f>
        <v/>
      </c>
      <c r="GQ94" t="str">
        <f>IF(AH94="","",IF(COUNTIF(AF$3:AF94,AH94)+COUNTIF(AG$3:AG94,AH94)+COUNTIF(AH$3:AH94,AH94)=1,MAX(GO$2:GQ93,GO94,GP94)+1,""))</f>
        <v/>
      </c>
      <c r="GR94" t="str">
        <f t="shared" si="172"/>
        <v>3х1,5</v>
      </c>
      <c r="GS94" t="str">
        <f>IF(GR94="","",IF(COUNTIF(GR$3:GR94,GR94)=1,MAX(GS$2:GS93)+1,""))</f>
        <v/>
      </c>
      <c r="GT94" t="str">
        <f>IF(ES94="","",COUNTIF(ES$3:ES94,"?*"))</f>
        <v/>
      </c>
      <c r="GU94" t="str">
        <f>IF(OR(ES94="",EU94=""),"",IF(COUNTIFS(ES$3:ES94,"?*",EU$3:EU94,EU94)=1,MAX(GU$2:GU93)+1,""))</f>
        <v/>
      </c>
      <c r="GV94">
        <f t="shared" si="173"/>
        <v>0</v>
      </c>
      <c r="GW94">
        <f>IF(D94="","",COUNTIF(D$3:D94,"?*"))</f>
        <v>92</v>
      </c>
      <c r="GX94">
        <f>IF(EX94&lt;&gt;1,0,_xlfn.LET(_xlpm.k,MAX(IFERROR(--VLOOKUP(D94,УГО_спр,5,FALSE),0),IFERROR(--VLOOKUP(AT94,УГО_спр,5,FALSE),0),IFERROR(--VLOOKUP(LEFT(AT94,2),УГО_спр,5,FALSE),0)),IF(_xlpm.k&gt;0,_xlpm.k,IF(IFERROR(--LEFT(SUBSTITUTE(GR94,"x","х"),FIND("х",SUBSTITUTE(GR94,"x","х"))-1),3)&gt;3,Каталог!$S$9,1))))</f>
        <v>1</v>
      </c>
      <c r="GY94">
        <f t="shared" si="174"/>
        <v>0</v>
      </c>
    </row>
    <row r="95" spans="1:207" x14ac:dyDescent="0.3">
      <c r="A95" t="s">
        <v>754</v>
      </c>
      <c r="B95">
        <v>25</v>
      </c>
      <c r="C95" t="str">
        <f>IF(BD95="","",IF(BE95="вводной узел","узел ","")&amp;"л."&amp;(INT((BD95-1)/Столбцов_на_лист)+1)&amp;" / "&amp;(MOD(BD95-1,Столбцов_на_лист)+1))</f>
        <v>л.2 / 8</v>
      </c>
      <c r="D95" t="s">
        <v>1376</v>
      </c>
      <c r="E95" s="133" t="s">
        <v>1374</v>
      </c>
      <c r="G95">
        <v>0.104</v>
      </c>
      <c r="H95">
        <v>1</v>
      </c>
      <c r="I95">
        <v>1</v>
      </c>
      <c r="J95">
        <v>230</v>
      </c>
      <c r="K95" t="s">
        <v>602</v>
      </c>
      <c r="L95">
        <v>0.5</v>
      </c>
      <c r="O95">
        <v>1</v>
      </c>
      <c r="P95">
        <v>25</v>
      </c>
      <c r="Q95">
        <v>11</v>
      </c>
      <c r="R95">
        <v>16</v>
      </c>
      <c r="T95">
        <v>1</v>
      </c>
      <c r="U95" t="s">
        <v>11</v>
      </c>
      <c r="V95">
        <v>3</v>
      </c>
      <c r="W95">
        <v>1.5</v>
      </c>
      <c r="X95">
        <v>10</v>
      </c>
      <c r="Z95" t="s">
        <v>580</v>
      </c>
      <c r="AA95" t="s">
        <v>818</v>
      </c>
      <c r="AD95" t="s">
        <v>517</v>
      </c>
      <c r="AK95" t="s">
        <v>488</v>
      </c>
      <c r="AR95" t="str">
        <f t="shared" si="88"/>
        <v/>
      </c>
      <c r="AS95" cm="1">
        <f t="array" ref="AS95">ROW()-ROW(Линии[#Headers])</f>
        <v>93</v>
      </c>
      <c r="AT95" t="str">
        <f t="shared" si="89"/>
        <v>K</v>
      </c>
      <c r="AU95" t="str">
        <f t="shared" si="90"/>
        <v>00.001A</v>
      </c>
      <c r="AV95" t="str">
        <f t="shared" si="91"/>
        <v>00</v>
      </c>
      <c r="AW95" t="str">
        <f t="shared" si="92"/>
        <v>001A</v>
      </c>
      <c r="AX95" t="str">
        <f t="shared" si="93"/>
        <v>001A</v>
      </c>
      <c r="AY95" t="str">
        <f>IF(D95="","",IF(ISERROR(SEARCH(".",D95)),IFERROR(VLOOKUP(D95,Потребители_обозначение,2,FALSE)&amp;"",""),IFERROR(IF(VLOOKUP(AT95,Потребители_обозначение,4,FALSE)=1,VLOOKUP(AT95,Потребители_обозначение,2,FALSE)&amp;" "&amp;VLOOKUP(AV95,Этаж_обозначение,2,FALSE)&amp;" Пом. №"&amp;AX95,VLOOKUP(AT95,Потребители_обозначение,2,FALSE)&amp;" Шлейф №"&amp;AV95),IFERROR(VLOOKUP(D95,Потребители_обозначение,2,FALSE),""))))</f>
        <v>Внутренний блок кондиционирования Подвальный этаж Пом. №001A</v>
      </c>
      <c r="AZ95" t="str">
        <f t="shared" si="94"/>
        <v>Внутренний блок кондиционирования Подвальный этаж Пом. №005Т</v>
      </c>
      <c r="BA95" t="str">
        <f>IF(F95&lt;&gt;"",F95,IF(AND(D95&lt;&gt;"",D95&lt;&gt;A95,ISNUMBER(_xlfn.XMATCH(D95,Щиты[Щит]))),D95,""))</f>
        <v/>
      </c>
      <c r="BB95">
        <f>IFERROR(_xlfn.XMATCH(A95,Щиты[Щит]),0)</f>
        <v>5</v>
      </c>
      <c r="BC95">
        <f>IFERROR(N(_xlfn.XLOOKUP(A95,Щиты[Щит],Щиты[Мест под вводной узел])),15)</f>
        <v>18</v>
      </c>
      <c r="BD95">
        <f t="shared" si="95"/>
        <v>25</v>
      </c>
      <c r="BE95" t="str">
        <f t="shared" si="96"/>
        <v>линии</v>
      </c>
      <c r="BF95">
        <f>IF(D95="","",IF(BA95&lt;&gt;"",IFERROR(_xlfn.XLOOKUP(BA95,Щиты[Щит],Щиты[Руст, кВт]),0),N(G95)))</f>
        <v>0.104</v>
      </c>
      <c r="BG95">
        <f>IF(J95&lt;&gt;"",J95,IF(D95="","",IFERROR(IF(VLOOKUP(AT95,Потребители_обозначение,8,FALSE)=0,"",VLOOKUP(AT95,Потребители_обозначение,8,FALSE)),"")))</f>
        <v>230</v>
      </c>
      <c r="BH95">
        <f>IF(I95&lt;&gt;"",I95,IF(D95="","",IFERROR(IF(VLOOKUP(AT95,Потребители_обозначение,9,FALSE)=0,"",VLOOKUP(AT95,Потребители_обозначение,9,FALSE)),"")))</f>
        <v>1</v>
      </c>
      <c r="BI95" t="str">
        <f>IF(U95&lt;&gt;"",U95,IF(D95="","",IFERROR(IF(VLOOKUP(AT95,Потребители_обозначение,6,FALSE)=0,"",VLOOKUP(AT95,Потребители_обозначение,6,FALSE)),"")))</f>
        <v>мс</v>
      </c>
      <c r="BJ95">
        <f>IF(V95&lt;&gt;"",V95,IF(D95="","",IFERROR(IF(VLOOKUP(AT95,Потребители_обозначение,7,FALSE)=0,"",VLOOKUP(AT95,Потребители_обозначение,7,FALSE)),"")))</f>
        <v>3</v>
      </c>
      <c r="BK95">
        <f>IF(W95&lt;&gt;"",W95,IF(D95="","",IFERROR(IF(VLOOKUP(AT95,Потребители_обозначение,10,FALSE)=0,"",VLOOKUP(AT95,Потребители_обозначение,10,FALSE)),"")))</f>
        <v>1.5</v>
      </c>
      <c r="BL95">
        <f>IFERROR(VLOOKUP(AT95,Потребители_обозначение,5,FALSE),0)</f>
        <v>1</v>
      </c>
      <c r="BM95" cm="1">
        <f t="array" ref="BM95">IF(D95="","",IF(BA95&lt;&gt;"",IFERROR(_xlfn.XLOOKUP(BA95,Щиты[Щит],Щиты[cos φ]),0.95),IF(ISNUMBER(M95),M95,IFERROR(IF(BL95=2,_xlfn.IFS(BH95=3,VLOOKUP(BF95,Справочная_двигатели,8,FALSE),BH95=1,VLOOKUP(BF95,Справочная_двигатели,10,TRUE)),IF(AND(Методика="нормы 2026",CN95="Сил"),0.8,0.95)),0.95))))</f>
        <v>0.95</v>
      </c>
      <c r="BN95" cm="1">
        <f t="array" ref="BN95">IF(D95="","",IF(BA95&lt;&gt;"",IFERROR(_xlfn.XLOOKUP(BA95,Щиты[Щит],Щиты[Iр, А]),""),IFERROR(_xlfn.IFS(BH95=1,BF95/((Uн_лин/SQRT(3))*BM95),BH95=3,BF95/(SQRT(3)*Uн_лин*BM95)),"")))</f>
        <v>0.47403495786095584</v>
      </c>
      <c r="BO95">
        <f>IF(D95="","",IF(N(X95)=0,IFERROR(VLOOKUP(BN95,Автомат_номиналы,2,TRUE),""),X95))</f>
        <v>10</v>
      </c>
      <c r="BP95">
        <f t="shared" si="97"/>
        <v>1</v>
      </c>
      <c r="BQ95">
        <f>IF(ISNUMBER(Y95),Y95,К_прокл)</f>
        <v>1</v>
      </c>
      <c r="BR95">
        <f t="shared" si="98"/>
        <v>2</v>
      </c>
      <c r="BS95" cm="1">
        <f t="array" ref="BS95">IF(D95="","",IF(N(BK95)&lt;&gt;0,BK95,IFERROR(_xlfn.LET(_xlpm.need,BO95/(BP95*BQ95),_xlpm.t,CHOOSE(BR95,Iдоп_1ж,Iдоп_2ж,Iдоп_3ж),_xlpm.k,_xlfn.XMATCH(_xlpm.need,_xlpm.t,1),IF(ISNA(_xlpm.k),"Не исп",INDEX(Iдоп_S,_xlpm.k))),"Не исп")))</f>
        <v>1.5</v>
      </c>
      <c r="BT95">
        <f>IFERROR(VLOOKUP(BS95,Кабель_сопротивление,3,FALSE),"")</f>
        <v>2.2499999999999999E-2</v>
      </c>
      <c r="BU95">
        <f>IFERROR(VLOOKUP(BS95,Кабель_сопротивление,2,FALSE),"")</f>
        <v>0.11</v>
      </c>
      <c r="BV95">
        <f t="shared" si="99"/>
        <v>25</v>
      </c>
      <c r="BW95">
        <f>IF(D95="","",IFERROR(IF(VLOOKUP(AT95,Потребители_обозначение,4,FALSE)=1,VLOOKUP(AT95,Потребители_обозначение,3,FALSE)*(H95*2-1)+BV95+VLOOKUP(AV95,Этаж_обозначение,3,FALSE)+VLOOKUP(AV95,Этаж_обозначение,4,FALSE),VLOOKUP(AT95,Потребители_обозначение,3,FALSE)*(H95*2-1)+BV95),BV95))</f>
        <v>27</v>
      </c>
      <c r="BX95">
        <f t="shared" si="100"/>
        <v>16</v>
      </c>
      <c r="BY95">
        <f t="shared" si="101"/>
        <v>0</v>
      </c>
      <c r="BZ95">
        <f t="shared" si="102"/>
        <v>2</v>
      </c>
      <c r="CA95">
        <f t="shared" si="103"/>
        <v>0.31</v>
      </c>
      <c r="CB95">
        <f t="shared" si="104"/>
        <v>0.36564278804541067</v>
      </c>
      <c r="CC95">
        <f>IFERROR(ROUNDUP(CB95/((Uн_лин/SQRT(3))*1000)*100,2),"")</f>
        <v>0.16</v>
      </c>
      <c r="CD95">
        <f>IF(ISNUMBER(CC95),CC95+IFERROR(_xlfn.XLOOKUP(A95,Щиты[Щит],Щиты[ΔU до шин, %]),0),"")</f>
        <v>0.82000000000000006</v>
      </c>
      <c r="CE95">
        <f>IF(D95="","",IF(IFERROR(VLOOKUP(AT95,УГО_спр,2,FALSE),"")="Светильник",3,4)+IF(Методика="нормы 2026",MIN(0.5,MAX(0,N(BW95)-100)*0.005),0))</f>
        <v>4</v>
      </c>
      <c r="CF95" t="str">
        <f>IFERROR(VLOOKUP(BI95,Кабель_обозначение,2,FALSE),"")</f>
        <v>ВВГнг(А)-LS</v>
      </c>
      <c r="CG95" t="str">
        <f>IFERROR(IF(VLOOKUP(BI95,Кабель_обозначение,3,FALSE)=1,CF95&amp;" ("&amp;BJ95&amp;"х"&amp;BS95&amp;")",CF95),"")</f>
        <v>ВВГнг(А)-LS (3х1,5)</v>
      </c>
      <c r="CH95" t="str">
        <f t="shared" si="105"/>
        <v>ВВГнг(А)-LS (3х1,5)
L=27-0,16%</v>
      </c>
      <c r="CI95">
        <f>IFERROR(2*ρкз_Cu*BW95/BS95,"")</f>
        <v>0.94680000000000009</v>
      </c>
      <c r="CJ95">
        <f t="shared" si="106"/>
        <v>0.315</v>
      </c>
      <c r="CK95" t="str">
        <f>IFERROR(IF(OR(D95="",NOT(ISNUMBER(BS95)),N(BW95)=0),"",_xlfn.XLOOKUP(A95,Щиты[Щит],Щиты[Zпетли на шинах, Ом])+CI95),"")</f>
        <v/>
      </c>
      <c r="CL95" t="str">
        <f>IF(ISNUMBER(CK95),c_min*(Uн_лин*1000/SQRT(3))/CK95,"")</f>
        <v/>
      </c>
      <c r="CM95" t="str">
        <f>IFERROR(IF(OR(D95="",NOT(ISNUMBER(BS95))),"",1.05*(Uн_лин*1000/SQRT(3))/(_xlfn.XLOOKUP(A95,Щиты[Щит],Щиты[Zmax на шинах, Ом])+CJ95)/1000),"")</f>
        <v/>
      </c>
      <c r="CN95" t="str">
        <f>IF(D95="","",IF(BA95&lt;&gt;"","Щит",IF(K95&lt;&gt;"",K95,IF(ISNUMBER(L95),"Сил",IF(IFERROR(_xlfn.XLOOKUP(AT95,Коды_код,Коды_группа)&amp;"","")="","Быт",_xlfn.XLOOKUP(AT95,Коды_код,Коды_группа)&amp;"")))))</f>
        <v>Сил</v>
      </c>
      <c r="CO95">
        <f>IF(CN95="Щит","щит",IF(CN95="","",IF(CN95="Быт",IFERROR(_xlfn.XLOOKUP(A95,Щиты[Щит],Щиты[Кс быт]),1),IF(CN95="Сил",IF(ISNUMBER(L95),L95,IF(Методика="нормы 2026",IFERROR(_xlfn.XLOOKUP(A95,Щиты[Щит],Щиты[Кс силовых (табл. 7.5)]),1),1)),IF(OR(CN95="Пост",CN95="Отоп"),1,IF(CN95="ВНГ",0.7,0))))))</f>
        <v>0.5</v>
      </c>
      <c r="CP95">
        <f t="shared" si="107"/>
        <v>1</v>
      </c>
      <c r="CQ95">
        <f t="shared" si="108"/>
        <v>0.104</v>
      </c>
      <c r="CR95">
        <f t="shared" si="109"/>
        <v>0</v>
      </c>
      <c r="CS95">
        <f t="shared" si="110"/>
        <v>5.1999999999999998E-2</v>
      </c>
      <c r="CT95">
        <f t="shared" si="111"/>
        <v>0</v>
      </c>
      <c r="CU95">
        <f t="shared" si="112"/>
        <v>0</v>
      </c>
      <c r="CV95">
        <f t="shared" si="113"/>
        <v>0</v>
      </c>
      <c r="CW95">
        <f t="shared" si="114"/>
        <v>0.104</v>
      </c>
      <c r="CX95">
        <f t="shared" si="115"/>
        <v>9.8799999999999985E-2</v>
      </c>
      <c r="CY95">
        <f t="shared" si="116"/>
        <v>1</v>
      </c>
      <c r="CZ95" t="str">
        <f t="shared" si="117"/>
        <v>L1</v>
      </c>
      <c r="DA95" cm="1">
        <f t="array" ref="DA95">IFERROR(IF(BL95=2,_xlfn.IFS(BH95=3,VLOOKUP(BF95,Справочная_двигатели,3,FALSE),BH95=1,VLOOKUP(BF95,Справочная_двигатели,5,TRUE)),0),0)</f>
        <v>0</v>
      </c>
      <c r="DB95">
        <f>IFERROR(IF(BL95=3,VLOOKUP(BF95,Справочная_ЛЭД,2,TRUE),0),0)</f>
        <v>0</v>
      </c>
      <c r="DC95">
        <f t="shared" si="118"/>
        <v>0</v>
      </c>
      <c r="DD95" t="str">
        <f t="shared" si="119"/>
        <v>L1</v>
      </c>
      <c r="DE95" t="str" cm="1">
        <f t="array" ref="DE95">IF(D95="","",IFERROR(INDEX({"I особая","I","II","III"},MATCH(TRIM(AA95&amp;""),{"I особая","I","II","III"},0)),"III"))</f>
        <v>II</v>
      </c>
      <c r="DF95" t="str">
        <f>IF(D95="","",IF(TRIM(AB95&amp;"")&lt;&gt;"",IF(LOWER(TRIM(AB95&amp;""))="да","да","нет"),IF(IFERROR(_xlfn.XLOOKUP(AT95,Коды_код,Коды_пожарная),"")="да","да","нет")))</f>
        <v>нет</v>
      </c>
      <c r="DG95" t="str">
        <f t="shared" si="120"/>
        <v/>
      </c>
      <c r="DH95" t="str">
        <f t="shared" si="121"/>
        <v>основная</v>
      </c>
      <c r="DI95">
        <f t="shared" si="122"/>
        <v>1</v>
      </c>
      <c r="DJ95" t="str" cm="1">
        <f t="array" ref="DJ95">IF(D95="","",_xlfn.LET(_xlpm.t,IFERROR(_xlfn.XLOOKUP(1,(Шины[Шина]=DH95)*(((Шины[Щит]=A95)+(Шины[Щит]=""))&gt;0),Шины[Тип]),"")&amp;"",IF(_xlpm.t&lt;&gt;"",_xlpm.t,IF(ISNUMBER(SEARCH("ИБП",DH95)),"ИБП",IF(ISNUMBER(SEARCH("ДГУ",DH95)),"ДГУ","Ввод "&amp;DI95)))))</f>
        <v>Ввод 1</v>
      </c>
      <c r="DK95" t="str">
        <f t="shared" si="123"/>
        <v>Ввод 1</v>
      </c>
      <c r="DL95" t="str">
        <f>IF(D95="","",IF(OR(DJ95="ИБП",DJ95="ДГУ"),"I особая",IF(DJ95="Одиночная","III",_xlfn.XLOOKUP(A95,Щиты[Щит],Щиты[Категория шины «Ввод»],"III"))))</f>
        <v>II</v>
      </c>
      <c r="DM95">
        <f>IF(D95="",0,IFERROR(MATCH(DE95,{"III","II","I","I особая"},0),1))</f>
        <v>2</v>
      </c>
      <c r="DN95">
        <f t="shared" si="124"/>
        <v>2</v>
      </c>
      <c r="DO95" t="str">
        <f>IF(D95="","",IF(DM95&gt;IFERROR(MATCH(DL95,{"III","II","I","I особая"},0),1),"НЕ ОБЕСПЕЧЕНА","ОК"))</f>
        <v>ОК</v>
      </c>
      <c r="DP95" t="str">
        <f>IF(A95="","",_xlfn.XLOOKUP(A95,Щиты[Щит],Щиты[Путь],""))</f>
        <v>|ГРЩ-ЖД|ЩОВ-002|</v>
      </c>
      <c r="DQ95" t="str">
        <f>IF(D95="","",IF(Z95&lt;&gt;"",Z95,IF(IFERROR(_xlfn.XLOOKUP(AT95,Коды_код,Коды_вид)&amp;"","")="","Прочее",_xlfn.XLOOKUP(AT95,Коды_код,Коды_вид)&amp;"")))</f>
        <v>Кондиционирование и увлажнение</v>
      </c>
      <c r="DR95">
        <f>IF(BD95="","",INT((BD95-1)/Столбцов_на_лист)+1)</f>
        <v>2</v>
      </c>
      <c r="DS95" t="str">
        <f t="shared" si="125"/>
        <v>ВВГнг(А)-LS (3х1,5) L=27-0,16%</v>
      </c>
      <c r="DT95">
        <f t="shared" si="126"/>
        <v>0.104</v>
      </c>
      <c r="DU95">
        <f t="shared" si="127"/>
        <v>0.48</v>
      </c>
      <c r="DV95">
        <f t="shared" si="128"/>
        <v>1</v>
      </c>
      <c r="DW95">
        <f>IF(AT95="",0,_xlfn.LET(_xlpm.v,IFERROR(VLOOKUP(D95,УГО_спр,3,FALSE),IFERROR(VLOOKUP(AT95,УГО_спр,3,FALSE),IFERROR(VLOOKUP(LEFT(AT95,2),УГО_спр,3,FALSE),""))),IF(_xlpm.v="да",30,IF(ISNUMBER(_xlpm.v),_xlpm.v,0))))</f>
        <v>0</v>
      </c>
      <c r="DX95">
        <f t="shared" si="129"/>
        <v>0</v>
      </c>
      <c r="DY95">
        <f>IF(BD95="","",IF(AD95&lt;&gt;"",COUNTIFS(A$3:A95,A95,AD$3:AD95,"?*"),IF(OR(OR(AS95=1,A95&lt;&gt;A94),AL95="вручную"),"",IF(AS95=1,"",DZ94))))</f>
        <v>7</v>
      </c>
      <c r="DZ95">
        <f t="shared" si="130"/>
        <v>7</v>
      </c>
      <c r="EA95">
        <f>IF(D95="",0,MAX(IFERROR(--X95,0),IFERROR(--VLOOKUP(D95,УГО_спр,4,FALSE),IFERROR(--VLOOKUP(AT95,УГО_спр,4,FALSE),IFERROR(--VLOOKUP(LEFT(AT95,2),УГО_спр,4,FALSE),0)))))</f>
        <v>10</v>
      </c>
      <c r="EB95">
        <f>IF(D95="","",IFERROR(LOOKUP(INDEX(CHOOSE(BR95,Iдоп_1ж,Iдоп_2ж,Iдоп_3ж),MATCH(BS95,Iдоп_S,0))*BP95*BQ95,{6,10,16,20,25,32,40,50,63,80,100,125,160,200,250,315,400,500,630}),""))</f>
        <v>16</v>
      </c>
      <c r="EC95">
        <f>IF(AD95="","",SUMIFS(Линии[_Ток схемы],Линии[_гр.],DY95,Линии[Щит],A95,Линии[_в кабель выше],0))</f>
        <v>0.48</v>
      </c>
      <c r="ED95">
        <f>IF(AD95="","",IFERROR(VLOOKUP(EC95,Автомат_номиналы,2,TRUE),""))</f>
        <v>6</v>
      </c>
      <c r="EE95">
        <f>IF(AD95="","",MAX(N(ED95),_xlfn.MAXIFS(Линии[_мин. по типу],Линии[_гр.],DY95,Линии[Щит],A95)))</f>
        <v>10</v>
      </c>
      <c r="EF95">
        <f>IF(AD95="","",_xlfn.MINIFS(Линии[_макс. автомат по кабелю],Линии[_гр.],DY95,Линии[Щит],A95))</f>
        <v>16</v>
      </c>
      <c r="EG95">
        <f>IF(AD95="","",MAX(1,_xlfn.MAXIFS(Линии[_фаз],Линии[_гр.],DY95,Линии[Щит],A95)))</f>
        <v>1</v>
      </c>
      <c r="EH95">
        <f>IF(AD95="","",IF(AND(AD95&lt;&gt;"авто",AD95&lt;&gt;"+"),IF(ISNUMBER(SEARCH("мА",AD95)),IFERROR(--TRIM(RIGHT(SUBSTITUTE(LEFT(AD95,SEARCH("мА",AD95)-1)," ",REPT(" ",9)),6)),30),0),IF(AE95="нет",0,IF(ISNUMBER(AE95),AE95,IF(AE95="да",30,_xlfn.MINIFS(Линии[_дифзащита по коду, мА],Линии[_гр.],DY95,Линии[Щит],A95,Линии[_дифзащита по коду, мА],"&gt;0"))))))</f>
        <v>0</v>
      </c>
      <c r="EI95">
        <f t="shared" si="131"/>
        <v>0</v>
      </c>
      <c r="EJ95" t="str">
        <f t="shared" si="132"/>
        <v>QF7</v>
      </c>
      <c r="EK95" t="str">
        <f t="shared" si="133"/>
        <v>QF7</v>
      </c>
      <c r="EL95" t="str">
        <f t="shared" si="134"/>
        <v/>
      </c>
      <c r="EM95">
        <f t="shared" si="135"/>
        <v>0</v>
      </c>
      <c r="EN95">
        <f>IF(AD95="","",IF(EM95=1,MAX(EE95,Мин_автомат_БП),EE95))</f>
        <v>10</v>
      </c>
      <c r="EO95" t="str">
        <f t="shared" si="136"/>
        <v>1P</v>
      </c>
      <c r="EP95" t="str">
        <f t="shared" si="137"/>
        <v>1P С10А</v>
      </c>
      <c r="EQ95">
        <f t="shared" si="138"/>
        <v>10</v>
      </c>
      <c r="ER95" t="str">
        <f>IF(OR(AI95="",AI95="-"),"",IFERROR(VLOOKUP(AI95,Модули_спр,2,FALSE),"R"))</f>
        <v/>
      </c>
      <c r="ES95" t="str">
        <f>IF(ER95="","",ER95&amp;"."&amp;COUNTIFS(A$3:A95,A95,ER$3:ER95,ER95))</f>
        <v/>
      </c>
      <c r="ET95" t="str">
        <f t="shared" si="139"/>
        <v/>
      </c>
      <c r="EU95" t="str">
        <f t="shared" si="140"/>
        <v/>
      </c>
      <c r="EV95" t="str">
        <f t="shared" si="141"/>
        <v/>
      </c>
      <c r="EW95" t="str">
        <f t="shared" si="142"/>
        <v/>
      </c>
      <c r="EX95">
        <f t="shared" si="143"/>
        <v>1</v>
      </c>
      <c r="EY95" t="str">
        <f>IF(AK95="нет","",IF(AK95&lt;&gt;"",AK95,IF(EX95=1,"XT"&amp;COUNTIFS(A$3:A95,A95,EX$3:EX95,1),"")))</f>
        <v/>
      </c>
      <c r="EZ95" t="str">
        <f t="shared" si="144"/>
        <v>QF7</v>
      </c>
      <c r="FA95" t="str">
        <f t="shared" si="145"/>
        <v/>
      </c>
      <c r="FB95" t="str">
        <f t="shared" si="146"/>
        <v>ok</v>
      </c>
      <c r="FC95" t="str">
        <f>IF(OR(EV95="",ET95=""),"",IF(EV95&gt;IFERROR(VLOOKUP(EU95,Модули_спр,3,FALSE),99),"ЛИШНИЙ КАНАЛ",IF(AND(AJ95&lt;&gt;"=",COUNTIFS(Линии[_модуль гр.],ET95,Линии[Канал (итог)],EV95,Линии[Канал],"&lt;&gt;=",Линии[Щит],A95)&gt;1),"ДУБЛЬ КАНАЛА","")))</f>
        <v/>
      </c>
      <c r="FD95">
        <f t="shared" si="147"/>
        <v>10</v>
      </c>
      <c r="FE95" t="str">
        <f t="shared" si="148"/>
        <v>1P С10А</v>
      </c>
      <c r="FF95">
        <f t="shared" si="149"/>
        <v>0</v>
      </c>
      <c r="FG95">
        <f t="shared" si="150"/>
        <v>0</v>
      </c>
      <c r="FH95" t="str">
        <f t="shared" si="151"/>
        <v/>
      </c>
      <c r="FI95">
        <f t="shared" si="152"/>
        <v>10</v>
      </c>
      <c r="FJ95" t="str">
        <f t="shared" si="153"/>
        <v/>
      </c>
      <c r="FK95" t="str">
        <f>IF(AND(D95="",EZ95=""),"",_xlfn.TEXTJOIN("; ",TRUE,IF(AND(D95&lt;&gt;"",DD95=""),"нет фазы",""),IF(AND(D95&lt;&gt;"",N(DT95)=0,CN95&lt;&gt;"Нет"),"нет мощности",""),IF(AND(EY95&lt;&gt;"",COUNTIFS(Линии[Щит],A95,Линии[Клемма (итог)],EY95)&gt;1),"дубль клеммы "&amp;EY95,""),IF(AND(FB95&lt;&gt;"",FB95&lt;&gt;"ok"),FB95,""),IF(FC95&lt;&gt;"",FC95,""),IF(AND(ISNUMBER(SEARCH("(5х",DS95)),N(DV95)=1),"5 жил на 1 фазе",""),IF(AND(AT95="R",AD95&lt;&gt;"",OR(N(EH95)=0,N(EH95)&gt;30)),"розетка без дифзащиты до 30 мА",""),IFERROR(IF(AND(ISNUMBER(CD95),CD95&gt;CE95),"потери "&amp;FIXED(CD95,1)&amp;" % &gt; "&amp;CE95&amp;" %",""),""),IFERROR(IF(LEFT(FJ95,4)="мало","Iкз мало — отключение &gt; 0,4 с",""),""),IF(AND(D95&lt;&gt;"",BD95=""),"не на схеме","")))</f>
        <v/>
      </c>
      <c r="FL95">
        <f>IF(AD95="","",_xlfn.LET(_xlpm.t,IFERROR(_xlfn.XLOOKUP(EP95,Каталог!$U$4:$U$500,Каталог!$G$4:$G$500),""),_xlpm.k,SEARCH("кА",_xlpm.t),IFERROR(--TRIM(RIGHT(SUBSTITUTE(MID(_xlpm.t,MAX(1,_xlpm.k-4),_xlpm.k-MAX(1,_xlpm.k-4))," ",REPT(" ",9)),5)),"")))</f>
        <v>6</v>
      </c>
      <c r="FM95" t="str">
        <f>IF(OR(FL95="",AD95=""),"",IF(_xlfn.XLOOKUP(A95,Щиты[Щит],Щиты[Iкз max на шинах, кА],"")="","",IF(FL95&lt;_xlfn.XLOOKUP(A95,Щиты[Щит],Щиты[Iкз max на шинах, кА]),"Icu "&amp;FL95&amp;" кА &lt; Iкз max","ok")))</f>
        <v/>
      </c>
      <c r="FN95" t="str">
        <f t="shared" si="154"/>
        <v>QF7</v>
      </c>
      <c r="FO95" t="str">
        <f t="shared" si="155"/>
        <v>QF7|кабель ВВГнг(А)-LS (3х1,5) → Внутренний блок кондиционирования Подвальный этаж Пом. №005Т</v>
      </c>
      <c r="FP95" t="str" cm="1">
        <f t="array" ref="FP95">IF(FO95="","",_xlfn.LET(_xlpm.nd,_xlfn.TEXTSPLIT(FO95,"|"),IF(COLUMNS(_xlpm.nd)&gt;1,A95&amp;"¦"&amp;INDEX(_xlpm.nd,1)&amp;"¦"&amp;INDEX(_xlpm.nd,2),"")))</f>
        <v>ЩОВ-002¦QF7¦кабель ВВГнг(А)-LS (3х1,5) → Внутренний блок кондиционирования Подвальный этаж Пом. №005Т</v>
      </c>
      <c r="FQ95" t="str">
        <f t="shared" si="156"/>
        <v>K.00.001A¦Внутренний блок кондиционирования Подвальный этаж Пом. №005Т</v>
      </c>
      <c r="FR95" t="str" cm="1">
        <f t="array" ref="FR95">IF(FO95="","",_xlfn.LET(_xlpm.nd,_xlfn.TEXTSPLIT(FO95,"|"),IF(COLUMNS(_xlpm.nd)&gt;2,A95&amp;"¦"&amp;INDEX(_xlpm.nd,2)&amp;"¦"&amp;INDEX(_xlpm.nd,3),"")))</f>
        <v/>
      </c>
      <c r="FS95" t="str">
        <f t="shared" si="157"/>
        <v/>
      </c>
      <c r="FT95" t="str" cm="1">
        <f t="array" ref="FT95">IF(FO95="","",_xlfn.LET(_xlpm.nd,_xlfn.TEXTSPLIT(FO95,"|"),IF(COLUMNS(_xlpm.nd)&gt;3,A95&amp;"¦"&amp;INDEX(_xlpm.nd,3)&amp;"¦"&amp;INDEX(_xlpm.nd,4),"")))</f>
        <v/>
      </c>
      <c r="FU95" t="str">
        <f t="shared" si="158"/>
        <v/>
      </c>
      <c r="FV95" t="str" cm="1">
        <f t="array" ref="FV95">IF(FO95="","",_xlfn.LET(_xlpm.nd,_xlfn.TEXTSPLIT(FO95,"|"),IF(COLUMNS(_xlpm.nd)&gt;4,A95&amp;"¦"&amp;INDEX(_xlpm.nd,4)&amp;"¦"&amp;INDEX(_xlpm.nd,5),"")))</f>
        <v/>
      </c>
      <c r="FW95" t="str">
        <f t="shared" si="159"/>
        <v/>
      </c>
      <c r="FX95" t="str" cm="1">
        <f t="array" ref="FX95">IF(FO95="","",_xlfn.LET(_xlpm.nd,_xlfn.TEXTSPLIT(FO95,"|"),IF(COLUMNS(_xlpm.nd)&gt;5,A95&amp;"¦"&amp;INDEX(_xlpm.nd,5)&amp;"¦"&amp;INDEX(_xlpm.nd,6),"")))</f>
        <v/>
      </c>
      <c r="FY95" t="str">
        <f t="shared" si="160"/>
        <v/>
      </c>
      <c r="FZ95" t="str" cm="1">
        <f t="array" ref="FZ95">IF(FO95="","",_xlfn.LET(_xlpm.nd,_xlfn.TEXTSPLIT(FO95,"|"),IF(COLUMNS(_xlpm.nd)&gt;6,A95&amp;"¦"&amp;INDEX(_xlpm.nd,6)&amp;"¦"&amp;INDEX(_xlpm.nd,7),"")))</f>
        <v/>
      </c>
      <c r="GA95" t="str">
        <f t="shared" si="161"/>
        <v/>
      </c>
      <c r="GB95" t="str">
        <f t="shared" si="162"/>
        <v/>
      </c>
      <c r="GC95" t="str">
        <f t="shared" si="163"/>
        <v>QF7</v>
      </c>
      <c r="GD95">
        <f t="shared" si="164"/>
        <v>1</v>
      </c>
      <c r="GE95">
        <f t="shared" si="165"/>
        <v>0</v>
      </c>
      <c r="GF95">
        <f t="shared" si="166"/>
        <v>0</v>
      </c>
      <c r="GG95" t="str">
        <f t="shared" si="167"/>
        <v/>
      </c>
      <c r="GH95" t="str">
        <f t="shared" si="168"/>
        <v/>
      </c>
      <c r="GI95" t="str">
        <f t="shared" si="169"/>
        <v/>
      </c>
      <c r="GJ95" t="str">
        <f t="shared" si="170"/>
        <v/>
      </c>
      <c r="GK95">
        <f>IF(D95="","",IFERROR(VLOOKUP(D95,УГО_спр,2,FALSE),IFERROR(VLOOKUP(AT95,УГО_спр,2,FALSE),IFERROR(VLOOKUP(LEFT(AT95,2),УГО_спр,2,FALSE),""))))</f>
        <v>0</v>
      </c>
      <c r="GL95" t="str">
        <f>IF(D95="","",IF(OR(GK95="",GK95=0),"BOX",IFERROR(IF(VLOOKUP(GK95,УГО_блоки,3,FALSE)&amp;""&lt;&gt;"",VLOOKUP(GK95,УГО_блоки,3,FALSE),VLOOKUP(GK95,УГО_блоки,2,FALSE)),GK95)))</f>
        <v>BOX</v>
      </c>
      <c r="GM95">
        <f t="shared" si="171"/>
        <v>1</v>
      </c>
      <c r="GN95" t="str">
        <f>IF(EP95="","",IF(COUNTIF(EP$3:EP95,EP95)=1,MAX(GN$2:GN94)+1,""))</f>
        <v/>
      </c>
      <c r="GO95" t="str">
        <f>IF(AF95="","",IF(COUNTIF(AF$3:AF95,AF95)+COUNTIF(AG$2:AG94,AF95)+COUNTIF(AH$2:AH94,AF95)=1,MAX(GO$2:GQ94)+1,""))</f>
        <v/>
      </c>
      <c r="GP95" t="str">
        <f>IF(AG95="","",IF(COUNTIF(AF$3:AF95,AG95)+COUNTIF(AG$3:AG95,AG95)+COUNTIF(AH$2:AH94,AG95)=1,MAX(GO$2:GQ94,GO95)+1,""))</f>
        <v/>
      </c>
      <c r="GQ95" t="str">
        <f>IF(AH95="","",IF(COUNTIF(AF$3:AF95,AH95)+COUNTIF(AG$3:AG95,AH95)+COUNTIF(AH$3:AH95,AH95)=1,MAX(GO$2:GQ94,GO95,GP95)+1,""))</f>
        <v/>
      </c>
      <c r="GR95" t="str">
        <f t="shared" si="172"/>
        <v>3х1,5</v>
      </c>
      <c r="GS95" t="str">
        <f>IF(GR95="","",IF(COUNTIF(GR$3:GR95,GR95)=1,MAX(GS$2:GS94)+1,""))</f>
        <v/>
      </c>
      <c r="GT95" t="str">
        <f>IF(ES95="","",COUNTIF(ES$3:ES95,"?*"))</f>
        <v/>
      </c>
      <c r="GU95" t="str">
        <f>IF(OR(ES95="",EU95=""),"",IF(COUNTIFS(ES$3:ES95,"?*",EU$3:EU95,EU95)=1,MAX(GU$2:GU94)+1,""))</f>
        <v/>
      </c>
      <c r="GV95">
        <f t="shared" si="173"/>
        <v>0</v>
      </c>
      <c r="GW95">
        <f>IF(D95="","",COUNTIF(D$3:D95,"?*"))</f>
        <v>93</v>
      </c>
      <c r="GX95">
        <f>IF(EX95&lt;&gt;1,0,_xlfn.LET(_xlpm.k,MAX(IFERROR(--VLOOKUP(D95,УГО_спр,5,FALSE),0),IFERROR(--VLOOKUP(AT95,УГО_спр,5,FALSE),0),IFERROR(--VLOOKUP(LEFT(AT95,2),УГО_спр,5,FALSE),0)),IF(_xlpm.k&gt;0,_xlpm.k,IF(IFERROR(--LEFT(SUBSTITUTE(GR95,"x","х"),FIND("х",SUBSTITUTE(GR95,"x","х"))-1),3)&gt;3,Каталог!$S$9,1))))</f>
        <v>1</v>
      </c>
      <c r="GY95">
        <f t="shared" si="174"/>
        <v>0</v>
      </c>
    </row>
    <row r="96" spans="1:207" x14ac:dyDescent="0.3">
      <c r="A96" t="s">
        <v>754</v>
      </c>
      <c r="B96">
        <v>26</v>
      </c>
      <c r="C96" t="str">
        <f>IF(BD96="","",IF(BE96="вводной узел","узел ","")&amp;"л."&amp;(INT((BD96-1)/Столбцов_на_лист)+1)&amp;" / "&amp;(MOD(BD96-1,Столбцов_на_лист)+1))</f>
        <v>л.2 / 9</v>
      </c>
      <c r="D96" t="s">
        <v>1377</v>
      </c>
      <c r="E96" s="133" t="s">
        <v>1378</v>
      </c>
      <c r="G96">
        <v>0.104</v>
      </c>
      <c r="H96">
        <v>1</v>
      </c>
      <c r="I96">
        <v>1</v>
      </c>
      <c r="J96">
        <v>230</v>
      </c>
      <c r="K96" t="s">
        <v>602</v>
      </c>
      <c r="L96">
        <v>0.5</v>
      </c>
      <c r="O96">
        <v>1</v>
      </c>
      <c r="P96">
        <v>30</v>
      </c>
      <c r="Q96">
        <v>14</v>
      </c>
      <c r="R96">
        <v>18</v>
      </c>
      <c r="T96">
        <v>1</v>
      </c>
      <c r="U96" t="s">
        <v>11</v>
      </c>
      <c r="V96">
        <v>3</v>
      </c>
      <c r="W96">
        <v>1.5</v>
      </c>
      <c r="X96">
        <v>10</v>
      </c>
      <c r="Z96" t="s">
        <v>580</v>
      </c>
      <c r="AA96" t="s">
        <v>818</v>
      </c>
      <c r="AD96" t="s">
        <v>517</v>
      </c>
      <c r="AK96" t="s">
        <v>488</v>
      </c>
      <c r="AR96" t="str">
        <f t="shared" si="88"/>
        <v/>
      </c>
      <c r="AS96" cm="1">
        <f t="array" ref="AS96">ROW()-ROW(Линии[#Headers])</f>
        <v>94</v>
      </c>
      <c r="AT96" t="str">
        <f t="shared" si="89"/>
        <v>K</v>
      </c>
      <c r="AU96" t="str">
        <f t="shared" si="90"/>
        <v>00.004A</v>
      </c>
      <c r="AV96" t="str">
        <f t="shared" si="91"/>
        <v>00</v>
      </c>
      <c r="AW96" t="str">
        <f t="shared" si="92"/>
        <v>004A</v>
      </c>
      <c r="AX96" t="str">
        <f t="shared" si="93"/>
        <v>004A</v>
      </c>
      <c r="AY96" t="str">
        <f>IF(D96="","",IF(ISERROR(SEARCH(".",D96)),IFERROR(VLOOKUP(D96,Потребители_обозначение,2,FALSE)&amp;"",""),IFERROR(IF(VLOOKUP(AT96,Потребители_обозначение,4,FALSE)=1,VLOOKUP(AT96,Потребители_обозначение,2,FALSE)&amp;" "&amp;VLOOKUP(AV96,Этаж_обозначение,2,FALSE)&amp;" Пом. №"&amp;AX96,VLOOKUP(AT96,Потребители_обозначение,2,FALSE)&amp;" Шлейф №"&amp;AV96),IFERROR(VLOOKUP(D96,Потребители_обозначение,2,FALSE),""))))</f>
        <v>Внутренний блок кондиционирования Подвальный этаж Пом. №004A</v>
      </c>
      <c r="AZ96" t="str">
        <f t="shared" si="94"/>
        <v>Внутренний блок кондиционирования Подвальный этаж Пом. №002Б</v>
      </c>
      <c r="BA96" t="str">
        <f>IF(F96&lt;&gt;"",F96,IF(AND(D96&lt;&gt;"",D96&lt;&gt;A96,ISNUMBER(_xlfn.XMATCH(D96,Щиты[Щит]))),D96,""))</f>
        <v/>
      </c>
      <c r="BB96">
        <f>IFERROR(_xlfn.XMATCH(A96,Щиты[Щит]),0)</f>
        <v>5</v>
      </c>
      <c r="BC96">
        <f>IFERROR(N(_xlfn.XLOOKUP(A96,Щиты[Щит],Щиты[Мест под вводной узел])),15)</f>
        <v>18</v>
      </c>
      <c r="BD96">
        <f t="shared" si="95"/>
        <v>26</v>
      </c>
      <c r="BE96" t="str">
        <f t="shared" si="96"/>
        <v>линии</v>
      </c>
      <c r="BF96">
        <f>IF(D96="","",IF(BA96&lt;&gt;"",IFERROR(_xlfn.XLOOKUP(BA96,Щиты[Щит],Щиты[Руст, кВт]),0),N(G96)))</f>
        <v>0.104</v>
      </c>
      <c r="BG96">
        <f>IF(J96&lt;&gt;"",J96,IF(D96="","",IFERROR(IF(VLOOKUP(AT96,Потребители_обозначение,8,FALSE)=0,"",VLOOKUP(AT96,Потребители_обозначение,8,FALSE)),"")))</f>
        <v>230</v>
      </c>
      <c r="BH96">
        <f>IF(I96&lt;&gt;"",I96,IF(D96="","",IFERROR(IF(VLOOKUP(AT96,Потребители_обозначение,9,FALSE)=0,"",VLOOKUP(AT96,Потребители_обозначение,9,FALSE)),"")))</f>
        <v>1</v>
      </c>
      <c r="BI96" t="str">
        <f>IF(U96&lt;&gt;"",U96,IF(D96="","",IFERROR(IF(VLOOKUP(AT96,Потребители_обозначение,6,FALSE)=0,"",VLOOKUP(AT96,Потребители_обозначение,6,FALSE)),"")))</f>
        <v>мс</v>
      </c>
      <c r="BJ96">
        <f>IF(V96&lt;&gt;"",V96,IF(D96="","",IFERROR(IF(VLOOKUP(AT96,Потребители_обозначение,7,FALSE)=0,"",VLOOKUP(AT96,Потребители_обозначение,7,FALSE)),"")))</f>
        <v>3</v>
      </c>
      <c r="BK96">
        <f>IF(W96&lt;&gt;"",W96,IF(D96="","",IFERROR(IF(VLOOKUP(AT96,Потребители_обозначение,10,FALSE)=0,"",VLOOKUP(AT96,Потребители_обозначение,10,FALSE)),"")))</f>
        <v>1.5</v>
      </c>
      <c r="BL96">
        <f>IFERROR(VLOOKUP(AT96,Потребители_обозначение,5,FALSE),0)</f>
        <v>1</v>
      </c>
      <c r="BM96" cm="1">
        <f t="array" ref="BM96">IF(D96="","",IF(BA96&lt;&gt;"",IFERROR(_xlfn.XLOOKUP(BA96,Щиты[Щит],Щиты[cos φ]),0.95),IF(ISNUMBER(M96),M96,IFERROR(IF(BL96=2,_xlfn.IFS(BH96=3,VLOOKUP(BF96,Справочная_двигатели,8,FALSE),BH96=1,VLOOKUP(BF96,Справочная_двигатели,10,TRUE)),IF(AND(Методика="нормы 2026",CN96="Сил"),0.8,0.95)),0.95))))</f>
        <v>0.95</v>
      </c>
      <c r="BN96" cm="1">
        <f t="array" ref="BN96">IF(D96="","",IF(BA96&lt;&gt;"",IFERROR(_xlfn.XLOOKUP(BA96,Щиты[Щит],Щиты[Iр, А]),""),IFERROR(_xlfn.IFS(BH96=1,BF96/((Uн_лин/SQRT(3))*BM96),BH96=3,BF96/(SQRT(3)*Uн_лин*BM96)),"")))</f>
        <v>0.47403495786095584</v>
      </c>
      <c r="BO96">
        <f>IF(D96="","",IF(N(X96)=0,IFERROR(VLOOKUP(BN96,Автомат_номиналы,2,TRUE),""),X96))</f>
        <v>10</v>
      </c>
      <c r="BP96">
        <f t="shared" si="97"/>
        <v>1</v>
      </c>
      <c r="BQ96">
        <f>IF(ISNUMBER(Y96),Y96,К_прокл)</f>
        <v>1</v>
      </c>
      <c r="BR96">
        <f t="shared" si="98"/>
        <v>2</v>
      </c>
      <c r="BS96" cm="1">
        <f t="array" ref="BS96">IF(D96="","",IF(N(BK96)&lt;&gt;0,BK96,IFERROR(_xlfn.LET(_xlpm.need,BO96/(BP96*BQ96),_xlpm.t,CHOOSE(BR96,Iдоп_1ж,Iдоп_2ж,Iдоп_3ж),_xlpm.k,_xlfn.XMATCH(_xlpm.need,_xlpm.t,1),IF(ISNA(_xlpm.k),"Не исп",INDEX(Iдоп_S,_xlpm.k))),"Не исп")))</f>
        <v>1.5</v>
      </c>
      <c r="BT96">
        <f>IFERROR(VLOOKUP(BS96,Кабель_сопротивление,3,FALSE),"")</f>
        <v>2.2499999999999999E-2</v>
      </c>
      <c r="BU96">
        <f>IFERROR(VLOOKUP(BS96,Кабель_сопротивление,2,FALSE),"")</f>
        <v>0.11</v>
      </c>
      <c r="BV96">
        <f t="shared" si="99"/>
        <v>30</v>
      </c>
      <c r="BW96">
        <f>IF(D96="","",IFERROR(IF(VLOOKUP(AT96,Потребители_обозначение,4,FALSE)=1,VLOOKUP(AT96,Потребители_обозначение,3,FALSE)*(H96*2-1)+BV96+VLOOKUP(AV96,Этаж_обозначение,3,FALSE)+VLOOKUP(AV96,Этаж_обозначение,4,FALSE),VLOOKUP(AT96,Потребители_обозначение,3,FALSE)*(H96*2-1)+BV96),BV96))</f>
        <v>32</v>
      </c>
      <c r="BX96">
        <f t="shared" si="100"/>
        <v>18</v>
      </c>
      <c r="BY96">
        <f t="shared" si="101"/>
        <v>0</v>
      </c>
      <c r="BZ96">
        <f t="shared" si="102"/>
        <v>2</v>
      </c>
      <c r="CA96">
        <f t="shared" si="103"/>
        <v>0.31</v>
      </c>
      <c r="CB96">
        <f t="shared" si="104"/>
        <v>0.43335441546122744</v>
      </c>
      <c r="CC96">
        <f>IFERROR(ROUNDUP(CB96/((Uн_лин/SQRT(3))*1000)*100,2),"")</f>
        <v>0.19</v>
      </c>
      <c r="CD96">
        <f>IF(ISNUMBER(CC96),CC96+IFERROR(_xlfn.XLOOKUP(A96,Щиты[Щит],Щиты[ΔU до шин, %]),0),"")</f>
        <v>0.85000000000000009</v>
      </c>
      <c r="CE96">
        <f>IF(D96="","",IF(IFERROR(VLOOKUP(AT96,УГО_спр,2,FALSE),"")="Светильник",3,4)+IF(Методика="нормы 2026",MIN(0.5,MAX(0,N(BW96)-100)*0.005),0))</f>
        <v>4</v>
      </c>
      <c r="CF96" t="str">
        <f>IFERROR(VLOOKUP(BI96,Кабель_обозначение,2,FALSE),"")</f>
        <v>ВВГнг(А)-LS</v>
      </c>
      <c r="CG96" t="str">
        <f>IFERROR(IF(VLOOKUP(BI96,Кабель_обозначение,3,FALSE)=1,CF96&amp;" ("&amp;BJ96&amp;"х"&amp;BS96&amp;")",CF96),"")</f>
        <v>ВВГнг(А)-LS (3х1,5)</v>
      </c>
      <c r="CH96" t="str">
        <f t="shared" si="105"/>
        <v>ВВГнг(А)-LS (3х1,5)
L=32-0,19%</v>
      </c>
      <c r="CI96">
        <f>IFERROR(2*ρкз_Cu*BW96/BS96,"")</f>
        <v>1.1221333333333334</v>
      </c>
      <c r="CJ96">
        <f t="shared" si="106"/>
        <v>0.37333333333333335</v>
      </c>
      <c r="CK96" t="str">
        <f>IFERROR(IF(OR(D96="",NOT(ISNUMBER(BS96)),N(BW96)=0),"",_xlfn.XLOOKUP(A96,Щиты[Щит],Щиты[Zпетли на шинах, Ом])+CI96),"")</f>
        <v/>
      </c>
      <c r="CL96" t="str">
        <f>IF(ISNUMBER(CK96),c_min*(Uн_лин*1000/SQRT(3))/CK96,"")</f>
        <v/>
      </c>
      <c r="CM96" t="str">
        <f>IFERROR(IF(OR(D96="",NOT(ISNUMBER(BS96))),"",1.05*(Uн_лин*1000/SQRT(3))/(_xlfn.XLOOKUP(A96,Щиты[Щит],Щиты[Zmax на шинах, Ом])+CJ96)/1000),"")</f>
        <v/>
      </c>
      <c r="CN96" t="str">
        <f>IF(D96="","",IF(BA96&lt;&gt;"","Щит",IF(K96&lt;&gt;"",K96,IF(ISNUMBER(L96),"Сил",IF(IFERROR(_xlfn.XLOOKUP(AT96,Коды_код,Коды_группа)&amp;"","")="","Быт",_xlfn.XLOOKUP(AT96,Коды_код,Коды_группа)&amp;"")))))</f>
        <v>Сил</v>
      </c>
      <c r="CO96">
        <f>IF(CN96="Щит","щит",IF(CN96="","",IF(CN96="Быт",IFERROR(_xlfn.XLOOKUP(A96,Щиты[Щит],Щиты[Кс быт]),1),IF(CN96="Сил",IF(ISNUMBER(L96),L96,IF(Методика="нормы 2026",IFERROR(_xlfn.XLOOKUP(A96,Щиты[Щит],Щиты[Кс силовых (табл. 7.5)]),1),1)),IF(OR(CN96="Пост",CN96="Отоп"),1,IF(CN96="ВНГ",0.7,0))))))</f>
        <v>0.5</v>
      </c>
      <c r="CP96">
        <f t="shared" si="107"/>
        <v>1</v>
      </c>
      <c r="CQ96">
        <f t="shared" si="108"/>
        <v>0.104</v>
      </c>
      <c r="CR96">
        <f t="shared" si="109"/>
        <v>0</v>
      </c>
      <c r="CS96">
        <f t="shared" si="110"/>
        <v>5.1999999999999998E-2</v>
      </c>
      <c r="CT96">
        <f t="shared" si="111"/>
        <v>0</v>
      </c>
      <c r="CU96">
        <f t="shared" si="112"/>
        <v>0</v>
      </c>
      <c r="CV96">
        <f t="shared" si="113"/>
        <v>0</v>
      </c>
      <c r="CW96">
        <f t="shared" si="114"/>
        <v>0.104</v>
      </c>
      <c r="CX96">
        <f t="shared" si="115"/>
        <v>9.8799999999999985E-2</v>
      </c>
      <c r="CY96">
        <f t="shared" si="116"/>
        <v>2</v>
      </c>
      <c r="CZ96" t="str">
        <f t="shared" si="117"/>
        <v>L2</v>
      </c>
      <c r="DA96" cm="1">
        <f t="array" ref="DA96">IFERROR(IF(BL96=2,_xlfn.IFS(BH96=3,VLOOKUP(BF96,Справочная_двигатели,3,FALSE),BH96=1,VLOOKUP(BF96,Справочная_двигатели,5,TRUE)),0),0)</f>
        <v>0</v>
      </c>
      <c r="DB96">
        <f>IFERROR(IF(BL96=3,VLOOKUP(BF96,Справочная_ЛЭД,2,TRUE),0),0)</f>
        <v>0</v>
      </c>
      <c r="DC96">
        <f t="shared" si="118"/>
        <v>0</v>
      </c>
      <c r="DD96" t="str">
        <f t="shared" si="119"/>
        <v>L1</v>
      </c>
      <c r="DE96" t="str" cm="1">
        <f t="array" ref="DE96">IF(D96="","",IFERROR(INDEX({"I особая","I","II","III"},MATCH(TRIM(AA96&amp;""),{"I особая","I","II","III"},0)),"III"))</f>
        <v>II</v>
      </c>
      <c r="DF96" t="str">
        <f>IF(D96="","",IF(TRIM(AB96&amp;"")&lt;&gt;"",IF(LOWER(TRIM(AB96&amp;""))="да","да","нет"),IF(IFERROR(_xlfn.XLOOKUP(AT96,Коды_код,Коды_пожарная),"")="да","да","нет")))</f>
        <v>нет</v>
      </c>
      <c r="DG96" t="str">
        <f t="shared" si="120"/>
        <v/>
      </c>
      <c r="DH96" t="str">
        <f t="shared" si="121"/>
        <v>основная</v>
      </c>
      <c r="DI96">
        <f t="shared" si="122"/>
        <v>1</v>
      </c>
      <c r="DJ96" t="str" cm="1">
        <f t="array" ref="DJ96">IF(D96="","",_xlfn.LET(_xlpm.t,IFERROR(_xlfn.XLOOKUP(1,(Шины[Шина]=DH96)*(((Шины[Щит]=A96)+(Шины[Щит]=""))&gt;0),Шины[Тип]),"")&amp;"",IF(_xlpm.t&lt;&gt;"",_xlpm.t,IF(ISNUMBER(SEARCH("ИБП",DH96)),"ИБП",IF(ISNUMBER(SEARCH("ДГУ",DH96)),"ДГУ","Ввод "&amp;DI96)))))</f>
        <v>Ввод 1</v>
      </c>
      <c r="DK96" t="str">
        <f t="shared" si="123"/>
        <v>Ввод 1</v>
      </c>
      <c r="DL96" t="str">
        <f>IF(D96="","",IF(OR(DJ96="ИБП",DJ96="ДГУ"),"I особая",IF(DJ96="Одиночная","III",_xlfn.XLOOKUP(A96,Щиты[Щит],Щиты[Категория шины «Ввод»],"III"))))</f>
        <v>II</v>
      </c>
      <c r="DM96">
        <f>IF(D96="",0,IFERROR(MATCH(DE96,{"III","II","I","I особая"},0),1))</f>
        <v>2</v>
      </c>
      <c r="DN96">
        <f t="shared" si="124"/>
        <v>2</v>
      </c>
      <c r="DO96" t="str">
        <f>IF(D96="","",IF(DM96&gt;IFERROR(MATCH(DL96,{"III","II","I","I особая"},0),1),"НЕ ОБЕСПЕЧЕНА","ОК"))</f>
        <v>ОК</v>
      </c>
      <c r="DP96" t="str">
        <f>IF(A96="","",_xlfn.XLOOKUP(A96,Щиты[Щит],Щиты[Путь],""))</f>
        <v>|ГРЩ-ЖД|ЩОВ-002|</v>
      </c>
      <c r="DQ96" t="str">
        <f>IF(D96="","",IF(Z96&lt;&gt;"",Z96,IF(IFERROR(_xlfn.XLOOKUP(AT96,Коды_код,Коды_вид)&amp;"","")="","Прочее",_xlfn.XLOOKUP(AT96,Коды_код,Коды_вид)&amp;"")))</f>
        <v>Кондиционирование и увлажнение</v>
      </c>
      <c r="DR96">
        <f>IF(BD96="","",INT((BD96-1)/Столбцов_на_лист)+1)</f>
        <v>2</v>
      </c>
      <c r="DS96" t="str">
        <f t="shared" si="125"/>
        <v>ВВГнг(А)-LS (3х1,5) L=32-0,19%</v>
      </c>
      <c r="DT96">
        <f t="shared" si="126"/>
        <v>0.104</v>
      </c>
      <c r="DU96">
        <f t="shared" si="127"/>
        <v>0.48</v>
      </c>
      <c r="DV96">
        <f t="shared" si="128"/>
        <v>1</v>
      </c>
      <c r="DW96">
        <f>IF(AT96="",0,_xlfn.LET(_xlpm.v,IFERROR(VLOOKUP(D96,УГО_спр,3,FALSE),IFERROR(VLOOKUP(AT96,УГО_спр,3,FALSE),IFERROR(VLOOKUP(LEFT(AT96,2),УГО_спр,3,FALSE),""))),IF(_xlpm.v="да",30,IF(ISNUMBER(_xlpm.v),_xlpm.v,0))))</f>
        <v>0</v>
      </c>
      <c r="DX96">
        <f t="shared" si="129"/>
        <v>0</v>
      </c>
      <c r="DY96">
        <f>IF(BD96="","",IF(AD96&lt;&gt;"",COUNTIFS(A$3:A96,A96,AD$3:AD96,"?*"),IF(OR(OR(AS96=1,A96&lt;&gt;A95),AL96="вручную"),"",IF(AS96=1,"",DZ95))))</f>
        <v>8</v>
      </c>
      <c r="DZ96">
        <f t="shared" si="130"/>
        <v>8</v>
      </c>
      <c r="EA96">
        <f>IF(D96="",0,MAX(IFERROR(--X96,0),IFERROR(--VLOOKUP(D96,УГО_спр,4,FALSE),IFERROR(--VLOOKUP(AT96,УГО_спр,4,FALSE),IFERROR(--VLOOKUP(LEFT(AT96,2),УГО_спр,4,FALSE),0)))))</f>
        <v>10</v>
      </c>
      <c r="EB96">
        <f>IF(D96="","",IFERROR(LOOKUP(INDEX(CHOOSE(BR96,Iдоп_1ж,Iдоп_2ж,Iдоп_3ж),MATCH(BS96,Iдоп_S,0))*BP96*BQ96,{6,10,16,20,25,32,40,50,63,80,100,125,160,200,250,315,400,500,630}),""))</f>
        <v>16</v>
      </c>
      <c r="EC96">
        <f>IF(AD96="","",SUMIFS(Линии[_Ток схемы],Линии[_гр.],DY96,Линии[Щит],A96,Линии[_в кабель выше],0))</f>
        <v>0.48</v>
      </c>
      <c r="ED96">
        <f>IF(AD96="","",IFERROR(VLOOKUP(EC96,Автомат_номиналы,2,TRUE),""))</f>
        <v>6</v>
      </c>
      <c r="EE96">
        <f>IF(AD96="","",MAX(N(ED96),_xlfn.MAXIFS(Линии[_мин. по типу],Линии[_гр.],DY96,Линии[Щит],A96)))</f>
        <v>10</v>
      </c>
      <c r="EF96">
        <f>IF(AD96="","",_xlfn.MINIFS(Линии[_макс. автомат по кабелю],Линии[_гр.],DY96,Линии[Щит],A96))</f>
        <v>16</v>
      </c>
      <c r="EG96">
        <f>IF(AD96="","",MAX(1,_xlfn.MAXIFS(Линии[_фаз],Линии[_гр.],DY96,Линии[Щит],A96)))</f>
        <v>1</v>
      </c>
      <c r="EH96">
        <f>IF(AD96="","",IF(AND(AD96&lt;&gt;"авто",AD96&lt;&gt;"+"),IF(ISNUMBER(SEARCH("мА",AD96)),IFERROR(--TRIM(RIGHT(SUBSTITUTE(LEFT(AD96,SEARCH("мА",AD96)-1)," ",REPT(" ",9)),6)),30),0),IF(AE96="нет",0,IF(ISNUMBER(AE96),AE96,IF(AE96="да",30,_xlfn.MINIFS(Линии[_дифзащита по коду, мА],Линии[_гр.],DY96,Линии[Щит],A96,Линии[_дифзащита по коду, мА],"&gt;0"))))))</f>
        <v>0</v>
      </c>
      <c r="EI96">
        <f t="shared" si="131"/>
        <v>0</v>
      </c>
      <c r="EJ96" t="str">
        <f t="shared" si="132"/>
        <v>QF8</v>
      </c>
      <c r="EK96" t="str">
        <f t="shared" si="133"/>
        <v>QF8</v>
      </c>
      <c r="EL96" t="str">
        <f t="shared" si="134"/>
        <v/>
      </c>
      <c r="EM96">
        <f t="shared" si="135"/>
        <v>0</v>
      </c>
      <c r="EN96">
        <f>IF(AD96="","",IF(EM96=1,MAX(EE96,Мин_автомат_БП),EE96))</f>
        <v>10</v>
      </c>
      <c r="EO96" t="str">
        <f t="shared" si="136"/>
        <v>1P</v>
      </c>
      <c r="EP96" t="str">
        <f t="shared" si="137"/>
        <v>1P С10А</v>
      </c>
      <c r="EQ96">
        <f t="shared" si="138"/>
        <v>10</v>
      </c>
      <c r="ER96" t="str">
        <f>IF(OR(AI96="",AI96="-"),"",IFERROR(VLOOKUP(AI96,Модули_спр,2,FALSE),"R"))</f>
        <v/>
      </c>
      <c r="ES96" t="str">
        <f>IF(ER96="","",ER96&amp;"."&amp;COUNTIFS(A$3:A96,A96,ER$3:ER96,ER96))</f>
        <v/>
      </c>
      <c r="ET96" t="str">
        <f t="shared" si="139"/>
        <v/>
      </c>
      <c r="EU96" t="str">
        <f t="shared" si="140"/>
        <v/>
      </c>
      <c r="EV96" t="str">
        <f t="shared" si="141"/>
        <v/>
      </c>
      <c r="EW96" t="str">
        <f t="shared" si="142"/>
        <v/>
      </c>
      <c r="EX96">
        <f t="shared" si="143"/>
        <v>1</v>
      </c>
      <c r="EY96" t="str">
        <f>IF(AK96="нет","",IF(AK96&lt;&gt;"",AK96,IF(EX96=1,"XT"&amp;COUNTIFS(A$3:A96,A96,EX$3:EX96,1),"")))</f>
        <v/>
      </c>
      <c r="EZ96" t="str">
        <f t="shared" si="144"/>
        <v>QF8</v>
      </c>
      <c r="FA96" t="str">
        <f t="shared" si="145"/>
        <v/>
      </c>
      <c r="FB96" t="str">
        <f t="shared" si="146"/>
        <v>ok</v>
      </c>
      <c r="FC96" t="str">
        <f>IF(OR(EV96="",ET96=""),"",IF(EV96&gt;IFERROR(VLOOKUP(EU96,Модули_спр,3,FALSE),99),"ЛИШНИЙ КАНАЛ",IF(AND(AJ96&lt;&gt;"=",COUNTIFS(Линии[_модуль гр.],ET96,Линии[Канал (итог)],EV96,Линии[Канал],"&lt;&gt;=",Линии[Щит],A96)&gt;1),"ДУБЛЬ КАНАЛА","")))</f>
        <v/>
      </c>
      <c r="FD96">
        <f t="shared" si="147"/>
        <v>10</v>
      </c>
      <c r="FE96" t="str">
        <f t="shared" si="148"/>
        <v>1P С10А</v>
      </c>
      <c r="FF96">
        <f t="shared" si="149"/>
        <v>0</v>
      </c>
      <c r="FG96">
        <f t="shared" si="150"/>
        <v>0</v>
      </c>
      <c r="FH96" t="str">
        <f t="shared" si="151"/>
        <v/>
      </c>
      <c r="FI96">
        <f t="shared" si="152"/>
        <v>10</v>
      </c>
      <c r="FJ96" t="str">
        <f t="shared" si="153"/>
        <v/>
      </c>
      <c r="FK96" t="str">
        <f>IF(AND(D96="",EZ96=""),"",_xlfn.TEXTJOIN("; ",TRUE,IF(AND(D96&lt;&gt;"",DD96=""),"нет фазы",""),IF(AND(D96&lt;&gt;"",N(DT96)=0,CN96&lt;&gt;"Нет"),"нет мощности",""),IF(AND(EY96&lt;&gt;"",COUNTIFS(Линии[Щит],A96,Линии[Клемма (итог)],EY96)&gt;1),"дубль клеммы "&amp;EY96,""),IF(AND(FB96&lt;&gt;"",FB96&lt;&gt;"ok"),FB96,""),IF(FC96&lt;&gt;"",FC96,""),IF(AND(ISNUMBER(SEARCH("(5х",DS96)),N(DV96)=1),"5 жил на 1 фазе",""),IF(AND(AT96="R",AD96&lt;&gt;"",OR(N(EH96)=0,N(EH96)&gt;30)),"розетка без дифзащиты до 30 мА",""),IFERROR(IF(AND(ISNUMBER(CD96),CD96&gt;CE96),"потери "&amp;FIXED(CD96,1)&amp;" % &gt; "&amp;CE96&amp;" %",""),""),IFERROR(IF(LEFT(FJ96,4)="мало","Iкз мало — отключение &gt; 0,4 с",""),""),IF(AND(D96&lt;&gt;"",BD96=""),"не на схеме","")))</f>
        <v/>
      </c>
      <c r="FL96">
        <f>IF(AD96="","",_xlfn.LET(_xlpm.t,IFERROR(_xlfn.XLOOKUP(EP96,Каталог!$U$4:$U$500,Каталог!$G$4:$G$500),""),_xlpm.k,SEARCH("кА",_xlpm.t),IFERROR(--TRIM(RIGHT(SUBSTITUTE(MID(_xlpm.t,MAX(1,_xlpm.k-4),_xlpm.k-MAX(1,_xlpm.k-4))," ",REPT(" ",9)),5)),"")))</f>
        <v>6</v>
      </c>
      <c r="FM96" t="str">
        <f>IF(OR(FL96="",AD96=""),"",IF(_xlfn.XLOOKUP(A96,Щиты[Щит],Щиты[Iкз max на шинах, кА],"")="","",IF(FL96&lt;_xlfn.XLOOKUP(A96,Щиты[Щит],Щиты[Iкз max на шинах, кА]),"Icu "&amp;FL96&amp;" кА &lt; Iкз max","ok")))</f>
        <v/>
      </c>
      <c r="FN96" t="str">
        <f t="shared" si="154"/>
        <v>QF8</v>
      </c>
      <c r="FO96" t="str">
        <f t="shared" si="155"/>
        <v>QF8|кабель ВВГнг(А)-LS (3х1,5) → Внутренний блок кондиционирования Подвальный этаж Пом. №002Б</v>
      </c>
      <c r="FP96" t="str" cm="1">
        <f t="array" ref="FP96">IF(FO96="","",_xlfn.LET(_xlpm.nd,_xlfn.TEXTSPLIT(FO96,"|"),IF(COLUMNS(_xlpm.nd)&gt;1,A96&amp;"¦"&amp;INDEX(_xlpm.nd,1)&amp;"¦"&amp;INDEX(_xlpm.nd,2),"")))</f>
        <v>ЩОВ-002¦QF8¦кабель ВВГнг(А)-LS (3х1,5) → Внутренний блок кондиционирования Подвальный этаж Пом. №002Б</v>
      </c>
      <c r="FQ96" t="str">
        <f t="shared" si="156"/>
        <v>K.00.004A¦Внутренний блок кондиционирования Подвальный этаж Пом. №002Б</v>
      </c>
      <c r="FR96" t="str" cm="1">
        <f t="array" ref="FR96">IF(FO96="","",_xlfn.LET(_xlpm.nd,_xlfn.TEXTSPLIT(FO96,"|"),IF(COLUMNS(_xlpm.nd)&gt;2,A96&amp;"¦"&amp;INDEX(_xlpm.nd,2)&amp;"¦"&amp;INDEX(_xlpm.nd,3),"")))</f>
        <v/>
      </c>
      <c r="FS96" t="str">
        <f t="shared" si="157"/>
        <v/>
      </c>
      <c r="FT96" t="str" cm="1">
        <f t="array" ref="FT96">IF(FO96="","",_xlfn.LET(_xlpm.nd,_xlfn.TEXTSPLIT(FO96,"|"),IF(COLUMNS(_xlpm.nd)&gt;3,A96&amp;"¦"&amp;INDEX(_xlpm.nd,3)&amp;"¦"&amp;INDEX(_xlpm.nd,4),"")))</f>
        <v/>
      </c>
      <c r="FU96" t="str">
        <f t="shared" si="158"/>
        <v/>
      </c>
      <c r="FV96" t="str" cm="1">
        <f t="array" ref="FV96">IF(FO96="","",_xlfn.LET(_xlpm.nd,_xlfn.TEXTSPLIT(FO96,"|"),IF(COLUMNS(_xlpm.nd)&gt;4,A96&amp;"¦"&amp;INDEX(_xlpm.nd,4)&amp;"¦"&amp;INDEX(_xlpm.nd,5),"")))</f>
        <v/>
      </c>
      <c r="FW96" t="str">
        <f t="shared" si="159"/>
        <v/>
      </c>
      <c r="FX96" t="str" cm="1">
        <f t="array" ref="FX96">IF(FO96="","",_xlfn.LET(_xlpm.nd,_xlfn.TEXTSPLIT(FO96,"|"),IF(COLUMNS(_xlpm.nd)&gt;5,A96&amp;"¦"&amp;INDEX(_xlpm.nd,5)&amp;"¦"&amp;INDEX(_xlpm.nd,6),"")))</f>
        <v/>
      </c>
      <c r="FY96" t="str">
        <f t="shared" si="160"/>
        <v/>
      </c>
      <c r="FZ96" t="str" cm="1">
        <f t="array" ref="FZ96">IF(FO96="","",_xlfn.LET(_xlpm.nd,_xlfn.TEXTSPLIT(FO96,"|"),IF(COLUMNS(_xlpm.nd)&gt;6,A96&amp;"¦"&amp;INDEX(_xlpm.nd,6)&amp;"¦"&amp;INDEX(_xlpm.nd,7),"")))</f>
        <v/>
      </c>
      <c r="GA96" t="str">
        <f t="shared" si="161"/>
        <v/>
      </c>
      <c r="GB96" t="str">
        <f t="shared" si="162"/>
        <v/>
      </c>
      <c r="GC96" t="str">
        <f t="shared" si="163"/>
        <v>QF8</v>
      </c>
      <c r="GD96">
        <f t="shared" si="164"/>
        <v>1</v>
      </c>
      <c r="GE96">
        <f t="shared" si="165"/>
        <v>0</v>
      </c>
      <c r="GF96">
        <f t="shared" si="166"/>
        <v>0</v>
      </c>
      <c r="GG96" t="str">
        <f t="shared" si="167"/>
        <v/>
      </c>
      <c r="GH96" t="str">
        <f t="shared" si="168"/>
        <v/>
      </c>
      <c r="GI96" t="str">
        <f t="shared" si="169"/>
        <v/>
      </c>
      <c r="GJ96" t="str">
        <f t="shared" si="170"/>
        <v/>
      </c>
      <c r="GK96">
        <f>IF(D96="","",IFERROR(VLOOKUP(D96,УГО_спр,2,FALSE),IFERROR(VLOOKUP(AT96,УГО_спр,2,FALSE),IFERROR(VLOOKUP(LEFT(AT96,2),УГО_спр,2,FALSE),""))))</f>
        <v>0</v>
      </c>
      <c r="GL96" t="str">
        <f>IF(D96="","",IF(OR(GK96="",GK96=0),"BOX",IFERROR(IF(VLOOKUP(GK96,УГО_блоки,3,FALSE)&amp;""&lt;&gt;"",VLOOKUP(GK96,УГО_блоки,3,FALSE),VLOOKUP(GK96,УГО_блоки,2,FALSE)),GK96)))</f>
        <v>BOX</v>
      </c>
      <c r="GM96">
        <f t="shared" si="171"/>
        <v>1</v>
      </c>
      <c r="GN96" t="str">
        <f>IF(EP96="","",IF(COUNTIF(EP$3:EP96,EP96)=1,MAX(GN$2:GN95)+1,""))</f>
        <v/>
      </c>
      <c r="GO96" t="str">
        <f>IF(AF96="","",IF(COUNTIF(AF$3:AF96,AF96)+COUNTIF(AG$2:AG95,AF96)+COUNTIF(AH$2:AH95,AF96)=1,MAX(GO$2:GQ95)+1,""))</f>
        <v/>
      </c>
      <c r="GP96" t="str">
        <f>IF(AG96="","",IF(COUNTIF(AF$3:AF96,AG96)+COUNTIF(AG$3:AG96,AG96)+COUNTIF(AH$2:AH95,AG96)=1,MAX(GO$2:GQ95,GO96)+1,""))</f>
        <v/>
      </c>
      <c r="GQ96" t="str">
        <f>IF(AH96="","",IF(COUNTIF(AF$3:AF96,AH96)+COUNTIF(AG$3:AG96,AH96)+COUNTIF(AH$3:AH96,AH96)=1,MAX(GO$2:GQ95,GO96,GP96)+1,""))</f>
        <v/>
      </c>
      <c r="GR96" t="str">
        <f t="shared" si="172"/>
        <v>3х1,5</v>
      </c>
      <c r="GS96" t="str">
        <f>IF(GR96="","",IF(COUNTIF(GR$3:GR96,GR96)=1,MAX(GS$2:GS95)+1,""))</f>
        <v/>
      </c>
      <c r="GT96" t="str">
        <f>IF(ES96="","",COUNTIF(ES$3:ES96,"?*"))</f>
        <v/>
      </c>
      <c r="GU96" t="str">
        <f>IF(OR(ES96="",EU96=""),"",IF(COUNTIFS(ES$3:ES96,"?*",EU$3:EU96,EU96)=1,MAX(GU$2:GU95)+1,""))</f>
        <v/>
      </c>
      <c r="GV96">
        <f t="shared" si="173"/>
        <v>0</v>
      </c>
      <c r="GW96">
        <f>IF(D96="","",COUNTIF(D$3:D96,"?*"))</f>
        <v>94</v>
      </c>
      <c r="GX96">
        <f>IF(EX96&lt;&gt;1,0,_xlfn.LET(_xlpm.k,MAX(IFERROR(--VLOOKUP(D96,УГО_спр,5,FALSE),0),IFERROR(--VLOOKUP(AT96,УГО_спр,5,FALSE),0),IFERROR(--VLOOKUP(LEFT(AT96,2),УГО_спр,5,FALSE),0)),IF(_xlpm.k&gt;0,_xlpm.k,IF(IFERROR(--LEFT(SUBSTITUTE(GR96,"x","х"),FIND("х",SUBSTITUTE(GR96,"x","х"))-1),3)&gt;3,Каталог!$S$9,1))))</f>
        <v>1</v>
      </c>
      <c r="GY96">
        <f t="shared" si="174"/>
        <v>0</v>
      </c>
    </row>
    <row r="97" spans="1:207" x14ac:dyDescent="0.3">
      <c r="A97" t="s">
        <v>754</v>
      </c>
      <c r="B97">
        <v>27</v>
      </c>
      <c r="C97" t="str">
        <f>IF(BD97="","",IF(BE97="вводной узел","узел ","")&amp;"л."&amp;(INT((BD97-1)/Столбцов_на_лист)+1)&amp;" / "&amp;(MOD(BD97-1,Столбцов_на_лист)+1))</f>
        <v>л.2 / 10</v>
      </c>
      <c r="D97" t="s">
        <v>1379</v>
      </c>
      <c r="E97" s="133" t="s">
        <v>1380</v>
      </c>
      <c r="G97">
        <v>0.104</v>
      </c>
      <c r="H97">
        <v>1</v>
      </c>
      <c r="I97">
        <v>1</v>
      </c>
      <c r="J97">
        <v>230</v>
      </c>
      <c r="K97" t="s">
        <v>602</v>
      </c>
      <c r="L97">
        <v>0.5</v>
      </c>
      <c r="O97">
        <v>1</v>
      </c>
      <c r="P97">
        <v>14</v>
      </c>
      <c r="Q97">
        <v>4</v>
      </c>
      <c r="R97">
        <v>12</v>
      </c>
      <c r="T97">
        <v>1</v>
      </c>
      <c r="U97" t="s">
        <v>11</v>
      </c>
      <c r="V97">
        <v>3</v>
      </c>
      <c r="W97">
        <v>1.5</v>
      </c>
      <c r="X97">
        <v>10</v>
      </c>
      <c r="Z97" t="s">
        <v>580</v>
      </c>
      <c r="AA97" t="s">
        <v>818</v>
      </c>
      <c r="AD97" t="s">
        <v>517</v>
      </c>
      <c r="AK97" t="s">
        <v>488</v>
      </c>
      <c r="AR97" t="str">
        <f t="shared" si="88"/>
        <v/>
      </c>
      <c r="AS97" cm="1">
        <f t="array" ref="AS97">ROW()-ROW(Линии[#Headers])</f>
        <v>95</v>
      </c>
      <c r="AT97" t="str">
        <f t="shared" si="89"/>
        <v>K</v>
      </c>
      <c r="AU97" t="str">
        <f t="shared" si="90"/>
        <v>00.004T.1</v>
      </c>
      <c r="AV97" t="str">
        <f t="shared" si="91"/>
        <v>00</v>
      </c>
      <c r="AW97" t="str">
        <f t="shared" si="92"/>
        <v>004T.1</v>
      </c>
      <c r="AX97" t="str">
        <f t="shared" si="93"/>
        <v>004T</v>
      </c>
      <c r="AY97" t="str">
        <f>IF(D97="","",IF(ISERROR(SEARCH(".",D97)),IFERROR(VLOOKUP(D97,Потребители_обозначение,2,FALSE)&amp;"",""),IFERROR(IF(VLOOKUP(AT97,Потребители_обозначение,4,FALSE)=1,VLOOKUP(AT97,Потребители_обозначение,2,FALSE)&amp;" "&amp;VLOOKUP(AV97,Этаж_обозначение,2,FALSE)&amp;" Пом. №"&amp;AX97,VLOOKUP(AT97,Потребители_обозначение,2,FALSE)&amp;" Шлейф №"&amp;AV97),IFERROR(VLOOKUP(D97,Потребители_обозначение,2,FALSE),""))))</f>
        <v>Внутренний блок кондиционирования Подвальный этаж Пом. №004T</v>
      </c>
      <c r="AZ97" t="str">
        <f t="shared" si="94"/>
        <v>Внутренний блок кондиционирования Подвальный этаж Пом. №004Т</v>
      </c>
      <c r="BA97" t="str">
        <f>IF(F97&lt;&gt;"",F97,IF(AND(D97&lt;&gt;"",D97&lt;&gt;A97,ISNUMBER(_xlfn.XMATCH(D97,Щиты[Щит]))),D97,""))</f>
        <v/>
      </c>
      <c r="BB97">
        <f>IFERROR(_xlfn.XMATCH(A97,Щиты[Щит]),0)</f>
        <v>5</v>
      </c>
      <c r="BC97">
        <f>IFERROR(N(_xlfn.XLOOKUP(A97,Щиты[Щит],Щиты[Мест под вводной узел])),15)</f>
        <v>18</v>
      </c>
      <c r="BD97">
        <f t="shared" si="95"/>
        <v>27</v>
      </c>
      <c r="BE97" t="str">
        <f t="shared" si="96"/>
        <v>линии</v>
      </c>
      <c r="BF97">
        <f>IF(D97="","",IF(BA97&lt;&gt;"",IFERROR(_xlfn.XLOOKUP(BA97,Щиты[Щит],Щиты[Руст, кВт]),0),N(G97)))</f>
        <v>0.104</v>
      </c>
      <c r="BG97">
        <f>IF(J97&lt;&gt;"",J97,IF(D97="","",IFERROR(IF(VLOOKUP(AT97,Потребители_обозначение,8,FALSE)=0,"",VLOOKUP(AT97,Потребители_обозначение,8,FALSE)),"")))</f>
        <v>230</v>
      </c>
      <c r="BH97">
        <f>IF(I97&lt;&gt;"",I97,IF(D97="","",IFERROR(IF(VLOOKUP(AT97,Потребители_обозначение,9,FALSE)=0,"",VLOOKUP(AT97,Потребители_обозначение,9,FALSE)),"")))</f>
        <v>1</v>
      </c>
      <c r="BI97" t="str">
        <f>IF(U97&lt;&gt;"",U97,IF(D97="","",IFERROR(IF(VLOOKUP(AT97,Потребители_обозначение,6,FALSE)=0,"",VLOOKUP(AT97,Потребители_обозначение,6,FALSE)),"")))</f>
        <v>мс</v>
      </c>
      <c r="BJ97">
        <f>IF(V97&lt;&gt;"",V97,IF(D97="","",IFERROR(IF(VLOOKUP(AT97,Потребители_обозначение,7,FALSE)=0,"",VLOOKUP(AT97,Потребители_обозначение,7,FALSE)),"")))</f>
        <v>3</v>
      </c>
      <c r="BK97">
        <f>IF(W97&lt;&gt;"",W97,IF(D97="","",IFERROR(IF(VLOOKUP(AT97,Потребители_обозначение,10,FALSE)=0,"",VLOOKUP(AT97,Потребители_обозначение,10,FALSE)),"")))</f>
        <v>1.5</v>
      </c>
      <c r="BL97">
        <f>IFERROR(VLOOKUP(AT97,Потребители_обозначение,5,FALSE),0)</f>
        <v>1</v>
      </c>
      <c r="BM97" cm="1">
        <f t="array" ref="BM97">IF(D97="","",IF(BA97&lt;&gt;"",IFERROR(_xlfn.XLOOKUP(BA97,Щиты[Щит],Щиты[cos φ]),0.95),IF(ISNUMBER(M97),M97,IFERROR(IF(BL97=2,_xlfn.IFS(BH97=3,VLOOKUP(BF97,Справочная_двигатели,8,FALSE),BH97=1,VLOOKUP(BF97,Справочная_двигатели,10,TRUE)),IF(AND(Методика="нормы 2026",CN97="Сил"),0.8,0.95)),0.95))))</f>
        <v>0.95</v>
      </c>
      <c r="BN97" cm="1">
        <f t="array" ref="BN97">IF(D97="","",IF(BA97&lt;&gt;"",IFERROR(_xlfn.XLOOKUP(BA97,Щиты[Щит],Щиты[Iр, А]),""),IFERROR(_xlfn.IFS(BH97=1,BF97/((Uн_лин/SQRT(3))*BM97),BH97=3,BF97/(SQRT(3)*Uн_лин*BM97)),"")))</f>
        <v>0.47403495786095584</v>
      </c>
      <c r="BO97">
        <f>IF(D97="","",IF(N(X97)=0,IFERROR(VLOOKUP(BN97,Автомат_номиналы,2,TRUE),""),X97))</f>
        <v>10</v>
      </c>
      <c r="BP97">
        <f t="shared" si="97"/>
        <v>1</v>
      </c>
      <c r="BQ97">
        <f>IF(ISNUMBER(Y97),Y97,К_прокл)</f>
        <v>1</v>
      </c>
      <c r="BR97">
        <f t="shared" si="98"/>
        <v>2</v>
      </c>
      <c r="BS97" cm="1">
        <f t="array" ref="BS97">IF(D97="","",IF(N(BK97)&lt;&gt;0,BK97,IFERROR(_xlfn.LET(_xlpm.need,BO97/(BP97*BQ97),_xlpm.t,CHOOSE(BR97,Iдоп_1ж,Iдоп_2ж,Iдоп_3ж),_xlpm.k,_xlfn.XMATCH(_xlpm.need,_xlpm.t,1),IF(ISNA(_xlpm.k),"Не исп",INDEX(Iдоп_S,_xlpm.k))),"Не исп")))</f>
        <v>1.5</v>
      </c>
      <c r="BT97">
        <f>IFERROR(VLOOKUP(BS97,Кабель_сопротивление,3,FALSE),"")</f>
        <v>2.2499999999999999E-2</v>
      </c>
      <c r="BU97">
        <f>IFERROR(VLOOKUP(BS97,Кабель_сопротивление,2,FALSE),"")</f>
        <v>0.11</v>
      </c>
      <c r="BV97">
        <f t="shared" si="99"/>
        <v>14</v>
      </c>
      <c r="BW97">
        <f>IF(D97="","",IFERROR(IF(VLOOKUP(AT97,Потребители_обозначение,4,FALSE)=1,VLOOKUP(AT97,Потребители_обозначение,3,FALSE)*(H97*2-1)+BV97+VLOOKUP(AV97,Этаж_обозначение,3,FALSE)+VLOOKUP(AV97,Этаж_обозначение,4,FALSE),VLOOKUP(AT97,Потребители_обозначение,3,FALSE)*(H97*2-1)+BV97),BV97))</f>
        <v>16</v>
      </c>
      <c r="BX97">
        <f t="shared" si="100"/>
        <v>12</v>
      </c>
      <c r="BY97">
        <f t="shared" si="101"/>
        <v>0</v>
      </c>
      <c r="BZ97">
        <f t="shared" si="102"/>
        <v>2</v>
      </c>
      <c r="CA97">
        <f t="shared" si="103"/>
        <v>0.31</v>
      </c>
      <c r="CB97">
        <f t="shared" si="104"/>
        <v>0.21667720773061372</v>
      </c>
      <c r="CC97">
        <f>IFERROR(ROUNDUP(CB97/((Uн_лин/SQRT(3))*1000)*100,2),"")</f>
        <v>9.9999999999999992E-2</v>
      </c>
      <c r="CD97">
        <f>IF(ISNUMBER(CC97),CC97+IFERROR(_xlfn.XLOOKUP(A97,Щиты[Щит],Щиты[ΔU до шин, %]),0),"")</f>
        <v>0.76</v>
      </c>
      <c r="CE97">
        <f>IF(D97="","",IF(IFERROR(VLOOKUP(AT97,УГО_спр,2,FALSE),"")="Светильник",3,4)+IF(Методика="нормы 2026",MIN(0.5,MAX(0,N(BW97)-100)*0.005),0))</f>
        <v>4</v>
      </c>
      <c r="CF97" t="str">
        <f>IFERROR(VLOOKUP(BI97,Кабель_обозначение,2,FALSE),"")</f>
        <v>ВВГнг(А)-LS</v>
      </c>
      <c r="CG97" t="str">
        <f>IFERROR(IF(VLOOKUP(BI97,Кабель_обозначение,3,FALSE)=1,CF97&amp;" ("&amp;BJ97&amp;"х"&amp;BS97&amp;")",CF97),"")</f>
        <v>ВВГнг(А)-LS (3х1,5)</v>
      </c>
      <c r="CH97" t="str">
        <f t="shared" si="105"/>
        <v>ВВГнг(А)-LS (3х1,5)
L=16-0,1%</v>
      </c>
      <c r="CI97">
        <f>IFERROR(2*ρкз_Cu*BW97/BS97,"")</f>
        <v>0.56106666666666671</v>
      </c>
      <c r="CJ97">
        <f t="shared" si="106"/>
        <v>0.18666666666666668</v>
      </c>
      <c r="CK97" t="str">
        <f>IFERROR(IF(OR(D97="",NOT(ISNUMBER(BS97)),N(BW97)=0),"",_xlfn.XLOOKUP(A97,Щиты[Щит],Щиты[Zпетли на шинах, Ом])+CI97),"")</f>
        <v/>
      </c>
      <c r="CL97" t="str">
        <f>IF(ISNUMBER(CK97),c_min*(Uн_лин*1000/SQRT(3))/CK97,"")</f>
        <v/>
      </c>
      <c r="CM97" t="str">
        <f>IFERROR(IF(OR(D97="",NOT(ISNUMBER(BS97))),"",1.05*(Uн_лин*1000/SQRT(3))/(_xlfn.XLOOKUP(A97,Щиты[Щит],Щиты[Zmax на шинах, Ом])+CJ97)/1000),"")</f>
        <v/>
      </c>
      <c r="CN97" t="str">
        <f>IF(D97="","",IF(BA97&lt;&gt;"","Щит",IF(K97&lt;&gt;"",K97,IF(ISNUMBER(L97),"Сил",IF(IFERROR(_xlfn.XLOOKUP(AT97,Коды_код,Коды_группа)&amp;"","")="","Быт",_xlfn.XLOOKUP(AT97,Коды_код,Коды_группа)&amp;"")))))</f>
        <v>Сил</v>
      </c>
      <c r="CO97">
        <f>IF(CN97="Щит","щит",IF(CN97="","",IF(CN97="Быт",IFERROR(_xlfn.XLOOKUP(A97,Щиты[Щит],Щиты[Кс быт]),1),IF(CN97="Сил",IF(ISNUMBER(L97),L97,IF(Методика="нормы 2026",IFERROR(_xlfn.XLOOKUP(A97,Щиты[Щит],Щиты[Кс силовых (табл. 7.5)]),1),1)),IF(OR(CN97="Пост",CN97="Отоп"),1,IF(CN97="ВНГ",0.7,0))))))</f>
        <v>0.5</v>
      </c>
      <c r="CP97">
        <f t="shared" si="107"/>
        <v>1</v>
      </c>
      <c r="CQ97">
        <f t="shared" si="108"/>
        <v>0.104</v>
      </c>
      <c r="CR97">
        <f t="shared" si="109"/>
        <v>0</v>
      </c>
      <c r="CS97">
        <f t="shared" si="110"/>
        <v>5.1999999999999998E-2</v>
      </c>
      <c r="CT97">
        <f t="shared" si="111"/>
        <v>0</v>
      </c>
      <c r="CU97">
        <f t="shared" si="112"/>
        <v>0</v>
      </c>
      <c r="CV97">
        <f t="shared" si="113"/>
        <v>0</v>
      </c>
      <c r="CW97">
        <f t="shared" si="114"/>
        <v>0.104</v>
      </c>
      <c r="CX97">
        <f t="shared" si="115"/>
        <v>9.8799999999999985E-2</v>
      </c>
      <c r="CY97">
        <f t="shared" si="116"/>
        <v>3</v>
      </c>
      <c r="CZ97" t="str">
        <f t="shared" si="117"/>
        <v>L3</v>
      </c>
      <c r="DA97" cm="1">
        <f t="array" ref="DA97">IFERROR(IF(BL97=2,_xlfn.IFS(BH97=3,VLOOKUP(BF97,Справочная_двигатели,3,FALSE),BH97=1,VLOOKUP(BF97,Справочная_двигатели,5,TRUE)),0),0)</f>
        <v>0</v>
      </c>
      <c r="DB97">
        <f>IFERROR(IF(BL97=3,VLOOKUP(BF97,Справочная_ЛЭД,2,TRUE),0),0)</f>
        <v>0</v>
      </c>
      <c r="DC97">
        <f t="shared" si="118"/>
        <v>0</v>
      </c>
      <c r="DD97" t="str">
        <f t="shared" si="119"/>
        <v>L1</v>
      </c>
      <c r="DE97" t="str" cm="1">
        <f t="array" ref="DE97">IF(D97="","",IFERROR(INDEX({"I особая","I","II","III"},MATCH(TRIM(AA97&amp;""),{"I особая","I","II","III"},0)),"III"))</f>
        <v>II</v>
      </c>
      <c r="DF97" t="str">
        <f>IF(D97="","",IF(TRIM(AB97&amp;"")&lt;&gt;"",IF(LOWER(TRIM(AB97&amp;""))="да","да","нет"),IF(IFERROR(_xlfn.XLOOKUP(AT97,Коды_код,Коды_пожарная),"")="да","да","нет")))</f>
        <v>нет</v>
      </c>
      <c r="DG97" t="str">
        <f t="shared" si="120"/>
        <v/>
      </c>
      <c r="DH97" t="str">
        <f t="shared" si="121"/>
        <v>основная</v>
      </c>
      <c r="DI97">
        <f t="shared" si="122"/>
        <v>1</v>
      </c>
      <c r="DJ97" t="str" cm="1">
        <f t="array" ref="DJ97">IF(D97="","",_xlfn.LET(_xlpm.t,IFERROR(_xlfn.XLOOKUP(1,(Шины[Шина]=DH97)*(((Шины[Щит]=A97)+(Шины[Щит]=""))&gt;0),Шины[Тип]),"")&amp;"",IF(_xlpm.t&lt;&gt;"",_xlpm.t,IF(ISNUMBER(SEARCH("ИБП",DH97)),"ИБП",IF(ISNUMBER(SEARCH("ДГУ",DH97)),"ДГУ","Ввод "&amp;DI97)))))</f>
        <v>Ввод 1</v>
      </c>
      <c r="DK97" t="str">
        <f t="shared" si="123"/>
        <v>Ввод 1</v>
      </c>
      <c r="DL97" t="str">
        <f>IF(D97="","",IF(OR(DJ97="ИБП",DJ97="ДГУ"),"I особая",IF(DJ97="Одиночная","III",_xlfn.XLOOKUP(A97,Щиты[Щит],Щиты[Категория шины «Ввод»],"III"))))</f>
        <v>II</v>
      </c>
      <c r="DM97">
        <f>IF(D97="",0,IFERROR(MATCH(DE97,{"III","II","I","I особая"},0),1))</f>
        <v>2</v>
      </c>
      <c r="DN97">
        <f t="shared" si="124"/>
        <v>2</v>
      </c>
      <c r="DO97" t="str">
        <f>IF(D97="","",IF(DM97&gt;IFERROR(MATCH(DL97,{"III","II","I","I особая"},0),1),"НЕ ОБЕСПЕЧЕНА","ОК"))</f>
        <v>ОК</v>
      </c>
      <c r="DP97" t="str">
        <f>IF(A97="","",_xlfn.XLOOKUP(A97,Щиты[Щит],Щиты[Путь],""))</f>
        <v>|ГРЩ-ЖД|ЩОВ-002|</v>
      </c>
      <c r="DQ97" t="str">
        <f>IF(D97="","",IF(Z97&lt;&gt;"",Z97,IF(IFERROR(_xlfn.XLOOKUP(AT97,Коды_код,Коды_вид)&amp;"","")="","Прочее",_xlfn.XLOOKUP(AT97,Коды_код,Коды_вид)&amp;"")))</f>
        <v>Кондиционирование и увлажнение</v>
      </c>
      <c r="DR97">
        <f>IF(BD97="","",INT((BD97-1)/Столбцов_на_лист)+1)</f>
        <v>2</v>
      </c>
      <c r="DS97" t="str">
        <f t="shared" si="125"/>
        <v>ВВГнг(А)-LS (3х1,5) L=16-0,1%</v>
      </c>
      <c r="DT97">
        <f t="shared" si="126"/>
        <v>0.104</v>
      </c>
      <c r="DU97">
        <f t="shared" si="127"/>
        <v>0.48</v>
      </c>
      <c r="DV97">
        <f t="shared" si="128"/>
        <v>1</v>
      </c>
      <c r="DW97">
        <f>IF(AT97="",0,_xlfn.LET(_xlpm.v,IFERROR(VLOOKUP(D97,УГО_спр,3,FALSE),IFERROR(VLOOKUP(AT97,УГО_спр,3,FALSE),IFERROR(VLOOKUP(LEFT(AT97,2),УГО_спр,3,FALSE),""))),IF(_xlpm.v="да",30,IF(ISNUMBER(_xlpm.v),_xlpm.v,0))))</f>
        <v>0</v>
      </c>
      <c r="DX97">
        <f t="shared" si="129"/>
        <v>0</v>
      </c>
      <c r="DY97">
        <f>IF(BD97="","",IF(AD97&lt;&gt;"",COUNTIFS(A$3:A97,A97,AD$3:AD97,"?*"),IF(OR(OR(AS97=1,A97&lt;&gt;A96),AL97="вручную"),"",IF(AS97=1,"",DZ96))))</f>
        <v>9</v>
      </c>
      <c r="DZ97">
        <f t="shared" si="130"/>
        <v>9</v>
      </c>
      <c r="EA97">
        <f>IF(D97="",0,MAX(IFERROR(--X97,0),IFERROR(--VLOOKUP(D97,УГО_спр,4,FALSE),IFERROR(--VLOOKUP(AT97,УГО_спр,4,FALSE),IFERROR(--VLOOKUP(LEFT(AT97,2),УГО_спр,4,FALSE),0)))))</f>
        <v>10</v>
      </c>
      <c r="EB97">
        <f>IF(D97="","",IFERROR(LOOKUP(INDEX(CHOOSE(BR97,Iдоп_1ж,Iдоп_2ж,Iдоп_3ж),MATCH(BS97,Iдоп_S,0))*BP97*BQ97,{6,10,16,20,25,32,40,50,63,80,100,125,160,200,250,315,400,500,630}),""))</f>
        <v>16</v>
      </c>
      <c r="EC97">
        <f>IF(AD97="","",SUMIFS(Линии[_Ток схемы],Линии[_гр.],DY97,Линии[Щит],A97,Линии[_в кабель выше],0))</f>
        <v>0.48</v>
      </c>
      <c r="ED97">
        <f>IF(AD97="","",IFERROR(VLOOKUP(EC97,Автомат_номиналы,2,TRUE),""))</f>
        <v>6</v>
      </c>
      <c r="EE97">
        <f>IF(AD97="","",MAX(N(ED97),_xlfn.MAXIFS(Линии[_мин. по типу],Линии[_гр.],DY97,Линии[Щит],A97)))</f>
        <v>10</v>
      </c>
      <c r="EF97">
        <f>IF(AD97="","",_xlfn.MINIFS(Линии[_макс. автомат по кабелю],Линии[_гр.],DY97,Линии[Щит],A97))</f>
        <v>16</v>
      </c>
      <c r="EG97">
        <f>IF(AD97="","",MAX(1,_xlfn.MAXIFS(Линии[_фаз],Линии[_гр.],DY97,Линии[Щит],A97)))</f>
        <v>1</v>
      </c>
      <c r="EH97">
        <f>IF(AD97="","",IF(AND(AD97&lt;&gt;"авто",AD97&lt;&gt;"+"),IF(ISNUMBER(SEARCH("мА",AD97)),IFERROR(--TRIM(RIGHT(SUBSTITUTE(LEFT(AD97,SEARCH("мА",AD97)-1)," ",REPT(" ",9)),6)),30),0),IF(AE97="нет",0,IF(ISNUMBER(AE97),AE97,IF(AE97="да",30,_xlfn.MINIFS(Линии[_дифзащита по коду, мА],Линии[_гр.],DY97,Линии[Щит],A97,Линии[_дифзащита по коду, мА],"&gt;0"))))))</f>
        <v>0</v>
      </c>
      <c r="EI97">
        <f t="shared" si="131"/>
        <v>0</v>
      </c>
      <c r="EJ97" t="str">
        <f t="shared" si="132"/>
        <v>QF9</v>
      </c>
      <c r="EK97" t="str">
        <f t="shared" si="133"/>
        <v>QF9</v>
      </c>
      <c r="EL97" t="str">
        <f t="shared" si="134"/>
        <v/>
      </c>
      <c r="EM97">
        <f t="shared" si="135"/>
        <v>0</v>
      </c>
      <c r="EN97">
        <f>IF(AD97="","",IF(EM97=1,MAX(EE97,Мин_автомат_БП),EE97))</f>
        <v>10</v>
      </c>
      <c r="EO97" t="str">
        <f t="shared" si="136"/>
        <v>1P</v>
      </c>
      <c r="EP97" t="str">
        <f t="shared" si="137"/>
        <v>1P С10А</v>
      </c>
      <c r="EQ97">
        <f t="shared" si="138"/>
        <v>10</v>
      </c>
      <c r="ER97" t="str">
        <f>IF(OR(AI97="",AI97="-"),"",IFERROR(VLOOKUP(AI97,Модули_спр,2,FALSE),"R"))</f>
        <v/>
      </c>
      <c r="ES97" t="str">
        <f>IF(ER97="","",ER97&amp;"."&amp;COUNTIFS(A$3:A97,A97,ER$3:ER97,ER97))</f>
        <v/>
      </c>
      <c r="ET97" t="str">
        <f t="shared" si="139"/>
        <v/>
      </c>
      <c r="EU97" t="str">
        <f t="shared" si="140"/>
        <v/>
      </c>
      <c r="EV97" t="str">
        <f t="shared" si="141"/>
        <v/>
      </c>
      <c r="EW97" t="str">
        <f t="shared" si="142"/>
        <v/>
      </c>
      <c r="EX97">
        <f t="shared" si="143"/>
        <v>1</v>
      </c>
      <c r="EY97" t="str">
        <f>IF(AK97="нет","",IF(AK97&lt;&gt;"",AK97,IF(EX97=1,"XT"&amp;COUNTIFS(A$3:A97,A97,EX$3:EX97,1),"")))</f>
        <v/>
      </c>
      <c r="EZ97" t="str">
        <f t="shared" si="144"/>
        <v>QF9</v>
      </c>
      <c r="FA97" t="str">
        <f t="shared" si="145"/>
        <v/>
      </c>
      <c r="FB97" t="str">
        <f t="shared" si="146"/>
        <v>ok</v>
      </c>
      <c r="FC97" t="str">
        <f>IF(OR(EV97="",ET97=""),"",IF(EV97&gt;IFERROR(VLOOKUP(EU97,Модули_спр,3,FALSE),99),"ЛИШНИЙ КАНАЛ",IF(AND(AJ97&lt;&gt;"=",COUNTIFS(Линии[_модуль гр.],ET97,Линии[Канал (итог)],EV97,Линии[Канал],"&lt;&gt;=",Линии[Щит],A97)&gt;1),"ДУБЛЬ КАНАЛА","")))</f>
        <v/>
      </c>
      <c r="FD97">
        <f t="shared" si="147"/>
        <v>10</v>
      </c>
      <c r="FE97" t="str">
        <f t="shared" si="148"/>
        <v>1P С10А</v>
      </c>
      <c r="FF97">
        <f t="shared" si="149"/>
        <v>0</v>
      </c>
      <c r="FG97">
        <f t="shared" si="150"/>
        <v>0</v>
      </c>
      <c r="FH97" t="str">
        <f t="shared" si="151"/>
        <v/>
      </c>
      <c r="FI97">
        <f t="shared" si="152"/>
        <v>10</v>
      </c>
      <c r="FJ97" t="str">
        <f t="shared" si="153"/>
        <v/>
      </c>
      <c r="FK97" t="str">
        <f>IF(AND(D97="",EZ97=""),"",_xlfn.TEXTJOIN("; ",TRUE,IF(AND(D97&lt;&gt;"",DD97=""),"нет фазы",""),IF(AND(D97&lt;&gt;"",N(DT97)=0,CN97&lt;&gt;"Нет"),"нет мощности",""),IF(AND(EY97&lt;&gt;"",COUNTIFS(Линии[Щит],A97,Линии[Клемма (итог)],EY97)&gt;1),"дубль клеммы "&amp;EY97,""),IF(AND(FB97&lt;&gt;"",FB97&lt;&gt;"ok"),FB97,""),IF(FC97&lt;&gt;"",FC97,""),IF(AND(ISNUMBER(SEARCH("(5х",DS97)),N(DV97)=1),"5 жил на 1 фазе",""),IF(AND(AT97="R",AD97&lt;&gt;"",OR(N(EH97)=0,N(EH97)&gt;30)),"розетка без дифзащиты до 30 мА",""),IFERROR(IF(AND(ISNUMBER(CD97),CD97&gt;CE97),"потери "&amp;FIXED(CD97,1)&amp;" % &gt; "&amp;CE97&amp;" %",""),""),IFERROR(IF(LEFT(FJ97,4)="мало","Iкз мало — отключение &gt; 0,4 с",""),""),IF(AND(D97&lt;&gt;"",BD97=""),"не на схеме","")))</f>
        <v/>
      </c>
      <c r="FL97">
        <f>IF(AD97="","",_xlfn.LET(_xlpm.t,IFERROR(_xlfn.XLOOKUP(EP97,Каталог!$U$4:$U$500,Каталог!$G$4:$G$500),""),_xlpm.k,SEARCH("кА",_xlpm.t),IFERROR(--TRIM(RIGHT(SUBSTITUTE(MID(_xlpm.t,MAX(1,_xlpm.k-4),_xlpm.k-MAX(1,_xlpm.k-4))," ",REPT(" ",9)),5)),"")))</f>
        <v>6</v>
      </c>
      <c r="FM97" t="str">
        <f>IF(OR(FL97="",AD97=""),"",IF(_xlfn.XLOOKUP(A97,Щиты[Щит],Щиты[Iкз max на шинах, кА],"")="","",IF(FL97&lt;_xlfn.XLOOKUP(A97,Щиты[Щит],Щиты[Iкз max на шинах, кА]),"Icu "&amp;FL97&amp;" кА &lt; Iкз max","ok")))</f>
        <v/>
      </c>
      <c r="FN97" t="str">
        <f t="shared" si="154"/>
        <v>QF9</v>
      </c>
      <c r="FO97" t="str">
        <f t="shared" si="155"/>
        <v>QF9|кабель ВВГнг(А)-LS (3х1,5) → Внутренний блок кондиционирования Подвальный этаж Пом. №004Т</v>
      </c>
      <c r="FP97" t="str" cm="1">
        <f t="array" ref="FP97">IF(FO97="","",_xlfn.LET(_xlpm.nd,_xlfn.TEXTSPLIT(FO97,"|"),IF(COLUMNS(_xlpm.nd)&gt;1,A97&amp;"¦"&amp;INDEX(_xlpm.nd,1)&amp;"¦"&amp;INDEX(_xlpm.nd,2),"")))</f>
        <v>ЩОВ-002¦QF9¦кабель ВВГнг(А)-LS (3х1,5) → Внутренний блок кондиционирования Подвальный этаж Пом. №004Т</v>
      </c>
      <c r="FQ97" t="str">
        <f t="shared" si="156"/>
        <v>K.00.004T.1¦Внутренний блок кондиционирования Подвальный этаж Пом. №004Т</v>
      </c>
      <c r="FR97" t="str" cm="1">
        <f t="array" ref="FR97">IF(FO97="","",_xlfn.LET(_xlpm.nd,_xlfn.TEXTSPLIT(FO97,"|"),IF(COLUMNS(_xlpm.nd)&gt;2,A97&amp;"¦"&amp;INDEX(_xlpm.nd,2)&amp;"¦"&amp;INDEX(_xlpm.nd,3),"")))</f>
        <v/>
      </c>
      <c r="FS97" t="str">
        <f t="shared" si="157"/>
        <v/>
      </c>
      <c r="FT97" t="str" cm="1">
        <f t="array" ref="FT97">IF(FO97="","",_xlfn.LET(_xlpm.nd,_xlfn.TEXTSPLIT(FO97,"|"),IF(COLUMNS(_xlpm.nd)&gt;3,A97&amp;"¦"&amp;INDEX(_xlpm.nd,3)&amp;"¦"&amp;INDEX(_xlpm.nd,4),"")))</f>
        <v/>
      </c>
      <c r="FU97" t="str">
        <f t="shared" si="158"/>
        <v/>
      </c>
      <c r="FV97" t="str" cm="1">
        <f t="array" ref="FV97">IF(FO97="","",_xlfn.LET(_xlpm.nd,_xlfn.TEXTSPLIT(FO97,"|"),IF(COLUMNS(_xlpm.nd)&gt;4,A97&amp;"¦"&amp;INDEX(_xlpm.nd,4)&amp;"¦"&amp;INDEX(_xlpm.nd,5),"")))</f>
        <v/>
      </c>
      <c r="FW97" t="str">
        <f t="shared" si="159"/>
        <v/>
      </c>
      <c r="FX97" t="str" cm="1">
        <f t="array" ref="FX97">IF(FO97="","",_xlfn.LET(_xlpm.nd,_xlfn.TEXTSPLIT(FO97,"|"),IF(COLUMNS(_xlpm.nd)&gt;5,A97&amp;"¦"&amp;INDEX(_xlpm.nd,5)&amp;"¦"&amp;INDEX(_xlpm.nd,6),"")))</f>
        <v/>
      </c>
      <c r="FY97" t="str">
        <f t="shared" si="160"/>
        <v/>
      </c>
      <c r="FZ97" t="str" cm="1">
        <f t="array" ref="FZ97">IF(FO97="","",_xlfn.LET(_xlpm.nd,_xlfn.TEXTSPLIT(FO97,"|"),IF(COLUMNS(_xlpm.nd)&gt;6,A97&amp;"¦"&amp;INDEX(_xlpm.nd,6)&amp;"¦"&amp;INDEX(_xlpm.nd,7),"")))</f>
        <v/>
      </c>
      <c r="GA97" t="str">
        <f t="shared" si="161"/>
        <v/>
      </c>
      <c r="GB97" t="str">
        <f t="shared" si="162"/>
        <v/>
      </c>
      <c r="GC97" t="str">
        <f t="shared" si="163"/>
        <v>QF9</v>
      </c>
      <c r="GD97">
        <f t="shared" si="164"/>
        <v>1</v>
      </c>
      <c r="GE97">
        <f t="shared" si="165"/>
        <v>0</v>
      </c>
      <c r="GF97">
        <f t="shared" si="166"/>
        <v>0</v>
      </c>
      <c r="GG97" t="str">
        <f t="shared" si="167"/>
        <v/>
      </c>
      <c r="GH97" t="str">
        <f t="shared" si="168"/>
        <v/>
      </c>
      <c r="GI97" t="str">
        <f t="shared" si="169"/>
        <v/>
      </c>
      <c r="GJ97" t="str">
        <f t="shared" si="170"/>
        <v/>
      </c>
      <c r="GK97">
        <f>IF(D97="","",IFERROR(VLOOKUP(D97,УГО_спр,2,FALSE),IFERROR(VLOOKUP(AT97,УГО_спр,2,FALSE),IFERROR(VLOOKUP(LEFT(AT97,2),УГО_спр,2,FALSE),""))))</f>
        <v>0</v>
      </c>
      <c r="GL97" t="str">
        <f>IF(D97="","",IF(OR(GK97="",GK97=0),"BOX",IFERROR(IF(VLOOKUP(GK97,УГО_блоки,3,FALSE)&amp;""&lt;&gt;"",VLOOKUP(GK97,УГО_блоки,3,FALSE),VLOOKUP(GK97,УГО_блоки,2,FALSE)),GK97)))</f>
        <v>BOX</v>
      </c>
      <c r="GM97">
        <f t="shared" si="171"/>
        <v>1</v>
      </c>
      <c r="GN97" t="str">
        <f>IF(EP97="","",IF(COUNTIF(EP$3:EP97,EP97)=1,MAX(GN$2:GN96)+1,""))</f>
        <v/>
      </c>
      <c r="GO97" t="str">
        <f>IF(AF97="","",IF(COUNTIF(AF$3:AF97,AF97)+COUNTIF(AG$2:AG96,AF97)+COUNTIF(AH$2:AH96,AF97)=1,MAX(GO$2:GQ96)+1,""))</f>
        <v/>
      </c>
      <c r="GP97" t="str">
        <f>IF(AG97="","",IF(COUNTIF(AF$3:AF97,AG97)+COUNTIF(AG$3:AG97,AG97)+COUNTIF(AH$2:AH96,AG97)=1,MAX(GO$2:GQ96,GO97)+1,""))</f>
        <v/>
      </c>
      <c r="GQ97" t="str">
        <f>IF(AH97="","",IF(COUNTIF(AF$3:AF97,AH97)+COUNTIF(AG$3:AG97,AH97)+COUNTIF(AH$3:AH97,AH97)=1,MAX(GO$2:GQ96,GO97,GP97)+1,""))</f>
        <v/>
      </c>
      <c r="GR97" t="str">
        <f t="shared" si="172"/>
        <v>3х1,5</v>
      </c>
      <c r="GS97" t="str">
        <f>IF(GR97="","",IF(COUNTIF(GR$3:GR97,GR97)=1,MAX(GS$2:GS96)+1,""))</f>
        <v/>
      </c>
      <c r="GT97" t="str">
        <f>IF(ES97="","",COUNTIF(ES$3:ES97,"?*"))</f>
        <v/>
      </c>
      <c r="GU97" t="str">
        <f>IF(OR(ES97="",EU97=""),"",IF(COUNTIFS(ES$3:ES97,"?*",EU$3:EU97,EU97)=1,MAX(GU$2:GU96)+1,""))</f>
        <v/>
      </c>
      <c r="GV97">
        <f t="shared" si="173"/>
        <v>0</v>
      </c>
      <c r="GW97">
        <f>IF(D97="","",COUNTIF(D$3:D97,"?*"))</f>
        <v>95</v>
      </c>
      <c r="GX97">
        <f>IF(EX97&lt;&gt;1,0,_xlfn.LET(_xlpm.k,MAX(IFERROR(--VLOOKUP(D97,УГО_спр,5,FALSE),0),IFERROR(--VLOOKUP(AT97,УГО_спр,5,FALSE),0),IFERROR(--VLOOKUP(LEFT(AT97,2),УГО_спр,5,FALSE),0)),IF(_xlpm.k&gt;0,_xlpm.k,IF(IFERROR(--LEFT(SUBSTITUTE(GR97,"x","х"),FIND("х",SUBSTITUTE(GR97,"x","х"))-1),3)&gt;3,Каталог!$S$9,1))))</f>
        <v>1</v>
      </c>
      <c r="GY97">
        <f t="shared" si="174"/>
        <v>0</v>
      </c>
    </row>
    <row r="98" spans="1:207" x14ac:dyDescent="0.3">
      <c r="A98" t="s">
        <v>754</v>
      </c>
      <c r="B98">
        <v>28</v>
      </c>
      <c r="C98" t="str">
        <f>IF(BD98="","",IF(BE98="вводной узел","узел ","")&amp;"л."&amp;(INT((BD98-1)/Столбцов_на_лист)+1)&amp;" / "&amp;(MOD(BD98-1,Столбцов_на_лист)+1))</f>
        <v>л.2 / 11</v>
      </c>
      <c r="D98" t="s">
        <v>1381</v>
      </c>
      <c r="E98" s="133" t="s">
        <v>1380</v>
      </c>
      <c r="G98">
        <v>0.104</v>
      </c>
      <c r="H98">
        <v>1</v>
      </c>
      <c r="I98">
        <v>1</v>
      </c>
      <c r="J98">
        <v>230</v>
      </c>
      <c r="K98" t="s">
        <v>602</v>
      </c>
      <c r="L98">
        <v>0.5</v>
      </c>
      <c r="O98">
        <v>1</v>
      </c>
      <c r="P98">
        <v>16</v>
      </c>
      <c r="Q98">
        <v>6</v>
      </c>
      <c r="R98">
        <v>12</v>
      </c>
      <c r="T98">
        <v>1</v>
      </c>
      <c r="U98" t="s">
        <v>11</v>
      </c>
      <c r="V98">
        <v>3</v>
      </c>
      <c r="W98">
        <v>1.5</v>
      </c>
      <c r="X98">
        <v>10</v>
      </c>
      <c r="Z98" t="s">
        <v>580</v>
      </c>
      <c r="AA98" t="s">
        <v>818</v>
      </c>
      <c r="AD98" t="s">
        <v>517</v>
      </c>
      <c r="AK98" t="s">
        <v>488</v>
      </c>
      <c r="AR98" t="str">
        <f t="shared" si="88"/>
        <v/>
      </c>
      <c r="AS98" cm="1">
        <f t="array" ref="AS98">ROW()-ROW(Линии[#Headers])</f>
        <v>96</v>
      </c>
      <c r="AT98" t="str">
        <f t="shared" si="89"/>
        <v>K</v>
      </c>
      <c r="AU98" t="str">
        <f t="shared" si="90"/>
        <v>00.004T.2</v>
      </c>
      <c r="AV98" t="str">
        <f t="shared" si="91"/>
        <v>00</v>
      </c>
      <c r="AW98" t="str">
        <f t="shared" si="92"/>
        <v>004T.2</v>
      </c>
      <c r="AX98" t="str">
        <f t="shared" si="93"/>
        <v>004T</v>
      </c>
      <c r="AY98" t="str">
        <f>IF(D98="","",IF(ISERROR(SEARCH(".",D98)),IFERROR(VLOOKUP(D98,Потребители_обозначение,2,FALSE)&amp;"",""),IFERROR(IF(VLOOKUP(AT98,Потребители_обозначение,4,FALSE)=1,VLOOKUP(AT98,Потребители_обозначение,2,FALSE)&amp;" "&amp;VLOOKUP(AV98,Этаж_обозначение,2,FALSE)&amp;" Пом. №"&amp;AX98,VLOOKUP(AT98,Потребители_обозначение,2,FALSE)&amp;" Шлейф №"&amp;AV98),IFERROR(VLOOKUP(D98,Потребители_обозначение,2,FALSE),""))))</f>
        <v>Внутренний блок кондиционирования Подвальный этаж Пом. №004T</v>
      </c>
      <c r="AZ98" t="str">
        <f t="shared" si="94"/>
        <v>Внутренний блок кондиционирования Подвальный этаж Пом. №004Т</v>
      </c>
      <c r="BA98" t="str">
        <f>IF(F98&lt;&gt;"",F98,IF(AND(D98&lt;&gt;"",D98&lt;&gt;A98,ISNUMBER(_xlfn.XMATCH(D98,Щиты[Щит]))),D98,""))</f>
        <v/>
      </c>
      <c r="BB98">
        <f>IFERROR(_xlfn.XMATCH(A98,Щиты[Щит]),0)</f>
        <v>5</v>
      </c>
      <c r="BC98">
        <f>IFERROR(N(_xlfn.XLOOKUP(A98,Щиты[Щит],Щиты[Мест под вводной узел])),15)</f>
        <v>18</v>
      </c>
      <c r="BD98">
        <f t="shared" si="95"/>
        <v>28</v>
      </c>
      <c r="BE98" t="str">
        <f t="shared" si="96"/>
        <v>линии</v>
      </c>
      <c r="BF98">
        <f>IF(D98="","",IF(BA98&lt;&gt;"",IFERROR(_xlfn.XLOOKUP(BA98,Щиты[Щит],Щиты[Руст, кВт]),0),N(G98)))</f>
        <v>0.104</v>
      </c>
      <c r="BG98">
        <f>IF(J98&lt;&gt;"",J98,IF(D98="","",IFERROR(IF(VLOOKUP(AT98,Потребители_обозначение,8,FALSE)=0,"",VLOOKUP(AT98,Потребители_обозначение,8,FALSE)),"")))</f>
        <v>230</v>
      </c>
      <c r="BH98">
        <f>IF(I98&lt;&gt;"",I98,IF(D98="","",IFERROR(IF(VLOOKUP(AT98,Потребители_обозначение,9,FALSE)=0,"",VLOOKUP(AT98,Потребители_обозначение,9,FALSE)),"")))</f>
        <v>1</v>
      </c>
      <c r="BI98" t="str">
        <f>IF(U98&lt;&gt;"",U98,IF(D98="","",IFERROR(IF(VLOOKUP(AT98,Потребители_обозначение,6,FALSE)=0,"",VLOOKUP(AT98,Потребители_обозначение,6,FALSE)),"")))</f>
        <v>мс</v>
      </c>
      <c r="BJ98">
        <f>IF(V98&lt;&gt;"",V98,IF(D98="","",IFERROR(IF(VLOOKUP(AT98,Потребители_обозначение,7,FALSE)=0,"",VLOOKUP(AT98,Потребители_обозначение,7,FALSE)),"")))</f>
        <v>3</v>
      </c>
      <c r="BK98">
        <f>IF(W98&lt;&gt;"",W98,IF(D98="","",IFERROR(IF(VLOOKUP(AT98,Потребители_обозначение,10,FALSE)=0,"",VLOOKUP(AT98,Потребители_обозначение,10,FALSE)),"")))</f>
        <v>1.5</v>
      </c>
      <c r="BL98">
        <f>IFERROR(VLOOKUP(AT98,Потребители_обозначение,5,FALSE),0)</f>
        <v>1</v>
      </c>
      <c r="BM98" cm="1">
        <f t="array" ref="BM98">IF(D98="","",IF(BA98&lt;&gt;"",IFERROR(_xlfn.XLOOKUP(BA98,Щиты[Щит],Щиты[cos φ]),0.95),IF(ISNUMBER(M98),M98,IFERROR(IF(BL98=2,_xlfn.IFS(BH98=3,VLOOKUP(BF98,Справочная_двигатели,8,FALSE),BH98=1,VLOOKUP(BF98,Справочная_двигатели,10,TRUE)),IF(AND(Методика="нормы 2026",CN98="Сил"),0.8,0.95)),0.95))))</f>
        <v>0.95</v>
      </c>
      <c r="BN98" cm="1">
        <f t="array" ref="BN98">IF(D98="","",IF(BA98&lt;&gt;"",IFERROR(_xlfn.XLOOKUP(BA98,Щиты[Щит],Щиты[Iр, А]),""),IFERROR(_xlfn.IFS(BH98=1,BF98/((Uн_лин/SQRT(3))*BM98),BH98=3,BF98/(SQRT(3)*Uн_лин*BM98)),"")))</f>
        <v>0.47403495786095584</v>
      </c>
      <c r="BO98">
        <f>IF(D98="","",IF(N(X98)=0,IFERROR(VLOOKUP(BN98,Автомат_номиналы,2,TRUE),""),X98))</f>
        <v>10</v>
      </c>
      <c r="BP98">
        <f t="shared" si="97"/>
        <v>1</v>
      </c>
      <c r="BQ98">
        <f>IF(ISNUMBER(Y98),Y98,К_прокл)</f>
        <v>1</v>
      </c>
      <c r="BR98">
        <f t="shared" si="98"/>
        <v>2</v>
      </c>
      <c r="BS98" cm="1">
        <f t="array" ref="BS98">IF(D98="","",IF(N(BK98)&lt;&gt;0,BK98,IFERROR(_xlfn.LET(_xlpm.need,BO98/(BP98*BQ98),_xlpm.t,CHOOSE(BR98,Iдоп_1ж,Iдоп_2ж,Iдоп_3ж),_xlpm.k,_xlfn.XMATCH(_xlpm.need,_xlpm.t,1),IF(ISNA(_xlpm.k),"Не исп",INDEX(Iдоп_S,_xlpm.k))),"Не исп")))</f>
        <v>1.5</v>
      </c>
      <c r="BT98">
        <f>IFERROR(VLOOKUP(BS98,Кабель_сопротивление,3,FALSE),"")</f>
        <v>2.2499999999999999E-2</v>
      </c>
      <c r="BU98">
        <f>IFERROR(VLOOKUP(BS98,Кабель_сопротивление,2,FALSE),"")</f>
        <v>0.11</v>
      </c>
      <c r="BV98">
        <f t="shared" si="99"/>
        <v>16</v>
      </c>
      <c r="BW98">
        <f>IF(D98="","",IFERROR(IF(VLOOKUP(AT98,Потребители_обозначение,4,FALSE)=1,VLOOKUP(AT98,Потребители_обозначение,3,FALSE)*(H98*2-1)+BV98+VLOOKUP(AV98,Этаж_обозначение,3,FALSE)+VLOOKUP(AV98,Этаж_обозначение,4,FALSE),VLOOKUP(AT98,Потребители_обозначение,3,FALSE)*(H98*2-1)+BV98),BV98))</f>
        <v>18</v>
      </c>
      <c r="BX98">
        <f t="shared" si="100"/>
        <v>12</v>
      </c>
      <c r="BY98">
        <f t="shared" si="101"/>
        <v>0</v>
      </c>
      <c r="BZ98">
        <f t="shared" si="102"/>
        <v>2</v>
      </c>
      <c r="CA98">
        <f t="shared" si="103"/>
        <v>0.31</v>
      </c>
      <c r="CB98">
        <f t="shared" si="104"/>
        <v>0.24376185869694042</v>
      </c>
      <c r="CC98">
        <f>IFERROR(ROUNDUP(CB98/((Uн_лин/SQRT(3))*1000)*100,2),"")</f>
        <v>0.11</v>
      </c>
      <c r="CD98">
        <f>IF(ISNUMBER(CC98),CC98+IFERROR(_xlfn.XLOOKUP(A98,Щиты[Щит],Щиты[ΔU до шин, %]),0),"")</f>
        <v>0.77</v>
      </c>
      <c r="CE98">
        <f>IF(D98="","",IF(IFERROR(VLOOKUP(AT98,УГО_спр,2,FALSE),"")="Светильник",3,4)+IF(Методика="нормы 2026",MIN(0.5,MAX(0,N(BW98)-100)*0.005),0))</f>
        <v>4</v>
      </c>
      <c r="CF98" t="str">
        <f>IFERROR(VLOOKUP(BI98,Кабель_обозначение,2,FALSE),"")</f>
        <v>ВВГнг(А)-LS</v>
      </c>
      <c r="CG98" t="str">
        <f>IFERROR(IF(VLOOKUP(BI98,Кабель_обозначение,3,FALSE)=1,CF98&amp;" ("&amp;BJ98&amp;"х"&amp;BS98&amp;")",CF98),"")</f>
        <v>ВВГнг(А)-LS (3х1,5)</v>
      </c>
      <c r="CH98" t="str">
        <f t="shared" si="105"/>
        <v>ВВГнг(А)-LS (3х1,5)
L=18-0,11%</v>
      </c>
      <c r="CI98">
        <f>IFERROR(2*ρкз_Cu*BW98/BS98,"")</f>
        <v>0.63119999999999998</v>
      </c>
      <c r="CJ98">
        <f t="shared" si="106"/>
        <v>0.21000000000000005</v>
      </c>
      <c r="CK98" t="str">
        <f>IFERROR(IF(OR(D98="",NOT(ISNUMBER(BS98)),N(BW98)=0),"",_xlfn.XLOOKUP(A98,Щиты[Щит],Щиты[Zпетли на шинах, Ом])+CI98),"")</f>
        <v/>
      </c>
      <c r="CL98" t="str">
        <f>IF(ISNUMBER(CK98),c_min*(Uн_лин*1000/SQRT(3))/CK98,"")</f>
        <v/>
      </c>
      <c r="CM98" t="str">
        <f>IFERROR(IF(OR(D98="",NOT(ISNUMBER(BS98))),"",1.05*(Uн_лин*1000/SQRT(3))/(_xlfn.XLOOKUP(A98,Щиты[Щит],Щиты[Zmax на шинах, Ом])+CJ98)/1000),"")</f>
        <v/>
      </c>
      <c r="CN98" t="str">
        <f>IF(D98="","",IF(BA98&lt;&gt;"","Щит",IF(K98&lt;&gt;"",K98,IF(ISNUMBER(L98),"Сил",IF(IFERROR(_xlfn.XLOOKUP(AT98,Коды_код,Коды_группа)&amp;"","")="","Быт",_xlfn.XLOOKUP(AT98,Коды_код,Коды_группа)&amp;"")))))</f>
        <v>Сил</v>
      </c>
      <c r="CO98">
        <f>IF(CN98="Щит","щит",IF(CN98="","",IF(CN98="Быт",IFERROR(_xlfn.XLOOKUP(A98,Щиты[Щит],Щиты[Кс быт]),1),IF(CN98="Сил",IF(ISNUMBER(L98),L98,IF(Методика="нормы 2026",IFERROR(_xlfn.XLOOKUP(A98,Щиты[Щит],Щиты[Кс силовых (табл. 7.5)]),1),1)),IF(OR(CN98="Пост",CN98="Отоп"),1,IF(CN98="ВНГ",0.7,0))))))</f>
        <v>0.5</v>
      </c>
      <c r="CP98">
        <f t="shared" si="107"/>
        <v>1</v>
      </c>
      <c r="CQ98">
        <f t="shared" si="108"/>
        <v>0.104</v>
      </c>
      <c r="CR98">
        <f t="shared" si="109"/>
        <v>0</v>
      </c>
      <c r="CS98">
        <f t="shared" si="110"/>
        <v>5.1999999999999998E-2</v>
      </c>
      <c r="CT98">
        <f t="shared" si="111"/>
        <v>0</v>
      </c>
      <c r="CU98">
        <f t="shared" si="112"/>
        <v>0</v>
      </c>
      <c r="CV98">
        <f t="shared" si="113"/>
        <v>0</v>
      </c>
      <c r="CW98">
        <f t="shared" si="114"/>
        <v>0.104</v>
      </c>
      <c r="CX98">
        <f t="shared" si="115"/>
        <v>9.8799999999999985E-2</v>
      </c>
      <c r="CY98">
        <f t="shared" si="116"/>
        <v>1</v>
      </c>
      <c r="CZ98" t="str">
        <f t="shared" si="117"/>
        <v>L1</v>
      </c>
      <c r="DA98" cm="1">
        <f t="array" ref="DA98">IFERROR(IF(BL98=2,_xlfn.IFS(BH98=3,VLOOKUP(BF98,Справочная_двигатели,3,FALSE),BH98=1,VLOOKUP(BF98,Справочная_двигатели,5,TRUE)),0),0)</f>
        <v>0</v>
      </c>
      <c r="DB98">
        <f>IFERROR(IF(BL98=3,VLOOKUP(BF98,Справочная_ЛЭД,2,TRUE),0),0)</f>
        <v>0</v>
      </c>
      <c r="DC98">
        <f t="shared" si="118"/>
        <v>0</v>
      </c>
      <c r="DD98" t="str">
        <f t="shared" si="119"/>
        <v>L1</v>
      </c>
      <c r="DE98" t="str" cm="1">
        <f t="array" ref="DE98">IF(D98="","",IFERROR(INDEX({"I особая","I","II","III"},MATCH(TRIM(AA98&amp;""),{"I особая","I","II","III"},0)),"III"))</f>
        <v>II</v>
      </c>
      <c r="DF98" t="str">
        <f>IF(D98="","",IF(TRIM(AB98&amp;"")&lt;&gt;"",IF(LOWER(TRIM(AB98&amp;""))="да","да","нет"),IF(IFERROR(_xlfn.XLOOKUP(AT98,Коды_код,Коды_пожарная),"")="да","да","нет")))</f>
        <v>нет</v>
      </c>
      <c r="DG98" t="str">
        <f t="shared" si="120"/>
        <v/>
      </c>
      <c r="DH98" t="str">
        <f t="shared" si="121"/>
        <v>основная</v>
      </c>
      <c r="DI98">
        <f t="shared" si="122"/>
        <v>1</v>
      </c>
      <c r="DJ98" t="str" cm="1">
        <f t="array" ref="DJ98">IF(D98="","",_xlfn.LET(_xlpm.t,IFERROR(_xlfn.XLOOKUP(1,(Шины[Шина]=DH98)*(((Шины[Щит]=A98)+(Шины[Щит]=""))&gt;0),Шины[Тип]),"")&amp;"",IF(_xlpm.t&lt;&gt;"",_xlpm.t,IF(ISNUMBER(SEARCH("ИБП",DH98)),"ИБП",IF(ISNUMBER(SEARCH("ДГУ",DH98)),"ДГУ","Ввод "&amp;DI98)))))</f>
        <v>Ввод 1</v>
      </c>
      <c r="DK98" t="str">
        <f t="shared" si="123"/>
        <v>Ввод 1</v>
      </c>
      <c r="DL98" t="str">
        <f>IF(D98="","",IF(OR(DJ98="ИБП",DJ98="ДГУ"),"I особая",IF(DJ98="Одиночная","III",_xlfn.XLOOKUP(A98,Щиты[Щит],Щиты[Категория шины «Ввод»],"III"))))</f>
        <v>II</v>
      </c>
      <c r="DM98">
        <f>IF(D98="",0,IFERROR(MATCH(DE98,{"III","II","I","I особая"},0),1))</f>
        <v>2</v>
      </c>
      <c r="DN98">
        <f t="shared" si="124"/>
        <v>2</v>
      </c>
      <c r="DO98" t="str">
        <f>IF(D98="","",IF(DM98&gt;IFERROR(MATCH(DL98,{"III","II","I","I особая"},0),1),"НЕ ОБЕСПЕЧЕНА","ОК"))</f>
        <v>ОК</v>
      </c>
      <c r="DP98" t="str">
        <f>IF(A98="","",_xlfn.XLOOKUP(A98,Щиты[Щит],Щиты[Путь],""))</f>
        <v>|ГРЩ-ЖД|ЩОВ-002|</v>
      </c>
      <c r="DQ98" t="str">
        <f>IF(D98="","",IF(Z98&lt;&gt;"",Z98,IF(IFERROR(_xlfn.XLOOKUP(AT98,Коды_код,Коды_вид)&amp;"","")="","Прочее",_xlfn.XLOOKUP(AT98,Коды_код,Коды_вид)&amp;"")))</f>
        <v>Кондиционирование и увлажнение</v>
      </c>
      <c r="DR98">
        <f>IF(BD98="","",INT((BD98-1)/Столбцов_на_лист)+1)</f>
        <v>2</v>
      </c>
      <c r="DS98" t="str">
        <f t="shared" si="125"/>
        <v>ВВГнг(А)-LS (3х1,5) L=18-0,11%</v>
      </c>
      <c r="DT98">
        <f t="shared" si="126"/>
        <v>0.104</v>
      </c>
      <c r="DU98">
        <f t="shared" si="127"/>
        <v>0.48</v>
      </c>
      <c r="DV98">
        <f t="shared" si="128"/>
        <v>1</v>
      </c>
      <c r="DW98">
        <f>IF(AT98="",0,_xlfn.LET(_xlpm.v,IFERROR(VLOOKUP(D98,УГО_спр,3,FALSE),IFERROR(VLOOKUP(AT98,УГО_спр,3,FALSE),IFERROR(VLOOKUP(LEFT(AT98,2),УГО_спр,3,FALSE),""))),IF(_xlpm.v="да",30,IF(ISNUMBER(_xlpm.v),_xlpm.v,0))))</f>
        <v>0</v>
      </c>
      <c r="DX98">
        <f t="shared" si="129"/>
        <v>0</v>
      </c>
      <c r="DY98">
        <f>IF(BD98="","",IF(AD98&lt;&gt;"",COUNTIFS(A$3:A98,A98,AD$3:AD98,"?*"),IF(OR(OR(AS98=1,A98&lt;&gt;A97),AL98="вручную"),"",IF(AS98=1,"",DZ97))))</f>
        <v>10</v>
      </c>
      <c r="DZ98">
        <f t="shared" si="130"/>
        <v>10</v>
      </c>
      <c r="EA98">
        <f>IF(D98="",0,MAX(IFERROR(--X98,0),IFERROR(--VLOOKUP(D98,УГО_спр,4,FALSE),IFERROR(--VLOOKUP(AT98,УГО_спр,4,FALSE),IFERROR(--VLOOKUP(LEFT(AT98,2),УГО_спр,4,FALSE),0)))))</f>
        <v>10</v>
      </c>
      <c r="EB98">
        <f>IF(D98="","",IFERROR(LOOKUP(INDEX(CHOOSE(BR98,Iдоп_1ж,Iдоп_2ж,Iдоп_3ж),MATCH(BS98,Iдоп_S,0))*BP98*BQ98,{6,10,16,20,25,32,40,50,63,80,100,125,160,200,250,315,400,500,630}),""))</f>
        <v>16</v>
      </c>
      <c r="EC98">
        <f>IF(AD98="","",SUMIFS(Линии[_Ток схемы],Линии[_гр.],DY98,Линии[Щит],A98,Линии[_в кабель выше],0))</f>
        <v>0.48</v>
      </c>
      <c r="ED98">
        <f>IF(AD98="","",IFERROR(VLOOKUP(EC98,Автомат_номиналы,2,TRUE),""))</f>
        <v>6</v>
      </c>
      <c r="EE98">
        <f>IF(AD98="","",MAX(N(ED98),_xlfn.MAXIFS(Линии[_мин. по типу],Линии[_гр.],DY98,Линии[Щит],A98)))</f>
        <v>10</v>
      </c>
      <c r="EF98">
        <f>IF(AD98="","",_xlfn.MINIFS(Линии[_макс. автомат по кабелю],Линии[_гр.],DY98,Линии[Щит],A98))</f>
        <v>16</v>
      </c>
      <c r="EG98">
        <f>IF(AD98="","",MAX(1,_xlfn.MAXIFS(Линии[_фаз],Линии[_гр.],DY98,Линии[Щит],A98)))</f>
        <v>1</v>
      </c>
      <c r="EH98">
        <f>IF(AD98="","",IF(AND(AD98&lt;&gt;"авто",AD98&lt;&gt;"+"),IF(ISNUMBER(SEARCH("мА",AD98)),IFERROR(--TRIM(RIGHT(SUBSTITUTE(LEFT(AD98,SEARCH("мА",AD98)-1)," ",REPT(" ",9)),6)),30),0),IF(AE98="нет",0,IF(ISNUMBER(AE98),AE98,IF(AE98="да",30,_xlfn.MINIFS(Линии[_дифзащита по коду, мА],Линии[_гр.],DY98,Линии[Щит],A98,Линии[_дифзащита по коду, мА],"&gt;0"))))))</f>
        <v>0</v>
      </c>
      <c r="EI98">
        <f t="shared" si="131"/>
        <v>0</v>
      </c>
      <c r="EJ98" t="str">
        <f t="shared" si="132"/>
        <v>QF10</v>
      </c>
      <c r="EK98" t="str">
        <f t="shared" si="133"/>
        <v>QF10</v>
      </c>
      <c r="EL98" t="str">
        <f t="shared" si="134"/>
        <v/>
      </c>
      <c r="EM98">
        <f t="shared" si="135"/>
        <v>0</v>
      </c>
      <c r="EN98">
        <f>IF(AD98="","",IF(EM98=1,MAX(EE98,Мин_автомат_БП),EE98))</f>
        <v>10</v>
      </c>
      <c r="EO98" t="str">
        <f t="shared" si="136"/>
        <v>1P</v>
      </c>
      <c r="EP98" t="str">
        <f t="shared" si="137"/>
        <v>1P С10А</v>
      </c>
      <c r="EQ98">
        <f t="shared" si="138"/>
        <v>10</v>
      </c>
      <c r="ER98" t="str">
        <f>IF(OR(AI98="",AI98="-"),"",IFERROR(VLOOKUP(AI98,Модули_спр,2,FALSE),"R"))</f>
        <v/>
      </c>
      <c r="ES98" t="str">
        <f>IF(ER98="","",ER98&amp;"."&amp;COUNTIFS(A$3:A98,A98,ER$3:ER98,ER98))</f>
        <v/>
      </c>
      <c r="ET98" t="str">
        <f t="shared" si="139"/>
        <v/>
      </c>
      <c r="EU98" t="str">
        <f t="shared" si="140"/>
        <v/>
      </c>
      <c r="EV98" t="str">
        <f t="shared" si="141"/>
        <v/>
      </c>
      <c r="EW98" t="str">
        <f t="shared" si="142"/>
        <v/>
      </c>
      <c r="EX98">
        <f t="shared" si="143"/>
        <v>1</v>
      </c>
      <c r="EY98" t="str">
        <f>IF(AK98="нет","",IF(AK98&lt;&gt;"",AK98,IF(EX98=1,"XT"&amp;COUNTIFS(A$3:A98,A98,EX$3:EX98,1),"")))</f>
        <v/>
      </c>
      <c r="EZ98" t="str">
        <f t="shared" si="144"/>
        <v>QF10</v>
      </c>
      <c r="FA98" t="str">
        <f t="shared" si="145"/>
        <v/>
      </c>
      <c r="FB98" t="str">
        <f t="shared" si="146"/>
        <v>ok</v>
      </c>
      <c r="FC98" t="str">
        <f>IF(OR(EV98="",ET98=""),"",IF(EV98&gt;IFERROR(VLOOKUP(EU98,Модули_спр,3,FALSE),99),"ЛИШНИЙ КАНАЛ",IF(AND(AJ98&lt;&gt;"=",COUNTIFS(Линии[_модуль гр.],ET98,Линии[Канал (итог)],EV98,Линии[Канал],"&lt;&gt;=",Линии[Щит],A98)&gt;1),"ДУБЛЬ КАНАЛА","")))</f>
        <v/>
      </c>
      <c r="FD98">
        <f t="shared" si="147"/>
        <v>10</v>
      </c>
      <c r="FE98" t="str">
        <f t="shared" si="148"/>
        <v>1P С10А</v>
      </c>
      <c r="FF98">
        <f t="shared" si="149"/>
        <v>0</v>
      </c>
      <c r="FG98">
        <f t="shared" si="150"/>
        <v>0</v>
      </c>
      <c r="FH98" t="str">
        <f t="shared" si="151"/>
        <v/>
      </c>
      <c r="FI98">
        <f t="shared" si="152"/>
        <v>10</v>
      </c>
      <c r="FJ98" t="str">
        <f t="shared" si="153"/>
        <v/>
      </c>
      <c r="FK98" t="str">
        <f>IF(AND(D98="",EZ98=""),"",_xlfn.TEXTJOIN("; ",TRUE,IF(AND(D98&lt;&gt;"",DD98=""),"нет фазы",""),IF(AND(D98&lt;&gt;"",N(DT98)=0,CN98&lt;&gt;"Нет"),"нет мощности",""),IF(AND(EY98&lt;&gt;"",COUNTIFS(Линии[Щит],A98,Линии[Клемма (итог)],EY98)&gt;1),"дубль клеммы "&amp;EY98,""),IF(AND(FB98&lt;&gt;"",FB98&lt;&gt;"ok"),FB98,""),IF(FC98&lt;&gt;"",FC98,""),IF(AND(ISNUMBER(SEARCH("(5х",DS98)),N(DV98)=1),"5 жил на 1 фазе",""),IF(AND(AT98="R",AD98&lt;&gt;"",OR(N(EH98)=0,N(EH98)&gt;30)),"розетка без дифзащиты до 30 мА",""),IFERROR(IF(AND(ISNUMBER(CD98),CD98&gt;CE98),"потери "&amp;FIXED(CD98,1)&amp;" % &gt; "&amp;CE98&amp;" %",""),""),IFERROR(IF(LEFT(FJ98,4)="мало","Iкз мало — отключение &gt; 0,4 с",""),""),IF(AND(D98&lt;&gt;"",BD98=""),"не на схеме","")))</f>
        <v/>
      </c>
      <c r="FL98">
        <f>IF(AD98="","",_xlfn.LET(_xlpm.t,IFERROR(_xlfn.XLOOKUP(EP98,Каталог!$U$4:$U$500,Каталог!$G$4:$G$500),""),_xlpm.k,SEARCH("кА",_xlpm.t),IFERROR(--TRIM(RIGHT(SUBSTITUTE(MID(_xlpm.t,MAX(1,_xlpm.k-4),_xlpm.k-MAX(1,_xlpm.k-4))," ",REPT(" ",9)),5)),"")))</f>
        <v>6</v>
      </c>
      <c r="FM98" t="str">
        <f>IF(OR(FL98="",AD98=""),"",IF(_xlfn.XLOOKUP(A98,Щиты[Щит],Щиты[Iкз max на шинах, кА],"")="","",IF(FL98&lt;_xlfn.XLOOKUP(A98,Щиты[Щит],Щиты[Iкз max на шинах, кА]),"Icu "&amp;FL98&amp;" кА &lt; Iкз max","ok")))</f>
        <v/>
      </c>
      <c r="FN98" t="str">
        <f t="shared" si="154"/>
        <v>QF10</v>
      </c>
      <c r="FO98" t="str">
        <f t="shared" si="155"/>
        <v>QF10|кабель ВВГнг(А)-LS (3х1,5) → Внутренний блок кондиционирования Подвальный этаж Пом. №004Т</v>
      </c>
      <c r="FP98" t="str" cm="1">
        <f t="array" ref="FP98">IF(FO98="","",_xlfn.LET(_xlpm.nd,_xlfn.TEXTSPLIT(FO98,"|"),IF(COLUMNS(_xlpm.nd)&gt;1,A98&amp;"¦"&amp;INDEX(_xlpm.nd,1)&amp;"¦"&amp;INDEX(_xlpm.nd,2),"")))</f>
        <v>ЩОВ-002¦QF10¦кабель ВВГнг(А)-LS (3х1,5) → Внутренний блок кондиционирования Подвальный этаж Пом. №004Т</v>
      </c>
      <c r="FQ98" t="str">
        <f t="shared" si="156"/>
        <v>K.00.004T.2¦Внутренний блок кондиционирования Подвальный этаж Пом. №004Т</v>
      </c>
      <c r="FR98" t="str" cm="1">
        <f t="array" ref="FR98">IF(FO98="","",_xlfn.LET(_xlpm.nd,_xlfn.TEXTSPLIT(FO98,"|"),IF(COLUMNS(_xlpm.nd)&gt;2,A98&amp;"¦"&amp;INDEX(_xlpm.nd,2)&amp;"¦"&amp;INDEX(_xlpm.nd,3),"")))</f>
        <v/>
      </c>
      <c r="FS98" t="str">
        <f t="shared" si="157"/>
        <v/>
      </c>
      <c r="FT98" t="str" cm="1">
        <f t="array" ref="FT98">IF(FO98="","",_xlfn.LET(_xlpm.nd,_xlfn.TEXTSPLIT(FO98,"|"),IF(COLUMNS(_xlpm.nd)&gt;3,A98&amp;"¦"&amp;INDEX(_xlpm.nd,3)&amp;"¦"&amp;INDEX(_xlpm.nd,4),"")))</f>
        <v/>
      </c>
      <c r="FU98" t="str">
        <f t="shared" si="158"/>
        <v/>
      </c>
      <c r="FV98" t="str" cm="1">
        <f t="array" ref="FV98">IF(FO98="","",_xlfn.LET(_xlpm.nd,_xlfn.TEXTSPLIT(FO98,"|"),IF(COLUMNS(_xlpm.nd)&gt;4,A98&amp;"¦"&amp;INDEX(_xlpm.nd,4)&amp;"¦"&amp;INDEX(_xlpm.nd,5),"")))</f>
        <v/>
      </c>
      <c r="FW98" t="str">
        <f t="shared" si="159"/>
        <v/>
      </c>
      <c r="FX98" t="str" cm="1">
        <f t="array" ref="FX98">IF(FO98="","",_xlfn.LET(_xlpm.nd,_xlfn.TEXTSPLIT(FO98,"|"),IF(COLUMNS(_xlpm.nd)&gt;5,A98&amp;"¦"&amp;INDEX(_xlpm.nd,5)&amp;"¦"&amp;INDEX(_xlpm.nd,6),"")))</f>
        <v/>
      </c>
      <c r="FY98" t="str">
        <f t="shared" si="160"/>
        <v/>
      </c>
      <c r="FZ98" t="str" cm="1">
        <f t="array" ref="FZ98">IF(FO98="","",_xlfn.LET(_xlpm.nd,_xlfn.TEXTSPLIT(FO98,"|"),IF(COLUMNS(_xlpm.nd)&gt;6,A98&amp;"¦"&amp;INDEX(_xlpm.nd,6)&amp;"¦"&amp;INDEX(_xlpm.nd,7),"")))</f>
        <v/>
      </c>
      <c r="GA98" t="str">
        <f t="shared" si="161"/>
        <v/>
      </c>
      <c r="GB98" t="str">
        <f t="shared" si="162"/>
        <v/>
      </c>
      <c r="GC98" t="str">
        <f t="shared" si="163"/>
        <v>QF10</v>
      </c>
      <c r="GD98">
        <f t="shared" si="164"/>
        <v>1</v>
      </c>
      <c r="GE98">
        <f t="shared" si="165"/>
        <v>0</v>
      </c>
      <c r="GF98">
        <f t="shared" si="166"/>
        <v>0</v>
      </c>
      <c r="GG98" t="str">
        <f t="shared" si="167"/>
        <v/>
      </c>
      <c r="GH98" t="str">
        <f t="shared" si="168"/>
        <v/>
      </c>
      <c r="GI98" t="str">
        <f t="shared" si="169"/>
        <v/>
      </c>
      <c r="GJ98" t="str">
        <f t="shared" si="170"/>
        <v/>
      </c>
      <c r="GK98">
        <f>IF(D98="","",IFERROR(VLOOKUP(D98,УГО_спр,2,FALSE),IFERROR(VLOOKUP(AT98,УГО_спр,2,FALSE),IFERROR(VLOOKUP(LEFT(AT98,2),УГО_спр,2,FALSE),""))))</f>
        <v>0</v>
      </c>
      <c r="GL98" t="str">
        <f>IF(D98="","",IF(OR(GK98="",GK98=0),"BOX",IFERROR(IF(VLOOKUP(GK98,УГО_блоки,3,FALSE)&amp;""&lt;&gt;"",VLOOKUP(GK98,УГО_блоки,3,FALSE),VLOOKUP(GK98,УГО_блоки,2,FALSE)),GK98)))</f>
        <v>BOX</v>
      </c>
      <c r="GM98">
        <f t="shared" si="171"/>
        <v>1</v>
      </c>
      <c r="GN98" t="str">
        <f>IF(EP98="","",IF(COUNTIF(EP$3:EP98,EP98)=1,MAX(GN$2:GN97)+1,""))</f>
        <v/>
      </c>
      <c r="GO98" t="str">
        <f>IF(AF98="","",IF(COUNTIF(AF$3:AF98,AF98)+COUNTIF(AG$2:AG97,AF98)+COUNTIF(AH$2:AH97,AF98)=1,MAX(GO$2:GQ97)+1,""))</f>
        <v/>
      </c>
      <c r="GP98" t="str">
        <f>IF(AG98="","",IF(COUNTIF(AF$3:AF98,AG98)+COUNTIF(AG$3:AG98,AG98)+COUNTIF(AH$2:AH97,AG98)=1,MAX(GO$2:GQ97,GO98)+1,""))</f>
        <v/>
      </c>
      <c r="GQ98" t="str">
        <f>IF(AH98="","",IF(COUNTIF(AF$3:AF98,AH98)+COUNTIF(AG$3:AG98,AH98)+COUNTIF(AH$3:AH98,AH98)=1,MAX(GO$2:GQ97,GO98,GP98)+1,""))</f>
        <v/>
      </c>
      <c r="GR98" t="str">
        <f t="shared" si="172"/>
        <v>3х1,5</v>
      </c>
      <c r="GS98" t="str">
        <f>IF(GR98="","",IF(COUNTIF(GR$3:GR98,GR98)=1,MAX(GS$2:GS97)+1,""))</f>
        <v/>
      </c>
      <c r="GT98" t="str">
        <f>IF(ES98="","",COUNTIF(ES$3:ES98,"?*"))</f>
        <v/>
      </c>
      <c r="GU98" t="str">
        <f>IF(OR(ES98="",EU98=""),"",IF(COUNTIFS(ES$3:ES98,"?*",EU$3:EU98,EU98)=1,MAX(GU$2:GU97)+1,""))</f>
        <v/>
      </c>
      <c r="GV98">
        <f t="shared" si="173"/>
        <v>0</v>
      </c>
      <c r="GW98">
        <f>IF(D98="","",COUNTIF(D$3:D98,"?*"))</f>
        <v>96</v>
      </c>
      <c r="GX98">
        <f>IF(EX98&lt;&gt;1,0,_xlfn.LET(_xlpm.k,MAX(IFERROR(--VLOOKUP(D98,УГО_спр,5,FALSE),0),IFERROR(--VLOOKUP(AT98,УГО_спр,5,FALSE),0),IFERROR(--VLOOKUP(LEFT(AT98,2),УГО_спр,5,FALSE),0)),IF(_xlpm.k&gt;0,_xlpm.k,IF(IFERROR(--LEFT(SUBSTITUTE(GR98,"x","х"),FIND("х",SUBSTITUTE(GR98,"x","х"))-1),3)&gt;3,Каталог!$S$9,1))))</f>
        <v>1</v>
      </c>
      <c r="GY98">
        <f t="shared" si="174"/>
        <v>0</v>
      </c>
    </row>
    <row r="99" spans="1:207" x14ac:dyDescent="0.3">
      <c r="A99" t="s">
        <v>754</v>
      </c>
      <c r="B99">
        <v>29</v>
      </c>
      <c r="C99" t="str">
        <f>IF(BD99="","",IF(BE99="вводной узел","узел ","")&amp;"л."&amp;(INT((BD99-1)/Столбцов_на_лист)+1)&amp;" / "&amp;(MOD(BD99-1,Столбцов_на_лист)+1))</f>
        <v>л.2 / 12</v>
      </c>
      <c r="D99" t="s">
        <v>1382</v>
      </c>
      <c r="E99" s="133" t="s">
        <v>1378</v>
      </c>
      <c r="G99">
        <v>0.104</v>
      </c>
      <c r="H99">
        <v>1</v>
      </c>
      <c r="I99">
        <v>1</v>
      </c>
      <c r="J99">
        <v>230</v>
      </c>
      <c r="K99" t="s">
        <v>602</v>
      </c>
      <c r="L99">
        <v>0.5</v>
      </c>
      <c r="O99">
        <v>1</v>
      </c>
      <c r="P99">
        <v>31</v>
      </c>
      <c r="Q99">
        <v>14</v>
      </c>
      <c r="R99">
        <v>19</v>
      </c>
      <c r="T99">
        <v>1</v>
      </c>
      <c r="U99" t="s">
        <v>11</v>
      </c>
      <c r="V99">
        <v>3</v>
      </c>
      <c r="W99">
        <v>1.5</v>
      </c>
      <c r="X99">
        <v>10</v>
      </c>
      <c r="Z99" t="s">
        <v>580</v>
      </c>
      <c r="AA99" t="s">
        <v>818</v>
      </c>
      <c r="AD99" t="s">
        <v>517</v>
      </c>
      <c r="AK99" t="s">
        <v>488</v>
      </c>
      <c r="AR99" t="str">
        <f t="shared" si="88"/>
        <v/>
      </c>
      <c r="AS99" cm="1">
        <f t="array" ref="AS99">ROW()-ROW(Линии[#Headers])</f>
        <v>97</v>
      </c>
      <c r="AT99" t="str">
        <f t="shared" si="89"/>
        <v>K</v>
      </c>
      <c r="AU99" t="str">
        <f t="shared" si="90"/>
        <v>00.007A</v>
      </c>
      <c r="AV99" t="str">
        <f t="shared" si="91"/>
        <v>00</v>
      </c>
      <c r="AW99" t="str">
        <f t="shared" si="92"/>
        <v>007A</v>
      </c>
      <c r="AX99" t="str">
        <f t="shared" si="93"/>
        <v>007A</v>
      </c>
      <c r="AY99" t="str">
        <f>IF(D99="","",IF(ISERROR(SEARCH(".",D99)),IFERROR(VLOOKUP(D99,Потребители_обозначение,2,FALSE)&amp;"",""),IFERROR(IF(VLOOKUP(AT99,Потребители_обозначение,4,FALSE)=1,VLOOKUP(AT99,Потребители_обозначение,2,FALSE)&amp;" "&amp;VLOOKUP(AV99,Этаж_обозначение,2,FALSE)&amp;" Пом. №"&amp;AX99,VLOOKUP(AT99,Потребители_обозначение,2,FALSE)&amp;" Шлейф №"&amp;AV99),IFERROR(VLOOKUP(D99,Потребители_обозначение,2,FALSE),""))))</f>
        <v>Внутренний блок кондиционирования Подвальный этаж Пом. №007A</v>
      </c>
      <c r="AZ99" t="str">
        <f t="shared" si="94"/>
        <v>Внутренний блок кондиционирования Подвальный этаж Пом. №002Б</v>
      </c>
      <c r="BA99" t="str">
        <f>IF(F99&lt;&gt;"",F99,IF(AND(D99&lt;&gt;"",D99&lt;&gt;A99,ISNUMBER(_xlfn.XMATCH(D99,Щиты[Щит]))),D99,""))</f>
        <v/>
      </c>
      <c r="BB99">
        <f>IFERROR(_xlfn.XMATCH(A99,Щиты[Щит]),0)</f>
        <v>5</v>
      </c>
      <c r="BC99">
        <f>IFERROR(N(_xlfn.XLOOKUP(A99,Щиты[Щит],Щиты[Мест под вводной узел])),15)</f>
        <v>18</v>
      </c>
      <c r="BD99">
        <f t="shared" si="95"/>
        <v>29</v>
      </c>
      <c r="BE99" t="str">
        <f t="shared" si="96"/>
        <v>линии</v>
      </c>
      <c r="BF99">
        <f>IF(D99="","",IF(BA99&lt;&gt;"",IFERROR(_xlfn.XLOOKUP(BA99,Щиты[Щит],Щиты[Руст, кВт]),0),N(G99)))</f>
        <v>0.104</v>
      </c>
      <c r="BG99">
        <f>IF(J99&lt;&gt;"",J99,IF(D99="","",IFERROR(IF(VLOOKUP(AT99,Потребители_обозначение,8,FALSE)=0,"",VLOOKUP(AT99,Потребители_обозначение,8,FALSE)),"")))</f>
        <v>230</v>
      </c>
      <c r="BH99">
        <f>IF(I99&lt;&gt;"",I99,IF(D99="","",IFERROR(IF(VLOOKUP(AT99,Потребители_обозначение,9,FALSE)=0,"",VLOOKUP(AT99,Потребители_обозначение,9,FALSE)),"")))</f>
        <v>1</v>
      </c>
      <c r="BI99" t="str">
        <f>IF(U99&lt;&gt;"",U99,IF(D99="","",IFERROR(IF(VLOOKUP(AT99,Потребители_обозначение,6,FALSE)=0,"",VLOOKUP(AT99,Потребители_обозначение,6,FALSE)),"")))</f>
        <v>мс</v>
      </c>
      <c r="BJ99">
        <f>IF(V99&lt;&gt;"",V99,IF(D99="","",IFERROR(IF(VLOOKUP(AT99,Потребители_обозначение,7,FALSE)=0,"",VLOOKUP(AT99,Потребители_обозначение,7,FALSE)),"")))</f>
        <v>3</v>
      </c>
      <c r="BK99">
        <f>IF(W99&lt;&gt;"",W99,IF(D99="","",IFERROR(IF(VLOOKUP(AT99,Потребители_обозначение,10,FALSE)=0,"",VLOOKUP(AT99,Потребители_обозначение,10,FALSE)),"")))</f>
        <v>1.5</v>
      </c>
      <c r="BL99">
        <f>IFERROR(VLOOKUP(AT99,Потребители_обозначение,5,FALSE),0)</f>
        <v>1</v>
      </c>
      <c r="BM99" cm="1">
        <f t="array" ref="BM99">IF(D99="","",IF(BA99&lt;&gt;"",IFERROR(_xlfn.XLOOKUP(BA99,Щиты[Щит],Щиты[cos φ]),0.95),IF(ISNUMBER(M99),M99,IFERROR(IF(BL99=2,_xlfn.IFS(BH99=3,VLOOKUP(BF99,Справочная_двигатели,8,FALSE),BH99=1,VLOOKUP(BF99,Справочная_двигатели,10,TRUE)),IF(AND(Методика="нормы 2026",CN99="Сил"),0.8,0.95)),0.95))))</f>
        <v>0.95</v>
      </c>
      <c r="BN99" cm="1">
        <f t="array" ref="BN99">IF(D99="","",IF(BA99&lt;&gt;"",IFERROR(_xlfn.XLOOKUP(BA99,Щиты[Щит],Щиты[Iр, А]),""),IFERROR(_xlfn.IFS(BH99=1,BF99/((Uн_лин/SQRT(3))*BM99),BH99=3,BF99/(SQRT(3)*Uн_лин*BM99)),"")))</f>
        <v>0.47403495786095584</v>
      </c>
      <c r="BO99">
        <f>IF(D99="","",IF(N(X99)=0,IFERROR(VLOOKUP(BN99,Автомат_номиналы,2,TRUE),""),X99))</f>
        <v>10</v>
      </c>
      <c r="BP99">
        <f t="shared" si="97"/>
        <v>1</v>
      </c>
      <c r="BQ99">
        <f>IF(ISNUMBER(Y99),Y99,К_прокл)</f>
        <v>1</v>
      </c>
      <c r="BR99">
        <f t="shared" si="98"/>
        <v>2</v>
      </c>
      <c r="BS99" cm="1">
        <f t="array" ref="BS99">IF(D99="","",IF(N(BK99)&lt;&gt;0,BK99,IFERROR(_xlfn.LET(_xlpm.need,BO99/(BP99*BQ99),_xlpm.t,CHOOSE(BR99,Iдоп_1ж,Iдоп_2ж,Iдоп_3ж),_xlpm.k,_xlfn.XMATCH(_xlpm.need,_xlpm.t,1),IF(ISNA(_xlpm.k),"Не исп",INDEX(Iдоп_S,_xlpm.k))),"Не исп")))</f>
        <v>1.5</v>
      </c>
      <c r="BT99">
        <f>IFERROR(VLOOKUP(BS99,Кабель_сопротивление,3,FALSE),"")</f>
        <v>2.2499999999999999E-2</v>
      </c>
      <c r="BU99">
        <f>IFERROR(VLOOKUP(BS99,Кабель_сопротивление,2,FALSE),"")</f>
        <v>0.11</v>
      </c>
      <c r="BV99">
        <f t="shared" si="99"/>
        <v>31</v>
      </c>
      <c r="BW99">
        <f>IF(D99="","",IFERROR(IF(VLOOKUP(AT99,Потребители_обозначение,4,FALSE)=1,VLOOKUP(AT99,Потребители_обозначение,3,FALSE)*(H99*2-1)+BV99+VLOOKUP(AV99,Этаж_обозначение,3,FALSE)+VLOOKUP(AV99,Этаж_обозначение,4,FALSE),VLOOKUP(AT99,Потребители_обозначение,3,FALSE)*(H99*2-1)+BV99),BV99))</f>
        <v>33</v>
      </c>
      <c r="BX99">
        <f t="shared" si="100"/>
        <v>19</v>
      </c>
      <c r="BY99">
        <f t="shared" si="101"/>
        <v>0</v>
      </c>
      <c r="BZ99">
        <f t="shared" si="102"/>
        <v>2</v>
      </c>
      <c r="CA99">
        <f t="shared" si="103"/>
        <v>0.31</v>
      </c>
      <c r="CB99">
        <f t="shared" si="104"/>
        <v>0.4468967409443908</v>
      </c>
      <c r="CC99">
        <f>IFERROR(ROUNDUP(CB99/((Uн_лин/SQRT(3))*1000)*100,2),"")</f>
        <v>0.2</v>
      </c>
      <c r="CD99">
        <f>IF(ISNUMBER(CC99),CC99+IFERROR(_xlfn.XLOOKUP(A99,Щиты[Щит],Щиты[ΔU до шин, %]),0),"")</f>
        <v>0.8600000000000001</v>
      </c>
      <c r="CE99">
        <f>IF(D99="","",IF(IFERROR(VLOOKUP(AT99,УГО_спр,2,FALSE),"")="Светильник",3,4)+IF(Методика="нормы 2026",MIN(0.5,MAX(0,N(BW99)-100)*0.005),0))</f>
        <v>4</v>
      </c>
      <c r="CF99" t="str">
        <f>IFERROR(VLOOKUP(BI99,Кабель_обозначение,2,FALSE),"")</f>
        <v>ВВГнг(А)-LS</v>
      </c>
      <c r="CG99" t="str">
        <f>IFERROR(IF(VLOOKUP(BI99,Кабель_обозначение,3,FALSE)=1,CF99&amp;" ("&amp;BJ99&amp;"х"&amp;BS99&amp;")",CF99),"")</f>
        <v>ВВГнг(А)-LS (3х1,5)</v>
      </c>
      <c r="CH99" t="str">
        <f t="shared" si="105"/>
        <v>ВВГнг(А)-LS (3х1,5)
L=33-0,2%</v>
      </c>
      <c r="CI99">
        <f>IFERROR(2*ρкз_Cu*BW99/BS99,"")</f>
        <v>1.1572</v>
      </c>
      <c r="CJ99">
        <f t="shared" si="106"/>
        <v>0.38500000000000001</v>
      </c>
      <c r="CK99" t="str">
        <f>IFERROR(IF(OR(D99="",NOT(ISNUMBER(BS99)),N(BW99)=0),"",_xlfn.XLOOKUP(A99,Щиты[Щит],Щиты[Zпетли на шинах, Ом])+CI99),"")</f>
        <v/>
      </c>
      <c r="CL99" t="str">
        <f>IF(ISNUMBER(CK99),c_min*(Uн_лин*1000/SQRT(3))/CK99,"")</f>
        <v/>
      </c>
      <c r="CM99" t="str">
        <f>IFERROR(IF(OR(D99="",NOT(ISNUMBER(BS99))),"",1.05*(Uн_лин*1000/SQRT(3))/(_xlfn.XLOOKUP(A99,Щиты[Щит],Щиты[Zmax на шинах, Ом])+CJ99)/1000),"")</f>
        <v/>
      </c>
      <c r="CN99" t="str">
        <f>IF(D99="","",IF(BA99&lt;&gt;"","Щит",IF(K99&lt;&gt;"",K99,IF(ISNUMBER(L99),"Сил",IF(IFERROR(_xlfn.XLOOKUP(AT99,Коды_код,Коды_группа)&amp;"","")="","Быт",_xlfn.XLOOKUP(AT99,Коды_код,Коды_группа)&amp;"")))))</f>
        <v>Сил</v>
      </c>
      <c r="CO99">
        <f>IF(CN99="Щит","щит",IF(CN99="","",IF(CN99="Быт",IFERROR(_xlfn.XLOOKUP(A99,Щиты[Щит],Щиты[Кс быт]),1),IF(CN99="Сил",IF(ISNUMBER(L99),L99,IF(Методика="нормы 2026",IFERROR(_xlfn.XLOOKUP(A99,Щиты[Щит],Щиты[Кс силовых (табл. 7.5)]),1),1)),IF(OR(CN99="Пост",CN99="Отоп"),1,IF(CN99="ВНГ",0.7,0))))))</f>
        <v>0.5</v>
      </c>
      <c r="CP99">
        <f t="shared" si="107"/>
        <v>1</v>
      </c>
      <c r="CQ99">
        <f t="shared" si="108"/>
        <v>0.104</v>
      </c>
      <c r="CR99">
        <f t="shared" si="109"/>
        <v>0</v>
      </c>
      <c r="CS99">
        <f t="shared" si="110"/>
        <v>5.1999999999999998E-2</v>
      </c>
      <c r="CT99">
        <f t="shared" si="111"/>
        <v>0</v>
      </c>
      <c r="CU99">
        <f t="shared" si="112"/>
        <v>0</v>
      </c>
      <c r="CV99">
        <f t="shared" si="113"/>
        <v>0</v>
      </c>
      <c r="CW99">
        <f t="shared" si="114"/>
        <v>0.104</v>
      </c>
      <c r="CX99">
        <f t="shared" si="115"/>
        <v>9.8799999999999985E-2</v>
      </c>
      <c r="CY99">
        <f t="shared" si="116"/>
        <v>2</v>
      </c>
      <c r="CZ99" t="str">
        <f t="shared" si="117"/>
        <v>L2</v>
      </c>
      <c r="DA99" cm="1">
        <f t="array" ref="DA99">IFERROR(IF(BL99=2,_xlfn.IFS(BH99=3,VLOOKUP(BF99,Справочная_двигатели,3,FALSE),BH99=1,VLOOKUP(BF99,Справочная_двигатели,5,TRUE)),0),0)</f>
        <v>0</v>
      </c>
      <c r="DB99">
        <f>IFERROR(IF(BL99=3,VLOOKUP(BF99,Справочная_ЛЭД,2,TRUE),0),0)</f>
        <v>0</v>
      </c>
      <c r="DC99">
        <f t="shared" si="118"/>
        <v>0</v>
      </c>
      <c r="DD99" t="str">
        <f t="shared" si="119"/>
        <v>L1</v>
      </c>
      <c r="DE99" t="str" cm="1">
        <f t="array" ref="DE99">IF(D99="","",IFERROR(INDEX({"I особая","I","II","III"},MATCH(TRIM(AA99&amp;""),{"I особая","I","II","III"},0)),"III"))</f>
        <v>II</v>
      </c>
      <c r="DF99" t="str">
        <f>IF(D99="","",IF(TRIM(AB99&amp;"")&lt;&gt;"",IF(LOWER(TRIM(AB99&amp;""))="да","да","нет"),IF(IFERROR(_xlfn.XLOOKUP(AT99,Коды_код,Коды_пожарная),"")="да","да","нет")))</f>
        <v>нет</v>
      </c>
      <c r="DG99" t="str">
        <f t="shared" si="120"/>
        <v/>
      </c>
      <c r="DH99" t="str">
        <f t="shared" si="121"/>
        <v>основная</v>
      </c>
      <c r="DI99">
        <f t="shared" si="122"/>
        <v>1</v>
      </c>
      <c r="DJ99" t="str" cm="1">
        <f t="array" ref="DJ99">IF(D99="","",_xlfn.LET(_xlpm.t,IFERROR(_xlfn.XLOOKUP(1,(Шины[Шина]=DH99)*(((Шины[Щит]=A99)+(Шины[Щит]=""))&gt;0),Шины[Тип]),"")&amp;"",IF(_xlpm.t&lt;&gt;"",_xlpm.t,IF(ISNUMBER(SEARCH("ИБП",DH99)),"ИБП",IF(ISNUMBER(SEARCH("ДГУ",DH99)),"ДГУ","Ввод "&amp;DI99)))))</f>
        <v>Ввод 1</v>
      </c>
      <c r="DK99" t="str">
        <f t="shared" si="123"/>
        <v>Ввод 1</v>
      </c>
      <c r="DL99" t="str">
        <f>IF(D99="","",IF(OR(DJ99="ИБП",DJ99="ДГУ"),"I особая",IF(DJ99="Одиночная","III",_xlfn.XLOOKUP(A99,Щиты[Щит],Щиты[Категория шины «Ввод»],"III"))))</f>
        <v>II</v>
      </c>
      <c r="DM99">
        <f>IF(D99="",0,IFERROR(MATCH(DE99,{"III","II","I","I особая"},0),1))</f>
        <v>2</v>
      </c>
      <c r="DN99">
        <f t="shared" si="124"/>
        <v>2</v>
      </c>
      <c r="DO99" t="str">
        <f>IF(D99="","",IF(DM99&gt;IFERROR(MATCH(DL99,{"III","II","I","I особая"},0),1),"НЕ ОБЕСПЕЧЕНА","ОК"))</f>
        <v>ОК</v>
      </c>
      <c r="DP99" t="str">
        <f>IF(A99="","",_xlfn.XLOOKUP(A99,Щиты[Щит],Щиты[Путь],""))</f>
        <v>|ГРЩ-ЖД|ЩОВ-002|</v>
      </c>
      <c r="DQ99" t="str">
        <f>IF(D99="","",IF(Z99&lt;&gt;"",Z99,IF(IFERROR(_xlfn.XLOOKUP(AT99,Коды_код,Коды_вид)&amp;"","")="","Прочее",_xlfn.XLOOKUP(AT99,Коды_код,Коды_вид)&amp;"")))</f>
        <v>Кондиционирование и увлажнение</v>
      </c>
      <c r="DR99">
        <f>IF(BD99="","",INT((BD99-1)/Столбцов_на_лист)+1)</f>
        <v>2</v>
      </c>
      <c r="DS99" t="str">
        <f t="shared" si="125"/>
        <v>ВВГнг(А)-LS (3х1,5) L=33-0,2%</v>
      </c>
      <c r="DT99">
        <f t="shared" si="126"/>
        <v>0.104</v>
      </c>
      <c r="DU99">
        <f t="shared" si="127"/>
        <v>0.48</v>
      </c>
      <c r="DV99">
        <f t="shared" si="128"/>
        <v>1</v>
      </c>
      <c r="DW99">
        <f>IF(AT99="",0,_xlfn.LET(_xlpm.v,IFERROR(VLOOKUP(D99,УГО_спр,3,FALSE),IFERROR(VLOOKUP(AT99,УГО_спр,3,FALSE),IFERROR(VLOOKUP(LEFT(AT99,2),УГО_спр,3,FALSE),""))),IF(_xlpm.v="да",30,IF(ISNUMBER(_xlpm.v),_xlpm.v,0))))</f>
        <v>0</v>
      </c>
      <c r="DX99">
        <f t="shared" si="129"/>
        <v>0</v>
      </c>
      <c r="DY99">
        <f>IF(BD99="","",IF(AD99&lt;&gt;"",COUNTIFS(A$3:A99,A99,AD$3:AD99,"?*"),IF(OR(OR(AS99=1,A99&lt;&gt;A98),AL99="вручную"),"",IF(AS99=1,"",DZ98))))</f>
        <v>11</v>
      </c>
      <c r="DZ99">
        <f t="shared" si="130"/>
        <v>11</v>
      </c>
      <c r="EA99">
        <f>IF(D99="",0,MAX(IFERROR(--X99,0),IFERROR(--VLOOKUP(D99,УГО_спр,4,FALSE),IFERROR(--VLOOKUP(AT99,УГО_спр,4,FALSE),IFERROR(--VLOOKUP(LEFT(AT99,2),УГО_спр,4,FALSE),0)))))</f>
        <v>10</v>
      </c>
      <c r="EB99">
        <f>IF(D99="","",IFERROR(LOOKUP(INDEX(CHOOSE(BR99,Iдоп_1ж,Iдоп_2ж,Iдоп_3ж),MATCH(BS99,Iдоп_S,0))*BP99*BQ99,{6,10,16,20,25,32,40,50,63,80,100,125,160,200,250,315,400,500,630}),""))</f>
        <v>16</v>
      </c>
      <c r="EC99">
        <f>IF(AD99="","",SUMIFS(Линии[_Ток схемы],Линии[_гр.],DY99,Линии[Щит],A99,Линии[_в кабель выше],0))</f>
        <v>0.48</v>
      </c>
      <c r="ED99">
        <f>IF(AD99="","",IFERROR(VLOOKUP(EC99,Автомат_номиналы,2,TRUE),""))</f>
        <v>6</v>
      </c>
      <c r="EE99">
        <f>IF(AD99="","",MAX(N(ED99),_xlfn.MAXIFS(Линии[_мин. по типу],Линии[_гр.],DY99,Линии[Щит],A99)))</f>
        <v>10</v>
      </c>
      <c r="EF99">
        <f>IF(AD99="","",_xlfn.MINIFS(Линии[_макс. автомат по кабелю],Линии[_гр.],DY99,Линии[Щит],A99))</f>
        <v>16</v>
      </c>
      <c r="EG99">
        <f>IF(AD99="","",MAX(1,_xlfn.MAXIFS(Линии[_фаз],Линии[_гр.],DY99,Линии[Щит],A99)))</f>
        <v>1</v>
      </c>
      <c r="EH99">
        <f>IF(AD99="","",IF(AND(AD99&lt;&gt;"авто",AD99&lt;&gt;"+"),IF(ISNUMBER(SEARCH("мА",AD99)),IFERROR(--TRIM(RIGHT(SUBSTITUTE(LEFT(AD99,SEARCH("мА",AD99)-1)," ",REPT(" ",9)),6)),30),0),IF(AE99="нет",0,IF(ISNUMBER(AE99),AE99,IF(AE99="да",30,_xlfn.MINIFS(Линии[_дифзащита по коду, мА],Линии[_гр.],DY99,Линии[Щит],A99,Линии[_дифзащита по коду, мА],"&gt;0"))))))</f>
        <v>0</v>
      </c>
      <c r="EI99">
        <f t="shared" si="131"/>
        <v>0</v>
      </c>
      <c r="EJ99" t="str">
        <f t="shared" si="132"/>
        <v>QF11</v>
      </c>
      <c r="EK99" t="str">
        <f t="shared" si="133"/>
        <v>QF11</v>
      </c>
      <c r="EL99" t="str">
        <f t="shared" si="134"/>
        <v/>
      </c>
      <c r="EM99">
        <f t="shared" si="135"/>
        <v>0</v>
      </c>
      <c r="EN99">
        <f>IF(AD99="","",IF(EM99=1,MAX(EE99,Мин_автомат_БП),EE99))</f>
        <v>10</v>
      </c>
      <c r="EO99" t="str">
        <f t="shared" si="136"/>
        <v>1P</v>
      </c>
      <c r="EP99" t="str">
        <f t="shared" si="137"/>
        <v>1P С10А</v>
      </c>
      <c r="EQ99">
        <f t="shared" si="138"/>
        <v>10</v>
      </c>
      <c r="ER99" t="str">
        <f>IF(OR(AI99="",AI99="-"),"",IFERROR(VLOOKUP(AI99,Модули_спр,2,FALSE),"R"))</f>
        <v/>
      </c>
      <c r="ES99" t="str">
        <f>IF(ER99="","",ER99&amp;"."&amp;COUNTIFS(A$3:A99,A99,ER$3:ER99,ER99))</f>
        <v/>
      </c>
      <c r="ET99" t="str">
        <f t="shared" si="139"/>
        <v/>
      </c>
      <c r="EU99" t="str">
        <f t="shared" si="140"/>
        <v/>
      </c>
      <c r="EV99" t="str">
        <f t="shared" si="141"/>
        <v/>
      </c>
      <c r="EW99" t="str">
        <f t="shared" si="142"/>
        <v/>
      </c>
      <c r="EX99">
        <f t="shared" si="143"/>
        <v>1</v>
      </c>
      <c r="EY99" t="str">
        <f>IF(AK99="нет","",IF(AK99&lt;&gt;"",AK99,IF(EX99=1,"XT"&amp;COUNTIFS(A$3:A99,A99,EX$3:EX99,1),"")))</f>
        <v/>
      </c>
      <c r="EZ99" t="str">
        <f t="shared" si="144"/>
        <v>QF11</v>
      </c>
      <c r="FA99" t="str">
        <f t="shared" si="145"/>
        <v/>
      </c>
      <c r="FB99" t="str">
        <f t="shared" si="146"/>
        <v>ok</v>
      </c>
      <c r="FC99" t="str">
        <f>IF(OR(EV99="",ET99=""),"",IF(EV99&gt;IFERROR(VLOOKUP(EU99,Модули_спр,3,FALSE),99),"ЛИШНИЙ КАНАЛ",IF(AND(AJ99&lt;&gt;"=",COUNTIFS(Линии[_модуль гр.],ET99,Линии[Канал (итог)],EV99,Линии[Канал],"&lt;&gt;=",Линии[Щит],A99)&gt;1),"ДУБЛЬ КАНАЛА","")))</f>
        <v/>
      </c>
      <c r="FD99">
        <f t="shared" si="147"/>
        <v>10</v>
      </c>
      <c r="FE99" t="str">
        <f t="shared" si="148"/>
        <v>1P С10А</v>
      </c>
      <c r="FF99">
        <f t="shared" si="149"/>
        <v>0</v>
      </c>
      <c r="FG99">
        <f t="shared" si="150"/>
        <v>0</v>
      </c>
      <c r="FH99" t="str">
        <f t="shared" si="151"/>
        <v/>
      </c>
      <c r="FI99">
        <f t="shared" si="152"/>
        <v>10</v>
      </c>
      <c r="FJ99" t="str">
        <f t="shared" si="153"/>
        <v/>
      </c>
      <c r="FK99" t="str">
        <f>IF(AND(D99="",EZ99=""),"",_xlfn.TEXTJOIN("; ",TRUE,IF(AND(D99&lt;&gt;"",DD99=""),"нет фазы",""),IF(AND(D99&lt;&gt;"",N(DT99)=0,CN99&lt;&gt;"Нет"),"нет мощности",""),IF(AND(EY99&lt;&gt;"",COUNTIFS(Линии[Щит],A99,Линии[Клемма (итог)],EY99)&gt;1),"дубль клеммы "&amp;EY99,""),IF(AND(FB99&lt;&gt;"",FB99&lt;&gt;"ok"),FB99,""),IF(FC99&lt;&gt;"",FC99,""),IF(AND(ISNUMBER(SEARCH("(5х",DS99)),N(DV99)=1),"5 жил на 1 фазе",""),IF(AND(AT99="R",AD99&lt;&gt;"",OR(N(EH99)=0,N(EH99)&gt;30)),"розетка без дифзащиты до 30 мА",""),IFERROR(IF(AND(ISNUMBER(CD99),CD99&gt;CE99),"потери "&amp;FIXED(CD99,1)&amp;" % &gt; "&amp;CE99&amp;" %",""),""),IFERROR(IF(LEFT(FJ99,4)="мало","Iкз мало — отключение &gt; 0,4 с",""),""),IF(AND(D99&lt;&gt;"",BD99=""),"не на схеме","")))</f>
        <v/>
      </c>
      <c r="FL99">
        <f>IF(AD99="","",_xlfn.LET(_xlpm.t,IFERROR(_xlfn.XLOOKUP(EP99,Каталог!$U$4:$U$500,Каталог!$G$4:$G$500),""),_xlpm.k,SEARCH("кА",_xlpm.t),IFERROR(--TRIM(RIGHT(SUBSTITUTE(MID(_xlpm.t,MAX(1,_xlpm.k-4),_xlpm.k-MAX(1,_xlpm.k-4))," ",REPT(" ",9)),5)),"")))</f>
        <v>6</v>
      </c>
      <c r="FM99" t="str">
        <f>IF(OR(FL99="",AD99=""),"",IF(_xlfn.XLOOKUP(A99,Щиты[Щит],Щиты[Iкз max на шинах, кА],"")="","",IF(FL99&lt;_xlfn.XLOOKUP(A99,Щиты[Щит],Щиты[Iкз max на шинах, кА]),"Icu "&amp;FL99&amp;" кА &lt; Iкз max","ok")))</f>
        <v/>
      </c>
      <c r="FN99" t="str">
        <f t="shared" si="154"/>
        <v>QF11</v>
      </c>
      <c r="FO99" t="str">
        <f t="shared" si="155"/>
        <v>QF11|кабель ВВГнг(А)-LS (3х1,5) → Внутренний блок кондиционирования Подвальный этаж Пом. №002Б</v>
      </c>
      <c r="FP99" t="str" cm="1">
        <f t="array" ref="FP99">IF(FO99="","",_xlfn.LET(_xlpm.nd,_xlfn.TEXTSPLIT(FO99,"|"),IF(COLUMNS(_xlpm.nd)&gt;1,A99&amp;"¦"&amp;INDEX(_xlpm.nd,1)&amp;"¦"&amp;INDEX(_xlpm.nd,2),"")))</f>
        <v>ЩОВ-002¦QF11¦кабель ВВГнг(А)-LS (3х1,5) → Внутренний блок кондиционирования Подвальный этаж Пом. №002Б</v>
      </c>
      <c r="FQ99" t="str">
        <f t="shared" si="156"/>
        <v>K.00.007A¦Внутренний блок кондиционирования Подвальный этаж Пом. №002Б</v>
      </c>
      <c r="FR99" t="str" cm="1">
        <f t="array" ref="FR99">IF(FO99="","",_xlfn.LET(_xlpm.nd,_xlfn.TEXTSPLIT(FO99,"|"),IF(COLUMNS(_xlpm.nd)&gt;2,A99&amp;"¦"&amp;INDEX(_xlpm.nd,2)&amp;"¦"&amp;INDEX(_xlpm.nd,3),"")))</f>
        <v/>
      </c>
      <c r="FS99" t="str">
        <f t="shared" si="157"/>
        <v/>
      </c>
      <c r="FT99" t="str" cm="1">
        <f t="array" ref="FT99">IF(FO99="","",_xlfn.LET(_xlpm.nd,_xlfn.TEXTSPLIT(FO99,"|"),IF(COLUMNS(_xlpm.nd)&gt;3,A99&amp;"¦"&amp;INDEX(_xlpm.nd,3)&amp;"¦"&amp;INDEX(_xlpm.nd,4),"")))</f>
        <v/>
      </c>
      <c r="FU99" t="str">
        <f t="shared" si="158"/>
        <v/>
      </c>
      <c r="FV99" t="str" cm="1">
        <f t="array" ref="FV99">IF(FO99="","",_xlfn.LET(_xlpm.nd,_xlfn.TEXTSPLIT(FO99,"|"),IF(COLUMNS(_xlpm.nd)&gt;4,A99&amp;"¦"&amp;INDEX(_xlpm.nd,4)&amp;"¦"&amp;INDEX(_xlpm.nd,5),"")))</f>
        <v/>
      </c>
      <c r="FW99" t="str">
        <f t="shared" si="159"/>
        <v/>
      </c>
      <c r="FX99" t="str" cm="1">
        <f t="array" ref="FX99">IF(FO99="","",_xlfn.LET(_xlpm.nd,_xlfn.TEXTSPLIT(FO99,"|"),IF(COLUMNS(_xlpm.nd)&gt;5,A99&amp;"¦"&amp;INDEX(_xlpm.nd,5)&amp;"¦"&amp;INDEX(_xlpm.nd,6),"")))</f>
        <v/>
      </c>
      <c r="FY99" t="str">
        <f t="shared" si="160"/>
        <v/>
      </c>
      <c r="FZ99" t="str" cm="1">
        <f t="array" ref="FZ99">IF(FO99="","",_xlfn.LET(_xlpm.nd,_xlfn.TEXTSPLIT(FO99,"|"),IF(COLUMNS(_xlpm.nd)&gt;6,A99&amp;"¦"&amp;INDEX(_xlpm.nd,6)&amp;"¦"&amp;INDEX(_xlpm.nd,7),"")))</f>
        <v/>
      </c>
      <c r="GA99" t="str">
        <f t="shared" si="161"/>
        <v/>
      </c>
      <c r="GB99" t="str">
        <f t="shared" si="162"/>
        <v/>
      </c>
      <c r="GC99" t="str">
        <f t="shared" si="163"/>
        <v>QF11</v>
      </c>
      <c r="GD99">
        <f t="shared" si="164"/>
        <v>1</v>
      </c>
      <c r="GE99">
        <f t="shared" si="165"/>
        <v>0</v>
      </c>
      <c r="GF99">
        <f t="shared" si="166"/>
        <v>0</v>
      </c>
      <c r="GG99" t="str">
        <f t="shared" si="167"/>
        <v/>
      </c>
      <c r="GH99" t="str">
        <f t="shared" si="168"/>
        <v/>
      </c>
      <c r="GI99" t="str">
        <f t="shared" si="169"/>
        <v/>
      </c>
      <c r="GJ99" t="str">
        <f t="shared" si="170"/>
        <v/>
      </c>
      <c r="GK99">
        <f>IF(D99="","",IFERROR(VLOOKUP(D99,УГО_спр,2,FALSE),IFERROR(VLOOKUP(AT99,УГО_спр,2,FALSE),IFERROR(VLOOKUP(LEFT(AT99,2),УГО_спр,2,FALSE),""))))</f>
        <v>0</v>
      </c>
      <c r="GL99" t="str">
        <f>IF(D99="","",IF(OR(GK99="",GK99=0),"BOX",IFERROR(IF(VLOOKUP(GK99,УГО_блоки,3,FALSE)&amp;""&lt;&gt;"",VLOOKUP(GK99,УГО_блоки,3,FALSE),VLOOKUP(GK99,УГО_блоки,2,FALSE)),GK99)))</f>
        <v>BOX</v>
      </c>
      <c r="GM99">
        <f t="shared" si="171"/>
        <v>1</v>
      </c>
      <c r="GN99" t="str">
        <f>IF(EP99="","",IF(COUNTIF(EP$3:EP99,EP99)=1,MAX(GN$2:GN98)+1,""))</f>
        <v/>
      </c>
      <c r="GO99" t="str">
        <f>IF(AF99="","",IF(COUNTIF(AF$3:AF99,AF99)+COUNTIF(AG$2:AG98,AF99)+COUNTIF(AH$2:AH98,AF99)=1,MAX(GO$2:GQ98)+1,""))</f>
        <v/>
      </c>
      <c r="GP99" t="str">
        <f>IF(AG99="","",IF(COUNTIF(AF$3:AF99,AG99)+COUNTIF(AG$3:AG99,AG99)+COUNTIF(AH$2:AH98,AG99)=1,MAX(GO$2:GQ98,GO99)+1,""))</f>
        <v/>
      </c>
      <c r="GQ99" t="str">
        <f>IF(AH99="","",IF(COUNTIF(AF$3:AF99,AH99)+COUNTIF(AG$3:AG99,AH99)+COUNTIF(AH$3:AH99,AH99)=1,MAX(GO$2:GQ98,GO99,GP99)+1,""))</f>
        <v/>
      </c>
      <c r="GR99" t="str">
        <f t="shared" si="172"/>
        <v>3х1,5</v>
      </c>
      <c r="GS99" t="str">
        <f>IF(GR99="","",IF(COUNTIF(GR$3:GR99,GR99)=1,MAX(GS$2:GS98)+1,""))</f>
        <v/>
      </c>
      <c r="GT99" t="str">
        <f>IF(ES99="","",COUNTIF(ES$3:ES99,"?*"))</f>
        <v/>
      </c>
      <c r="GU99" t="str">
        <f>IF(OR(ES99="",EU99=""),"",IF(COUNTIFS(ES$3:ES99,"?*",EU$3:EU99,EU99)=1,MAX(GU$2:GU98)+1,""))</f>
        <v/>
      </c>
      <c r="GV99">
        <f t="shared" si="173"/>
        <v>0</v>
      </c>
      <c r="GW99">
        <f>IF(D99="","",COUNTIF(D$3:D99,"?*"))</f>
        <v>97</v>
      </c>
      <c r="GX99">
        <f>IF(EX99&lt;&gt;1,0,_xlfn.LET(_xlpm.k,MAX(IFERROR(--VLOOKUP(D99,УГО_спр,5,FALSE),0),IFERROR(--VLOOKUP(AT99,УГО_спр,5,FALSE),0),IFERROR(--VLOOKUP(LEFT(AT99,2),УГО_спр,5,FALSE),0)),IF(_xlpm.k&gt;0,_xlpm.k,IF(IFERROR(--LEFT(SUBSTITUTE(GR99,"x","х"),FIND("х",SUBSTITUTE(GR99,"x","х"))-1),3)&gt;3,Каталог!$S$9,1))))</f>
        <v>1</v>
      </c>
      <c r="GY99">
        <f t="shared" si="174"/>
        <v>0</v>
      </c>
    </row>
    <row r="100" spans="1:207" x14ac:dyDescent="0.3">
      <c r="A100" t="s">
        <v>754</v>
      </c>
      <c r="B100">
        <v>30</v>
      </c>
      <c r="C100" t="str">
        <f>IF(BD100="","",IF(BE100="вводной узел","узел ","")&amp;"л."&amp;(INT((BD100-1)/Столбцов_на_лист)+1)&amp;" / "&amp;(MOD(BD100-1,Столбцов_на_лист)+1))</f>
        <v>л.2 / 13</v>
      </c>
      <c r="D100" t="s">
        <v>1383</v>
      </c>
      <c r="E100" s="133" t="s">
        <v>1384</v>
      </c>
      <c r="G100">
        <v>0.104</v>
      </c>
      <c r="H100">
        <v>1</v>
      </c>
      <c r="I100">
        <v>1</v>
      </c>
      <c r="J100">
        <v>230</v>
      </c>
      <c r="K100" t="s">
        <v>602</v>
      </c>
      <c r="L100">
        <v>0.5</v>
      </c>
      <c r="O100">
        <v>1</v>
      </c>
      <c r="P100">
        <v>26</v>
      </c>
      <c r="Q100">
        <v>6</v>
      </c>
      <c r="R100">
        <v>22</v>
      </c>
      <c r="T100">
        <v>1</v>
      </c>
      <c r="U100" t="s">
        <v>11</v>
      </c>
      <c r="V100">
        <v>3</v>
      </c>
      <c r="W100">
        <v>1.5</v>
      </c>
      <c r="X100">
        <v>10</v>
      </c>
      <c r="Z100" t="s">
        <v>580</v>
      </c>
      <c r="AA100" t="s">
        <v>818</v>
      </c>
      <c r="AD100" t="s">
        <v>517</v>
      </c>
      <c r="AK100" t="s">
        <v>488</v>
      </c>
      <c r="AR100" t="str">
        <f t="shared" si="88"/>
        <v/>
      </c>
      <c r="AS100" cm="1">
        <f t="array" ref="AS100">ROW()-ROW(Линии[#Headers])</f>
        <v>98</v>
      </c>
      <c r="AT100" t="str">
        <f t="shared" si="89"/>
        <v>K</v>
      </c>
      <c r="AU100" t="str">
        <f t="shared" si="90"/>
        <v>00.007T.1</v>
      </c>
      <c r="AV100" t="str">
        <f t="shared" si="91"/>
        <v>00</v>
      </c>
      <c r="AW100" t="str">
        <f t="shared" si="92"/>
        <v>007T.1</v>
      </c>
      <c r="AX100" t="str">
        <f t="shared" si="93"/>
        <v>007T</v>
      </c>
      <c r="AY100" t="str">
        <f>IF(D100="","",IF(ISERROR(SEARCH(".",D100)),IFERROR(VLOOKUP(D100,Потребители_обозначение,2,FALSE)&amp;"",""),IFERROR(IF(VLOOKUP(AT100,Потребители_обозначение,4,FALSE)=1,VLOOKUP(AT100,Потребители_обозначение,2,FALSE)&amp;" "&amp;VLOOKUP(AV100,Этаж_обозначение,2,FALSE)&amp;" Пом. №"&amp;AX100,VLOOKUP(AT100,Потребители_обозначение,2,FALSE)&amp;" Шлейф №"&amp;AV100),IFERROR(VLOOKUP(D100,Потребители_обозначение,2,FALSE),""))))</f>
        <v>Внутренний блок кондиционирования Подвальный этаж Пом. №007T</v>
      </c>
      <c r="AZ100" t="str">
        <f t="shared" si="94"/>
        <v>Внутренний блок кондиционирования Подвальный этаж Пом. №007Т</v>
      </c>
      <c r="BA100" t="str">
        <f>IF(F100&lt;&gt;"",F100,IF(AND(D100&lt;&gt;"",D100&lt;&gt;A100,ISNUMBER(_xlfn.XMATCH(D100,Щиты[Щит]))),D100,""))</f>
        <v/>
      </c>
      <c r="BB100">
        <f>IFERROR(_xlfn.XMATCH(A100,Щиты[Щит]),0)</f>
        <v>5</v>
      </c>
      <c r="BC100">
        <f>IFERROR(N(_xlfn.XLOOKUP(A100,Щиты[Щит],Щиты[Мест под вводной узел])),15)</f>
        <v>18</v>
      </c>
      <c r="BD100">
        <f t="shared" si="95"/>
        <v>30</v>
      </c>
      <c r="BE100" t="str">
        <f t="shared" si="96"/>
        <v>линии</v>
      </c>
      <c r="BF100">
        <f>IF(D100="","",IF(BA100&lt;&gt;"",IFERROR(_xlfn.XLOOKUP(BA100,Щиты[Щит],Щиты[Руст, кВт]),0),N(G100)))</f>
        <v>0.104</v>
      </c>
      <c r="BG100">
        <f>IF(J100&lt;&gt;"",J100,IF(D100="","",IFERROR(IF(VLOOKUP(AT100,Потребители_обозначение,8,FALSE)=0,"",VLOOKUP(AT100,Потребители_обозначение,8,FALSE)),"")))</f>
        <v>230</v>
      </c>
      <c r="BH100">
        <f>IF(I100&lt;&gt;"",I100,IF(D100="","",IFERROR(IF(VLOOKUP(AT100,Потребители_обозначение,9,FALSE)=0,"",VLOOKUP(AT100,Потребители_обозначение,9,FALSE)),"")))</f>
        <v>1</v>
      </c>
      <c r="BI100" t="str">
        <f>IF(U100&lt;&gt;"",U100,IF(D100="","",IFERROR(IF(VLOOKUP(AT100,Потребители_обозначение,6,FALSE)=0,"",VLOOKUP(AT100,Потребители_обозначение,6,FALSE)),"")))</f>
        <v>мс</v>
      </c>
      <c r="BJ100">
        <f>IF(V100&lt;&gt;"",V100,IF(D100="","",IFERROR(IF(VLOOKUP(AT100,Потребители_обозначение,7,FALSE)=0,"",VLOOKUP(AT100,Потребители_обозначение,7,FALSE)),"")))</f>
        <v>3</v>
      </c>
      <c r="BK100">
        <f>IF(W100&lt;&gt;"",W100,IF(D100="","",IFERROR(IF(VLOOKUP(AT100,Потребители_обозначение,10,FALSE)=0,"",VLOOKUP(AT100,Потребители_обозначение,10,FALSE)),"")))</f>
        <v>1.5</v>
      </c>
      <c r="BL100">
        <f>IFERROR(VLOOKUP(AT100,Потребители_обозначение,5,FALSE),0)</f>
        <v>1</v>
      </c>
      <c r="BM100" cm="1">
        <f t="array" ref="BM100">IF(D100="","",IF(BA100&lt;&gt;"",IFERROR(_xlfn.XLOOKUP(BA100,Щиты[Щит],Щиты[cos φ]),0.95),IF(ISNUMBER(M100),M100,IFERROR(IF(BL100=2,_xlfn.IFS(BH100=3,VLOOKUP(BF100,Справочная_двигатели,8,FALSE),BH100=1,VLOOKUP(BF100,Справочная_двигатели,10,TRUE)),IF(AND(Методика="нормы 2026",CN100="Сил"),0.8,0.95)),0.95))))</f>
        <v>0.95</v>
      </c>
      <c r="BN100" cm="1">
        <f t="array" ref="BN100">IF(D100="","",IF(BA100&lt;&gt;"",IFERROR(_xlfn.XLOOKUP(BA100,Щиты[Щит],Щиты[Iр, А]),""),IFERROR(_xlfn.IFS(BH100=1,BF100/((Uн_лин/SQRT(3))*BM100),BH100=3,BF100/(SQRT(3)*Uн_лин*BM100)),"")))</f>
        <v>0.47403495786095584</v>
      </c>
      <c r="BO100">
        <f>IF(D100="","",IF(N(X100)=0,IFERROR(VLOOKUP(BN100,Автомат_номиналы,2,TRUE),""),X100))</f>
        <v>10</v>
      </c>
      <c r="BP100">
        <f t="shared" si="97"/>
        <v>1</v>
      </c>
      <c r="BQ100">
        <f>IF(ISNUMBER(Y100),Y100,К_прокл)</f>
        <v>1</v>
      </c>
      <c r="BR100">
        <f t="shared" si="98"/>
        <v>2</v>
      </c>
      <c r="BS100" cm="1">
        <f t="array" ref="BS100">IF(D100="","",IF(N(BK100)&lt;&gt;0,BK100,IFERROR(_xlfn.LET(_xlpm.need,BO100/(BP100*BQ100),_xlpm.t,CHOOSE(BR100,Iдоп_1ж,Iдоп_2ж,Iдоп_3ж),_xlpm.k,_xlfn.XMATCH(_xlpm.need,_xlpm.t,1),IF(ISNA(_xlpm.k),"Не исп",INDEX(Iдоп_S,_xlpm.k))),"Не исп")))</f>
        <v>1.5</v>
      </c>
      <c r="BT100">
        <f>IFERROR(VLOOKUP(BS100,Кабель_сопротивление,3,FALSE),"")</f>
        <v>2.2499999999999999E-2</v>
      </c>
      <c r="BU100">
        <f>IFERROR(VLOOKUP(BS100,Кабель_сопротивление,2,FALSE),"")</f>
        <v>0.11</v>
      </c>
      <c r="BV100">
        <f t="shared" si="99"/>
        <v>26</v>
      </c>
      <c r="BW100">
        <f>IF(D100="","",IFERROR(IF(VLOOKUP(AT100,Потребители_обозначение,4,FALSE)=1,VLOOKUP(AT100,Потребители_обозначение,3,FALSE)*(H100*2-1)+BV100+VLOOKUP(AV100,Этаж_обозначение,3,FALSE)+VLOOKUP(AV100,Этаж_обозначение,4,FALSE),VLOOKUP(AT100,Потребители_обозначение,3,FALSE)*(H100*2-1)+BV100),BV100))</f>
        <v>28</v>
      </c>
      <c r="BX100">
        <f t="shared" si="100"/>
        <v>22</v>
      </c>
      <c r="BY100">
        <f t="shared" si="101"/>
        <v>0</v>
      </c>
      <c r="BZ100">
        <f t="shared" si="102"/>
        <v>2</v>
      </c>
      <c r="CA100">
        <f t="shared" si="103"/>
        <v>0.31</v>
      </c>
      <c r="CB100">
        <f t="shared" si="104"/>
        <v>0.37918511352857398</v>
      </c>
      <c r="CC100">
        <f>IFERROR(ROUNDUP(CB100/((Uн_лин/SQRT(3))*1000)*100,2),"")</f>
        <v>0.17</v>
      </c>
      <c r="CD100">
        <f>IF(ISNUMBER(CC100),CC100+IFERROR(_xlfn.XLOOKUP(A100,Щиты[Щит],Щиты[ΔU до шин, %]),0),"")</f>
        <v>0.83000000000000007</v>
      </c>
      <c r="CE100">
        <f>IF(D100="","",IF(IFERROR(VLOOKUP(AT100,УГО_спр,2,FALSE),"")="Светильник",3,4)+IF(Методика="нормы 2026",MIN(0.5,MAX(0,N(BW100)-100)*0.005),0))</f>
        <v>4</v>
      </c>
      <c r="CF100" t="str">
        <f>IFERROR(VLOOKUP(BI100,Кабель_обозначение,2,FALSE),"")</f>
        <v>ВВГнг(А)-LS</v>
      </c>
      <c r="CG100" t="str">
        <f>IFERROR(IF(VLOOKUP(BI100,Кабель_обозначение,3,FALSE)=1,CF100&amp;" ("&amp;BJ100&amp;"х"&amp;BS100&amp;")",CF100),"")</f>
        <v>ВВГнг(А)-LS (3х1,5)</v>
      </c>
      <c r="CH100" t="str">
        <f t="shared" si="105"/>
        <v>ВВГнг(А)-LS (3х1,5)
L=28-0,17%</v>
      </c>
      <c r="CI100">
        <f>IFERROR(2*ρкз_Cu*BW100/BS100,"")</f>
        <v>0.98186666666666678</v>
      </c>
      <c r="CJ100">
        <f t="shared" si="106"/>
        <v>0.32666666666666672</v>
      </c>
      <c r="CK100" t="str">
        <f>IFERROR(IF(OR(D100="",NOT(ISNUMBER(BS100)),N(BW100)=0),"",_xlfn.XLOOKUP(A100,Щиты[Щит],Щиты[Zпетли на шинах, Ом])+CI100),"")</f>
        <v/>
      </c>
      <c r="CL100" t="str">
        <f>IF(ISNUMBER(CK100),c_min*(Uн_лин*1000/SQRT(3))/CK100,"")</f>
        <v/>
      </c>
      <c r="CM100" t="str">
        <f>IFERROR(IF(OR(D100="",NOT(ISNUMBER(BS100))),"",1.05*(Uн_лин*1000/SQRT(3))/(_xlfn.XLOOKUP(A100,Щиты[Щит],Щиты[Zmax на шинах, Ом])+CJ100)/1000),"")</f>
        <v/>
      </c>
      <c r="CN100" t="str">
        <f>IF(D100="","",IF(BA100&lt;&gt;"","Щит",IF(K100&lt;&gt;"",K100,IF(ISNUMBER(L100),"Сил",IF(IFERROR(_xlfn.XLOOKUP(AT100,Коды_код,Коды_группа)&amp;"","")="","Быт",_xlfn.XLOOKUP(AT100,Коды_код,Коды_группа)&amp;"")))))</f>
        <v>Сил</v>
      </c>
      <c r="CO100">
        <f>IF(CN100="Щит","щит",IF(CN100="","",IF(CN100="Быт",IFERROR(_xlfn.XLOOKUP(A100,Щиты[Щит],Щиты[Кс быт]),1),IF(CN100="Сил",IF(ISNUMBER(L100),L100,IF(Методика="нормы 2026",IFERROR(_xlfn.XLOOKUP(A100,Щиты[Щит],Щиты[Кс силовых (табл. 7.5)]),1),1)),IF(OR(CN100="Пост",CN100="Отоп"),1,IF(CN100="ВНГ",0.7,0))))))</f>
        <v>0.5</v>
      </c>
      <c r="CP100">
        <f t="shared" si="107"/>
        <v>1</v>
      </c>
      <c r="CQ100">
        <f t="shared" si="108"/>
        <v>0.104</v>
      </c>
      <c r="CR100">
        <f t="shared" si="109"/>
        <v>0</v>
      </c>
      <c r="CS100">
        <f t="shared" si="110"/>
        <v>5.1999999999999998E-2</v>
      </c>
      <c r="CT100">
        <f t="shared" si="111"/>
        <v>0</v>
      </c>
      <c r="CU100">
        <f t="shared" si="112"/>
        <v>0</v>
      </c>
      <c r="CV100">
        <f t="shared" si="113"/>
        <v>0</v>
      </c>
      <c r="CW100">
        <f t="shared" si="114"/>
        <v>0.104</v>
      </c>
      <c r="CX100">
        <f t="shared" si="115"/>
        <v>9.8799999999999985E-2</v>
      </c>
      <c r="CY100">
        <f t="shared" si="116"/>
        <v>3</v>
      </c>
      <c r="CZ100" t="str">
        <f t="shared" si="117"/>
        <v>L3</v>
      </c>
      <c r="DA100" cm="1">
        <f t="array" ref="DA100">IFERROR(IF(BL100=2,_xlfn.IFS(BH100=3,VLOOKUP(BF100,Справочная_двигатели,3,FALSE),BH100=1,VLOOKUP(BF100,Справочная_двигатели,5,TRUE)),0),0)</f>
        <v>0</v>
      </c>
      <c r="DB100">
        <f>IFERROR(IF(BL100=3,VLOOKUP(BF100,Справочная_ЛЭД,2,TRUE),0),0)</f>
        <v>0</v>
      </c>
      <c r="DC100">
        <f t="shared" si="118"/>
        <v>0</v>
      </c>
      <c r="DD100" t="str">
        <f t="shared" si="119"/>
        <v>L1</v>
      </c>
      <c r="DE100" t="str" cm="1">
        <f t="array" ref="DE100">IF(D100="","",IFERROR(INDEX({"I особая","I","II","III"},MATCH(TRIM(AA100&amp;""),{"I особая","I","II","III"},0)),"III"))</f>
        <v>II</v>
      </c>
      <c r="DF100" t="str">
        <f>IF(D100="","",IF(TRIM(AB100&amp;"")&lt;&gt;"",IF(LOWER(TRIM(AB100&amp;""))="да","да","нет"),IF(IFERROR(_xlfn.XLOOKUP(AT100,Коды_код,Коды_пожарная),"")="да","да","нет")))</f>
        <v>нет</v>
      </c>
      <c r="DG100" t="str">
        <f t="shared" si="120"/>
        <v/>
      </c>
      <c r="DH100" t="str">
        <f t="shared" si="121"/>
        <v>основная</v>
      </c>
      <c r="DI100">
        <f t="shared" si="122"/>
        <v>1</v>
      </c>
      <c r="DJ100" t="str" cm="1">
        <f t="array" ref="DJ100">IF(D100="","",_xlfn.LET(_xlpm.t,IFERROR(_xlfn.XLOOKUP(1,(Шины[Шина]=DH100)*(((Шины[Щит]=A100)+(Шины[Щит]=""))&gt;0),Шины[Тип]),"")&amp;"",IF(_xlpm.t&lt;&gt;"",_xlpm.t,IF(ISNUMBER(SEARCH("ИБП",DH100)),"ИБП",IF(ISNUMBER(SEARCH("ДГУ",DH100)),"ДГУ","Ввод "&amp;DI100)))))</f>
        <v>Ввод 1</v>
      </c>
      <c r="DK100" t="str">
        <f t="shared" si="123"/>
        <v>Ввод 1</v>
      </c>
      <c r="DL100" t="str">
        <f>IF(D100="","",IF(OR(DJ100="ИБП",DJ100="ДГУ"),"I особая",IF(DJ100="Одиночная","III",_xlfn.XLOOKUP(A100,Щиты[Щит],Щиты[Категория шины «Ввод»],"III"))))</f>
        <v>II</v>
      </c>
      <c r="DM100">
        <f>IF(D100="",0,IFERROR(MATCH(DE100,{"III","II","I","I особая"},0),1))</f>
        <v>2</v>
      </c>
      <c r="DN100">
        <f t="shared" si="124"/>
        <v>2</v>
      </c>
      <c r="DO100" t="str">
        <f>IF(D100="","",IF(DM100&gt;IFERROR(MATCH(DL100,{"III","II","I","I особая"},0),1),"НЕ ОБЕСПЕЧЕНА","ОК"))</f>
        <v>ОК</v>
      </c>
      <c r="DP100" t="str">
        <f>IF(A100="","",_xlfn.XLOOKUP(A100,Щиты[Щит],Щиты[Путь],""))</f>
        <v>|ГРЩ-ЖД|ЩОВ-002|</v>
      </c>
      <c r="DQ100" t="str">
        <f>IF(D100="","",IF(Z100&lt;&gt;"",Z100,IF(IFERROR(_xlfn.XLOOKUP(AT100,Коды_код,Коды_вид)&amp;"","")="","Прочее",_xlfn.XLOOKUP(AT100,Коды_код,Коды_вид)&amp;"")))</f>
        <v>Кондиционирование и увлажнение</v>
      </c>
      <c r="DR100">
        <f>IF(BD100="","",INT((BD100-1)/Столбцов_на_лист)+1)</f>
        <v>2</v>
      </c>
      <c r="DS100" t="str">
        <f t="shared" si="125"/>
        <v>ВВГнг(А)-LS (3х1,5) L=28-0,17%</v>
      </c>
      <c r="DT100">
        <f t="shared" si="126"/>
        <v>0.104</v>
      </c>
      <c r="DU100">
        <f t="shared" si="127"/>
        <v>0.48</v>
      </c>
      <c r="DV100">
        <f t="shared" si="128"/>
        <v>1</v>
      </c>
      <c r="DW100">
        <f>IF(AT100="",0,_xlfn.LET(_xlpm.v,IFERROR(VLOOKUP(D100,УГО_спр,3,FALSE),IFERROR(VLOOKUP(AT100,УГО_спр,3,FALSE),IFERROR(VLOOKUP(LEFT(AT100,2),УГО_спр,3,FALSE),""))),IF(_xlpm.v="да",30,IF(ISNUMBER(_xlpm.v),_xlpm.v,0))))</f>
        <v>0</v>
      </c>
      <c r="DX100">
        <f t="shared" si="129"/>
        <v>0</v>
      </c>
      <c r="DY100">
        <f>IF(BD100="","",IF(AD100&lt;&gt;"",COUNTIFS(A$3:A100,A100,AD$3:AD100,"?*"),IF(OR(OR(AS100=1,A100&lt;&gt;A99),AL100="вручную"),"",IF(AS100=1,"",DZ99))))</f>
        <v>12</v>
      </c>
      <c r="DZ100">
        <f t="shared" si="130"/>
        <v>12</v>
      </c>
      <c r="EA100">
        <f>IF(D100="",0,MAX(IFERROR(--X100,0),IFERROR(--VLOOKUP(D100,УГО_спр,4,FALSE),IFERROR(--VLOOKUP(AT100,УГО_спр,4,FALSE),IFERROR(--VLOOKUP(LEFT(AT100,2),УГО_спр,4,FALSE),0)))))</f>
        <v>10</v>
      </c>
      <c r="EB100">
        <f>IF(D100="","",IFERROR(LOOKUP(INDEX(CHOOSE(BR100,Iдоп_1ж,Iдоп_2ж,Iдоп_3ж),MATCH(BS100,Iдоп_S,0))*BP100*BQ100,{6,10,16,20,25,32,40,50,63,80,100,125,160,200,250,315,400,500,630}),""))</f>
        <v>16</v>
      </c>
      <c r="EC100">
        <f>IF(AD100="","",SUMIFS(Линии[_Ток схемы],Линии[_гр.],DY100,Линии[Щит],A100,Линии[_в кабель выше],0))</f>
        <v>0.48</v>
      </c>
      <c r="ED100">
        <f>IF(AD100="","",IFERROR(VLOOKUP(EC100,Автомат_номиналы,2,TRUE),""))</f>
        <v>6</v>
      </c>
      <c r="EE100">
        <f>IF(AD100="","",MAX(N(ED100),_xlfn.MAXIFS(Линии[_мин. по типу],Линии[_гр.],DY100,Линии[Щит],A100)))</f>
        <v>10</v>
      </c>
      <c r="EF100">
        <f>IF(AD100="","",_xlfn.MINIFS(Линии[_макс. автомат по кабелю],Линии[_гр.],DY100,Линии[Щит],A100))</f>
        <v>16</v>
      </c>
      <c r="EG100">
        <f>IF(AD100="","",MAX(1,_xlfn.MAXIFS(Линии[_фаз],Линии[_гр.],DY100,Линии[Щит],A100)))</f>
        <v>1</v>
      </c>
      <c r="EH100">
        <f>IF(AD100="","",IF(AND(AD100&lt;&gt;"авто",AD100&lt;&gt;"+"),IF(ISNUMBER(SEARCH("мА",AD100)),IFERROR(--TRIM(RIGHT(SUBSTITUTE(LEFT(AD100,SEARCH("мА",AD100)-1)," ",REPT(" ",9)),6)),30),0),IF(AE100="нет",0,IF(ISNUMBER(AE100),AE100,IF(AE100="да",30,_xlfn.MINIFS(Линии[_дифзащита по коду, мА],Линии[_гр.],DY100,Линии[Щит],A100,Линии[_дифзащита по коду, мА],"&gt;0"))))))</f>
        <v>0</v>
      </c>
      <c r="EI100">
        <f t="shared" si="131"/>
        <v>0</v>
      </c>
      <c r="EJ100" t="str">
        <f t="shared" si="132"/>
        <v>QF12</v>
      </c>
      <c r="EK100" t="str">
        <f t="shared" si="133"/>
        <v>QF12</v>
      </c>
      <c r="EL100" t="str">
        <f t="shared" si="134"/>
        <v/>
      </c>
      <c r="EM100">
        <f t="shared" si="135"/>
        <v>0</v>
      </c>
      <c r="EN100">
        <f>IF(AD100="","",IF(EM100=1,MAX(EE100,Мин_автомат_БП),EE100))</f>
        <v>10</v>
      </c>
      <c r="EO100" t="str">
        <f t="shared" si="136"/>
        <v>1P</v>
      </c>
      <c r="EP100" t="str">
        <f t="shared" si="137"/>
        <v>1P С10А</v>
      </c>
      <c r="EQ100">
        <f t="shared" si="138"/>
        <v>10</v>
      </c>
      <c r="ER100" t="str">
        <f>IF(OR(AI100="",AI100="-"),"",IFERROR(VLOOKUP(AI100,Модули_спр,2,FALSE),"R"))</f>
        <v/>
      </c>
      <c r="ES100" t="str">
        <f>IF(ER100="","",ER100&amp;"."&amp;COUNTIFS(A$3:A100,A100,ER$3:ER100,ER100))</f>
        <v/>
      </c>
      <c r="ET100" t="str">
        <f t="shared" si="139"/>
        <v/>
      </c>
      <c r="EU100" t="str">
        <f t="shared" si="140"/>
        <v/>
      </c>
      <c r="EV100" t="str">
        <f t="shared" si="141"/>
        <v/>
      </c>
      <c r="EW100" t="str">
        <f t="shared" si="142"/>
        <v/>
      </c>
      <c r="EX100">
        <f t="shared" si="143"/>
        <v>1</v>
      </c>
      <c r="EY100" t="str">
        <f>IF(AK100="нет","",IF(AK100&lt;&gt;"",AK100,IF(EX100=1,"XT"&amp;COUNTIFS(A$3:A100,A100,EX$3:EX100,1),"")))</f>
        <v/>
      </c>
      <c r="EZ100" t="str">
        <f t="shared" si="144"/>
        <v>QF12</v>
      </c>
      <c r="FA100" t="str">
        <f t="shared" si="145"/>
        <v/>
      </c>
      <c r="FB100" t="str">
        <f t="shared" si="146"/>
        <v>ok</v>
      </c>
      <c r="FC100" t="str">
        <f>IF(OR(EV100="",ET100=""),"",IF(EV100&gt;IFERROR(VLOOKUP(EU100,Модули_спр,3,FALSE),99),"ЛИШНИЙ КАНАЛ",IF(AND(AJ100&lt;&gt;"=",COUNTIFS(Линии[_модуль гр.],ET100,Линии[Канал (итог)],EV100,Линии[Канал],"&lt;&gt;=",Линии[Щит],A100)&gt;1),"ДУБЛЬ КАНАЛА","")))</f>
        <v/>
      </c>
      <c r="FD100">
        <f t="shared" si="147"/>
        <v>10</v>
      </c>
      <c r="FE100" t="str">
        <f t="shared" si="148"/>
        <v>1P С10А</v>
      </c>
      <c r="FF100">
        <f t="shared" si="149"/>
        <v>0</v>
      </c>
      <c r="FG100">
        <f t="shared" si="150"/>
        <v>0</v>
      </c>
      <c r="FH100" t="str">
        <f t="shared" si="151"/>
        <v/>
      </c>
      <c r="FI100">
        <f t="shared" si="152"/>
        <v>10</v>
      </c>
      <c r="FJ100" t="str">
        <f t="shared" si="153"/>
        <v/>
      </c>
      <c r="FK100" t="str">
        <f>IF(AND(D100="",EZ100=""),"",_xlfn.TEXTJOIN("; ",TRUE,IF(AND(D100&lt;&gt;"",DD100=""),"нет фазы",""),IF(AND(D100&lt;&gt;"",N(DT100)=0,CN100&lt;&gt;"Нет"),"нет мощности",""),IF(AND(EY100&lt;&gt;"",COUNTIFS(Линии[Щит],A100,Линии[Клемма (итог)],EY100)&gt;1),"дубль клеммы "&amp;EY100,""),IF(AND(FB100&lt;&gt;"",FB100&lt;&gt;"ok"),FB100,""),IF(FC100&lt;&gt;"",FC100,""),IF(AND(ISNUMBER(SEARCH("(5х",DS100)),N(DV100)=1),"5 жил на 1 фазе",""),IF(AND(AT100="R",AD100&lt;&gt;"",OR(N(EH100)=0,N(EH100)&gt;30)),"розетка без дифзащиты до 30 мА",""),IFERROR(IF(AND(ISNUMBER(CD100),CD100&gt;CE100),"потери "&amp;FIXED(CD100,1)&amp;" % &gt; "&amp;CE100&amp;" %",""),""),IFERROR(IF(LEFT(FJ100,4)="мало","Iкз мало — отключение &gt; 0,4 с",""),""),IF(AND(D100&lt;&gt;"",BD100=""),"не на схеме","")))</f>
        <v/>
      </c>
      <c r="FL100">
        <f>IF(AD100="","",_xlfn.LET(_xlpm.t,IFERROR(_xlfn.XLOOKUP(EP100,Каталог!$U$4:$U$500,Каталог!$G$4:$G$500),""),_xlpm.k,SEARCH("кА",_xlpm.t),IFERROR(--TRIM(RIGHT(SUBSTITUTE(MID(_xlpm.t,MAX(1,_xlpm.k-4),_xlpm.k-MAX(1,_xlpm.k-4))," ",REPT(" ",9)),5)),"")))</f>
        <v>6</v>
      </c>
      <c r="FM100" t="str">
        <f>IF(OR(FL100="",AD100=""),"",IF(_xlfn.XLOOKUP(A100,Щиты[Щит],Щиты[Iкз max на шинах, кА],"")="","",IF(FL100&lt;_xlfn.XLOOKUP(A100,Щиты[Щит],Щиты[Iкз max на шинах, кА]),"Icu "&amp;FL100&amp;" кА &lt; Iкз max","ok")))</f>
        <v/>
      </c>
      <c r="FN100" t="str">
        <f t="shared" si="154"/>
        <v>QF12</v>
      </c>
      <c r="FO100" t="str">
        <f t="shared" si="155"/>
        <v>QF12|кабель ВВГнг(А)-LS (3х1,5) → Внутренний блок кондиционирования Подвальный этаж Пом. №007Т</v>
      </c>
      <c r="FP100" t="str" cm="1">
        <f t="array" ref="FP100">IF(FO100="","",_xlfn.LET(_xlpm.nd,_xlfn.TEXTSPLIT(FO100,"|"),IF(COLUMNS(_xlpm.nd)&gt;1,A100&amp;"¦"&amp;INDEX(_xlpm.nd,1)&amp;"¦"&amp;INDEX(_xlpm.nd,2),"")))</f>
        <v>ЩОВ-002¦QF12¦кабель ВВГнг(А)-LS (3х1,5) → Внутренний блок кондиционирования Подвальный этаж Пом. №007Т</v>
      </c>
      <c r="FQ100" t="str">
        <f t="shared" si="156"/>
        <v>K.00.007T.1¦Внутренний блок кондиционирования Подвальный этаж Пом. №007Т</v>
      </c>
      <c r="FR100" t="str" cm="1">
        <f t="array" ref="FR100">IF(FO100="","",_xlfn.LET(_xlpm.nd,_xlfn.TEXTSPLIT(FO100,"|"),IF(COLUMNS(_xlpm.nd)&gt;2,A100&amp;"¦"&amp;INDEX(_xlpm.nd,2)&amp;"¦"&amp;INDEX(_xlpm.nd,3),"")))</f>
        <v/>
      </c>
      <c r="FS100" t="str">
        <f t="shared" si="157"/>
        <v/>
      </c>
      <c r="FT100" t="str" cm="1">
        <f t="array" ref="FT100">IF(FO100="","",_xlfn.LET(_xlpm.nd,_xlfn.TEXTSPLIT(FO100,"|"),IF(COLUMNS(_xlpm.nd)&gt;3,A100&amp;"¦"&amp;INDEX(_xlpm.nd,3)&amp;"¦"&amp;INDEX(_xlpm.nd,4),"")))</f>
        <v/>
      </c>
      <c r="FU100" t="str">
        <f t="shared" si="158"/>
        <v/>
      </c>
      <c r="FV100" t="str" cm="1">
        <f t="array" ref="FV100">IF(FO100="","",_xlfn.LET(_xlpm.nd,_xlfn.TEXTSPLIT(FO100,"|"),IF(COLUMNS(_xlpm.nd)&gt;4,A100&amp;"¦"&amp;INDEX(_xlpm.nd,4)&amp;"¦"&amp;INDEX(_xlpm.nd,5),"")))</f>
        <v/>
      </c>
      <c r="FW100" t="str">
        <f t="shared" si="159"/>
        <v/>
      </c>
      <c r="FX100" t="str" cm="1">
        <f t="array" ref="FX100">IF(FO100="","",_xlfn.LET(_xlpm.nd,_xlfn.TEXTSPLIT(FO100,"|"),IF(COLUMNS(_xlpm.nd)&gt;5,A100&amp;"¦"&amp;INDEX(_xlpm.nd,5)&amp;"¦"&amp;INDEX(_xlpm.nd,6),"")))</f>
        <v/>
      </c>
      <c r="FY100" t="str">
        <f t="shared" si="160"/>
        <v/>
      </c>
      <c r="FZ100" t="str" cm="1">
        <f t="array" ref="FZ100">IF(FO100="","",_xlfn.LET(_xlpm.nd,_xlfn.TEXTSPLIT(FO100,"|"),IF(COLUMNS(_xlpm.nd)&gt;6,A100&amp;"¦"&amp;INDEX(_xlpm.nd,6)&amp;"¦"&amp;INDEX(_xlpm.nd,7),"")))</f>
        <v/>
      </c>
      <c r="GA100" t="str">
        <f t="shared" si="161"/>
        <v/>
      </c>
      <c r="GB100" t="str">
        <f t="shared" si="162"/>
        <v/>
      </c>
      <c r="GC100" t="str">
        <f t="shared" si="163"/>
        <v>QF12</v>
      </c>
      <c r="GD100">
        <f t="shared" si="164"/>
        <v>1</v>
      </c>
      <c r="GE100">
        <f t="shared" si="165"/>
        <v>0</v>
      </c>
      <c r="GF100">
        <f t="shared" si="166"/>
        <v>0</v>
      </c>
      <c r="GG100" t="str">
        <f t="shared" si="167"/>
        <v/>
      </c>
      <c r="GH100" t="str">
        <f t="shared" si="168"/>
        <v/>
      </c>
      <c r="GI100" t="str">
        <f t="shared" si="169"/>
        <v/>
      </c>
      <c r="GJ100" t="str">
        <f t="shared" si="170"/>
        <v/>
      </c>
      <c r="GK100">
        <f>IF(D100="","",IFERROR(VLOOKUP(D100,УГО_спр,2,FALSE),IFERROR(VLOOKUP(AT100,УГО_спр,2,FALSE),IFERROR(VLOOKUP(LEFT(AT100,2),УГО_спр,2,FALSE),""))))</f>
        <v>0</v>
      </c>
      <c r="GL100" t="str">
        <f>IF(D100="","",IF(OR(GK100="",GK100=0),"BOX",IFERROR(IF(VLOOKUP(GK100,УГО_блоки,3,FALSE)&amp;""&lt;&gt;"",VLOOKUP(GK100,УГО_блоки,3,FALSE),VLOOKUP(GK100,УГО_блоки,2,FALSE)),GK100)))</f>
        <v>BOX</v>
      </c>
      <c r="GM100">
        <f t="shared" si="171"/>
        <v>1</v>
      </c>
      <c r="GN100" t="str">
        <f>IF(EP100="","",IF(COUNTIF(EP$3:EP100,EP100)=1,MAX(GN$2:GN99)+1,""))</f>
        <v/>
      </c>
      <c r="GO100" t="str">
        <f>IF(AF100="","",IF(COUNTIF(AF$3:AF100,AF100)+COUNTIF(AG$2:AG99,AF100)+COUNTIF(AH$2:AH99,AF100)=1,MAX(GO$2:GQ99)+1,""))</f>
        <v/>
      </c>
      <c r="GP100" t="str">
        <f>IF(AG100="","",IF(COUNTIF(AF$3:AF100,AG100)+COUNTIF(AG$3:AG100,AG100)+COUNTIF(AH$2:AH99,AG100)=1,MAX(GO$2:GQ99,GO100)+1,""))</f>
        <v/>
      </c>
      <c r="GQ100" t="str">
        <f>IF(AH100="","",IF(COUNTIF(AF$3:AF100,AH100)+COUNTIF(AG$3:AG100,AH100)+COUNTIF(AH$3:AH100,AH100)=1,MAX(GO$2:GQ99,GO100,GP100)+1,""))</f>
        <v/>
      </c>
      <c r="GR100" t="str">
        <f t="shared" si="172"/>
        <v>3х1,5</v>
      </c>
      <c r="GS100" t="str">
        <f>IF(GR100="","",IF(COUNTIF(GR$3:GR100,GR100)=1,MAX(GS$2:GS99)+1,""))</f>
        <v/>
      </c>
      <c r="GT100" t="str">
        <f>IF(ES100="","",COUNTIF(ES$3:ES100,"?*"))</f>
        <v/>
      </c>
      <c r="GU100" t="str">
        <f>IF(OR(ES100="",EU100=""),"",IF(COUNTIFS(ES$3:ES100,"?*",EU$3:EU100,EU100)=1,MAX(GU$2:GU99)+1,""))</f>
        <v/>
      </c>
      <c r="GV100">
        <f t="shared" si="173"/>
        <v>0</v>
      </c>
      <c r="GW100">
        <f>IF(D100="","",COUNTIF(D$3:D100,"?*"))</f>
        <v>98</v>
      </c>
      <c r="GX100">
        <f>IF(EX100&lt;&gt;1,0,_xlfn.LET(_xlpm.k,MAX(IFERROR(--VLOOKUP(D100,УГО_спр,5,FALSE),0),IFERROR(--VLOOKUP(AT100,УГО_спр,5,FALSE),0),IFERROR(--VLOOKUP(LEFT(AT100,2),УГО_спр,5,FALSE),0)),IF(_xlpm.k&gt;0,_xlpm.k,IF(IFERROR(--LEFT(SUBSTITUTE(GR100,"x","х"),FIND("х",SUBSTITUTE(GR100,"x","х"))-1),3)&gt;3,Каталог!$S$9,1))))</f>
        <v>1</v>
      </c>
      <c r="GY100">
        <f t="shared" si="174"/>
        <v>0</v>
      </c>
    </row>
    <row r="101" spans="1:207" x14ac:dyDescent="0.3">
      <c r="A101" t="s">
        <v>754</v>
      </c>
      <c r="B101">
        <v>31</v>
      </c>
      <c r="C101" t="str">
        <f>IF(BD101="","",IF(BE101="вводной узел","узел ","")&amp;"л."&amp;(INT((BD101-1)/Столбцов_на_лист)+1)&amp;" / "&amp;(MOD(BD101-1,Столбцов_на_лист)+1))</f>
        <v>л.2 / 14</v>
      </c>
      <c r="D101" t="s">
        <v>1385</v>
      </c>
      <c r="E101" s="133" t="s">
        <v>1384</v>
      </c>
      <c r="G101">
        <v>0.104</v>
      </c>
      <c r="H101">
        <v>1</v>
      </c>
      <c r="I101">
        <v>1</v>
      </c>
      <c r="J101">
        <v>230</v>
      </c>
      <c r="K101" t="s">
        <v>602</v>
      </c>
      <c r="L101">
        <v>0.5</v>
      </c>
      <c r="O101">
        <v>1</v>
      </c>
      <c r="P101">
        <v>25</v>
      </c>
      <c r="Q101">
        <v>6</v>
      </c>
      <c r="R101">
        <v>21</v>
      </c>
      <c r="T101">
        <v>1</v>
      </c>
      <c r="U101" t="s">
        <v>11</v>
      </c>
      <c r="V101">
        <v>3</v>
      </c>
      <c r="W101">
        <v>1.5</v>
      </c>
      <c r="X101">
        <v>10</v>
      </c>
      <c r="Z101" t="s">
        <v>580</v>
      </c>
      <c r="AA101" t="s">
        <v>818</v>
      </c>
      <c r="AD101" t="s">
        <v>517</v>
      </c>
      <c r="AK101" t="s">
        <v>488</v>
      </c>
      <c r="AR101" t="str">
        <f t="shared" si="88"/>
        <v/>
      </c>
      <c r="AS101" cm="1">
        <f t="array" ref="AS101">ROW()-ROW(Линии[#Headers])</f>
        <v>99</v>
      </c>
      <c r="AT101" t="str">
        <f t="shared" si="89"/>
        <v>K</v>
      </c>
      <c r="AU101" t="str">
        <f t="shared" si="90"/>
        <v>00.007T.2</v>
      </c>
      <c r="AV101" t="str">
        <f t="shared" si="91"/>
        <v>00</v>
      </c>
      <c r="AW101" t="str">
        <f t="shared" si="92"/>
        <v>007T.2</v>
      </c>
      <c r="AX101" t="str">
        <f t="shared" si="93"/>
        <v>007T</v>
      </c>
      <c r="AY101" t="str">
        <f>IF(D101="","",IF(ISERROR(SEARCH(".",D101)),IFERROR(VLOOKUP(D101,Потребители_обозначение,2,FALSE)&amp;"",""),IFERROR(IF(VLOOKUP(AT101,Потребители_обозначение,4,FALSE)=1,VLOOKUP(AT101,Потребители_обозначение,2,FALSE)&amp;" "&amp;VLOOKUP(AV101,Этаж_обозначение,2,FALSE)&amp;" Пом. №"&amp;AX101,VLOOKUP(AT101,Потребители_обозначение,2,FALSE)&amp;" Шлейф №"&amp;AV101),IFERROR(VLOOKUP(D101,Потребители_обозначение,2,FALSE),""))))</f>
        <v>Внутренний блок кондиционирования Подвальный этаж Пом. №007T</v>
      </c>
      <c r="AZ101" t="str">
        <f t="shared" si="94"/>
        <v>Внутренний блок кондиционирования Подвальный этаж Пом. №007Т</v>
      </c>
      <c r="BA101" t="str">
        <f>IF(F101&lt;&gt;"",F101,IF(AND(D101&lt;&gt;"",D101&lt;&gt;A101,ISNUMBER(_xlfn.XMATCH(D101,Щиты[Щит]))),D101,""))</f>
        <v/>
      </c>
      <c r="BB101">
        <f>IFERROR(_xlfn.XMATCH(A101,Щиты[Щит]),0)</f>
        <v>5</v>
      </c>
      <c r="BC101">
        <f>IFERROR(N(_xlfn.XLOOKUP(A101,Щиты[Щит],Щиты[Мест под вводной узел])),15)</f>
        <v>18</v>
      </c>
      <c r="BD101">
        <f t="shared" si="95"/>
        <v>31</v>
      </c>
      <c r="BE101" t="str">
        <f t="shared" si="96"/>
        <v>линии</v>
      </c>
      <c r="BF101">
        <f>IF(D101="","",IF(BA101&lt;&gt;"",IFERROR(_xlfn.XLOOKUP(BA101,Щиты[Щит],Щиты[Руст, кВт]),0),N(G101)))</f>
        <v>0.104</v>
      </c>
      <c r="BG101">
        <f>IF(J101&lt;&gt;"",J101,IF(D101="","",IFERROR(IF(VLOOKUP(AT101,Потребители_обозначение,8,FALSE)=0,"",VLOOKUP(AT101,Потребители_обозначение,8,FALSE)),"")))</f>
        <v>230</v>
      </c>
      <c r="BH101">
        <f>IF(I101&lt;&gt;"",I101,IF(D101="","",IFERROR(IF(VLOOKUP(AT101,Потребители_обозначение,9,FALSE)=0,"",VLOOKUP(AT101,Потребители_обозначение,9,FALSE)),"")))</f>
        <v>1</v>
      </c>
      <c r="BI101" t="str">
        <f>IF(U101&lt;&gt;"",U101,IF(D101="","",IFERROR(IF(VLOOKUP(AT101,Потребители_обозначение,6,FALSE)=0,"",VLOOKUP(AT101,Потребители_обозначение,6,FALSE)),"")))</f>
        <v>мс</v>
      </c>
      <c r="BJ101">
        <f>IF(V101&lt;&gt;"",V101,IF(D101="","",IFERROR(IF(VLOOKUP(AT101,Потребители_обозначение,7,FALSE)=0,"",VLOOKUP(AT101,Потребители_обозначение,7,FALSE)),"")))</f>
        <v>3</v>
      </c>
      <c r="BK101">
        <f>IF(W101&lt;&gt;"",W101,IF(D101="","",IFERROR(IF(VLOOKUP(AT101,Потребители_обозначение,10,FALSE)=0,"",VLOOKUP(AT101,Потребители_обозначение,10,FALSE)),"")))</f>
        <v>1.5</v>
      </c>
      <c r="BL101">
        <f>IFERROR(VLOOKUP(AT101,Потребители_обозначение,5,FALSE),0)</f>
        <v>1</v>
      </c>
      <c r="BM101" cm="1">
        <f t="array" ref="BM101">IF(D101="","",IF(BA101&lt;&gt;"",IFERROR(_xlfn.XLOOKUP(BA101,Щиты[Щит],Щиты[cos φ]),0.95),IF(ISNUMBER(M101),M101,IFERROR(IF(BL101=2,_xlfn.IFS(BH101=3,VLOOKUP(BF101,Справочная_двигатели,8,FALSE),BH101=1,VLOOKUP(BF101,Справочная_двигатели,10,TRUE)),IF(AND(Методика="нормы 2026",CN101="Сил"),0.8,0.95)),0.95))))</f>
        <v>0.95</v>
      </c>
      <c r="BN101" cm="1">
        <f t="array" ref="BN101">IF(D101="","",IF(BA101&lt;&gt;"",IFERROR(_xlfn.XLOOKUP(BA101,Щиты[Щит],Щиты[Iр, А]),""),IFERROR(_xlfn.IFS(BH101=1,BF101/((Uн_лин/SQRT(3))*BM101),BH101=3,BF101/(SQRT(3)*Uн_лин*BM101)),"")))</f>
        <v>0.47403495786095584</v>
      </c>
      <c r="BO101">
        <f>IF(D101="","",IF(N(X101)=0,IFERROR(VLOOKUP(BN101,Автомат_номиналы,2,TRUE),""),X101))</f>
        <v>10</v>
      </c>
      <c r="BP101">
        <f t="shared" si="97"/>
        <v>1</v>
      </c>
      <c r="BQ101">
        <f>IF(ISNUMBER(Y101),Y101,К_прокл)</f>
        <v>1</v>
      </c>
      <c r="BR101">
        <f t="shared" si="98"/>
        <v>2</v>
      </c>
      <c r="BS101" cm="1">
        <f t="array" ref="BS101">IF(D101="","",IF(N(BK101)&lt;&gt;0,BK101,IFERROR(_xlfn.LET(_xlpm.need,BO101/(BP101*BQ101),_xlpm.t,CHOOSE(BR101,Iдоп_1ж,Iдоп_2ж,Iдоп_3ж),_xlpm.k,_xlfn.XMATCH(_xlpm.need,_xlpm.t,1),IF(ISNA(_xlpm.k),"Не исп",INDEX(Iдоп_S,_xlpm.k))),"Не исп")))</f>
        <v>1.5</v>
      </c>
      <c r="BT101">
        <f>IFERROR(VLOOKUP(BS101,Кабель_сопротивление,3,FALSE),"")</f>
        <v>2.2499999999999999E-2</v>
      </c>
      <c r="BU101">
        <f>IFERROR(VLOOKUP(BS101,Кабель_сопротивление,2,FALSE),"")</f>
        <v>0.11</v>
      </c>
      <c r="BV101">
        <f t="shared" si="99"/>
        <v>25</v>
      </c>
      <c r="BW101">
        <f>IF(D101="","",IFERROR(IF(VLOOKUP(AT101,Потребители_обозначение,4,FALSE)=1,VLOOKUP(AT101,Потребители_обозначение,3,FALSE)*(H101*2-1)+BV101+VLOOKUP(AV101,Этаж_обозначение,3,FALSE)+VLOOKUP(AV101,Этаж_обозначение,4,FALSE),VLOOKUP(AT101,Потребители_обозначение,3,FALSE)*(H101*2-1)+BV101),BV101))</f>
        <v>27</v>
      </c>
      <c r="BX101">
        <f t="shared" si="100"/>
        <v>21</v>
      </c>
      <c r="BY101">
        <f t="shared" si="101"/>
        <v>0</v>
      </c>
      <c r="BZ101">
        <f t="shared" si="102"/>
        <v>2</v>
      </c>
      <c r="CA101">
        <f t="shared" si="103"/>
        <v>0.31</v>
      </c>
      <c r="CB101">
        <f t="shared" si="104"/>
        <v>0.36564278804541067</v>
      </c>
      <c r="CC101">
        <f>IFERROR(ROUNDUP(CB101/((Uн_лин/SQRT(3))*1000)*100,2),"")</f>
        <v>0.16</v>
      </c>
      <c r="CD101">
        <f>IF(ISNUMBER(CC101),CC101+IFERROR(_xlfn.XLOOKUP(A101,Щиты[Щит],Щиты[ΔU до шин, %]),0),"")</f>
        <v>0.82000000000000006</v>
      </c>
      <c r="CE101">
        <f>IF(D101="","",IF(IFERROR(VLOOKUP(AT101,УГО_спр,2,FALSE),"")="Светильник",3,4)+IF(Методика="нормы 2026",MIN(0.5,MAX(0,N(BW101)-100)*0.005),0))</f>
        <v>4</v>
      </c>
      <c r="CF101" t="str">
        <f>IFERROR(VLOOKUP(BI101,Кабель_обозначение,2,FALSE),"")</f>
        <v>ВВГнг(А)-LS</v>
      </c>
      <c r="CG101" t="str">
        <f>IFERROR(IF(VLOOKUP(BI101,Кабель_обозначение,3,FALSE)=1,CF101&amp;" ("&amp;BJ101&amp;"х"&amp;BS101&amp;")",CF101),"")</f>
        <v>ВВГнг(А)-LS (3х1,5)</v>
      </c>
      <c r="CH101" t="str">
        <f t="shared" si="105"/>
        <v>ВВГнг(А)-LS (3х1,5)
L=27-0,16%</v>
      </c>
      <c r="CI101">
        <f>IFERROR(2*ρкз_Cu*BW101/BS101,"")</f>
        <v>0.94680000000000009</v>
      </c>
      <c r="CJ101">
        <f t="shared" si="106"/>
        <v>0.315</v>
      </c>
      <c r="CK101" t="str">
        <f>IFERROR(IF(OR(D101="",NOT(ISNUMBER(BS101)),N(BW101)=0),"",_xlfn.XLOOKUP(A101,Щиты[Щит],Щиты[Zпетли на шинах, Ом])+CI101),"")</f>
        <v/>
      </c>
      <c r="CL101" t="str">
        <f>IF(ISNUMBER(CK101),c_min*(Uн_лин*1000/SQRT(3))/CK101,"")</f>
        <v/>
      </c>
      <c r="CM101" t="str">
        <f>IFERROR(IF(OR(D101="",NOT(ISNUMBER(BS101))),"",1.05*(Uн_лин*1000/SQRT(3))/(_xlfn.XLOOKUP(A101,Щиты[Щит],Щиты[Zmax на шинах, Ом])+CJ101)/1000),"")</f>
        <v/>
      </c>
      <c r="CN101" t="str">
        <f>IF(D101="","",IF(BA101&lt;&gt;"","Щит",IF(K101&lt;&gt;"",K101,IF(ISNUMBER(L101),"Сил",IF(IFERROR(_xlfn.XLOOKUP(AT101,Коды_код,Коды_группа)&amp;"","")="","Быт",_xlfn.XLOOKUP(AT101,Коды_код,Коды_группа)&amp;"")))))</f>
        <v>Сил</v>
      </c>
      <c r="CO101">
        <f>IF(CN101="Щит","щит",IF(CN101="","",IF(CN101="Быт",IFERROR(_xlfn.XLOOKUP(A101,Щиты[Щит],Щиты[Кс быт]),1),IF(CN101="Сил",IF(ISNUMBER(L101),L101,IF(Методика="нормы 2026",IFERROR(_xlfn.XLOOKUP(A101,Щиты[Щит],Щиты[Кс силовых (табл. 7.5)]),1),1)),IF(OR(CN101="Пост",CN101="Отоп"),1,IF(CN101="ВНГ",0.7,0))))))</f>
        <v>0.5</v>
      </c>
      <c r="CP101">
        <f t="shared" si="107"/>
        <v>1</v>
      </c>
      <c r="CQ101">
        <f t="shared" si="108"/>
        <v>0.104</v>
      </c>
      <c r="CR101">
        <f t="shared" si="109"/>
        <v>0</v>
      </c>
      <c r="CS101">
        <f t="shared" si="110"/>
        <v>5.1999999999999998E-2</v>
      </c>
      <c r="CT101">
        <f t="shared" si="111"/>
        <v>0</v>
      </c>
      <c r="CU101">
        <f t="shared" si="112"/>
        <v>0</v>
      </c>
      <c r="CV101">
        <f t="shared" si="113"/>
        <v>0</v>
      </c>
      <c r="CW101">
        <f t="shared" si="114"/>
        <v>0.104</v>
      </c>
      <c r="CX101">
        <f t="shared" si="115"/>
        <v>9.8799999999999985E-2</v>
      </c>
      <c r="CY101">
        <f t="shared" si="116"/>
        <v>1</v>
      </c>
      <c r="CZ101" t="str">
        <f t="shared" si="117"/>
        <v>L1</v>
      </c>
      <c r="DA101" cm="1">
        <f t="array" ref="DA101">IFERROR(IF(BL101=2,_xlfn.IFS(BH101=3,VLOOKUP(BF101,Справочная_двигатели,3,FALSE),BH101=1,VLOOKUP(BF101,Справочная_двигатели,5,TRUE)),0),0)</f>
        <v>0</v>
      </c>
      <c r="DB101">
        <f>IFERROR(IF(BL101=3,VLOOKUP(BF101,Справочная_ЛЭД,2,TRUE),0),0)</f>
        <v>0</v>
      </c>
      <c r="DC101">
        <f t="shared" si="118"/>
        <v>0</v>
      </c>
      <c r="DD101" t="str">
        <f t="shared" si="119"/>
        <v>L1</v>
      </c>
      <c r="DE101" t="str" cm="1">
        <f t="array" ref="DE101">IF(D101="","",IFERROR(INDEX({"I особая","I","II","III"},MATCH(TRIM(AA101&amp;""),{"I особая","I","II","III"},0)),"III"))</f>
        <v>II</v>
      </c>
      <c r="DF101" t="str">
        <f>IF(D101="","",IF(TRIM(AB101&amp;"")&lt;&gt;"",IF(LOWER(TRIM(AB101&amp;""))="да","да","нет"),IF(IFERROR(_xlfn.XLOOKUP(AT101,Коды_код,Коды_пожарная),"")="да","да","нет")))</f>
        <v>нет</v>
      </c>
      <c r="DG101" t="str">
        <f t="shared" si="120"/>
        <v/>
      </c>
      <c r="DH101" t="str">
        <f t="shared" si="121"/>
        <v>основная</v>
      </c>
      <c r="DI101">
        <f t="shared" si="122"/>
        <v>1</v>
      </c>
      <c r="DJ101" t="str" cm="1">
        <f t="array" ref="DJ101">IF(D101="","",_xlfn.LET(_xlpm.t,IFERROR(_xlfn.XLOOKUP(1,(Шины[Шина]=DH101)*(((Шины[Щит]=A101)+(Шины[Щит]=""))&gt;0),Шины[Тип]),"")&amp;"",IF(_xlpm.t&lt;&gt;"",_xlpm.t,IF(ISNUMBER(SEARCH("ИБП",DH101)),"ИБП",IF(ISNUMBER(SEARCH("ДГУ",DH101)),"ДГУ","Ввод "&amp;DI101)))))</f>
        <v>Ввод 1</v>
      </c>
      <c r="DK101" t="str">
        <f t="shared" si="123"/>
        <v>Ввод 1</v>
      </c>
      <c r="DL101" t="str">
        <f>IF(D101="","",IF(OR(DJ101="ИБП",DJ101="ДГУ"),"I особая",IF(DJ101="Одиночная","III",_xlfn.XLOOKUP(A101,Щиты[Щит],Щиты[Категория шины «Ввод»],"III"))))</f>
        <v>II</v>
      </c>
      <c r="DM101">
        <f>IF(D101="",0,IFERROR(MATCH(DE101,{"III","II","I","I особая"},0),1))</f>
        <v>2</v>
      </c>
      <c r="DN101">
        <f t="shared" si="124"/>
        <v>2</v>
      </c>
      <c r="DO101" t="str">
        <f>IF(D101="","",IF(DM101&gt;IFERROR(MATCH(DL101,{"III","II","I","I особая"},0),1),"НЕ ОБЕСПЕЧЕНА","ОК"))</f>
        <v>ОК</v>
      </c>
      <c r="DP101" t="str">
        <f>IF(A101="","",_xlfn.XLOOKUP(A101,Щиты[Щит],Щиты[Путь],""))</f>
        <v>|ГРЩ-ЖД|ЩОВ-002|</v>
      </c>
      <c r="DQ101" t="str">
        <f>IF(D101="","",IF(Z101&lt;&gt;"",Z101,IF(IFERROR(_xlfn.XLOOKUP(AT101,Коды_код,Коды_вид)&amp;"","")="","Прочее",_xlfn.XLOOKUP(AT101,Коды_код,Коды_вид)&amp;"")))</f>
        <v>Кондиционирование и увлажнение</v>
      </c>
      <c r="DR101">
        <f>IF(BD101="","",INT((BD101-1)/Столбцов_на_лист)+1)</f>
        <v>2</v>
      </c>
      <c r="DS101" t="str">
        <f t="shared" si="125"/>
        <v>ВВГнг(А)-LS (3х1,5) L=27-0,16%</v>
      </c>
      <c r="DT101">
        <f t="shared" si="126"/>
        <v>0.104</v>
      </c>
      <c r="DU101">
        <f t="shared" si="127"/>
        <v>0.48</v>
      </c>
      <c r="DV101">
        <f t="shared" si="128"/>
        <v>1</v>
      </c>
      <c r="DW101">
        <f>IF(AT101="",0,_xlfn.LET(_xlpm.v,IFERROR(VLOOKUP(D101,УГО_спр,3,FALSE),IFERROR(VLOOKUP(AT101,УГО_спр,3,FALSE),IFERROR(VLOOKUP(LEFT(AT101,2),УГО_спр,3,FALSE),""))),IF(_xlpm.v="да",30,IF(ISNUMBER(_xlpm.v),_xlpm.v,0))))</f>
        <v>0</v>
      </c>
      <c r="DX101">
        <f t="shared" si="129"/>
        <v>0</v>
      </c>
      <c r="DY101">
        <f>IF(BD101="","",IF(AD101&lt;&gt;"",COUNTIFS(A$3:A101,A101,AD$3:AD101,"?*"),IF(OR(OR(AS101=1,A101&lt;&gt;A100),AL101="вручную"),"",IF(AS101=1,"",DZ100))))</f>
        <v>13</v>
      </c>
      <c r="DZ101">
        <f t="shared" si="130"/>
        <v>13</v>
      </c>
      <c r="EA101">
        <f>IF(D101="",0,MAX(IFERROR(--X101,0),IFERROR(--VLOOKUP(D101,УГО_спр,4,FALSE),IFERROR(--VLOOKUP(AT101,УГО_спр,4,FALSE),IFERROR(--VLOOKUP(LEFT(AT101,2),УГО_спр,4,FALSE),0)))))</f>
        <v>10</v>
      </c>
      <c r="EB101">
        <f>IF(D101="","",IFERROR(LOOKUP(INDEX(CHOOSE(BR101,Iдоп_1ж,Iдоп_2ж,Iдоп_3ж),MATCH(BS101,Iдоп_S,0))*BP101*BQ101,{6,10,16,20,25,32,40,50,63,80,100,125,160,200,250,315,400,500,630}),""))</f>
        <v>16</v>
      </c>
      <c r="EC101">
        <f>IF(AD101="","",SUMIFS(Линии[_Ток схемы],Линии[_гр.],DY101,Линии[Щит],A101,Линии[_в кабель выше],0))</f>
        <v>0.48</v>
      </c>
      <c r="ED101">
        <f>IF(AD101="","",IFERROR(VLOOKUP(EC101,Автомат_номиналы,2,TRUE),""))</f>
        <v>6</v>
      </c>
      <c r="EE101">
        <f>IF(AD101="","",MAX(N(ED101),_xlfn.MAXIFS(Линии[_мин. по типу],Линии[_гр.],DY101,Линии[Щит],A101)))</f>
        <v>10</v>
      </c>
      <c r="EF101">
        <f>IF(AD101="","",_xlfn.MINIFS(Линии[_макс. автомат по кабелю],Линии[_гр.],DY101,Линии[Щит],A101))</f>
        <v>16</v>
      </c>
      <c r="EG101">
        <f>IF(AD101="","",MAX(1,_xlfn.MAXIFS(Линии[_фаз],Линии[_гр.],DY101,Линии[Щит],A101)))</f>
        <v>1</v>
      </c>
      <c r="EH101">
        <f>IF(AD101="","",IF(AND(AD101&lt;&gt;"авто",AD101&lt;&gt;"+"),IF(ISNUMBER(SEARCH("мА",AD101)),IFERROR(--TRIM(RIGHT(SUBSTITUTE(LEFT(AD101,SEARCH("мА",AD101)-1)," ",REPT(" ",9)),6)),30),0),IF(AE101="нет",0,IF(ISNUMBER(AE101),AE101,IF(AE101="да",30,_xlfn.MINIFS(Линии[_дифзащита по коду, мА],Линии[_гр.],DY101,Линии[Щит],A101,Линии[_дифзащита по коду, мА],"&gt;0"))))))</f>
        <v>0</v>
      </c>
      <c r="EI101">
        <f t="shared" si="131"/>
        <v>0</v>
      </c>
      <c r="EJ101" t="str">
        <f t="shared" si="132"/>
        <v>QF13</v>
      </c>
      <c r="EK101" t="str">
        <f t="shared" si="133"/>
        <v>QF13</v>
      </c>
      <c r="EL101" t="str">
        <f t="shared" si="134"/>
        <v/>
      </c>
      <c r="EM101">
        <f t="shared" si="135"/>
        <v>0</v>
      </c>
      <c r="EN101">
        <f>IF(AD101="","",IF(EM101=1,MAX(EE101,Мин_автомат_БП),EE101))</f>
        <v>10</v>
      </c>
      <c r="EO101" t="str">
        <f t="shared" si="136"/>
        <v>1P</v>
      </c>
      <c r="EP101" t="str">
        <f t="shared" si="137"/>
        <v>1P С10А</v>
      </c>
      <c r="EQ101">
        <f t="shared" si="138"/>
        <v>10</v>
      </c>
      <c r="ER101" t="str">
        <f>IF(OR(AI101="",AI101="-"),"",IFERROR(VLOOKUP(AI101,Модули_спр,2,FALSE),"R"))</f>
        <v/>
      </c>
      <c r="ES101" t="str">
        <f>IF(ER101="","",ER101&amp;"."&amp;COUNTIFS(A$3:A101,A101,ER$3:ER101,ER101))</f>
        <v/>
      </c>
      <c r="ET101" t="str">
        <f t="shared" si="139"/>
        <v/>
      </c>
      <c r="EU101" t="str">
        <f t="shared" si="140"/>
        <v/>
      </c>
      <c r="EV101" t="str">
        <f t="shared" si="141"/>
        <v/>
      </c>
      <c r="EW101" t="str">
        <f t="shared" si="142"/>
        <v/>
      </c>
      <c r="EX101">
        <f t="shared" si="143"/>
        <v>1</v>
      </c>
      <c r="EY101" t="str">
        <f>IF(AK101="нет","",IF(AK101&lt;&gt;"",AK101,IF(EX101=1,"XT"&amp;COUNTIFS(A$3:A101,A101,EX$3:EX101,1),"")))</f>
        <v/>
      </c>
      <c r="EZ101" t="str">
        <f t="shared" si="144"/>
        <v>QF13</v>
      </c>
      <c r="FA101" t="str">
        <f t="shared" si="145"/>
        <v/>
      </c>
      <c r="FB101" t="str">
        <f t="shared" si="146"/>
        <v>ok</v>
      </c>
      <c r="FC101" t="str">
        <f>IF(OR(EV101="",ET101=""),"",IF(EV101&gt;IFERROR(VLOOKUP(EU101,Модули_спр,3,FALSE),99),"ЛИШНИЙ КАНАЛ",IF(AND(AJ101&lt;&gt;"=",COUNTIFS(Линии[_модуль гр.],ET101,Линии[Канал (итог)],EV101,Линии[Канал],"&lt;&gt;=",Линии[Щит],A101)&gt;1),"ДУБЛЬ КАНАЛА","")))</f>
        <v/>
      </c>
      <c r="FD101">
        <f t="shared" si="147"/>
        <v>10</v>
      </c>
      <c r="FE101" t="str">
        <f t="shared" si="148"/>
        <v>1P С10А</v>
      </c>
      <c r="FF101">
        <f t="shared" si="149"/>
        <v>0</v>
      </c>
      <c r="FG101">
        <f t="shared" si="150"/>
        <v>0</v>
      </c>
      <c r="FH101" t="str">
        <f t="shared" si="151"/>
        <v/>
      </c>
      <c r="FI101">
        <f t="shared" si="152"/>
        <v>10</v>
      </c>
      <c r="FJ101" t="str">
        <f t="shared" si="153"/>
        <v/>
      </c>
      <c r="FK101" t="str">
        <f>IF(AND(D101="",EZ101=""),"",_xlfn.TEXTJOIN("; ",TRUE,IF(AND(D101&lt;&gt;"",DD101=""),"нет фазы",""),IF(AND(D101&lt;&gt;"",N(DT101)=0,CN101&lt;&gt;"Нет"),"нет мощности",""),IF(AND(EY101&lt;&gt;"",COUNTIFS(Линии[Щит],A101,Линии[Клемма (итог)],EY101)&gt;1),"дубль клеммы "&amp;EY101,""),IF(AND(FB101&lt;&gt;"",FB101&lt;&gt;"ok"),FB101,""),IF(FC101&lt;&gt;"",FC101,""),IF(AND(ISNUMBER(SEARCH("(5х",DS101)),N(DV101)=1),"5 жил на 1 фазе",""),IF(AND(AT101="R",AD101&lt;&gt;"",OR(N(EH101)=0,N(EH101)&gt;30)),"розетка без дифзащиты до 30 мА",""),IFERROR(IF(AND(ISNUMBER(CD101),CD101&gt;CE101),"потери "&amp;FIXED(CD101,1)&amp;" % &gt; "&amp;CE101&amp;" %",""),""),IFERROR(IF(LEFT(FJ101,4)="мало","Iкз мало — отключение &gt; 0,4 с",""),""),IF(AND(D101&lt;&gt;"",BD101=""),"не на схеме","")))</f>
        <v/>
      </c>
      <c r="FL101">
        <f>IF(AD101="","",_xlfn.LET(_xlpm.t,IFERROR(_xlfn.XLOOKUP(EP101,Каталог!$U$4:$U$500,Каталог!$G$4:$G$500),""),_xlpm.k,SEARCH("кА",_xlpm.t),IFERROR(--TRIM(RIGHT(SUBSTITUTE(MID(_xlpm.t,MAX(1,_xlpm.k-4),_xlpm.k-MAX(1,_xlpm.k-4))," ",REPT(" ",9)),5)),"")))</f>
        <v>6</v>
      </c>
      <c r="FM101" t="str">
        <f>IF(OR(FL101="",AD101=""),"",IF(_xlfn.XLOOKUP(A101,Щиты[Щит],Щиты[Iкз max на шинах, кА],"")="","",IF(FL101&lt;_xlfn.XLOOKUP(A101,Щиты[Щит],Щиты[Iкз max на шинах, кА]),"Icu "&amp;FL101&amp;" кА &lt; Iкз max","ok")))</f>
        <v/>
      </c>
      <c r="FN101" t="str">
        <f t="shared" si="154"/>
        <v>QF13</v>
      </c>
      <c r="FO101" t="str">
        <f t="shared" si="155"/>
        <v>QF13|кабель ВВГнг(А)-LS (3х1,5) → Внутренний блок кондиционирования Подвальный этаж Пом. №007Т</v>
      </c>
      <c r="FP101" t="str" cm="1">
        <f t="array" ref="FP101">IF(FO101="","",_xlfn.LET(_xlpm.nd,_xlfn.TEXTSPLIT(FO101,"|"),IF(COLUMNS(_xlpm.nd)&gt;1,A101&amp;"¦"&amp;INDEX(_xlpm.nd,1)&amp;"¦"&amp;INDEX(_xlpm.nd,2),"")))</f>
        <v>ЩОВ-002¦QF13¦кабель ВВГнг(А)-LS (3х1,5) → Внутренний блок кондиционирования Подвальный этаж Пом. №007Т</v>
      </c>
      <c r="FQ101" t="str">
        <f t="shared" si="156"/>
        <v>K.00.007T.2¦Внутренний блок кондиционирования Подвальный этаж Пом. №007Т</v>
      </c>
      <c r="FR101" t="str" cm="1">
        <f t="array" ref="FR101">IF(FO101="","",_xlfn.LET(_xlpm.nd,_xlfn.TEXTSPLIT(FO101,"|"),IF(COLUMNS(_xlpm.nd)&gt;2,A101&amp;"¦"&amp;INDEX(_xlpm.nd,2)&amp;"¦"&amp;INDEX(_xlpm.nd,3),"")))</f>
        <v/>
      </c>
      <c r="FS101" t="str">
        <f t="shared" si="157"/>
        <v/>
      </c>
      <c r="FT101" t="str" cm="1">
        <f t="array" ref="FT101">IF(FO101="","",_xlfn.LET(_xlpm.nd,_xlfn.TEXTSPLIT(FO101,"|"),IF(COLUMNS(_xlpm.nd)&gt;3,A101&amp;"¦"&amp;INDEX(_xlpm.nd,3)&amp;"¦"&amp;INDEX(_xlpm.nd,4),"")))</f>
        <v/>
      </c>
      <c r="FU101" t="str">
        <f t="shared" si="158"/>
        <v/>
      </c>
      <c r="FV101" t="str" cm="1">
        <f t="array" ref="FV101">IF(FO101="","",_xlfn.LET(_xlpm.nd,_xlfn.TEXTSPLIT(FO101,"|"),IF(COLUMNS(_xlpm.nd)&gt;4,A101&amp;"¦"&amp;INDEX(_xlpm.nd,4)&amp;"¦"&amp;INDEX(_xlpm.nd,5),"")))</f>
        <v/>
      </c>
      <c r="FW101" t="str">
        <f t="shared" si="159"/>
        <v/>
      </c>
      <c r="FX101" t="str" cm="1">
        <f t="array" ref="FX101">IF(FO101="","",_xlfn.LET(_xlpm.nd,_xlfn.TEXTSPLIT(FO101,"|"),IF(COLUMNS(_xlpm.nd)&gt;5,A101&amp;"¦"&amp;INDEX(_xlpm.nd,5)&amp;"¦"&amp;INDEX(_xlpm.nd,6),"")))</f>
        <v/>
      </c>
      <c r="FY101" t="str">
        <f t="shared" si="160"/>
        <v/>
      </c>
      <c r="FZ101" t="str" cm="1">
        <f t="array" ref="FZ101">IF(FO101="","",_xlfn.LET(_xlpm.nd,_xlfn.TEXTSPLIT(FO101,"|"),IF(COLUMNS(_xlpm.nd)&gt;6,A101&amp;"¦"&amp;INDEX(_xlpm.nd,6)&amp;"¦"&amp;INDEX(_xlpm.nd,7),"")))</f>
        <v/>
      </c>
      <c r="GA101" t="str">
        <f t="shared" si="161"/>
        <v/>
      </c>
      <c r="GB101" t="str">
        <f t="shared" si="162"/>
        <v/>
      </c>
      <c r="GC101" t="str">
        <f t="shared" si="163"/>
        <v>QF13</v>
      </c>
      <c r="GD101">
        <f t="shared" si="164"/>
        <v>1</v>
      </c>
      <c r="GE101">
        <f t="shared" si="165"/>
        <v>0</v>
      </c>
      <c r="GF101">
        <f t="shared" si="166"/>
        <v>0</v>
      </c>
      <c r="GG101" t="str">
        <f t="shared" si="167"/>
        <v/>
      </c>
      <c r="GH101" t="str">
        <f t="shared" si="168"/>
        <v/>
      </c>
      <c r="GI101" t="str">
        <f t="shared" si="169"/>
        <v/>
      </c>
      <c r="GJ101" t="str">
        <f t="shared" si="170"/>
        <v/>
      </c>
      <c r="GK101">
        <f>IF(D101="","",IFERROR(VLOOKUP(D101,УГО_спр,2,FALSE),IFERROR(VLOOKUP(AT101,УГО_спр,2,FALSE),IFERROR(VLOOKUP(LEFT(AT101,2),УГО_спр,2,FALSE),""))))</f>
        <v>0</v>
      </c>
      <c r="GL101" t="str">
        <f>IF(D101="","",IF(OR(GK101="",GK101=0),"BOX",IFERROR(IF(VLOOKUP(GK101,УГО_блоки,3,FALSE)&amp;""&lt;&gt;"",VLOOKUP(GK101,УГО_блоки,3,FALSE),VLOOKUP(GK101,УГО_блоки,2,FALSE)),GK101)))</f>
        <v>BOX</v>
      </c>
      <c r="GM101">
        <f t="shared" si="171"/>
        <v>1</v>
      </c>
      <c r="GN101" t="str">
        <f>IF(EP101="","",IF(COUNTIF(EP$3:EP101,EP101)=1,MAX(GN$2:GN100)+1,""))</f>
        <v/>
      </c>
      <c r="GO101" t="str">
        <f>IF(AF101="","",IF(COUNTIF(AF$3:AF101,AF101)+COUNTIF(AG$2:AG100,AF101)+COUNTIF(AH$2:AH100,AF101)=1,MAX(GO$2:GQ100)+1,""))</f>
        <v/>
      </c>
      <c r="GP101" t="str">
        <f>IF(AG101="","",IF(COUNTIF(AF$3:AF101,AG101)+COUNTIF(AG$3:AG101,AG101)+COUNTIF(AH$2:AH100,AG101)=1,MAX(GO$2:GQ100,GO101)+1,""))</f>
        <v/>
      </c>
      <c r="GQ101" t="str">
        <f>IF(AH101="","",IF(COUNTIF(AF$3:AF101,AH101)+COUNTIF(AG$3:AG101,AH101)+COUNTIF(AH$3:AH101,AH101)=1,MAX(GO$2:GQ100,GO101,GP101)+1,""))</f>
        <v/>
      </c>
      <c r="GR101" t="str">
        <f t="shared" si="172"/>
        <v>3х1,5</v>
      </c>
      <c r="GS101" t="str">
        <f>IF(GR101="","",IF(COUNTIF(GR$3:GR101,GR101)=1,MAX(GS$2:GS100)+1,""))</f>
        <v/>
      </c>
      <c r="GT101" t="str">
        <f>IF(ES101="","",COUNTIF(ES$3:ES101,"?*"))</f>
        <v/>
      </c>
      <c r="GU101" t="str">
        <f>IF(OR(ES101="",EU101=""),"",IF(COUNTIFS(ES$3:ES101,"?*",EU$3:EU101,EU101)=1,MAX(GU$2:GU100)+1,""))</f>
        <v/>
      </c>
      <c r="GV101">
        <f t="shared" si="173"/>
        <v>0</v>
      </c>
      <c r="GW101">
        <f>IF(D101="","",COUNTIF(D$3:D101,"?*"))</f>
        <v>99</v>
      </c>
      <c r="GX101">
        <f>IF(EX101&lt;&gt;1,0,_xlfn.LET(_xlpm.k,MAX(IFERROR(--VLOOKUP(D101,УГО_спр,5,FALSE),0),IFERROR(--VLOOKUP(AT101,УГО_спр,5,FALSE),0),IFERROR(--VLOOKUP(LEFT(AT101,2),УГО_спр,5,FALSE),0)),IF(_xlpm.k&gt;0,_xlpm.k,IF(IFERROR(--LEFT(SUBSTITUTE(GR101,"x","х"),FIND("х",SUBSTITUTE(GR101,"x","х"))-1),3)&gt;3,Каталог!$S$9,1))))</f>
        <v>1</v>
      </c>
      <c r="GY101">
        <f t="shared" si="174"/>
        <v>0</v>
      </c>
    </row>
    <row r="102" spans="1:207" x14ac:dyDescent="0.3">
      <c r="A102" t="s">
        <v>750</v>
      </c>
      <c r="B102">
        <v>2</v>
      </c>
      <c r="C102" t="str">
        <f>IF(BD102="","",IF(BE102="вводной узел","узел ","")&amp;"л."&amp;(INT((BD102-1)/Столбцов_на_лист)+1)&amp;" / "&amp;(MOD(BD102-1,Столбцов_на_лист)+1))</f>
        <v>узел л.1 / 2</v>
      </c>
      <c r="D102" t="s">
        <v>746</v>
      </c>
      <c r="E102" s="133" t="s">
        <v>58</v>
      </c>
      <c r="G102">
        <v>0</v>
      </c>
      <c r="H102">
        <v>1</v>
      </c>
      <c r="I102">
        <v>3</v>
      </c>
      <c r="J102">
        <v>400</v>
      </c>
      <c r="K102" t="s">
        <v>551</v>
      </c>
      <c r="O102" t="s">
        <v>1298</v>
      </c>
      <c r="P102">
        <v>14</v>
      </c>
      <c r="R102">
        <v>14</v>
      </c>
      <c r="T102">
        <v>1</v>
      </c>
      <c r="U102" t="s">
        <v>11</v>
      </c>
      <c r="V102">
        <v>5</v>
      </c>
      <c r="W102">
        <v>6</v>
      </c>
      <c r="X102">
        <v>25</v>
      </c>
      <c r="AL102" t="s">
        <v>1301</v>
      </c>
      <c r="AR102" t="str">
        <f t="shared" si="88"/>
        <v/>
      </c>
      <c r="AS102" cm="1">
        <f t="array" ref="AS102">ROW()-ROW(Линии[#Headers])</f>
        <v>100</v>
      </c>
      <c r="AT102" t="str">
        <f t="shared" si="89"/>
        <v>Ввод</v>
      </c>
      <c r="AU102" t="str">
        <f t="shared" si="90"/>
        <v>1</v>
      </c>
      <c r="AV102" t="str">
        <f t="shared" si="91"/>
        <v>1</v>
      </c>
      <c r="AW102" t="str">
        <f t="shared" si="92"/>
        <v/>
      </c>
      <c r="AX102" t="str">
        <f t="shared" si="93"/>
        <v/>
      </c>
      <c r="AY102" t="str">
        <f>IF(D102="","",IF(ISERROR(SEARCH(".",D102)),IFERROR(VLOOKUP(D102,Потребители_обозначение,2,FALSE)&amp;"",""),IFERROR(IF(VLOOKUP(AT102,Потребители_обозначение,4,FALSE)=1,VLOOKUP(AT102,Потребители_обозначение,2,FALSE)&amp;" "&amp;VLOOKUP(AV102,Этаж_обозначение,2,FALSE)&amp;" Пом. №"&amp;AX102,VLOOKUP(AT102,Потребители_обозначение,2,FALSE)&amp;" Шлейф №"&amp;AV102),IFERROR(VLOOKUP(D102,Потребители_обозначение,2,FALSE),""))))</f>
        <v>Вводной кабель Шлейф №1</v>
      </c>
      <c r="AZ102" t="str">
        <f t="shared" si="94"/>
        <v>Ввод</v>
      </c>
      <c r="BA102" t="str">
        <f>IF(F102&lt;&gt;"",F102,IF(AND(D102&lt;&gt;"",D102&lt;&gt;A102,ISNUMBER(_xlfn.XMATCH(D102,Щиты[Щит]))),D102,""))</f>
        <v/>
      </c>
      <c r="BB102">
        <f>IFERROR(_xlfn.XMATCH(A102,Щиты[Щит]),0)</f>
        <v>6</v>
      </c>
      <c r="BC102">
        <f>IFERROR(N(_xlfn.XLOOKUP(A102,Щиты[Щит],Щиты[Мест под вводной узел])),15)</f>
        <v>12</v>
      </c>
      <c r="BD102">
        <f t="shared" si="95"/>
        <v>2</v>
      </c>
      <c r="BE102" t="str">
        <f t="shared" si="96"/>
        <v>вводной узел</v>
      </c>
      <c r="BF102">
        <f>IF(D102="","",IF(BA102&lt;&gt;"",IFERROR(_xlfn.XLOOKUP(BA102,Щиты[Щит],Щиты[Руст, кВт]),0),N(G102)))</f>
        <v>0</v>
      </c>
      <c r="BG102">
        <f>IF(J102&lt;&gt;"",J102,IF(D102="","",IFERROR(IF(VLOOKUP(AT102,Потребители_обозначение,8,FALSE)=0,"",VLOOKUP(AT102,Потребители_обозначение,8,FALSE)),"")))</f>
        <v>400</v>
      </c>
      <c r="BH102">
        <f>IF(I102&lt;&gt;"",I102,IF(D102="","",IFERROR(IF(VLOOKUP(AT102,Потребители_обозначение,9,FALSE)=0,"",VLOOKUP(AT102,Потребители_обозначение,9,FALSE)),"")))</f>
        <v>3</v>
      </c>
      <c r="BI102" t="str">
        <f>IF(U102&lt;&gt;"",U102,IF(D102="","",IFERROR(IF(VLOOKUP(AT102,Потребители_обозначение,6,FALSE)=0,"",VLOOKUP(AT102,Потребители_обозначение,6,FALSE)),"")))</f>
        <v>мс</v>
      </c>
      <c r="BJ102">
        <f>IF(V102&lt;&gt;"",V102,IF(D102="","",IFERROR(IF(VLOOKUP(AT102,Потребители_обозначение,7,FALSE)=0,"",VLOOKUP(AT102,Потребители_обозначение,7,FALSE)),"")))</f>
        <v>5</v>
      </c>
      <c r="BK102">
        <f>IF(W102&lt;&gt;"",W102,IF(D102="","",IFERROR(IF(VLOOKUP(AT102,Потребители_обозначение,10,FALSE)=0,"",VLOOKUP(AT102,Потребители_обозначение,10,FALSE)),"")))</f>
        <v>6</v>
      </c>
      <c r="BL102">
        <f>IFERROR(VLOOKUP(AT102,Потребители_обозначение,5,FALSE),0)</f>
        <v>1</v>
      </c>
      <c r="BM102" cm="1">
        <f t="array" ref="BM102">IF(D102="","",IF(BA102&lt;&gt;"",IFERROR(_xlfn.XLOOKUP(BA102,Щиты[Щит],Щиты[cos φ]),0.95),IF(ISNUMBER(M102),M102,IFERROR(IF(BL102=2,_xlfn.IFS(BH102=3,VLOOKUP(BF102,Справочная_двигатели,8,FALSE),BH102=1,VLOOKUP(BF102,Справочная_двигатели,10,TRUE)),IF(AND(Методика="нормы 2026",CN102="Сил"),0.8,0.95)),0.95))))</f>
        <v>0.95</v>
      </c>
      <c r="BN102" cm="1">
        <f t="array" ref="BN102">IF(D102="","",IF(BA102&lt;&gt;"",IFERROR(_xlfn.XLOOKUP(BA102,Щиты[Щит],Щиты[Iр, А]),""),IFERROR(_xlfn.IFS(BH102=1,BF102/((Uн_лин/SQRT(3))*BM102),BH102=3,BF102/(SQRT(3)*Uн_лин*BM102)),"")))</f>
        <v>0</v>
      </c>
      <c r="BO102">
        <f>IF(D102="","",IF(N(X102)=0,IFERROR(VLOOKUP(BN102,Автомат_номиналы,2,TRUE),""),X102))</f>
        <v>25</v>
      </c>
      <c r="BP102">
        <f t="shared" si="97"/>
        <v>0.92</v>
      </c>
      <c r="BQ102">
        <f>IF(ISNUMBER(Y102),Y102,К_прокл)</f>
        <v>1</v>
      </c>
      <c r="BR102">
        <f t="shared" si="98"/>
        <v>3</v>
      </c>
      <c r="BS102" cm="1">
        <f t="array" ref="BS102">IF(D102="","",IF(N(BK102)&lt;&gt;0,BK102,IFERROR(_xlfn.LET(_xlpm.need,BO102/(BP102*BQ102),_xlpm.t,CHOOSE(BR102,Iдоп_1ж,Iдоп_2ж,Iдоп_3ж),_xlpm.k,_xlfn.XMATCH(_xlpm.need,_xlpm.t,1),IF(ISNA(_xlpm.k),"Не исп",INDEX(Iдоп_S,_xlpm.k))),"Не исп")))</f>
        <v>6</v>
      </c>
      <c r="BT102">
        <f>IFERROR(VLOOKUP(BS102,Кабель_сопротивление,3,FALSE),"")</f>
        <v>2.2499999999999999E-2</v>
      </c>
      <c r="BU102">
        <f>IFERROR(VLOOKUP(BS102,Кабель_сопротивление,2,FALSE),"")</f>
        <v>0.09</v>
      </c>
      <c r="BV102">
        <f t="shared" si="99"/>
        <v>14</v>
      </c>
      <c r="BW102">
        <f>IF(D102="","",IFERROR(IF(VLOOKUP(AT102,Потребители_обозначение,4,FALSE)=1,VLOOKUP(AT102,Потребители_обозначение,3,FALSE)*(H102*2-1)+BV102+VLOOKUP(AV102,Этаж_обозначение,3,FALSE)+VLOOKUP(AV102,Этаж_обозначение,4,FALSE),VLOOKUP(AT102,Потребители_обозначение,3,FALSE)*(H102*2-1)+BV102),BV102))</f>
        <v>14</v>
      </c>
      <c r="BX102">
        <f t="shared" si="100"/>
        <v>14</v>
      </c>
      <c r="BY102">
        <f t="shared" si="101"/>
        <v>0</v>
      </c>
      <c r="BZ102">
        <f t="shared" si="102"/>
        <v>1</v>
      </c>
      <c r="CA102">
        <f t="shared" si="103"/>
        <v>0.31</v>
      </c>
      <c r="CB102">
        <f t="shared" si="104"/>
        <v>0</v>
      </c>
      <c r="CC102">
        <f>IFERROR(ROUNDUP(CB102/((Uн_лин/SQRT(3))*1000)*100,2),"")</f>
        <v>0</v>
      </c>
      <c r="CD102">
        <f>IF(ISNUMBER(CC102),CC102+IFERROR(_xlfn.XLOOKUP(A102,Щиты[Щит],Щиты[ΔU до шин, %]),0),"")</f>
        <v>0.24000000000000002</v>
      </c>
      <c r="CE102">
        <f>IF(D102="","",IF(IFERROR(VLOOKUP(AT102,УГО_спр,2,FALSE),"")="Светильник",3,4)+IF(Методика="нормы 2026",MIN(0.5,MAX(0,N(BW102)-100)*0.005),0))</f>
        <v>4</v>
      </c>
      <c r="CF102" t="str">
        <f>IFERROR(VLOOKUP(BI102,Кабель_обозначение,2,FALSE),"")</f>
        <v>ВВГнг(А)-LS</v>
      </c>
      <c r="CG102" t="str">
        <f>IFERROR(IF(VLOOKUP(BI102,Кабель_обозначение,3,FALSE)=1,CF102&amp;" ("&amp;BJ102&amp;"х"&amp;BS102&amp;")",CF102),"")</f>
        <v>ВВГнг(А)-LS (5х6)</v>
      </c>
      <c r="CH102" t="str">
        <f t="shared" si="105"/>
        <v>ВВГнг(А)-LS (5х6)
L=14-0%</v>
      </c>
      <c r="CI102">
        <f>IFERROR(2*ρкз_Cu*BW102/BS102,"")</f>
        <v>0.12273333333333335</v>
      </c>
      <c r="CJ102">
        <f t="shared" si="106"/>
        <v>4.083333333333334E-2</v>
      </c>
      <c r="CK102" t="str">
        <f>IFERROR(IF(OR(D102="",NOT(ISNUMBER(BS102)),N(BW102)=0),"",_xlfn.XLOOKUP(A102,Щиты[Щит],Щиты[Zпетли на шинах, Ом])+CI102),"")</f>
        <v/>
      </c>
      <c r="CL102" t="str">
        <f>IF(ISNUMBER(CK102),c_min*(Uн_лин*1000/SQRT(3))/CK102,"")</f>
        <v/>
      </c>
      <c r="CM102" t="str">
        <f>IFERROR(IF(OR(D102="",NOT(ISNUMBER(BS102))),"",1.05*(Uн_лин*1000/SQRT(3))/(_xlfn.XLOOKUP(A102,Щиты[Щит],Щиты[Zmax на шинах, Ом])+CJ102)/1000),"")</f>
        <v/>
      </c>
      <c r="CN102" t="str">
        <f>IF(D102="","",IF(BA102&lt;&gt;"","Щит",IF(K102&lt;&gt;"",K102,IF(ISNUMBER(L102),"Сил",IF(IFERROR(_xlfn.XLOOKUP(AT102,Коды_код,Коды_группа)&amp;"","")="","Быт",_xlfn.XLOOKUP(AT102,Коды_код,Коды_группа)&amp;"")))))</f>
        <v>Нет</v>
      </c>
      <c r="CO102">
        <f>IF(CN102="Щит","щит",IF(CN102="","",IF(CN102="Быт",IFERROR(_xlfn.XLOOKUP(A102,Щиты[Щит],Щиты[Кс быт]),1),IF(CN102="Сил",IF(ISNUMBER(L102),L102,IF(Методика="нормы 2026",IFERROR(_xlfn.XLOOKUP(A102,Щиты[Щит],Щиты[Кс силовых (табл. 7.5)]),1),1)),IF(OR(CN102="Пост",CN102="Отоп"),1,IF(CN102="ВНГ",0.7,0))))))</f>
        <v>0</v>
      </c>
      <c r="CP102">
        <f t="shared" si="107"/>
        <v>1</v>
      </c>
      <c r="CQ102">
        <f t="shared" si="108"/>
        <v>0</v>
      </c>
      <c r="CR102">
        <f t="shared" si="109"/>
        <v>0</v>
      </c>
      <c r="CS102">
        <f t="shared" si="110"/>
        <v>0</v>
      </c>
      <c r="CT102">
        <f t="shared" si="111"/>
        <v>0</v>
      </c>
      <c r="CU102">
        <f t="shared" si="112"/>
        <v>0</v>
      </c>
      <c r="CV102">
        <f t="shared" si="113"/>
        <v>0</v>
      </c>
      <c r="CW102">
        <f t="shared" si="114"/>
        <v>0</v>
      </c>
      <c r="CX102">
        <f t="shared" si="115"/>
        <v>0</v>
      </c>
      <c r="CY102">
        <f t="shared" si="116"/>
        <v>0</v>
      </c>
      <c r="CZ102" t="str">
        <f t="shared" si="117"/>
        <v>L1,L2,L3</v>
      </c>
      <c r="DA102" cm="1">
        <f t="array" ref="DA102">IFERROR(IF(BL102=2,_xlfn.IFS(BH102=3,VLOOKUP(BF102,Справочная_двигатели,3,FALSE),BH102=1,VLOOKUP(BF102,Справочная_двигатели,5,TRUE)),0),0)</f>
        <v>0</v>
      </c>
      <c r="DB102">
        <f>IFERROR(IF(BL102=3,VLOOKUP(BF102,Справочная_ЛЭД,2,TRUE),0),0)</f>
        <v>0</v>
      </c>
      <c r="DC102">
        <f t="shared" si="118"/>
        <v>0</v>
      </c>
      <c r="DD102" t="str">
        <f t="shared" si="119"/>
        <v>L1,L2,L3</v>
      </c>
      <c r="DE102" t="str" cm="1">
        <f t="array" ref="DE102">IF(D102="","",IFERROR(INDEX({"I особая","I","II","III"},MATCH(TRIM(AA102&amp;""),{"I особая","I","II","III"},0)),"III"))</f>
        <v>III</v>
      </c>
      <c r="DF102" t="str">
        <f>IF(D102="","",IF(TRIM(AB102&amp;"")&lt;&gt;"",IF(LOWER(TRIM(AB102&amp;""))="да","да","нет"),IF(IFERROR(_xlfn.XLOOKUP(AT102,Коды_код,Коды_пожарная),"")="да","да","нет")))</f>
        <v>нет</v>
      </c>
      <c r="DG102" t="str">
        <f t="shared" si="120"/>
        <v/>
      </c>
      <c r="DH102" t="str">
        <f t="shared" si="121"/>
        <v>основная</v>
      </c>
      <c r="DI102">
        <f t="shared" si="122"/>
        <v>1</v>
      </c>
      <c r="DJ102" t="str" cm="1">
        <f t="array" ref="DJ102">IF(D102="","",_xlfn.LET(_xlpm.t,IFERROR(_xlfn.XLOOKUP(1,(Шины[Шина]=DH102)*(((Шины[Щит]=A102)+(Шины[Щит]=""))&gt;0),Шины[Тип]),"")&amp;"",IF(_xlpm.t&lt;&gt;"",_xlpm.t,IF(ISNUMBER(SEARCH("ИБП",DH102)),"ИБП",IF(ISNUMBER(SEARCH("ДГУ",DH102)),"ДГУ","Ввод "&amp;DI102)))))</f>
        <v>Ввод 1</v>
      </c>
      <c r="DK102" t="str">
        <f t="shared" si="123"/>
        <v>Ввод 1</v>
      </c>
      <c r="DL102" t="str">
        <f>IF(D102="","",IF(OR(DJ102="ИБП",DJ102="ДГУ"),"I особая",IF(DJ102="Одиночная","III",_xlfn.XLOOKUP(A102,Щиты[Щит],Щиты[Категория шины «Ввод»],"III"))))</f>
        <v>II</v>
      </c>
      <c r="DM102">
        <f>IF(D102="",0,IFERROR(MATCH(DE102,{"III","II","I","I особая"},0),1))</f>
        <v>1</v>
      </c>
      <c r="DN102">
        <f t="shared" si="124"/>
        <v>1</v>
      </c>
      <c r="DO102" t="str">
        <f>IF(D102="","",IF(DM102&gt;IFERROR(MATCH(DL102,{"III","II","I","I особая"},0),1),"НЕ ОБЕСПЕЧЕНА","ОК"))</f>
        <v>ОК</v>
      </c>
      <c r="DP102" t="str">
        <f>IF(A102="","",_xlfn.XLOOKUP(A102,Щиты[Щит],Щиты[Путь],""))</f>
        <v>|ГРЩ-ЖД|ЩОВ-01|</v>
      </c>
      <c r="DQ102" t="str">
        <f>IF(D102="","",IF(Z102&lt;&gt;"",Z102,IF(IFERROR(_xlfn.XLOOKUP(AT102,Коды_код,Коды_вид)&amp;"","")="","Прочее",_xlfn.XLOOKUP(AT102,Коды_код,Коды_вид)&amp;"")))</f>
        <v>Прочее</v>
      </c>
      <c r="DR102">
        <f>IF(BD102="","",INT((BD102-1)/Столбцов_на_лист)+1)</f>
        <v>1</v>
      </c>
      <c r="DS102" t="str">
        <f t="shared" si="125"/>
        <v>ВВГнг(А)-LS (5х6) L=14-0%</v>
      </c>
      <c r="DT102">
        <f t="shared" si="126"/>
        <v>0</v>
      </c>
      <c r="DU102">
        <f t="shared" si="127"/>
        <v>0</v>
      </c>
      <c r="DV102">
        <f t="shared" si="128"/>
        <v>3</v>
      </c>
      <c r="DW102">
        <f>IF(AT102="",0,_xlfn.LET(_xlpm.v,IFERROR(VLOOKUP(D102,УГО_спр,3,FALSE),IFERROR(VLOOKUP(AT102,УГО_спр,3,FALSE),IFERROR(VLOOKUP(LEFT(AT102,2),УГО_спр,3,FALSE),""))),IF(_xlpm.v="да",30,IF(ISNUMBER(_xlpm.v),_xlpm.v,0))))</f>
        <v>0</v>
      </c>
      <c r="DX102">
        <f t="shared" si="129"/>
        <v>0</v>
      </c>
      <c r="DY102" t="str">
        <f>IF(BD102="","",IF(AD102&lt;&gt;"",COUNTIFS(A$3:A102,A102,AD$3:AD102,"?*"),IF(OR(OR(AS102=1,A102&lt;&gt;A101),AL102="вручную"),"",IF(AS102=1,"",DZ101))))</f>
        <v/>
      </c>
      <c r="DZ102" t="str">
        <f t="shared" si="130"/>
        <v/>
      </c>
      <c r="EA102">
        <f>IF(D102="",0,MAX(IFERROR(--X102,0),IFERROR(--VLOOKUP(D102,УГО_спр,4,FALSE),IFERROR(--VLOOKUP(AT102,УГО_спр,4,FALSE),IFERROR(--VLOOKUP(LEFT(AT102,2),УГО_спр,4,FALSE),0)))))</f>
        <v>25</v>
      </c>
      <c r="EB102">
        <f>IF(D102="","",IFERROR(LOOKUP(INDEX(CHOOSE(BR102,Iдоп_1ж,Iдоп_2ж,Iдоп_3ж),MATCH(BS102,Iдоп_S,0))*BP102*BQ102,{6,10,16,20,25,32,40,50,63,80,100,125,160,200,250,315,400,500,630}),""))</f>
        <v>32</v>
      </c>
      <c r="EC102" t="str">
        <f>IF(AD102="","",SUMIFS(Линии[_Ток схемы],Линии[_гр.],DY102,Линии[Щит],A102,Линии[_в кабель выше],0))</f>
        <v/>
      </c>
      <c r="ED102" t="str">
        <f>IF(AD102="","",IFERROR(VLOOKUP(EC102,Автомат_номиналы,2,TRUE),""))</f>
        <v/>
      </c>
      <c r="EE102" t="str">
        <f>IF(AD102="","",MAX(N(ED102),_xlfn.MAXIFS(Линии[_мин. по типу],Линии[_гр.],DY102,Линии[Щит],A102)))</f>
        <v/>
      </c>
      <c r="EF102" t="str">
        <f>IF(AD102="","",_xlfn.MINIFS(Линии[_макс. автомат по кабелю],Линии[_гр.],DY102,Линии[Щит],A102))</f>
        <v/>
      </c>
      <c r="EG102" t="str">
        <f>IF(AD102="","",MAX(1,_xlfn.MAXIFS(Линии[_фаз],Линии[_гр.],DY102,Линии[Щит],A102)))</f>
        <v/>
      </c>
      <c r="EH102" t="str">
        <f>IF(AD102="","",IF(AND(AD102&lt;&gt;"авто",AD102&lt;&gt;"+"),IF(ISNUMBER(SEARCH("мА",AD102)),IFERROR(--TRIM(RIGHT(SUBSTITUTE(LEFT(AD102,SEARCH("мА",AD102)-1)," ",REPT(" ",9)),6)),30),0),IF(AE102="нет",0,IF(ISNUMBER(AE102),AE102,IF(AE102="да",30,_xlfn.MINIFS(Линии[_дифзащита по коду, мА],Линии[_гр.],DY102,Линии[Щит],A102,Линии[_дифзащита по коду, мА],"&gt;0"))))))</f>
        <v/>
      </c>
      <c r="EI102" t="str">
        <f t="shared" si="131"/>
        <v/>
      </c>
      <c r="EJ102" t="str">
        <f t="shared" si="132"/>
        <v/>
      </c>
      <c r="EK102" t="str">
        <f t="shared" si="133"/>
        <v/>
      </c>
      <c r="EL102" t="str">
        <f t="shared" si="134"/>
        <v/>
      </c>
      <c r="EM102">
        <f t="shared" si="135"/>
        <v>0</v>
      </c>
      <c r="EN102" t="str">
        <f>IF(AD102="","",IF(EM102=1,MAX(EE102,Мин_автомат_БП),EE102))</f>
        <v/>
      </c>
      <c r="EO102" t="str">
        <f t="shared" si="136"/>
        <v/>
      </c>
      <c r="EP102" t="str">
        <f t="shared" si="137"/>
        <v/>
      </c>
      <c r="EQ102" t="str">
        <f t="shared" si="138"/>
        <v/>
      </c>
      <c r="ER102" t="str">
        <f>IF(OR(AI102="",AI102="-"),"",IFERROR(VLOOKUP(AI102,Модули_спр,2,FALSE),"R"))</f>
        <v/>
      </c>
      <c r="ES102" t="str">
        <f>IF(ER102="","",ER102&amp;"."&amp;COUNTIFS(A$3:A102,A102,ER$3:ER102,ER102))</f>
        <v/>
      </c>
      <c r="ET102" t="str">
        <f t="shared" si="139"/>
        <v/>
      </c>
      <c r="EU102" t="str">
        <f t="shared" si="140"/>
        <v/>
      </c>
      <c r="EV102" t="str">
        <f t="shared" si="141"/>
        <v/>
      </c>
      <c r="EW102" t="str">
        <f t="shared" si="142"/>
        <v/>
      </c>
      <c r="EX102">
        <f t="shared" si="143"/>
        <v>1</v>
      </c>
      <c r="EY102" t="str">
        <f>IF(AK102="нет","",IF(AK102&lt;&gt;"",AK102,IF(EX102=1,"XT"&amp;COUNTIFS(A$3:A102,A102,EX$3:EX102,1),"")))</f>
        <v>XT1</v>
      </c>
      <c r="EZ102" t="str">
        <f t="shared" si="144"/>
        <v/>
      </c>
      <c r="FA102" t="str">
        <f t="shared" si="145"/>
        <v/>
      </c>
      <c r="FB102" t="str">
        <f t="shared" si="146"/>
        <v/>
      </c>
      <c r="FC102" t="str">
        <f>IF(OR(EV102="",ET102=""),"",IF(EV102&gt;IFERROR(VLOOKUP(EU102,Модули_спр,3,FALSE),99),"ЛИШНИЙ КАНАЛ",IF(AND(AJ102&lt;&gt;"=",COUNTIFS(Линии[_модуль гр.],ET102,Линии[Канал (итог)],EV102,Линии[Канал],"&lt;&gt;=",Линии[Щит],A102)&gt;1),"ДУБЛЬ КАНАЛА","")))</f>
        <v/>
      </c>
      <c r="FD102" t="str">
        <f t="shared" si="147"/>
        <v/>
      </c>
      <c r="FE102" t="str">
        <f t="shared" si="148"/>
        <v/>
      </c>
      <c r="FF102" t="str">
        <f t="shared" si="149"/>
        <v/>
      </c>
      <c r="FG102" t="str">
        <f t="shared" si="150"/>
        <v/>
      </c>
      <c r="FH102" t="str">
        <f t="shared" si="151"/>
        <v/>
      </c>
      <c r="FI102">
        <f t="shared" si="152"/>
        <v>10</v>
      </c>
      <c r="FJ102" t="str">
        <f t="shared" si="153"/>
        <v/>
      </c>
      <c r="FK102" t="str">
        <f>IF(AND(D102="",EZ102=""),"",_xlfn.TEXTJOIN("; ",TRUE,IF(AND(D102&lt;&gt;"",DD102=""),"нет фазы",""),IF(AND(D102&lt;&gt;"",N(DT102)=0,CN102&lt;&gt;"Нет"),"нет мощности",""),IF(AND(EY102&lt;&gt;"",COUNTIFS(Линии[Щит],A102,Линии[Клемма (итог)],EY102)&gt;1),"дубль клеммы "&amp;EY102,""),IF(AND(FB102&lt;&gt;"",FB102&lt;&gt;"ok"),FB102,""),IF(FC102&lt;&gt;"",FC102,""),IF(AND(ISNUMBER(SEARCH("(5х",DS102)),N(DV102)=1),"5 жил на 1 фазе",""),IF(AND(AT102="R",AD102&lt;&gt;"",OR(N(EH102)=0,N(EH102)&gt;30)),"розетка без дифзащиты до 30 мА",""),IFERROR(IF(AND(ISNUMBER(CD102),CD102&gt;CE102),"потери "&amp;FIXED(CD102,1)&amp;" % &gt; "&amp;CE102&amp;" %",""),""),IFERROR(IF(LEFT(FJ102,4)="мало","Iкз мало — отключение &gt; 0,4 с",""),""),IF(AND(D102&lt;&gt;"",BD102=""),"не на схеме","")))</f>
        <v/>
      </c>
      <c r="FL102" t="str">
        <f>IF(AD102="","",_xlfn.LET(_xlpm.t,IFERROR(_xlfn.XLOOKUP(EP102,Каталог!$U$4:$U$500,Каталог!$G$4:$G$500),""),_xlpm.k,SEARCH("кА",_xlpm.t),IFERROR(--TRIM(RIGHT(SUBSTITUTE(MID(_xlpm.t,MAX(1,_xlpm.k-4),_xlpm.k-MAX(1,_xlpm.k-4))," ",REPT(" ",9)),5)),"")))</f>
        <v/>
      </c>
      <c r="FM102" t="str">
        <f>IF(OR(FL102="",AD102=""),"",IF(_xlfn.XLOOKUP(A102,Щиты[Щит],Щиты[Iкз max на шинах, кА],"")="","",IF(FL102&lt;_xlfn.XLOOKUP(A102,Щиты[Щит],Щиты[Iкз max на шинах, кА]),"Icu "&amp;FL102&amp;" кА &lt; Iкз max","ok")))</f>
        <v/>
      </c>
      <c r="FN102" t="str">
        <f t="shared" si="154"/>
        <v/>
      </c>
      <c r="FO102" t="str">
        <f t="shared" si="155"/>
        <v/>
      </c>
      <c r="FP102" t="str" cm="1">
        <f t="array" ref="FP102">IF(FO102="","",_xlfn.LET(_xlpm.nd,_xlfn.TEXTSPLIT(FO102,"|"),IF(COLUMNS(_xlpm.nd)&gt;1,A102&amp;"¦"&amp;INDEX(_xlpm.nd,1)&amp;"¦"&amp;INDEX(_xlpm.nd,2),"")))</f>
        <v/>
      </c>
      <c r="FQ102" t="str">
        <f t="shared" si="156"/>
        <v/>
      </c>
      <c r="FR102" t="str" cm="1">
        <f t="array" ref="FR102">IF(FO102="","",_xlfn.LET(_xlpm.nd,_xlfn.TEXTSPLIT(FO102,"|"),IF(COLUMNS(_xlpm.nd)&gt;2,A102&amp;"¦"&amp;INDEX(_xlpm.nd,2)&amp;"¦"&amp;INDEX(_xlpm.nd,3),"")))</f>
        <v/>
      </c>
      <c r="FS102" t="str">
        <f t="shared" si="157"/>
        <v/>
      </c>
      <c r="FT102" t="str" cm="1">
        <f t="array" ref="FT102">IF(FO102="","",_xlfn.LET(_xlpm.nd,_xlfn.TEXTSPLIT(FO102,"|"),IF(COLUMNS(_xlpm.nd)&gt;3,A102&amp;"¦"&amp;INDEX(_xlpm.nd,3)&amp;"¦"&amp;INDEX(_xlpm.nd,4),"")))</f>
        <v/>
      </c>
      <c r="FU102" t="str">
        <f t="shared" si="158"/>
        <v/>
      </c>
      <c r="FV102" t="str" cm="1">
        <f t="array" ref="FV102">IF(FO102="","",_xlfn.LET(_xlpm.nd,_xlfn.TEXTSPLIT(FO102,"|"),IF(COLUMNS(_xlpm.nd)&gt;4,A102&amp;"¦"&amp;INDEX(_xlpm.nd,4)&amp;"¦"&amp;INDEX(_xlpm.nd,5),"")))</f>
        <v/>
      </c>
      <c r="FW102" t="str">
        <f t="shared" si="159"/>
        <v/>
      </c>
      <c r="FX102" t="str" cm="1">
        <f t="array" ref="FX102">IF(FO102="","",_xlfn.LET(_xlpm.nd,_xlfn.TEXTSPLIT(FO102,"|"),IF(COLUMNS(_xlpm.nd)&gt;5,A102&amp;"¦"&amp;INDEX(_xlpm.nd,5)&amp;"¦"&amp;INDEX(_xlpm.nd,6),"")))</f>
        <v/>
      </c>
      <c r="FY102" t="str">
        <f t="shared" si="160"/>
        <v/>
      </c>
      <c r="FZ102" t="str" cm="1">
        <f t="array" ref="FZ102">IF(FO102="","",_xlfn.LET(_xlpm.nd,_xlfn.TEXTSPLIT(FO102,"|"),IF(COLUMNS(_xlpm.nd)&gt;6,A102&amp;"¦"&amp;INDEX(_xlpm.nd,6)&amp;"¦"&amp;INDEX(_xlpm.nd,7),"")))</f>
        <v/>
      </c>
      <c r="GA102" t="str">
        <f t="shared" si="161"/>
        <v/>
      </c>
      <c r="GB102" t="str">
        <f t="shared" si="162"/>
        <v/>
      </c>
      <c r="GC102" t="str">
        <f t="shared" si="163"/>
        <v>XT1</v>
      </c>
      <c r="GD102">
        <f t="shared" si="164"/>
        <v>0</v>
      </c>
      <c r="GE102">
        <f t="shared" si="165"/>
        <v>0</v>
      </c>
      <c r="GF102">
        <f t="shared" si="166"/>
        <v>0</v>
      </c>
      <c r="GG102" t="str">
        <f t="shared" si="167"/>
        <v/>
      </c>
      <c r="GH102" t="str">
        <f t="shared" si="168"/>
        <v/>
      </c>
      <c r="GI102" t="str">
        <f t="shared" si="169"/>
        <v/>
      </c>
      <c r="GJ102" t="str">
        <f t="shared" si="170"/>
        <v/>
      </c>
      <c r="GK102">
        <f>IF(D102="","",IFERROR(VLOOKUP(D102,УГО_спр,2,FALSE),IFERROR(VLOOKUP(AT102,УГО_спр,2,FALSE),IFERROR(VLOOKUP(LEFT(AT102,2),УГО_спр,2,FALSE),""))))</f>
        <v>0</v>
      </c>
      <c r="GL102" t="str">
        <f>IF(D102="","",IF(OR(GK102="",GK102=0),"BOX",IFERROR(IF(VLOOKUP(GK102,УГО_блоки,3,FALSE)&amp;""&lt;&gt;"",VLOOKUP(GK102,УГО_блоки,3,FALSE),VLOOKUP(GK102,УГО_блоки,2,FALSE)),GK102)))</f>
        <v>BOX</v>
      </c>
      <c r="GM102">
        <f t="shared" si="171"/>
        <v>1</v>
      </c>
      <c r="GN102" t="str">
        <f>IF(EP102="","",IF(COUNTIF(EP$3:EP102,EP102)=1,MAX(GN$2:GN101)+1,""))</f>
        <v/>
      </c>
      <c r="GO102" t="str">
        <f>IF(AF102="","",IF(COUNTIF(AF$3:AF102,AF102)+COUNTIF(AG$2:AG101,AF102)+COUNTIF(AH$2:AH101,AF102)=1,MAX(GO$2:GQ101)+1,""))</f>
        <v/>
      </c>
      <c r="GP102" t="str">
        <f>IF(AG102="","",IF(COUNTIF(AF$3:AF102,AG102)+COUNTIF(AG$3:AG102,AG102)+COUNTIF(AH$2:AH101,AG102)=1,MAX(GO$2:GQ101,GO102)+1,""))</f>
        <v/>
      </c>
      <c r="GQ102" t="str">
        <f>IF(AH102="","",IF(COUNTIF(AF$3:AF102,AH102)+COUNTIF(AG$3:AG102,AH102)+COUNTIF(AH$3:AH102,AH102)=1,MAX(GO$2:GQ101,GO102,GP102)+1,""))</f>
        <v/>
      </c>
      <c r="GR102" t="str">
        <f t="shared" si="172"/>
        <v>5х6</v>
      </c>
      <c r="GS102" t="str">
        <f>IF(GR102="","",IF(COUNTIF(GR$3:GR102,GR102)=1,MAX(GS$2:GS101)+1,""))</f>
        <v/>
      </c>
      <c r="GT102" t="str">
        <f>IF(ES102="","",COUNTIF(ES$3:ES102,"?*"))</f>
        <v/>
      </c>
      <c r="GU102" t="str">
        <f>IF(OR(ES102="",EU102=""),"",IF(COUNTIFS(ES$3:ES102,"?*",EU$3:EU102,EU102)=1,MAX(GU$2:GU101)+1,""))</f>
        <v/>
      </c>
      <c r="GV102">
        <f t="shared" si="173"/>
        <v>0</v>
      </c>
      <c r="GW102">
        <f>IF(D102="","",COUNTIF(D$3:D102,"?*"))</f>
        <v>100</v>
      </c>
      <c r="GX102">
        <f>IF(EX102&lt;&gt;1,0,_xlfn.LET(_xlpm.k,MAX(IFERROR(--VLOOKUP(D102,УГО_спр,5,FALSE),0),IFERROR(--VLOOKUP(AT102,УГО_спр,5,FALSE),0),IFERROR(--VLOOKUP(LEFT(AT102,2),УГО_спр,5,FALSE),0)),IF(_xlpm.k&gt;0,_xlpm.k,IF(IFERROR(--LEFT(SUBSTITUTE(GR102,"x","х"),FIND("х",SUBSTITUTE(GR102,"x","х"))-1),3)&gt;3,Каталог!$S$9,1))))</f>
        <v>1</v>
      </c>
      <c r="GY102">
        <f t="shared" si="174"/>
        <v>2</v>
      </c>
    </row>
    <row r="103" spans="1:207" x14ac:dyDescent="0.3">
      <c r="A103" t="s">
        <v>750</v>
      </c>
      <c r="B103">
        <v>13</v>
      </c>
      <c r="C103" t="str">
        <f>IF(BD103="","",IF(BE103="вводной узел","узел ","")&amp;"л."&amp;(INT((BD103-1)/Столбцов_на_лист)+1)&amp;" / "&amp;(MOD(BD103-1,Столбцов_на_лист)+1))</f>
        <v>л.1 / 13</v>
      </c>
      <c r="D103" t="s">
        <v>1386</v>
      </c>
      <c r="E103" s="133" t="s">
        <v>1387</v>
      </c>
      <c r="G103">
        <v>0.33</v>
      </c>
      <c r="H103">
        <v>1</v>
      </c>
      <c r="I103">
        <v>1</v>
      </c>
      <c r="J103">
        <v>230</v>
      </c>
      <c r="K103" t="s">
        <v>602</v>
      </c>
      <c r="L103">
        <v>0.5</v>
      </c>
      <c r="O103">
        <v>3</v>
      </c>
      <c r="P103">
        <v>32</v>
      </c>
      <c r="Q103">
        <v>20</v>
      </c>
      <c r="R103">
        <v>16</v>
      </c>
      <c r="T103">
        <v>1</v>
      </c>
      <c r="U103" t="s">
        <v>11</v>
      </c>
      <c r="V103">
        <v>3</v>
      </c>
      <c r="W103">
        <v>1.5</v>
      </c>
      <c r="X103">
        <v>10</v>
      </c>
      <c r="Z103" t="s">
        <v>584</v>
      </c>
      <c r="AA103" t="s">
        <v>818</v>
      </c>
      <c r="AD103" t="s">
        <v>517</v>
      </c>
      <c r="AR103" t="str">
        <f t="shared" si="88"/>
        <v/>
      </c>
      <c r="AS103" cm="1">
        <f t="array" ref="AS103">ROW()-ROW(Линии[#Headers])</f>
        <v>101</v>
      </c>
      <c r="AT103" t="str">
        <f t="shared" si="89"/>
        <v>П</v>
      </c>
      <c r="AU103" t="str">
        <f t="shared" si="90"/>
        <v>6</v>
      </c>
      <c r="AV103" t="str">
        <f t="shared" si="91"/>
        <v>6</v>
      </c>
      <c r="AW103" t="str">
        <f t="shared" si="92"/>
        <v/>
      </c>
      <c r="AX103" t="str">
        <f t="shared" si="93"/>
        <v/>
      </c>
      <c r="AY103" t="str">
        <f>IF(D103="","",IF(ISERROR(SEARCH(".",D103)),IFERROR(VLOOKUP(D103,Потребители_обозначение,2,FALSE)&amp;"",""),IFERROR(IF(VLOOKUP(AT103,Потребители_обозначение,4,FALSE)=1,VLOOKUP(AT103,Потребители_обозначение,2,FALSE)&amp;" "&amp;VLOOKUP(AV103,Этаж_обозначение,2,FALSE)&amp;" Пом. №"&amp;AX103,VLOOKUP(AT103,Потребители_обозначение,2,FALSE)&amp;" Шлейф №"&amp;AV103),IFERROR(VLOOKUP(D103,Потребители_обозначение,2,FALSE),""))))</f>
        <v>Приточная установка Шлейф №6</v>
      </c>
      <c r="AZ103" t="str">
        <f t="shared" si="94"/>
        <v>Приточная установка Цокольный этаж Пом №001Тб</v>
      </c>
      <c r="BA103" t="str">
        <f>IF(F103&lt;&gt;"",F103,IF(AND(D103&lt;&gt;"",D103&lt;&gt;A103,ISNUMBER(_xlfn.XMATCH(D103,Щиты[Щит]))),D103,""))</f>
        <v/>
      </c>
      <c r="BB103">
        <f>IFERROR(_xlfn.XMATCH(A103,Щиты[Щит]),0)</f>
        <v>6</v>
      </c>
      <c r="BC103">
        <f>IFERROR(N(_xlfn.XLOOKUP(A103,Щиты[Щит],Щиты[Мест под вводной узел])),15)</f>
        <v>12</v>
      </c>
      <c r="BD103">
        <f t="shared" si="95"/>
        <v>13</v>
      </c>
      <c r="BE103" t="str">
        <f t="shared" si="96"/>
        <v>линии</v>
      </c>
      <c r="BF103">
        <f>IF(D103="","",IF(BA103&lt;&gt;"",IFERROR(_xlfn.XLOOKUP(BA103,Щиты[Щит],Щиты[Руст, кВт]),0),N(G103)))</f>
        <v>0.33</v>
      </c>
      <c r="BG103">
        <f>IF(J103&lt;&gt;"",J103,IF(D103="","",IFERROR(IF(VLOOKUP(AT103,Потребители_обозначение,8,FALSE)=0,"",VLOOKUP(AT103,Потребители_обозначение,8,FALSE)),"")))</f>
        <v>230</v>
      </c>
      <c r="BH103">
        <f>IF(I103&lt;&gt;"",I103,IF(D103="","",IFERROR(IF(VLOOKUP(AT103,Потребители_обозначение,9,FALSE)=0,"",VLOOKUP(AT103,Потребители_обозначение,9,FALSE)),"")))</f>
        <v>1</v>
      </c>
      <c r="BI103" t="str">
        <f>IF(U103&lt;&gt;"",U103,IF(D103="","",IFERROR(IF(VLOOKUP(AT103,Потребители_обозначение,6,FALSE)=0,"",VLOOKUP(AT103,Потребители_обозначение,6,FALSE)),"")))</f>
        <v>мс</v>
      </c>
      <c r="BJ103">
        <f>IF(V103&lt;&gt;"",V103,IF(D103="","",IFERROR(IF(VLOOKUP(AT103,Потребители_обозначение,7,FALSE)=0,"",VLOOKUP(AT103,Потребители_обозначение,7,FALSE)),"")))</f>
        <v>3</v>
      </c>
      <c r="BK103">
        <f>IF(W103&lt;&gt;"",W103,IF(D103="","",IFERROR(IF(VLOOKUP(AT103,Потребители_обозначение,10,FALSE)=0,"",VLOOKUP(AT103,Потребители_обозначение,10,FALSE)),"")))</f>
        <v>1.5</v>
      </c>
      <c r="BL103">
        <f>IFERROR(VLOOKUP(AT103,Потребители_обозначение,5,FALSE),0)</f>
        <v>1</v>
      </c>
      <c r="BM103" cm="1">
        <f t="array" ref="BM103">IF(D103="","",IF(BA103&lt;&gt;"",IFERROR(_xlfn.XLOOKUP(BA103,Щиты[Щит],Щиты[cos φ]),0.95),IF(ISNUMBER(M103),M103,IFERROR(IF(BL103=2,_xlfn.IFS(BH103=3,VLOOKUP(BF103,Справочная_двигатели,8,FALSE),BH103=1,VLOOKUP(BF103,Справочная_двигатели,10,TRUE)),IF(AND(Методика="нормы 2026",CN103="Сил"),0.8,0.95)),0.95))))</f>
        <v>0.95</v>
      </c>
      <c r="BN103" cm="1">
        <f t="array" ref="BN103">IF(D103="","",IF(BA103&lt;&gt;"",IFERROR(_xlfn.XLOOKUP(BA103,Щиты[Щит],Щиты[Iр, А]),""),IFERROR(_xlfn.IFS(BH103=1,BF103/((Uн_лин/SQRT(3))*BM103),BH103=3,BF103/(SQRT(3)*Uн_лин*BM103)),"")))</f>
        <v>1.5041493855203407</v>
      </c>
      <c r="BO103">
        <f>IF(D103="","",IF(N(X103)=0,IFERROR(VLOOKUP(BN103,Автомат_номиналы,2,TRUE),""),X103))</f>
        <v>10</v>
      </c>
      <c r="BP103">
        <f t="shared" si="97"/>
        <v>1</v>
      </c>
      <c r="BQ103">
        <f>IF(ISNUMBER(Y103),Y103,К_прокл)</f>
        <v>1</v>
      </c>
      <c r="BR103">
        <f t="shared" si="98"/>
        <v>2</v>
      </c>
      <c r="BS103" cm="1">
        <f t="array" ref="BS103">IF(D103="","",IF(N(BK103)&lt;&gt;0,BK103,IFERROR(_xlfn.LET(_xlpm.need,BO103/(BP103*BQ103),_xlpm.t,CHOOSE(BR103,Iдоп_1ж,Iдоп_2ж,Iдоп_3ж),_xlpm.k,_xlfn.XMATCH(_xlpm.need,_xlpm.t,1),IF(ISNA(_xlpm.k),"Не исп",INDEX(Iдоп_S,_xlpm.k))),"Не исп")))</f>
        <v>1.5</v>
      </c>
      <c r="BT103">
        <f>IFERROR(VLOOKUP(BS103,Кабель_сопротивление,3,FALSE),"")</f>
        <v>2.2499999999999999E-2</v>
      </c>
      <c r="BU103">
        <f>IFERROR(VLOOKUP(BS103,Кабель_сопротивление,2,FALSE),"")</f>
        <v>0.11</v>
      </c>
      <c r="BV103">
        <f t="shared" si="99"/>
        <v>32</v>
      </c>
      <c r="BW103">
        <f>IF(D103="","",IFERROR(IF(VLOOKUP(AT103,Потребители_обозначение,4,FALSE)=1,VLOOKUP(AT103,Потребители_обозначение,3,FALSE)*(H103*2-1)+BV103+VLOOKUP(AV103,Этаж_обозначение,3,FALSE)+VLOOKUP(AV103,Этаж_обозначение,4,FALSE),VLOOKUP(AT103,Потребители_обозначение,3,FALSE)*(H103*2-1)+BV103),BV103))</f>
        <v>36</v>
      </c>
      <c r="BX103">
        <f t="shared" si="100"/>
        <v>16</v>
      </c>
      <c r="BY103">
        <f t="shared" si="101"/>
        <v>0</v>
      </c>
      <c r="BZ103">
        <f t="shared" si="102"/>
        <v>2</v>
      </c>
      <c r="CA103">
        <f t="shared" si="103"/>
        <v>0.31</v>
      </c>
      <c r="CB103">
        <f t="shared" si="104"/>
        <v>1.5469502571151987</v>
      </c>
      <c r="CC103">
        <f>IFERROR(ROUNDUP(CB103/((Uн_лин/SQRT(3))*1000)*100,2),"")</f>
        <v>0.67</v>
      </c>
      <c r="CD103">
        <f>IF(ISNUMBER(CC103),CC103+IFERROR(_xlfn.XLOOKUP(A103,Щиты[Щит],Щиты[ΔU до шин, %]),0),"")</f>
        <v>0.91</v>
      </c>
      <c r="CE103">
        <f>IF(D103="","",IF(IFERROR(VLOOKUP(AT103,УГО_спр,2,FALSE),"")="Светильник",3,4)+IF(Методика="нормы 2026",MIN(0.5,MAX(0,N(BW103)-100)*0.005),0))</f>
        <v>4</v>
      </c>
      <c r="CF103" t="str">
        <f>IFERROR(VLOOKUP(BI103,Кабель_обозначение,2,FALSE),"")</f>
        <v>ВВГнг(А)-LS</v>
      </c>
      <c r="CG103" t="str">
        <f>IFERROR(IF(VLOOKUP(BI103,Кабель_обозначение,3,FALSE)=1,CF103&amp;" ("&amp;BJ103&amp;"х"&amp;BS103&amp;")",CF103),"")</f>
        <v>ВВГнг(А)-LS (3х1,5)</v>
      </c>
      <c r="CH103" t="str">
        <f t="shared" si="105"/>
        <v>ВВГнг(А)-LS (3х1,5)
L=36-0,67%</v>
      </c>
      <c r="CI103">
        <f>IFERROR(2*ρкз_Cu*BW103/BS103,"")</f>
        <v>1.2624</v>
      </c>
      <c r="CJ103">
        <f t="shared" si="106"/>
        <v>0.4200000000000001</v>
      </c>
      <c r="CK103" t="str">
        <f>IFERROR(IF(OR(D103="",NOT(ISNUMBER(BS103)),N(BW103)=0),"",_xlfn.XLOOKUP(A103,Щиты[Щит],Щиты[Zпетли на шинах, Ом])+CI103),"")</f>
        <v/>
      </c>
      <c r="CL103" t="str">
        <f>IF(ISNUMBER(CK103),c_min*(Uн_лин*1000/SQRT(3))/CK103,"")</f>
        <v/>
      </c>
      <c r="CM103" t="str">
        <f>IFERROR(IF(OR(D103="",NOT(ISNUMBER(BS103))),"",1.05*(Uн_лин*1000/SQRT(3))/(_xlfn.XLOOKUP(A103,Щиты[Щит],Щиты[Zmax на шинах, Ом])+CJ103)/1000),"")</f>
        <v/>
      </c>
      <c r="CN103" t="str">
        <f>IF(D103="","",IF(BA103&lt;&gt;"","Щит",IF(K103&lt;&gt;"",K103,IF(ISNUMBER(L103),"Сил",IF(IFERROR(_xlfn.XLOOKUP(AT103,Коды_код,Коды_группа)&amp;"","")="","Быт",_xlfn.XLOOKUP(AT103,Коды_код,Коды_группа)&amp;"")))))</f>
        <v>Сил</v>
      </c>
      <c r="CO103">
        <f>IF(CN103="Щит","щит",IF(CN103="","",IF(CN103="Быт",IFERROR(_xlfn.XLOOKUP(A103,Щиты[Щит],Щиты[Кс быт]),1),IF(CN103="Сил",IF(ISNUMBER(L103),L103,IF(Методика="нормы 2026",IFERROR(_xlfn.XLOOKUP(A103,Щиты[Щит],Щиты[Кс силовых (табл. 7.5)]),1),1)),IF(OR(CN103="Пост",CN103="Отоп"),1,IF(CN103="ВНГ",0.7,0))))))</f>
        <v>0.5</v>
      </c>
      <c r="CP103">
        <f t="shared" si="107"/>
        <v>1</v>
      </c>
      <c r="CQ103">
        <f t="shared" si="108"/>
        <v>0.33</v>
      </c>
      <c r="CR103">
        <f t="shared" si="109"/>
        <v>0</v>
      </c>
      <c r="CS103">
        <f t="shared" si="110"/>
        <v>0.16500000000000001</v>
      </c>
      <c r="CT103">
        <f t="shared" si="111"/>
        <v>0</v>
      </c>
      <c r="CU103">
        <f t="shared" si="112"/>
        <v>0</v>
      </c>
      <c r="CV103">
        <f t="shared" si="113"/>
        <v>0</v>
      </c>
      <c r="CW103">
        <f t="shared" si="114"/>
        <v>0.33</v>
      </c>
      <c r="CX103">
        <f t="shared" si="115"/>
        <v>0.3135</v>
      </c>
      <c r="CY103">
        <f t="shared" si="116"/>
        <v>1</v>
      </c>
      <c r="CZ103" t="str">
        <f t="shared" si="117"/>
        <v>L1</v>
      </c>
      <c r="DA103" cm="1">
        <f t="array" ref="DA103">IFERROR(IF(BL103=2,_xlfn.IFS(BH103=3,VLOOKUP(BF103,Справочная_двигатели,3,FALSE),BH103=1,VLOOKUP(BF103,Справочная_двигатели,5,TRUE)),0),0)</f>
        <v>0</v>
      </c>
      <c r="DB103">
        <f>IFERROR(IF(BL103=3,VLOOKUP(BF103,Справочная_ЛЭД,2,TRUE),0),0)</f>
        <v>0</v>
      </c>
      <c r="DC103">
        <f t="shared" si="118"/>
        <v>0</v>
      </c>
      <c r="DD103" t="str">
        <f t="shared" si="119"/>
        <v>L3</v>
      </c>
      <c r="DE103" t="str" cm="1">
        <f t="array" ref="DE103">IF(D103="","",IFERROR(INDEX({"I особая","I","II","III"},MATCH(TRIM(AA103&amp;""),{"I особая","I","II","III"},0)),"III"))</f>
        <v>II</v>
      </c>
      <c r="DF103" t="str">
        <f>IF(D103="","",IF(TRIM(AB103&amp;"")&lt;&gt;"",IF(LOWER(TRIM(AB103&amp;""))="да","да","нет"),IF(IFERROR(_xlfn.XLOOKUP(AT103,Коды_код,Коды_пожарная),"")="да","да","нет")))</f>
        <v>нет</v>
      </c>
      <c r="DG103" t="str">
        <f t="shared" si="120"/>
        <v/>
      </c>
      <c r="DH103" t="str">
        <f t="shared" si="121"/>
        <v>основная</v>
      </c>
      <c r="DI103">
        <f t="shared" si="122"/>
        <v>1</v>
      </c>
      <c r="DJ103" t="str" cm="1">
        <f t="array" ref="DJ103">IF(D103="","",_xlfn.LET(_xlpm.t,IFERROR(_xlfn.XLOOKUP(1,(Шины[Шина]=DH103)*(((Шины[Щит]=A103)+(Шины[Щит]=""))&gt;0),Шины[Тип]),"")&amp;"",IF(_xlpm.t&lt;&gt;"",_xlpm.t,IF(ISNUMBER(SEARCH("ИБП",DH103)),"ИБП",IF(ISNUMBER(SEARCH("ДГУ",DH103)),"ДГУ","Ввод "&amp;DI103)))))</f>
        <v>Ввод 1</v>
      </c>
      <c r="DK103" t="str">
        <f t="shared" si="123"/>
        <v>Ввод 1</v>
      </c>
      <c r="DL103" t="str">
        <f>IF(D103="","",IF(OR(DJ103="ИБП",DJ103="ДГУ"),"I особая",IF(DJ103="Одиночная","III",_xlfn.XLOOKUP(A103,Щиты[Щит],Щиты[Категория шины «Ввод»],"III"))))</f>
        <v>II</v>
      </c>
      <c r="DM103">
        <f>IF(D103="",0,IFERROR(MATCH(DE103,{"III","II","I","I особая"},0),1))</f>
        <v>2</v>
      </c>
      <c r="DN103">
        <f t="shared" si="124"/>
        <v>2</v>
      </c>
      <c r="DO103" t="str">
        <f>IF(D103="","",IF(DM103&gt;IFERROR(MATCH(DL103,{"III","II","I","I особая"},0),1),"НЕ ОБЕСПЕЧЕНА","ОК"))</f>
        <v>ОК</v>
      </c>
      <c r="DP103" t="str">
        <f>IF(A103="","",_xlfn.XLOOKUP(A103,Щиты[Щит],Щиты[Путь],""))</f>
        <v>|ГРЩ-ЖД|ЩОВ-01|</v>
      </c>
      <c r="DQ103" t="str">
        <f>IF(D103="","",IF(Z103&lt;&gt;"",Z103,IF(IFERROR(_xlfn.XLOOKUP(AT103,Коды_код,Коды_вид)&amp;"","")="","Прочее",_xlfn.XLOOKUP(AT103,Коды_код,Коды_вид)&amp;"")))</f>
        <v>Вентиляция</v>
      </c>
      <c r="DR103">
        <f>IF(BD103="","",INT((BD103-1)/Столбцов_на_лист)+1)</f>
        <v>1</v>
      </c>
      <c r="DS103" t="str">
        <f t="shared" si="125"/>
        <v>ВВГнг(А)-LS (3х1,5) L=36-0,67%</v>
      </c>
      <c r="DT103">
        <f t="shared" si="126"/>
        <v>0.33</v>
      </c>
      <c r="DU103">
        <f t="shared" si="127"/>
        <v>1.51</v>
      </c>
      <c r="DV103">
        <f t="shared" si="128"/>
        <v>1</v>
      </c>
      <c r="DW103">
        <f>IF(AT103="",0,_xlfn.LET(_xlpm.v,IFERROR(VLOOKUP(D103,УГО_спр,3,FALSE),IFERROR(VLOOKUP(AT103,УГО_спр,3,FALSE),IFERROR(VLOOKUP(LEFT(AT103,2),УГО_спр,3,FALSE),""))),IF(_xlpm.v="да",30,IF(ISNUMBER(_xlpm.v),_xlpm.v,0))))</f>
        <v>0</v>
      </c>
      <c r="DX103">
        <f t="shared" si="129"/>
        <v>0</v>
      </c>
      <c r="DY103">
        <f>IF(BD103="","",IF(AD103&lt;&gt;"",COUNTIFS(A$3:A103,A103,AD$3:AD103,"?*"),IF(OR(OR(AS103=1,A103&lt;&gt;A102),AL103="вручную"),"",IF(AS103=1,"",DZ102))))</f>
        <v>1</v>
      </c>
      <c r="DZ103">
        <f t="shared" si="130"/>
        <v>1</v>
      </c>
      <c r="EA103">
        <f>IF(D103="",0,MAX(IFERROR(--X103,0),IFERROR(--VLOOKUP(D103,УГО_спр,4,FALSE),IFERROR(--VLOOKUP(AT103,УГО_спр,4,FALSE),IFERROR(--VLOOKUP(LEFT(AT103,2),УГО_спр,4,FALSE),0)))))</f>
        <v>10</v>
      </c>
      <c r="EB103">
        <f>IF(D103="","",IFERROR(LOOKUP(INDEX(CHOOSE(BR103,Iдоп_1ж,Iдоп_2ж,Iдоп_3ж),MATCH(BS103,Iдоп_S,0))*BP103*BQ103,{6,10,16,20,25,32,40,50,63,80,100,125,160,200,250,315,400,500,630}),""))</f>
        <v>16</v>
      </c>
      <c r="EC103">
        <f>IF(AD103="","",SUMIFS(Линии[_Ток схемы],Линии[_гр.],DY103,Линии[Щит],A103,Линии[_в кабель выше],0))</f>
        <v>1.51</v>
      </c>
      <c r="ED103">
        <f>IF(AD103="","",IFERROR(VLOOKUP(EC103,Автомат_номиналы,2,TRUE),""))</f>
        <v>6</v>
      </c>
      <c r="EE103">
        <f>IF(AD103="","",MAX(N(ED103),_xlfn.MAXIFS(Линии[_мин. по типу],Линии[_гр.],DY103,Линии[Щит],A103)))</f>
        <v>10</v>
      </c>
      <c r="EF103">
        <f>IF(AD103="","",_xlfn.MINIFS(Линии[_макс. автомат по кабелю],Линии[_гр.],DY103,Линии[Щит],A103))</f>
        <v>16</v>
      </c>
      <c r="EG103">
        <f>IF(AD103="","",MAX(1,_xlfn.MAXIFS(Линии[_фаз],Линии[_гр.],DY103,Линии[Щит],A103)))</f>
        <v>1</v>
      </c>
      <c r="EH103">
        <f>IF(AD103="","",IF(AND(AD103&lt;&gt;"авто",AD103&lt;&gt;"+"),IF(ISNUMBER(SEARCH("мА",AD103)),IFERROR(--TRIM(RIGHT(SUBSTITUTE(LEFT(AD103,SEARCH("мА",AD103)-1)," ",REPT(" ",9)),6)),30),0),IF(AE103="нет",0,IF(ISNUMBER(AE103),AE103,IF(AE103="да",30,_xlfn.MINIFS(Линии[_дифзащита по коду, мА],Линии[_гр.],DY103,Линии[Щит],A103,Линии[_дифзащита по коду, мА],"&gt;0"))))))</f>
        <v>0</v>
      </c>
      <c r="EI103">
        <f t="shared" si="131"/>
        <v>0</v>
      </c>
      <c r="EJ103" t="str">
        <f t="shared" si="132"/>
        <v>QF1</v>
      </c>
      <c r="EK103" t="str">
        <f t="shared" si="133"/>
        <v>QF1</v>
      </c>
      <c r="EL103" t="str">
        <f t="shared" si="134"/>
        <v/>
      </c>
      <c r="EM103">
        <f t="shared" si="135"/>
        <v>0</v>
      </c>
      <c r="EN103">
        <f>IF(AD103="","",IF(EM103=1,MAX(EE103,Мин_автомат_БП),EE103))</f>
        <v>10</v>
      </c>
      <c r="EO103" t="str">
        <f t="shared" si="136"/>
        <v>1P</v>
      </c>
      <c r="EP103" t="str">
        <f t="shared" si="137"/>
        <v>1P С10А</v>
      </c>
      <c r="EQ103">
        <f t="shared" si="138"/>
        <v>10</v>
      </c>
      <c r="ER103" t="str">
        <f>IF(OR(AI103="",AI103="-"),"",IFERROR(VLOOKUP(AI103,Модули_спр,2,FALSE),"R"))</f>
        <v/>
      </c>
      <c r="ES103" t="str">
        <f>IF(ER103="","",ER103&amp;"."&amp;COUNTIFS(A$3:A103,A103,ER$3:ER103,ER103))</f>
        <v/>
      </c>
      <c r="ET103" t="str">
        <f t="shared" si="139"/>
        <v/>
      </c>
      <c r="EU103" t="str">
        <f t="shared" si="140"/>
        <v/>
      </c>
      <c r="EV103" t="str">
        <f t="shared" si="141"/>
        <v/>
      </c>
      <c r="EW103" t="str">
        <f t="shared" si="142"/>
        <v/>
      </c>
      <c r="EX103">
        <f t="shared" si="143"/>
        <v>1</v>
      </c>
      <c r="EY103" t="str">
        <f>IF(AK103="нет","",IF(AK103&lt;&gt;"",AK103,IF(EX103=1,"XT"&amp;COUNTIFS(A$3:A103,A103,EX$3:EX103,1),"")))</f>
        <v>XT2</v>
      </c>
      <c r="EZ103" t="str">
        <f t="shared" si="144"/>
        <v>QF1</v>
      </c>
      <c r="FA103" t="str">
        <f t="shared" si="145"/>
        <v/>
      </c>
      <c r="FB103" t="str">
        <f t="shared" si="146"/>
        <v>ok</v>
      </c>
      <c r="FC103" t="str">
        <f>IF(OR(EV103="",ET103=""),"",IF(EV103&gt;IFERROR(VLOOKUP(EU103,Модули_спр,3,FALSE),99),"ЛИШНИЙ КАНАЛ",IF(AND(AJ103&lt;&gt;"=",COUNTIFS(Линии[_модуль гр.],ET103,Линии[Канал (итог)],EV103,Линии[Канал],"&lt;&gt;=",Линии[Щит],A103)&gt;1),"ДУБЛЬ КАНАЛА","")))</f>
        <v/>
      </c>
      <c r="FD103">
        <f t="shared" si="147"/>
        <v>10</v>
      </c>
      <c r="FE103" t="str">
        <f t="shared" si="148"/>
        <v>1P С10А</v>
      </c>
      <c r="FF103">
        <f t="shared" si="149"/>
        <v>0</v>
      </c>
      <c r="FG103">
        <f t="shared" si="150"/>
        <v>0</v>
      </c>
      <c r="FH103" t="str">
        <f t="shared" si="151"/>
        <v/>
      </c>
      <c r="FI103">
        <f t="shared" si="152"/>
        <v>10</v>
      </c>
      <c r="FJ103" t="str">
        <f t="shared" si="153"/>
        <v/>
      </c>
      <c r="FK103" t="str">
        <f>IF(AND(D103="",EZ103=""),"",_xlfn.TEXTJOIN("; ",TRUE,IF(AND(D103&lt;&gt;"",DD103=""),"нет фазы",""),IF(AND(D103&lt;&gt;"",N(DT103)=0,CN103&lt;&gt;"Нет"),"нет мощности",""),IF(AND(EY103&lt;&gt;"",COUNTIFS(Линии[Щит],A103,Линии[Клемма (итог)],EY103)&gt;1),"дубль клеммы "&amp;EY103,""),IF(AND(FB103&lt;&gt;"",FB103&lt;&gt;"ok"),FB103,""),IF(FC103&lt;&gt;"",FC103,""),IF(AND(ISNUMBER(SEARCH("(5х",DS103)),N(DV103)=1),"5 жил на 1 фазе",""),IF(AND(AT103="R",AD103&lt;&gt;"",OR(N(EH103)=0,N(EH103)&gt;30)),"розетка без дифзащиты до 30 мА",""),IFERROR(IF(AND(ISNUMBER(CD103),CD103&gt;CE103),"потери "&amp;FIXED(CD103,1)&amp;" % &gt; "&amp;CE103&amp;" %",""),""),IFERROR(IF(LEFT(FJ103,4)="мало","Iкз мало — отключение &gt; 0,4 с",""),""),IF(AND(D103&lt;&gt;"",BD103=""),"не на схеме","")))</f>
        <v/>
      </c>
      <c r="FL103">
        <f>IF(AD103="","",_xlfn.LET(_xlpm.t,IFERROR(_xlfn.XLOOKUP(EP103,Каталог!$U$4:$U$500,Каталог!$G$4:$G$500),""),_xlpm.k,SEARCH("кА",_xlpm.t),IFERROR(--TRIM(RIGHT(SUBSTITUTE(MID(_xlpm.t,MAX(1,_xlpm.k-4),_xlpm.k-MAX(1,_xlpm.k-4))," ",REPT(" ",9)),5)),"")))</f>
        <v>6</v>
      </c>
      <c r="FM103" t="str">
        <f>IF(OR(FL103="",AD103=""),"",IF(_xlfn.XLOOKUP(A103,Щиты[Щит],Щиты[Iкз max на шинах, кА],"")="","",IF(FL103&lt;_xlfn.XLOOKUP(A103,Щиты[Щит],Щиты[Iкз max на шинах, кА]),"Icu "&amp;FL103&amp;" кА &lt; Iкз max","ok")))</f>
        <v/>
      </c>
      <c r="FN103" t="str">
        <f t="shared" si="154"/>
        <v>QF1|XT2</v>
      </c>
      <c r="FO103" t="str">
        <f t="shared" si="155"/>
        <v>QF1|XT2|кабель ВВГнг(А)-LS (3х1,5) → Приточная установка Цокольный этаж Пом №001Тб</v>
      </c>
      <c r="FP103" t="str" cm="1">
        <f t="array" ref="FP103">IF(FO103="","",_xlfn.LET(_xlpm.nd,_xlfn.TEXTSPLIT(FO103,"|"),IF(COLUMNS(_xlpm.nd)&gt;1,A103&amp;"¦"&amp;INDEX(_xlpm.nd,1)&amp;"¦"&amp;INDEX(_xlpm.nd,2),"")))</f>
        <v>ЩОВ-01¦QF1¦XT2</v>
      </c>
      <c r="FQ103" t="str">
        <f t="shared" si="156"/>
        <v>П.6¦Приточная установка Цокольный этаж Пом №001Тб</v>
      </c>
      <c r="FR103" t="str" cm="1">
        <f t="array" ref="FR103">IF(FO103="","",_xlfn.LET(_xlpm.nd,_xlfn.TEXTSPLIT(FO103,"|"),IF(COLUMNS(_xlpm.nd)&gt;2,A103&amp;"¦"&amp;INDEX(_xlpm.nd,2)&amp;"¦"&amp;INDEX(_xlpm.nd,3),"")))</f>
        <v>ЩОВ-01¦XT2¦кабель ВВГнг(А)-LS (3х1,5) → Приточная установка Цокольный этаж Пом №001Тб</v>
      </c>
      <c r="FS103" t="str">
        <f t="shared" si="157"/>
        <v>П.6¦Приточная установка Цокольный этаж Пом №001Тб</v>
      </c>
      <c r="FT103" t="str" cm="1">
        <f t="array" ref="FT103">IF(FO103="","",_xlfn.LET(_xlpm.nd,_xlfn.TEXTSPLIT(FO103,"|"),IF(COLUMNS(_xlpm.nd)&gt;3,A103&amp;"¦"&amp;INDEX(_xlpm.nd,3)&amp;"¦"&amp;INDEX(_xlpm.nd,4),"")))</f>
        <v/>
      </c>
      <c r="FU103" t="str">
        <f t="shared" si="158"/>
        <v/>
      </c>
      <c r="FV103" t="str" cm="1">
        <f t="array" ref="FV103">IF(FO103="","",_xlfn.LET(_xlpm.nd,_xlfn.TEXTSPLIT(FO103,"|"),IF(COLUMNS(_xlpm.nd)&gt;4,A103&amp;"¦"&amp;INDEX(_xlpm.nd,4)&amp;"¦"&amp;INDEX(_xlpm.nd,5),"")))</f>
        <v/>
      </c>
      <c r="FW103" t="str">
        <f t="shared" si="159"/>
        <v/>
      </c>
      <c r="FX103" t="str" cm="1">
        <f t="array" ref="FX103">IF(FO103="","",_xlfn.LET(_xlpm.nd,_xlfn.TEXTSPLIT(FO103,"|"),IF(COLUMNS(_xlpm.nd)&gt;5,A103&amp;"¦"&amp;INDEX(_xlpm.nd,5)&amp;"¦"&amp;INDEX(_xlpm.nd,6),"")))</f>
        <v/>
      </c>
      <c r="FY103" t="str">
        <f t="shared" si="160"/>
        <v/>
      </c>
      <c r="FZ103" t="str" cm="1">
        <f t="array" ref="FZ103">IF(FO103="","",_xlfn.LET(_xlpm.nd,_xlfn.TEXTSPLIT(FO103,"|"),IF(COLUMNS(_xlpm.nd)&gt;6,A103&amp;"¦"&amp;INDEX(_xlpm.nd,6)&amp;"¦"&amp;INDEX(_xlpm.nd,7),"")))</f>
        <v/>
      </c>
      <c r="GA103" t="str">
        <f t="shared" si="161"/>
        <v/>
      </c>
      <c r="GB103" t="str">
        <f t="shared" si="162"/>
        <v/>
      </c>
      <c r="GC103" t="str">
        <f t="shared" si="163"/>
        <v>QF1 → XT2</v>
      </c>
      <c r="GD103">
        <f t="shared" si="164"/>
        <v>1</v>
      </c>
      <c r="GE103">
        <f t="shared" si="165"/>
        <v>0</v>
      </c>
      <c r="GF103">
        <f t="shared" si="166"/>
        <v>0</v>
      </c>
      <c r="GG103" t="str">
        <f t="shared" si="167"/>
        <v/>
      </c>
      <c r="GH103" t="str">
        <f t="shared" si="168"/>
        <v/>
      </c>
      <c r="GI103" t="str">
        <f t="shared" si="169"/>
        <v/>
      </c>
      <c r="GJ103" t="str">
        <f t="shared" si="170"/>
        <v/>
      </c>
      <c r="GK103" t="str">
        <f>IF(D103="","",IFERROR(VLOOKUP(D103,УГО_спр,2,FALSE),IFERROR(VLOOKUP(AT103,УГО_спр,2,FALSE),IFERROR(VLOOKUP(LEFT(AT103,2),УГО_спр,2,FALSE),""))))</f>
        <v>Привод (двигатель)</v>
      </c>
      <c r="GL103" t="str">
        <f>IF(D103="","",IF(OR(GK103="",GK103=0),"BOX",IFERROR(IF(VLOOKUP(GK103,УГО_блоки,3,FALSE)&amp;""&lt;&gt;"",VLOOKUP(GK103,УГО_блоки,3,FALSE),VLOOKUP(GK103,УГО_блоки,2,FALSE)),GK103)))</f>
        <v>MOTOR</v>
      </c>
      <c r="GM103">
        <f t="shared" si="171"/>
        <v>1</v>
      </c>
      <c r="GN103" t="str">
        <f>IF(EP103="","",IF(COUNTIF(EP$3:EP103,EP103)=1,MAX(GN$2:GN102)+1,""))</f>
        <v/>
      </c>
      <c r="GO103" t="str">
        <f>IF(AF103="","",IF(COUNTIF(AF$3:AF103,AF103)+COUNTIF(AG$2:AG102,AF103)+COUNTIF(AH$2:AH102,AF103)=1,MAX(GO$2:GQ102)+1,""))</f>
        <v/>
      </c>
      <c r="GP103" t="str">
        <f>IF(AG103="","",IF(COUNTIF(AF$3:AF103,AG103)+COUNTIF(AG$3:AG103,AG103)+COUNTIF(AH$2:AH102,AG103)=1,MAX(GO$2:GQ102,GO103)+1,""))</f>
        <v/>
      </c>
      <c r="GQ103" t="str">
        <f>IF(AH103="","",IF(COUNTIF(AF$3:AF103,AH103)+COUNTIF(AG$3:AG103,AH103)+COUNTIF(AH$3:AH103,AH103)=1,MAX(GO$2:GQ102,GO103,GP103)+1,""))</f>
        <v/>
      </c>
      <c r="GR103" t="str">
        <f t="shared" si="172"/>
        <v>3х1,5</v>
      </c>
      <c r="GS103" t="str">
        <f>IF(GR103="","",IF(COUNTIF(GR$3:GR103,GR103)=1,MAX(GS$2:GS102)+1,""))</f>
        <v/>
      </c>
      <c r="GT103" t="str">
        <f>IF(ES103="","",COUNTIF(ES$3:ES103,"?*"))</f>
        <v/>
      </c>
      <c r="GU103" t="str">
        <f>IF(OR(ES103="",EU103=""),"",IF(COUNTIFS(ES$3:ES103,"?*",EU$3:EU103,EU103)=1,MAX(GU$2:GU102)+1,""))</f>
        <v/>
      </c>
      <c r="GV103">
        <f t="shared" si="173"/>
        <v>0</v>
      </c>
      <c r="GW103">
        <f>IF(D103="","",COUNTIF(D$3:D103,"?*"))</f>
        <v>101</v>
      </c>
      <c r="GX103">
        <f>IF(EX103&lt;&gt;1,0,_xlfn.LET(_xlpm.k,MAX(IFERROR(--VLOOKUP(D103,УГО_спр,5,FALSE),0),IFERROR(--VLOOKUP(AT103,УГО_спр,5,FALSE),0),IFERROR(--VLOOKUP(LEFT(AT103,2),УГО_спр,5,FALSE),0)),IF(_xlpm.k&gt;0,_xlpm.k,IF(IFERROR(--LEFT(SUBSTITUTE(GR103,"x","х"),FIND("х",SUBSTITUTE(GR103,"x","х"))-1),3)&gt;3,Каталог!$S$9,1))))</f>
        <v>1</v>
      </c>
      <c r="GY103">
        <f t="shared" si="174"/>
        <v>0</v>
      </c>
    </row>
    <row r="104" spans="1:207" x14ac:dyDescent="0.3">
      <c r="A104" t="s">
        <v>750</v>
      </c>
      <c r="B104">
        <v>14</v>
      </c>
      <c r="C104" t="str">
        <f>IF(BD104="","",IF(BE104="вводной узел","узел ","")&amp;"л."&amp;(INT((BD104-1)/Столбцов_на_лист)+1)&amp;" / "&amp;(MOD(BD104-1,Столбцов_на_лист)+1))</f>
        <v>л.1 / 14</v>
      </c>
      <c r="D104" t="s">
        <v>1388</v>
      </c>
      <c r="E104" s="133" t="s">
        <v>1389</v>
      </c>
      <c r="G104">
        <v>7</v>
      </c>
      <c r="H104">
        <v>1</v>
      </c>
      <c r="I104">
        <v>3</v>
      </c>
      <c r="J104">
        <v>400</v>
      </c>
      <c r="K104" t="s">
        <v>602</v>
      </c>
      <c r="L104">
        <v>0.5</v>
      </c>
      <c r="O104" t="s">
        <v>1298</v>
      </c>
      <c r="P104">
        <v>38</v>
      </c>
      <c r="Q104">
        <v>20</v>
      </c>
      <c r="R104">
        <v>22</v>
      </c>
      <c r="T104">
        <v>1</v>
      </c>
      <c r="U104" t="s">
        <v>11</v>
      </c>
      <c r="V104">
        <v>5</v>
      </c>
      <c r="W104">
        <v>2.5</v>
      </c>
      <c r="X104">
        <v>16</v>
      </c>
      <c r="Z104" t="s">
        <v>584</v>
      </c>
      <c r="AA104" t="s">
        <v>818</v>
      </c>
      <c r="AD104" t="s">
        <v>517</v>
      </c>
      <c r="AR104" t="str">
        <f t="shared" si="88"/>
        <v/>
      </c>
      <c r="AS104" cm="1">
        <f t="array" ref="AS104">ROW()-ROW(Линии[#Headers])</f>
        <v>102</v>
      </c>
      <c r="AT104" t="str">
        <f t="shared" si="89"/>
        <v>ПВ</v>
      </c>
      <c r="AU104" t="str">
        <f t="shared" si="90"/>
        <v>6</v>
      </c>
      <c r="AV104" t="str">
        <f t="shared" si="91"/>
        <v>6</v>
      </c>
      <c r="AW104" t="str">
        <f t="shared" si="92"/>
        <v/>
      </c>
      <c r="AX104" t="str">
        <f t="shared" si="93"/>
        <v/>
      </c>
      <c r="AY104" t="str">
        <f>IF(D104="","",IF(ISERROR(SEARCH(".",D104)),IFERROR(VLOOKUP(D104,Потребители_обозначение,2,FALSE)&amp;"",""),IFERROR(IF(VLOOKUP(AT104,Потребители_обозначение,4,FALSE)=1,VLOOKUP(AT104,Потребители_обозначение,2,FALSE)&amp;" "&amp;VLOOKUP(AV104,Этаж_обозначение,2,FALSE)&amp;" Пом. №"&amp;AX104,VLOOKUP(AT104,Потребители_обозначение,2,FALSE)&amp;" Шлейф №"&amp;AV104),IFERROR(VLOOKUP(D104,Потребители_обозначение,2,FALSE),""))))</f>
        <v>Приточно-вытяжная установка Шлейф №6</v>
      </c>
      <c r="AZ104" t="str">
        <f t="shared" si="94"/>
        <v>Приточно-вытяжная установка цокольный этаж Пом №001Тб</v>
      </c>
      <c r="BA104" t="str">
        <f>IF(F104&lt;&gt;"",F104,IF(AND(D104&lt;&gt;"",D104&lt;&gt;A104,ISNUMBER(_xlfn.XMATCH(D104,Щиты[Щит]))),D104,""))</f>
        <v/>
      </c>
      <c r="BB104">
        <f>IFERROR(_xlfn.XMATCH(A104,Щиты[Щит]),0)</f>
        <v>6</v>
      </c>
      <c r="BC104">
        <f>IFERROR(N(_xlfn.XLOOKUP(A104,Щиты[Щит],Щиты[Мест под вводной узел])),15)</f>
        <v>12</v>
      </c>
      <c r="BD104">
        <f t="shared" si="95"/>
        <v>14</v>
      </c>
      <c r="BE104" t="str">
        <f t="shared" si="96"/>
        <v>линии</v>
      </c>
      <c r="BF104">
        <f>IF(D104="","",IF(BA104&lt;&gt;"",IFERROR(_xlfn.XLOOKUP(BA104,Щиты[Щит],Щиты[Руст, кВт]),0),N(G104)))</f>
        <v>7</v>
      </c>
      <c r="BG104">
        <f>IF(J104&lt;&gt;"",J104,IF(D104="","",IFERROR(IF(VLOOKUP(AT104,Потребители_обозначение,8,FALSE)=0,"",VLOOKUP(AT104,Потребители_обозначение,8,FALSE)),"")))</f>
        <v>400</v>
      </c>
      <c r="BH104">
        <f>IF(I104&lt;&gt;"",I104,IF(D104="","",IFERROR(IF(VLOOKUP(AT104,Потребители_обозначение,9,FALSE)=0,"",VLOOKUP(AT104,Потребители_обозначение,9,FALSE)),"")))</f>
        <v>3</v>
      </c>
      <c r="BI104" t="str">
        <f>IF(U104&lt;&gt;"",U104,IF(D104="","",IFERROR(IF(VLOOKUP(AT104,Потребители_обозначение,6,FALSE)=0,"",VLOOKUP(AT104,Потребители_обозначение,6,FALSE)),"")))</f>
        <v>мс</v>
      </c>
      <c r="BJ104">
        <f>IF(V104&lt;&gt;"",V104,IF(D104="","",IFERROR(IF(VLOOKUP(AT104,Потребители_обозначение,7,FALSE)=0,"",VLOOKUP(AT104,Потребители_обозначение,7,FALSE)),"")))</f>
        <v>5</v>
      </c>
      <c r="BK104">
        <f>IF(W104&lt;&gt;"",W104,IF(D104="","",IFERROR(IF(VLOOKUP(AT104,Потребители_обозначение,10,FALSE)=0,"",VLOOKUP(AT104,Потребители_обозначение,10,FALSE)),"")))</f>
        <v>2.5</v>
      </c>
      <c r="BL104">
        <f>IFERROR(VLOOKUP(AT104,Потребители_обозначение,5,FALSE),0)</f>
        <v>1</v>
      </c>
      <c r="BM104" cm="1">
        <f t="array" ref="BM104">IF(D104="","",IF(BA104&lt;&gt;"",IFERROR(_xlfn.XLOOKUP(BA104,Щиты[Щит],Щиты[cos φ]),0.95),IF(ISNUMBER(M104),M104,IFERROR(IF(BL104=2,_xlfn.IFS(BH104=3,VLOOKUP(BF104,Справочная_двигатели,8,FALSE),BH104=1,VLOOKUP(BF104,Справочная_двигатели,10,TRUE)),IF(AND(Методика="нормы 2026",CN104="Сил"),0.8,0.95)),0.95))))</f>
        <v>0.95</v>
      </c>
      <c r="BN104" cm="1">
        <f t="array" ref="BN104">IF(D104="","",IF(BA104&lt;&gt;"",IFERROR(_xlfn.XLOOKUP(BA104,Щиты[Щит],Щиты[Iр, А]),""),IFERROR(_xlfn.IFS(BH104=1,BF104/((Uн_лин/SQRT(3))*BM104),BH104=3,BF104/(SQRT(3)*Uн_лин*BM104)),"")))</f>
        <v>10.63539969559837</v>
      </c>
      <c r="BO104">
        <f>IF(D104="","",IF(N(X104)=0,IFERROR(VLOOKUP(BN104,Автомат_номиналы,2,TRUE),""),X104))</f>
        <v>16</v>
      </c>
      <c r="BP104">
        <f t="shared" si="97"/>
        <v>0.92</v>
      </c>
      <c r="BQ104">
        <f>IF(ISNUMBER(Y104),Y104,К_прокл)</f>
        <v>1</v>
      </c>
      <c r="BR104">
        <f t="shared" si="98"/>
        <v>3</v>
      </c>
      <c r="BS104" cm="1">
        <f t="array" ref="BS104">IF(D104="","",IF(N(BK104)&lt;&gt;0,BK104,IFERROR(_xlfn.LET(_xlpm.need,BO104/(BP104*BQ104),_xlpm.t,CHOOSE(BR104,Iдоп_1ж,Iдоп_2ж,Iдоп_3ж),_xlpm.k,_xlfn.XMATCH(_xlpm.need,_xlpm.t,1),IF(ISNA(_xlpm.k),"Не исп",INDEX(Iдоп_S,_xlpm.k))),"Не исп")))</f>
        <v>2.5</v>
      </c>
      <c r="BT104">
        <f>IFERROR(VLOOKUP(BS104,Кабель_сопротивление,3,FALSE),"")</f>
        <v>2.2499999999999999E-2</v>
      </c>
      <c r="BU104">
        <f>IFERROR(VLOOKUP(BS104,Кабель_сопротивление,2,FALSE),"")</f>
        <v>0.1</v>
      </c>
      <c r="BV104">
        <f t="shared" si="99"/>
        <v>38</v>
      </c>
      <c r="BW104">
        <f>IF(D104="","",IFERROR(IF(VLOOKUP(AT104,Потребители_обозначение,4,FALSE)=1,VLOOKUP(AT104,Потребители_обозначение,3,FALSE)*(H104*2-1)+BV104+VLOOKUP(AV104,Этаж_обозначение,3,FALSE)+VLOOKUP(AV104,Этаж_обозначение,4,FALSE),VLOOKUP(AT104,Потребители_обозначение,3,FALSE)*(H104*2-1)+BV104),BV104))</f>
        <v>42</v>
      </c>
      <c r="BX104">
        <f t="shared" si="100"/>
        <v>22</v>
      </c>
      <c r="BY104">
        <f t="shared" si="101"/>
        <v>0</v>
      </c>
      <c r="BZ104">
        <f t="shared" si="102"/>
        <v>1</v>
      </c>
      <c r="CA104">
        <f t="shared" si="103"/>
        <v>0.31</v>
      </c>
      <c r="CB104">
        <f t="shared" si="104"/>
        <v>3.8330193210930434</v>
      </c>
      <c r="CC104">
        <f>IFERROR(ROUNDUP(CB104/((Uн_лин/SQRT(3))*1000)*100,2),"")</f>
        <v>1.66</v>
      </c>
      <c r="CD104">
        <f>IF(ISNUMBER(CC104),CC104+IFERROR(_xlfn.XLOOKUP(A104,Щиты[Щит],Щиты[ΔU до шин, %]),0),"")</f>
        <v>1.9</v>
      </c>
      <c r="CE104">
        <f>IF(D104="","",IF(IFERROR(VLOOKUP(AT104,УГО_спр,2,FALSE),"")="Светильник",3,4)+IF(Методика="нормы 2026",MIN(0.5,MAX(0,N(BW104)-100)*0.005),0))</f>
        <v>4</v>
      </c>
      <c r="CF104" t="str">
        <f>IFERROR(VLOOKUP(BI104,Кабель_обозначение,2,FALSE),"")</f>
        <v>ВВГнг(А)-LS</v>
      </c>
      <c r="CG104" t="str">
        <f>IFERROR(IF(VLOOKUP(BI104,Кабель_обозначение,3,FALSE)=1,CF104&amp;" ("&amp;BJ104&amp;"х"&amp;BS104&amp;")",CF104),"")</f>
        <v>ВВГнг(А)-LS (5х2,5)</v>
      </c>
      <c r="CH104" t="str">
        <f t="shared" si="105"/>
        <v>ВВГнг(А)-LS (5х2,5)
L=42-1,66%</v>
      </c>
      <c r="CI104">
        <f>IFERROR(2*ρкз_Cu*BW104/BS104,"")</f>
        <v>0.88368000000000002</v>
      </c>
      <c r="CJ104">
        <f t="shared" si="106"/>
        <v>0.29400000000000004</v>
      </c>
      <c r="CK104" t="str">
        <f>IFERROR(IF(OR(D104="",NOT(ISNUMBER(BS104)),N(BW104)=0),"",_xlfn.XLOOKUP(A104,Щиты[Щит],Щиты[Zпетли на шинах, Ом])+CI104),"")</f>
        <v/>
      </c>
      <c r="CL104" t="str">
        <f>IF(ISNUMBER(CK104),c_min*(Uн_лин*1000/SQRT(3))/CK104,"")</f>
        <v/>
      </c>
      <c r="CM104" t="str">
        <f>IFERROR(IF(OR(D104="",NOT(ISNUMBER(BS104))),"",1.05*(Uн_лин*1000/SQRT(3))/(_xlfn.XLOOKUP(A104,Щиты[Щит],Щиты[Zmax на шинах, Ом])+CJ104)/1000),"")</f>
        <v/>
      </c>
      <c r="CN104" t="str">
        <f>IF(D104="","",IF(BA104&lt;&gt;"","Щит",IF(K104&lt;&gt;"",K104,IF(ISNUMBER(L104),"Сил",IF(IFERROR(_xlfn.XLOOKUP(AT104,Коды_код,Коды_группа)&amp;"","")="","Быт",_xlfn.XLOOKUP(AT104,Коды_код,Коды_группа)&amp;"")))))</f>
        <v>Сил</v>
      </c>
      <c r="CO104">
        <f>IF(CN104="Щит","щит",IF(CN104="","",IF(CN104="Быт",IFERROR(_xlfn.XLOOKUP(A104,Щиты[Щит],Щиты[Кс быт]),1),IF(CN104="Сил",IF(ISNUMBER(L104),L104,IF(Методика="нормы 2026",IFERROR(_xlfn.XLOOKUP(A104,Щиты[Щит],Щиты[Кс силовых (табл. 7.5)]),1),1)),IF(OR(CN104="Пост",CN104="Отоп"),1,IF(CN104="ВНГ",0.7,0))))))</f>
        <v>0.5</v>
      </c>
      <c r="CP104">
        <f t="shared" si="107"/>
        <v>1</v>
      </c>
      <c r="CQ104">
        <f t="shared" si="108"/>
        <v>7</v>
      </c>
      <c r="CR104">
        <f t="shared" si="109"/>
        <v>0</v>
      </c>
      <c r="CS104">
        <f t="shared" si="110"/>
        <v>3.5</v>
      </c>
      <c r="CT104">
        <f t="shared" si="111"/>
        <v>0</v>
      </c>
      <c r="CU104">
        <f t="shared" si="112"/>
        <v>0</v>
      </c>
      <c r="CV104">
        <f t="shared" si="113"/>
        <v>0</v>
      </c>
      <c r="CW104">
        <f t="shared" si="114"/>
        <v>7</v>
      </c>
      <c r="CX104">
        <f t="shared" si="115"/>
        <v>6.6499999999999995</v>
      </c>
      <c r="CY104">
        <f t="shared" si="116"/>
        <v>1</v>
      </c>
      <c r="CZ104" t="str">
        <f t="shared" si="117"/>
        <v>L1,L2,L3</v>
      </c>
      <c r="DA104" cm="1">
        <f t="array" ref="DA104">IFERROR(IF(BL104=2,_xlfn.IFS(BH104=3,VLOOKUP(BF104,Справочная_двигатели,3,FALSE),BH104=1,VLOOKUP(BF104,Справочная_двигатели,5,TRUE)),0),0)</f>
        <v>0</v>
      </c>
      <c r="DB104">
        <f>IFERROR(IF(BL104=3,VLOOKUP(BF104,Справочная_ЛЭД,2,TRUE),0),0)</f>
        <v>0</v>
      </c>
      <c r="DC104">
        <f t="shared" si="118"/>
        <v>0</v>
      </c>
      <c r="DD104" t="str">
        <f t="shared" si="119"/>
        <v>L1,L2,L3</v>
      </c>
      <c r="DE104" t="str" cm="1">
        <f t="array" ref="DE104">IF(D104="","",IFERROR(INDEX({"I особая","I","II","III"},MATCH(TRIM(AA104&amp;""),{"I особая","I","II","III"},0)),"III"))</f>
        <v>II</v>
      </c>
      <c r="DF104" t="str">
        <f>IF(D104="","",IF(TRIM(AB104&amp;"")&lt;&gt;"",IF(LOWER(TRIM(AB104&amp;""))="да","да","нет"),IF(IFERROR(_xlfn.XLOOKUP(AT104,Коды_код,Коды_пожарная),"")="да","да","нет")))</f>
        <v>нет</v>
      </c>
      <c r="DG104" t="str">
        <f t="shared" si="120"/>
        <v/>
      </c>
      <c r="DH104" t="str">
        <f t="shared" si="121"/>
        <v>основная</v>
      </c>
      <c r="DI104">
        <f t="shared" si="122"/>
        <v>1</v>
      </c>
      <c r="DJ104" t="str" cm="1">
        <f t="array" ref="DJ104">IF(D104="","",_xlfn.LET(_xlpm.t,IFERROR(_xlfn.XLOOKUP(1,(Шины[Шина]=DH104)*(((Шины[Щит]=A104)+(Шины[Щит]=""))&gt;0),Шины[Тип]),"")&amp;"",IF(_xlpm.t&lt;&gt;"",_xlpm.t,IF(ISNUMBER(SEARCH("ИБП",DH104)),"ИБП",IF(ISNUMBER(SEARCH("ДГУ",DH104)),"ДГУ","Ввод "&amp;DI104)))))</f>
        <v>Ввод 1</v>
      </c>
      <c r="DK104" t="str">
        <f t="shared" si="123"/>
        <v>Ввод 1</v>
      </c>
      <c r="DL104" t="str">
        <f>IF(D104="","",IF(OR(DJ104="ИБП",DJ104="ДГУ"),"I особая",IF(DJ104="Одиночная","III",_xlfn.XLOOKUP(A104,Щиты[Щит],Щиты[Категория шины «Ввод»],"III"))))</f>
        <v>II</v>
      </c>
      <c r="DM104">
        <f>IF(D104="",0,IFERROR(MATCH(DE104,{"III","II","I","I особая"},0),1))</f>
        <v>2</v>
      </c>
      <c r="DN104">
        <f t="shared" si="124"/>
        <v>2</v>
      </c>
      <c r="DO104" t="str">
        <f>IF(D104="","",IF(DM104&gt;IFERROR(MATCH(DL104,{"III","II","I","I особая"},0),1),"НЕ ОБЕСПЕЧЕНА","ОК"))</f>
        <v>ОК</v>
      </c>
      <c r="DP104" t="str">
        <f>IF(A104="","",_xlfn.XLOOKUP(A104,Щиты[Щит],Щиты[Путь],""))</f>
        <v>|ГРЩ-ЖД|ЩОВ-01|</v>
      </c>
      <c r="DQ104" t="str">
        <f>IF(D104="","",IF(Z104&lt;&gt;"",Z104,IF(IFERROR(_xlfn.XLOOKUP(AT104,Коды_код,Коды_вид)&amp;"","")="","Прочее",_xlfn.XLOOKUP(AT104,Коды_код,Коды_вид)&amp;"")))</f>
        <v>Вентиляция</v>
      </c>
      <c r="DR104">
        <f>IF(BD104="","",INT((BD104-1)/Столбцов_на_лист)+1)</f>
        <v>1</v>
      </c>
      <c r="DS104" t="str">
        <f t="shared" si="125"/>
        <v>ВВГнг(А)-LS (5х2,5) L=42-1,66%</v>
      </c>
      <c r="DT104">
        <f t="shared" si="126"/>
        <v>7</v>
      </c>
      <c r="DU104">
        <f t="shared" si="127"/>
        <v>10.64</v>
      </c>
      <c r="DV104">
        <f t="shared" si="128"/>
        <v>3</v>
      </c>
      <c r="DW104">
        <f>IF(AT104="",0,_xlfn.LET(_xlpm.v,IFERROR(VLOOKUP(D104,УГО_спр,3,FALSE),IFERROR(VLOOKUP(AT104,УГО_спр,3,FALSE),IFERROR(VLOOKUP(LEFT(AT104,2),УГО_спр,3,FALSE),""))),IF(_xlpm.v="да",30,IF(ISNUMBER(_xlpm.v),_xlpm.v,0))))</f>
        <v>0</v>
      </c>
      <c r="DX104">
        <f t="shared" si="129"/>
        <v>0</v>
      </c>
      <c r="DY104">
        <f>IF(BD104="","",IF(AD104&lt;&gt;"",COUNTIFS(A$3:A104,A104,AD$3:AD104,"?*"),IF(OR(OR(AS104=1,A104&lt;&gt;A103),AL104="вручную"),"",IF(AS104=1,"",DZ103))))</f>
        <v>2</v>
      </c>
      <c r="DZ104">
        <f t="shared" si="130"/>
        <v>2</v>
      </c>
      <c r="EA104">
        <f>IF(D104="",0,MAX(IFERROR(--X104,0),IFERROR(--VLOOKUP(D104,УГО_спр,4,FALSE),IFERROR(--VLOOKUP(AT104,УГО_спр,4,FALSE),IFERROR(--VLOOKUP(LEFT(AT104,2),УГО_спр,4,FALSE),0)))))</f>
        <v>16</v>
      </c>
      <c r="EB104">
        <f>IF(D104="","",IFERROR(LOOKUP(INDEX(CHOOSE(BR104,Iдоп_1ж,Iдоп_2ж,Iдоп_3ж),MATCH(BS104,Iдоп_S,0))*BP104*BQ104,{6,10,16,20,25,32,40,50,63,80,100,125,160,200,250,315,400,500,630}),""))</f>
        <v>20</v>
      </c>
      <c r="EC104">
        <f>IF(AD104="","",SUMIFS(Линии[_Ток схемы],Линии[_гр.],DY104,Линии[Щит],A104,Линии[_в кабель выше],0))</f>
        <v>10.64</v>
      </c>
      <c r="ED104">
        <f>IF(AD104="","",IFERROR(VLOOKUP(EC104,Автомат_номиналы,2,TRUE),""))</f>
        <v>16</v>
      </c>
      <c r="EE104">
        <f>IF(AD104="","",MAX(N(ED104),_xlfn.MAXIFS(Линии[_мин. по типу],Линии[_гр.],DY104,Линии[Щит],A104)))</f>
        <v>16</v>
      </c>
      <c r="EF104">
        <f>IF(AD104="","",_xlfn.MINIFS(Линии[_макс. автомат по кабелю],Линии[_гр.],DY104,Линии[Щит],A104))</f>
        <v>20</v>
      </c>
      <c r="EG104">
        <f>IF(AD104="","",MAX(1,_xlfn.MAXIFS(Линии[_фаз],Линии[_гр.],DY104,Линии[Щит],A104)))</f>
        <v>3</v>
      </c>
      <c r="EH104">
        <f>IF(AD104="","",IF(AND(AD104&lt;&gt;"авто",AD104&lt;&gt;"+"),IF(ISNUMBER(SEARCH("мА",AD104)),IFERROR(--TRIM(RIGHT(SUBSTITUTE(LEFT(AD104,SEARCH("мА",AD104)-1)," ",REPT(" ",9)),6)),30),0),IF(AE104="нет",0,IF(ISNUMBER(AE104),AE104,IF(AE104="да",30,_xlfn.MINIFS(Линии[_дифзащита по коду, мА],Линии[_гр.],DY104,Линии[Щит],A104,Линии[_дифзащита по коду, мА],"&gt;0"))))))</f>
        <v>0</v>
      </c>
      <c r="EI104">
        <f t="shared" si="131"/>
        <v>0</v>
      </c>
      <c r="EJ104" t="str">
        <f t="shared" si="132"/>
        <v>QF2</v>
      </c>
      <c r="EK104" t="str">
        <f t="shared" si="133"/>
        <v>QF2</v>
      </c>
      <c r="EL104" t="str">
        <f t="shared" si="134"/>
        <v/>
      </c>
      <c r="EM104">
        <f t="shared" si="135"/>
        <v>0</v>
      </c>
      <c r="EN104">
        <f>IF(AD104="","",IF(EM104=1,MAX(EE104,Мин_автомат_БП),EE104))</f>
        <v>16</v>
      </c>
      <c r="EO104" t="str">
        <f t="shared" si="136"/>
        <v>3P</v>
      </c>
      <c r="EP104" t="str">
        <f t="shared" si="137"/>
        <v>3P С16А</v>
      </c>
      <c r="EQ104">
        <f t="shared" si="138"/>
        <v>16</v>
      </c>
      <c r="ER104" t="str">
        <f>IF(OR(AI104="",AI104="-"),"",IFERROR(VLOOKUP(AI104,Модули_спр,2,FALSE),"R"))</f>
        <v/>
      </c>
      <c r="ES104" t="str">
        <f>IF(ER104="","",ER104&amp;"."&amp;COUNTIFS(A$3:A104,A104,ER$3:ER104,ER104))</f>
        <v/>
      </c>
      <c r="ET104" t="str">
        <f t="shared" si="139"/>
        <v/>
      </c>
      <c r="EU104" t="str">
        <f t="shared" si="140"/>
        <v/>
      </c>
      <c r="EV104" t="str">
        <f t="shared" si="141"/>
        <v/>
      </c>
      <c r="EW104" t="str">
        <f t="shared" si="142"/>
        <v/>
      </c>
      <c r="EX104">
        <f t="shared" si="143"/>
        <v>1</v>
      </c>
      <c r="EY104" t="str">
        <f>IF(AK104="нет","",IF(AK104&lt;&gt;"",AK104,IF(EX104=1,"XT"&amp;COUNTIFS(A$3:A104,A104,EX$3:EX104,1),"")))</f>
        <v>XT3</v>
      </c>
      <c r="EZ104" t="str">
        <f t="shared" si="144"/>
        <v>QF2</v>
      </c>
      <c r="FA104" t="str">
        <f t="shared" si="145"/>
        <v/>
      </c>
      <c r="FB104" t="str">
        <f t="shared" si="146"/>
        <v>ok</v>
      </c>
      <c r="FC104" t="str">
        <f>IF(OR(EV104="",ET104=""),"",IF(EV104&gt;IFERROR(VLOOKUP(EU104,Модули_спр,3,FALSE),99),"ЛИШНИЙ КАНАЛ",IF(AND(AJ104&lt;&gt;"=",COUNTIFS(Линии[_модуль гр.],ET104,Линии[Канал (итог)],EV104,Линии[Канал],"&lt;&gt;=",Линии[Щит],A104)&gt;1),"ДУБЛЬ КАНАЛА","")))</f>
        <v/>
      </c>
      <c r="FD104">
        <f t="shared" si="147"/>
        <v>16</v>
      </c>
      <c r="FE104" t="str">
        <f t="shared" si="148"/>
        <v>3P С16А</v>
      </c>
      <c r="FF104">
        <f t="shared" si="149"/>
        <v>0</v>
      </c>
      <c r="FG104">
        <f t="shared" si="150"/>
        <v>0</v>
      </c>
      <c r="FH104" t="str">
        <f t="shared" si="151"/>
        <v/>
      </c>
      <c r="FI104">
        <f t="shared" si="152"/>
        <v>10</v>
      </c>
      <c r="FJ104" t="str">
        <f t="shared" si="153"/>
        <v/>
      </c>
      <c r="FK104" t="str">
        <f>IF(AND(D104="",EZ104=""),"",_xlfn.TEXTJOIN("; ",TRUE,IF(AND(D104&lt;&gt;"",DD104=""),"нет фазы",""),IF(AND(D104&lt;&gt;"",N(DT104)=0,CN104&lt;&gt;"Нет"),"нет мощности",""),IF(AND(EY104&lt;&gt;"",COUNTIFS(Линии[Щит],A104,Линии[Клемма (итог)],EY104)&gt;1),"дубль клеммы "&amp;EY104,""),IF(AND(FB104&lt;&gt;"",FB104&lt;&gt;"ok"),FB104,""),IF(FC104&lt;&gt;"",FC104,""),IF(AND(ISNUMBER(SEARCH("(5х",DS104)),N(DV104)=1),"5 жил на 1 фазе",""),IF(AND(AT104="R",AD104&lt;&gt;"",OR(N(EH104)=0,N(EH104)&gt;30)),"розетка без дифзащиты до 30 мА",""),IFERROR(IF(AND(ISNUMBER(CD104),CD104&gt;CE104),"потери "&amp;FIXED(CD104,1)&amp;" % &gt; "&amp;CE104&amp;" %",""),""),IFERROR(IF(LEFT(FJ104,4)="мало","Iкз мало — отключение &gt; 0,4 с",""),""),IF(AND(D104&lt;&gt;"",BD104=""),"не на схеме","")))</f>
        <v/>
      </c>
      <c r="FL104" t="str">
        <f>IF(AD104="","",_xlfn.LET(_xlpm.t,IFERROR(_xlfn.XLOOKUP(EP104,Каталог!$U$4:$U$500,Каталог!$G$4:$G$500),""),_xlpm.k,SEARCH("кА",_xlpm.t),IFERROR(--TRIM(RIGHT(SUBSTITUTE(MID(_xlpm.t,MAX(1,_xlpm.k-4),_xlpm.k-MAX(1,_xlpm.k-4))," ",REPT(" ",9)),5)),"")))</f>
        <v/>
      </c>
      <c r="FM104" t="str">
        <f>IF(OR(FL104="",AD104=""),"",IF(_xlfn.XLOOKUP(A104,Щиты[Щит],Щиты[Iкз max на шинах, кА],"")="","",IF(FL104&lt;_xlfn.XLOOKUP(A104,Щиты[Щит],Щиты[Iкз max на шинах, кА]),"Icu "&amp;FL104&amp;" кА &lt; Iкз max","ok")))</f>
        <v/>
      </c>
      <c r="FN104" t="str">
        <f t="shared" si="154"/>
        <v>QF2|XT3</v>
      </c>
      <c r="FO104" t="str">
        <f t="shared" si="155"/>
        <v>QF2|XT3|кабель ВВГнг(А)-LS (5х2,5) → Приточно-вытяжная установка цокольный этаж Пом №001Тб</v>
      </c>
      <c r="FP104" t="str" cm="1">
        <f t="array" ref="FP104">IF(FO104="","",_xlfn.LET(_xlpm.nd,_xlfn.TEXTSPLIT(FO104,"|"),IF(COLUMNS(_xlpm.nd)&gt;1,A104&amp;"¦"&amp;INDEX(_xlpm.nd,1)&amp;"¦"&amp;INDEX(_xlpm.nd,2),"")))</f>
        <v>ЩОВ-01¦QF2¦XT3</v>
      </c>
      <c r="FQ104" t="str">
        <f t="shared" si="156"/>
        <v>ПВ.6¦Приточно-вытяжная установка цокольный этаж Пом №001Тб</v>
      </c>
      <c r="FR104" t="str" cm="1">
        <f t="array" ref="FR104">IF(FO104="","",_xlfn.LET(_xlpm.nd,_xlfn.TEXTSPLIT(FO104,"|"),IF(COLUMNS(_xlpm.nd)&gt;2,A104&amp;"¦"&amp;INDEX(_xlpm.nd,2)&amp;"¦"&amp;INDEX(_xlpm.nd,3),"")))</f>
        <v>ЩОВ-01¦XT3¦кабель ВВГнг(А)-LS (5х2,5) → Приточно-вытяжная установка цокольный этаж Пом №001Тб</v>
      </c>
      <c r="FS104" t="str">
        <f t="shared" si="157"/>
        <v>ПВ.6¦Приточно-вытяжная установка цокольный этаж Пом №001Тб</v>
      </c>
      <c r="FT104" t="str" cm="1">
        <f t="array" ref="FT104">IF(FO104="","",_xlfn.LET(_xlpm.nd,_xlfn.TEXTSPLIT(FO104,"|"),IF(COLUMNS(_xlpm.nd)&gt;3,A104&amp;"¦"&amp;INDEX(_xlpm.nd,3)&amp;"¦"&amp;INDEX(_xlpm.nd,4),"")))</f>
        <v/>
      </c>
      <c r="FU104" t="str">
        <f t="shared" si="158"/>
        <v/>
      </c>
      <c r="FV104" t="str" cm="1">
        <f t="array" ref="FV104">IF(FO104="","",_xlfn.LET(_xlpm.nd,_xlfn.TEXTSPLIT(FO104,"|"),IF(COLUMNS(_xlpm.nd)&gt;4,A104&amp;"¦"&amp;INDEX(_xlpm.nd,4)&amp;"¦"&amp;INDEX(_xlpm.nd,5),"")))</f>
        <v/>
      </c>
      <c r="FW104" t="str">
        <f t="shared" si="159"/>
        <v/>
      </c>
      <c r="FX104" t="str" cm="1">
        <f t="array" ref="FX104">IF(FO104="","",_xlfn.LET(_xlpm.nd,_xlfn.TEXTSPLIT(FO104,"|"),IF(COLUMNS(_xlpm.nd)&gt;5,A104&amp;"¦"&amp;INDEX(_xlpm.nd,5)&amp;"¦"&amp;INDEX(_xlpm.nd,6),"")))</f>
        <v/>
      </c>
      <c r="FY104" t="str">
        <f t="shared" si="160"/>
        <v/>
      </c>
      <c r="FZ104" t="str" cm="1">
        <f t="array" ref="FZ104">IF(FO104="","",_xlfn.LET(_xlpm.nd,_xlfn.TEXTSPLIT(FO104,"|"),IF(COLUMNS(_xlpm.nd)&gt;6,A104&amp;"¦"&amp;INDEX(_xlpm.nd,6)&amp;"¦"&amp;INDEX(_xlpm.nd,7),"")))</f>
        <v/>
      </c>
      <c r="GA104" t="str">
        <f t="shared" si="161"/>
        <v/>
      </c>
      <c r="GB104" t="str">
        <f t="shared" si="162"/>
        <v/>
      </c>
      <c r="GC104" t="str">
        <f t="shared" si="163"/>
        <v>QF2 → XT3</v>
      </c>
      <c r="GD104">
        <f t="shared" si="164"/>
        <v>1</v>
      </c>
      <c r="GE104">
        <f t="shared" si="165"/>
        <v>0</v>
      </c>
      <c r="GF104">
        <f t="shared" si="166"/>
        <v>0</v>
      </c>
      <c r="GG104" t="str">
        <f t="shared" si="167"/>
        <v/>
      </c>
      <c r="GH104" t="str">
        <f t="shared" si="168"/>
        <v/>
      </c>
      <c r="GI104" t="str">
        <f t="shared" si="169"/>
        <v/>
      </c>
      <c r="GJ104" t="str">
        <f t="shared" si="170"/>
        <v/>
      </c>
      <c r="GK104" t="str">
        <f>IF(D104="","",IFERROR(VLOOKUP(D104,УГО_спр,2,FALSE),IFERROR(VLOOKUP(AT104,УГО_спр,2,FALSE),IFERROR(VLOOKUP(LEFT(AT104,2),УГО_спр,2,FALSE),""))))</f>
        <v>Привод (двигатель)</v>
      </c>
      <c r="GL104" t="str">
        <f>IF(D104="","",IF(OR(GK104="",GK104=0),"BOX",IFERROR(IF(VLOOKUP(GK104,УГО_блоки,3,FALSE)&amp;""&lt;&gt;"",VLOOKUP(GK104,УГО_блоки,3,FALSE),VLOOKUP(GK104,УГО_блоки,2,FALSE)),GK104)))</f>
        <v>MOTOR</v>
      </c>
      <c r="GM104">
        <f t="shared" si="171"/>
        <v>1</v>
      </c>
      <c r="GN104" t="str">
        <f>IF(EP104="","",IF(COUNTIF(EP$3:EP104,EP104)=1,MAX(GN$2:GN103)+1,""))</f>
        <v/>
      </c>
      <c r="GO104" t="str">
        <f>IF(AF104="","",IF(COUNTIF(AF$3:AF104,AF104)+COUNTIF(AG$2:AG103,AF104)+COUNTIF(AH$2:AH103,AF104)=1,MAX(GO$2:GQ103)+1,""))</f>
        <v/>
      </c>
      <c r="GP104" t="str">
        <f>IF(AG104="","",IF(COUNTIF(AF$3:AF104,AG104)+COUNTIF(AG$3:AG104,AG104)+COUNTIF(AH$2:AH103,AG104)=1,MAX(GO$2:GQ103,GO104)+1,""))</f>
        <v/>
      </c>
      <c r="GQ104" t="str">
        <f>IF(AH104="","",IF(COUNTIF(AF$3:AF104,AH104)+COUNTIF(AG$3:AG104,AH104)+COUNTIF(AH$3:AH104,AH104)=1,MAX(GO$2:GQ103,GO104,GP104)+1,""))</f>
        <v/>
      </c>
      <c r="GR104" t="str">
        <f t="shared" si="172"/>
        <v>5х2,5</v>
      </c>
      <c r="GS104">
        <f>IF(GR104="","",IF(COUNTIF(GR$3:GR104,GR104)=1,MAX(GS$2:GS103)+1,""))</f>
        <v>13</v>
      </c>
      <c r="GT104" t="str">
        <f>IF(ES104="","",COUNTIF(ES$3:ES104,"?*"))</f>
        <v/>
      </c>
      <c r="GU104" t="str">
        <f>IF(OR(ES104="",EU104=""),"",IF(COUNTIFS(ES$3:ES104,"?*",EU$3:EU104,EU104)=1,MAX(GU$2:GU103)+1,""))</f>
        <v/>
      </c>
      <c r="GV104">
        <f t="shared" si="173"/>
        <v>0</v>
      </c>
      <c r="GW104">
        <f>IF(D104="","",COUNTIF(D$3:D104,"?*"))</f>
        <v>102</v>
      </c>
      <c r="GX104">
        <f>IF(EX104&lt;&gt;1,0,_xlfn.LET(_xlpm.k,MAX(IFERROR(--VLOOKUP(D104,УГО_спр,5,FALSE),0),IFERROR(--VLOOKUP(AT104,УГО_спр,5,FALSE),0),IFERROR(--VLOOKUP(LEFT(AT104,2),УГО_спр,5,FALSE),0)),IF(_xlpm.k&gt;0,_xlpm.k,IF(IFERROR(--LEFT(SUBSTITUTE(GR104,"x","х"),FIND("х",SUBSTITUTE(GR104,"x","х"))-1),3)&gt;3,Каталог!$S$9,1))))</f>
        <v>1</v>
      </c>
      <c r="GY104">
        <f t="shared" si="174"/>
        <v>2</v>
      </c>
    </row>
    <row r="105" spans="1:207" x14ac:dyDescent="0.3">
      <c r="A105" t="s">
        <v>750</v>
      </c>
      <c r="B105">
        <v>15</v>
      </c>
      <c r="C105" t="str">
        <f>IF(BD105="","",IF(BE105="вводной узел","узел ","")&amp;"л."&amp;(INT((BD105-1)/Столбцов_на_лист)+1)&amp;" / "&amp;(MOD(BD105-1,Столбцов_на_лист)+1))</f>
        <v>л.1 / 15</v>
      </c>
      <c r="D105" t="s">
        <v>1390</v>
      </c>
      <c r="E105" s="133" t="s">
        <v>1389</v>
      </c>
      <c r="G105">
        <v>0.78</v>
      </c>
      <c r="H105">
        <v>1</v>
      </c>
      <c r="I105">
        <v>1</v>
      </c>
      <c r="J105">
        <v>230</v>
      </c>
      <c r="K105" t="s">
        <v>602</v>
      </c>
      <c r="L105">
        <v>0.5</v>
      </c>
      <c r="O105">
        <v>2</v>
      </c>
      <c r="P105">
        <v>40</v>
      </c>
      <c r="Q105">
        <v>20</v>
      </c>
      <c r="R105">
        <v>24</v>
      </c>
      <c r="T105">
        <v>1</v>
      </c>
      <c r="U105" t="s">
        <v>11</v>
      </c>
      <c r="V105">
        <v>3</v>
      </c>
      <c r="W105">
        <v>1.5</v>
      </c>
      <c r="X105">
        <v>10</v>
      </c>
      <c r="Z105" t="s">
        <v>584</v>
      </c>
      <c r="AA105" t="s">
        <v>818</v>
      </c>
      <c r="AD105" t="s">
        <v>517</v>
      </c>
      <c r="AR105" t="str">
        <f t="shared" si="88"/>
        <v/>
      </c>
      <c r="AS105" cm="1">
        <f t="array" ref="AS105">ROW()-ROW(Линии[#Headers])</f>
        <v>103</v>
      </c>
      <c r="AT105" t="str">
        <f t="shared" si="89"/>
        <v>ПВ</v>
      </c>
      <c r="AU105" t="str">
        <f t="shared" si="90"/>
        <v>9</v>
      </c>
      <c r="AV105" t="str">
        <f t="shared" si="91"/>
        <v>9</v>
      </c>
      <c r="AW105" t="str">
        <f t="shared" si="92"/>
        <v/>
      </c>
      <c r="AX105" t="str">
        <f t="shared" si="93"/>
        <v/>
      </c>
      <c r="AY105" t="str">
        <f>IF(D105="","",IF(ISERROR(SEARCH(".",D105)),IFERROR(VLOOKUP(D105,Потребители_обозначение,2,FALSE)&amp;"",""),IFERROR(IF(VLOOKUP(AT105,Потребители_обозначение,4,FALSE)=1,VLOOKUP(AT105,Потребители_обозначение,2,FALSE)&amp;" "&amp;VLOOKUP(AV105,Этаж_обозначение,2,FALSE)&amp;" Пом. №"&amp;AX105,VLOOKUP(AT105,Потребители_обозначение,2,FALSE)&amp;" Шлейф №"&amp;AV105),IFERROR(VLOOKUP(D105,Потребители_обозначение,2,FALSE),""))))</f>
        <v>Приточно-вытяжная установка Шлейф №9</v>
      </c>
      <c r="AZ105" t="str">
        <f t="shared" si="94"/>
        <v>Приточно-вытяжная установка цокольный этаж Пом №001Тб</v>
      </c>
      <c r="BA105" t="str">
        <f>IF(F105&lt;&gt;"",F105,IF(AND(D105&lt;&gt;"",D105&lt;&gt;A105,ISNUMBER(_xlfn.XMATCH(D105,Щиты[Щит]))),D105,""))</f>
        <v/>
      </c>
      <c r="BB105">
        <f>IFERROR(_xlfn.XMATCH(A105,Щиты[Щит]),0)</f>
        <v>6</v>
      </c>
      <c r="BC105">
        <f>IFERROR(N(_xlfn.XLOOKUP(A105,Щиты[Щит],Щиты[Мест под вводной узел])),15)</f>
        <v>12</v>
      </c>
      <c r="BD105">
        <f t="shared" si="95"/>
        <v>15</v>
      </c>
      <c r="BE105" t="str">
        <f t="shared" si="96"/>
        <v>линии</v>
      </c>
      <c r="BF105">
        <f>IF(D105="","",IF(BA105&lt;&gt;"",IFERROR(_xlfn.XLOOKUP(BA105,Щиты[Щит],Щиты[Руст, кВт]),0),N(G105)))</f>
        <v>0.78</v>
      </c>
      <c r="BG105">
        <f>IF(J105&lt;&gt;"",J105,IF(D105="","",IFERROR(IF(VLOOKUP(AT105,Потребители_обозначение,8,FALSE)=0,"",VLOOKUP(AT105,Потребители_обозначение,8,FALSE)),"")))</f>
        <v>230</v>
      </c>
      <c r="BH105">
        <f>IF(I105&lt;&gt;"",I105,IF(D105="","",IFERROR(IF(VLOOKUP(AT105,Потребители_обозначение,9,FALSE)=0,"",VLOOKUP(AT105,Потребители_обозначение,9,FALSE)),"")))</f>
        <v>1</v>
      </c>
      <c r="BI105" t="str">
        <f>IF(U105&lt;&gt;"",U105,IF(D105="","",IFERROR(IF(VLOOKUP(AT105,Потребители_обозначение,6,FALSE)=0,"",VLOOKUP(AT105,Потребители_обозначение,6,FALSE)),"")))</f>
        <v>мс</v>
      </c>
      <c r="BJ105">
        <f>IF(V105&lt;&gt;"",V105,IF(D105="","",IFERROR(IF(VLOOKUP(AT105,Потребители_обозначение,7,FALSE)=0,"",VLOOKUP(AT105,Потребители_обозначение,7,FALSE)),"")))</f>
        <v>3</v>
      </c>
      <c r="BK105">
        <f>IF(W105&lt;&gt;"",W105,IF(D105="","",IFERROR(IF(VLOOKUP(AT105,Потребители_обозначение,10,FALSE)=0,"",VLOOKUP(AT105,Потребители_обозначение,10,FALSE)),"")))</f>
        <v>1.5</v>
      </c>
      <c r="BL105">
        <f>IFERROR(VLOOKUP(AT105,Потребители_обозначение,5,FALSE),0)</f>
        <v>1</v>
      </c>
      <c r="BM105" cm="1">
        <f t="array" ref="BM105">IF(D105="","",IF(BA105&lt;&gt;"",IFERROR(_xlfn.XLOOKUP(BA105,Щиты[Щит],Щиты[cos φ]),0.95),IF(ISNUMBER(M105),M105,IFERROR(IF(BL105=2,_xlfn.IFS(BH105=3,VLOOKUP(BF105,Справочная_двигатели,8,FALSE),BH105=1,VLOOKUP(BF105,Справочная_двигатели,10,TRUE)),IF(AND(Методика="нормы 2026",CN105="Сил"),0.8,0.95)),0.95))))</f>
        <v>0.95</v>
      </c>
      <c r="BN105" cm="1">
        <f t="array" ref="BN105">IF(D105="","",IF(BA105&lt;&gt;"",IFERROR(_xlfn.XLOOKUP(BA105,Щиты[Щит],Щиты[Iр, А]),""),IFERROR(_xlfn.IFS(BH105=1,BF105/((Uн_лин/SQRT(3))*BM105),BH105=3,BF105/(SQRT(3)*Uн_лин*BM105)),"")))</f>
        <v>3.555262183957169</v>
      </c>
      <c r="BO105">
        <f>IF(D105="","",IF(N(X105)=0,IFERROR(VLOOKUP(BN105,Автомат_номиналы,2,TRUE),""),X105))</f>
        <v>10</v>
      </c>
      <c r="BP105">
        <f t="shared" si="97"/>
        <v>1</v>
      </c>
      <c r="BQ105">
        <f>IF(ISNUMBER(Y105),Y105,К_прокл)</f>
        <v>1</v>
      </c>
      <c r="BR105">
        <f t="shared" si="98"/>
        <v>2</v>
      </c>
      <c r="BS105" cm="1">
        <f t="array" ref="BS105">IF(D105="","",IF(N(BK105)&lt;&gt;0,BK105,IFERROR(_xlfn.LET(_xlpm.need,BO105/(BP105*BQ105),_xlpm.t,CHOOSE(BR105,Iдоп_1ж,Iдоп_2ж,Iдоп_3ж),_xlpm.k,_xlfn.XMATCH(_xlpm.need,_xlpm.t,1),IF(ISNA(_xlpm.k),"Не исп",INDEX(Iдоп_S,_xlpm.k))),"Не исп")))</f>
        <v>1.5</v>
      </c>
      <c r="BT105">
        <f>IFERROR(VLOOKUP(BS105,Кабель_сопротивление,3,FALSE),"")</f>
        <v>2.2499999999999999E-2</v>
      </c>
      <c r="BU105">
        <f>IFERROR(VLOOKUP(BS105,Кабель_сопротивление,2,FALSE),"")</f>
        <v>0.11</v>
      </c>
      <c r="BV105">
        <f t="shared" si="99"/>
        <v>40</v>
      </c>
      <c r="BW105">
        <f>IF(D105="","",IFERROR(IF(VLOOKUP(AT105,Потребители_обозначение,4,FALSE)=1,VLOOKUP(AT105,Потребители_обозначение,3,FALSE)*(H105*2-1)+BV105+VLOOKUP(AV105,Этаж_обозначение,3,FALSE)+VLOOKUP(AV105,Этаж_обозначение,4,FALSE),VLOOKUP(AT105,Потребители_обозначение,3,FALSE)*(H105*2-1)+BV105),BV105))</f>
        <v>44</v>
      </c>
      <c r="BX105">
        <f t="shared" si="100"/>
        <v>24</v>
      </c>
      <c r="BY105">
        <f t="shared" si="101"/>
        <v>0</v>
      </c>
      <c r="BZ105">
        <f t="shared" si="102"/>
        <v>2</v>
      </c>
      <c r="CA105">
        <f t="shared" si="103"/>
        <v>0.31</v>
      </c>
      <c r="CB105">
        <f t="shared" si="104"/>
        <v>4.4689674094439082</v>
      </c>
      <c r="CC105">
        <f>IFERROR(ROUNDUP(CB105/((Uн_лин/SQRT(3))*1000)*100,2),"")</f>
        <v>1.94</v>
      </c>
      <c r="CD105">
        <f>IF(ISNUMBER(CC105),CC105+IFERROR(_xlfn.XLOOKUP(A105,Щиты[Щит],Щиты[ΔU до шин, %]),0),"")</f>
        <v>2.1800000000000002</v>
      </c>
      <c r="CE105">
        <f>IF(D105="","",IF(IFERROR(VLOOKUP(AT105,УГО_спр,2,FALSE),"")="Светильник",3,4)+IF(Методика="нормы 2026",MIN(0.5,MAX(0,N(BW105)-100)*0.005),0))</f>
        <v>4</v>
      </c>
      <c r="CF105" t="str">
        <f>IFERROR(VLOOKUP(BI105,Кабель_обозначение,2,FALSE),"")</f>
        <v>ВВГнг(А)-LS</v>
      </c>
      <c r="CG105" t="str">
        <f>IFERROR(IF(VLOOKUP(BI105,Кабель_обозначение,3,FALSE)=1,CF105&amp;" ("&amp;BJ105&amp;"х"&amp;BS105&amp;")",CF105),"")</f>
        <v>ВВГнг(А)-LS (3х1,5)</v>
      </c>
      <c r="CH105" t="str">
        <f t="shared" si="105"/>
        <v>ВВГнг(А)-LS (3х1,5)
L=44-1,94%</v>
      </c>
      <c r="CI105">
        <f>IFERROR(2*ρкз_Cu*BW105/BS105,"")</f>
        <v>1.5429333333333333</v>
      </c>
      <c r="CJ105">
        <f t="shared" si="106"/>
        <v>0.51333333333333331</v>
      </c>
      <c r="CK105" t="str">
        <f>IFERROR(IF(OR(D105="",NOT(ISNUMBER(BS105)),N(BW105)=0),"",_xlfn.XLOOKUP(A105,Щиты[Щит],Щиты[Zпетли на шинах, Ом])+CI105),"")</f>
        <v/>
      </c>
      <c r="CL105" t="str">
        <f>IF(ISNUMBER(CK105),c_min*(Uн_лин*1000/SQRT(3))/CK105,"")</f>
        <v/>
      </c>
      <c r="CM105" t="str">
        <f>IFERROR(IF(OR(D105="",NOT(ISNUMBER(BS105))),"",1.05*(Uн_лин*1000/SQRT(3))/(_xlfn.XLOOKUP(A105,Щиты[Щит],Щиты[Zmax на шинах, Ом])+CJ105)/1000),"")</f>
        <v/>
      </c>
      <c r="CN105" t="str">
        <f>IF(D105="","",IF(BA105&lt;&gt;"","Щит",IF(K105&lt;&gt;"",K105,IF(ISNUMBER(L105),"Сил",IF(IFERROR(_xlfn.XLOOKUP(AT105,Коды_код,Коды_группа)&amp;"","")="","Быт",_xlfn.XLOOKUP(AT105,Коды_код,Коды_группа)&amp;"")))))</f>
        <v>Сил</v>
      </c>
      <c r="CO105">
        <f>IF(CN105="Щит","щит",IF(CN105="","",IF(CN105="Быт",IFERROR(_xlfn.XLOOKUP(A105,Щиты[Щит],Щиты[Кс быт]),1),IF(CN105="Сил",IF(ISNUMBER(L105),L105,IF(Методика="нормы 2026",IFERROR(_xlfn.XLOOKUP(A105,Щиты[Щит],Щиты[Кс силовых (табл. 7.5)]),1),1)),IF(OR(CN105="Пост",CN105="Отоп"),1,IF(CN105="ВНГ",0.7,0))))))</f>
        <v>0.5</v>
      </c>
      <c r="CP105">
        <f t="shared" si="107"/>
        <v>1</v>
      </c>
      <c r="CQ105">
        <f t="shared" si="108"/>
        <v>0.78</v>
      </c>
      <c r="CR105">
        <f t="shared" si="109"/>
        <v>0</v>
      </c>
      <c r="CS105">
        <f t="shared" si="110"/>
        <v>0.39</v>
      </c>
      <c r="CT105">
        <f t="shared" si="111"/>
        <v>0</v>
      </c>
      <c r="CU105">
        <f t="shared" si="112"/>
        <v>0</v>
      </c>
      <c r="CV105">
        <f t="shared" si="113"/>
        <v>0</v>
      </c>
      <c r="CW105">
        <f t="shared" si="114"/>
        <v>0.78</v>
      </c>
      <c r="CX105">
        <f t="shared" si="115"/>
        <v>0.74099999999999999</v>
      </c>
      <c r="CY105">
        <f t="shared" si="116"/>
        <v>2</v>
      </c>
      <c r="CZ105" t="str">
        <f t="shared" si="117"/>
        <v>L2</v>
      </c>
      <c r="DA105" cm="1">
        <f t="array" ref="DA105">IFERROR(IF(BL105=2,_xlfn.IFS(BH105=3,VLOOKUP(BF105,Справочная_двигатели,3,FALSE),BH105=1,VLOOKUP(BF105,Справочная_двигатели,5,TRUE)),0),0)</f>
        <v>0</v>
      </c>
      <c r="DB105">
        <f>IFERROR(IF(BL105=3,VLOOKUP(BF105,Справочная_ЛЭД,2,TRUE),0),0)</f>
        <v>0</v>
      </c>
      <c r="DC105">
        <f t="shared" si="118"/>
        <v>0</v>
      </c>
      <c r="DD105" t="str">
        <f t="shared" si="119"/>
        <v>L2</v>
      </c>
      <c r="DE105" t="str" cm="1">
        <f t="array" ref="DE105">IF(D105="","",IFERROR(INDEX({"I особая","I","II","III"},MATCH(TRIM(AA105&amp;""),{"I особая","I","II","III"},0)),"III"))</f>
        <v>II</v>
      </c>
      <c r="DF105" t="str">
        <f>IF(D105="","",IF(TRIM(AB105&amp;"")&lt;&gt;"",IF(LOWER(TRIM(AB105&amp;""))="да","да","нет"),IF(IFERROR(_xlfn.XLOOKUP(AT105,Коды_код,Коды_пожарная),"")="да","да","нет")))</f>
        <v>нет</v>
      </c>
      <c r="DG105" t="str">
        <f t="shared" si="120"/>
        <v/>
      </c>
      <c r="DH105" t="str">
        <f t="shared" si="121"/>
        <v>основная</v>
      </c>
      <c r="DI105">
        <f t="shared" si="122"/>
        <v>1</v>
      </c>
      <c r="DJ105" t="str" cm="1">
        <f t="array" ref="DJ105">IF(D105="","",_xlfn.LET(_xlpm.t,IFERROR(_xlfn.XLOOKUP(1,(Шины[Шина]=DH105)*(((Шины[Щит]=A105)+(Шины[Щит]=""))&gt;0),Шины[Тип]),"")&amp;"",IF(_xlpm.t&lt;&gt;"",_xlpm.t,IF(ISNUMBER(SEARCH("ИБП",DH105)),"ИБП",IF(ISNUMBER(SEARCH("ДГУ",DH105)),"ДГУ","Ввод "&amp;DI105)))))</f>
        <v>Ввод 1</v>
      </c>
      <c r="DK105" t="str">
        <f t="shared" si="123"/>
        <v>Ввод 1</v>
      </c>
      <c r="DL105" t="str">
        <f>IF(D105="","",IF(OR(DJ105="ИБП",DJ105="ДГУ"),"I особая",IF(DJ105="Одиночная","III",_xlfn.XLOOKUP(A105,Щиты[Щит],Щиты[Категория шины «Ввод»],"III"))))</f>
        <v>II</v>
      </c>
      <c r="DM105">
        <f>IF(D105="",0,IFERROR(MATCH(DE105,{"III","II","I","I особая"},0),1))</f>
        <v>2</v>
      </c>
      <c r="DN105">
        <f t="shared" si="124"/>
        <v>2</v>
      </c>
      <c r="DO105" t="str">
        <f>IF(D105="","",IF(DM105&gt;IFERROR(MATCH(DL105,{"III","II","I","I особая"},0),1),"НЕ ОБЕСПЕЧЕНА","ОК"))</f>
        <v>ОК</v>
      </c>
      <c r="DP105" t="str">
        <f>IF(A105="","",_xlfn.XLOOKUP(A105,Щиты[Щит],Щиты[Путь],""))</f>
        <v>|ГРЩ-ЖД|ЩОВ-01|</v>
      </c>
      <c r="DQ105" t="str">
        <f>IF(D105="","",IF(Z105&lt;&gt;"",Z105,IF(IFERROR(_xlfn.XLOOKUP(AT105,Коды_код,Коды_вид)&amp;"","")="","Прочее",_xlfn.XLOOKUP(AT105,Коды_код,Коды_вид)&amp;"")))</f>
        <v>Вентиляция</v>
      </c>
      <c r="DR105">
        <f>IF(BD105="","",INT((BD105-1)/Столбцов_на_лист)+1)</f>
        <v>1</v>
      </c>
      <c r="DS105" t="str">
        <f t="shared" si="125"/>
        <v>ВВГнг(А)-LS (3х1,5) L=44-1,94%</v>
      </c>
      <c r="DT105">
        <f t="shared" si="126"/>
        <v>0.78</v>
      </c>
      <c r="DU105">
        <f t="shared" si="127"/>
        <v>3.5599999999999996</v>
      </c>
      <c r="DV105">
        <f t="shared" si="128"/>
        <v>1</v>
      </c>
      <c r="DW105">
        <f>IF(AT105="",0,_xlfn.LET(_xlpm.v,IFERROR(VLOOKUP(D105,УГО_спр,3,FALSE),IFERROR(VLOOKUP(AT105,УГО_спр,3,FALSE),IFERROR(VLOOKUP(LEFT(AT105,2),УГО_спр,3,FALSE),""))),IF(_xlpm.v="да",30,IF(ISNUMBER(_xlpm.v),_xlpm.v,0))))</f>
        <v>0</v>
      </c>
      <c r="DX105">
        <f t="shared" si="129"/>
        <v>0</v>
      </c>
      <c r="DY105">
        <f>IF(BD105="","",IF(AD105&lt;&gt;"",COUNTIFS(A$3:A105,A105,AD$3:AD105,"?*"),IF(OR(OR(AS105=1,A105&lt;&gt;A104),AL105="вручную"),"",IF(AS105=1,"",DZ104))))</f>
        <v>3</v>
      </c>
      <c r="DZ105">
        <f t="shared" si="130"/>
        <v>3</v>
      </c>
      <c r="EA105">
        <f>IF(D105="",0,MAX(IFERROR(--X105,0),IFERROR(--VLOOKUP(D105,УГО_спр,4,FALSE),IFERROR(--VLOOKUP(AT105,УГО_спр,4,FALSE),IFERROR(--VLOOKUP(LEFT(AT105,2),УГО_спр,4,FALSE),0)))))</f>
        <v>10</v>
      </c>
      <c r="EB105">
        <f>IF(D105="","",IFERROR(LOOKUP(INDEX(CHOOSE(BR105,Iдоп_1ж,Iдоп_2ж,Iдоп_3ж),MATCH(BS105,Iдоп_S,0))*BP105*BQ105,{6,10,16,20,25,32,40,50,63,80,100,125,160,200,250,315,400,500,630}),""))</f>
        <v>16</v>
      </c>
      <c r="EC105">
        <f>IF(AD105="","",SUMIFS(Линии[_Ток схемы],Линии[_гр.],DY105,Линии[Щит],A105,Линии[_в кабель выше],0))</f>
        <v>3.5599999999999996</v>
      </c>
      <c r="ED105">
        <f>IF(AD105="","",IFERROR(VLOOKUP(EC105,Автомат_номиналы,2,TRUE),""))</f>
        <v>6</v>
      </c>
      <c r="EE105">
        <f>IF(AD105="","",MAX(N(ED105),_xlfn.MAXIFS(Линии[_мин. по типу],Линии[_гр.],DY105,Линии[Щит],A105)))</f>
        <v>10</v>
      </c>
      <c r="EF105">
        <f>IF(AD105="","",_xlfn.MINIFS(Линии[_макс. автомат по кабелю],Линии[_гр.],DY105,Линии[Щит],A105))</f>
        <v>16</v>
      </c>
      <c r="EG105">
        <f>IF(AD105="","",MAX(1,_xlfn.MAXIFS(Линии[_фаз],Линии[_гр.],DY105,Линии[Щит],A105)))</f>
        <v>1</v>
      </c>
      <c r="EH105">
        <f>IF(AD105="","",IF(AND(AD105&lt;&gt;"авто",AD105&lt;&gt;"+"),IF(ISNUMBER(SEARCH("мА",AD105)),IFERROR(--TRIM(RIGHT(SUBSTITUTE(LEFT(AD105,SEARCH("мА",AD105)-1)," ",REPT(" ",9)),6)),30),0),IF(AE105="нет",0,IF(ISNUMBER(AE105),AE105,IF(AE105="да",30,_xlfn.MINIFS(Линии[_дифзащита по коду, мА],Линии[_гр.],DY105,Линии[Щит],A105,Линии[_дифзащита по коду, мА],"&gt;0"))))))</f>
        <v>0</v>
      </c>
      <c r="EI105">
        <f t="shared" si="131"/>
        <v>0</v>
      </c>
      <c r="EJ105" t="str">
        <f t="shared" si="132"/>
        <v>QF3</v>
      </c>
      <c r="EK105" t="str">
        <f t="shared" si="133"/>
        <v>QF3</v>
      </c>
      <c r="EL105" t="str">
        <f t="shared" si="134"/>
        <v/>
      </c>
      <c r="EM105">
        <f t="shared" si="135"/>
        <v>0</v>
      </c>
      <c r="EN105">
        <f>IF(AD105="","",IF(EM105=1,MAX(EE105,Мин_автомат_БП),EE105))</f>
        <v>10</v>
      </c>
      <c r="EO105" t="str">
        <f t="shared" si="136"/>
        <v>1P</v>
      </c>
      <c r="EP105" t="str">
        <f t="shared" si="137"/>
        <v>1P С10А</v>
      </c>
      <c r="EQ105">
        <f t="shared" si="138"/>
        <v>10</v>
      </c>
      <c r="ER105" t="str">
        <f>IF(OR(AI105="",AI105="-"),"",IFERROR(VLOOKUP(AI105,Модули_спр,2,FALSE),"R"))</f>
        <v/>
      </c>
      <c r="ES105" t="str">
        <f>IF(ER105="","",ER105&amp;"."&amp;COUNTIFS(A$3:A105,A105,ER$3:ER105,ER105))</f>
        <v/>
      </c>
      <c r="ET105" t="str">
        <f t="shared" si="139"/>
        <v/>
      </c>
      <c r="EU105" t="str">
        <f t="shared" si="140"/>
        <v/>
      </c>
      <c r="EV105" t="str">
        <f t="shared" si="141"/>
        <v/>
      </c>
      <c r="EW105" t="str">
        <f t="shared" si="142"/>
        <v/>
      </c>
      <c r="EX105">
        <f t="shared" si="143"/>
        <v>1</v>
      </c>
      <c r="EY105" t="str">
        <f>IF(AK105="нет","",IF(AK105&lt;&gt;"",AK105,IF(EX105=1,"XT"&amp;COUNTIFS(A$3:A105,A105,EX$3:EX105,1),"")))</f>
        <v>XT4</v>
      </c>
      <c r="EZ105" t="str">
        <f t="shared" si="144"/>
        <v>QF3</v>
      </c>
      <c r="FA105" t="str">
        <f t="shared" si="145"/>
        <v/>
      </c>
      <c r="FB105" t="str">
        <f t="shared" si="146"/>
        <v>ok</v>
      </c>
      <c r="FC105" t="str">
        <f>IF(OR(EV105="",ET105=""),"",IF(EV105&gt;IFERROR(VLOOKUP(EU105,Модули_спр,3,FALSE),99),"ЛИШНИЙ КАНАЛ",IF(AND(AJ105&lt;&gt;"=",COUNTIFS(Линии[_модуль гр.],ET105,Линии[Канал (итог)],EV105,Линии[Канал],"&lt;&gt;=",Линии[Щит],A105)&gt;1),"ДУБЛЬ КАНАЛА","")))</f>
        <v/>
      </c>
      <c r="FD105">
        <f t="shared" si="147"/>
        <v>10</v>
      </c>
      <c r="FE105" t="str">
        <f t="shared" si="148"/>
        <v>1P С10А</v>
      </c>
      <c r="FF105">
        <f t="shared" si="149"/>
        <v>0</v>
      </c>
      <c r="FG105">
        <f t="shared" si="150"/>
        <v>0</v>
      </c>
      <c r="FH105" t="str">
        <f t="shared" si="151"/>
        <v/>
      </c>
      <c r="FI105">
        <f t="shared" si="152"/>
        <v>10</v>
      </c>
      <c r="FJ105" t="str">
        <f t="shared" si="153"/>
        <v/>
      </c>
      <c r="FK105" t="str">
        <f>IF(AND(D105="",EZ105=""),"",_xlfn.TEXTJOIN("; ",TRUE,IF(AND(D105&lt;&gt;"",DD105=""),"нет фазы",""),IF(AND(D105&lt;&gt;"",N(DT105)=0,CN105&lt;&gt;"Нет"),"нет мощности",""),IF(AND(EY105&lt;&gt;"",COUNTIFS(Линии[Щит],A105,Линии[Клемма (итог)],EY105)&gt;1),"дубль клеммы "&amp;EY105,""),IF(AND(FB105&lt;&gt;"",FB105&lt;&gt;"ok"),FB105,""),IF(FC105&lt;&gt;"",FC105,""),IF(AND(ISNUMBER(SEARCH("(5х",DS105)),N(DV105)=1),"5 жил на 1 фазе",""),IF(AND(AT105="R",AD105&lt;&gt;"",OR(N(EH105)=0,N(EH105)&gt;30)),"розетка без дифзащиты до 30 мА",""),IFERROR(IF(AND(ISNUMBER(CD105),CD105&gt;CE105),"потери "&amp;FIXED(CD105,1)&amp;" % &gt; "&amp;CE105&amp;" %",""),""),IFERROR(IF(LEFT(FJ105,4)="мало","Iкз мало — отключение &gt; 0,4 с",""),""),IF(AND(D105&lt;&gt;"",BD105=""),"не на схеме","")))</f>
        <v/>
      </c>
      <c r="FL105">
        <f>IF(AD105="","",_xlfn.LET(_xlpm.t,IFERROR(_xlfn.XLOOKUP(EP105,Каталог!$U$4:$U$500,Каталог!$G$4:$G$500),""),_xlpm.k,SEARCH("кА",_xlpm.t),IFERROR(--TRIM(RIGHT(SUBSTITUTE(MID(_xlpm.t,MAX(1,_xlpm.k-4),_xlpm.k-MAX(1,_xlpm.k-4))," ",REPT(" ",9)),5)),"")))</f>
        <v>6</v>
      </c>
      <c r="FM105" t="str">
        <f>IF(OR(FL105="",AD105=""),"",IF(_xlfn.XLOOKUP(A105,Щиты[Щит],Щиты[Iкз max на шинах, кА],"")="","",IF(FL105&lt;_xlfn.XLOOKUP(A105,Щиты[Щит],Щиты[Iкз max на шинах, кА]),"Icu "&amp;FL105&amp;" кА &lt; Iкз max","ok")))</f>
        <v/>
      </c>
      <c r="FN105" t="str">
        <f t="shared" si="154"/>
        <v>QF3|XT4</v>
      </c>
      <c r="FO105" t="str">
        <f t="shared" si="155"/>
        <v>QF3|XT4|кабель ВВГнг(А)-LS (3х1,5) → Приточно-вытяжная установка цокольный этаж Пом №001Тб</v>
      </c>
      <c r="FP105" t="str" cm="1">
        <f t="array" ref="FP105">IF(FO105="","",_xlfn.LET(_xlpm.nd,_xlfn.TEXTSPLIT(FO105,"|"),IF(COLUMNS(_xlpm.nd)&gt;1,A105&amp;"¦"&amp;INDEX(_xlpm.nd,1)&amp;"¦"&amp;INDEX(_xlpm.nd,2),"")))</f>
        <v>ЩОВ-01¦QF3¦XT4</v>
      </c>
      <c r="FQ105" t="str">
        <f t="shared" si="156"/>
        <v>ПВ.9¦Приточно-вытяжная установка цокольный этаж Пом №001Тб</v>
      </c>
      <c r="FR105" t="str" cm="1">
        <f t="array" ref="FR105">IF(FO105="","",_xlfn.LET(_xlpm.nd,_xlfn.TEXTSPLIT(FO105,"|"),IF(COLUMNS(_xlpm.nd)&gt;2,A105&amp;"¦"&amp;INDEX(_xlpm.nd,2)&amp;"¦"&amp;INDEX(_xlpm.nd,3),"")))</f>
        <v>ЩОВ-01¦XT4¦кабель ВВГнг(А)-LS (3х1,5) → Приточно-вытяжная установка цокольный этаж Пом №001Тб</v>
      </c>
      <c r="FS105" t="str">
        <f t="shared" si="157"/>
        <v>ПВ.9¦Приточно-вытяжная установка цокольный этаж Пом №001Тб</v>
      </c>
      <c r="FT105" t="str" cm="1">
        <f t="array" ref="FT105">IF(FO105="","",_xlfn.LET(_xlpm.nd,_xlfn.TEXTSPLIT(FO105,"|"),IF(COLUMNS(_xlpm.nd)&gt;3,A105&amp;"¦"&amp;INDEX(_xlpm.nd,3)&amp;"¦"&amp;INDEX(_xlpm.nd,4),"")))</f>
        <v/>
      </c>
      <c r="FU105" t="str">
        <f t="shared" si="158"/>
        <v/>
      </c>
      <c r="FV105" t="str" cm="1">
        <f t="array" ref="FV105">IF(FO105="","",_xlfn.LET(_xlpm.nd,_xlfn.TEXTSPLIT(FO105,"|"),IF(COLUMNS(_xlpm.nd)&gt;4,A105&amp;"¦"&amp;INDEX(_xlpm.nd,4)&amp;"¦"&amp;INDEX(_xlpm.nd,5),"")))</f>
        <v/>
      </c>
      <c r="FW105" t="str">
        <f t="shared" si="159"/>
        <v/>
      </c>
      <c r="FX105" t="str" cm="1">
        <f t="array" ref="FX105">IF(FO105="","",_xlfn.LET(_xlpm.nd,_xlfn.TEXTSPLIT(FO105,"|"),IF(COLUMNS(_xlpm.nd)&gt;5,A105&amp;"¦"&amp;INDEX(_xlpm.nd,5)&amp;"¦"&amp;INDEX(_xlpm.nd,6),"")))</f>
        <v/>
      </c>
      <c r="FY105" t="str">
        <f t="shared" si="160"/>
        <v/>
      </c>
      <c r="FZ105" t="str" cm="1">
        <f t="array" ref="FZ105">IF(FO105="","",_xlfn.LET(_xlpm.nd,_xlfn.TEXTSPLIT(FO105,"|"),IF(COLUMNS(_xlpm.nd)&gt;6,A105&amp;"¦"&amp;INDEX(_xlpm.nd,6)&amp;"¦"&amp;INDEX(_xlpm.nd,7),"")))</f>
        <v/>
      </c>
      <c r="GA105" t="str">
        <f t="shared" si="161"/>
        <v/>
      </c>
      <c r="GB105" t="str">
        <f t="shared" si="162"/>
        <v/>
      </c>
      <c r="GC105" t="str">
        <f t="shared" si="163"/>
        <v>QF3 → XT4</v>
      </c>
      <c r="GD105">
        <f t="shared" si="164"/>
        <v>1</v>
      </c>
      <c r="GE105">
        <f t="shared" si="165"/>
        <v>0</v>
      </c>
      <c r="GF105">
        <f t="shared" si="166"/>
        <v>0</v>
      </c>
      <c r="GG105" t="str">
        <f t="shared" si="167"/>
        <v/>
      </c>
      <c r="GH105" t="str">
        <f t="shared" si="168"/>
        <v/>
      </c>
      <c r="GI105" t="str">
        <f t="shared" si="169"/>
        <v/>
      </c>
      <c r="GJ105" t="str">
        <f t="shared" si="170"/>
        <v/>
      </c>
      <c r="GK105" t="str">
        <f>IF(D105="","",IFERROR(VLOOKUP(D105,УГО_спр,2,FALSE),IFERROR(VLOOKUP(AT105,УГО_спр,2,FALSE),IFERROR(VLOOKUP(LEFT(AT105,2),УГО_спр,2,FALSE),""))))</f>
        <v>Привод (двигатель)</v>
      </c>
      <c r="GL105" t="str">
        <f>IF(D105="","",IF(OR(GK105="",GK105=0),"BOX",IFERROR(IF(VLOOKUP(GK105,УГО_блоки,3,FALSE)&amp;""&lt;&gt;"",VLOOKUP(GK105,УГО_блоки,3,FALSE),VLOOKUP(GK105,УГО_блоки,2,FALSE)),GK105)))</f>
        <v>MOTOR</v>
      </c>
      <c r="GM105">
        <f t="shared" si="171"/>
        <v>1</v>
      </c>
      <c r="GN105" t="str">
        <f>IF(EP105="","",IF(COUNTIF(EP$3:EP105,EP105)=1,MAX(GN$2:GN104)+1,""))</f>
        <v/>
      </c>
      <c r="GO105" t="str">
        <f>IF(AF105="","",IF(COUNTIF(AF$3:AF105,AF105)+COUNTIF(AG$2:AG104,AF105)+COUNTIF(AH$2:AH104,AF105)=1,MAX(GO$2:GQ104)+1,""))</f>
        <v/>
      </c>
      <c r="GP105" t="str">
        <f>IF(AG105="","",IF(COUNTIF(AF$3:AF105,AG105)+COUNTIF(AG$3:AG105,AG105)+COUNTIF(AH$2:AH104,AG105)=1,MAX(GO$2:GQ104,GO105)+1,""))</f>
        <v/>
      </c>
      <c r="GQ105" t="str">
        <f>IF(AH105="","",IF(COUNTIF(AF$3:AF105,AH105)+COUNTIF(AG$3:AG105,AH105)+COUNTIF(AH$3:AH105,AH105)=1,MAX(GO$2:GQ104,GO105,GP105)+1,""))</f>
        <v/>
      </c>
      <c r="GR105" t="str">
        <f t="shared" si="172"/>
        <v>3х1,5</v>
      </c>
      <c r="GS105" t="str">
        <f>IF(GR105="","",IF(COUNTIF(GR$3:GR105,GR105)=1,MAX(GS$2:GS104)+1,""))</f>
        <v/>
      </c>
      <c r="GT105" t="str">
        <f>IF(ES105="","",COUNTIF(ES$3:ES105,"?*"))</f>
        <v/>
      </c>
      <c r="GU105" t="str">
        <f>IF(OR(ES105="",EU105=""),"",IF(COUNTIFS(ES$3:ES105,"?*",EU$3:EU105,EU105)=1,MAX(GU$2:GU104)+1,""))</f>
        <v/>
      </c>
      <c r="GV105">
        <f t="shared" si="173"/>
        <v>0</v>
      </c>
      <c r="GW105">
        <f>IF(D105="","",COUNTIF(D$3:D105,"?*"))</f>
        <v>103</v>
      </c>
      <c r="GX105">
        <f>IF(EX105&lt;&gt;1,0,_xlfn.LET(_xlpm.k,MAX(IFERROR(--VLOOKUP(D105,УГО_спр,5,FALSE),0),IFERROR(--VLOOKUP(AT105,УГО_спр,5,FALSE),0),IFERROR(--VLOOKUP(LEFT(AT105,2),УГО_спр,5,FALSE),0)),IF(_xlpm.k&gt;0,_xlpm.k,IF(IFERROR(--LEFT(SUBSTITUTE(GR105,"x","х"),FIND("х",SUBSTITUTE(GR105,"x","х"))-1),3)&gt;3,Каталог!$S$9,1))))</f>
        <v>1</v>
      </c>
      <c r="GY105">
        <f t="shared" si="174"/>
        <v>0</v>
      </c>
    </row>
    <row r="106" spans="1:207" x14ac:dyDescent="0.3">
      <c r="A106" t="s">
        <v>750</v>
      </c>
      <c r="B106">
        <v>16</v>
      </c>
      <c r="C106" t="str">
        <f>IF(BD106="","",IF(BE106="вводной узел","узел ","")&amp;"л."&amp;(INT((BD106-1)/Столбцов_на_лист)+1)&amp;" / "&amp;(MOD(BD106-1,Столбцов_на_лист)+1))</f>
        <v>л.1 / 16</v>
      </c>
      <c r="D106" t="s">
        <v>1391</v>
      </c>
      <c r="E106" s="133" t="s">
        <v>1392</v>
      </c>
      <c r="G106">
        <v>0.3</v>
      </c>
      <c r="H106">
        <v>1</v>
      </c>
      <c r="I106">
        <v>1</v>
      </c>
      <c r="J106">
        <v>230</v>
      </c>
      <c r="K106" t="s">
        <v>602</v>
      </c>
      <c r="L106">
        <v>0.5</v>
      </c>
      <c r="O106">
        <v>2</v>
      </c>
      <c r="P106">
        <v>38</v>
      </c>
      <c r="Q106">
        <v>32</v>
      </c>
      <c r="R106">
        <v>10</v>
      </c>
      <c r="T106">
        <v>1</v>
      </c>
      <c r="U106" t="s">
        <v>11</v>
      </c>
      <c r="V106">
        <v>3</v>
      </c>
      <c r="W106">
        <v>1.5</v>
      </c>
      <c r="X106">
        <v>10</v>
      </c>
      <c r="Z106" t="s">
        <v>584</v>
      </c>
      <c r="AA106" t="s">
        <v>818</v>
      </c>
      <c r="AD106" t="s">
        <v>517</v>
      </c>
      <c r="AR106" t="str">
        <f t="shared" si="88"/>
        <v/>
      </c>
      <c r="AS106" cm="1">
        <f t="array" ref="AS106">ROW()-ROW(Линии[#Headers])</f>
        <v>104</v>
      </c>
      <c r="AT106" t="str">
        <f t="shared" si="89"/>
        <v>В</v>
      </c>
      <c r="AU106" t="str">
        <f t="shared" si="90"/>
        <v>2</v>
      </c>
      <c r="AV106" t="str">
        <f t="shared" si="91"/>
        <v>2</v>
      </c>
      <c r="AW106" t="str">
        <f t="shared" si="92"/>
        <v/>
      </c>
      <c r="AX106" t="str">
        <f t="shared" si="93"/>
        <v/>
      </c>
      <c r="AY106" t="str">
        <f>IF(D106="","",IF(ISERROR(SEARCH(".",D106)),IFERROR(VLOOKUP(D106,Потребители_обозначение,2,FALSE)&amp;"",""),IFERROR(IF(VLOOKUP(AT106,Потребители_обозначение,4,FALSE)=1,VLOOKUP(AT106,Потребители_обозначение,2,FALSE)&amp;" "&amp;VLOOKUP(AV106,Этаж_обозначение,2,FALSE)&amp;" Пом. №"&amp;AX106,VLOOKUP(AT106,Потребители_обозначение,2,FALSE)&amp;" Шлейф №"&amp;AV106),IFERROR(VLOOKUP(D106,Потребители_обозначение,2,FALSE),""))))</f>
        <v>Вытяжная установка Шлейф №2</v>
      </c>
      <c r="AZ106" t="str">
        <f t="shared" si="94"/>
        <v>Вытяжная установка Пом. №003Б</v>
      </c>
      <c r="BA106" t="str">
        <f>IF(F106&lt;&gt;"",F106,IF(AND(D106&lt;&gt;"",D106&lt;&gt;A106,ISNUMBER(_xlfn.XMATCH(D106,Щиты[Щит]))),D106,""))</f>
        <v/>
      </c>
      <c r="BB106">
        <f>IFERROR(_xlfn.XMATCH(A106,Щиты[Щит]),0)</f>
        <v>6</v>
      </c>
      <c r="BC106">
        <f>IFERROR(N(_xlfn.XLOOKUP(A106,Щиты[Щит],Щиты[Мест под вводной узел])),15)</f>
        <v>12</v>
      </c>
      <c r="BD106">
        <f t="shared" si="95"/>
        <v>16</v>
      </c>
      <c r="BE106" t="str">
        <f t="shared" si="96"/>
        <v>линии</v>
      </c>
      <c r="BF106">
        <f>IF(D106="","",IF(BA106&lt;&gt;"",IFERROR(_xlfn.XLOOKUP(BA106,Щиты[Щит],Щиты[Руст, кВт]),0),N(G106)))</f>
        <v>0.3</v>
      </c>
      <c r="BG106">
        <f>IF(J106&lt;&gt;"",J106,IF(D106="","",IFERROR(IF(VLOOKUP(AT106,Потребители_обозначение,8,FALSE)=0,"",VLOOKUP(AT106,Потребители_обозначение,8,FALSE)),"")))</f>
        <v>230</v>
      </c>
      <c r="BH106">
        <f>IF(I106&lt;&gt;"",I106,IF(D106="","",IFERROR(IF(VLOOKUP(AT106,Потребители_обозначение,9,FALSE)=0,"",VLOOKUP(AT106,Потребители_обозначение,9,FALSE)),"")))</f>
        <v>1</v>
      </c>
      <c r="BI106" t="str">
        <f>IF(U106&lt;&gt;"",U106,IF(D106="","",IFERROR(IF(VLOOKUP(AT106,Потребители_обозначение,6,FALSE)=0,"",VLOOKUP(AT106,Потребители_обозначение,6,FALSE)),"")))</f>
        <v>мс</v>
      </c>
      <c r="BJ106">
        <f>IF(V106&lt;&gt;"",V106,IF(D106="","",IFERROR(IF(VLOOKUP(AT106,Потребители_обозначение,7,FALSE)=0,"",VLOOKUP(AT106,Потребители_обозначение,7,FALSE)),"")))</f>
        <v>3</v>
      </c>
      <c r="BK106">
        <f>IF(W106&lt;&gt;"",W106,IF(D106="","",IFERROR(IF(VLOOKUP(AT106,Потребители_обозначение,10,FALSE)=0,"",VLOOKUP(AT106,Потребители_обозначение,10,FALSE)),"")))</f>
        <v>1.5</v>
      </c>
      <c r="BL106">
        <f>IFERROR(VLOOKUP(AT106,Потребители_обозначение,5,FALSE),0)</f>
        <v>1</v>
      </c>
      <c r="BM106" cm="1">
        <f t="array" ref="BM106">IF(D106="","",IF(BA106&lt;&gt;"",IFERROR(_xlfn.XLOOKUP(BA106,Щиты[Щит],Щиты[cos φ]),0.95),IF(ISNUMBER(M106),M106,IFERROR(IF(BL106=2,_xlfn.IFS(BH106=3,VLOOKUP(BF106,Справочная_двигатели,8,FALSE),BH106=1,VLOOKUP(BF106,Справочная_двигатели,10,TRUE)),IF(AND(Методика="нормы 2026",CN106="Сил"),0.8,0.95)),0.95))))</f>
        <v>0.95</v>
      </c>
      <c r="BN106" cm="1">
        <f t="array" ref="BN106">IF(D106="","",IF(BA106&lt;&gt;"",IFERROR(_xlfn.XLOOKUP(BA106,Щиты[Щит],Щиты[Iр, А]),""),IFERROR(_xlfn.IFS(BH106=1,BF106/((Uн_лин/SQRT(3))*BM106),BH106=3,BF106/(SQRT(3)*Uн_лин*BM106)),"")))</f>
        <v>1.3674085322912188</v>
      </c>
      <c r="BO106">
        <f>IF(D106="","",IF(N(X106)=0,IFERROR(VLOOKUP(BN106,Автомат_номиналы,2,TRUE),""),X106))</f>
        <v>10</v>
      </c>
      <c r="BP106">
        <f t="shared" si="97"/>
        <v>1</v>
      </c>
      <c r="BQ106">
        <f>IF(ISNUMBER(Y106),Y106,К_прокл)</f>
        <v>1</v>
      </c>
      <c r="BR106">
        <f t="shared" si="98"/>
        <v>2</v>
      </c>
      <c r="BS106" cm="1">
        <f t="array" ref="BS106">IF(D106="","",IF(N(BK106)&lt;&gt;0,BK106,IFERROR(_xlfn.LET(_xlpm.need,BO106/(BP106*BQ106),_xlpm.t,CHOOSE(BR106,Iдоп_1ж,Iдоп_2ж,Iдоп_3ж),_xlpm.k,_xlfn.XMATCH(_xlpm.need,_xlpm.t,1),IF(ISNA(_xlpm.k),"Не исп",INDEX(Iдоп_S,_xlpm.k))),"Не исп")))</f>
        <v>1.5</v>
      </c>
      <c r="BT106">
        <f>IFERROR(VLOOKUP(BS106,Кабель_сопротивление,3,FALSE),"")</f>
        <v>2.2499999999999999E-2</v>
      </c>
      <c r="BU106">
        <f>IFERROR(VLOOKUP(BS106,Кабель_сопротивление,2,FALSE),"")</f>
        <v>0.11</v>
      </c>
      <c r="BV106">
        <f t="shared" si="99"/>
        <v>38</v>
      </c>
      <c r="BW106">
        <f>IF(D106="","",IFERROR(IF(VLOOKUP(AT106,Потребители_обозначение,4,FALSE)=1,VLOOKUP(AT106,Потребители_обозначение,3,FALSE)*(H106*2-1)+BV106+VLOOKUP(AV106,Этаж_обозначение,3,FALSE)+VLOOKUP(AV106,Этаж_обозначение,4,FALSE),VLOOKUP(AT106,Потребители_обозначение,3,FALSE)*(H106*2-1)+BV106),BV106))</f>
        <v>42</v>
      </c>
      <c r="BX106">
        <f t="shared" si="100"/>
        <v>10</v>
      </c>
      <c r="BY106">
        <f t="shared" si="101"/>
        <v>0</v>
      </c>
      <c r="BZ106">
        <f t="shared" si="102"/>
        <v>2</v>
      </c>
      <c r="CA106">
        <f t="shared" si="103"/>
        <v>0.31</v>
      </c>
      <c r="CB106">
        <f t="shared" si="104"/>
        <v>1.6407048181524837</v>
      </c>
      <c r="CC106">
        <f>IFERROR(ROUNDUP(CB106/((Uн_лин/SQRT(3))*1000)*100,2),"")</f>
        <v>0.72</v>
      </c>
      <c r="CD106">
        <f>IF(ISNUMBER(CC106),CC106+IFERROR(_xlfn.XLOOKUP(A106,Щиты[Щит],Щиты[ΔU до шин, %]),0),"")</f>
        <v>0.96</v>
      </c>
      <c r="CE106">
        <f>IF(D106="","",IF(IFERROR(VLOOKUP(AT106,УГО_спр,2,FALSE),"")="Светильник",3,4)+IF(Методика="нормы 2026",MIN(0.5,MAX(0,N(BW106)-100)*0.005),0))</f>
        <v>4</v>
      </c>
      <c r="CF106" t="str">
        <f>IFERROR(VLOOKUP(BI106,Кабель_обозначение,2,FALSE),"")</f>
        <v>ВВГнг(А)-LS</v>
      </c>
      <c r="CG106" t="str">
        <f>IFERROR(IF(VLOOKUP(BI106,Кабель_обозначение,3,FALSE)=1,CF106&amp;" ("&amp;BJ106&amp;"х"&amp;BS106&amp;")",CF106),"")</f>
        <v>ВВГнг(А)-LS (3х1,5)</v>
      </c>
      <c r="CH106" t="str">
        <f t="shared" si="105"/>
        <v>ВВГнг(А)-LS (3х1,5)
L=42-0,72%</v>
      </c>
      <c r="CI106">
        <f>IFERROR(2*ρкз_Cu*BW106/BS106,"")</f>
        <v>1.4728000000000001</v>
      </c>
      <c r="CJ106">
        <f t="shared" si="106"/>
        <v>0.49000000000000005</v>
      </c>
      <c r="CK106" t="str">
        <f>IFERROR(IF(OR(D106="",NOT(ISNUMBER(BS106)),N(BW106)=0),"",_xlfn.XLOOKUP(A106,Щиты[Щит],Щиты[Zпетли на шинах, Ом])+CI106),"")</f>
        <v/>
      </c>
      <c r="CL106" t="str">
        <f>IF(ISNUMBER(CK106),c_min*(Uн_лин*1000/SQRT(3))/CK106,"")</f>
        <v/>
      </c>
      <c r="CM106" t="str">
        <f>IFERROR(IF(OR(D106="",NOT(ISNUMBER(BS106))),"",1.05*(Uн_лин*1000/SQRT(3))/(_xlfn.XLOOKUP(A106,Щиты[Щит],Щиты[Zmax на шинах, Ом])+CJ106)/1000),"")</f>
        <v/>
      </c>
      <c r="CN106" t="str">
        <f>IF(D106="","",IF(BA106&lt;&gt;"","Щит",IF(K106&lt;&gt;"",K106,IF(ISNUMBER(L106),"Сил",IF(IFERROR(_xlfn.XLOOKUP(AT106,Коды_код,Коды_группа)&amp;"","")="","Быт",_xlfn.XLOOKUP(AT106,Коды_код,Коды_группа)&amp;"")))))</f>
        <v>Сил</v>
      </c>
      <c r="CO106">
        <f>IF(CN106="Щит","щит",IF(CN106="","",IF(CN106="Быт",IFERROR(_xlfn.XLOOKUP(A106,Щиты[Щит],Щиты[Кс быт]),1),IF(CN106="Сил",IF(ISNUMBER(L106),L106,IF(Методика="нормы 2026",IFERROR(_xlfn.XLOOKUP(A106,Щиты[Щит],Щиты[Кс силовых (табл. 7.5)]),1),1)),IF(OR(CN106="Пост",CN106="Отоп"),1,IF(CN106="ВНГ",0.7,0))))))</f>
        <v>0.5</v>
      </c>
      <c r="CP106">
        <f t="shared" si="107"/>
        <v>1</v>
      </c>
      <c r="CQ106">
        <f t="shared" si="108"/>
        <v>0.3</v>
      </c>
      <c r="CR106">
        <f t="shared" si="109"/>
        <v>0</v>
      </c>
      <c r="CS106">
        <f t="shared" si="110"/>
        <v>0.15</v>
      </c>
      <c r="CT106">
        <f t="shared" si="111"/>
        <v>0</v>
      </c>
      <c r="CU106">
        <f t="shared" si="112"/>
        <v>0</v>
      </c>
      <c r="CV106">
        <f t="shared" si="113"/>
        <v>0</v>
      </c>
      <c r="CW106">
        <f t="shared" si="114"/>
        <v>0.3</v>
      </c>
      <c r="CX106">
        <f t="shared" si="115"/>
        <v>0.28499999999999998</v>
      </c>
      <c r="CY106">
        <f t="shared" si="116"/>
        <v>3</v>
      </c>
      <c r="CZ106" t="str">
        <f t="shared" si="117"/>
        <v>L3</v>
      </c>
      <c r="DA106" cm="1">
        <f t="array" ref="DA106">IFERROR(IF(BL106=2,_xlfn.IFS(BH106=3,VLOOKUP(BF106,Справочная_двигатели,3,FALSE),BH106=1,VLOOKUP(BF106,Справочная_двигатели,5,TRUE)),0),0)</f>
        <v>0</v>
      </c>
      <c r="DB106">
        <f>IFERROR(IF(BL106=3,VLOOKUP(BF106,Справочная_ЛЭД,2,TRUE),0),0)</f>
        <v>0</v>
      </c>
      <c r="DC106">
        <f t="shared" si="118"/>
        <v>0</v>
      </c>
      <c r="DD106" t="str">
        <f t="shared" si="119"/>
        <v>L2</v>
      </c>
      <c r="DE106" t="str" cm="1">
        <f t="array" ref="DE106">IF(D106="","",IFERROR(INDEX({"I особая","I","II","III"},MATCH(TRIM(AA106&amp;""),{"I особая","I","II","III"},0)),"III"))</f>
        <v>II</v>
      </c>
      <c r="DF106" t="str">
        <f>IF(D106="","",IF(TRIM(AB106&amp;"")&lt;&gt;"",IF(LOWER(TRIM(AB106&amp;""))="да","да","нет"),IF(IFERROR(_xlfn.XLOOKUP(AT106,Коды_код,Коды_пожарная),"")="да","да","нет")))</f>
        <v>нет</v>
      </c>
      <c r="DG106" t="str">
        <f t="shared" si="120"/>
        <v/>
      </c>
      <c r="DH106" t="str">
        <f t="shared" si="121"/>
        <v>основная</v>
      </c>
      <c r="DI106">
        <f t="shared" si="122"/>
        <v>1</v>
      </c>
      <c r="DJ106" t="str" cm="1">
        <f t="array" ref="DJ106">IF(D106="","",_xlfn.LET(_xlpm.t,IFERROR(_xlfn.XLOOKUP(1,(Шины[Шина]=DH106)*(((Шины[Щит]=A106)+(Шины[Щит]=""))&gt;0),Шины[Тип]),"")&amp;"",IF(_xlpm.t&lt;&gt;"",_xlpm.t,IF(ISNUMBER(SEARCH("ИБП",DH106)),"ИБП",IF(ISNUMBER(SEARCH("ДГУ",DH106)),"ДГУ","Ввод "&amp;DI106)))))</f>
        <v>Ввод 1</v>
      </c>
      <c r="DK106" t="str">
        <f t="shared" si="123"/>
        <v>Ввод 1</v>
      </c>
      <c r="DL106" t="str">
        <f>IF(D106="","",IF(OR(DJ106="ИБП",DJ106="ДГУ"),"I особая",IF(DJ106="Одиночная","III",_xlfn.XLOOKUP(A106,Щиты[Щит],Щиты[Категория шины «Ввод»],"III"))))</f>
        <v>II</v>
      </c>
      <c r="DM106">
        <f>IF(D106="",0,IFERROR(MATCH(DE106,{"III","II","I","I особая"},0),1))</f>
        <v>2</v>
      </c>
      <c r="DN106">
        <f t="shared" si="124"/>
        <v>2</v>
      </c>
      <c r="DO106" t="str">
        <f>IF(D106="","",IF(DM106&gt;IFERROR(MATCH(DL106,{"III","II","I","I особая"},0),1),"НЕ ОБЕСПЕЧЕНА","ОК"))</f>
        <v>ОК</v>
      </c>
      <c r="DP106" t="str">
        <f>IF(A106="","",_xlfn.XLOOKUP(A106,Щиты[Щит],Щиты[Путь],""))</f>
        <v>|ГРЩ-ЖД|ЩОВ-01|</v>
      </c>
      <c r="DQ106" t="str">
        <f>IF(D106="","",IF(Z106&lt;&gt;"",Z106,IF(IFERROR(_xlfn.XLOOKUP(AT106,Коды_код,Коды_вид)&amp;"","")="","Прочее",_xlfn.XLOOKUP(AT106,Коды_код,Коды_вид)&amp;"")))</f>
        <v>Вентиляция</v>
      </c>
      <c r="DR106">
        <f>IF(BD106="","",INT((BD106-1)/Столбцов_на_лист)+1)</f>
        <v>1</v>
      </c>
      <c r="DS106" t="str">
        <f t="shared" si="125"/>
        <v>ВВГнг(А)-LS (3х1,5) L=42-0,72%</v>
      </c>
      <c r="DT106">
        <f t="shared" si="126"/>
        <v>0.3</v>
      </c>
      <c r="DU106">
        <f t="shared" si="127"/>
        <v>1.37</v>
      </c>
      <c r="DV106">
        <f t="shared" si="128"/>
        <v>1</v>
      </c>
      <c r="DW106">
        <f>IF(AT106="",0,_xlfn.LET(_xlpm.v,IFERROR(VLOOKUP(D106,УГО_спр,3,FALSE),IFERROR(VLOOKUP(AT106,УГО_спр,3,FALSE),IFERROR(VLOOKUP(LEFT(AT106,2),УГО_спр,3,FALSE),""))),IF(_xlpm.v="да",30,IF(ISNUMBER(_xlpm.v),_xlpm.v,0))))</f>
        <v>0</v>
      </c>
      <c r="DX106">
        <f t="shared" si="129"/>
        <v>0</v>
      </c>
      <c r="DY106">
        <f>IF(BD106="","",IF(AD106&lt;&gt;"",COUNTIFS(A$3:A106,A106,AD$3:AD106,"?*"),IF(OR(OR(AS106=1,A106&lt;&gt;A105),AL106="вручную"),"",IF(AS106=1,"",DZ105))))</f>
        <v>4</v>
      </c>
      <c r="DZ106">
        <f t="shared" si="130"/>
        <v>4</v>
      </c>
      <c r="EA106">
        <f>IF(D106="",0,MAX(IFERROR(--X106,0),IFERROR(--VLOOKUP(D106,УГО_спр,4,FALSE),IFERROR(--VLOOKUP(AT106,УГО_спр,4,FALSE),IFERROR(--VLOOKUP(LEFT(AT106,2),УГО_спр,4,FALSE),0)))))</f>
        <v>10</v>
      </c>
      <c r="EB106">
        <f>IF(D106="","",IFERROR(LOOKUP(INDEX(CHOOSE(BR106,Iдоп_1ж,Iдоп_2ж,Iдоп_3ж),MATCH(BS106,Iдоп_S,0))*BP106*BQ106,{6,10,16,20,25,32,40,50,63,80,100,125,160,200,250,315,400,500,630}),""))</f>
        <v>16</v>
      </c>
      <c r="EC106">
        <f>IF(AD106="","",SUMIFS(Линии[_Ток схемы],Линии[_гр.],DY106,Линии[Щит],A106,Линии[_в кабель выше],0))</f>
        <v>1.37</v>
      </c>
      <c r="ED106">
        <f>IF(AD106="","",IFERROR(VLOOKUP(EC106,Автомат_номиналы,2,TRUE),""))</f>
        <v>6</v>
      </c>
      <c r="EE106">
        <f>IF(AD106="","",MAX(N(ED106),_xlfn.MAXIFS(Линии[_мин. по типу],Линии[_гр.],DY106,Линии[Щит],A106)))</f>
        <v>10</v>
      </c>
      <c r="EF106">
        <f>IF(AD106="","",_xlfn.MINIFS(Линии[_макс. автомат по кабелю],Линии[_гр.],DY106,Линии[Щит],A106))</f>
        <v>16</v>
      </c>
      <c r="EG106">
        <f>IF(AD106="","",MAX(1,_xlfn.MAXIFS(Линии[_фаз],Линии[_гр.],DY106,Линии[Щит],A106)))</f>
        <v>1</v>
      </c>
      <c r="EH106">
        <f>IF(AD106="","",IF(AND(AD106&lt;&gt;"авто",AD106&lt;&gt;"+"),IF(ISNUMBER(SEARCH("мА",AD106)),IFERROR(--TRIM(RIGHT(SUBSTITUTE(LEFT(AD106,SEARCH("мА",AD106)-1)," ",REPT(" ",9)),6)),30),0),IF(AE106="нет",0,IF(ISNUMBER(AE106),AE106,IF(AE106="да",30,_xlfn.MINIFS(Линии[_дифзащита по коду, мА],Линии[_гр.],DY106,Линии[Щит],A106,Линии[_дифзащита по коду, мА],"&gt;0"))))))</f>
        <v>0</v>
      </c>
      <c r="EI106">
        <f t="shared" si="131"/>
        <v>0</v>
      </c>
      <c r="EJ106" t="str">
        <f t="shared" si="132"/>
        <v>QF4</v>
      </c>
      <c r="EK106" t="str">
        <f t="shared" si="133"/>
        <v>QF4</v>
      </c>
      <c r="EL106" t="str">
        <f t="shared" si="134"/>
        <v/>
      </c>
      <c r="EM106">
        <f t="shared" si="135"/>
        <v>0</v>
      </c>
      <c r="EN106">
        <f>IF(AD106="","",IF(EM106=1,MAX(EE106,Мин_автомат_БП),EE106))</f>
        <v>10</v>
      </c>
      <c r="EO106" t="str">
        <f t="shared" si="136"/>
        <v>1P</v>
      </c>
      <c r="EP106" t="str">
        <f t="shared" si="137"/>
        <v>1P С10А</v>
      </c>
      <c r="EQ106">
        <f t="shared" si="138"/>
        <v>10</v>
      </c>
      <c r="ER106" t="str">
        <f>IF(OR(AI106="",AI106="-"),"",IFERROR(VLOOKUP(AI106,Модули_спр,2,FALSE),"R"))</f>
        <v/>
      </c>
      <c r="ES106" t="str">
        <f>IF(ER106="","",ER106&amp;"."&amp;COUNTIFS(A$3:A106,A106,ER$3:ER106,ER106))</f>
        <v/>
      </c>
      <c r="ET106" t="str">
        <f t="shared" si="139"/>
        <v/>
      </c>
      <c r="EU106" t="str">
        <f t="shared" si="140"/>
        <v/>
      </c>
      <c r="EV106" t="str">
        <f t="shared" si="141"/>
        <v/>
      </c>
      <c r="EW106" t="str">
        <f t="shared" si="142"/>
        <v/>
      </c>
      <c r="EX106">
        <f t="shared" si="143"/>
        <v>1</v>
      </c>
      <c r="EY106" t="str">
        <f>IF(AK106="нет","",IF(AK106&lt;&gt;"",AK106,IF(EX106=1,"XT"&amp;COUNTIFS(A$3:A106,A106,EX$3:EX106,1),"")))</f>
        <v>XT5</v>
      </c>
      <c r="EZ106" t="str">
        <f t="shared" si="144"/>
        <v>QF4</v>
      </c>
      <c r="FA106" t="str">
        <f t="shared" si="145"/>
        <v/>
      </c>
      <c r="FB106" t="str">
        <f t="shared" si="146"/>
        <v>ok</v>
      </c>
      <c r="FC106" t="str">
        <f>IF(OR(EV106="",ET106=""),"",IF(EV106&gt;IFERROR(VLOOKUP(EU106,Модули_спр,3,FALSE),99),"ЛИШНИЙ КАНАЛ",IF(AND(AJ106&lt;&gt;"=",COUNTIFS(Линии[_модуль гр.],ET106,Линии[Канал (итог)],EV106,Линии[Канал],"&lt;&gt;=",Линии[Щит],A106)&gt;1),"ДУБЛЬ КАНАЛА","")))</f>
        <v/>
      </c>
      <c r="FD106">
        <f t="shared" si="147"/>
        <v>10</v>
      </c>
      <c r="FE106" t="str">
        <f t="shared" si="148"/>
        <v>1P С10А</v>
      </c>
      <c r="FF106">
        <f t="shared" si="149"/>
        <v>0</v>
      </c>
      <c r="FG106">
        <f t="shared" si="150"/>
        <v>0</v>
      </c>
      <c r="FH106" t="str">
        <f t="shared" si="151"/>
        <v/>
      </c>
      <c r="FI106">
        <f t="shared" si="152"/>
        <v>10</v>
      </c>
      <c r="FJ106" t="str">
        <f t="shared" si="153"/>
        <v/>
      </c>
      <c r="FK106" t="str">
        <f>IF(AND(D106="",EZ106=""),"",_xlfn.TEXTJOIN("; ",TRUE,IF(AND(D106&lt;&gt;"",DD106=""),"нет фазы",""),IF(AND(D106&lt;&gt;"",N(DT106)=0,CN106&lt;&gt;"Нет"),"нет мощности",""),IF(AND(EY106&lt;&gt;"",COUNTIFS(Линии[Щит],A106,Линии[Клемма (итог)],EY106)&gt;1),"дубль клеммы "&amp;EY106,""),IF(AND(FB106&lt;&gt;"",FB106&lt;&gt;"ok"),FB106,""),IF(FC106&lt;&gt;"",FC106,""),IF(AND(ISNUMBER(SEARCH("(5х",DS106)),N(DV106)=1),"5 жил на 1 фазе",""),IF(AND(AT106="R",AD106&lt;&gt;"",OR(N(EH106)=0,N(EH106)&gt;30)),"розетка без дифзащиты до 30 мА",""),IFERROR(IF(AND(ISNUMBER(CD106),CD106&gt;CE106),"потери "&amp;FIXED(CD106,1)&amp;" % &gt; "&amp;CE106&amp;" %",""),""),IFERROR(IF(LEFT(FJ106,4)="мало","Iкз мало — отключение &gt; 0,4 с",""),""),IF(AND(D106&lt;&gt;"",BD106=""),"не на схеме","")))</f>
        <v/>
      </c>
      <c r="FL106">
        <f>IF(AD106="","",_xlfn.LET(_xlpm.t,IFERROR(_xlfn.XLOOKUP(EP106,Каталог!$U$4:$U$500,Каталог!$G$4:$G$500),""),_xlpm.k,SEARCH("кА",_xlpm.t),IFERROR(--TRIM(RIGHT(SUBSTITUTE(MID(_xlpm.t,MAX(1,_xlpm.k-4),_xlpm.k-MAX(1,_xlpm.k-4))," ",REPT(" ",9)),5)),"")))</f>
        <v>6</v>
      </c>
      <c r="FM106" t="str">
        <f>IF(OR(FL106="",AD106=""),"",IF(_xlfn.XLOOKUP(A106,Щиты[Щит],Щиты[Iкз max на шинах, кА],"")="","",IF(FL106&lt;_xlfn.XLOOKUP(A106,Щиты[Щит],Щиты[Iкз max на шинах, кА]),"Icu "&amp;FL106&amp;" кА &lt; Iкз max","ok")))</f>
        <v/>
      </c>
      <c r="FN106" t="str">
        <f t="shared" si="154"/>
        <v>QF4|XT5</v>
      </c>
      <c r="FO106" t="str">
        <f t="shared" si="155"/>
        <v>QF4|XT5|кабель ВВГнг(А)-LS (3х1,5) → Вытяжная установка Пом. №003Б</v>
      </c>
      <c r="FP106" t="str" cm="1">
        <f t="array" ref="FP106">IF(FO106="","",_xlfn.LET(_xlpm.nd,_xlfn.TEXTSPLIT(FO106,"|"),IF(COLUMNS(_xlpm.nd)&gt;1,A106&amp;"¦"&amp;INDEX(_xlpm.nd,1)&amp;"¦"&amp;INDEX(_xlpm.nd,2),"")))</f>
        <v>ЩОВ-01¦QF4¦XT5</v>
      </c>
      <c r="FQ106" t="str">
        <f t="shared" si="156"/>
        <v>В.2¦Вытяжная установка Пом. №003Б</v>
      </c>
      <c r="FR106" t="str" cm="1">
        <f t="array" ref="FR106">IF(FO106="","",_xlfn.LET(_xlpm.nd,_xlfn.TEXTSPLIT(FO106,"|"),IF(COLUMNS(_xlpm.nd)&gt;2,A106&amp;"¦"&amp;INDEX(_xlpm.nd,2)&amp;"¦"&amp;INDEX(_xlpm.nd,3),"")))</f>
        <v>ЩОВ-01¦XT5¦кабель ВВГнг(А)-LS (3х1,5) → Вытяжная установка Пом. №003Б</v>
      </c>
      <c r="FS106" t="str">
        <f t="shared" si="157"/>
        <v>В.2¦Вытяжная установка Пом. №003Б</v>
      </c>
      <c r="FT106" t="str" cm="1">
        <f t="array" ref="FT106">IF(FO106="","",_xlfn.LET(_xlpm.nd,_xlfn.TEXTSPLIT(FO106,"|"),IF(COLUMNS(_xlpm.nd)&gt;3,A106&amp;"¦"&amp;INDEX(_xlpm.nd,3)&amp;"¦"&amp;INDEX(_xlpm.nd,4),"")))</f>
        <v/>
      </c>
      <c r="FU106" t="str">
        <f t="shared" si="158"/>
        <v/>
      </c>
      <c r="FV106" t="str" cm="1">
        <f t="array" ref="FV106">IF(FO106="","",_xlfn.LET(_xlpm.nd,_xlfn.TEXTSPLIT(FO106,"|"),IF(COLUMNS(_xlpm.nd)&gt;4,A106&amp;"¦"&amp;INDEX(_xlpm.nd,4)&amp;"¦"&amp;INDEX(_xlpm.nd,5),"")))</f>
        <v/>
      </c>
      <c r="FW106" t="str">
        <f t="shared" si="159"/>
        <v/>
      </c>
      <c r="FX106" t="str" cm="1">
        <f t="array" ref="FX106">IF(FO106="","",_xlfn.LET(_xlpm.nd,_xlfn.TEXTSPLIT(FO106,"|"),IF(COLUMNS(_xlpm.nd)&gt;5,A106&amp;"¦"&amp;INDEX(_xlpm.nd,5)&amp;"¦"&amp;INDEX(_xlpm.nd,6),"")))</f>
        <v/>
      </c>
      <c r="FY106" t="str">
        <f t="shared" si="160"/>
        <v/>
      </c>
      <c r="FZ106" t="str" cm="1">
        <f t="array" ref="FZ106">IF(FO106="","",_xlfn.LET(_xlpm.nd,_xlfn.TEXTSPLIT(FO106,"|"),IF(COLUMNS(_xlpm.nd)&gt;6,A106&amp;"¦"&amp;INDEX(_xlpm.nd,6)&amp;"¦"&amp;INDEX(_xlpm.nd,7),"")))</f>
        <v/>
      </c>
      <c r="GA106" t="str">
        <f t="shared" si="161"/>
        <v/>
      </c>
      <c r="GB106" t="str">
        <f t="shared" si="162"/>
        <v/>
      </c>
      <c r="GC106" t="str">
        <f t="shared" si="163"/>
        <v>QF4 → XT5</v>
      </c>
      <c r="GD106">
        <f t="shared" si="164"/>
        <v>1</v>
      </c>
      <c r="GE106">
        <f t="shared" si="165"/>
        <v>0</v>
      </c>
      <c r="GF106">
        <f t="shared" si="166"/>
        <v>0</v>
      </c>
      <c r="GG106" t="str">
        <f t="shared" si="167"/>
        <v/>
      </c>
      <c r="GH106" t="str">
        <f t="shared" si="168"/>
        <v/>
      </c>
      <c r="GI106" t="str">
        <f t="shared" si="169"/>
        <v/>
      </c>
      <c r="GJ106" t="str">
        <f t="shared" si="170"/>
        <v/>
      </c>
      <c r="GK106" t="str">
        <f>IF(D106="","",IFERROR(VLOOKUP(D106,УГО_спр,2,FALSE),IFERROR(VLOOKUP(AT106,УГО_спр,2,FALSE),IFERROR(VLOOKUP(LEFT(AT106,2),УГО_спр,2,FALSE),""))))</f>
        <v>Привод (двигатель)</v>
      </c>
      <c r="GL106" t="str">
        <f>IF(D106="","",IF(OR(GK106="",GK106=0),"BOX",IFERROR(IF(VLOOKUP(GK106,УГО_блоки,3,FALSE)&amp;""&lt;&gt;"",VLOOKUP(GK106,УГО_блоки,3,FALSE),VLOOKUP(GK106,УГО_блоки,2,FALSE)),GK106)))</f>
        <v>MOTOR</v>
      </c>
      <c r="GM106">
        <f t="shared" si="171"/>
        <v>1</v>
      </c>
      <c r="GN106" t="str">
        <f>IF(EP106="","",IF(COUNTIF(EP$3:EP106,EP106)=1,MAX(GN$2:GN105)+1,""))</f>
        <v/>
      </c>
      <c r="GO106" t="str">
        <f>IF(AF106="","",IF(COUNTIF(AF$3:AF106,AF106)+COUNTIF(AG$2:AG105,AF106)+COUNTIF(AH$2:AH105,AF106)=1,MAX(GO$2:GQ105)+1,""))</f>
        <v/>
      </c>
      <c r="GP106" t="str">
        <f>IF(AG106="","",IF(COUNTIF(AF$3:AF106,AG106)+COUNTIF(AG$3:AG106,AG106)+COUNTIF(AH$2:AH105,AG106)=1,MAX(GO$2:GQ105,GO106)+1,""))</f>
        <v/>
      </c>
      <c r="GQ106" t="str">
        <f>IF(AH106="","",IF(COUNTIF(AF$3:AF106,AH106)+COUNTIF(AG$3:AG106,AH106)+COUNTIF(AH$3:AH106,AH106)=1,MAX(GO$2:GQ105,GO106,GP106)+1,""))</f>
        <v/>
      </c>
      <c r="GR106" t="str">
        <f t="shared" si="172"/>
        <v>3х1,5</v>
      </c>
      <c r="GS106" t="str">
        <f>IF(GR106="","",IF(COUNTIF(GR$3:GR106,GR106)=1,MAX(GS$2:GS105)+1,""))</f>
        <v/>
      </c>
      <c r="GT106" t="str">
        <f>IF(ES106="","",COUNTIF(ES$3:ES106,"?*"))</f>
        <v/>
      </c>
      <c r="GU106" t="str">
        <f>IF(OR(ES106="",EU106=""),"",IF(COUNTIFS(ES$3:ES106,"?*",EU$3:EU106,EU106)=1,MAX(GU$2:GU105)+1,""))</f>
        <v/>
      </c>
      <c r="GV106">
        <f t="shared" si="173"/>
        <v>0</v>
      </c>
      <c r="GW106">
        <f>IF(D106="","",COUNTIF(D$3:D106,"?*"))</f>
        <v>104</v>
      </c>
      <c r="GX106">
        <f>IF(EX106&lt;&gt;1,0,_xlfn.LET(_xlpm.k,MAX(IFERROR(--VLOOKUP(D106,УГО_спр,5,FALSE),0),IFERROR(--VLOOKUP(AT106,УГО_спр,5,FALSE),0),IFERROR(--VLOOKUP(LEFT(AT106,2),УГО_спр,5,FALSE),0)),IF(_xlpm.k&gt;0,_xlpm.k,IF(IFERROR(--LEFT(SUBSTITUTE(GR106,"x","х"),FIND("х",SUBSTITUTE(GR106,"x","х"))-1),3)&gt;3,Каталог!$S$9,1))))</f>
        <v>1</v>
      </c>
      <c r="GY106">
        <f t="shared" si="174"/>
        <v>0</v>
      </c>
    </row>
    <row r="107" spans="1:207" x14ac:dyDescent="0.3">
      <c r="A107" t="s">
        <v>750</v>
      </c>
      <c r="B107">
        <v>19</v>
      </c>
      <c r="C107" t="str">
        <f>IF(BD107="","",IF(BE107="вводной узел","узел ","")&amp;"л."&amp;(INT((BD107-1)/Столбцов_на_лист)+1)&amp;" / "&amp;(MOD(BD107-1,Столбцов_на_лист)+1))</f>
        <v>л.2 / 2</v>
      </c>
      <c r="D107" t="s">
        <v>1393</v>
      </c>
      <c r="E107" s="133" t="s">
        <v>1394</v>
      </c>
      <c r="G107">
        <v>0.27</v>
      </c>
      <c r="H107">
        <v>1</v>
      </c>
      <c r="I107">
        <v>1</v>
      </c>
      <c r="J107">
        <v>230</v>
      </c>
      <c r="K107" t="s">
        <v>602</v>
      </c>
      <c r="L107">
        <v>0.5</v>
      </c>
      <c r="O107">
        <v>2</v>
      </c>
      <c r="P107">
        <v>34</v>
      </c>
      <c r="Q107">
        <v>29</v>
      </c>
      <c r="R107">
        <v>9</v>
      </c>
      <c r="T107">
        <v>1</v>
      </c>
      <c r="U107" t="s">
        <v>11</v>
      </c>
      <c r="V107">
        <v>3</v>
      </c>
      <c r="W107">
        <v>1.5</v>
      </c>
      <c r="X107">
        <v>10</v>
      </c>
      <c r="Z107" t="s">
        <v>584</v>
      </c>
      <c r="AA107" t="s">
        <v>818</v>
      </c>
      <c r="AD107" t="s">
        <v>517</v>
      </c>
      <c r="AK107" t="s">
        <v>488</v>
      </c>
      <c r="AR107" t="str">
        <f t="shared" si="88"/>
        <v/>
      </c>
      <c r="AS107" cm="1">
        <f t="array" ref="AS107">ROW()-ROW(Линии[#Headers])</f>
        <v>105</v>
      </c>
      <c r="AT107" t="str">
        <f t="shared" si="89"/>
        <v>В</v>
      </c>
      <c r="AU107" t="str">
        <f t="shared" si="90"/>
        <v>10</v>
      </c>
      <c r="AV107" t="str">
        <f t="shared" si="91"/>
        <v>10</v>
      </c>
      <c r="AW107" t="str">
        <f t="shared" si="92"/>
        <v/>
      </c>
      <c r="AX107" t="str">
        <f t="shared" si="93"/>
        <v/>
      </c>
      <c r="AY107" t="str">
        <f>IF(D107="","",IF(ISERROR(SEARCH(".",D107)),IFERROR(VLOOKUP(D107,Потребители_обозначение,2,FALSE)&amp;"",""),IFERROR(IF(VLOOKUP(AT107,Потребители_обозначение,4,FALSE)=1,VLOOKUP(AT107,Потребители_обозначение,2,FALSE)&amp;" "&amp;VLOOKUP(AV107,Этаж_обозначение,2,FALSE)&amp;" Пом. №"&amp;AX107,VLOOKUP(AT107,Потребители_обозначение,2,FALSE)&amp;" Шлейф №"&amp;AV107),IFERROR(VLOOKUP(D107,Потребители_обозначение,2,FALSE),""))))</f>
        <v>Вытяжная установка Шлейф №10</v>
      </c>
      <c r="AZ107" t="str">
        <f t="shared" si="94"/>
        <v>Вытяжная установка Пом. №019Б</v>
      </c>
      <c r="BA107" t="str">
        <f>IF(F107&lt;&gt;"",F107,IF(AND(D107&lt;&gt;"",D107&lt;&gt;A107,ISNUMBER(_xlfn.XMATCH(D107,Щиты[Щит]))),D107,""))</f>
        <v/>
      </c>
      <c r="BB107">
        <f>IFERROR(_xlfn.XMATCH(A107,Щиты[Щит]),0)</f>
        <v>6</v>
      </c>
      <c r="BC107">
        <f>IFERROR(N(_xlfn.XLOOKUP(A107,Щиты[Щит],Щиты[Мест под вводной узел])),15)</f>
        <v>12</v>
      </c>
      <c r="BD107">
        <f t="shared" si="95"/>
        <v>19</v>
      </c>
      <c r="BE107" t="str">
        <f t="shared" si="96"/>
        <v>линии</v>
      </c>
      <c r="BF107">
        <f>IF(D107="","",IF(BA107&lt;&gt;"",IFERROR(_xlfn.XLOOKUP(BA107,Щиты[Щит],Щиты[Руст, кВт]),0),N(G107)))</f>
        <v>0.27</v>
      </c>
      <c r="BG107">
        <f>IF(J107&lt;&gt;"",J107,IF(D107="","",IFERROR(IF(VLOOKUP(AT107,Потребители_обозначение,8,FALSE)=0,"",VLOOKUP(AT107,Потребители_обозначение,8,FALSE)),"")))</f>
        <v>230</v>
      </c>
      <c r="BH107">
        <f>IF(I107&lt;&gt;"",I107,IF(D107="","",IFERROR(IF(VLOOKUP(AT107,Потребители_обозначение,9,FALSE)=0,"",VLOOKUP(AT107,Потребители_обозначение,9,FALSE)),"")))</f>
        <v>1</v>
      </c>
      <c r="BI107" t="str">
        <f>IF(U107&lt;&gt;"",U107,IF(D107="","",IFERROR(IF(VLOOKUP(AT107,Потребители_обозначение,6,FALSE)=0,"",VLOOKUP(AT107,Потребители_обозначение,6,FALSE)),"")))</f>
        <v>мс</v>
      </c>
      <c r="BJ107">
        <f>IF(V107&lt;&gt;"",V107,IF(D107="","",IFERROR(IF(VLOOKUP(AT107,Потребители_обозначение,7,FALSE)=0,"",VLOOKUP(AT107,Потребители_обозначение,7,FALSE)),"")))</f>
        <v>3</v>
      </c>
      <c r="BK107">
        <f>IF(W107&lt;&gt;"",W107,IF(D107="","",IFERROR(IF(VLOOKUP(AT107,Потребители_обозначение,10,FALSE)=0,"",VLOOKUP(AT107,Потребители_обозначение,10,FALSE)),"")))</f>
        <v>1.5</v>
      </c>
      <c r="BL107">
        <f>IFERROR(VLOOKUP(AT107,Потребители_обозначение,5,FALSE),0)</f>
        <v>1</v>
      </c>
      <c r="BM107" cm="1">
        <f t="array" ref="BM107">IF(D107="","",IF(BA107&lt;&gt;"",IFERROR(_xlfn.XLOOKUP(BA107,Щиты[Щит],Щиты[cos φ]),0.95),IF(ISNUMBER(M107),M107,IFERROR(IF(BL107=2,_xlfn.IFS(BH107=3,VLOOKUP(BF107,Справочная_двигатели,8,FALSE),BH107=1,VLOOKUP(BF107,Справочная_двигатели,10,TRUE)),IF(AND(Методика="нормы 2026",CN107="Сил"),0.8,0.95)),0.95))))</f>
        <v>0.95</v>
      </c>
      <c r="BN107" cm="1">
        <f t="array" ref="BN107">IF(D107="","",IF(BA107&lt;&gt;"",IFERROR(_xlfn.XLOOKUP(BA107,Щиты[Щит],Щиты[Iр, А]),""),IFERROR(_xlfn.IFS(BH107=1,BF107/((Uн_лин/SQRT(3))*BM107),BH107=3,BF107/(SQRT(3)*Uн_лин*BM107)),"")))</f>
        <v>1.230667679062097</v>
      </c>
      <c r="BO107">
        <f>IF(D107="","",IF(N(X107)=0,IFERROR(VLOOKUP(BN107,Автомат_номиналы,2,TRUE),""),X107))</f>
        <v>10</v>
      </c>
      <c r="BP107">
        <f t="shared" si="97"/>
        <v>1</v>
      </c>
      <c r="BQ107">
        <f>IF(ISNUMBER(Y107),Y107,К_прокл)</f>
        <v>1</v>
      </c>
      <c r="BR107">
        <f t="shared" si="98"/>
        <v>2</v>
      </c>
      <c r="BS107" cm="1">
        <f t="array" ref="BS107">IF(D107="","",IF(N(BK107)&lt;&gt;0,BK107,IFERROR(_xlfn.LET(_xlpm.need,BO107/(BP107*BQ107),_xlpm.t,CHOOSE(BR107,Iдоп_1ж,Iдоп_2ж,Iдоп_3ж),_xlpm.k,_xlfn.XMATCH(_xlpm.need,_xlpm.t,1),IF(ISNA(_xlpm.k),"Не исп",INDEX(Iдоп_S,_xlpm.k))),"Не исп")))</f>
        <v>1.5</v>
      </c>
      <c r="BT107">
        <f>IFERROR(VLOOKUP(BS107,Кабель_сопротивление,3,FALSE),"")</f>
        <v>2.2499999999999999E-2</v>
      </c>
      <c r="BU107">
        <f>IFERROR(VLOOKUP(BS107,Кабель_сопротивление,2,FALSE),"")</f>
        <v>0.11</v>
      </c>
      <c r="BV107">
        <f t="shared" si="99"/>
        <v>34</v>
      </c>
      <c r="BW107">
        <f>IF(D107="","",IFERROR(IF(VLOOKUP(AT107,Потребители_обозначение,4,FALSE)=1,VLOOKUP(AT107,Потребители_обозначение,3,FALSE)*(H107*2-1)+BV107+VLOOKUP(AV107,Этаж_обозначение,3,FALSE)+VLOOKUP(AV107,Этаж_обозначение,4,FALSE),VLOOKUP(AT107,Потребители_обозначение,3,FALSE)*(H107*2-1)+BV107),BV107))</f>
        <v>38</v>
      </c>
      <c r="BX107">
        <f t="shared" si="100"/>
        <v>9</v>
      </c>
      <c r="BY107">
        <f t="shared" si="101"/>
        <v>0</v>
      </c>
      <c r="BZ107">
        <f t="shared" si="102"/>
        <v>2</v>
      </c>
      <c r="CA107">
        <f t="shared" si="103"/>
        <v>0.31</v>
      </c>
      <c r="CB107">
        <f t="shared" si="104"/>
        <v>1.3360024947813083</v>
      </c>
      <c r="CC107">
        <f>IFERROR(ROUNDUP(CB107/((Uн_лин/SQRT(3))*1000)*100,2),"")</f>
        <v>0.57999999999999996</v>
      </c>
      <c r="CD107">
        <f>IF(ISNUMBER(CC107),CC107+IFERROR(_xlfn.XLOOKUP(A107,Щиты[Щит],Щиты[ΔU до шин, %]),0),"")</f>
        <v>0.82</v>
      </c>
      <c r="CE107">
        <f>IF(D107="","",IF(IFERROR(VLOOKUP(AT107,УГО_спр,2,FALSE),"")="Светильник",3,4)+IF(Методика="нормы 2026",MIN(0.5,MAX(0,N(BW107)-100)*0.005),0))</f>
        <v>4</v>
      </c>
      <c r="CF107" t="str">
        <f>IFERROR(VLOOKUP(BI107,Кабель_обозначение,2,FALSE),"")</f>
        <v>ВВГнг(А)-LS</v>
      </c>
      <c r="CG107" t="str">
        <f>IFERROR(IF(VLOOKUP(BI107,Кабель_обозначение,3,FALSE)=1,CF107&amp;" ("&amp;BJ107&amp;"х"&amp;BS107&amp;")",CF107),"")</f>
        <v>ВВГнг(А)-LS (3х1,5)</v>
      </c>
      <c r="CH107" t="str">
        <f t="shared" si="105"/>
        <v>ВВГнг(А)-LS (3х1,5)
L=38-0,58%</v>
      </c>
      <c r="CI107">
        <f>IFERROR(2*ρкз_Cu*BW107/BS107,"")</f>
        <v>1.3325333333333333</v>
      </c>
      <c r="CJ107">
        <f t="shared" si="106"/>
        <v>0.44333333333333336</v>
      </c>
      <c r="CK107" t="str">
        <f>IFERROR(IF(OR(D107="",NOT(ISNUMBER(BS107)),N(BW107)=0),"",_xlfn.XLOOKUP(A107,Щиты[Щит],Щиты[Zпетли на шинах, Ом])+CI107),"")</f>
        <v/>
      </c>
      <c r="CL107" t="str">
        <f>IF(ISNUMBER(CK107),c_min*(Uн_лин*1000/SQRT(3))/CK107,"")</f>
        <v/>
      </c>
      <c r="CM107" t="str">
        <f>IFERROR(IF(OR(D107="",NOT(ISNUMBER(BS107))),"",1.05*(Uн_лин*1000/SQRT(3))/(_xlfn.XLOOKUP(A107,Щиты[Щит],Щиты[Zmax на шинах, Ом])+CJ107)/1000),"")</f>
        <v/>
      </c>
      <c r="CN107" t="str">
        <f>IF(D107="","",IF(BA107&lt;&gt;"","Щит",IF(K107&lt;&gt;"",K107,IF(ISNUMBER(L107),"Сил",IF(IFERROR(_xlfn.XLOOKUP(AT107,Коды_код,Коды_группа)&amp;"","")="","Быт",_xlfn.XLOOKUP(AT107,Коды_код,Коды_группа)&amp;"")))))</f>
        <v>Сил</v>
      </c>
      <c r="CO107">
        <f>IF(CN107="Щит","щит",IF(CN107="","",IF(CN107="Быт",IFERROR(_xlfn.XLOOKUP(A107,Щиты[Щит],Щиты[Кс быт]),1),IF(CN107="Сил",IF(ISNUMBER(L107),L107,IF(Методика="нормы 2026",IFERROR(_xlfn.XLOOKUP(A107,Щиты[Щит],Щиты[Кс силовых (табл. 7.5)]),1),1)),IF(OR(CN107="Пост",CN107="Отоп"),1,IF(CN107="ВНГ",0.7,0))))))</f>
        <v>0.5</v>
      </c>
      <c r="CP107">
        <f t="shared" si="107"/>
        <v>1</v>
      </c>
      <c r="CQ107">
        <f t="shared" si="108"/>
        <v>0.27</v>
      </c>
      <c r="CR107">
        <f t="shared" si="109"/>
        <v>0</v>
      </c>
      <c r="CS107">
        <f t="shared" si="110"/>
        <v>0.13500000000000001</v>
      </c>
      <c r="CT107">
        <f t="shared" si="111"/>
        <v>0</v>
      </c>
      <c r="CU107">
        <f t="shared" si="112"/>
        <v>0</v>
      </c>
      <c r="CV107">
        <f t="shared" si="113"/>
        <v>0</v>
      </c>
      <c r="CW107">
        <f t="shared" si="114"/>
        <v>0.27</v>
      </c>
      <c r="CX107">
        <f t="shared" si="115"/>
        <v>0.25650000000000001</v>
      </c>
      <c r="CY107">
        <f t="shared" si="116"/>
        <v>1</v>
      </c>
      <c r="CZ107" t="str">
        <f t="shared" si="117"/>
        <v>L1</v>
      </c>
      <c r="DA107" cm="1">
        <f t="array" ref="DA107">IFERROR(IF(BL107=2,_xlfn.IFS(BH107=3,VLOOKUP(BF107,Справочная_двигатели,3,FALSE),BH107=1,VLOOKUP(BF107,Справочная_двигатели,5,TRUE)),0),0)</f>
        <v>0</v>
      </c>
      <c r="DB107">
        <f>IFERROR(IF(BL107=3,VLOOKUP(BF107,Справочная_ЛЭД,2,TRUE),0),0)</f>
        <v>0</v>
      </c>
      <c r="DC107">
        <f t="shared" si="118"/>
        <v>0</v>
      </c>
      <c r="DD107" t="str">
        <f t="shared" si="119"/>
        <v>L2</v>
      </c>
      <c r="DE107" t="str" cm="1">
        <f t="array" ref="DE107">IF(D107="","",IFERROR(INDEX({"I особая","I","II","III"},MATCH(TRIM(AA107&amp;""),{"I особая","I","II","III"},0)),"III"))</f>
        <v>II</v>
      </c>
      <c r="DF107" t="str">
        <f>IF(D107="","",IF(TRIM(AB107&amp;"")&lt;&gt;"",IF(LOWER(TRIM(AB107&amp;""))="да","да","нет"),IF(IFERROR(_xlfn.XLOOKUP(AT107,Коды_код,Коды_пожарная),"")="да","да","нет")))</f>
        <v>нет</v>
      </c>
      <c r="DG107" t="str">
        <f t="shared" si="120"/>
        <v/>
      </c>
      <c r="DH107" t="str">
        <f t="shared" si="121"/>
        <v>основная</v>
      </c>
      <c r="DI107">
        <f t="shared" si="122"/>
        <v>1</v>
      </c>
      <c r="DJ107" t="str" cm="1">
        <f t="array" ref="DJ107">IF(D107="","",_xlfn.LET(_xlpm.t,IFERROR(_xlfn.XLOOKUP(1,(Шины[Шина]=DH107)*(((Шины[Щит]=A107)+(Шины[Щит]=""))&gt;0),Шины[Тип]),"")&amp;"",IF(_xlpm.t&lt;&gt;"",_xlpm.t,IF(ISNUMBER(SEARCH("ИБП",DH107)),"ИБП",IF(ISNUMBER(SEARCH("ДГУ",DH107)),"ДГУ","Ввод "&amp;DI107)))))</f>
        <v>Ввод 1</v>
      </c>
      <c r="DK107" t="str">
        <f t="shared" si="123"/>
        <v>Ввод 1</v>
      </c>
      <c r="DL107" t="str">
        <f>IF(D107="","",IF(OR(DJ107="ИБП",DJ107="ДГУ"),"I особая",IF(DJ107="Одиночная","III",_xlfn.XLOOKUP(A107,Щиты[Щит],Щиты[Категория шины «Ввод»],"III"))))</f>
        <v>II</v>
      </c>
      <c r="DM107">
        <f>IF(D107="",0,IFERROR(MATCH(DE107,{"III","II","I","I особая"},0),1))</f>
        <v>2</v>
      </c>
      <c r="DN107">
        <f t="shared" si="124"/>
        <v>2</v>
      </c>
      <c r="DO107" t="str">
        <f>IF(D107="","",IF(DM107&gt;IFERROR(MATCH(DL107,{"III","II","I","I особая"},0),1),"НЕ ОБЕСПЕЧЕНА","ОК"))</f>
        <v>ОК</v>
      </c>
      <c r="DP107" t="str">
        <f>IF(A107="","",_xlfn.XLOOKUP(A107,Щиты[Щит],Щиты[Путь],""))</f>
        <v>|ГРЩ-ЖД|ЩОВ-01|</v>
      </c>
      <c r="DQ107" t="str">
        <f>IF(D107="","",IF(Z107&lt;&gt;"",Z107,IF(IFERROR(_xlfn.XLOOKUP(AT107,Коды_код,Коды_вид)&amp;"","")="","Прочее",_xlfn.XLOOKUP(AT107,Коды_код,Коды_вид)&amp;"")))</f>
        <v>Вентиляция</v>
      </c>
      <c r="DR107">
        <f>IF(BD107="","",INT((BD107-1)/Столбцов_на_лист)+1)</f>
        <v>2</v>
      </c>
      <c r="DS107" t="str">
        <f t="shared" si="125"/>
        <v>ВВГнг(А)-LS (3х1,5) L=38-0,58%</v>
      </c>
      <c r="DT107">
        <f t="shared" si="126"/>
        <v>0.27</v>
      </c>
      <c r="DU107">
        <f t="shared" si="127"/>
        <v>1.24</v>
      </c>
      <c r="DV107">
        <f t="shared" si="128"/>
        <v>1</v>
      </c>
      <c r="DW107">
        <f>IF(AT107="",0,_xlfn.LET(_xlpm.v,IFERROR(VLOOKUP(D107,УГО_спр,3,FALSE),IFERROR(VLOOKUP(AT107,УГО_спр,3,FALSE),IFERROR(VLOOKUP(LEFT(AT107,2),УГО_спр,3,FALSE),""))),IF(_xlpm.v="да",30,IF(ISNUMBER(_xlpm.v),_xlpm.v,0))))</f>
        <v>0</v>
      </c>
      <c r="DX107">
        <f t="shared" si="129"/>
        <v>0</v>
      </c>
      <c r="DY107">
        <f>IF(BD107="","",IF(AD107&lt;&gt;"",COUNTIFS(A$3:A107,A107,AD$3:AD107,"?*"),IF(OR(OR(AS107=1,A107&lt;&gt;A106),AL107="вручную"),"",IF(AS107=1,"",DZ106))))</f>
        <v>5</v>
      </c>
      <c r="DZ107">
        <f t="shared" si="130"/>
        <v>5</v>
      </c>
      <c r="EA107">
        <f>IF(D107="",0,MAX(IFERROR(--X107,0),IFERROR(--VLOOKUP(D107,УГО_спр,4,FALSE),IFERROR(--VLOOKUP(AT107,УГО_спр,4,FALSE),IFERROR(--VLOOKUP(LEFT(AT107,2),УГО_спр,4,FALSE),0)))))</f>
        <v>10</v>
      </c>
      <c r="EB107">
        <f>IF(D107="","",IFERROR(LOOKUP(INDEX(CHOOSE(BR107,Iдоп_1ж,Iдоп_2ж,Iдоп_3ж),MATCH(BS107,Iдоп_S,0))*BP107*BQ107,{6,10,16,20,25,32,40,50,63,80,100,125,160,200,250,315,400,500,630}),""))</f>
        <v>16</v>
      </c>
      <c r="EC107">
        <f>IF(AD107="","",SUMIFS(Линии[_Ток схемы],Линии[_гр.],DY107,Линии[Щит],A107,Линии[_в кабель выше],0))</f>
        <v>1.24</v>
      </c>
      <c r="ED107">
        <f>IF(AD107="","",IFERROR(VLOOKUP(EC107,Автомат_номиналы,2,TRUE),""))</f>
        <v>6</v>
      </c>
      <c r="EE107">
        <f>IF(AD107="","",MAX(N(ED107),_xlfn.MAXIFS(Линии[_мин. по типу],Линии[_гр.],DY107,Линии[Щит],A107)))</f>
        <v>10</v>
      </c>
      <c r="EF107">
        <f>IF(AD107="","",_xlfn.MINIFS(Линии[_макс. автомат по кабелю],Линии[_гр.],DY107,Линии[Щит],A107))</f>
        <v>16</v>
      </c>
      <c r="EG107">
        <f>IF(AD107="","",MAX(1,_xlfn.MAXIFS(Линии[_фаз],Линии[_гр.],DY107,Линии[Щит],A107)))</f>
        <v>1</v>
      </c>
      <c r="EH107">
        <f>IF(AD107="","",IF(AND(AD107&lt;&gt;"авто",AD107&lt;&gt;"+"),IF(ISNUMBER(SEARCH("мА",AD107)),IFERROR(--TRIM(RIGHT(SUBSTITUTE(LEFT(AD107,SEARCH("мА",AD107)-1)," ",REPT(" ",9)),6)),30),0),IF(AE107="нет",0,IF(ISNUMBER(AE107),AE107,IF(AE107="да",30,_xlfn.MINIFS(Линии[_дифзащита по коду, мА],Линии[_гр.],DY107,Линии[Щит],A107,Линии[_дифзащита по коду, мА],"&gt;0"))))))</f>
        <v>0</v>
      </c>
      <c r="EI107">
        <f t="shared" si="131"/>
        <v>0</v>
      </c>
      <c r="EJ107" t="str">
        <f t="shared" si="132"/>
        <v>QF5</v>
      </c>
      <c r="EK107" t="str">
        <f t="shared" si="133"/>
        <v>QF5</v>
      </c>
      <c r="EL107" t="str">
        <f t="shared" si="134"/>
        <v/>
      </c>
      <c r="EM107">
        <f t="shared" si="135"/>
        <v>0</v>
      </c>
      <c r="EN107">
        <f>IF(AD107="","",IF(EM107=1,MAX(EE107,Мин_автомат_БП),EE107))</f>
        <v>10</v>
      </c>
      <c r="EO107" t="str">
        <f t="shared" si="136"/>
        <v>1P</v>
      </c>
      <c r="EP107" t="str">
        <f t="shared" si="137"/>
        <v>1P С10А</v>
      </c>
      <c r="EQ107">
        <f t="shared" si="138"/>
        <v>10</v>
      </c>
      <c r="ER107" t="str">
        <f>IF(OR(AI107="",AI107="-"),"",IFERROR(VLOOKUP(AI107,Модули_спр,2,FALSE),"R"))</f>
        <v/>
      </c>
      <c r="ES107" t="str">
        <f>IF(ER107="","",ER107&amp;"."&amp;COUNTIFS(A$3:A107,A107,ER$3:ER107,ER107))</f>
        <v/>
      </c>
      <c r="ET107" t="str">
        <f t="shared" si="139"/>
        <v/>
      </c>
      <c r="EU107" t="str">
        <f t="shared" si="140"/>
        <v/>
      </c>
      <c r="EV107" t="str">
        <f t="shared" si="141"/>
        <v/>
      </c>
      <c r="EW107" t="str">
        <f t="shared" si="142"/>
        <v/>
      </c>
      <c r="EX107">
        <f t="shared" si="143"/>
        <v>1</v>
      </c>
      <c r="EY107" t="str">
        <f>IF(AK107="нет","",IF(AK107&lt;&gt;"",AK107,IF(EX107=1,"XT"&amp;COUNTIFS(A$3:A107,A107,EX$3:EX107,1),"")))</f>
        <v/>
      </c>
      <c r="EZ107" t="str">
        <f t="shared" si="144"/>
        <v>QF5</v>
      </c>
      <c r="FA107" t="str">
        <f t="shared" si="145"/>
        <v/>
      </c>
      <c r="FB107" t="str">
        <f t="shared" si="146"/>
        <v>ok</v>
      </c>
      <c r="FC107" t="str">
        <f>IF(OR(EV107="",ET107=""),"",IF(EV107&gt;IFERROR(VLOOKUP(EU107,Модули_спр,3,FALSE),99),"ЛИШНИЙ КАНАЛ",IF(AND(AJ107&lt;&gt;"=",COUNTIFS(Линии[_модуль гр.],ET107,Линии[Канал (итог)],EV107,Линии[Канал],"&lt;&gt;=",Линии[Щит],A107)&gt;1),"ДУБЛЬ КАНАЛА","")))</f>
        <v/>
      </c>
      <c r="FD107">
        <f t="shared" si="147"/>
        <v>10</v>
      </c>
      <c r="FE107" t="str">
        <f t="shared" si="148"/>
        <v>1P С10А</v>
      </c>
      <c r="FF107">
        <f t="shared" si="149"/>
        <v>0</v>
      </c>
      <c r="FG107">
        <f t="shared" si="150"/>
        <v>0</v>
      </c>
      <c r="FH107" t="str">
        <f t="shared" si="151"/>
        <v/>
      </c>
      <c r="FI107">
        <f t="shared" si="152"/>
        <v>10</v>
      </c>
      <c r="FJ107" t="str">
        <f t="shared" si="153"/>
        <v/>
      </c>
      <c r="FK107" t="str">
        <f>IF(AND(D107="",EZ107=""),"",_xlfn.TEXTJOIN("; ",TRUE,IF(AND(D107&lt;&gt;"",DD107=""),"нет фазы",""),IF(AND(D107&lt;&gt;"",N(DT107)=0,CN107&lt;&gt;"Нет"),"нет мощности",""),IF(AND(EY107&lt;&gt;"",COUNTIFS(Линии[Щит],A107,Линии[Клемма (итог)],EY107)&gt;1),"дубль клеммы "&amp;EY107,""),IF(AND(FB107&lt;&gt;"",FB107&lt;&gt;"ok"),FB107,""),IF(FC107&lt;&gt;"",FC107,""),IF(AND(ISNUMBER(SEARCH("(5х",DS107)),N(DV107)=1),"5 жил на 1 фазе",""),IF(AND(AT107="R",AD107&lt;&gt;"",OR(N(EH107)=0,N(EH107)&gt;30)),"розетка без дифзащиты до 30 мА",""),IFERROR(IF(AND(ISNUMBER(CD107),CD107&gt;CE107),"потери "&amp;FIXED(CD107,1)&amp;" % &gt; "&amp;CE107&amp;" %",""),""),IFERROR(IF(LEFT(FJ107,4)="мало","Iкз мало — отключение &gt; 0,4 с",""),""),IF(AND(D107&lt;&gt;"",BD107=""),"не на схеме","")))</f>
        <v/>
      </c>
      <c r="FL107">
        <f>IF(AD107="","",_xlfn.LET(_xlpm.t,IFERROR(_xlfn.XLOOKUP(EP107,Каталог!$U$4:$U$500,Каталог!$G$4:$G$500),""),_xlpm.k,SEARCH("кА",_xlpm.t),IFERROR(--TRIM(RIGHT(SUBSTITUTE(MID(_xlpm.t,MAX(1,_xlpm.k-4),_xlpm.k-MAX(1,_xlpm.k-4))," ",REPT(" ",9)),5)),"")))</f>
        <v>6</v>
      </c>
      <c r="FM107" t="str">
        <f>IF(OR(FL107="",AD107=""),"",IF(_xlfn.XLOOKUP(A107,Щиты[Щит],Щиты[Iкз max на шинах, кА],"")="","",IF(FL107&lt;_xlfn.XLOOKUP(A107,Щиты[Щит],Щиты[Iкз max на шинах, кА]),"Icu "&amp;FL107&amp;" кА &lt; Iкз max","ok")))</f>
        <v/>
      </c>
      <c r="FN107" t="str">
        <f t="shared" si="154"/>
        <v>QF5</v>
      </c>
      <c r="FO107" t="str">
        <f t="shared" si="155"/>
        <v>QF5|кабель ВВГнг(А)-LS (3х1,5) → Вытяжная установка Пом. №019Б</v>
      </c>
      <c r="FP107" t="str" cm="1">
        <f t="array" ref="FP107">IF(FO107="","",_xlfn.LET(_xlpm.nd,_xlfn.TEXTSPLIT(FO107,"|"),IF(COLUMNS(_xlpm.nd)&gt;1,A107&amp;"¦"&amp;INDEX(_xlpm.nd,1)&amp;"¦"&amp;INDEX(_xlpm.nd,2),"")))</f>
        <v>ЩОВ-01¦QF5¦кабель ВВГнг(А)-LS (3х1,5) → Вытяжная установка Пом. №019Б</v>
      </c>
      <c r="FQ107" t="str">
        <f t="shared" si="156"/>
        <v>В.10¦Вытяжная установка Пом. №019Б</v>
      </c>
      <c r="FR107" t="str" cm="1">
        <f t="array" ref="FR107">IF(FO107="","",_xlfn.LET(_xlpm.nd,_xlfn.TEXTSPLIT(FO107,"|"),IF(COLUMNS(_xlpm.nd)&gt;2,A107&amp;"¦"&amp;INDEX(_xlpm.nd,2)&amp;"¦"&amp;INDEX(_xlpm.nd,3),"")))</f>
        <v/>
      </c>
      <c r="FS107" t="str">
        <f t="shared" si="157"/>
        <v/>
      </c>
      <c r="FT107" t="str" cm="1">
        <f t="array" ref="FT107">IF(FO107="","",_xlfn.LET(_xlpm.nd,_xlfn.TEXTSPLIT(FO107,"|"),IF(COLUMNS(_xlpm.nd)&gt;3,A107&amp;"¦"&amp;INDEX(_xlpm.nd,3)&amp;"¦"&amp;INDEX(_xlpm.nd,4),"")))</f>
        <v/>
      </c>
      <c r="FU107" t="str">
        <f t="shared" si="158"/>
        <v/>
      </c>
      <c r="FV107" t="str" cm="1">
        <f t="array" ref="FV107">IF(FO107="","",_xlfn.LET(_xlpm.nd,_xlfn.TEXTSPLIT(FO107,"|"),IF(COLUMNS(_xlpm.nd)&gt;4,A107&amp;"¦"&amp;INDEX(_xlpm.nd,4)&amp;"¦"&amp;INDEX(_xlpm.nd,5),"")))</f>
        <v/>
      </c>
      <c r="FW107" t="str">
        <f t="shared" si="159"/>
        <v/>
      </c>
      <c r="FX107" t="str" cm="1">
        <f t="array" ref="FX107">IF(FO107="","",_xlfn.LET(_xlpm.nd,_xlfn.TEXTSPLIT(FO107,"|"),IF(COLUMNS(_xlpm.nd)&gt;5,A107&amp;"¦"&amp;INDEX(_xlpm.nd,5)&amp;"¦"&amp;INDEX(_xlpm.nd,6),"")))</f>
        <v/>
      </c>
      <c r="FY107" t="str">
        <f t="shared" si="160"/>
        <v/>
      </c>
      <c r="FZ107" t="str" cm="1">
        <f t="array" ref="FZ107">IF(FO107="","",_xlfn.LET(_xlpm.nd,_xlfn.TEXTSPLIT(FO107,"|"),IF(COLUMNS(_xlpm.nd)&gt;6,A107&amp;"¦"&amp;INDEX(_xlpm.nd,6)&amp;"¦"&amp;INDEX(_xlpm.nd,7),"")))</f>
        <v/>
      </c>
      <c r="GA107" t="str">
        <f t="shared" si="161"/>
        <v/>
      </c>
      <c r="GB107" t="str">
        <f t="shared" si="162"/>
        <v/>
      </c>
      <c r="GC107" t="str">
        <f t="shared" si="163"/>
        <v>QF5</v>
      </c>
      <c r="GD107">
        <f t="shared" si="164"/>
        <v>1</v>
      </c>
      <c r="GE107">
        <f t="shared" si="165"/>
        <v>0</v>
      </c>
      <c r="GF107">
        <f t="shared" si="166"/>
        <v>0</v>
      </c>
      <c r="GG107" t="str">
        <f t="shared" si="167"/>
        <v/>
      </c>
      <c r="GH107" t="str">
        <f t="shared" si="168"/>
        <v/>
      </c>
      <c r="GI107" t="str">
        <f t="shared" si="169"/>
        <v/>
      </c>
      <c r="GJ107" t="str">
        <f t="shared" si="170"/>
        <v/>
      </c>
      <c r="GK107" t="str">
        <f>IF(D107="","",IFERROR(VLOOKUP(D107,УГО_спр,2,FALSE),IFERROR(VLOOKUP(AT107,УГО_спр,2,FALSE),IFERROR(VLOOKUP(LEFT(AT107,2),УГО_спр,2,FALSE),""))))</f>
        <v>Привод (двигатель)</v>
      </c>
      <c r="GL107" t="str">
        <f>IF(D107="","",IF(OR(GK107="",GK107=0),"BOX",IFERROR(IF(VLOOKUP(GK107,УГО_блоки,3,FALSE)&amp;""&lt;&gt;"",VLOOKUP(GK107,УГО_блоки,3,FALSE),VLOOKUP(GK107,УГО_блоки,2,FALSE)),GK107)))</f>
        <v>MOTOR</v>
      </c>
      <c r="GM107">
        <f t="shared" si="171"/>
        <v>1</v>
      </c>
      <c r="GN107" t="str">
        <f>IF(EP107="","",IF(COUNTIF(EP$3:EP107,EP107)=1,MAX(GN$2:GN106)+1,""))</f>
        <v/>
      </c>
      <c r="GO107" t="str">
        <f>IF(AF107="","",IF(COUNTIF(AF$3:AF107,AF107)+COUNTIF(AG$2:AG106,AF107)+COUNTIF(AH$2:AH106,AF107)=1,MAX(GO$2:GQ106)+1,""))</f>
        <v/>
      </c>
      <c r="GP107" t="str">
        <f>IF(AG107="","",IF(COUNTIF(AF$3:AF107,AG107)+COUNTIF(AG$3:AG107,AG107)+COUNTIF(AH$2:AH106,AG107)=1,MAX(GO$2:GQ106,GO107)+1,""))</f>
        <v/>
      </c>
      <c r="GQ107" t="str">
        <f>IF(AH107="","",IF(COUNTIF(AF$3:AF107,AH107)+COUNTIF(AG$3:AG107,AH107)+COUNTIF(AH$3:AH107,AH107)=1,MAX(GO$2:GQ106,GO107,GP107)+1,""))</f>
        <v/>
      </c>
      <c r="GR107" t="str">
        <f t="shared" si="172"/>
        <v>3х1,5</v>
      </c>
      <c r="GS107" t="str">
        <f>IF(GR107="","",IF(COUNTIF(GR$3:GR107,GR107)=1,MAX(GS$2:GS106)+1,""))</f>
        <v/>
      </c>
      <c r="GT107" t="str">
        <f>IF(ES107="","",COUNTIF(ES$3:ES107,"?*"))</f>
        <v/>
      </c>
      <c r="GU107" t="str">
        <f>IF(OR(ES107="",EU107=""),"",IF(COUNTIFS(ES$3:ES107,"?*",EU$3:EU107,EU107)=1,MAX(GU$2:GU106)+1,""))</f>
        <v/>
      </c>
      <c r="GV107">
        <f t="shared" si="173"/>
        <v>0</v>
      </c>
      <c r="GW107">
        <f>IF(D107="","",COUNTIF(D$3:D107,"?*"))</f>
        <v>105</v>
      </c>
      <c r="GX107">
        <f>IF(EX107&lt;&gt;1,0,_xlfn.LET(_xlpm.k,MAX(IFERROR(--VLOOKUP(D107,УГО_спр,5,FALSE),0),IFERROR(--VLOOKUP(AT107,УГО_спр,5,FALSE),0),IFERROR(--VLOOKUP(LEFT(AT107,2),УГО_спр,5,FALSE),0)),IF(_xlpm.k&gt;0,_xlpm.k,IF(IFERROR(--LEFT(SUBSTITUTE(GR107,"x","х"),FIND("х",SUBSTITUTE(GR107,"x","х"))-1),3)&gt;3,Каталог!$S$9,1))))</f>
        <v>1</v>
      </c>
      <c r="GY107">
        <f t="shared" si="174"/>
        <v>0</v>
      </c>
    </row>
    <row r="108" spans="1:207" x14ac:dyDescent="0.3">
      <c r="A108" t="s">
        <v>750</v>
      </c>
      <c r="B108">
        <v>20</v>
      </c>
      <c r="C108" t="str">
        <f>IF(BD108="","",IF(BE108="вводной узел","узел ","")&amp;"л."&amp;(INT((BD108-1)/Столбцов_на_лист)+1)&amp;" / "&amp;(MOD(BD108-1,Столбцов_на_лист)+1))</f>
        <v>л.2 / 3</v>
      </c>
      <c r="D108" t="s">
        <v>1395</v>
      </c>
      <c r="E108" s="133" t="s">
        <v>1396</v>
      </c>
      <c r="G108">
        <v>0.27</v>
      </c>
      <c r="H108">
        <v>1</v>
      </c>
      <c r="I108">
        <v>1</v>
      </c>
      <c r="J108">
        <v>230</v>
      </c>
      <c r="K108" t="s">
        <v>602</v>
      </c>
      <c r="L108">
        <v>0.5</v>
      </c>
      <c r="O108">
        <v>3</v>
      </c>
      <c r="P108">
        <v>30</v>
      </c>
      <c r="Q108">
        <v>20</v>
      </c>
      <c r="R108">
        <v>14</v>
      </c>
      <c r="T108">
        <v>1</v>
      </c>
      <c r="U108" t="s">
        <v>11</v>
      </c>
      <c r="V108">
        <v>3</v>
      </c>
      <c r="W108">
        <v>1.5</v>
      </c>
      <c r="X108">
        <v>10</v>
      </c>
      <c r="Z108" t="s">
        <v>584</v>
      </c>
      <c r="AA108" t="s">
        <v>818</v>
      </c>
      <c r="AD108" t="s">
        <v>517</v>
      </c>
      <c r="AR108" t="str">
        <f t="shared" si="88"/>
        <v/>
      </c>
      <c r="AS108" cm="1">
        <f t="array" ref="AS108">ROW()-ROW(Линии[#Headers])</f>
        <v>106</v>
      </c>
      <c r="AT108" t="str">
        <f t="shared" si="89"/>
        <v>В</v>
      </c>
      <c r="AU108" t="str">
        <f t="shared" si="90"/>
        <v>24</v>
      </c>
      <c r="AV108" t="str">
        <f t="shared" si="91"/>
        <v>24</v>
      </c>
      <c r="AW108" t="str">
        <f t="shared" si="92"/>
        <v/>
      </c>
      <c r="AX108" t="str">
        <f t="shared" si="93"/>
        <v/>
      </c>
      <c r="AY108" t="str">
        <f>IF(D108="","",IF(ISERROR(SEARCH(".",D108)),IFERROR(VLOOKUP(D108,Потребители_обозначение,2,FALSE)&amp;"",""),IFERROR(IF(VLOOKUP(AT108,Потребители_обозначение,4,FALSE)=1,VLOOKUP(AT108,Потребители_обозначение,2,FALSE)&amp;" "&amp;VLOOKUP(AV108,Этаж_обозначение,2,FALSE)&amp;" Пом. №"&amp;AX108,VLOOKUP(AT108,Потребители_обозначение,2,FALSE)&amp;" Шлейф №"&amp;AV108),IFERROR(VLOOKUP(D108,Потребители_обозначение,2,FALSE),""))))</f>
        <v>Вытяжная установка Шлейф №24</v>
      </c>
      <c r="AZ108" t="str">
        <f t="shared" si="94"/>
        <v>Внутренний блок кондиционирования подвальный этаж Пом. №0001Тб</v>
      </c>
      <c r="BA108" t="str">
        <f>IF(F108&lt;&gt;"",F108,IF(AND(D108&lt;&gt;"",D108&lt;&gt;A108,ISNUMBER(_xlfn.XMATCH(D108,Щиты[Щит]))),D108,""))</f>
        <v/>
      </c>
      <c r="BB108">
        <f>IFERROR(_xlfn.XMATCH(A108,Щиты[Щит]),0)</f>
        <v>6</v>
      </c>
      <c r="BC108">
        <f>IFERROR(N(_xlfn.XLOOKUP(A108,Щиты[Щит],Щиты[Мест под вводной узел])),15)</f>
        <v>12</v>
      </c>
      <c r="BD108">
        <f t="shared" si="95"/>
        <v>20</v>
      </c>
      <c r="BE108" t="str">
        <f t="shared" si="96"/>
        <v>линии</v>
      </c>
      <c r="BF108">
        <f>IF(D108="","",IF(BA108&lt;&gt;"",IFERROR(_xlfn.XLOOKUP(BA108,Щиты[Щит],Щиты[Руст, кВт]),0),N(G108)))</f>
        <v>0.27</v>
      </c>
      <c r="BG108">
        <f>IF(J108&lt;&gt;"",J108,IF(D108="","",IFERROR(IF(VLOOKUP(AT108,Потребители_обозначение,8,FALSE)=0,"",VLOOKUP(AT108,Потребители_обозначение,8,FALSE)),"")))</f>
        <v>230</v>
      </c>
      <c r="BH108">
        <f>IF(I108&lt;&gt;"",I108,IF(D108="","",IFERROR(IF(VLOOKUP(AT108,Потребители_обозначение,9,FALSE)=0,"",VLOOKUP(AT108,Потребители_обозначение,9,FALSE)),"")))</f>
        <v>1</v>
      </c>
      <c r="BI108" t="str">
        <f>IF(U108&lt;&gt;"",U108,IF(D108="","",IFERROR(IF(VLOOKUP(AT108,Потребители_обозначение,6,FALSE)=0,"",VLOOKUP(AT108,Потребители_обозначение,6,FALSE)),"")))</f>
        <v>мс</v>
      </c>
      <c r="BJ108">
        <f>IF(V108&lt;&gt;"",V108,IF(D108="","",IFERROR(IF(VLOOKUP(AT108,Потребители_обозначение,7,FALSE)=0,"",VLOOKUP(AT108,Потребители_обозначение,7,FALSE)),"")))</f>
        <v>3</v>
      </c>
      <c r="BK108">
        <f>IF(W108&lt;&gt;"",W108,IF(D108="","",IFERROR(IF(VLOOKUP(AT108,Потребители_обозначение,10,FALSE)=0,"",VLOOKUP(AT108,Потребители_обозначение,10,FALSE)),"")))</f>
        <v>1.5</v>
      </c>
      <c r="BL108">
        <f>IFERROR(VLOOKUP(AT108,Потребители_обозначение,5,FALSE),0)</f>
        <v>1</v>
      </c>
      <c r="BM108" cm="1">
        <f t="array" ref="BM108">IF(D108="","",IF(BA108&lt;&gt;"",IFERROR(_xlfn.XLOOKUP(BA108,Щиты[Щит],Щиты[cos φ]),0.95),IF(ISNUMBER(M108),M108,IFERROR(IF(BL108=2,_xlfn.IFS(BH108=3,VLOOKUP(BF108,Справочная_двигатели,8,FALSE),BH108=1,VLOOKUP(BF108,Справочная_двигатели,10,TRUE)),IF(AND(Методика="нормы 2026",CN108="Сил"),0.8,0.95)),0.95))))</f>
        <v>0.95</v>
      </c>
      <c r="BN108" cm="1">
        <f t="array" ref="BN108">IF(D108="","",IF(BA108&lt;&gt;"",IFERROR(_xlfn.XLOOKUP(BA108,Щиты[Щит],Щиты[Iр, А]),""),IFERROR(_xlfn.IFS(BH108=1,BF108/((Uн_лин/SQRT(3))*BM108),BH108=3,BF108/(SQRT(3)*Uн_лин*BM108)),"")))</f>
        <v>1.230667679062097</v>
      </c>
      <c r="BO108">
        <f>IF(D108="","",IF(N(X108)=0,IFERROR(VLOOKUP(BN108,Автомат_номиналы,2,TRUE),""),X108))</f>
        <v>10</v>
      </c>
      <c r="BP108">
        <f t="shared" si="97"/>
        <v>1</v>
      </c>
      <c r="BQ108">
        <f>IF(ISNUMBER(Y108),Y108,К_прокл)</f>
        <v>1</v>
      </c>
      <c r="BR108">
        <f t="shared" si="98"/>
        <v>2</v>
      </c>
      <c r="BS108" cm="1">
        <f t="array" ref="BS108">IF(D108="","",IF(N(BK108)&lt;&gt;0,BK108,IFERROR(_xlfn.LET(_xlpm.need,BO108/(BP108*BQ108),_xlpm.t,CHOOSE(BR108,Iдоп_1ж,Iдоп_2ж,Iдоп_3ж),_xlpm.k,_xlfn.XMATCH(_xlpm.need,_xlpm.t,1),IF(ISNA(_xlpm.k),"Не исп",INDEX(Iдоп_S,_xlpm.k))),"Не исп")))</f>
        <v>1.5</v>
      </c>
      <c r="BT108">
        <f>IFERROR(VLOOKUP(BS108,Кабель_сопротивление,3,FALSE),"")</f>
        <v>2.2499999999999999E-2</v>
      </c>
      <c r="BU108">
        <f>IFERROR(VLOOKUP(BS108,Кабель_сопротивление,2,FALSE),"")</f>
        <v>0.11</v>
      </c>
      <c r="BV108">
        <f t="shared" si="99"/>
        <v>30</v>
      </c>
      <c r="BW108">
        <f>IF(D108="","",IFERROR(IF(VLOOKUP(AT108,Потребители_обозначение,4,FALSE)=1,VLOOKUP(AT108,Потребители_обозначение,3,FALSE)*(H108*2-1)+BV108+VLOOKUP(AV108,Этаж_обозначение,3,FALSE)+VLOOKUP(AV108,Этаж_обозначение,4,FALSE),VLOOKUP(AT108,Потребители_обозначение,3,FALSE)*(H108*2-1)+BV108),BV108))</f>
        <v>34</v>
      </c>
      <c r="BX108">
        <f t="shared" si="100"/>
        <v>14</v>
      </c>
      <c r="BY108">
        <f t="shared" si="101"/>
        <v>0</v>
      </c>
      <c r="BZ108">
        <f t="shared" si="102"/>
        <v>2</v>
      </c>
      <c r="CA108">
        <f t="shared" si="103"/>
        <v>0.31</v>
      </c>
      <c r="CB108">
        <f t="shared" si="104"/>
        <v>1.1953706532253809</v>
      </c>
      <c r="CC108">
        <f>IFERROR(ROUNDUP(CB108/((Uн_лин/SQRT(3))*1000)*100,2),"")</f>
        <v>0.52</v>
      </c>
      <c r="CD108">
        <f>IF(ISNUMBER(CC108),CC108+IFERROR(_xlfn.XLOOKUP(A108,Щиты[Щит],Щиты[ΔU до шин, %]),0),"")</f>
        <v>0.76</v>
      </c>
      <c r="CE108">
        <f>IF(D108="","",IF(IFERROR(VLOOKUP(AT108,УГО_спр,2,FALSE),"")="Светильник",3,4)+IF(Методика="нормы 2026",MIN(0.5,MAX(0,N(BW108)-100)*0.005),0))</f>
        <v>4</v>
      </c>
      <c r="CF108" t="str">
        <f>IFERROR(VLOOKUP(BI108,Кабель_обозначение,2,FALSE),"")</f>
        <v>ВВГнг(А)-LS</v>
      </c>
      <c r="CG108" t="str">
        <f>IFERROR(IF(VLOOKUP(BI108,Кабель_обозначение,3,FALSE)=1,CF108&amp;" ("&amp;BJ108&amp;"х"&amp;BS108&amp;")",CF108),"")</f>
        <v>ВВГнг(А)-LS (3х1,5)</v>
      </c>
      <c r="CH108" t="str">
        <f t="shared" si="105"/>
        <v>ВВГнг(А)-LS (3х1,5)
L=34-0,52%</v>
      </c>
      <c r="CI108">
        <f>IFERROR(2*ρкз_Cu*BW108/BS108,"")</f>
        <v>1.1922666666666666</v>
      </c>
      <c r="CJ108">
        <f t="shared" si="106"/>
        <v>0.39666666666666672</v>
      </c>
      <c r="CK108" t="str">
        <f>IFERROR(IF(OR(D108="",NOT(ISNUMBER(BS108)),N(BW108)=0),"",_xlfn.XLOOKUP(A108,Щиты[Щит],Щиты[Zпетли на шинах, Ом])+CI108),"")</f>
        <v/>
      </c>
      <c r="CL108" t="str">
        <f>IF(ISNUMBER(CK108),c_min*(Uн_лин*1000/SQRT(3))/CK108,"")</f>
        <v/>
      </c>
      <c r="CM108" t="str">
        <f>IFERROR(IF(OR(D108="",NOT(ISNUMBER(BS108))),"",1.05*(Uн_лин*1000/SQRT(3))/(_xlfn.XLOOKUP(A108,Щиты[Щит],Щиты[Zmax на шинах, Ом])+CJ108)/1000),"")</f>
        <v/>
      </c>
      <c r="CN108" t="str">
        <f>IF(D108="","",IF(BA108&lt;&gt;"","Щит",IF(K108&lt;&gt;"",K108,IF(ISNUMBER(L108),"Сил",IF(IFERROR(_xlfn.XLOOKUP(AT108,Коды_код,Коды_группа)&amp;"","")="","Быт",_xlfn.XLOOKUP(AT108,Коды_код,Коды_группа)&amp;"")))))</f>
        <v>Сил</v>
      </c>
      <c r="CO108">
        <f>IF(CN108="Щит","щит",IF(CN108="","",IF(CN108="Быт",IFERROR(_xlfn.XLOOKUP(A108,Щиты[Щит],Щиты[Кс быт]),1),IF(CN108="Сил",IF(ISNUMBER(L108),L108,IF(Методика="нормы 2026",IFERROR(_xlfn.XLOOKUP(A108,Щиты[Щит],Щиты[Кс силовых (табл. 7.5)]),1),1)),IF(OR(CN108="Пост",CN108="Отоп"),1,IF(CN108="ВНГ",0.7,0))))))</f>
        <v>0.5</v>
      </c>
      <c r="CP108">
        <f t="shared" si="107"/>
        <v>1</v>
      </c>
      <c r="CQ108">
        <f t="shared" si="108"/>
        <v>0.27</v>
      </c>
      <c r="CR108">
        <f t="shared" si="109"/>
        <v>0</v>
      </c>
      <c r="CS108">
        <f t="shared" si="110"/>
        <v>0.13500000000000001</v>
      </c>
      <c r="CT108">
        <f t="shared" si="111"/>
        <v>0</v>
      </c>
      <c r="CU108">
        <f t="shared" si="112"/>
        <v>0</v>
      </c>
      <c r="CV108">
        <f t="shared" si="113"/>
        <v>0</v>
      </c>
      <c r="CW108">
        <f t="shared" si="114"/>
        <v>0.27</v>
      </c>
      <c r="CX108">
        <f t="shared" si="115"/>
        <v>0.25650000000000001</v>
      </c>
      <c r="CY108">
        <f t="shared" si="116"/>
        <v>2</v>
      </c>
      <c r="CZ108" t="str">
        <f t="shared" si="117"/>
        <v>L2</v>
      </c>
      <c r="DA108" cm="1">
        <f t="array" ref="DA108">IFERROR(IF(BL108=2,_xlfn.IFS(BH108=3,VLOOKUP(BF108,Справочная_двигатели,3,FALSE),BH108=1,VLOOKUP(BF108,Справочная_двигатели,5,TRUE)),0),0)</f>
        <v>0</v>
      </c>
      <c r="DB108">
        <f>IFERROR(IF(BL108=3,VLOOKUP(BF108,Справочная_ЛЭД,2,TRUE),0),0)</f>
        <v>0</v>
      </c>
      <c r="DC108">
        <f t="shared" si="118"/>
        <v>0</v>
      </c>
      <c r="DD108" t="str">
        <f t="shared" si="119"/>
        <v>L3</v>
      </c>
      <c r="DE108" t="str" cm="1">
        <f t="array" ref="DE108">IF(D108="","",IFERROR(INDEX({"I особая","I","II","III"},MATCH(TRIM(AA108&amp;""),{"I особая","I","II","III"},0)),"III"))</f>
        <v>II</v>
      </c>
      <c r="DF108" t="str">
        <f>IF(D108="","",IF(TRIM(AB108&amp;"")&lt;&gt;"",IF(LOWER(TRIM(AB108&amp;""))="да","да","нет"),IF(IFERROR(_xlfn.XLOOKUP(AT108,Коды_код,Коды_пожарная),"")="да","да","нет")))</f>
        <v>нет</v>
      </c>
      <c r="DG108" t="str">
        <f t="shared" si="120"/>
        <v/>
      </c>
      <c r="DH108" t="str">
        <f t="shared" si="121"/>
        <v>основная</v>
      </c>
      <c r="DI108">
        <f t="shared" si="122"/>
        <v>1</v>
      </c>
      <c r="DJ108" t="str" cm="1">
        <f t="array" ref="DJ108">IF(D108="","",_xlfn.LET(_xlpm.t,IFERROR(_xlfn.XLOOKUP(1,(Шины[Шина]=DH108)*(((Шины[Щит]=A108)+(Шины[Щит]=""))&gt;0),Шины[Тип]),"")&amp;"",IF(_xlpm.t&lt;&gt;"",_xlpm.t,IF(ISNUMBER(SEARCH("ИБП",DH108)),"ИБП",IF(ISNUMBER(SEARCH("ДГУ",DH108)),"ДГУ","Ввод "&amp;DI108)))))</f>
        <v>Ввод 1</v>
      </c>
      <c r="DK108" t="str">
        <f t="shared" si="123"/>
        <v>Ввод 1</v>
      </c>
      <c r="DL108" t="str">
        <f>IF(D108="","",IF(OR(DJ108="ИБП",DJ108="ДГУ"),"I особая",IF(DJ108="Одиночная","III",_xlfn.XLOOKUP(A108,Щиты[Щит],Щиты[Категория шины «Ввод»],"III"))))</f>
        <v>II</v>
      </c>
      <c r="DM108">
        <f>IF(D108="",0,IFERROR(MATCH(DE108,{"III","II","I","I особая"},0),1))</f>
        <v>2</v>
      </c>
      <c r="DN108">
        <f t="shared" si="124"/>
        <v>2</v>
      </c>
      <c r="DO108" t="str">
        <f>IF(D108="","",IF(DM108&gt;IFERROR(MATCH(DL108,{"III","II","I","I особая"},0),1),"НЕ ОБЕСПЕЧЕНА","ОК"))</f>
        <v>ОК</v>
      </c>
      <c r="DP108" t="str">
        <f>IF(A108="","",_xlfn.XLOOKUP(A108,Щиты[Щит],Щиты[Путь],""))</f>
        <v>|ГРЩ-ЖД|ЩОВ-01|</v>
      </c>
      <c r="DQ108" t="str">
        <f>IF(D108="","",IF(Z108&lt;&gt;"",Z108,IF(IFERROR(_xlfn.XLOOKUP(AT108,Коды_код,Коды_вид)&amp;"","")="","Прочее",_xlfn.XLOOKUP(AT108,Коды_код,Коды_вид)&amp;"")))</f>
        <v>Вентиляция</v>
      </c>
      <c r="DR108">
        <f>IF(BD108="","",INT((BD108-1)/Столбцов_на_лист)+1)</f>
        <v>2</v>
      </c>
      <c r="DS108" t="str">
        <f t="shared" si="125"/>
        <v>ВВГнг(А)-LS (3х1,5) L=34-0,52%</v>
      </c>
      <c r="DT108">
        <f t="shared" si="126"/>
        <v>0.27</v>
      </c>
      <c r="DU108">
        <f t="shared" si="127"/>
        <v>1.24</v>
      </c>
      <c r="DV108">
        <f t="shared" si="128"/>
        <v>1</v>
      </c>
      <c r="DW108">
        <f>IF(AT108="",0,_xlfn.LET(_xlpm.v,IFERROR(VLOOKUP(D108,УГО_спр,3,FALSE),IFERROR(VLOOKUP(AT108,УГО_спр,3,FALSE),IFERROR(VLOOKUP(LEFT(AT108,2),УГО_спр,3,FALSE),""))),IF(_xlpm.v="да",30,IF(ISNUMBER(_xlpm.v),_xlpm.v,0))))</f>
        <v>0</v>
      </c>
      <c r="DX108">
        <f t="shared" si="129"/>
        <v>0</v>
      </c>
      <c r="DY108">
        <f>IF(BD108="","",IF(AD108&lt;&gt;"",COUNTIFS(A$3:A108,A108,AD$3:AD108,"?*"),IF(OR(OR(AS108=1,A108&lt;&gt;A107),AL108="вручную"),"",IF(AS108=1,"",DZ107))))</f>
        <v>6</v>
      </c>
      <c r="DZ108">
        <f t="shared" si="130"/>
        <v>6</v>
      </c>
      <c r="EA108">
        <f>IF(D108="",0,MAX(IFERROR(--X108,0),IFERROR(--VLOOKUP(D108,УГО_спр,4,FALSE),IFERROR(--VLOOKUP(AT108,УГО_спр,4,FALSE),IFERROR(--VLOOKUP(LEFT(AT108,2),УГО_спр,4,FALSE),0)))))</f>
        <v>10</v>
      </c>
      <c r="EB108">
        <f>IF(D108="","",IFERROR(LOOKUP(INDEX(CHOOSE(BR108,Iдоп_1ж,Iдоп_2ж,Iдоп_3ж),MATCH(BS108,Iдоп_S,0))*BP108*BQ108,{6,10,16,20,25,32,40,50,63,80,100,125,160,200,250,315,400,500,630}),""))</f>
        <v>16</v>
      </c>
      <c r="EC108">
        <f>IF(AD108="","",SUMIFS(Линии[_Ток схемы],Линии[_гр.],DY108,Линии[Щит],A108,Линии[_в кабель выше],0))</f>
        <v>1.24</v>
      </c>
      <c r="ED108">
        <f>IF(AD108="","",IFERROR(VLOOKUP(EC108,Автомат_номиналы,2,TRUE),""))</f>
        <v>6</v>
      </c>
      <c r="EE108">
        <f>IF(AD108="","",MAX(N(ED108),_xlfn.MAXIFS(Линии[_мин. по типу],Линии[_гр.],DY108,Линии[Щит],A108)))</f>
        <v>10</v>
      </c>
      <c r="EF108">
        <f>IF(AD108="","",_xlfn.MINIFS(Линии[_макс. автомат по кабелю],Линии[_гр.],DY108,Линии[Щит],A108))</f>
        <v>16</v>
      </c>
      <c r="EG108">
        <f>IF(AD108="","",MAX(1,_xlfn.MAXIFS(Линии[_фаз],Линии[_гр.],DY108,Линии[Щит],A108)))</f>
        <v>1</v>
      </c>
      <c r="EH108">
        <f>IF(AD108="","",IF(AND(AD108&lt;&gt;"авто",AD108&lt;&gt;"+"),IF(ISNUMBER(SEARCH("мА",AD108)),IFERROR(--TRIM(RIGHT(SUBSTITUTE(LEFT(AD108,SEARCH("мА",AD108)-1)," ",REPT(" ",9)),6)),30),0),IF(AE108="нет",0,IF(ISNUMBER(AE108),AE108,IF(AE108="да",30,_xlfn.MINIFS(Линии[_дифзащита по коду, мА],Линии[_гр.],DY108,Линии[Щит],A108,Линии[_дифзащита по коду, мА],"&gt;0"))))))</f>
        <v>0</v>
      </c>
      <c r="EI108">
        <f t="shared" si="131"/>
        <v>0</v>
      </c>
      <c r="EJ108" t="str">
        <f t="shared" si="132"/>
        <v>QF6</v>
      </c>
      <c r="EK108" t="str">
        <f t="shared" si="133"/>
        <v>QF6</v>
      </c>
      <c r="EL108" t="str">
        <f t="shared" si="134"/>
        <v/>
      </c>
      <c r="EM108">
        <f t="shared" si="135"/>
        <v>0</v>
      </c>
      <c r="EN108">
        <f>IF(AD108="","",IF(EM108=1,MAX(EE108,Мин_автомат_БП),EE108))</f>
        <v>10</v>
      </c>
      <c r="EO108" t="str">
        <f t="shared" si="136"/>
        <v>1P</v>
      </c>
      <c r="EP108" t="str">
        <f t="shared" si="137"/>
        <v>1P С10А</v>
      </c>
      <c r="EQ108">
        <f t="shared" si="138"/>
        <v>10</v>
      </c>
      <c r="ER108" t="str">
        <f>IF(OR(AI108="",AI108="-"),"",IFERROR(VLOOKUP(AI108,Модули_спр,2,FALSE),"R"))</f>
        <v/>
      </c>
      <c r="ES108" t="str">
        <f>IF(ER108="","",ER108&amp;"."&amp;COUNTIFS(A$3:A108,A108,ER$3:ER108,ER108))</f>
        <v/>
      </c>
      <c r="ET108" t="str">
        <f t="shared" si="139"/>
        <v/>
      </c>
      <c r="EU108" t="str">
        <f t="shared" si="140"/>
        <v/>
      </c>
      <c r="EV108" t="str">
        <f t="shared" si="141"/>
        <v/>
      </c>
      <c r="EW108" t="str">
        <f t="shared" si="142"/>
        <v/>
      </c>
      <c r="EX108">
        <f t="shared" si="143"/>
        <v>1</v>
      </c>
      <c r="EY108" t="str">
        <f>IF(AK108="нет","",IF(AK108&lt;&gt;"",AK108,IF(EX108=1,"XT"&amp;COUNTIFS(A$3:A108,A108,EX$3:EX108,1),"")))</f>
        <v>XT7</v>
      </c>
      <c r="EZ108" t="str">
        <f t="shared" si="144"/>
        <v>QF6</v>
      </c>
      <c r="FA108" t="str">
        <f t="shared" si="145"/>
        <v/>
      </c>
      <c r="FB108" t="str">
        <f t="shared" si="146"/>
        <v>ok</v>
      </c>
      <c r="FC108" t="str">
        <f>IF(OR(EV108="",ET108=""),"",IF(EV108&gt;IFERROR(VLOOKUP(EU108,Модули_спр,3,FALSE),99),"ЛИШНИЙ КАНАЛ",IF(AND(AJ108&lt;&gt;"=",COUNTIFS(Линии[_модуль гр.],ET108,Линии[Канал (итог)],EV108,Линии[Канал],"&lt;&gt;=",Линии[Щит],A108)&gt;1),"ДУБЛЬ КАНАЛА","")))</f>
        <v/>
      </c>
      <c r="FD108">
        <f t="shared" si="147"/>
        <v>10</v>
      </c>
      <c r="FE108" t="str">
        <f t="shared" si="148"/>
        <v>1P С10А</v>
      </c>
      <c r="FF108">
        <f t="shared" si="149"/>
        <v>0</v>
      </c>
      <c r="FG108">
        <f t="shared" si="150"/>
        <v>0</v>
      </c>
      <c r="FH108" t="str">
        <f t="shared" si="151"/>
        <v/>
      </c>
      <c r="FI108">
        <f t="shared" si="152"/>
        <v>10</v>
      </c>
      <c r="FJ108" t="str">
        <f t="shared" si="153"/>
        <v/>
      </c>
      <c r="FK108" t="str">
        <f>IF(AND(D108="",EZ108=""),"",_xlfn.TEXTJOIN("; ",TRUE,IF(AND(D108&lt;&gt;"",DD108=""),"нет фазы",""),IF(AND(D108&lt;&gt;"",N(DT108)=0,CN108&lt;&gt;"Нет"),"нет мощности",""),IF(AND(EY108&lt;&gt;"",COUNTIFS(Линии[Щит],A108,Линии[Клемма (итог)],EY108)&gt;1),"дубль клеммы "&amp;EY108,""),IF(AND(FB108&lt;&gt;"",FB108&lt;&gt;"ok"),FB108,""),IF(FC108&lt;&gt;"",FC108,""),IF(AND(ISNUMBER(SEARCH("(5х",DS108)),N(DV108)=1),"5 жил на 1 фазе",""),IF(AND(AT108="R",AD108&lt;&gt;"",OR(N(EH108)=0,N(EH108)&gt;30)),"розетка без дифзащиты до 30 мА",""),IFERROR(IF(AND(ISNUMBER(CD108),CD108&gt;CE108),"потери "&amp;FIXED(CD108,1)&amp;" % &gt; "&amp;CE108&amp;" %",""),""),IFERROR(IF(LEFT(FJ108,4)="мало","Iкз мало — отключение &gt; 0,4 с",""),""),IF(AND(D108&lt;&gt;"",BD108=""),"не на схеме","")))</f>
        <v/>
      </c>
      <c r="FL108">
        <f>IF(AD108="","",_xlfn.LET(_xlpm.t,IFERROR(_xlfn.XLOOKUP(EP108,Каталог!$U$4:$U$500,Каталог!$G$4:$G$500),""),_xlpm.k,SEARCH("кА",_xlpm.t),IFERROR(--TRIM(RIGHT(SUBSTITUTE(MID(_xlpm.t,MAX(1,_xlpm.k-4),_xlpm.k-MAX(1,_xlpm.k-4))," ",REPT(" ",9)),5)),"")))</f>
        <v>6</v>
      </c>
      <c r="FM108" t="str">
        <f>IF(OR(FL108="",AD108=""),"",IF(_xlfn.XLOOKUP(A108,Щиты[Щит],Щиты[Iкз max на шинах, кА],"")="","",IF(FL108&lt;_xlfn.XLOOKUP(A108,Щиты[Щит],Щиты[Iкз max на шинах, кА]),"Icu "&amp;FL108&amp;" кА &lt; Iкз max","ok")))</f>
        <v/>
      </c>
      <c r="FN108" t="str">
        <f t="shared" si="154"/>
        <v>QF6|XT7</v>
      </c>
      <c r="FO108" t="str">
        <f t="shared" si="155"/>
        <v>QF6|XT7|кабель ВВГнг(А)-LS (3х1,5) → Внутренний блок кондиционирования подвальный этаж Пом. №0001Тб</v>
      </c>
      <c r="FP108" t="str" cm="1">
        <f t="array" ref="FP108">IF(FO108="","",_xlfn.LET(_xlpm.nd,_xlfn.TEXTSPLIT(FO108,"|"),IF(COLUMNS(_xlpm.nd)&gt;1,A108&amp;"¦"&amp;INDEX(_xlpm.nd,1)&amp;"¦"&amp;INDEX(_xlpm.nd,2),"")))</f>
        <v>ЩОВ-01¦QF6¦XT7</v>
      </c>
      <c r="FQ108" t="str">
        <f t="shared" si="156"/>
        <v>В.24¦Внутренний блок кондиционирования подвальный этаж Пом. №0001Тб</v>
      </c>
      <c r="FR108" t="str" cm="1">
        <f t="array" ref="FR108">IF(FO108="","",_xlfn.LET(_xlpm.nd,_xlfn.TEXTSPLIT(FO108,"|"),IF(COLUMNS(_xlpm.nd)&gt;2,A108&amp;"¦"&amp;INDEX(_xlpm.nd,2)&amp;"¦"&amp;INDEX(_xlpm.nd,3),"")))</f>
        <v>ЩОВ-01¦XT7¦кабель ВВГнг(А)-LS (3х1,5) → Внутренний блок кондиционирования подвальный этаж Пом. №0001Тб</v>
      </c>
      <c r="FS108" t="str">
        <f t="shared" si="157"/>
        <v>В.24¦Внутренний блок кондиционирования подвальный этаж Пом. №0001Тб</v>
      </c>
      <c r="FT108" t="str" cm="1">
        <f t="array" ref="FT108">IF(FO108="","",_xlfn.LET(_xlpm.nd,_xlfn.TEXTSPLIT(FO108,"|"),IF(COLUMNS(_xlpm.nd)&gt;3,A108&amp;"¦"&amp;INDEX(_xlpm.nd,3)&amp;"¦"&amp;INDEX(_xlpm.nd,4),"")))</f>
        <v/>
      </c>
      <c r="FU108" t="str">
        <f t="shared" si="158"/>
        <v/>
      </c>
      <c r="FV108" t="str" cm="1">
        <f t="array" ref="FV108">IF(FO108="","",_xlfn.LET(_xlpm.nd,_xlfn.TEXTSPLIT(FO108,"|"),IF(COLUMNS(_xlpm.nd)&gt;4,A108&amp;"¦"&amp;INDEX(_xlpm.nd,4)&amp;"¦"&amp;INDEX(_xlpm.nd,5),"")))</f>
        <v/>
      </c>
      <c r="FW108" t="str">
        <f t="shared" si="159"/>
        <v/>
      </c>
      <c r="FX108" t="str" cm="1">
        <f t="array" ref="FX108">IF(FO108="","",_xlfn.LET(_xlpm.nd,_xlfn.TEXTSPLIT(FO108,"|"),IF(COLUMNS(_xlpm.nd)&gt;5,A108&amp;"¦"&amp;INDEX(_xlpm.nd,5)&amp;"¦"&amp;INDEX(_xlpm.nd,6),"")))</f>
        <v/>
      </c>
      <c r="FY108" t="str">
        <f t="shared" si="160"/>
        <v/>
      </c>
      <c r="FZ108" t="str" cm="1">
        <f t="array" ref="FZ108">IF(FO108="","",_xlfn.LET(_xlpm.nd,_xlfn.TEXTSPLIT(FO108,"|"),IF(COLUMNS(_xlpm.nd)&gt;6,A108&amp;"¦"&amp;INDEX(_xlpm.nd,6)&amp;"¦"&amp;INDEX(_xlpm.nd,7),"")))</f>
        <v/>
      </c>
      <c r="GA108" t="str">
        <f t="shared" si="161"/>
        <v/>
      </c>
      <c r="GB108" t="str">
        <f t="shared" si="162"/>
        <v/>
      </c>
      <c r="GC108" t="str">
        <f t="shared" si="163"/>
        <v>QF6 → XT7</v>
      </c>
      <c r="GD108">
        <f t="shared" si="164"/>
        <v>1</v>
      </c>
      <c r="GE108">
        <f t="shared" si="165"/>
        <v>0</v>
      </c>
      <c r="GF108">
        <f t="shared" si="166"/>
        <v>0</v>
      </c>
      <c r="GG108" t="str">
        <f t="shared" si="167"/>
        <v/>
      </c>
      <c r="GH108" t="str">
        <f t="shared" si="168"/>
        <v/>
      </c>
      <c r="GI108" t="str">
        <f t="shared" si="169"/>
        <v/>
      </c>
      <c r="GJ108" t="str">
        <f t="shared" si="170"/>
        <v/>
      </c>
      <c r="GK108" t="str">
        <f>IF(D108="","",IFERROR(VLOOKUP(D108,УГО_спр,2,FALSE),IFERROR(VLOOKUP(AT108,УГО_спр,2,FALSE),IFERROR(VLOOKUP(LEFT(AT108,2),УГО_спр,2,FALSE),""))))</f>
        <v>Привод (двигатель)</v>
      </c>
      <c r="GL108" t="str">
        <f>IF(D108="","",IF(OR(GK108="",GK108=0),"BOX",IFERROR(IF(VLOOKUP(GK108,УГО_блоки,3,FALSE)&amp;""&lt;&gt;"",VLOOKUP(GK108,УГО_блоки,3,FALSE),VLOOKUP(GK108,УГО_блоки,2,FALSE)),GK108)))</f>
        <v>MOTOR</v>
      </c>
      <c r="GM108">
        <f t="shared" si="171"/>
        <v>1</v>
      </c>
      <c r="GN108" t="str">
        <f>IF(EP108="","",IF(COUNTIF(EP$3:EP108,EP108)=1,MAX(GN$2:GN107)+1,""))</f>
        <v/>
      </c>
      <c r="GO108" t="str">
        <f>IF(AF108="","",IF(COUNTIF(AF$3:AF108,AF108)+COUNTIF(AG$2:AG107,AF108)+COUNTIF(AH$2:AH107,AF108)=1,MAX(GO$2:GQ107)+1,""))</f>
        <v/>
      </c>
      <c r="GP108" t="str">
        <f>IF(AG108="","",IF(COUNTIF(AF$3:AF108,AG108)+COUNTIF(AG$3:AG108,AG108)+COUNTIF(AH$2:AH107,AG108)=1,MAX(GO$2:GQ107,GO108)+1,""))</f>
        <v/>
      </c>
      <c r="GQ108" t="str">
        <f>IF(AH108="","",IF(COUNTIF(AF$3:AF108,AH108)+COUNTIF(AG$3:AG108,AH108)+COUNTIF(AH$3:AH108,AH108)=1,MAX(GO$2:GQ107,GO108,GP108)+1,""))</f>
        <v/>
      </c>
      <c r="GR108" t="str">
        <f t="shared" si="172"/>
        <v>3х1,5</v>
      </c>
      <c r="GS108" t="str">
        <f>IF(GR108="","",IF(COUNTIF(GR$3:GR108,GR108)=1,MAX(GS$2:GS107)+1,""))</f>
        <v/>
      </c>
      <c r="GT108" t="str">
        <f>IF(ES108="","",COUNTIF(ES$3:ES108,"?*"))</f>
        <v/>
      </c>
      <c r="GU108" t="str">
        <f>IF(OR(ES108="",EU108=""),"",IF(COUNTIFS(ES$3:ES108,"?*",EU$3:EU108,EU108)=1,MAX(GU$2:GU107)+1,""))</f>
        <v/>
      </c>
      <c r="GV108">
        <f t="shared" si="173"/>
        <v>0</v>
      </c>
      <c r="GW108">
        <f>IF(D108="","",COUNTIF(D$3:D108,"?*"))</f>
        <v>106</v>
      </c>
      <c r="GX108">
        <f>IF(EX108&lt;&gt;1,0,_xlfn.LET(_xlpm.k,MAX(IFERROR(--VLOOKUP(D108,УГО_спр,5,FALSE),0),IFERROR(--VLOOKUP(AT108,УГО_спр,5,FALSE),0),IFERROR(--VLOOKUP(LEFT(AT108,2),УГО_спр,5,FALSE),0)),IF(_xlpm.k&gt;0,_xlpm.k,IF(IFERROR(--LEFT(SUBSTITUTE(GR108,"x","х"),FIND("х",SUBSTITUTE(GR108,"x","х"))-1),3)&gt;3,Каталог!$S$9,1))))</f>
        <v>1</v>
      </c>
      <c r="GY108">
        <f t="shared" si="174"/>
        <v>0</v>
      </c>
    </row>
    <row r="109" spans="1:207" x14ac:dyDescent="0.3">
      <c r="A109" t="s">
        <v>750</v>
      </c>
      <c r="B109">
        <v>21</v>
      </c>
      <c r="C109" t="str">
        <f>IF(BD109="","",IF(BE109="вводной узел","узел ","")&amp;"л."&amp;(INT((BD109-1)/Столбцов_на_лист)+1)&amp;" / "&amp;(MOD(BD109-1,Столбцов_на_лист)+1))</f>
        <v>л.2 / 4</v>
      </c>
      <c r="D109" t="s">
        <v>1397</v>
      </c>
      <c r="E109" s="133" t="s">
        <v>1398</v>
      </c>
      <c r="G109">
        <v>0.27</v>
      </c>
      <c r="H109">
        <v>1</v>
      </c>
      <c r="I109">
        <v>1</v>
      </c>
      <c r="J109">
        <v>230</v>
      </c>
      <c r="K109" t="s">
        <v>602</v>
      </c>
      <c r="L109">
        <v>0.5</v>
      </c>
      <c r="O109">
        <v>1</v>
      </c>
      <c r="P109">
        <v>30</v>
      </c>
      <c r="Q109">
        <v>20</v>
      </c>
      <c r="R109">
        <v>14</v>
      </c>
      <c r="T109">
        <v>1</v>
      </c>
      <c r="U109" t="s">
        <v>11</v>
      </c>
      <c r="V109">
        <v>3</v>
      </c>
      <c r="W109">
        <v>1.5</v>
      </c>
      <c r="X109">
        <v>10</v>
      </c>
      <c r="Z109" t="s">
        <v>584</v>
      </c>
      <c r="AA109" t="s">
        <v>818</v>
      </c>
      <c r="AD109" t="s">
        <v>517</v>
      </c>
      <c r="AK109" t="s">
        <v>488</v>
      </c>
      <c r="AR109" t="str">
        <f t="shared" si="88"/>
        <v/>
      </c>
      <c r="AS109" cm="1">
        <f t="array" ref="AS109">ROW()-ROW(Линии[#Headers])</f>
        <v>107</v>
      </c>
      <c r="AT109" t="str">
        <f t="shared" si="89"/>
        <v>В</v>
      </c>
      <c r="AU109" t="str">
        <f t="shared" si="90"/>
        <v>25</v>
      </c>
      <c r="AV109" t="str">
        <f t="shared" si="91"/>
        <v>25</v>
      </c>
      <c r="AW109" t="str">
        <f t="shared" si="92"/>
        <v/>
      </c>
      <c r="AX109" t="str">
        <f t="shared" si="93"/>
        <v/>
      </c>
      <c r="AY109" t="str">
        <f>IF(D109="","",IF(ISERROR(SEARCH(".",D109)),IFERROR(VLOOKUP(D109,Потребители_обозначение,2,FALSE)&amp;"",""),IFERROR(IF(VLOOKUP(AT109,Потребители_обозначение,4,FALSE)=1,VLOOKUP(AT109,Потребители_обозначение,2,FALSE)&amp;" "&amp;VLOOKUP(AV109,Этаж_обозначение,2,FALSE)&amp;" Пом. №"&amp;AX109,VLOOKUP(AT109,Потребители_обозначение,2,FALSE)&amp;" Шлейф №"&amp;AV109),IFERROR(VLOOKUP(D109,Потребители_обозначение,2,FALSE),""))))</f>
        <v>Вытяжная установка Шлейф №25</v>
      </c>
      <c r="AZ109" t="str">
        <f t="shared" si="94"/>
        <v>Внутренний блок кондиционирования подвальный этаж Пом. №01Тб</v>
      </c>
      <c r="BA109" t="str">
        <f>IF(F109&lt;&gt;"",F109,IF(AND(D109&lt;&gt;"",D109&lt;&gt;A109,ISNUMBER(_xlfn.XMATCH(D109,Щиты[Щит]))),D109,""))</f>
        <v/>
      </c>
      <c r="BB109">
        <f>IFERROR(_xlfn.XMATCH(A109,Щиты[Щит]),0)</f>
        <v>6</v>
      </c>
      <c r="BC109">
        <f>IFERROR(N(_xlfn.XLOOKUP(A109,Щиты[Щит],Щиты[Мест под вводной узел])),15)</f>
        <v>12</v>
      </c>
      <c r="BD109">
        <f t="shared" si="95"/>
        <v>21</v>
      </c>
      <c r="BE109" t="str">
        <f t="shared" si="96"/>
        <v>линии</v>
      </c>
      <c r="BF109">
        <f>IF(D109="","",IF(BA109&lt;&gt;"",IFERROR(_xlfn.XLOOKUP(BA109,Щиты[Щит],Щиты[Руст, кВт]),0),N(G109)))</f>
        <v>0.27</v>
      </c>
      <c r="BG109">
        <f>IF(J109&lt;&gt;"",J109,IF(D109="","",IFERROR(IF(VLOOKUP(AT109,Потребители_обозначение,8,FALSE)=0,"",VLOOKUP(AT109,Потребители_обозначение,8,FALSE)),"")))</f>
        <v>230</v>
      </c>
      <c r="BH109">
        <f>IF(I109&lt;&gt;"",I109,IF(D109="","",IFERROR(IF(VLOOKUP(AT109,Потребители_обозначение,9,FALSE)=0,"",VLOOKUP(AT109,Потребители_обозначение,9,FALSE)),"")))</f>
        <v>1</v>
      </c>
      <c r="BI109" t="str">
        <f>IF(U109&lt;&gt;"",U109,IF(D109="","",IFERROR(IF(VLOOKUP(AT109,Потребители_обозначение,6,FALSE)=0,"",VLOOKUP(AT109,Потребители_обозначение,6,FALSE)),"")))</f>
        <v>мс</v>
      </c>
      <c r="BJ109">
        <f>IF(V109&lt;&gt;"",V109,IF(D109="","",IFERROR(IF(VLOOKUP(AT109,Потребители_обозначение,7,FALSE)=0,"",VLOOKUP(AT109,Потребители_обозначение,7,FALSE)),"")))</f>
        <v>3</v>
      </c>
      <c r="BK109">
        <f>IF(W109&lt;&gt;"",W109,IF(D109="","",IFERROR(IF(VLOOKUP(AT109,Потребители_обозначение,10,FALSE)=0,"",VLOOKUP(AT109,Потребители_обозначение,10,FALSE)),"")))</f>
        <v>1.5</v>
      </c>
      <c r="BL109">
        <f>IFERROR(VLOOKUP(AT109,Потребители_обозначение,5,FALSE),0)</f>
        <v>1</v>
      </c>
      <c r="BM109" cm="1">
        <f t="array" ref="BM109">IF(D109="","",IF(BA109&lt;&gt;"",IFERROR(_xlfn.XLOOKUP(BA109,Щиты[Щит],Щиты[cos φ]),0.95),IF(ISNUMBER(M109),M109,IFERROR(IF(BL109=2,_xlfn.IFS(BH109=3,VLOOKUP(BF109,Справочная_двигатели,8,FALSE),BH109=1,VLOOKUP(BF109,Справочная_двигатели,10,TRUE)),IF(AND(Методика="нормы 2026",CN109="Сил"),0.8,0.95)),0.95))))</f>
        <v>0.95</v>
      </c>
      <c r="BN109" cm="1">
        <f t="array" ref="BN109">IF(D109="","",IF(BA109&lt;&gt;"",IFERROR(_xlfn.XLOOKUP(BA109,Щиты[Щит],Щиты[Iр, А]),""),IFERROR(_xlfn.IFS(BH109=1,BF109/((Uн_лин/SQRT(3))*BM109),BH109=3,BF109/(SQRT(3)*Uн_лин*BM109)),"")))</f>
        <v>1.230667679062097</v>
      </c>
      <c r="BO109">
        <f>IF(D109="","",IF(N(X109)=0,IFERROR(VLOOKUP(BN109,Автомат_номиналы,2,TRUE),""),X109))</f>
        <v>10</v>
      </c>
      <c r="BP109">
        <f t="shared" si="97"/>
        <v>1</v>
      </c>
      <c r="BQ109">
        <f>IF(ISNUMBER(Y109),Y109,К_прокл)</f>
        <v>1</v>
      </c>
      <c r="BR109">
        <f t="shared" si="98"/>
        <v>2</v>
      </c>
      <c r="BS109" cm="1">
        <f t="array" ref="BS109">IF(D109="","",IF(N(BK109)&lt;&gt;0,BK109,IFERROR(_xlfn.LET(_xlpm.need,BO109/(BP109*BQ109),_xlpm.t,CHOOSE(BR109,Iдоп_1ж,Iдоп_2ж,Iдоп_3ж),_xlpm.k,_xlfn.XMATCH(_xlpm.need,_xlpm.t,1),IF(ISNA(_xlpm.k),"Не исп",INDEX(Iдоп_S,_xlpm.k))),"Не исп")))</f>
        <v>1.5</v>
      </c>
      <c r="BT109">
        <f>IFERROR(VLOOKUP(BS109,Кабель_сопротивление,3,FALSE),"")</f>
        <v>2.2499999999999999E-2</v>
      </c>
      <c r="BU109">
        <f>IFERROR(VLOOKUP(BS109,Кабель_сопротивление,2,FALSE),"")</f>
        <v>0.11</v>
      </c>
      <c r="BV109">
        <f t="shared" si="99"/>
        <v>30</v>
      </c>
      <c r="BW109">
        <f>IF(D109="","",IFERROR(IF(VLOOKUP(AT109,Потребители_обозначение,4,FALSE)=1,VLOOKUP(AT109,Потребители_обозначение,3,FALSE)*(H109*2-1)+BV109+VLOOKUP(AV109,Этаж_обозначение,3,FALSE)+VLOOKUP(AV109,Этаж_обозначение,4,FALSE),VLOOKUP(AT109,Потребители_обозначение,3,FALSE)*(H109*2-1)+BV109),BV109))</f>
        <v>34</v>
      </c>
      <c r="BX109">
        <f t="shared" si="100"/>
        <v>14</v>
      </c>
      <c r="BY109">
        <f t="shared" si="101"/>
        <v>0</v>
      </c>
      <c r="BZ109">
        <f t="shared" si="102"/>
        <v>2</v>
      </c>
      <c r="CA109">
        <f t="shared" si="103"/>
        <v>0.31</v>
      </c>
      <c r="CB109">
        <f t="shared" si="104"/>
        <v>1.1953706532253809</v>
      </c>
      <c r="CC109">
        <f>IFERROR(ROUNDUP(CB109/((Uн_лин/SQRT(3))*1000)*100,2),"")</f>
        <v>0.52</v>
      </c>
      <c r="CD109">
        <f>IF(ISNUMBER(CC109),CC109+IFERROR(_xlfn.XLOOKUP(A109,Щиты[Щит],Щиты[ΔU до шин, %]),0),"")</f>
        <v>0.76</v>
      </c>
      <c r="CE109">
        <f>IF(D109="","",IF(IFERROR(VLOOKUP(AT109,УГО_спр,2,FALSE),"")="Светильник",3,4)+IF(Методика="нормы 2026",MIN(0.5,MAX(0,N(BW109)-100)*0.005),0))</f>
        <v>4</v>
      </c>
      <c r="CF109" t="str">
        <f>IFERROR(VLOOKUP(BI109,Кабель_обозначение,2,FALSE),"")</f>
        <v>ВВГнг(А)-LS</v>
      </c>
      <c r="CG109" t="str">
        <f>IFERROR(IF(VLOOKUP(BI109,Кабель_обозначение,3,FALSE)=1,CF109&amp;" ("&amp;BJ109&amp;"х"&amp;BS109&amp;")",CF109),"")</f>
        <v>ВВГнг(А)-LS (3х1,5)</v>
      </c>
      <c r="CH109" t="str">
        <f t="shared" si="105"/>
        <v>ВВГнг(А)-LS (3х1,5)
L=34-0,52%</v>
      </c>
      <c r="CI109">
        <f>IFERROR(2*ρкз_Cu*BW109/BS109,"")</f>
        <v>1.1922666666666666</v>
      </c>
      <c r="CJ109">
        <f t="shared" si="106"/>
        <v>0.39666666666666672</v>
      </c>
      <c r="CK109" t="str">
        <f>IFERROR(IF(OR(D109="",NOT(ISNUMBER(BS109)),N(BW109)=0),"",_xlfn.XLOOKUP(A109,Щиты[Щит],Щиты[Zпетли на шинах, Ом])+CI109),"")</f>
        <v/>
      </c>
      <c r="CL109" t="str">
        <f>IF(ISNUMBER(CK109),c_min*(Uн_лин*1000/SQRT(3))/CK109,"")</f>
        <v/>
      </c>
      <c r="CM109" t="str">
        <f>IFERROR(IF(OR(D109="",NOT(ISNUMBER(BS109))),"",1.05*(Uн_лин*1000/SQRT(3))/(_xlfn.XLOOKUP(A109,Щиты[Щит],Щиты[Zmax на шинах, Ом])+CJ109)/1000),"")</f>
        <v/>
      </c>
      <c r="CN109" t="str">
        <f>IF(D109="","",IF(BA109&lt;&gt;"","Щит",IF(K109&lt;&gt;"",K109,IF(ISNUMBER(L109),"Сил",IF(IFERROR(_xlfn.XLOOKUP(AT109,Коды_код,Коды_группа)&amp;"","")="","Быт",_xlfn.XLOOKUP(AT109,Коды_код,Коды_группа)&amp;"")))))</f>
        <v>Сил</v>
      </c>
      <c r="CO109">
        <f>IF(CN109="Щит","щит",IF(CN109="","",IF(CN109="Быт",IFERROR(_xlfn.XLOOKUP(A109,Щиты[Щит],Щиты[Кс быт]),1),IF(CN109="Сил",IF(ISNUMBER(L109),L109,IF(Методика="нормы 2026",IFERROR(_xlfn.XLOOKUP(A109,Щиты[Щит],Щиты[Кс силовых (табл. 7.5)]),1),1)),IF(OR(CN109="Пост",CN109="Отоп"),1,IF(CN109="ВНГ",0.7,0))))))</f>
        <v>0.5</v>
      </c>
      <c r="CP109">
        <f t="shared" si="107"/>
        <v>1</v>
      </c>
      <c r="CQ109">
        <f t="shared" si="108"/>
        <v>0.27</v>
      </c>
      <c r="CR109">
        <f t="shared" si="109"/>
        <v>0</v>
      </c>
      <c r="CS109">
        <f t="shared" si="110"/>
        <v>0.13500000000000001</v>
      </c>
      <c r="CT109">
        <f t="shared" si="111"/>
        <v>0</v>
      </c>
      <c r="CU109">
        <f t="shared" si="112"/>
        <v>0</v>
      </c>
      <c r="CV109">
        <f t="shared" si="113"/>
        <v>0</v>
      </c>
      <c r="CW109">
        <f t="shared" si="114"/>
        <v>0.27</v>
      </c>
      <c r="CX109">
        <f t="shared" si="115"/>
        <v>0.25650000000000001</v>
      </c>
      <c r="CY109">
        <f t="shared" si="116"/>
        <v>3</v>
      </c>
      <c r="CZ109" t="str">
        <f t="shared" si="117"/>
        <v>L3</v>
      </c>
      <c r="DA109" cm="1">
        <f t="array" ref="DA109">IFERROR(IF(BL109=2,_xlfn.IFS(BH109=3,VLOOKUP(BF109,Справочная_двигатели,3,FALSE),BH109=1,VLOOKUP(BF109,Справочная_двигатели,5,TRUE)),0),0)</f>
        <v>0</v>
      </c>
      <c r="DB109">
        <f>IFERROR(IF(BL109=3,VLOOKUP(BF109,Справочная_ЛЭД,2,TRUE),0),0)</f>
        <v>0</v>
      </c>
      <c r="DC109">
        <f t="shared" si="118"/>
        <v>0</v>
      </c>
      <c r="DD109" t="str">
        <f t="shared" si="119"/>
        <v>L1</v>
      </c>
      <c r="DE109" t="str" cm="1">
        <f t="array" ref="DE109">IF(D109="","",IFERROR(INDEX({"I особая","I","II","III"},MATCH(TRIM(AA109&amp;""),{"I особая","I","II","III"},0)),"III"))</f>
        <v>II</v>
      </c>
      <c r="DF109" t="str">
        <f>IF(D109="","",IF(TRIM(AB109&amp;"")&lt;&gt;"",IF(LOWER(TRIM(AB109&amp;""))="да","да","нет"),IF(IFERROR(_xlfn.XLOOKUP(AT109,Коды_код,Коды_пожарная),"")="да","да","нет")))</f>
        <v>нет</v>
      </c>
      <c r="DG109" t="str">
        <f t="shared" si="120"/>
        <v/>
      </c>
      <c r="DH109" t="str">
        <f t="shared" si="121"/>
        <v>основная</v>
      </c>
      <c r="DI109">
        <f t="shared" si="122"/>
        <v>1</v>
      </c>
      <c r="DJ109" t="str" cm="1">
        <f t="array" ref="DJ109">IF(D109="","",_xlfn.LET(_xlpm.t,IFERROR(_xlfn.XLOOKUP(1,(Шины[Шина]=DH109)*(((Шины[Щит]=A109)+(Шины[Щит]=""))&gt;0),Шины[Тип]),"")&amp;"",IF(_xlpm.t&lt;&gt;"",_xlpm.t,IF(ISNUMBER(SEARCH("ИБП",DH109)),"ИБП",IF(ISNUMBER(SEARCH("ДГУ",DH109)),"ДГУ","Ввод "&amp;DI109)))))</f>
        <v>Ввод 1</v>
      </c>
      <c r="DK109" t="str">
        <f t="shared" si="123"/>
        <v>Ввод 1</v>
      </c>
      <c r="DL109" t="str">
        <f>IF(D109="","",IF(OR(DJ109="ИБП",DJ109="ДГУ"),"I особая",IF(DJ109="Одиночная","III",_xlfn.XLOOKUP(A109,Щиты[Щит],Щиты[Категория шины «Ввод»],"III"))))</f>
        <v>II</v>
      </c>
      <c r="DM109">
        <f>IF(D109="",0,IFERROR(MATCH(DE109,{"III","II","I","I особая"},0),1))</f>
        <v>2</v>
      </c>
      <c r="DN109">
        <f t="shared" si="124"/>
        <v>2</v>
      </c>
      <c r="DO109" t="str">
        <f>IF(D109="","",IF(DM109&gt;IFERROR(MATCH(DL109,{"III","II","I","I особая"},0),1),"НЕ ОБЕСПЕЧЕНА","ОК"))</f>
        <v>ОК</v>
      </c>
      <c r="DP109" t="str">
        <f>IF(A109="","",_xlfn.XLOOKUP(A109,Щиты[Щит],Щиты[Путь],""))</f>
        <v>|ГРЩ-ЖД|ЩОВ-01|</v>
      </c>
      <c r="DQ109" t="str">
        <f>IF(D109="","",IF(Z109&lt;&gt;"",Z109,IF(IFERROR(_xlfn.XLOOKUP(AT109,Коды_код,Коды_вид)&amp;"","")="","Прочее",_xlfn.XLOOKUP(AT109,Коды_код,Коды_вид)&amp;"")))</f>
        <v>Вентиляция</v>
      </c>
      <c r="DR109">
        <f>IF(BD109="","",INT((BD109-1)/Столбцов_на_лист)+1)</f>
        <v>2</v>
      </c>
      <c r="DS109" t="str">
        <f t="shared" si="125"/>
        <v>ВВГнг(А)-LS (3х1,5) L=34-0,52%</v>
      </c>
      <c r="DT109">
        <f t="shared" si="126"/>
        <v>0.27</v>
      </c>
      <c r="DU109">
        <f t="shared" si="127"/>
        <v>1.24</v>
      </c>
      <c r="DV109">
        <f t="shared" si="128"/>
        <v>1</v>
      </c>
      <c r="DW109">
        <f>IF(AT109="",0,_xlfn.LET(_xlpm.v,IFERROR(VLOOKUP(D109,УГО_спр,3,FALSE),IFERROR(VLOOKUP(AT109,УГО_спр,3,FALSE),IFERROR(VLOOKUP(LEFT(AT109,2),УГО_спр,3,FALSE),""))),IF(_xlpm.v="да",30,IF(ISNUMBER(_xlpm.v),_xlpm.v,0))))</f>
        <v>0</v>
      </c>
      <c r="DX109">
        <f t="shared" si="129"/>
        <v>0</v>
      </c>
      <c r="DY109">
        <f>IF(BD109="","",IF(AD109&lt;&gt;"",COUNTIFS(A$3:A109,A109,AD$3:AD109,"?*"),IF(OR(OR(AS109=1,A109&lt;&gt;A108),AL109="вручную"),"",IF(AS109=1,"",DZ108))))</f>
        <v>7</v>
      </c>
      <c r="DZ109">
        <f t="shared" si="130"/>
        <v>7</v>
      </c>
      <c r="EA109">
        <f>IF(D109="",0,MAX(IFERROR(--X109,0),IFERROR(--VLOOKUP(D109,УГО_спр,4,FALSE),IFERROR(--VLOOKUP(AT109,УГО_спр,4,FALSE),IFERROR(--VLOOKUP(LEFT(AT109,2),УГО_спр,4,FALSE),0)))))</f>
        <v>10</v>
      </c>
      <c r="EB109">
        <f>IF(D109="","",IFERROR(LOOKUP(INDEX(CHOOSE(BR109,Iдоп_1ж,Iдоп_2ж,Iдоп_3ж),MATCH(BS109,Iдоп_S,0))*BP109*BQ109,{6,10,16,20,25,32,40,50,63,80,100,125,160,200,250,315,400,500,630}),""))</f>
        <v>16</v>
      </c>
      <c r="EC109">
        <f>IF(AD109="","",SUMIFS(Линии[_Ток схемы],Линии[_гр.],DY109,Линии[Щит],A109,Линии[_в кабель выше],0))</f>
        <v>1.24</v>
      </c>
      <c r="ED109">
        <f>IF(AD109="","",IFERROR(VLOOKUP(EC109,Автомат_номиналы,2,TRUE),""))</f>
        <v>6</v>
      </c>
      <c r="EE109">
        <f>IF(AD109="","",MAX(N(ED109),_xlfn.MAXIFS(Линии[_мин. по типу],Линии[_гр.],DY109,Линии[Щит],A109)))</f>
        <v>10</v>
      </c>
      <c r="EF109">
        <f>IF(AD109="","",_xlfn.MINIFS(Линии[_макс. автомат по кабелю],Линии[_гр.],DY109,Линии[Щит],A109))</f>
        <v>16</v>
      </c>
      <c r="EG109">
        <f>IF(AD109="","",MAX(1,_xlfn.MAXIFS(Линии[_фаз],Линии[_гр.],DY109,Линии[Щит],A109)))</f>
        <v>1</v>
      </c>
      <c r="EH109">
        <f>IF(AD109="","",IF(AND(AD109&lt;&gt;"авто",AD109&lt;&gt;"+"),IF(ISNUMBER(SEARCH("мА",AD109)),IFERROR(--TRIM(RIGHT(SUBSTITUTE(LEFT(AD109,SEARCH("мА",AD109)-1)," ",REPT(" ",9)),6)),30),0),IF(AE109="нет",0,IF(ISNUMBER(AE109),AE109,IF(AE109="да",30,_xlfn.MINIFS(Линии[_дифзащита по коду, мА],Линии[_гр.],DY109,Линии[Щит],A109,Линии[_дифзащита по коду, мА],"&gt;0"))))))</f>
        <v>0</v>
      </c>
      <c r="EI109">
        <f t="shared" si="131"/>
        <v>0</v>
      </c>
      <c r="EJ109" t="str">
        <f t="shared" si="132"/>
        <v>QF7</v>
      </c>
      <c r="EK109" t="str">
        <f t="shared" si="133"/>
        <v>QF7</v>
      </c>
      <c r="EL109" t="str">
        <f t="shared" si="134"/>
        <v/>
      </c>
      <c r="EM109">
        <f t="shared" si="135"/>
        <v>0</v>
      </c>
      <c r="EN109">
        <f>IF(AD109="","",IF(EM109=1,MAX(EE109,Мин_автомат_БП),EE109))</f>
        <v>10</v>
      </c>
      <c r="EO109" t="str">
        <f t="shared" si="136"/>
        <v>1P</v>
      </c>
      <c r="EP109" t="str">
        <f t="shared" si="137"/>
        <v>1P С10А</v>
      </c>
      <c r="EQ109">
        <f t="shared" si="138"/>
        <v>10</v>
      </c>
      <c r="ER109" t="str">
        <f>IF(OR(AI109="",AI109="-"),"",IFERROR(VLOOKUP(AI109,Модули_спр,2,FALSE),"R"))</f>
        <v/>
      </c>
      <c r="ES109" t="str">
        <f>IF(ER109="","",ER109&amp;"."&amp;COUNTIFS(A$3:A109,A109,ER$3:ER109,ER109))</f>
        <v/>
      </c>
      <c r="ET109" t="str">
        <f t="shared" si="139"/>
        <v/>
      </c>
      <c r="EU109" t="str">
        <f t="shared" si="140"/>
        <v/>
      </c>
      <c r="EV109" t="str">
        <f t="shared" si="141"/>
        <v/>
      </c>
      <c r="EW109" t="str">
        <f t="shared" si="142"/>
        <v/>
      </c>
      <c r="EX109">
        <f t="shared" si="143"/>
        <v>1</v>
      </c>
      <c r="EY109" t="str">
        <f>IF(AK109="нет","",IF(AK109&lt;&gt;"",AK109,IF(EX109=1,"XT"&amp;COUNTIFS(A$3:A109,A109,EX$3:EX109,1),"")))</f>
        <v/>
      </c>
      <c r="EZ109" t="str">
        <f t="shared" si="144"/>
        <v>QF7</v>
      </c>
      <c r="FA109" t="str">
        <f t="shared" si="145"/>
        <v/>
      </c>
      <c r="FB109" t="str">
        <f t="shared" si="146"/>
        <v>ok</v>
      </c>
      <c r="FC109" t="str">
        <f>IF(OR(EV109="",ET109=""),"",IF(EV109&gt;IFERROR(VLOOKUP(EU109,Модули_спр,3,FALSE),99),"ЛИШНИЙ КАНАЛ",IF(AND(AJ109&lt;&gt;"=",COUNTIFS(Линии[_модуль гр.],ET109,Линии[Канал (итог)],EV109,Линии[Канал],"&lt;&gt;=",Линии[Щит],A109)&gt;1),"ДУБЛЬ КАНАЛА","")))</f>
        <v/>
      </c>
      <c r="FD109">
        <f t="shared" si="147"/>
        <v>10</v>
      </c>
      <c r="FE109" t="str">
        <f t="shared" si="148"/>
        <v>1P С10А</v>
      </c>
      <c r="FF109">
        <f t="shared" si="149"/>
        <v>0</v>
      </c>
      <c r="FG109">
        <f t="shared" si="150"/>
        <v>0</v>
      </c>
      <c r="FH109" t="str">
        <f t="shared" si="151"/>
        <v/>
      </c>
      <c r="FI109">
        <f t="shared" si="152"/>
        <v>10</v>
      </c>
      <c r="FJ109" t="str">
        <f t="shared" si="153"/>
        <v/>
      </c>
      <c r="FK109" t="str">
        <f>IF(AND(D109="",EZ109=""),"",_xlfn.TEXTJOIN("; ",TRUE,IF(AND(D109&lt;&gt;"",DD109=""),"нет фазы",""),IF(AND(D109&lt;&gt;"",N(DT109)=0,CN109&lt;&gt;"Нет"),"нет мощности",""),IF(AND(EY109&lt;&gt;"",COUNTIFS(Линии[Щит],A109,Линии[Клемма (итог)],EY109)&gt;1),"дубль клеммы "&amp;EY109,""),IF(AND(FB109&lt;&gt;"",FB109&lt;&gt;"ok"),FB109,""),IF(FC109&lt;&gt;"",FC109,""),IF(AND(ISNUMBER(SEARCH("(5х",DS109)),N(DV109)=1),"5 жил на 1 фазе",""),IF(AND(AT109="R",AD109&lt;&gt;"",OR(N(EH109)=0,N(EH109)&gt;30)),"розетка без дифзащиты до 30 мА",""),IFERROR(IF(AND(ISNUMBER(CD109),CD109&gt;CE109),"потери "&amp;FIXED(CD109,1)&amp;" % &gt; "&amp;CE109&amp;" %",""),""),IFERROR(IF(LEFT(FJ109,4)="мало","Iкз мало — отключение &gt; 0,4 с",""),""),IF(AND(D109&lt;&gt;"",BD109=""),"не на схеме","")))</f>
        <v/>
      </c>
      <c r="FL109">
        <f>IF(AD109="","",_xlfn.LET(_xlpm.t,IFERROR(_xlfn.XLOOKUP(EP109,Каталог!$U$4:$U$500,Каталог!$G$4:$G$500),""),_xlpm.k,SEARCH("кА",_xlpm.t),IFERROR(--TRIM(RIGHT(SUBSTITUTE(MID(_xlpm.t,MAX(1,_xlpm.k-4),_xlpm.k-MAX(1,_xlpm.k-4))," ",REPT(" ",9)),5)),"")))</f>
        <v>6</v>
      </c>
      <c r="FM109" t="str">
        <f>IF(OR(FL109="",AD109=""),"",IF(_xlfn.XLOOKUP(A109,Щиты[Щит],Щиты[Iкз max на шинах, кА],"")="","",IF(FL109&lt;_xlfn.XLOOKUP(A109,Щиты[Щит],Щиты[Iкз max на шинах, кА]),"Icu "&amp;FL109&amp;" кА &lt; Iкз max","ok")))</f>
        <v/>
      </c>
      <c r="FN109" t="str">
        <f t="shared" si="154"/>
        <v>QF7</v>
      </c>
      <c r="FO109" t="str">
        <f t="shared" si="155"/>
        <v>QF7|кабель ВВГнг(А)-LS (3х1,5) → Внутренний блок кондиционирования подвальный этаж Пом. №01Тб</v>
      </c>
      <c r="FP109" t="str" cm="1">
        <f t="array" ref="FP109">IF(FO109="","",_xlfn.LET(_xlpm.nd,_xlfn.TEXTSPLIT(FO109,"|"),IF(COLUMNS(_xlpm.nd)&gt;1,A109&amp;"¦"&amp;INDEX(_xlpm.nd,1)&amp;"¦"&amp;INDEX(_xlpm.nd,2),"")))</f>
        <v>ЩОВ-01¦QF7¦кабель ВВГнг(А)-LS (3х1,5) → Внутренний блок кондиционирования подвальный этаж Пом. №01Тб</v>
      </c>
      <c r="FQ109" t="str">
        <f t="shared" si="156"/>
        <v>В.25¦Внутренний блок кондиционирования подвальный этаж Пом. №01Тб</v>
      </c>
      <c r="FR109" t="str" cm="1">
        <f t="array" ref="FR109">IF(FO109="","",_xlfn.LET(_xlpm.nd,_xlfn.TEXTSPLIT(FO109,"|"),IF(COLUMNS(_xlpm.nd)&gt;2,A109&amp;"¦"&amp;INDEX(_xlpm.nd,2)&amp;"¦"&amp;INDEX(_xlpm.nd,3),"")))</f>
        <v/>
      </c>
      <c r="FS109" t="str">
        <f t="shared" si="157"/>
        <v/>
      </c>
      <c r="FT109" t="str" cm="1">
        <f t="array" ref="FT109">IF(FO109="","",_xlfn.LET(_xlpm.nd,_xlfn.TEXTSPLIT(FO109,"|"),IF(COLUMNS(_xlpm.nd)&gt;3,A109&amp;"¦"&amp;INDEX(_xlpm.nd,3)&amp;"¦"&amp;INDEX(_xlpm.nd,4),"")))</f>
        <v/>
      </c>
      <c r="FU109" t="str">
        <f t="shared" si="158"/>
        <v/>
      </c>
      <c r="FV109" t="str" cm="1">
        <f t="array" ref="FV109">IF(FO109="","",_xlfn.LET(_xlpm.nd,_xlfn.TEXTSPLIT(FO109,"|"),IF(COLUMNS(_xlpm.nd)&gt;4,A109&amp;"¦"&amp;INDEX(_xlpm.nd,4)&amp;"¦"&amp;INDEX(_xlpm.nd,5),"")))</f>
        <v/>
      </c>
      <c r="FW109" t="str">
        <f t="shared" si="159"/>
        <v/>
      </c>
      <c r="FX109" t="str" cm="1">
        <f t="array" ref="FX109">IF(FO109="","",_xlfn.LET(_xlpm.nd,_xlfn.TEXTSPLIT(FO109,"|"),IF(COLUMNS(_xlpm.nd)&gt;5,A109&amp;"¦"&amp;INDEX(_xlpm.nd,5)&amp;"¦"&amp;INDEX(_xlpm.nd,6),"")))</f>
        <v/>
      </c>
      <c r="FY109" t="str">
        <f t="shared" si="160"/>
        <v/>
      </c>
      <c r="FZ109" t="str" cm="1">
        <f t="array" ref="FZ109">IF(FO109="","",_xlfn.LET(_xlpm.nd,_xlfn.TEXTSPLIT(FO109,"|"),IF(COLUMNS(_xlpm.nd)&gt;6,A109&amp;"¦"&amp;INDEX(_xlpm.nd,6)&amp;"¦"&amp;INDEX(_xlpm.nd,7),"")))</f>
        <v/>
      </c>
      <c r="GA109" t="str">
        <f t="shared" si="161"/>
        <v/>
      </c>
      <c r="GB109" t="str">
        <f t="shared" si="162"/>
        <v/>
      </c>
      <c r="GC109" t="str">
        <f t="shared" si="163"/>
        <v>QF7</v>
      </c>
      <c r="GD109">
        <f t="shared" si="164"/>
        <v>1</v>
      </c>
      <c r="GE109">
        <f t="shared" si="165"/>
        <v>0</v>
      </c>
      <c r="GF109">
        <f t="shared" si="166"/>
        <v>0</v>
      </c>
      <c r="GG109" t="str">
        <f t="shared" si="167"/>
        <v/>
      </c>
      <c r="GH109" t="str">
        <f t="shared" si="168"/>
        <v/>
      </c>
      <c r="GI109" t="str">
        <f t="shared" si="169"/>
        <v/>
      </c>
      <c r="GJ109" t="str">
        <f t="shared" si="170"/>
        <v/>
      </c>
      <c r="GK109" t="str">
        <f>IF(D109="","",IFERROR(VLOOKUP(D109,УГО_спр,2,FALSE),IFERROR(VLOOKUP(AT109,УГО_спр,2,FALSE),IFERROR(VLOOKUP(LEFT(AT109,2),УГО_спр,2,FALSE),""))))</f>
        <v>Привод (двигатель)</v>
      </c>
      <c r="GL109" t="str">
        <f>IF(D109="","",IF(OR(GK109="",GK109=0),"BOX",IFERROR(IF(VLOOKUP(GK109,УГО_блоки,3,FALSE)&amp;""&lt;&gt;"",VLOOKUP(GK109,УГО_блоки,3,FALSE),VLOOKUP(GK109,УГО_блоки,2,FALSE)),GK109)))</f>
        <v>MOTOR</v>
      </c>
      <c r="GM109">
        <f t="shared" si="171"/>
        <v>1</v>
      </c>
      <c r="GN109" t="str">
        <f>IF(EP109="","",IF(COUNTIF(EP$3:EP109,EP109)=1,MAX(GN$2:GN108)+1,""))</f>
        <v/>
      </c>
      <c r="GO109" t="str">
        <f>IF(AF109="","",IF(COUNTIF(AF$3:AF109,AF109)+COUNTIF(AG$2:AG108,AF109)+COUNTIF(AH$2:AH108,AF109)=1,MAX(GO$2:GQ108)+1,""))</f>
        <v/>
      </c>
      <c r="GP109" t="str">
        <f>IF(AG109="","",IF(COUNTIF(AF$3:AF109,AG109)+COUNTIF(AG$3:AG109,AG109)+COUNTIF(AH$2:AH108,AG109)=1,MAX(GO$2:GQ108,GO109)+1,""))</f>
        <v/>
      </c>
      <c r="GQ109" t="str">
        <f>IF(AH109="","",IF(COUNTIF(AF$3:AF109,AH109)+COUNTIF(AG$3:AG109,AH109)+COUNTIF(AH$3:AH109,AH109)=1,MAX(GO$2:GQ108,GO109,GP109)+1,""))</f>
        <v/>
      </c>
      <c r="GR109" t="str">
        <f t="shared" si="172"/>
        <v>3х1,5</v>
      </c>
      <c r="GS109" t="str">
        <f>IF(GR109="","",IF(COUNTIF(GR$3:GR109,GR109)=1,MAX(GS$2:GS108)+1,""))</f>
        <v/>
      </c>
      <c r="GT109" t="str">
        <f>IF(ES109="","",COUNTIF(ES$3:ES109,"?*"))</f>
        <v/>
      </c>
      <c r="GU109" t="str">
        <f>IF(OR(ES109="",EU109=""),"",IF(COUNTIFS(ES$3:ES109,"?*",EU$3:EU109,EU109)=1,MAX(GU$2:GU108)+1,""))</f>
        <v/>
      </c>
      <c r="GV109">
        <f t="shared" si="173"/>
        <v>0</v>
      </c>
      <c r="GW109">
        <f>IF(D109="","",COUNTIF(D$3:D109,"?*"))</f>
        <v>107</v>
      </c>
      <c r="GX109">
        <f>IF(EX109&lt;&gt;1,0,_xlfn.LET(_xlpm.k,MAX(IFERROR(--VLOOKUP(D109,УГО_спр,5,FALSE),0),IFERROR(--VLOOKUP(AT109,УГО_спр,5,FALSE),0),IFERROR(--VLOOKUP(LEFT(AT109,2),УГО_спр,5,FALSE),0)),IF(_xlpm.k&gt;0,_xlpm.k,IF(IFERROR(--LEFT(SUBSTITUTE(GR109,"x","х"),FIND("х",SUBSTITUTE(GR109,"x","х"))-1),3)&gt;3,Каталог!$S$9,1))))</f>
        <v>1</v>
      </c>
      <c r="GY109">
        <f t="shared" si="174"/>
        <v>0</v>
      </c>
    </row>
    <row r="110" spans="1:207" x14ac:dyDescent="0.3">
      <c r="A110" t="s">
        <v>750</v>
      </c>
      <c r="B110">
        <v>22</v>
      </c>
      <c r="C110" t="str">
        <f>IF(BD110="","",IF(BE110="вводной узел","узел ","")&amp;"л."&amp;(INT((BD110-1)/Столбцов_на_лист)+1)&amp;" / "&amp;(MOD(BD110-1,Столбцов_на_лист)+1))</f>
        <v>л.2 / 5</v>
      </c>
      <c r="D110" t="s">
        <v>1399</v>
      </c>
      <c r="E110" s="133" t="s">
        <v>1400</v>
      </c>
      <c r="G110">
        <v>0.104</v>
      </c>
      <c r="H110">
        <v>1</v>
      </c>
      <c r="I110">
        <v>1</v>
      </c>
      <c r="J110">
        <v>230</v>
      </c>
      <c r="K110" t="s">
        <v>602</v>
      </c>
      <c r="L110">
        <v>0.5</v>
      </c>
      <c r="O110">
        <v>2</v>
      </c>
      <c r="P110">
        <v>9</v>
      </c>
      <c r="Q110">
        <v>2</v>
      </c>
      <c r="R110">
        <v>9</v>
      </c>
      <c r="T110">
        <v>1</v>
      </c>
      <c r="U110" t="s">
        <v>11</v>
      </c>
      <c r="V110">
        <v>3</v>
      </c>
      <c r="W110">
        <v>1.5</v>
      </c>
      <c r="X110">
        <v>10</v>
      </c>
      <c r="Z110" t="s">
        <v>580</v>
      </c>
      <c r="AA110" t="s">
        <v>818</v>
      </c>
      <c r="AD110" t="s">
        <v>517</v>
      </c>
      <c r="AK110" t="s">
        <v>488</v>
      </c>
      <c r="AR110" t="str">
        <f t="shared" si="88"/>
        <v/>
      </c>
      <c r="AS110" cm="1">
        <f t="array" ref="AS110">ROW()-ROW(Линии[#Headers])</f>
        <v>108</v>
      </c>
      <c r="AT110" t="str">
        <f t="shared" si="89"/>
        <v>K</v>
      </c>
      <c r="AU110" t="str">
        <f t="shared" si="90"/>
        <v>0.001T.1</v>
      </c>
      <c r="AV110" t="str">
        <f t="shared" si="91"/>
        <v>0</v>
      </c>
      <c r="AW110" t="str">
        <f t="shared" si="92"/>
        <v>001T.1</v>
      </c>
      <c r="AX110" t="str">
        <f t="shared" si="93"/>
        <v>001T</v>
      </c>
      <c r="AY110" t="str">
        <f>IF(D110="","",IF(ISERROR(SEARCH(".",D110)),IFERROR(VLOOKUP(D110,Потребители_обозначение,2,FALSE)&amp;"",""),IFERROR(IF(VLOOKUP(AT110,Потребители_обозначение,4,FALSE)=1,VLOOKUP(AT110,Потребители_обозначение,2,FALSE)&amp;" "&amp;VLOOKUP(AV110,Этаж_обозначение,2,FALSE)&amp;" Пом. №"&amp;AX110,VLOOKUP(AT110,Потребители_обозначение,2,FALSE)&amp;" Шлейф №"&amp;AV110),IFERROR(VLOOKUP(D110,Потребители_обозначение,2,FALSE),""))))</f>
        <v>Внутренний блок кондиционирования Цокольный этаж Пом. №001T</v>
      </c>
      <c r="AZ110" t="str">
        <f t="shared" si="94"/>
        <v>Внутренний блок кондиционирования цокольный этаж Пом. №001Т</v>
      </c>
      <c r="BA110" t="str">
        <f>IF(F110&lt;&gt;"",F110,IF(AND(D110&lt;&gt;"",D110&lt;&gt;A110,ISNUMBER(_xlfn.XMATCH(D110,Щиты[Щит]))),D110,""))</f>
        <v/>
      </c>
      <c r="BB110">
        <f>IFERROR(_xlfn.XMATCH(A110,Щиты[Щит]),0)</f>
        <v>6</v>
      </c>
      <c r="BC110">
        <f>IFERROR(N(_xlfn.XLOOKUP(A110,Щиты[Щит],Щиты[Мест под вводной узел])),15)</f>
        <v>12</v>
      </c>
      <c r="BD110">
        <f t="shared" si="95"/>
        <v>22</v>
      </c>
      <c r="BE110" t="str">
        <f t="shared" si="96"/>
        <v>линии</v>
      </c>
      <c r="BF110">
        <f>IF(D110="","",IF(BA110&lt;&gt;"",IFERROR(_xlfn.XLOOKUP(BA110,Щиты[Щит],Щиты[Руст, кВт]),0),N(G110)))</f>
        <v>0.104</v>
      </c>
      <c r="BG110">
        <f>IF(J110&lt;&gt;"",J110,IF(D110="","",IFERROR(IF(VLOOKUP(AT110,Потребители_обозначение,8,FALSE)=0,"",VLOOKUP(AT110,Потребители_обозначение,8,FALSE)),"")))</f>
        <v>230</v>
      </c>
      <c r="BH110">
        <f>IF(I110&lt;&gt;"",I110,IF(D110="","",IFERROR(IF(VLOOKUP(AT110,Потребители_обозначение,9,FALSE)=0,"",VLOOKUP(AT110,Потребители_обозначение,9,FALSE)),"")))</f>
        <v>1</v>
      </c>
      <c r="BI110" t="str">
        <f>IF(U110&lt;&gt;"",U110,IF(D110="","",IFERROR(IF(VLOOKUP(AT110,Потребители_обозначение,6,FALSE)=0,"",VLOOKUP(AT110,Потребители_обозначение,6,FALSE)),"")))</f>
        <v>мс</v>
      </c>
      <c r="BJ110">
        <f>IF(V110&lt;&gt;"",V110,IF(D110="","",IFERROR(IF(VLOOKUP(AT110,Потребители_обозначение,7,FALSE)=0,"",VLOOKUP(AT110,Потребители_обозначение,7,FALSE)),"")))</f>
        <v>3</v>
      </c>
      <c r="BK110">
        <f>IF(W110&lt;&gt;"",W110,IF(D110="","",IFERROR(IF(VLOOKUP(AT110,Потребители_обозначение,10,FALSE)=0,"",VLOOKUP(AT110,Потребители_обозначение,10,FALSE)),"")))</f>
        <v>1.5</v>
      </c>
      <c r="BL110">
        <f>IFERROR(VLOOKUP(AT110,Потребители_обозначение,5,FALSE),0)</f>
        <v>1</v>
      </c>
      <c r="BM110" cm="1">
        <f t="array" ref="BM110">IF(D110="","",IF(BA110&lt;&gt;"",IFERROR(_xlfn.XLOOKUP(BA110,Щиты[Щит],Щиты[cos φ]),0.95),IF(ISNUMBER(M110),M110,IFERROR(IF(BL110=2,_xlfn.IFS(BH110=3,VLOOKUP(BF110,Справочная_двигатели,8,FALSE),BH110=1,VLOOKUP(BF110,Справочная_двигатели,10,TRUE)),IF(AND(Методика="нормы 2026",CN110="Сил"),0.8,0.95)),0.95))))</f>
        <v>0.95</v>
      </c>
      <c r="BN110" cm="1">
        <f t="array" ref="BN110">IF(D110="","",IF(BA110&lt;&gt;"",IFERROR(_xlfn.XLOOKUP(BA110,Щиты[Щит],Щиты[Iр, А]),""),IFERROR(_xlfn.IFS(BH110=1,BF110/((Uн_лин/SQRT(3))*BM110),BH110=3,BF110/(SQRT(3)*Uн_лин*BM110)),"")))</f>
        <v>0.47403495786095584</v>
      </c>
      <c r="BO110">
        <f>IF(D110="","",IF(N(X110)=0,IFERROR(VLOOKUP(BN110,Автомат_номиналы,2,TRUE),""),X110))</f>
        <v>10</v>
      </c>
      <c r="BP110">
        <f t="shared" si="97"/>
        <v>1</v>
      </c>
      <c r="BQ110">
        <f>IF(ISNUMBER(Y110),Y110,К_прокл)</f>
        <v>1</v>
      </c>
      <c r="BR110">
        <f t="shared" si="98"/>
        <v>2</v>
      </c>
      <c r="BS110" cm="1">
        <f t="array" ref="BS110">IF(D110="","",IF(N(BK110)&lt;&gt;0,BK110,IFERROR(_xlfn.LET(_xlpm.need,BO110/(BP110*BQ110),_xlpm.t,CHOOSE(BR110,Iдоп_1ж,Iдоп_2ж,Iдоп_3ж),_xlpm.k,_xlfn.XMATCH(_xlpm.need,_xlpm.t,1),IF(ISNA(_xlpm.k),"Не исп",INDEX(Iдоп_S,_xlpm.k))),"Не исп")))</f>
        <v>1.5</v>
      </c>
      <c r="BT110">
        <f>IFERROR(VLOOKUP(BS110,Кабель_сопротивление,3,FALSE),"")</f>
        <v>2.2499999999999999E-2</v>
      </c>
      <c r="BU110">
        <f>IFERROR(VLOOKUP(BS110,Кабель_сопротивление,2,FALSE),"")</f>
        <v>0.11</v>
      </c>
      <c r="BV110">
        <f t="shared" si="99"/>
        <v>9</v>
      </c>
      <c r="BW110">
        <f>IF(D110="","",IFERROR(IF(VLOOKUP(AT110,Потребители_обозначение,4,FALSE)=1,VLOOKUP(AT110,Потребители_обозначение,3,FALSE)*(H110*2-1)+BV110+VLOOKUP(AV110,Этаж_обозначение,3,FALSE)+VLOOKUP(AV110,Этаж_обозначение,4,FALSE),VLOOKUP(AT110,Потребители_обозначение,3,FALSE)*(H110*2-1)+BV110),BV110))</f>
        <v>11</v>
      </c>
      <c r="BX110">
        <f t="shared" si="100"/>
        <v>9</v>
      </c>
      <c r="BY110">
        <f t="shared" si="101"/>
        <v>0</v>
      </c>
      <c r="BZ110">
        <f t="shared" si="102"/>
        <v>2</v>
      </c>
      <c r="CA110">
        <f t="shared" si="103"/>
        <v>0.31</v>
      </c>
      <c r="CB110">
        <f t="shared" si="104"/>
        <v>0.14896558031479692</v>
      </c>
      <c r="CC110">
        <f>IFERROR(ROUNDUP(CB110/((Uн_лин/SQRT(3))*1000)*100,2),"")</f>
        <v>6.9999999999999993E-2</v>
      </c>
      <c r="CD110">
        <f>IF(ISNUMBER(CC110),CC110+IFERROR(_xlfn.XLOOKUP(A110,Щиты[Щит],Щиты[ΔU до шин, %]),0),"")</f>
        <v>0.31</v>
      </c>
      <c r="CE110">
        <f>IF(D110="","",IF(IFERROR(VLOOKUP(AT110,УГО_спр,2,FALSE),"")="Светильник",3,4)+IF(Методика="нормы 2026",MIN(0.5,MAX(0,N(BW110)-100)*0.005),0))</f>
        <v>4</v>
      </c>
      <c r="CF110" t="str">
        <f>IFERROR(VLOOKUP(BI110,Кабель_обозначение,2,FALSE),"")</f>
        <v>ВВГнг(А)-LS</v>
      </c>
      <c r="CG110" t="str">
        <f>IFERROR(IF(VLOOKUP(BI110,Кабель_обозначение,3,FALSE)=1,CF110&amp;" ("&amp;BJ110&amp;"х"&amp;BS110&amp;")",CF110),"")</f>
        <v>ВВГнг(А)-LS (3х1,5)</v>
      </c>
      <c r="CH110" t="str">
        <f t="shared" si="105"/>
        <v>ВВГнг(А)-LS (3х1,5)
L=11-0,07%</v>
      </c>
      <c r="CI110">
        <f>IFERROR(2*ρкз_Cu*BW110/BS110,"")</f>
        <v>0.38573333333333332</v>
      </c>
      <c r="CJ110">
        <f t="shared" si="106"/>
        <v>0.12833333333333333</v>
      </c>
      <c r="CK110" t="str">
        <f>IFERROR(IF(OR(D110="",NOT(ISNUMBER(BS110)),N(BW110)=0),"",_xlfn.XLOOKUP(A110,Щиты[Щит],Щиты[Zпетли на шинах, Ом])+CI110),"")</f>
        <v/>
      </c>
      <c r="CL110" t="str">
        <f>IF(ISNUMBER(CK110),c_min*(Uн_лин*1000/SQRT(3))/CK110,"")</f>
        <v/>
      </c>
      <c r="CM110" t="str">
        <f>IFERROR(IF(OR(D110="",NOT(ISNUMBER(BS110))),"",1.05*(Uн_лин*1000/SQRT(3))/(_xlfn.XLOOKUP(A110,Щиты[Щит],Щиты[Zmax на шинах, Ом])+CJ110)/1000),"")</f>
        <v/>
      </c>
      <c r="CN110" t="str">
        <f>IF(D110="","",IF(BA110&lt;&gt;"","Щит",IF(K110&lt;&gt;"",K110,IF(ISNUMBER(L110),"Сил",IF(IFERROR(_xlfn.XLOOKUP(AT110,Коды_код,Коды_группа)&amp;"","")="","Быт",_xlfn.XLOOKUP(AT110,Коды_код,Коды_группа)&amp;"")))))</f>
        <v>Сил</v>
      </c>
      <c r="CO110">
        <f>IF(CN110="Щит","щит",IF(CN110="","",IF(CN110="Быт",IFERROR(_xlfn.XLOOKUP(A110,Щиты[Щит],Щиты[Кс быт]),1),IF(CN110="Сил",IF(ISNUMBER(L110),L110,IF(Методика="нормы 2026",IFERROR(_xlfn.XLOOKUP(A110,Щиты[Щит],Щиты[Кс силовых (табл. 7.5)]),1),1)),IF(OR(CN110="Пост",CN110="Отоп"),1,IF(CN110="ВНГ",0.7,0))))))</f>
        <v>0.5</v>
      </c>
      <c r="CP110">
        <f t="shared" si="107"/>
        <v>1</v>
      </c>
      <c r="CQ110">
        <f t="shared" si="108"/>
        <v>0.104</v>
      </c>
      <c r="CR110">
        <f t="shared" si="109"/>
        <v>0</v>
      </c>
      <c r="CS110">
        <f t="shared" si="110"/>
        <v>5.1999999999999998E-2</v>
      </c>
      <c r="CT110">
        <f t="shared" si="111"/>
        <v>0</v>
      </c>
      <c r="CU110">
        <f t="shared" si="112"/>
        <v>0</v>
      </c>
      <c r="CV110">
        <f t="shared" si="113"/>
        <v>0</v>
      </c>
      <c r="CW110">
        <f t="shared" si="114"/>
        <v>0.104</v>
      </c>
      <c r="CX110">
        <f t="shared" si="115"/>
        <v>9.8799999999999985E-2</v>
      </c>
      <c r="CY110">
        <f t="shared" si="116"/>
        <v>1</v>
      </c>
      <c r="CZ110" t="str">
        <f t="shared" si="117"/>
        <v>L1</v>
      </c>
      <c r="DA110" cm="1">
        <f t="array" ref="DA110">IFERROR(IF(BL110=2,_xlfn.IFS(BH110=3,VLOOKUP(BF110,Справочная_двигатели,3,FALSE),BH110=1,VLOOKUP(BF110,Справочная_двигатели,5,TRUE)),0),0)</f>
        <v>0</v>
      </c>
      <c r="DB110">
        <f>IFERROR(IF(BL110=3,VLOOKUP(BF110,Справочная_ЛЭД,2,TRUE),0),0)</f>
        <v>0</v>
      </c>
      <c r="DC110">
        <f t="shared" si="118"/>
        <v>0</v>
      </c>
      <c r="DD110" t="str">
        <f t="shared" si="119"/>
        <v>L2</v>
      </c>
      <c r="DE110" t="str" cm="1">
        <f t="array" ref="DE110">IF(D110="","",IFERROR(INDEX({"I особая","I","II","III"},MATCH(TRIM(AA110&amp;""),{"I особая","I","II","III"},0)),"III"))</f>
        <v>II</v>
      </c>
      <c r="DF110" t="str">
        <f>IF(D110="","",IF(TRIM(AB110&amp;"")&lt;&gt;"",IF(LOWER(TRIM(AB110&amp;""))="да","да","нет"),IF(IFERROR(_xlfn.XLOOKUP(AT110,Коды_код,Коды_пожарная),"")="да","да","нет")))</f>
        <v>нет</v>
      </c>
      <c r="DG110" t="str">
        <f t="shared" si="120"/>
        <v/>
      </c>
      <c r="DH110" t="str">
        <f t="shared" si="121"/>
        <v>основная</v>
      </c>
      <c r="DI110">
        <f t="shared" si="122"/>
        <v>1</v>
      </c>
      <c r="DJ110" t="str" cm="1">
        <f t="array" ref="DJ110">IF(D110="","",_xlfn.LET(_xlpm.t,IFERROR(_xlfn.XLOOKUP(1,(Шины[Шина]=DH110)*(((Шины[Щит]=A110)+(Шины[Щит]=""))&gt;0),Шины[Тип]),"")&amp;"",IF(_xlpm.t&lt;&gt;"",_xlpm.t,IF(ISNUMBER(SEARCH("ИБП",DH110)),"ИБП",IF(ISNUMBER(SEARCH("ДГУ",DH110)),"ДГУ","Ввод "&amp;DI110)))))</f>
        <v>Ввод 1</v>
      </c>
      <c r="DK110" t="str">
        <f t="shared" si="123"/>
        <v>Ввод 1</v>
      </c>
      <c r="DL110" t="str">
        <f>IF(D110="","",IF(OR(DJ110="ИБП",DJ110="ДГУ"),"I особая",IF(DJ110="Одиночная","III",_xlfn.XLOOKUP(A110,Щиты[Щит],Щиты[Категория шины «Ввод»],"III"))))</f>
        <v>II</v>
      </c>
      <c r="DM110">
        <f>IF(D110="",0,IFERROR(MATCH(DE110,{"III","II","I","I особая"},0),1))</f>
        <v>2</v>
      </c>
      <c r="DN110">
        <f t="shared" si="124"/>
        <v>2</v>
      </c>
      <c r="DO110" t="str">
        <f>IF(D110="","",IF(DM110&gt;IFERROR(MATCH(DL110,{"III","II","I","I особая"},0),1),"НЕ ОБЕСПЕЧЕНА","ОК"))</f>
        <v>ОК</v>
      </c>
      <c r="DP110" t="str">
        <f>IF(A110="","",_xlfn.XLOOKUP(A110,Щиты[Щит],Щиты[Путь],""))</f>
        <v>|ГРЩ-ЖД|ЩОВ-01|</v>
      </c>
      <c r="DQ110" t="str">
        <f>IF(D110="","",IF(Z110&lt;&gt;"",Z110,IF(IFERROR(_xlfn.XLOOKUP(AT110,Коды_код,Коды_вид)&amp;"","")="","Прочее",_xlfn.XLOOKUP(AT110,Коды_код,Коды_вид)&amp;"")))</f>
        <v>Кондиционирование и увлажнение</v>
      </c>
      <c r="DR110">
        <f>IF(BD110="","",INT((BD110-1)/Столбцов_на_лист)+1)</f>
        <v>2</v>
      </c>
      <c r="DS110" t="str">
        <f t="shared" si="125"/>
        <v>ВВГнг(А)-LS (3х1,5) L=11-0,07%</v>
      </c>
      <c r="DT110">
        <f t="shared" si="126"/>
        <v>0.104</v>
      </c>
      <c r="DU110">
        <f t="shared" si="127"/>
        <v>0.48</v>
      </c>
      <c r="DV110">
        <f t="shared" si="128"/>
        <v>1</v>
      </c>
      <c r="DW110">
        <f>IF(AT110="",0,_xlfn.LET(_xlpm.v,IFERROR(VLOOKUP(D110,УГО_спр,3,FALSE),IFERROR(VLOOKUP(AT110,УГО_спр,3,FALSE),IFERROR(VLOOKUP(LEFT(AT110,2),УГО_спр,3,FALSE),""))),IF(_xlpm.v="да",30,IF(ISNUMBER(_xlpm.v),_xlpm.v,0))))</f>
        <v>0</v>
      </c>
      <c r="DX110">
        <f t="shared" si="129"/>
        <v>0</v>
      </c>
      <c r="DY110">
        <f>IF(BD110="","",IF(AD110&lt;&gt;"",COUNTIFS(A$3:A110,A110,AD$3:AD110,"?*"),IF(OR(OR(AS110=1,A110&lt;&gt;A109),AL110="вручную"),"",IF(AS110=1,"",DZ109))))</f>
        <v>8</v>
      </c>
      <c r="DZ110">
        <f t="shared" si="130"/>
        <v>8</v>
      </c>
      <c r="EA110">
        <f>IF(D110="",0,MAX(IFERROR(--X110,0),IFERROR(--VLOOKUP(D110,УГО_спр,4,FALSE),IFERROR(--VLOOKUP(AT110,УГО_спр,4,FALSE),IFERROR(--VLOOKUP(LEFT(AT110,2),УГО_спр,4,FALSE),0)))))</f>
        <v>10</v>
      </c>
      <c r="EB110">
        <f>IF(D110="","",IFERROR(LOOKUP(INDEX(CHOOSE(BR110,Iдоп_1ж,Iдоп_2ж,Iдоп_3ж),MATCH(BS110,Iдоп_S,0))*BP110*BQ110,{6,10,16,20,25,32,40,50,63,80,100,125,160,200,250,315,400,500,630}),""))</f>
        <v>16</v>
      </c>
      <c r="EC110">
        <f>IF(AD110="","",SUMIFS(Линии[_Ток схемы],Линии[_гр.],DY110,Линии[Щит],A110,Линии[_в кабель выше],0))</f>
        <v>0.48</v>
      </c>
      <c r="ED110">
        <f>IF(AD110="","",IFERROR(VLOOKUP(EC110,Автомат_номиналы,2,TRUE),""))</f>
        <v>6</v>
      </c>
      <c r="EE110">
        <f>IF(AD110="","",MAX(N(ED110),_xlfn.MAXIFS(Линии[_мин. по типу],Линии[_гр.],DY110,Линии[Щит],A110)))</f>
        <v>10</v>
      </c>
      <c r="EF110">
        <f>IF(AD110="","",_xlfn.MINIFS(Линии[_макс. автомат по кабелю],Линии[_гр.],DY110,Линии[Щит],A110))</f>
        <v>16</v>
      </c>
      <c r="EG110">
        <f>IF(AD110="","",MAX(1,_xlfn.MAXIFS(Линии[_фаз],Линии[_гр.],DY110,Линии[Щит],A110)))</f>
        <v>1</v>
      </c>
      <c r="EH110">
        <f>IF(AD110="","",IF(AND(AD110&lt;&gt;"авто",AD110&lt;&gt;"+"),IF(ISNUMBER(SEARCH("мА",AD110)),IFERROR(--TRIM(RIGHT(SUBSTITUTE(LEFT(AD110,SEARCH("мА",AD110)-1)," ",REPT(" ",9)),6)),30),0),IF(AE110="нет",0,IF(ISNUMBER(AE110),AE110,IF(AE110="да",30,_xlfn.MINIFS(Линии[_дифзащита по коду, мА],Линии[_гр.],DY110,Линии[Щит],A110,Линии[_дифзащита по коду, мА],"&gt;0"))))))</f>
        <v>0</v>
      </c>
      <c r="EI110">
        <f t="shared" si="131"/>
        <v>0</v>
      </c>
      <c r="EJ110" t="str">
        <f t="shared" si="132"/>
        <v>QF8</v>
      </c>
      <c r="EK110" t="str">
        <f t="shared" si="133"/>
        <v>QF8</v>
      </c>
      <c r="EL110" t="str">
        <f t="shared" si="134"/>
        <v/>
      </c>
      <c r="EM110">
        <f t="shared" si="135"/>
        <v>0</v>
      </c>
      <c r="EN110">
        <f>IF(AD110="","",IF(EM110=1,MAX(EE110,Мин_автомат_БП),EE110))</f>
        <v>10</v>
      </c>
      <c r="EO110" t="str">
        <f t="shared" si="136"/>
        <v>1P</v>
      </c>
      <c r="EP110" t="str">
        <f t="shared" si="137"/>
        <v>1P С10А</v>
      </c>
      <c r="EQ110">
        <f t="shared" si="138"/>
        <v>10</v>
      </c>
      <c r="ER110" t="str">
        <f>IF(OR(AI110="",AI110="-"),"",IFERROR(VLOOKUP(AI110,Модули_спр,2,FALSE),"R"))</f>
        <v/>
      </c>
      <c r="ES110" t="str">
        <f>IF(ER110="","",ER110&amp;"."&amp;COUNTIFS(A$3:A110,A110,ER$3:ER110,ER110))</f>
        <v/>
      </c>
      <c r="ET110" t="str">
        <f t="shared" si="139"/>
        <v/>
      </c>
      <c r="EU110" t="str">
        <f t="shared" si="140"/>
        <v/>
      </c>
      <c r="EV110" t="str">
        <f t="shared" si="141"/>
        <v/>
      </c>
      <c r="EW110" t="str">
        <f t="shared" si="142"/>
        <v/>
      </c>
      <c r="EX110">
        <f t="shared" si="143"/>
        <v>1</v>
      </c>
      <c r="EY110" t="str">
        <f>IF(AK110="нет","",IF(AK110&lt;&gt;"",AK110,IF(EX110=1,"XT"&amp;COUNTIFS(A$3:A110,A110,EX$3:EX110,1),"")))</f>
        <v/>
      </c>
      <c r="EZ110" t="str">
        <f t="shared" si="144"/>
        <v>QF8</v>
      </c>
      <c r="FA110" t="str">
        <f t="shared" si="145"/>
        <v/>
      </c>
      <c r="FB110" t="str">
        <f t="shared" si="146"/>
        <v>ok</v>
      </c>
      <c r="FC110" t="str">
        <f>IF(OR(EV110="",ET110=""),"",IF(EV110&gt;IFERROR(VLOOKUP(EU110,Модули_спр,3,FALSE),99),"ЛИШНИЙ КАНАЛ",IF(AND(AJ110&lt;&gt;"=",COUNTIFS(Линии[_модуль гр.],ET110,Линии[Канал (итог)],EV110,Линии[Канал],"&lt;&gt;=",Линии[Щит],A110)&gt;1),"ДУБЛЬ КАНАЛА","")))</f>
        <v/>
      </c>
      <c r="FD110">
        <f t="shared" si="147"/>
        <v>10</v>
      </c>
      <c r="FE110" t="str">
        <f t="shared" si="148"/>
        <v>1P С10А</v>
      </c>
      <c r="FF110">
        <f t="shared" si="149"/>
        <v>0</v>
      </c>
      <c r="FG110">
        <f t="shared" si="150"/>
        <v>0</v>
      </c>
      <c r="FH110" t="str">
        <f t="shared" si="151"/>
        <v/>
      </c>
      <c r="FI110">
        <f t="shared" si="152"/>
        <v>10</v>
      </c>
      <c r="FJ110" t="str">
        <f t="shared" si="153"/>
        <v/>
      </c>
      <c r="FK110" t="str">
        <f>IF(AND(D110="",EZ110=""),"",_xlfn.TEXTJOIN("; ",TRUE,IF(AND(D110&lt;&gt;"",DD110=""),"нет фазы",""),IF(AND(D110&lt;&gt;"",N(DT110)=0,CN110&lt;&gt;"Нет"),"нет мощности",""),IF(AND(EY110&lt;&gt;"",COUNTIFS(Линии[Щит],A110,Линии[Клемма (итог)],EY110)&gt;1),"дубль клеммы "&amp;EY110,""),IF(AND(FB110&lt;&gt;"",FB110&lt;&gt;"ok"),FB110,""),IF(FC110&lt;&gt;"",FC110,""),IF(AND(ISNUMBER(SEARCH("(5х",DS110)),N(DV110)=1),"5 жил на 1 фазе",""),IF(AND(AT110="R",AD110&lt;&gt;"",OR(N(EH110)=0,N(EH110)&gt;30)),"розетка без дифзащиты до 30 мА",""),IFERROR(IF(AND(ISNUMBER(CD110),CD110&gt;CE110),"потери "&amp;FIXED(CD110,1)&amp;" % &gt; "&amp;CE110&amp;" %",""),""),IFERROR(IF(LEFT(FJ110,4)="мало","Iкз мало — отключение &gt; 0,4 с",""),""),IF(AND(D110&lt;&gt;"",BD110=""),"не на схеме","")))</f>
        <v/>
      </c>
      <c r="FL110">
        <f>IF(AD110="","",_xlfn.LET(_xlpm.t,IFERROR(_xlfn.XLOOKUP(EP110,Каталог!$U$4:$U$500,Каталог!$G$4:$G$500),""),_xlpm.k,SEARCH("кА",_xlpm.t),IFERROR(--TRIM(RIGHT(SUBSTITUTE(MID(_xlpm.t,MAX(1,_xlpm.k-4),_xlpm.k-MAX(1,_xlpm.k-4))," ",REPT(" ",9)),5)),"")))</f>
        <v>6</v>
      </c>
      <c r="FM110" t="str">
        <f>IF(OR(FL110="",AD110=""),"",IF(_xlfn.XLOOKUP(A110,Щиты[Щит],Щиты[Iкз max на шинах, кА],"")="","",IF(FL110&lt;_xlfn.XLOOKUP(A110,Щиты[Щит],Щиты[Iкз max на шинах, кА]),"Icu "&amp;FL110&amp;" кА &lt; Iкз max","ok")))</f>
        <v/>
      </c>
      <c r="FN110" t="str">
        <f t="shared" si="154"/>
        <v>QF8</v>
      </c>
      <c r="FO110" t="str">
        <f t="shared" si="155"/>
        <v>QF8|кабель ВВГнг(А)-LS (3х1,5) → Внутренний блок кондиционирования цокольный этаж Пом. №001Т</v>
      </c>
      <c r="FP110" t="str" cm="1">
        <f t="array" ref="FP110">IF(FO110="","",_xlfn.LET(_xlpm.nd,_xlfn.TEXTSPLIT(FO110,"|"),IF(COLUMNS(_xlpm.nd)&gt;1,A110&amp;"¦"&amp;INDEX(_xlpm.nd,1)&amp;"¦"&amp;INDEX(_xlpm.nd,2),"")))</f>
        <v>ЩОВ-01¦QF8¦кабель ВВГнг(А)-LS (3х1,5) → Внутренний блок кондиционирования цокольный этаж Пом. №001Т</v>
      </c>
      <c r="FQ110" t="str">
        <f t="shared" si="156"/>
        <v>K.0.001T.1¦Внутренний блок кондиционирования цокольный этаж Пом. №001Т</v>
      </c>
      <c r="FR110" t="str" cm="1">
        <f t="array" ref="FR110">IF(FO110="","",_xlfn.LET(_xlpm.nd,_xlfn.TEXTSPLIT(FO110,"|"),IF(COLUMNS(_xlpm.nd)&gt;2,A110&amp;"¦"&amp;INDEX(_xlpm.nd,2)&amp;"¦"&amp;INDEX(_xlpm.nd,3),"")))</f>
        <v/>
      </c>
      <c r="FS110" t="str">
        <f t="shared" si="157"/>
        <v/>
      </c>
      <c r="FT110" t="str" cm="1">
        <f t="array" ref="FT110">IF(FO110="","",_xlfn.LET(_xlpm.nd,_xlfn.TEXTSPLIT(FO110,"|"),IF(COLUMNS(_xlpm.nd)&gt;3,A110&amp;"¦"&amp;INDEX(_xlpm.nd,3)&amp;"¦"&amp;INDEX(_xlpm.nd,4),"")))</f>
        <v/>
      </c>
      <c r="FU110" t="str">
        <f t="shared" si="158"/>
        <v/>
      </c>
      <c r="FV110" t="str" cm="1">
        <f t="array" ref="FV110">IF(FO110="","",_xlfn.LET(_xlpm.nd,_xlfn.TEXTSPLIT(FO110,"|"),IF(COLUMNS(_xlpm.nd)&gt;4,A110&amp;"¦"&amp;INDEX(_xlpm.nd,4)&amp;"¦"&amp;INDEX(_xlpm.nd,5),"")))</f>
        <v/>
      </c>
      <c r="FW110" t="str">
        <f t="shared" si="159"/>
        <v/>
      </c>
      <c r="FX110" t="str" cm="1">
        <f t="array" ref="FX110">IF(FO110="","",_xlfn.LET(_xlpm.nd,_xlfn.TEXTSPLIT(FO110,"|"),IF(COLUMNS(_xlpm.nd)&gt;5,A110&amp;"¦"&amp;INDEX(_xlpm.nd,5)&amp;"¦"&amp;INDEX(_xlpm.nd,6),"")))</f>
        <v/>
      </c>
      <c r="FY110" t="str">
        <f t="shared" si="160"/>
        <v/>
      </c>
      <c r="FZ110" t="str" cm="1">
        <f t="array" ref="FZ110">IF(FO110="","",_xlfn.LET(_xlpm.nd,_xlfn.TEXTSPLIT(FO110,"|"),IF(COLUMNS(_xlpm.nd)&gt;6,A110&amp;"¦"&amp;INDEX(_xlpm.nd,6)&amp;"¦"&amp;INDEX(_xlpm.nd,7),"")))</f>
        <v/>
      </c>
      <c r="GA110" t="str">
        <f t="shared" si="161"/>
        <v/>
      </c>
      <c r="GB110" t="str">
        <f t="shared" si="162"/>
        <v/>
      </c>
      <c r="GC110" t="str">
        <f t="shared" si="163"/>
        <v>QF8</v>
      </c>
      <c r="GD110">
        <f t="shared" si="164"/>
        <v>1</v>
      </c>
      <c r="GE110">
        <f t="shared" si="165"/>
        <v>0</v>
      </c>
      <c r="GF110">
        <f t="shared" si="166"/>
        <v>0</v>
      </c>
      <c r="GG110" t="str">
        <f t="shared" si="167"/>
        <v/>
      </c>
      <c r="GH110" t="str">
        <f t="shared" si="168"/>
        <v/>
      </c>
      <c r="GI110" t="str">
        <f t="shared" si="169"/>
        <v/>
      </c>
      <c r="GJ110" t="str">
        <f t="shared" si="170"/>
        <v/>
      </c>
      <c r="GK110">
        <f>IF(D110="","",IFERROR(VLOOKUP(D110,УГО_спр,2,FALSE),IFERROR(VLOOKUP(AT110,УГО_спр,2,FALSE),IFERROR(VLOOKUP(LEFT(AT110,2),УГО_спр,2,FALSE),""))))</f>
        <v>0</v>
      </c>
      <c r="GL110" t="str">
        <f>IF(D110="","",IF(OR(GK110="",GK110=0),"BOX",IFERROR(IF(VLOOKUP(GK110,УГО_блоки,3,FALSE)&amp;""&lt;&gt;"",VLOOKUP(GK110,УГО_блоки,3,FALSE),VLOOKUP(GK110,УГО_блоки,2,FALSE)),GK110)))</f>
        <v>BOX</v>
      </c>
      <c r="GM110">
        <f t="shared" si="171"/>
        <v>1</v>
      </c>
      <c r="GN110" t="str">
        <f>IF(EP110="","",IF(COUNTIF(EP$3:EP110,EP110)=1,MAX(GN$2:GN109)+1,""))</f>
        <v/>
      </c>
      <c r="GO110" t="str">
        <f>IF(AF110="","",IF(COUNTIF(AF$3:AF110,AF110)+COUNTIF(AG$2:AG109,AF110)+COUNTIF(AH$2:AH109,AF110)=1,MAX(GO$2:GQ109)+1,""))</f>
        <v/>
      </c>
      <c r="GP110" t="str">
        <f>IF(AG110="","",IF(COUNTIF(AF$3:AF110,AG110)+COUNTIF(AG$3:AG110,AG110)+COUNTIF(AH$2:AH109,AG110)=1,MAX(GO$2:GQ109,GO110)+1,""))</f>
        <v/>
      </c>
      <c r="GQ110" t="str">
        <f>IF(AH110="","",IF(COUNTIF(AF$3:AF110,AH110)+COUNTIF(AG$3:AG110,AH110)+COUNTIF(AH$3:AH110,AH110)=1,MAX(GO$2:GQ109,GO110,GP110)+1,""))</f>
        <v/>
      </c>
      <c r="GR110" t="str">
        <f t="shared" si="172"/>
        <v>3х1,5</v>
      </c>
      <c r="GS110" t="str">
        <f>IF(GR110="","",IF(COUNTIF(GR$3:GR110,GR110)=1,MAX(GS$2:GS109)+1,""))</f>
        <v/>
      </c>
      <c r="GT110" t="str">
        <f>IF(ES110="","",COUNTIF(ES$3:ES110,"?*"))</f>
        <v/>
      </c>
      <c r="GU110" t="str">
        <f>IF(OR(ES110="",EU110=""),"",IF(COUNTIFS(ES$3:ES110,"?*",EU$3:EU110,EU110)=1,MAX(GU$2:GU109)+1,""))</f>
        <v/>
      </c>
      <c r="GV110">
        <f t="shared" si="173"/>
        <v>0</v>
      </c>
      <c r="GW110">
        <f>IF(D110="","",COUNTIF(D$3:D110,"?*"))</f>
        <v>108</v>
      </c>
      <c r="GX110">
        <f>IF(EX110&lt;&gt;1,0,_xlfn.LET(_xlpm.k,MAX(IFERROR(--VLOOKUP(D110,УГО_спр,5,FALSE),0),IFERROR(--VLOOKUP(AT110,УГО_спр,5,FALSE),0),IFERROR(--VLOOKUP(LEFT(AT110,2),УГО_спр,5,FALSE),0)),IF(_xlpm.k&gt;0,_xlpm.k,IF(IFERROR(--LEFT(SUBSTITUTE(GR110,"x","х"),FIND("х",SUBSTITUTE(GR110,"x","х"))-1),3)&gt;3,Каталог!$S$9,1))))</f>
        <v>1</v>
      </c>
      <c r="GY110">
        <f t="shared" si="174"/>
        <v>0</v>
      </c>
    </row>
    <row r="111" spans="1:207" x14ac:dyDescent="0.3">
      <c r="A111" t="s">
        <v>750</v>
      </c>
      <c r="B111">
        <v>23</v>
      </c>
      <c r="C111" t="str">
        <f>IF(BD111="","",IF(BE111="вводной узел","узел ","")&amp;"л."&amp;(INT((BD111-1)/Столбцов_на_лист)+1)&amp;" / "&amp;(MOD(BD111-1,Столбцов_на_лист)+1))</f>
        <v>л.2 / 6</v>
      </c>
      <c r="D111" t="s">
        <v>1401</v>
      </c>
      <c r="E111" s="133" t="s">
        <v>1400</v>
      </c>
      <c r="G111">
        <v>0.104</v>
      </c>
      <c r="H111">
        <v>1</v>
      </c>
      <c r="I111">
        <v>1</v>
      </c>
      <c r="J111">
        <v>230</v>
      </c>
      <c r="K111" t="s">
        <v>602</v>
      </c>
      <c r="L111">
        <v>0.5</v>
      </c>
      <c r="O111">
        <v>3</v>
      </c>
      <c r="P111">
        <v>10</v>
      </c>
      <c r="Q111">
        <v>3</v>
      </c>
      <c r="R111">
        <v>9</v>
      </c>
      <c r="T111">
        <v>1</v>
      </c>
      <c r="U111" t="s">
        <v>11</v>
      </c>
      <c r="V111">
        <v>3</v>
      </c>
      <c r="W111">
        <v>1.5</v>
      </c>
      <c r="X111">
        <v>10</v>
      </c>
      <c r="Z111" t="s">
        <v>580</v>
      </c>
      <c r="AA111" t="s">
        <v>818</v>
      </c>
      <c r="AD111" t="s">
        <v>517</v>
      </c>
      <c r="AK111" t="s">
        <v>488</v>
      </c>
      <c r="AR111" t="str">
        <f t="shared" si="88"/>
        <v/>
      </c>
      <c r="AS111" cm="1">
        <f t="array" ref="AS111">ROW()-ROW(Линии[#Headers])</f>
        <v>109</v>
      </c>
      <c r="AT111" t="str">
        <f t="shared" si="89"/>
        <v>K</v>
      </c>
      <c r="AU111" t="str">
        <f t="shared" si="90"/>
        <v>0.001T.2</v>
      </c>
      <c r="AV111" t="str">
        <f t="shared" si="91"/>
        <v>0</v>
      </c>
      <c r="AW111" t="str">
        <f t="shared" si="92"/>
        <v>001T.2</v>
      </c>
      <c r="AX111" t="str">
        <f t="shared" si="93"/>
        <v>001T</v>
      </c>
      <c r="AY111" t="str">
        <f>IF(D111="","",IF(ISERROR(SEARCH(".",D111)),IFERROR(VLOOKUP(D111,Потребители_обозначение,2,FALSE)&amp;"",""),IFERROR(IF(VLOOKUP(AT111,Потребители_обозначение,4,FALSE)=1,VLOOKUP(AT111,Потребители_обозначение,2,FALSE)&amp;" "&amp;VLOOKUP(AV111,Этаж_обозначение,2,FALSE)&amp;" Пом. №"&amp;AX111,VLOOKUP(AT111,Потребители_обозначение,2,FALSE)&amp;" Шлейф №"&amp;AV111),IFERROR(VLOOKUP(D111,Потребители_обозначение,2,FALSE),""))))</f>
        <v>Внутренний блок кондиционирования Цокольный этаж Пом. №001T</v>
      </c>
      <c r="AZ111" t="str">
        <f t="shared" si="94"/>
        <v>Внутренний блок кондиционирования цокольный этаж Пом. №001Т</v>
      </c>
      <c r="BA111" t="str">
        <f>IF(F111&lt;&gt;"",F111,IF(AND(D111&lt;&gt;"",D111&lt;&gt;A111,ISNUMBER(_xlfn.XMATCH(D111,Щиты[Щит]))),D111,""))</f>
        <v/>
      </c>
      <c r="BB111">
        <f>IFERROR(_xlfn.XMATCH(A111,Щиты[Щит]),0)</f>
        <v>6</v>
      </c>
      <c r="BC111">
        <f>IFERROR(N(_xlfn.XLOOKUP(A111,Щиты[Щит],Щиты[Мест под вводной узел])),15)</f>
        <v>12</v>
      </c>
      <c r="BD111">
        <f t="shared" si="95"/>
        <v>23</v>
      </c>
      <c r="BE111" t="str">
        <f t="shared" si="96"/>
        <v>линии</v>
      </c>
      <c r="BF111">
        <f>IF(D111="","",IF(BA111&lt;&gt;"",IFERROR(_xlfn.XLOOKUP(BA111,Щиты[Щит],Щиты[Руст, кВт]),0),N(G111)))</f>
        <v>0.104</v>
      </c>
      <c r="BG111">
        <f>IF(J111&lt;&gt;"",J111,IF(D111="","",IFERROR(IF(VLOOKUP(AT111,Потребители_обозначение,8,FALSE)=0,"",VLOOKUP(AT111,Потребители_обозначение,8,FALSE)),"")))</f>
        <v>230</v>
      </c>
      <c r="BH111">
        <f>IF(I111&lt;&gt;"",I111,IF(D111="","",IFERROR(IF(VLOOKUP(AT111,Потребители_обозначение,9,FALSE)=0,"",VLOOKUP(AT111,Потребители_обозначение,9,FALSE)),"")))</f>
        <v>1</v>
      </c>
      <c r="BI111" t="str">
        <f>IF(U111&lt;&gt;"",U111,IF(D111="","",IFERROR(IF(VLOOKUP(AT111,Потребители_обозначение,6,FALSE)=0,"",VLOOKUP(AT111,Потребители_обозначение,6,FALSE)),"")))</f>
        <v>мс</v>
      </c>
      <c r="BJ111">
        <f>IF(V111&lt;&gt;"",V111,IF(D111="","",IFERROR(IF(VLOOKUP(AT111,Потребители_обозначение,7,FALSE)=0,"",VLOOKUP(AT111,Потребители_обозначение,7,FALSE)),"")))</f>
        <v>3</v>
      </c>
      <c r="BK111">
        <f>IF(W111&lt;&gt;"",W111,IF(D111="","",IFERROR(IF(VLOOKUP(AT111,Потребители_обозначение,10,FALSE)=0,"",VLOOKUP(AT111,Потребители_обозначение,10,FALSE)),"")))</f>
        <v>1.5</v>
      </c>
      <c r="BL111">
        <f>IFERROR(VLOOKUP(AT111,Потребители_обозначение,5,FALSE),0)</f>
        <v>1</v>
      </c>
      <c r="BM111" cm="1">
        <f t="array" ref="BM111">IF(D111="","",IF(BA111&lt;&gt;"",IFERROR(_xlfn.XLOOKUP(BA111,Щиты[Щит],Щиты[cos φ]),0.95),IF(ISNUMBER(M111),M111,IFERROR(IF(BL111=2,_xlfn.IFS(BH111=3,VLOOKUP(BF111,Справочная_двигатели,8,FALSE),BH111=1,VLOOKUP(BF111,Справочная_двигатели,10,TRUE)),IF(AND(Методика="нормы 2026",CN111="Сил"),0.8,0.95)),0.95))))</f>
        <v>0.95</v>
      </c>
      <c r="BN111" cm="1">
        <f t="array" ref="BN111">IF(D111="","",IF(BA111&lt;&gt;"",IFERROR(_xlfn.XLOOKUP(BA111,Щиты[Щит],Щиты[Iр, А]),""),IFERROR(_xlfn.IFS(BH111=1,BF111/((Uн_лин/SQRT(3))*BM111),BH111=3,BF111/(SQRT(3)*Uн_лин*BM111)),"")))</f>
        <v>0.47403495786095584</v>
      </c>
      <c r="BO111">
        <f>IF(D111="","",IF(N(X111)=0,IFERROR(VLOOKUP(BN111,Автомат_номиналы,2,TRUE),""),X111))</f>
        <v>10</v>
      </c>
      <c r="BP111">
        <f t="shared" si="97"/>
        <v>1</v>
      </c>
      <c r="BQ111">
        <f>IF(ISNUMBER(Y111),Y111,К_прокл)</f>
        <v>1</v>
      </c>
      <c r="BR111">
        <f t="shared" si="98"/>
        <v>2</v>
      </c>
      <c r="BS111" cm="1">
        <f t="array" ref="BS111">IF(D111="","",IF(N(BK111)&lt;&gt;0,BK111,IFERROR(_xlfn.LET(_xlpm.need,BO111/(BP111*BQ111),_xlpm.t,CHOOSE(BR111,Iдоп_1ж,Iдоп_2ж,Iдоп_3ж),_xlpm.k,_xlfn.XMATCH(_xlpm.need,_xlpm.t,1),IF(ISNA(_xlpm.k),"Не исп",INDEX(Iдоп_S,_xlpm.k))),"Не исп")))</f>
        <v>1.5</v>
      </c>
      <c r="BT111">
        <f>IFERROR(VLOOKUP(BS111,Кабель_сопротивление,3,FALSE),"")</f>
        <v>2.2499999999999999E-2</v>
      </c>
      <c r="BU111">
        <f>IFERROR(VLOOKUP(BS111,Кабель_сопротивление,2,FALSE),"")</f>
        <v>0.11</v>
      </c>
      <c r="BV111">
        <f t="shared" si="99"/>
        <v>10</v>
      </c>
      <c r="BW111">
        <f>IF(D111="","",IFERROR(IF(VLOOKUP(AT111,Потребители_обозначение,4,FALSE)=1,VLOOKUP(AT111,Потребители_обозначение,3,FALSE)*(H111*2-1)+BV111+VLOOKUP(AV111,Этаж_обозначение,3,FALSE)+VLOOKUP(AV111,Этаж_обозначение,4,FALSE),VLOOKUP(AT111,Потребители_обозначение,3,FALSE)*(H111*2-1)+BV111),BV111))</f>
        <v>12</v>
      </c>
      <c r="BX111">
        <f t="shared" si="100"/>
        <v>9</v>
      </c>
      <c r="BY111">
        <f t="shared" si="101"/>
        <v>0</v>
      </c>
      <c r="BZ111">
        <f t="shared" si="102"/>
        <v>2</v>
      </c>
      <c r="CA111">
        <f t="shared" si="103"/>
        <v>0.31</v>
      </c>
      <c r="CB111">
        <f t="shared" si="104"/>
        <v>0.16250790579796032</v>
      </c>
      <c r="CC111">
        <f>IFERROR(ROUNDUP(CB111/((Uн_лин/SQRT(3))*1000)*100,2),"")</f>
        <v>0.08</v>
      </c>
      <c r="CD111">
        <f>IF(ISNUMBER(CC111),CC111+IFERROR(_xlfn.XLOOKUP(A111,Щиты[Щит],Щиты[ΔU до шин, %]),0),"")</f>
        <v>0.32</v>
      </c>
      <c r="CE111">
        <f>IF(D111="","",IF(IFERROR(VLOOKUP(AT111,УГО_спр,2,FALSE),"")="Светильник",3,4)+IF(Методика="нормы 2026",MIN(0.5,MAX(0,N(BW111)-100)*0.005),0))</f>
        <v>4</v>
      </c>
      <c r="CF111" t="str">
        <f>IFERROR(VLOOKUP(BI111,Кабель_обозначение,2,FALSE),"")</f>
        <v>ВВГнг(А)-LS</v>
      </c>
      <c r="CG111" t="str">
        <f>IFERROR(IF(VLOOKUP(BI111,Кабель_обозначение,3,FALSE)=1,CF111&amp;" ("&amp;BJ111&amp;"х"&amp;BS111&amp;")",CF111),"")</f>
        <v>ВВГнг(А)-LS (3х1,5)</v>
      </c>
      <c r="CH111" t="str">
        <f t="shared" si="105"/>
        <v>ВВГнг(А)-LS (3х1,5)
L=12-0,08%</v>
      </c>
      <c r="CI111">
        <f>IFERROR(2*ρкз_Cu*BW111/BS111,"")</f>
        <v>0.42080000000000001</v>
      </c>
      <c r="CJ111">
        <f t="shared" si="106"/>
        <v>0.14000000000000001</v>
      </c>
      <c r="CK111" t="str">
        <f>IFERROR(IF(OR(D111="",NOT(ISNUMBER(BS111)),N(BW111)=0),"",_xlfn.XLOOKUP(A111,Щиты[Щит],Щиты[Zпетли на шинах, Ом])+CI111),"")</f>
        <v/>
      </c>
      <c r="CL111" t="str">
        <f>IF(ISNUMBER(CK111),c_min*(Uн_лин*1000/SQRT(3))/CK111,"")</f>
        <v/>
      </c>
      <c r="CM111" t="str">
        <f>IFERROR(IF(OR(D111="",NOT(ISNUMBER(BS111))),"",1.05*(Uн_лин*1000/SQRT(3))/(_xlfn.XLOOKUP(A111,Щиты[Щит],Щиты[Zmax на шинах, Ом])+CJ111)/1000),"")</f>
        <v/>
      </c>
      <c r="CN111" t="str">
        <f>IF(D111="","",IF(BA111&lt;&gt;"","Щит",IF(K111&lt;&gt;"",K111,IF(ISNUMBER(L111),"Сил",IF(IFERROR(_xlfn.XLOOKUP(AT111,Коды_код,Коды_группа)&amp;"","")="","Быт",_xlfn.XLOOKUP(AT111,Коды_код,Коды_группа)&amp;"")))))</f>
        <v>Сил</v>
      </c>
      <c r="CO111">
        <f>IF(CN111="Щит","щит",IF(CN111="","",IF(CN111="Быт",IFERROR(_xlfn.XLOOKUP(A111,Щиты[Щит],Щиты[Кс быт]),1),IF(CN111="Сил",IF(ISNUMBER(L111),L111,IF(Методика="нормы 2026",IFERROR(_xlfn.XLOOKUP(A111,Щиты[Щит],Щиты[Кс силовых (табл. 7.5)]),1),1)),IF(OR(CN111="Пост",CN111="Отоп"),1,IF(CN111="ВНГ",0.7,0))))))</f>
        <v>0.5</v>
      </c>
      <c r="CP111">
        <f t="shared" si="107"/>
        <v>1</v>
      </c>
      <c r="CQ111">
        <f t="shared" si="108"/>
        <v>0.104</v>
      </c>
      <c r="CR111">
        <f t="shared" si="109"/>
        <v>0</v>
      </c>
      <c r="CS111">
        <f t="shared" si="110"/>
        <v>5.1999999999999998E-2</v>
      </c>
      <c r="CT111">
        <f t="shared" si="111"/>
        <v>0</v>
      </c>
      <c r="CU111">
        <f t="shared" si="112"/>
        <v>0</v>
      </c>
      <c r="CV111">
        <f t="shared" si="113"/>
        <v>0</v>
      </c>
      <c r="CW111">
        <f t="shared" si="114"/>
        <v>0.104</v>
      </c>
      <c r="CX111">
        <f t="shared" si="115"/>
        <v>9.8799999999999985E-2</v>
      </c>
      <c r="CY111">
        <f t="shared" si="116"/>
        <v>2</v>
      </c>
      <c r="CZ111" t="str">
        <f t="shared" si="117"/>
        <v>L2</v>
      </c>
      <c r="DA111" cm="1">
        <f t="array" ref="DA111">IFERROR(IF(BL111=2,_xlfn.IFS(BH111=3,VLOOKUP(BF111,Справочная_двигатели,3,FALSE),BH111=1,VLOOKUP(BF111,Справочная_двигатели,5,TRUE)),0),0)</f>
        <v>0</v>
      </c>
      <c r="DB111">
        <f>IFERROR(IF(BL111=3,VLOOKUP(BF111,Справочная_ЛЭД,2,TRUE),0),0)</f>
        <v>0</v>
      </c>
      <c r="DC111">
        <f t="shared" si="118"/>
        <v>0</v>
      </c>
      <c r="DD111" t="str">
        <f t="shared" si="119"/>
        <v>L3</v>
      </c>
      <c r="DE111" t="str" cm="1">
        <f t="array" ref="DE111">IF(D111="","",IFERROR(INDEX({"I особая","I","II","III"},MATCH(TRIM(AA111&amp;""),{"I особая","I","II","III"},0)),"III"))</f>
        <v>II</v>
      </c>
      <c r="DF111" t="str">
        <f>IF(D111="","",IF(TRIM(AB111&amp;"")&lt;&gt;"",IF(LOWER(TRIM(AB111&amp;""))="да","да","нет"),IF(IFERROR(_xlfn.XLOOKUP(AT111,Коды_код,Коды_пожарная),"")="да","да","нет")))</f>
        <v>нет</v>
      </c>
      <c r="DG111" t="str">
        <f t="shared" si="120"/>
        <v/>
      </c>
      <c r="DH111" t="str">
        <f t="shared" si="121"/>
        <v>основная</v>
      </c>
      <c r="DI111">
        <f t="shared" si="122"/>
        <v>1</v>
      </c>
      <c r="DJ111" t="str" cm="1">
        <f t="array" ref="DJ111">IF(D111="","",_xlfn.LET(_xlpm.t,IFERROR(_xlfn.XLOOKUP(1,(Шины[Шина]=DH111)*(((Шины[Щит]=A111)+(Шины[Щит]=""))&gt;0),Шины[Тип]),"")&amp;"",IF(_xlpm.t&lt;&gt;"",_xlpm.t,IF(ISNUMBER(SEARCH("ИБП",DH111)),"ИБП",IF(ISNUMBER(SEARCH("ДГУ",DH111)),"ДГУ","Ввод "&amp;DI111)))))</f>
        <v>Ввод 1</v>
      </c>
      <c r="DK111" t="str">
        <f t="shared" si="123"/>
        <v>Ввод 1</v>
      </c>
      <c r="DL111" t="str">
        <f>IF(D111="","",IF(OR(DJ111="ИБП",DJ111="ДГУ"),"I особая",IF(DJ111="Одиночная","III",_xlfn.XLOOKUP(A111,Щиты[Щит],Щиты[Категория шины «Ввод»],"III"))))</f>
        <v>II</v>
      </c>
      <c r="DM111">
        <f>IF(D111="",0,IFERROR(MATCH(DE111,{"III","II","I","I особая"},0),1))</f>
        <v>2</v>
      </c>
      <c r="DN111">
        <f t="shared" si="124"/>
        <v>2</v>
      </c>
      <c r="DO111" t="str">
        <f>IF(D111="","",IF(DM111&gt;IFERROR(MATCH(DL111,{"III","II","I","I особая"},0),1),"НЕ ОБЕСПЕЧЕНА","ОК"))</f>
        <v>ОК</v>
      </c>
      <c r="DP111" t="str">
        <f>IF(A111="","",_xlfn.XLOOKUP(A111,Щиты[Щит],Щиты[Путь],""))</f>
        <v>|ГРЩ-ЖД|ЩОВ-01|</v>
      </c>
      <c r="DQ111" t="str">
        <f>IF(D111="","",IF(Z111&lt;&gt;"",Z111,IF(IFERROR(_xlfn.XLOOKUP(AT111,Коды_код,Коды_вид)&amp;"","")="","Прочее",_xlfn.XLOOKUP(AT111,Коды_код,Коды_вид)&amp;"")))</f>
        <v>Кондиционирование и увлажнение</v>
      </c>
      <c r="DR111">
        <f>IF(BD111="","",INT((BD111-1)/Столбцов_на_лист)+1)</f>
        <v>2</v>
      </c>
      <c r="DS111" t="str">
        <f t="shared" si="125"/>
        <v>ВВГнг(А)-LS (3х1,5) L=12-0,08%</v>
      </c>
      <c r="DT111">
        <f t="shared" si="126"/>
        <v>0.104</v>
      </c>
      <c r="DU111">
        <f t="shared" si="127"/>
        <v>0.48</v>
      </c>
      <c r="DV111">
        <f t="shared" si="128"/>
        <v>1</v>
      </c>
      <c r="DW111">
        <f>IF(AT111="",0,_xlfn.LET(_xlpm.v,IFERROR(VLOOKUP(D111,УГО_спр,3,FALSE),IFERROR(VLOOKUP(AT111,УГО_спр,3,FALSE),IFERROR(VLOOKUP(LEFT(AT111,2),УГО_спр,3,FALSE),""))),IF(_xlpm.v="да",30,IF(ISNUMBER(_xlpm.v),_xlpm.v,0))))</f>
        <v>0</v>
      </c>
      <c r="DX111">
        <f t="shared" si="129"/>
        <v>0</v>
      </c>
      <c r="DY111">
        <f>IF(BD111="","",IF(AD111&lt;&gt;"",COUNTIFS(A$3:A111,A111,AD$3:AD111,"?*"),IF(OR(OR(AS111=1,A111&lt;&gt;A110),AL111="вручную"),"",IF(AS111=1,"",DZ110))))</f>
        <v>9</v>
      </c>
      <c r="DZ111">
        <f t="shared" si="130"/>
        <v>9</v>
      </c>
      <c r="EA111">
        <f>IF(D111="",0,MAX(IFERROR(--X111,0),IFERROR(--VLOOKUP(D111,УГО_спр,4,FALSE),IFERROR(--VLOOKUP(AT111,УГО_спр,4,FALSE),IFERROR(--VLOOKUP(LEFT(AT111,2),УГО_спр,4,FALSE),0)))))</f>
        <v>10</v>
      </c>
      <c r="EB111">
        <f>IF(D111="","",IFERROR(LOOKUP(INDEX(CHOOSE(BR111,Iдоп_1ж,Iдоп_2ж,Iдоп_3ж),MATCH(BS111,Iдоп_S,0))*BP111*BQ111,{6,10,16,20,25,32,40,50,63,80,100,125,160,200,250,315,400,500,630}),""))</f>
        <v>16</v>
      </c>
      <c r="EC111">
        <f>IF(AD111="","",SUMIFS(Линии[_Ток схемы],Линии[_гр.],DY111,Линии[Щит],A111,Линии[_в кабель выше],0))</f>
        <v>0.48</v>
      </c>
      <c r="ED111">
        <f>IF(AD111="","",IFERROR(VLOOKUP(EC111,Автомат_номиналы,2,TRUE),""))</f>
        <v>6</v>
      </c>
      <c r="EE111">
        <f>IF(AD111="","",MAX(N(ED111),_xlfn.MAXIFS(Линии[_мин. по типу],Линии[_гр.],DY111,Линии[Щит],A111)))</f>
        <v>10</v>
      </c>
      <c r="EF111">
        <f>IF(AD111="","",_xlfn.MINIFS(Линии[_макс. автомат по кабелю],Линии[_гр.],DY111,Линии[Щит],A111))</f>
        <v>16</v>
      </c>
      <c r="EG111">
        <f>IF(AD111="","",MAX(1,_xlfn.MAXIFS(Линии[_фаз],Линии[_гр.],DY111,Линии[Щит],A111)))</f>
        <v>1</v>
      </c>
      <c r="EH111">
        <f>IF(AD111="","",IF(AND(AD111&lt;&gt;"авто",AD111&lt;&gt;"+"),IF(ISNUMBER(SEARCH("мА",AD111)),IFERROR(--TRIM(RIGHT(SUBSTITUTE(LEFT(AD111,SEARCH("мА",AD111)-1)," ",REPT(" ",9)),6)),30),0),IF(AE111="нет",0,IF(ISNUMBER(AE111),AE111,IF(AE111="да",30,_xlfn.MINIFS(Линии[_дифзащита по коду, мА],Линии[_гр.],DY111,Линии[Щит],A111,Линии[_дифзащита по коду, мА],"&gt;0"))))))</f>
        <v>0</v>
      </c>
      <c r="EI111">
        <f t="shared" si="131"/>
        <v>0</v>
      </c>
      <c r="EJ111" t="str">
        <f t="shared" si="132"/>
        <v>QF9</v>
      </c>
      <c r="EK111" t="str">
        <f t="shared" si="133"/>
        <v>QF9</v>
      </c>
      <c r="EL111" t="str">
        <f t="shared" si="134"/>
        <v/>
      </c>
      <c r="EM111">
        <f t="shared" si="135"/>
        <v>0</v>
      </c>
      <c r="EN111">
        <f>IF(AD111="","",IF(EM111=1,MAX(EE111,Мин_автомат_БП),EE111))</f>
        <v>10</v>
      </c>
      <c r="EO111" t="str">
        <f t="shared" si="136"/>
        <v>1P</v>
      </c>
      <c r="EP111" t="str">
        <f t="shared" si="137"/>
        <v>1P С10А</v>
      </c>
      <c r="EQ111">
        <f t="shared" si="138"/>
        <v>10</v>
      </c>
      <c r="ER111" t="str">
        <f>IF(OR(AI111="",AI111="-"),"",IFERROR(VLOOKUP(AI111,Модули_спр,2,FALSE),"R"))</f>
        <v/>
      </c>
      <c r="ES111" t="str">
        <f>IF(ER111="","",ER111&amp;"."&amp;COUNTIFS(A$3:A111,A111,ER$3:ER111,ER111))</f>
        <v/>
      </c>
      <c r="ET111" t="str">
        <f t="shared" si="139"/>
        <v/>
      </c>
      <c r="EU111" t="str">
        <f t="shared" si="140"/>
        <v/>
      </c>
      <c r="EV111" t="str">
        <f t="shared" si="141"/>
        <v/>
      </c>
      <c r="EW111" t="str">
        <f t="shared" si="142"/>
        <v/>
      </c>
      <c r="EX111">
        <f t="shared" si="143"/>
        <v>1</v>
      </c>
      <c r="EY111" t="str">
        <f>IF(AK111="нет","",IF(AK111&lt;&gt;"",AK111,IF(EX111=1,"XT"&amp;COUNTIFS(A$3:A111,A111,EX$3:EX111,1),"")))</f>
        <v/>
      </c>
      <c r="EZ111" t="str">
        <f t="shared" si="144"/>
        <v>QF9</v>
      </c>
      <c r="FA111" t="str">
        <f t="shared" si="145"/>
        <v/>
      </c>
      <c r="FB111" t="str">
        <f t="shared" si="146"/>
        <v>ok</v>
      </c>
      <c r="FC111" t="str">
        <f>IF(OR(EV111="",ET111=""),"",IF(EV111&gt;IFERROR(VLOOKUP(EU111,Модули_спр,3,FALSE),99),"ЛИШНИЙ КАНАЛ",IF(AND(AJ111&lt;&gt;"=",COUNTIFS(Линии[_модуль гр.],ET111,Линии[Канал (итог)],EV111,Линии[Канал],"&lt;&gt;=",Линии[Щит],A111)&gt;1),"ДУБЛЬ КАНАЛА","")))</f>
        <v/>
      </c>
      <c r="FD111">
        <f t="shared" si="147"/>
        <v>10</v>
      </c>
      <c r="FE111" t="str">
        <f t="shared" si="148"/>
        <v>1P С10А</v>
      </c>
      <c r="FF111">
        <f t="shared" si="149"/>
        <v>0</v>
      </c>
      <c r="FG111">
        <f t="shared" si="150"/>
        <v>0</v>
      </c>
      <c r="FH111" t="str">
        <f t="shared" si="151"/>
        <v/>
      </c>
      <c r="FI111">
        <f t="shared" si="152"/>
        <v>10</v>
      </c>
      <c r="FJ111" t="str">
        <f t="shared" si="153"/>
        <v/>
      </c>
      <c r="FK111" t="str">
        <f>IF(AND(D111="",EZ111=""),"",_xlfn.TEXTJOIN("; ",TRUE,IF(AND(D111&lt;&gt;"",DD111=""),"нет фазы",""),IF(AND(D111&lt;&gt;"",N(DT111)=0,CN111&lt;&gt;"Нет"),"нет мощности",""),IF(AND(EY111&lt;&gt;"",COUNTIFS(Линии[Щит],A111,Линии[Клемма (итог)],EY111)&gt;1),"дубль клеммы "&amp;EY111,""),IF(AND(FB111&lt;&gt;"",FB111&lt;&gt;"ok"),FB111,""),IF(FC111&lt;&gt;"",FC111,""),IF(AND(ISNUMBER(SEARCH("(5х",DS111)),N(DV111)=1),"5 жил на 1 фазе",""),IF(AND(AT111="R",AD111&lt;&gt;"",OR(N(EH111)=0,N(EH111)&gt;30)),"розетка без дифзащиты до 30 мА",""),IFERROR(IF(AND(ISNUMBER(CD111),CD111&gt;CE111),"потери "&amp;FIXED(CD111,1)&amp;" % &gt; "&amp;CE111&amp;" %",""),""),IFERROR(IF(LEFT(FJ111,4)="мало","Iкз мало — отключение &gt; 0,4 с",""),""),IF(AND(D111&lt;&gt;"",BD111=""),"не на схеме","")))</f>
        <v/>
      </c>
      <c r="FL111">
        <f>IF(AD111="","",_xlfn.LET(_xlpm.t,IFERROR(_xlfn.XLOOKUP(EP111,Каталог!$U$4:$U$500,Каталог!$G$4:$G$500),""),_xlpm.k,SEARCH("кА",_xlpm.t),IFERROR(--TRIM(RIGHT(SUBSTITUTE(MID(_xlpm.t,MAX(1,_xlpm.k-4),_xlpm.k-MAX(1,_xlpm.k-4))," ",REPT(" ",9)),5)),"")))</f>
        <v>6</v>
      </c>
      <c r="FM111" t="str">
        <f>IF(OR(FL111="",AD111=""),"",IF(_xlfn.XLOOKUP(A111,Щиты[Щит],Щиты[Iкз max на шинах, кА],"")="","",IF(FL111&lt;_xlfn.XLOOKUP(A111,Щиты[Щит],Щиты[Iкз max на шинах, кА]),"Icu "&amp;FL111&amp;" кА &lt; Iкз max","ok")))</f>
        <v/>
      </c>
      <c r="FN111" t="str">
        <f t="shared" si="154"/>
        <v>QF9</v>
      </c>
      <c r="FO111" t="str">
        <f t="shared" si="155"/>
        <v>QF9|кабель ВВГнг(А)-LS (3х1,5) → Внутренний блок кондиционирования цокольный этаж Пом. №001Т</v>
      </c>
      <c r="FP111" t="str" cm="1">
        <f t="array" ref="FP111">IF(FO111="","",_xlfn.LET(_xlpm.nd,_xlfn.TEXTSPLIT(FO111,"|"),IF(COLUMNS(_xlpm.nd)&gt;1,A111&amp;"¦"&amp;INDEX(_xlpm.nd,1)&amp;"¦"&amp;INDEX(_xlpm.nd,2),"")))</f>
        <v>ЩОВ-01¦QF9¦кабель ВВГнг(А)-LS (3х1,5) → Внутренний блок кондиционирования цокольный этаж Пом. №001Т</v>
      </c>
      <c r="FQ111" t="str">
        <f t="shared" si="156"/>
        <v>K.0.001T.2¦Внутренний блок кондиционирования цокольный этаж Пом. №001Т</v>
      </c>
      <c r="FR111" t="str" cm="1">
        <f t="array" ref="FR111">IF(FO111="","",_xlfn.LET(_xlpm.nd,_xlfn.TEXTSPLIT(FO111,"|"),IF(COLUMNS(_xlpm.nd)&gt;2,A111&amp;"¦"&amp;INDEX(_xlpm.nd,2)&amp;"¦"&amp;INDEX(_xlpm.nd,3),"")))</f>
        <v/>
      </c>
      <c r="FS111" t="str">
        <f t="shared" si="157"/>
        <v/>
      </c>
      <c r="FT111" t="str" cm="1">
        <f t="array" ref="FT111">IF(FO111="","",_xlfn.LET(_xlpm.nd,_xlfn.TEXTSPLIT(FO111,"|"),IF(COLUMNS(_xlpm.nd)&gt;3,A111&amp;"¦"&amp;INDEX(_xlpm.nd,3)&amp;"¦"&amp;INDEX(_xlpm.nd,4),"")))</f>
        <v/>
      </c>
      <c r="FU111" t="str">
        <f t="shared" si="158"/>
        <v/>
      </c>
      <c r="FV111" t="str" cm="1">
        <f t="array" ref="FV111">IF(FO111="","",_xlfn.LET(_xlpm.nd,_xlfn.TEXTSPLIT(FO111,"|"),IF(COLUMNS(_xlpm.nd)&gt;4,A111&amp;"¦"&amp;INDEX(_xlpm.nd,4)&amp;"¦"&amp;INDEX(_xlpm.nd,5),"")))</f>
        <v/>
      </c>
      <c r="FW111" t="str">
        <f t="shared" si="159"/>
        <v/>
      </c>
      <c r="FX111" t="str" cm="1">
        <f t="array" ref="FX111">IF(FO111="","",_xlfn.LET(_xlpm.nd,_xlfn.TEXTSPLIT(FO111,"|"),IF(COLUMNS(_xlpm.nd)&gt;5,A111&amp;"¦"&amp;INDEX(_xlpm.nd,5)&amp;"¦"&amp;INDEX(_xlpm.nd,6),"")))</f>
        <v/>
      </c>
      <c r="FY111" t="str">
        <f t="shared" si="160"/>
        <v/>
      </c>
      <c r="FZ111" t="str" cm="1">
        <f t="array" ref="FZ111">IF(FO111="","",_xlfn.LET(_xlpm.nd,_xlfn.TEXTSPLIT(FO111,"|"),IF(COLUMNS(_xlpm.nd)&gt;6,A111&amp;"¦"&amp;INDEX(_xlpm.nd,6)&amp;"¦"&amp;INDEX(_xlpm.nd,7),"")))</f>
        <v/>
      </c>
      <c r="GA111" t="str">
        <f t="shared" si="161"/>
        <v/>
      </c>
      <c r="GB111" t="str">
        <f t="shared" si="162"/>
        <v/>
      </c>
      <c r="GC111" t="str">
        <f t="shared" si="163"/>
        <v>QF9</v>
      </c>
      <c r="GD111">
        <f t="shared" si="164"/>
        <v>1</v>
      </c>
      <c r="GE111">
        <f t="shared" si="165"/>
        <v>0</v>
      </c>
      <c r="GF111">
        <f t="shared" si="166"/>
        <v>0</v>
      </c>
      <c r="GG111" t="str">
        <f t="shared" si="167"/>
        <v/>
      </c>
      <c r="GH111" t="str">
        <f t="shared" si="168"/>
        <v/>
      </c>
      <c r="GI111" t="str">
        <f t="shared" si="169"/>
        <v/>
      </c>
      <c r="GJ111" t="str">
        <f t="shared" si="170"/>
        <v/>
      </c>
      <c r="GK111">
        <f>IF(D111="","",IFERROR(VLOOKUP(D111,УГО_спр,2,FALSE),IFERROR(VLOOKUP(AT111,УГО_спр,2,FALSE),IFERROR(VLOOKUP(LEFT(AT111,2),УГО_спр,2,FALSE),""))))</f>
        <v>0</v>
      </c>
      <c r="GL111" t="str">
        <f>IF(D111="","",IF(OR(GK111="",GK111=0),"BOX",IFERROR(IF(VLOOKUP(GK111,УГО_блоки,3,FALSE)&amp;""&lt;&gt;"",VLOOKUP(GK111,УГО_блоки,3,FALSE),VLOOKUP(GK111,УГО_блоки,2,FALSE)),GK111)))</f>
        <v>BOX</v>
      </c>
      <c r="GM111">
        <f t="shared" si="171"/>
        <v>1</v>
      </c>
      <c r="GN111" t="str">
        <f>IF(EP111="","",IF(COUNTIF(EP$3:EP111,EP111)=1,MAX(GN$2:GN110)+1,""))</f>
        <v/>
      </c>
      <c r="GO111" t="str">
        <f>IF(AF111="","",IF(COUNTIF(AF$3:AF111,AF111)+COUNTIF(AG$2:AG110,AF111)+COUNTIF(AH$2:AH110,AF111)=1,MAX(GO$2:GQ110)+1,""))</f>
        <v/>
      </c>
      <c r="GP111" t="str">
        <f>IF(AG111="","",IF(COUNTIF(AF$3:AF111,AG111)+COUNTIF(AG$3:AG111,AG111)+COUNTIF(AH$2:AH110,AG111)=1,MAX(GO$2:GQ110,GO111)+1,""))</f>
        <v/>
      </c>
      <c r="GQ111" t="str">
        <f>IF(AH111="","",IF(COUNTIF(AF$3:AF111,AH111)+COUNTIF(AG$3:AG111,AH111)+COUNTIF(AH$3:AH111,AH111)=1,MAX(GO$2:GQ110,GO111,GP111)+1,""))</f>
        <v/>
      </c>
      <c r="GR111" t="str">
        <f t="shared" si="172"/>
        <v>3х1,5</v>
      </c>
      <c r="GS111" t="str">
        <f>IF(GR111="","",IF(COUNTIF(GR$3:GR111,GR111)=1,MAX(GS$2:GS110)+1,""))</f>
        <v/>
      </c>
      <c r="GT111" t="str">
        <f>IF(ES111="","",COUNTIF(ES$3:ES111,"?*"))</f>
        <v/>
      </c>
      <c r="GU111" t="str">
        <f>IF(OR(ES111="",EU111=""),"",IF(COUNTIFS(ES$3:ES111,"?*",EU$3:EU111,EU111)=1,MAX(GU$2:GU110)+1,""))</f>
        <v/>
      </c>
      <c r="GV111">
        <f t="shared" si="173"/>
        <v>0</v>
      </c>
      <c r="GW111">
        <f>IF(D111="","",COUNTIF(D$3:D111,"?*"))</f>
        <v>109</v>
      </c>
      <c r="GX111">
        <f>IF(EX111&lt;&gt;1,0,_xlfn.LET(_xlpm.k,MAX(IFERROR(--VLOOKUP(D111,УГО_спр,5,FALSE),0),IFERROR(--VLOOKUP(AT111,УГО_спр,5,FALSE),0),IFERROR(--VLOOKUP(LEFT(AT111,2),УГО_спр,5,FALSE),0)),IF(_xlpm.k&gt;0,_xlpm.k,IF(IFERROR(--LEFT(SUBSTITUTE(GR111,"x","х"),FIND("х",SUBSTITUTE(GR111,"x","х"))-1),3)&gt;3,Каталог!$S$9,1))))</f>
        <v>1</v>
      </c>
      <c r="GY111">
        <f t="shared" si="174"/>
        <v>0</v>
      </c>
    </row>
    <row r="112" spans="1:207" x14ac:dyDescent="0.3">
      <c r="A112" t="s">
        <v>750</v>
      </c>
      <c r="B112">
        <v>24</v>
      </c>
      <c r="C112" t="str">
        <f>IF(BD112="","",IF(BE112="вводной узел","узел ","")&amp;"л."&amp;(INT((BD112-1)/Столбцов_на_лист)+1)&amp;" / "&amp;(MOD(BD112-1,Столбцов_на_лист)+1))</f>
        <v>л.2 / 7</v>
      </c>
      <c r="D112" t="s">
        <v>1402</v>
      </c>
      <c r="E112" s="133" t="s">
        <v>1403</v>
      </c>
      <c r="G112">
        <v>0.151</v>
      </c>
      <c r="H112">
        <v>1</v>
      </c>
      <c r="I112">
        <v>1</v>
      </c>
      <c r="J112">
        <v>230</v>
      </c>
      <c r="K112" t="s">
        <v>602</v>
      </c>
      <c r="L112">
        <v>0.5</v>
      </c>
      <c r="O112">
        <v>1</v>
      </c>
      <c r="P112">
        <v>25</v>
      </c>
      <c r="Q112">
        <v>17</v>
      </c>
      <c r="R112">
        <v>10</v>
      </c>
      <c r="T112">
        <v>1</v>
      </c>
      <c r="U112" t="s">
        <v>11</v>
      </c>
      <c r="V112">
        <v>3</v>
      </c>
      <c r="W112">
        <v>1.5</v>
      </c>
      <c r="X112">
        <v>10</v>
      </c>
      <c r="Z112" t="s">
        <v>580</v>
      </c>
      <c r="AA112" t="s">
        <v>818</v>
      </c>
      <c r="AD112" t="s">
        <v>517</v>
      </c>
      <c r="AK112" t="s">
        <v>488</v>
      </c>
      <c r="AR112" t="str">
        <f t="shared" si="88"/>
        <v/>
      </c>
      <c r="AS112" cm="1">
        <f t="array" ref="AS112">ROW()-ROW(Линии[#Headers])</f>
        <v>110</v>
      </c>
      <c r="AT112" t="str">
        <f t="shared" si="89"/>
        <v>K</v>
      </c>
      <c r="AU112" t="str">
        <f t="shared" si="90"/>
        <v>0.002T.1</v>
      </c>
      <c r="AV112" t="str">
        <f t="shared" si="91"/>
        <v>0</v>
      </c>
      <c r="AW112" t="str">
        <f t="shared" si="92"/>
        <v>002T.1</v>
      </c>
      <c r="AX112" t="str">
        <f t="shared" si="93"/>
        <v>002T</v>
      </c>
      <c r="AY112" t="str">
        <f>IF(D112="","",IF(ISERROR(SEARCH(".",D112)),IFERROR(VLOOKUP(D112,Потребители_обозначение,2,FALSE)&amp;"",""),IFERROR(IF(VLOOKUP(AT112,Потребители_обозначение,4,FALSE)=1,VLOOKUP(AT112,Потребители_обозначение,2,FALSE)&amp;" "&amp;VLOOKUP(AV112,Этаж_обозначение,2,FALSE)&amp;" Пом. №"&amp;AX112,VLOOKUP(AT112,Потребители_обозначение,2,FALSE)&amp;" Шлейф №"&amp;AV112),IFERROR(VLOOKUP(D112,Потребители_обозначение,2,FALSE),""))))</f>
        <v>Внутренний блок кондиционирования Цокольный этаж Пом. №002T</v>
      </c>
      <c r="AZ112" t="str">
        <f t="shared" si="94"/>
        <v>Внутренний блок кондиционирования цокольный этаж Пом. №002Т</v>
      </c>
      <c r="BA112" t="str">
        <f>IF(F112&lt;&gt;"",F112,IF(AND(D112&lt;&gt;"",D112&lt;&gt;A112,ISNUMBER(_xlfn.XMATCH(D112,Щиты[Щит]))),D112,""))</f>
        <v/>
      </c>
      <c r="BB112">
        <f>IFERROR(_xlfn.XMATCH(A112,Щиты[Щит]),0)</f>
        <v>6</v>
      </c>
      <c r="BC112">
        <f>IFERROR(N(_xlfn.XLOOKUP(A112,Щиты[Щит],Щиты[Мест под вводной узел])),15)</f>
        <v>12</v>
      </c>
      <c r="BD112">
        <f t="shared" si="95"/>
        <v>24</v>
      </c>
      <c r="BE112" t="str">
        <f t="shared" si="96"/>
        <v>линии</v>
      </c>
      <c r="BF112">
        <f>IF(D112="","",IF(BA112&lt;&gt;"",IFERROR(_xlfn.XLOOKUP(BA112,Щиты[Щит],Щиты[Руст, кВт]),0),N(G112)))</f>
        <v>0.151</v>
      </c>
      <c r="BG112">
        <f>IF(J112&lt;&gt;"",J112,IF(D112="","",IFERROR(IF(VLOOKUP(AT112,Потребители_обозначение,8,FALSE)=0,"",VLOOKUP(AT112,Потребители_обозначение,8,FALSE)),"")))</f>
        <v>230</v>
      </c>
      <c r="BH112">
        <f>IF(I112&lt;&gt;"",I112,IF(D112="","",IFERROR(IF(VLOOKUP(AT112,Потребители_обозначение,9,FALSE)=0,"",VLOOKUP(AT112,Потребители_обозначение,9,FALSE)),"")))</f>
        <v>1</v>
      </c>
      <c r="BI112" t="str">
        <f>IF(U112&lt;&gt;"",U112,IF(D112="","",IFERROR(IF(VLOOKUP(AT112,Потребители_обозначение,6,FALSE)=0,"",VLOOKUP(AT112,Потребители_обозначение,6,FALSE)),"")))</f>
        <v>мс</v>
      </c>
      <c r="BJ112">
        <f>IF(V112&lt;&gt;"",V112,IF(D112="","",IFERROR(IF(VLOOKUP(AT112,Потребители_обозначение,7,FALSE)=0,"",VLOOKUP(AT112,Потребители_обозначение,7,FALSE)),"")))</f>
        <v>3</v>
      </c>
      <c r="BK112">
        <f>IF(W112&lt;&gt;"",W112,IF(D112="","",IFERROR(IF(VLOOKUP(AT112,Потребители_обозначение,10,FALSE)=0,"",VLOOKUP(AT112,Потребители_обозначение,10,FALSE)),"")))</f>
        <v>1.5</v>
      </c>
      <c r="BL112">
        <f>IFERROR(VLOOKUP(AT112,Потребители_обозначение,5,FALSE),0)</f>
        <v>1</v>
      </c>
      <c r="BM112" cm="1">
        <f t="array" ref="BM112">IF(D112="","",IF(BA112&lt;&gt;"",IFERROR(_xlfn.XLOOKUP(BA112,Щиты[Щит],Щиты[cos φ]),0.95),IF(ISNUMBER(M112),M112,IFERROR(IF(BL112=2,_xlfn.IFS(BH112=3,VLOOKUP(BF112,Справочная_двигатели,8,FALSE),BH112=1,VLOOKUP(BF112,Справочная_двигатели,10,TRUE)),IF(AND(Методика="нормы 2026",CN112="Сил"),0.8,0.95)),0.95))))</f>
        <v>0.95</v>
      </c>
      <c r="BN112" cm="1">
        <f t="array" ref="BN112">IF(D112="","",IF(BA112&lt;&gt;"",IFERROR(_xlfn.XLOOKUP(BA112,Щиты[Щит],Щиты[Iр, А]),""),IFERROR(_xlfn.IFS(BH112=1,BF112/((Uн_лин/SQRT(3))*BM112),BH112=3,BF112/(SQRT(3)*Uн_лин*BM112)),"")))</f>
        <v>0.68826229458658017</v>
      </c>
      <c r="BO112">
        <f>IF(D112="","",IF(N(X112)=0,IFERROR(VLOOKUP(BN112,Автомат_номиналы,2,TRUE),""),X112))</f>
        <v>10</v>
      </c>
      <c r="BP112">
        <f t="shared" si="97"/>
        <v>1</v>
      </c>
      <c r="BQ112">
        <f>IF(ISNUMBER(Y112),Y112,К_прокл)</f>
        <v>1</v>
      </c>
      <c r="BR112">
        <f t="shared" si="98"/>
        <v>2</v>
      </c>
      <c r="BS112" cm="1">
        <f t="array" ref="BS112">IF(D112="","",IF(N(BK112)&lt;&gt;0,BK112,IFERROR(_xlfn.LET(_xlpm.need,BO112/(BP112*BQ112),_xlpm.t,CHOOSE(BR112,Iдоп_1ж,Iдоп_2ж,Iдоп_3ж),_xlpm.k,_xlfn.XMATCH(_xlpm.need,_xlpm.t,1),IF(ISNA(_xlpm.k),"Не исп",INDEX(Iдоп_S,_xlpm.k))),"Не исп")))</f>
        <v>1.5</v>
      </c>
      <c r="BT112">
        <f>IFERROR(VLOOKUP(BS112,Кабель_сопротивление,3,FALSE),"")</f>
        <v>2.2499999999999999E-2</v>
      </c>
      <c r="BU112">
        <f>IFERROR(VLOOKUP(BS112,Кабель_сопротивление,2,FALSE),"")</f>
        <v>0.11</v>
      </c>
      <c r="BV112">
        <f t="shared" si="99"/>
        <v>25</v>
      </c>
      <c r="BW112">
        <f>IF(D112="","",IFERROR(IF(VLOOKUP(AT112,Потребители_обозначение,4,FALSE)=1,VLOOKUP(AT112,Потребители_обозначение,3,FALSE)*(H112*2-1)+BV112+VLOOKUP(AV112,Этаж_обозначение,3,FALSE)+VLOOKUP(AV112,Этаж_обозначение,4,FALSE),VLOOKUP(AT112,Потребители_обозначение,3,FALSE)*(H112*2-1)+BV112),BV112))</f>
        <v>27</v>
      </c>
      <c r="BX112">
        <f t="shared" si="100"/>
        <v>10</v>
      </c>
      <c r="BY112">
        <f t="shared" si="101"/>
        <v>0</v>
      </c>
      <c r="BZ112">
        <f t="shared" si="102"/>
        <v>2</v>
      </c>
      <c r="CA112">
        <f t="shared" si="103"/>
        <v>0.31</v>
      </c>
      <c r="CB112">
        <f t="shared" si="104"/>
        <v>0.53088520187362509</v>
      </c>
      <c r="CC112">
        <f>IFERROR(ROUNDUP(CB112/((Uн_лин/SQRT(3))*1000)*100,2),"")</f>
        <v>0.23</v>
      </c>
      <c r="CD112">
        <f>IF(ISNUMBER(CC112),CC112+IFERROR(_xlfn.XLOOKUP(A112,Щиты[Щит],Щиты[ΔU до шин, %]),0),"")</f>
        <v>0.47000000000000003</v>
      </c>
      <c r="CE112">
        <f>IF(D112="","",IF(IFERROR(VLOOKUP(AT112,УГО_спр,2,FALSE),"")="Светильник",3,4)+IF(Методика="нормы 2026",MIN(0.5,MAX(0,N(BW112)-100)*0.005),0))</f>
        <v>4</v>
      </c>
      <c r="CF112" t="str">
        <f>IFERROR(VLOOKUP(BI112,Кабель_обозначение,2,FALSE),"")</f>
        <v>ВВГнг(А)-LS</v>
      </c>
      <c r="CG112" t="str">
        <f>IFERROR(IF(VLOOKUP(BI112,Кабель_обозначение,3,FALSE)=1,CF112&amp;" ("&amp;BJ112&amp;"х"&amp;BS112&amp;")",CF112),"")</f>
        <v>ВВГнг(А)-LS (3х1,5)</v>
      </c>
      <c r="CH112" t="str">
        <f t="shared" si="105"/>
        <v>ВВГнг(А)-LS (3х1,5)
L=27-0,23%</v>
      </c>
      <c r="CI112">
        <f>IFERROR(2*ρкз_Cu*BW112/BS112,"")</f>
        <v>0.94680000000000009</v>
      </c>
      <c r="CJ112">
        <f t="shared" si="106"/>
        <v>0.315</v>
      </c>
      <c r="CK112" t="str">
        <f>IFERROR(IF(OR(D112="",NOT(ISNUMBER(BS112)),N(BW112)=0),"",_xlfn.XLOOKUP(A112,Щиты[Щит],Щиты[Zпетли на шинах, Ом])+CI112),"")</f>
        <v/>
      </c>
      <c r="CL112" t="str">
        <f>IF(ISNUMBER(CK112),c_min*(Uн_лин*1000/SQRT(3))/CK112,"")</f>
        <v/>
      </c>
      <c r="CM112" t="str">
        <f>IFERROR(IF(OR(D112="",NOT(ISNUMBER(BS112))),"",1.05*(Uн_лин*1000/SQRT(3))/(_xlfn.XLOOKUP(A112,Щиты[Щит],Щиты[Zmax на шинах, Ом])+CJ112)/1000),"")</f>
        <v/>
      </c>
      <c r="CN112" t="str">
        <f>IF(D112="","",IF(BA112&lt;&gt;"","Щит",IF(K112&lt;&gt;"",K112,IF(ISNUMBER(L112),"Сил",IF(IFERROR(_xlfn.XLOOKUP(AT112,Коды_код,Коды_группа)&amp;"","")="","Быт",_xlfn.XLOOKUP(AT112,Коды_код,Коды_группа)&amp;"")))))</f>
        <v>Сил</v>
      </c>
      <c r="CO112">
        <f>IF(CN112="Щит","щит",IF(CN112="","",IF(CN112="Быт",IFERROR(_xlfn.XLOOKUP(A112,Щиты[Щит],Щиты[Кс быт]),1),IF(CN112="Сил",IF(ISNUMBER(L112),L112,IF(Методика="нормы 2026",IFERROR(_xlfn.XLOOKUP(A112,Щиты[Щит],Щиты[Кс силовых (табл. 7.5)]),1),1)),IF(OR(CN112="Пост",CN112="Отоп"),1,IF(CN112="ВНГ",0.7,0))))))</f>
        <v>0.5</v>
      </c>
      <c r="CP112">
        <f t="shared" si="107"/>
        <v>1</v>
      </c>
      <c r="CQ112">
        <f t="shared" si="108"/>
        <v>0.151</v>
      </c>
      <c r="CR112">
        <f t="shared" si="109"/>
        <v>0</v>
      </c>
      <c r="CS112">
        <f t="shared" si="110"/>
        <v>7.5499999999999998E-2</v>
      </c>
      <c r="CT112">
        <f t="shared" si="111"/>
        <v>0</v>
      </c>
      <c r="CU112">
        <f t="shared" si="112"/>
        <v>0</v>
      </c>
      <c r="CV112">
        <f t="shared" si="113"/>
        <v>0</v>
      </c>
      <c r="CW112">
        <f t="shared" si="114"/>
        <v>0.151</v>
      </c>
      <c r="CX112">
        <f t="shared" si="115"/>
        <v>0.14344999999999999</v>
      </c>
      <c r="CY112">
        <f t="shared" si="116"/>
        <v>3</v>
      </c>
      <c r="CZ112" t="str">
        <f t="shared" si="117"/>
        <v>L3</v>
      </c>
      <c r="DA112" cm="1">
        <f t="array" ref="DA112">IFERROR(IF(BL112=2,_xlfn.IFS(BH112=3,VLOOKUP(BF112,Справочная_двигатели,3,FALSE),BH112=1,VLOOKUP(BF112,Справочная_двигатели,5,TRUE)),0),0)</f>
        <v>0</v>
      </c>
      <c r="DB112">
        <f>IFERROR(IF(BL112=3,VLOOKUP(BF112,Справочная_ЛЭД,2,TRUE),0),0)</f>
        <v>0</v>
      </c>
      <c r="DC112">
        <f t="shared" si="118"/>
        <v>0</v>
      </c>
      <c r="DD112" t="str">
        <f t="shared" si="119"/>
        <v>L1</v>
      </c>
      <c r="DE112" t="str" cm="1">
        <f t="array" ref="DE112">IF(D112="","",IFERROR(INDEX({"I особая","I","II","III"},MATCH(TRIM(AA112&amp;""),{"I особая","I","II","III"},0)),"III"))</f>
        <v>II</v>
      </c>
      <c r="DF112" t="str">
        <f>IF(D112="","",IF(TRIM(AB112&amp;"")&lt;&gt;"",IF(LOWER(TRIM(AB112&amp;""))="да","да","нет"),IF(IFERROR(_xlfn.XLOOKUP(AT112,Коды_код,Коды_пожарная),"")="да","да","нет")))</f>
        <v>нет</v>
      </c>
      <c r="DG112" t="str">
        <f t="shared" si="120"/>
        <v/>
      </c>
      <c r="DH112" t="str">
        <f t="shared" si="121"/>
        <v>основная</v>
      </c>
      <c r="DI112">
        <f t="shared" si="122"/>
        <v>1</v>
      </c>
      <c r="DJ112" t="str" cm="1">
        <f t="array" ref="DJ112">IF(D112="","",_xlfn.LET(_xlpm.t,IFERROR(_xlfn.XLOOKUP(1,(Шины[Шина]=DH112)*(((Шины[Щит]=A112)+(Шины[Щит]=""))&gt;0),Шины[Тип]),"")&amp;"",IF(_xlpm.t&lt;&gt;"",_xlpm.t,IF(ISNUMBER(SEARCH("ИБП",DH112)),"ИБП",IF(ISNUMBER(SEARCH("ДГУ",DH112)),"ДГУ","Ввод "&amp;DI112)))))</f>
        <v>Ввод 1</v>
      </c>
      <c r="DK112" t="str">
        <f t="shared" si="123"/>
        <v>Ввод 1</v>
      </c>
      <c r="DL112" t="str">
        <f>IF(D112="","",IF(OR(DJ112="ИБП",DJ112="ДГУ"),"I особая",IF(DJ112="Одиночная","III",_xlfn.XLOOKUP(A112,Щиты[Щит],Щиты[Категория шины «Ввод»],"III"))))</f>
        <v>II</v>
      </c>
      <c r="DM112">
        <f>IF(D112="",0,IFERROR(MATCH(DE112,{"III","II","I","I особая"},0),1))</f>
        <v>2</v>
      </c>
      <c r="DN112">
        <f t="shared" si="124"/>
        <v>2</v>
      </c>
      <c r="DO112" t="str">
        <f>IF(D112="","",IF(DM112&gt;IFERROR(MATCH(DL112,{"III","II","I","I особая"},0),1),"НЕ ОБЕСПЕЧЕНА","ОК"))</f>
        <v>ОК</v>
      </c>
      <c r="DP112" t="str">
        <f>IF(A112="","",_xlfn.XLOOKUP(A112,Щиты[Щит],Щиты[Путь],""))</f>
        <v>|ГРЩ-ЖД|ЩОВ-01|</v>
      </c>
      <c r="DQ112" t="str">
        <f>IF(D112="","",IF(Z112&lt;&gt;"",Z112,IF(IFERROR(_xlfn.XLOOKUP(AT112,Коды_код,Коды_вид)&amp;"","")="","Прочее",_xlfn.XLOOKUP(AT112,Коды_код,Коды_вид)&amp;"")))</f>
        <v>Кондиционирование и увлажнение</v>
      </c>
      <c r="DR112">
        <f>IF(BD112="","",INT((BD112-1)/Столбцов_на_лист)+1)</f>
        <v>2</v>
      </c>
      <c r="DS112" t="str">
        <f t="shared" si="125"/>
        <v>ВВГнг(А)-LS (3х1,5) L=27-0,23%</v>
      </c>
      <c r="DT112">
        <f t="shared" si="126"/>
        <v>0.151</v>
      </c>
      <c r="DU112">
        <f t="shared" si="127"/>
        <v>0.69000000000000006</v>
      </c>
      <c r="DV112">
        <f t="shared" si="128"/>
        <v>1</v>
      </c>
      <c r="DW112">
        <f>IF(AT112="",0,_xlfn.LET(_xlpm.v,IFERROR(VLOOKUP(D112,УГО_спр,3,FALSE),IFERROR(VLOOKUP(AT112,УГО_спр,3,FALSE),IFERROR(VLOOKUP(LEFT(AT112,2),УГО_спр,3,FALSE),""))),IF(_xlpm.v="да",30,IF(ISNUMBER(_xlpm.v),_xlpm.v,0))))</f>
        <v>0</v>
      </c>
      <c r="DX112">
        <f t="shared" si="129"/>
        <v>0</v>
      </c>
      <c r="DY112">
        <f>IF(BD112="","",IF(AD112&lt;&gt;"",COUNTIFS(A$3:A112,A112,AD$3:AD112,"?*"),IF(OR(OR(AS112=1,A112&lt;&gt;A111),AL112="вручную"),"",IF(AS112=1,"",DZ111))))</f>
        <v>10</v>
      </c>
      <c r="DZ112">
        <f t="shared" si="130"/>
        <v>10</v>
      </c>
      <c r="EA112">
        <f>IF(D112="",0,MAX(IFERROR(--X112,0),IFERROR(--VLOOKUP(D112,УГО_спр,4,FALSE),IFERROR(--VLOOKUP(AT112,УГО_спр,4,FALSE),IFERROR(--VLOOKUP(LEFT(AT112,2),УГО_спр,4,FALSE),0)))))</f>
        <v>10</v>
      </c>
      <c r="EB112">
        <f>IF(D112="","",IFERROR(LOOKUP(INDEX(CHOOSE(BR112,Iдоп_1ж,Iдоп_2ж,Iдоп_3ж),MATCH(BS112,Iдоп_S,0))*BP112*BQ112,{6,10,16,20,25,32,40,50,63,80,100,125,160,200,250,315,400,500,630}),""))</f>
        <v>16</v>
      </c>
      <c r="EC112">
        <f>IF(AD112="","",SUMIFS(Линии[_Ток схемы],Линии[_гр.],DY112,Линии[Щит],A112,Линии[_в кабель выше],0))</f>
        <v>0.69000000000000006</v>
      </c>
      <c r="ED112">
        <f>IF(AD112="","",IFERROR(VLOOKUP(EC112,Автомат_номиналы,2,TRUE),""))</f>
        <v>6</v>
      </c>
      <c r="EE112">
        <f>IF(AD112="","",MAX(N(ED112),_xlfn.MAXIFS(Линии[_мин. по типу],Линии[_гр.],DY112,Линии[Щит],A112)))</f>
        <v>10</v>
      </c>
      <c r="EF112">
        <f>IF(AD112="","",_xlfn.MINIFS(Линии[_макс. автомат по кабелю],Линии[_гр.],DY112,Линии[Щит],A112))</f>
        <v>16</v>
      </c>
      <c r="EG112">
        <f>IF(AD112="","",MAX(1,_xlfn.MAXIFS(Линии[_фаз],Линии[_гр.],DY112,Линии[Щит],A112)))</f>
        <v>1</v>
      </c>
      <c r="EH112">
        <f>IF(AD112="","",IF(AND(AD112&lt;&gt;"авто",AD112&lt;&gt;"+"),IF(ISNUMBER(SEARCH("мА",AD112)),IFERROR(--TRIM(RIGHT(SUBSTITUTE(LEFT(AD112,SEARCH("мА",AD112)-1)," ",REPT(" ",9)),6)),30),0),IF(AE112="нет",0,IF(ISNUMBER(AE112),AE112,IF(AE112="да",30,_xlfn.MINIFS(Линии[_дифзащита по коду, мА],Линии[_гр.],DY112,Линии[Щит],A112,Линии[_дифзащита по коду, мА],"&gt;0"))))))</f>
        <v>0</v>
      </c>
      <c r="EI112">
        <f t="shared" si="131"/>
        <v>0</v>
      </c>
      <c r="EJ112" t="str">
        <f t="shared" si="132"/>
        <v>QF10</v>
      </c>
      <c r="EK112" t="str">
        <f t="shared" si="133"/>
        <v>QF10</v>
      </c>
      <c r="EL112" t="str">
        <f t="shared" si="134"/>
        <v/>
      </c>
      <c r="EM112">
        <f t="shared" si="135"/>
        <v>0</v>
      </c>
      <c r="EN112">
        <f>IF(AD112="","",IF(EM112=1,MAX(EE112,Мин_автомат_БП),EE112))</f>
        <v>10</v>
      </c>
      <c r="EO112" t="str">
        <f t="shared" si="136"/>
        <v>1P</v>
      </c>
      <c r="EP112" t="str">
        <f t="shared" si="137"/>
        <v>1P С10А</v>
      </c>
      <c r="EQ112">
        <f t="shared" si="138"/>
        <v>10</v>
      </c>
      <c r="ER112" t="str">
        <f>IF(OR(AI112="",AI112="-"),"",IFERROR(VLOOKUP(AI112,Модули_спр,2,FALSE),"R"))</f>
        <v/>
      </c>
      <c r="ES112" t="str">
        <f>IF(ER112="","",ER112&amp;"."&amp;COUNTIFS(A$3:A112,A112,ER$3:ER112,ER112))</f>
        <v/>
      </c>
      <c r="ET112" t="str">
        <f t="shared" si="139"/>
        <v/>
      </c>
      <c r="EU112" t="str">
        <f t="shared" si="140"/>
        <v/>
      </c>
      <c r="EV112" t="str">
        <f t="shared" si="141"/>
        <v/>
      </c>
      <c r="EW112" t="str">
        <f t="shared" si="142"/>
        <v/>
      </c>
      <c r="EX112">
        <f t="shared" si="143"/>
        <v>1</v>
      </c>
      <c r="EY112" t="str">
        <f>IF(AK112="нет","",IF(AK112&lt;&gt;"",AK112,IF(EX112=1,"XT"&amp;COUNTIFS(A$3:A112,A112,EX$3:EX112,1),"")))</f>
        <v/>
      </c>
      <c r="EZ112" t="str">
        <f t="shared" si="144"/>
        <v>QF10</v>
      </c>
      <c r="FA112" t="str">
        <f t="shared" si="145"/>
        <v/>
      </c>
      <c r="FB112" t="str">
        <f t="shared" si="146"/>
        <v>ok</v>
      </c>
      <c r="FC112" t="str">
        <f>IF(OR(EV112="",ET112=""),"",IF(EV112&gt;IFERROR(VLOOKUP(EU112,Модули_спр,3,FALSE),99),"ЛИШНИЙ КАНАЛ",IF(AND(AJ112&lt;&gt;"=",COUNTIFS(Линии[_модуль гр.],ET112,Линии[Канал (итог)],EV112,Линии[Канал],"&lt;&gt;=",Линии[Щит],A112)&gt;1),"ДУБЛЬ КАНАЛА","")))</f>
        <v/>
      </c>
      <c r="FD112">
        <f t="shared" si="147"/>
        <v>10</v>
      </c>
      <c r="FE112" t="str">
        <f t="shared" si="148"/>
        <v>1P С10А</v>
      </c>
      <c r="FF112">
        <f t="shared" si="149"/>
        <v>0</v>
      </c>
      <c r="FG112">
        <f t="shared" si="150"/>
        <v>0</v>
      </c>
      <c r="FH112" t="str">
        <f t="shared" si="151"/>
        <v/>
      </c>
      <c r="FI112">
        <f t="shared" si="152"/>
        <v>10</v>
      </c>
      <c r="FJ112" t="str">
        <f t="shared" si="153"/>
        <v/>
      </c>
      <c r="FK112" t="str">
        <f>IF(AND(D112="",EZ112=""),"",_xlfn.TEXTJOIN("; ",TRUE,IF(AND(D112&lt;&gt;"",DD112=""),"нет фазы",""),IF(AND(D112&lt;&gt;"",N(DT112)=0,CN112&lt;&gt;"Нет"),"нет мощности",""),IF(AND(EY112&lt;&gt;"",COUNTIFS(Линии[Щит],A112,Линии[Клемма (итог)],EY112)&gt;1),"дубль клеммы "&amp;EY112,""),IF(AND(FB112&lt;&gt;"",FB112&lt;&gt;"ok"),FB112,""),IF(FC112&lt;&gt;"",FC112,""),IF(AND(ISNUMBER(SEARCH("(5х",DS112)),N(DV112)=1),"5 жил на 1 фазе",""),IF(AND(AT112="R",AD112&lt;&gt;"",OR(N(EH112)=0,N(EH112)&gt;30)),"розетка без дифзащиты до 30 мА",""),IFERROR(IF(AND(ISNUMBER(CD112),CD112&gt;CE112),"потери "&amp;FIXED(CD112,1)&amp;" % &gt; "&amp;CE112&amp;" %",""),""),IFERROR(IF(LEFT(FJ112,4)="мало","Iкз мало — отключение &gt; 0,4 с",""),""),IF(AND(D112&lt;&gt;"",BD112=""),"не на схеме","")))</f>
        <v/>
      </c>
      <c r="FL112">
        <f>IF(AD112="","",_xlfn.LET(_xlpm.t,IFERROR(_xlfn.XLOOKUP(EP112,Каталог!$U$4:$U$500,Каталог!$G$4:$G$500),""),_xlpm.k,SEARCH("кА",_xlpm.t),IFERROR(--TRIM(RIGHT(SUBSTITUTE(MID(_xlpm.t,MAX(1,_xlpm.k-4),_xlpm.k-MAX(1,_xlpm.k-4))," ",REPT(" ",9)),5)),"")))</f>
        <v>6</v>
      </c>
      <c r="FM112" t="str">
        <f>IF(OR(FL112="",AD112=""),"",IF(_xlfn.XLOOKUP(A112,Щиты[Щит],Щиты[Iкз max на шинах, кА],"")="","",IF(FL112&lt;_xlfn.XLOOKUP(A112,Щиты[Щит],Щиты[Iкз max на шинах, кА]),"Icu "&amp;FL112&amp;" кА &lt; Iкз max","ok")))</f>
        <v/>
      </c>
      <c r="FN112" t="str">
        <f t="shared" si="154"/>
        <v>QF10</v>
      </c>
      <c r="FO112" t="str">
        <f t="shared" si="155"/>
        <v>QF10|кабель ВВГнг(А)-LS (3х1,5) → Внутренний блок кондиционирования цокольный этаж Пом. №002Т</v>
      </c>
      <c r="FP112" t="str" cm="1">
        <f t="array" ref="FP112">IF(FO112="","",_xlfn.LET(_xlpm.nd,_xlfn.TEXTSPLIT(FO112,"|"),IF(COLUMNS(_xlpm.nd)&gt;1,A112&amp;"¦"&amp;INDEX(_xlpm.nd,1)&amp;"¦"&amp;INDEX(_xlpm.nd,2),"")))</f>
        <v>ЩОВ-01¦QF10¦кабель ВВГнг(А)-LS (3х1,5) → Внутренний блок кондиционирования цокольный этаж Пом. №002Т</v>
      </c>
      <c r="FQ112" t="str">
        <f t="shared" si="156"/>
        <v>K.0.002T.1¦Внутренний блок кондиционирования цокольный этаж Пом. №002Т</v>
      </c>
      <c r="FR112" t="str" cm="1">
        <f t="array" ref="FR112">IF(FO112="","",_xlfn.LET(_xlpm.nd,_xlfn.TEXTSPLIT(FO112,"|"),IF(COLUMNS(_xlpm.nd)&gt;2,A112&amp;"¦"&amp;INDEX(_xlpm.nd,2)&amp;"¦"&amp;INDEX(_xlpm.nd,3),"")))</f>
        <v/>
      </c>
      <c r="FS112" t="str">
        <f t="shared" si="157"/>
        <v/>
      </c>
      <c r="FT112" t="str" cm="1">
        <f t="array" ref="FT112">IF(FO112="","",_xlfn.LET(_xlpm.nd,_xlfn.TEXTSPLIT(FO112,"|"),IF(COLUMNS(_xlpm.nd)&gt;3,A112&amp;"¦"&amp;INDEX(_xlpm.nd,3)&amp;"¦"&amp;INDEX(_xlpm.nd,4),"")))</f>
        <v/>
      </c>
      <c r="FU112" t="str">
        <f t="shared" si="158"/>
        <v/>
      </c>
      <c r="FV112" t="str" cm="1">
        <f t="array" ref="FV112">IF(FO112="","",_xlfn.LET(_xlpm.nd,_xlfn.TEXTSPLIT(FO112,"|"),IF(COLUMNS(_xlpm.nd)&gt;4,A112&amp;"¦"&amp;INDEX(_xlpm.nd,4)&amp;"¦"&amp;INDEX(_xlpm.nd,5),"")))</f>
        <v/>
      </c>
      <c r="FW112" t="str">
        <f t="shared" si="159"/>
        <v/>
      </c>
      <c r="FX112" t="str" cm="1">
        <f t="array" ref="FX112">IF(FO112="","",_xlfn.LET(_xlpm.nd,_xlfn.TEXTSPLIT(FO112,"|"),IF(COLUMNS(_xlpm.nd)&gt;5,A112&amp;"¦"&amp;INDEX(_xlpm.nd,5)&amp;"¦"&amp;INDEX(_xlpm.nd,6),"")))</f>
        <v/>
      </c>
      <c r="FY112" t="str">
        <f t="shared" si="160"/>
        <v/>
      </c>
      <c r="FZ112" t="str" cm="1">
        <f t="array" ref="FZ112">IF(FO112="","",_xlfn.LET(_xlpm.nd,_xlfn.TEXTSPLIT(FO112,"|"),IF(COLUMNS(_xlpm.nd)&gt;6,A112&amp;"¦"&amp;INDEX(_xlpm.nd,6)&amp;"¦"&amp;INDEX(_xlpm.nd,7),"")))</f>
        <v/>
      </c>
      <c r="GA112" t="str">
        <f t="shared" si="161"/>
        <v/>
      </c>
      <c r="GB112" t="str">
        <f t="shared" si="162"/>
        <v/>
      </c>
      <c r="GC112" t="str">
        <f t="shared" si="163"/>
        <v>QF10</v>
      </c>
      <c r="GD112">
        <f t="shared" si="164"/>
        <v>1</v>
      </c>
      <c r="GE112">
        <f t="shared" si="165"/>
        <v>0</v>
      </c>
      <c r="GF112">
        <f t="shared" si="166"/>
        <v>0</v>
      </c>
      <c r="GG112" t="str">
        <f t="shared" si="167"/>
        <v/>
      </c>
      <c r="GH112" t="str">
        <f t="shared" si="168"/>
        <v/>
      </c>
      <c r="GI112" t="str">
        <f t="shared" si="169"/>
        <v/>
      </c>
      <c r="GJ112" t="str">
        <f t="shared" si="170"/>
        <v/>
      </c>
      <c r="GK112">
        <f>IF(D112="","",IFERROR(VLOOKUP(D112,УГО_спр,2,FALSE),IFERROR(VLOOKUP(AT112,УГО_спр,2,FALSE),IFERROR(VLOOKUP(LEFT(AT112,2),УГО_спр,2,FALSE),""))))</f>
        <v>0</v>
      </c>
      <c r="GL112" t="str">
        <f>IF(D112="","",IF(OR(GK112="",GK112=0),"BOX",IFERROR(IF(VLOOKUP(GK112,УГО_блоки,3,FALSE)&amp;""&lt;&gt;"",VLOOKUP(GK112,УГО_блоки,3,FALSE),VLOOKUP(GK112,УГО_блоки,2,FALSE)),GK112)))</f>
        <v>BOX</v>
      </c>
      <c r="GM112">
        <f t="shared" si="171"/>
        <v>1</v>
      </c>
      <c r="GN112" t="str">
        <f>IF(EP112="","",IF(COUNTIF(EP$3:EP112,EP112)=1,MAX(GN$2:GN111)+1,""))</f>
        <v/>
      </c>
      <c r="GO112" t="str">
        <f>IF(AF112="","",IF(COUNTIF(AF$3:AF112,AF112)+COUNTIF(AG$2:AG111,AF112)+COUNTIF(AH$2:AH111,AF112)=1,MAX(GO$2:GQ111)+1,""))</f>
        <v/>
      </c>
      <c r="GP112" t="str">
        <f>IF(AG112="","",IF(COUNTIF(AF$3:AF112,AG112)+COUNTIF(AG$3:AG112,AG112)+COUNTIF(AH$2:AH111,AG112)=1,MAX(GO$2:GQ111,GO112)+1,""))</f>
        <v/>
      </c>
      <c r="GQ112" t="str">
        <f>IF(AH112="","",IF(COUNTIF(AF$3:AF112,AH112)+COUNTIF(AG$3:AG112,AH112)+COUNTIF(AH$3:AH112,AH112)=1,MAX(GO$2:GQ111,GO112,GP112)+1,""))</f>
        <v/>
      </c>
      <c r="GR112" t="str">
        <f t="shared" si="172"/>
        <v>3х1,5</v>
      </c>
      <c r="GS112" t="str">
        <f>IF(GR112="","",IF(COUNTIF(GR$3:GR112,GR112)=1,MAX(GS$2:GS111)+1,""))</f>
        <v/>
      </c>
      <c r="GT112" t="str">
        <f>IF(ES112="","",COUNTIF(ES$3:ES112,"?*"))</f>
        <v/>
      </c>
      <c r="GU112" t="str">
        <f>IF(OR(ES112="",EU112=""),"",IF(COUNTIFS(ES$3:ES112,"?*",EU$3:EU112,EU112)=1,MAX(GU$2:GU111)+1,""))</f>
        <v/>
      </c>
      <c r="GV112">
        <f t="shared" si="173"/>
        <v>0</v>
      </c>
      <c r="GW112">
        <f>IF(D112="","",COUNTIF(D$3:D112,"?*"))</f>
        <v>110</v>
      </c>
      <c r="GX112">
        <f>IF(EX112&lt;&gt;1,0,_xlfn.LET(_xlpm.k,MAX(IFERROR(--VLOOKUP(D112,УГО_спр,5,FALSE),0),IFERROR(--VLOOKUP(AT112,УГО_спр,5,FALSE),0),IFERROR(--VLOOKUP(LEFT(AT112,2),УГО_спр,5,FALSE),0)),IF(_xlpm.k&gt;0,_xlpm.k,IF(IFERROR(--LEFT(SUBSTITUTE(GR112,"x","х"),FIND("х",SUBSTITUTE(GR112,"x","х"))-1),3)&gt;3,Каталог!$S$9,1))))</f>
        <v>1</v>
      </c>
      <c r="GY112">
        <f t="shared" si="174"/>
        <v>0</v>
      </c>
    </row>
    <row r="113" spans="1:207" x14ac:dyDescent="0.3">
      <c r="A113" t="s">
        <v>750</v>
      </c>
      <c r="B113">
        <v>25</v>
      </c>
      <c r="C113" t="str">
        <f>IF(BD113="","",IF(BE113="вводной узел","узел ","")&amp;"л."&amp;(INT((BD113-1)/Столбцов_на_лист)+1)&amp;" / "&amp;(MOD(BD113-1,Столбцов_на_лист)+1))</f>
        <v>л.2 / 8</v>
      </c>
      <c r="D113" t="s">
        <v>1404</v>
      </c>
      <c r="E113" s="133" t="s">
        <v>1403</v>
      </c>
      <c r="G113">
        <v>0.151</v>
      </c>
      <c r="H113">
        <v>1</v>
      </c>
      <c r="I113">
        <v>1</v>
      </c>
      <c r="J113">
        <v>230</v>
      </c>
      <c r="K113" t="s">
        <v>602</v>
      </c>
      <c r="L113">
        <v>0.5</v>
      </c>
      <c r="O113">
        <v>2</v>
      </c>
      <c r="P113">
        <v>23</v>
      </c>
      <c r="Q113">
        <v>15</v>
      </c>
      <c r="R113">
        <v>10</v>
      </c>
      <c r="T113">
        <v>1</v>
      </c>
      <c r="U113" t="s">
        <v>11</v>
      </c>
      <c r="V113">
        <v>3</v>
      </c>
      <c r="W113">
        <v>1.5</v>
      </c>
      <c r="X113">
        <v>10</v>
      </c>
      <c r="Z113" t="s">
        <v>580</v>
      </c>
      <c r="AA113" t="s">
        <v>818</v>
      </c>
      <c r="AD113" t="s">
        <v>517</v>
      </c>
      <c r="AK113" t="s">
        <v>488</v>
      </c>
      <c r="AR113" t="str">
        <f t="shared" si="88"/>
        <v/>
      </c>
      <c r="AS113" cm="1">
        <f t="array" ref="AS113">ROW()-ROW(Линии[#Headers])</f>
        <v>111</v>
      </c>
      <c r="AT113" t="str">
        <f t="shared" si="89"/>
        <v>K</v>
      </c>
      <c r="AU113" t="str">
        <f t="shared" si="90"/>
        <v>0.002T.2</v>
      </c>
      <c r="AV113" t="str">
        <f t="shared" si="91"/>
        <v>0</v>
      </c>
      <c r="AW113" t="str">
        <f t="shared" si="92"/>
        <v>002T.2</v>
      </c>
      <c r="AX113" t="str">
        <f t="shared" si="93"/>
        <v>002T</v>
      </c>
      <c r="AY113" t="str">
        <f>IF(D113="","",IF(ISERROR(SEARCH(".",D113)),IFERROR(VLOOKUP(D113,Потребители_обозначение,2,FALSE)&amp;"",""),IFERROR(IF(VLOOKUP(AT113,Потребители_обозначение,4,FALSE)=1,VLOOKUP(AT113,Потребители_обозначение,2,FALSE)&amp;" "&amp;VLOOKUP(AV113,Этаж_обозначение,2,FALSE)&amp;" Пом. №"&amp;AX113,VLOOKUP(AT113,Потребители_обозначение,2,FALSE)&amp;" Шлейф №"&amp;AV113),IFERROR(VLOOKUP(D113,Потребители_обозначение,2,FALSE),""))))</f>
        <v>Внутренний блок кондиционирования Цокольный этаж Пом. №002T</v>
      </c>
      <c r="AZ113" t="str">
        <f t="shared" si="94"/>
        <v>Внутренний блок кондиционирования цокольный этаж Пом. №002Т</v>
      </c>
      <c r="BA113" t="str">
        <f>IF(F113&lt;&gt;"",F113,IF(AND(D113&lt;&gt;"",D113&lt;&gt;A113,ISNUMBER(_xlfn.XMATCH(D113,Щиты[Щит]))),D113,""))</f>
        <v/>
      </c>
      <c r="BB113">
        <f>IFERROR(_xlfn.XMATCH(A113,Щиты[Щит]),0)</f>
        <v>6</v>
      </c>
      <c r="BC113">
        <f>IFERROR(N(_xlfn.XLOOKUP(A113,Щиты[Щит],Щиты[Мест под вводной узел])),15)</f>
        <v>12</v>
      </c>
      <c r="BD113">
        <f t="shared" si="95"/>
        <v>25</v>
      </c>
      <c r="BE113" t="str">
        <f t="shared" si="96"/>
        <v>линии</v>
      </c>
      <c r="BF113">
        <f>IF(D113="","",IF(BA113&lt;&gt;"",IFERROR(_xlfn.XLOOKUP(BA113,Щиты[Щит],Щиты[Руст, кВт]),0),N(G113)))</f>
        <v>0.151</v>
      </c>
      <c r="BG113">
        <f>IF(J113&lt;&gt;"",J113,IF(D113="","",IFERROR(IF(VLOOKUP(AT113,Потребители_обозначение,8,FALSE)=0,"",VLOOKUP(AT113,Потребители_обозначение,8,FALSE)),"")))</f>
        <v>230</v>
      </c>
      <c r="BH113">
        <f>IF(I113&lt;&gt;"",I113,IF(D113="","",IFERROR(IF(VLOOKUP(AT113,Потребители_обозначение,9,FALSE)=0,"",VLOOKUP(AT113,Потребители_обозначение,9,FALSE)),"")))</f>
        <v>1</v>
      </c>
      <c r="BI113" t="str">
        <f>IF(U113&lt;&gt;"",U113,IF(D113="","",IFERROR(IF(VLOOKUP(AT113,Потребители_обозначение,6,FALSE)=0,"",VLOOKUP(AT113,Потребители_обозначение,6,FALSE)),"")))</f>
        <v>мс</v>
      </c>
      <c r="BJ113">
        <f>IF(V113&lt;&gt;"",V113,IF(D113="","",IFERROR(IF(VLOOKUP(AT113,Потребители_обозначение,7,FALSE)=0,"",VLOOKUP(AT113,Потребители_обозначение,7,FALSE)),"")))</f>
        <v>3</v>
      </c>
      <c r="BK113">
        <f>IF(W113&lt;&gt;"",W113,IF(D113="","",IFERROR(IF(VLOOKUP(AT113,Потребители_обозначение,10,FALSE)=0,"",VLOOKUP(AT113,Потребители_обозначение,10,FALSE)),"")))</f>
        <v>1.5</v>
      </c>
      <c r="BL113">
        <f>IFERROR(VLOOKUP(AT113,Потребители_обозначение,5,FALSE),0)</f>
        <v>1</v>
      </c>
      <c r="BM113" cm="1">
        <f t="array" ref="BM113">IF(D113="","",IF(BA113&lt;&gt;"",IFERROR(_xlfn.XLOOKUP(BA113,Щиты[Щит],Щиты[cos φ]),0.95),IF(ISNUMBER(M113),M113,IFERROR(IF(BL113=2,_xlfn.IFS(BH113=3,VLOOKUP(BF113,Справочная_двигатели,8,FALSE),BH113=1,VLOOKUP(BF113,Справочная_двигатели,10,TRUE)),IF(AND(Методика="нормы 2026",CN113="Сил"),0.8,0.95)),0.95))))</f>
        <v>0.95</v>
      </c>
      <c r="BN113" cm="1">
        <f t="array" ref="BN113">IF(D113="","",IF(BA113&lt;&gt;"",IFERROR(_xlfn.XLOOKUP(BA113,Щиты[Щит],Щиты[Iр, А]),""),IFERROR(_xlfn.IFS(BH113=1,BF113/((Uн_лин/SQRT(3))*BM113),BH113=3,BF113/(SQRT(3)*Uн_лин*BM113)),"")))</f>
        <v>0.68826229458658017</v>
      </c>
      <c r="BO113">
        <f>IF(D113="","",IF(N(X113)=0,IFERROR(VLOOKUP(BN113,Автомат_номиналы,2,TRUE),""),X113))</f>
        <v>10</v>
      </c>
      <c r="BP113">
        <f t="shared" si="97"/>
        <v>1</v>
      </c>
      <c r="BQ113">
        <f>IF(ISNUMBER(Y113),Y113,К_прокл)</f>
        <v>1</v>
      </c>
      <c r="BR113">
        <f t="shared" si="98"/>
        <v>2</v>
      </c>
      <c r="BS113" cm="1">
        <f t="array" ref="BS113">IF(D113="","",IF(N(BK113)&lt;&gt;0,BK113,IFERROR(_xlfn.LET(_xlpm.need,BO113/(BP113*BQ113),_xlpm.t,CHOOSE(BR113,Iдоп_1ж,Iдоп_2ж,Iдоп_3ж),_xlpm.k,_xlfn.XMATCH(_xlpm.need,_xlpm.t,1),IF(ISNA(_xlpm.k),"Не исп",INDEX(Iдоп_S,_xlpm.k))),"Не исп")))</f>
        <v>1.5</v>
      </c>
      <c r="BT113">
        <f>IFERROR(VLOOKUP(BS113,Кабель_сопротивление,3,FALSE),"")</f>
        <v>2.2499999999999999E-2</v>
      </c>
      <c r="BU113">
        <f>IFERROR(VLOOKUP(BS113,Кабель_сопротивление,2,FALSE),"")</f>
        <v>0.11</v>
      </c>
      <c r="BV113">
        <f t="shared" si="99"/>
        <v>23</v>
      </c>
      <c r="BW113">
        <f>IF(D113="","",IFERROR(IF(VLOOKUP(AT113,Потребители_обозначение,4,FALSE)=1,VLOOKUP(AT113,Потребители_обозначение,3,FALSE)*(H113*2-1)+BV113+VLOOKUP(AV113,Этаж_обозначение,3,FALSE)+VLOOKUP(AV113,Этаж_обозначение,4,FALSE),VLOOKUP(AT113,Потребители_обозначение,3,FALSE)*(H113*2-1)+BV113),BV113))</f>
        <v>25</v>
      </c>
      <c r="BX113">
        <f t="shared" si="100"/>
        <v>10</v>
      </c>
      <c r="BY113">
        <f t="shared" si="101"/>
        <v>0</v>
      </c>
      <c r="BZ113">
        <f t="shared" si="102"/>
        <v>2</v>
      </c>
      <c r="CA113">
        <f t="shared" si="103"/>
        <v>0.31</v>
      </c>
      <c r="CB113">
        <f t="shared" si="104"/>
        <v>0.49156037210520842</v>
      </c>
      <c r="CC113">
        <f>IFERROR(ROUNDUP(CB113/((Uн_лин/SQRT(3))*1000)*100,2),"")</f>
        <v>0.22</v>
      </c>
      <c r="CD113">
        <f>IF(ISNUMBER(CC113),CC113+IFERROR(_xlfn.XLOOKUP(A113,Щиты[Щит],Щиты[ΔU до шин, %]),0),"")</f>
        <v>0.46</v>
      </c>
      <c r="CE113">
        <f>IF(D113="","",IF(IFERROR(VLOOKUP(AT113,УГО_спр,2,FALSE),"")="Светильник",3,4)+IF(Методика="нормы 2026",MIN(0.5,MAX(0,N(BW113)-100)*0.005),0))</f>
        <v>4</v>
      </c>
      <c r="CF113" t="str">
        <f>IFERROR(VLOOKUP(BI113,Кабель_обозначение,2,FALSE),"")</f>
        <v>ВВГнг(А)-LS</v>
      </c>
      <c r="CG113" t="str">
        <f>IFERROR(IF(VLOOKUP(BI113,Кабель_обозначение,3,FALSE)=1,CF113&amp;" ("&amp;BJ113&amp;"х"&amp;BS113&amp;")",CF113),"")</f>
        <v>ВВГнг(А)-LS (3х1,5)</v>
      </c>
      <c r="CH113" t="str">
        <f t="shared" si="105"/>
        <v>ВВГнг(А)-LS (3х1,5)
L=25-0,22%</v>
      </c>
      <c r="CI113">
        <f>IFERROR(2*ρкз_Cu*BW113/BS113,"")</f>
        <v>0.87666666666666659</v>
      </c>
      <c r="CJ113">
        <f t="shared" si="106"/>
        <v>0.29166666666666669</v>
      </c>
      <c r="CK113" t="str">
        <f>IFERROR(IF(OR(D113="",NOT(ISNUMBER(BS113)),N(BW113)=0),"",_xlfn.XLOOKUP(A113,Щиты[Щит],Щиты[Zпетли на шинах, Ом])+CI113),"")</f>
        <v/>
      </c>
      <c r="CL113" t="str">
        <f>IF(ISNUMBER(CK113),c_min*(Uн_лин*1000/SQRT(3))/CK113,"")</f>
        <v/>
      </c>
      <c r="CM113" t="str">
        <f>IFERROR(IF(OR(D113="",NOT(ISNUMBER(BS113))),"",1.05*(Uн_лин*1000/SQRT(3))/(_xlfn.XLOOKUP(A113,Щиты[Щит],Щиты[Zmax на шинах, Ом])+CJ113)/1000),"")</f>
        <v/>
      </c>
      <c r="CN113" t="str">
        <f>IF(D113="","",IF(BA113&lt;&gt;"","Щит",IF(K113&lt;&gt;"",K113,IF(ISNUMBER(L113),"Сил",IF(IFERROR(_xlfn.XLOOKUP(AT113,Коды_код,Коды_группа)&amp;"","")="","Быт",_xlfn.XLOOKUP(AT113,Коды_код,Коды_группа)&amp;"")))))</f>
        <v>Сил</v>
      </c>
      <c r="CO113">
        <f>IF(CN113="Щит","щит",IF(CN113="","",IF(CN113="Быт",IFERROR(_xlfn.XLOOKUP(A113,Щиты[Щит],Щиты[Кс быт]),1),IF(CN113="Сил",IF(ISNUMBER(L113),L113,IF(Методика="нормы 2026",IFERROR(_xlfn.XLOOKUP(A113,Щиты[Щит],Щиты[Кс силовых (табл. 7.5)]),1),1)),IF(OR(CN113="Пост",CN113="Отоп"),1,IF(CN113="ВНГ",0.7,0))))))</f>
        <v>0.5</v>
      </c>
      <c r="CP113">
        <f t="shared" si="107"/>
        <v>1</v>
      </c>
      <c r="CQ113">
        <f t="shared" si="108"/>
        <v>0.151</v>
      </c>
      <c r="CR113">
        <f t="shared" si="109"/>
        <v>0</v>
      </c>
      <c r="CS113">
        <f t="shared" si="110"/>
        <v>7.5499999999999998E-2</v>
      </c>
      <c r="CT113">
        <f t="shared" si="111"/>
        <v>0</v>
      </c>
      <c r="CU113">
        <f t="shared" si="112"/>
        <v>0</v>
      </c>
      <c r="CV113">
        <f t="shared" si="113"/>
        <v>0</v>
      </c>
      <c r="CW113">
        <f t="shared" si="114"/>
        <v>0.151</v>
      </c>
      <c r="CX113">
        <f t="shared" si="115"/>
        <v>0.14344999999999999</v>
      </c>
      <c r="CY113">
        <f t="shared" si="116"/>
        <v>1</v>
      </c>
      <c r="CZ113" t="str">
        <f t="shared" si="117"/>
        <v>L1</v>
      </c>
      <c r="DA113" cm="1">
        <f t="array" ref="DA113">IFERROR(IF(BL113=2,_xlfn.IFS(BH113=3,VLOOKUP(BF113,Справочная_двигатели,3,FALSE),BH113=1,VLOOKUP(BF113,Справочная_двигатели,5,TRUE)),0),0)</f>
        <v>0</v>
      </c>
      <c r="DB113">
        <f>IFERROR(IF(BL113=3,VLOOKUP(BF113,Справочная_ЛЭД,2,TRUE),0),0)</f>
        <v>0</v>
      </c>
      <c r="DC113">
        <f t="shared" si="118"/>
        <v>0</v>
      </c>
      <c r="DD113" t="str">
        <f t="shared" si="119"/>
        <v>L2</v>
      </c>
      <c r="DE113" t="str" cm="1">
        <f t="array" ref="DE113">IF(D113="","",IFERROR(INDEX({"I особая","I","II","III"},MATCH(TRIM(AA113&amp;""),{"I особая","I","II","III"},0)),"III"))</f>
        <v>II</v>
      </c>
      <c r="DF113" t="str">
        <f>IF(D113="","",IF(TRIM(AB113&amp;"")&lt;&gt;"",IF(LOWER(TRIM(AB113&amp;""))="да","да","нет"),IF(IFERROR(_xlfn.XLOOKUP(AT113,Коды_код,Коды_пожарная),"")="да","да","нет")))</f>
        <v>нет</v>
      </c>
      <c r="DG113" t="str">
        <f t="shared" si="120"/>
        <v/>
      </c>
      <c r="DH113" t="str">
        <f t="shared" si="121"/>
        <v>основная</v>
      </c>
      <c r="DI113">
        <f t="shared" si="122"/>
        <v>1</v>
      </c>
      <c r="DJ113" t="str" cm="1">
        <f t="array" ref="DJ113">IF(D113="","",_xlfn.LET(_xlpm.t,IFERROR(_xlfn.XLOOKUP(1,(Шины[Шина]=DH113)*(((Шины[Щит]=A113)+(Шины[Щит]=""))&gt;0),Шины[Тип]),"")&amp;"",IF(_xlpm.t&lt;&gt;"",_xlpm.t,IF(ISNUMBER(SEARCH("ИБП",DH113)),"ИБП",IF(ISNUMBER(SEARCH("ДГУ",DH113)),"ДГУ","Ввод "&amp;DI113)))))</f>
        <v>Ввод 1</v>
      </c>
      <c r="DK113" t="str">
        <f t="shared" si="123"/>
        <v>Ввод 1</v>
      </c>
      <c r="DL113" t="str">
        <f>IF(D113="","",IF(OR(DJ113="ИБП",DJ113="ДГУ"),"I особая",IF(DJ113="Одиночная","III",_xlfn.XLOOKUP(A113,Щиты[Щит],Щиты[Категория шины «Ввод»],"III"))))</f>
        <v>II</v>
      </c>
      <c r="DM113">
        <f>IF(D113="",0,IFERROR(MATCH(DE113,{"III","II","I","I особая"},0),1))</f>
        <v>2</v>
      </c>
      <c r="DN113">
        <f t="shared" si="124"/>
        <v>2</v>
      </c>
      <c r="DO113" t="str">
        <f>IF(D113="","",IF(DM113&gt;IFERROR(MATCH(DL113,{"III","II","I","I особая"},0),1),"НЕ ОБЕСПЕЧЕНА","ОК"))</f>
        <v>ОК</v>
      </c>
      <c r="DP113" t="str">
        <f>IF(A113="","",_xlfn.XLOOKUP(A113,Щиты[Щит],Щиты[Путь],""))</f>
        <v>|ГРЩ-ЖД|ЩОВ-01|</v>
      </c>
      <c r="DQ113" t="str">
        <f>IF(D113="","",IF(Z113&lt;&gt;"",Z113,IF(IFERROR(_xlfn.XLOOKUP(AT113,Коды_код,Коды_вид)&amp;"","")="","Прочее",_xlfn.XLOOKUP(AT113,Коды_код,Коды_вид)&amp;"")))</f>
        <v>Кондиционирование и увлажнение</v>
      </c>
      <c r="DR113">
        <f>IF(BD113="","",INT((BD113-1)/Столбцов_на_лист)+1)</f>
        <v>2</v>
      </c>
      <c r="DS113" t="str">
        <f t="shared" si="125"/>
        <v>ВВГнг(А)-LS (3х1,5) L=25-0,22%</v>
      </c>
      <c r="DT113">
        <f t="shared" si="126"/>
        <v>0.151</v>
      </c>
      <c r="DU113">
        <f t="shared" si="127"/>
        <v>0.69000000000000006</v>
      </c>
      <c r="DV113">
        <f t="shared" si="128"/>
        <v>1</v>
      </c>
      <c r="DW113">
        <f>IF(AT113="",0,_xlfn.LET(_xlpm.v,IFERROR(VLOOKUP(D113,УГО_спр,3,FALSE),IFERROR(VLOOKUP(AT113,УГО_спр,3,FALSE),IFERROR(VLOOKUP(LEFT(AT113,2),УГО_спр,3,FALSE),""))),IF(_xlpm.v="да",30,IF(ISNUMBER(_xlpm.v),_xlpm.v,0))))</f>
        <v>0</v>
      </c>
      <c r="DX113">
        <f t="shared" si="129"/>
        <v>0</v>
      </c>
      <c r="DY113">
        <f>IF(BD113="","",IF(AD113&lt;&gt;"",COUNTIFS(A$3:A113,A113,AD$3:AD113,"?*"),IF(OR(OR(AS113=1,A113&lt;&gt;A112),AL113="вручную"),"",IF(AS113=1,"",DZ112))))</f>
        <v>11</v>
      </c>
      <c r="DZ113">
        <f t="shared" si="130"/>
        <v>11</v>
      </c>
      <c r="EA113">
        <f>IF(D113="",0,MAX(IFERROR(--X113,0),IFERROR(--VLOOKUP(D113,УГО_спр,4,FALSE),IFERROR(--VLOOKUP(AT113,УГО_спр,4,FALSE),IFERROR(--VLOOKUP(LEFT(AT113,2),УГО_спр,4,FALSE),0)))))</f>
        <v>10</v>
      </c>
      <c r="EB113">
        <f>IF(D113="","",IFERROR(LOOKUP(INDEX(CHOOSE(BR113,Iдоп_1ж,Iдоп_2ж,Iдоп_3ж),MATCH(BS113,Iдоп_S,0))*BP113*BQ113,{6,10,16,20,25,32,40,50,63,80,100,125,160,200,250,315,400,500,630}),""))</f>
        <v>16</v>
      </c>
      <c r="EC113">
        <f>IF(AD113="","",SUMIFS(Линии[_Ток схемы],Линии[_гр.],DY113,Линии[Щит],A113,Линии[_в кабель выше],0))</f>
        <v>0.69000000000000006</v>
      </c>
      <c r="ED113">
        <f>IF(AD113="","",IFERROR(VLOOKUP(EC113,Автомат_номиналы,2,TRUE),""))</f>
        <v>6</v>
      </c>
      <c r="EE113">
        <f>IF(AD113="","",MAX(N(ED113),_xlfn.MAXIFS(Линии[_мин. по типу],Линии[_гр.],DY113,Линии[Щит],A113)))</f>
        <v>10</v>
      </c>
      <c r="EF113">
        <f>IF(AD113="","",_xlfn.MINIFS(Линии[_макс. автомат по кабелю],Линии[_гр.],DY113,Линии[Щит],A113))</f>
        <v>16</v>
      </c>
      <c r="EG113">
        <f>IF(AD113="","",MAX(1,_xlfn.MAXIFS(Линии[_фаз],Линии[_гр.],DY113,Линии[Щит],A113)))</f>
        <v>1</v>
      </c>
      <c r="EH113">
        <f>IF(AD113="","",IF(AND(AD113&lt;&gt;"авто",AD113&lt;&gt;"+"),IF(ISNUMBER(SEARCH("мА",AD113)),IFERROR(--TRIM(RIGHT(SUBSTITUTE(LEFT(AD113,SEARCH("мА",AD113)-1)," ",REPT(" ",9)),6)),30),0),IF(AE113="нет",0,IF(ISNUMBER(AE113),AE113,IF(AE113="да",30,_xlfn.MINIFS(Линии[_дифзащита по коду, мА],Линии[_гр.],DY113,Линии[Щит],A113,Линии[_дифзащита по коду, мА],"&gt;0"))))))</f>
        <v>0</v>
      </c>
      <c r="EI113">
        <f t="shared" si="131"/>
        <v>0</v>
      </c>
      <c r="EJ113" t="str">
        <f t="shared" si="132"/>
        <v>QF11</v>
      </c>
      <c r="EK113" t="str">
        <f t="shared" si="133"/>
        <v>QF11</v>
      </c>
      <c r="EL113" t="str">
        <f t="shared" si="134"/>
        <v/>
      </c>
      <c r="EM113">
        <f t="shared" si="135"/>
        <v>0</v>
      </c>
      <c r="EN113">
        <f>IF(AD113="","",IF(EM113=1,MAX(EE113,Мин_автомат_БП),EE113))</f>
        <v>10</v>
      </c>
      <c r="EO113" t="str">
        <f t="shared" si="136"/>
        <v>1P</v>
      </c>
      <c r="EP113" t="str">
        <f t="shared" si="137"/>
        <v>1P С10А</v>
      </c>
      <c r="EQ113">
        <f t="shared" si="138"/>
        <v>10</v>
      </c>
      <c r="ER113" t="str">
        <f>IF(OR(AI113="",AI113="-"),"",IFERROR(VLOOKUP(AI113,Модули_спр,2,FALSE),"R"))</f>
        <v/>
      </c>
      <c r="ES113" t="str">
        <f>IF(ER113="","",ER113&amp;"."&amp;COUNTIFS(A$3:A113,A113,ER$3:ER113,ER113))</f>
        <v/>
      </c>
      <c r="ET113" t="str">
        <f t="shared" si="139"/>
        <v/>
      </c>
      <c r="EU113" t="str">
        <f t="shared" si="140"/>
        <v/>
      </c>
      <c r="EV113" t="str">
        <f t="shared" si="141"/>
        <v/>
      </c>
      <c r="EW113" t="str">
        <f t="shared" si="142"/>
        <v/>
      </c>
      <c r="EX113">
        <f t="shared" si="143"/>
        <v>1</v>
      </c>
      <c r="EY113" t="str">
        <f>IF(AK113="нет","",IF(AK113&lt;&gt;"",AK113,IF(EX113=1,"XT"&amp;COUNTIFS(A$3:A113,A113,EX$3:EX113,1),"")))</f>
        <v/>
      </c>
      <c r="EZ113" t="str">
        <f t="shared" si="144"/>
        <v>QF11</v>
      </c>
      <c r="FA113" t="str">
        <f t="shared" si="145"/>
        <v/>
      </c>
      <c r="FB113" t="str">
        <f t="shared" si="146"/>
        <v>ok</v>
      </c>
      <c r="FC113" t="str">
        <f>IF(OR(EV113="",ET113=""),"",IF(EV113&gt;IFERROR(VLOOKUP(EU113,Модули_спр,3,FALSE),99),"ЛИШНИЙ КАНАЛ",IF(AND(AJ113&lt;&gt;"=",COUNTIFS(Линии[_модуль гр.],ET113,Линии[Канал (итог)],EV113,Линии[Канал],"&lt;&gt;=",Линии[Щит],A113)&gt;1),"ДУБЛЬ КАНАЛА","")))</f>
        <v/>
      </c>
      <c r="FD113">
        <f t="shared" si="147"/>
        <v>10</v>
      </c>
      <c r="FE113" t="str">
        <f t="shared" si="148"/>
        <v>1P С10А</v>
      </c>
      <c r="FF113">
        <f t="shared" si="149"/>
        <v>0</v>
      </c>
      <c r="FG113">
        <f t="shared" si="150"/>
        <v>0</v>
      </c>
      <c r="FH113" t="str">
        <f t="shared" si="151"/>
        <v/>
      </c>
      <c r="FI113">
        <f t="shared" si="152"/>
        <v>10</v>
      </c>
      <c r="FJ113" t="str">
        <f t="shared" si="153"/>
        <v/>
      </c>
      <c r="FK113" t="str">
        <f>IF(AND(D113="",EZ113=""),"",_xlfn.TEXTJOIN("; ",TRUE,IF(AND(D113&lt;&gt;"",DD113=""),"нет фазы",""),IF(AND(D113&lt;&gt;"",N(DT113)=0,CN113&lt;&gt;"Нет"),"нет мощности",""),IF(AND(EY113&lt;&gt;"",COUNTIFS(Линии[Щит],A113,Линии[Клемма (итог)],EY113)&gt;1),"дубль клеммы "&amp;EY113,""),IF(AND(FB113&lt;&gt;"",FB113&lt;&gt;"ok"),FB113,""),IF(FC113&lt;&gt;"",FC113,""),IF(AND(ISNUMBER(SEARCH("(5х",DS113)),N(DV113)=1),"5 жил на 1 фазе",""),IF(AND(AT113="R",AD113&lt;&gt;"",OR(N(EH113)=0,N(EH113)&gt;30)),"розетка без дифзащиты до 30 мА",""),IFERROR(IF(AND(ISNUMBER(CD113),CD113&gt;CE113),"потери "&amp;FIXED(CD113,1)&amp;" % &gt; "&amp;CE113&amp;" %",""),""),IFERROR(IF(LEFT(FJ113,4)="мало","Iкз мало — отключение &gt; 0,4 с",""),""),IF(AND(D113&lt;&gt;"",BD113=""),"не на схеме","")))</f>
        <v/>
      </c>
      <c r="FL113">
        <f>IF(AD113="","",_xlfn.LET(_xlpm.t,IFERROR(_xlfn.XLOOKUP(EP113,Каталог!$U$4:$U$500,Каталог!$G$4:$G$500),""),_xlpm.k,SEARCH("кА",_xlpm.t),IFERROR(--TRIM(RIGHT(SUBSTITUTE(MID(_xlpm.t,MAX(1,_xlpm.k-4),_xlpm.k-MAX(1,_xlpm.k-4))," ",REPT(" ",9)),5)),"")))</f>
        <v>6</v>
      </c>
      <c r="FM113" t="str">
        <f>IF(OR(FL113="",AD113=""),"",IF(_xlfn.XLOOKUP(A113,Щиты[Щит],Щиты[Iкз max на шинах, кА],"")="","",IF(FL113&lt;_xlfn.XLOOKUP(A113,Щиты[Щит],Щиты[Iкз max на шинах, кА]),"Icu "&amp;FL113&amp;" кА &lt; Iкз max","ok")))</f>
        <v/>
      </c>
      <c r="FN113" t="str">
        <f t="shared" si="154"/>
        <v>QF11</v>
      </c>
      <c r="FO113" t="str">
        <f t="shared" si="155"/>
        <v>QF11|кабель ВВГнг(А)-LS (3х1,5) → Внутренний блок кондиционирования цокольный этаж Пом. №002Т</v>
      </c>
      <c r="FP113" t="str" cm="1">
        <f t="array" ref="FP113">IF(FO113="","",_xlfn.LET(_xlpm.nd,_xlfn.TEXTSPLIT(FO113,"|"),IF(COLUMNS(_xlpm.nd)&gt;1,A113&amp;"¦"&amp;INDEX(_xlpm.nd,1)&amp;"¦"&amp;INDEX(_xlpm.nd,2),"")))</f>
        <v>ЩОВ-01¦QF11¦кабель ВВГнг(А)-LS (3х1,5) → Внутренний блок кондиционирования цокольный этаж Пом. №002Т</v>
      </c>
      <c r="FQ113" t="str">
        <f t="shared" si="156"/>
        <v>K.0.002T.2¦Внутренний блок кондиционирования цокольный этаж Пом. №002Т</v>
      </c>
      <c r="FR113" t="str" cm="1">
        <f t="array" ref="FR113">IF(FO113="","",_xlfn.LET(_xlpm.nd,_xlfn.TEXTSPLIT(FO113,"|"),IF(COLUMNS(_xlpm.nd)&gt;2,A113&amp;"¦"&amp;INDEX(_xlpm.nd,2)&amp;"¦"&amp;INDEX(_xlpm.nd,3),"")))</f>
        <v/>
      </c>
      <c r="FS113" t="str">
        <f t="shared" si="157"/>
        <v/>
      </c>
      <c r="FT113" t="str" cm="1">
        <f t="array" ref="FT113">IF(FO113="","",_xlfn.LET(_xlpm.nd,_xlfn.TEXTSPLIT(FO113,"|"),IF(COLUMNS(_xlpm.nd)&gt;3,A113&amp;"¦"&amp;INDEX(_xlpm.nd,3)&amp;"¦"&amp;INDEX(_xlpm.nd,4),"")))</f>
        <v/>
      </c>
      <c r="FU113" t="str">
        <f t="shared" si="158"/>
        <v/>
      </c>
      <c r="FV113" t="str" cm="1">
        <f t="array" ref="FV113">IF(FO113="","",_xlfn.LET(_xlpm.nd,_xlfn.TEXTSPLIT(FO113,"|"),IF(COLUMNS(_xlpm.nd)&gt;4,A113&amp;"¦"&amp;INDEX(_xlpm.nd,4)&amp;"¦"&amp;INDEX(_xlpm.nd,5),"")))</f>
        <v/>
      </c>
      <c r="FW113" t="str">
        <f t="shared" si="159"/>
        <v/>
      </c>
      <c r="FX113" t="str" cm="1">
        <f t="array" ref="FX113">IF(FO113="","",_xlfn.LET(_xlpm.nd,_xlfn.TEXTSPLIT(FO113,"|"),IF(COLUMNS(_xlpm.nd)&gt;5,A113&amp;"¦"&amp;INDEX(_xlpm.nd,5)&amp;"¦"&amp;INDEX(_xlpm.nd,6),"")))</f>
        <v/>
      </c>
      <c r="FY113" t="str">
        <f t="shared" si="160"/>
        <v/>
      </c>
      <c r="FZ113" t="str" cm="1">
        <f t="array" ref="FZ113">IF(FO113="","",_xlfn.LET(_xlpm.nd,_xlfn.TEXTSPLIT(FO113,"|"),IF(COLUMNS(_xlpm.nd)&gt;6,A113&amp;"¦"&amp;INDEX(_xlpm.nd,6)&amp;"¦"&amp;INDEX(_xlpm.nd,7),"")))</f>
        <v/>
      </c>
      <c r="GA113" t="str">
        <f t="shared" si="161"/>
        <v/>
      </c>
      <c r="GB113" t="str">
        <f t="shared" si="162"/>
        <v/>
      </c>
      <c r="GC113" t="str">
        <f t="shared" si="163"/>
        <v>QF11</v>
      </c>
      <c r="GD113">
        <f t="shared" si="164"/>
        <v>1</v>
      </c>
      <c r="GE113">
        <f t="shared" si="165"/>
        <v>0</v>
      </c>
      <c r="GF113">
        <f t="shared" si="166"/>
        <v>0</v>
      </c>
      <c r="GG113" t="str">
        <f t="shared" si="167"/>
        <v/>
      </c>
      <c r="GH113" t="str">
        <f t="shared" si="168"/>
        <v/>
      </c>
      <c r="GI113" t="str">
        <f t="shared" si="169"/>
        <v/>
      </c>
      <c r="GJ113" t="str">
        <f t="shared" si="170"/>
        <v/>
      </c>
      <c r="GK113">
        <f>IF(D113="","",IFERROR(VLOOKUP(D113,УГО_спр,2,FALSE),IFERROR(VLOOKUP(AT113,УГО_спр,2,FALSE),IFERROR(VLOOKUP(LEFT(AT113,2),УГО_спр,2,FALSE),""))))</f>
        <v>0</v>
      </c>
      <c r="GL113" t="str">
        <f>IF(D113="","",IF(OR(GK113="",GK113=0),"BOX",IFERROR(IF(VLOOKUP(GK113,УГО_блоки,3,FALSE)&amp;""&lt;&gt;"",VLOOKUP(GK113,УГО_блоки,3,FALSE),VLOOKUP(GK113,УГО_блоки,2,FALSE)),GK113)))</f>
        <v>BOX</v>
      </c>
      <c r="GM113">
        <f t="shared" si="171"/>
        <v>1</v>
      </c>
      <c r="GN113" t="str">
        <f>IF(EP113="","",IF(COUNTIF(EP$3:EP113,EP113)=1,MAX(GN$2:GN112)+1,""))</f>
        <v/>
      </c>
      <c r="GO113" t="str">
        <f>IF(AF113="","",IF(COUNTIF(AF$3:AF113,AF113)+COUNTIF(AG$2:AG112,AF113)+COUNTIF(AH$2:AH112,AF113)=1,MAX(GO$2:GQ112)+1,""))</f>
        <v/>
      </c>
      <c r="GP113" t="str">
        <f>IF(AG113="","",IF(COUNTIF(AF$3:AF113,AG113)+COUNTIF(AG$3:AG113,AG113)+COUNTIF(AH$2:AH112,AG113)=1,MAX(GO$2:GQ112,GO113)+1,""))</f>
        <v/>
      </c>
      <c r="GQ113" t="str">
        <f>IF(AH113="","",IF(COUNTIF(AF$3:AF113,AH113)+COUNTIF(AG$3:AG113,AH113)+COUNTIF(AH$3:AH113,AH113)=1,MAX(GO$2:GQ112,GO113,GP113)+1,""))</f>
        <v/>
      </c>
      <c r="GR113" t="str">
        <f t="shared" si="172"/>
        <v>3х1,5</v>
      </c>
      <c r="GS113" t="str">
        <f>IF(GR113="","",IF(COUNTIF(GR$3:GR113,GR113)=1,MAX(GS$2:GS112)+1,""))</f>
        <v/>
      </c>
      <c r="GT113" t="str">
        <f>IF(ES113="","",COUNTIF(ES$3:ES113,"?*"))</f>
        <v/>
      </c>
      <c r="GU113" t="str">
        <f>IF(OR(ES113="",EU113=""),"",IF(COUNTIFS(ES$3:ES113,"?*",EU$3:EU113,EU113)=1,MAX(GU$2:GU112)+1,""))</f>
        <v/>
      </c>
      <c r="GV113">
        <f t="shared" si="173"/>
        <v>0</v>
      </c>
      <c r="GW113">
        <f>IF(D113="","",COUNTIF(D$3:D113,"?*"))</f>
        <v>111</v>
      </c>
      <c r="GX113">
        <f>IF(EX113&lt;&gt;1,0,_xlfn.LET(_xlpm.k,MAX(IFERROR(--VLOOKUP(D113,УГО_спр,5,FALSE),0),IFERROR(--VLOOKUP(AT113,УГО_спр,5,FALSE),0),IFERROR(--VLOOKUP(LEFT(AT113,2),УГО_спр,5,FALSE),0)),IF(_xlpm.k&gt;0,_xlpm.k,IF(IFERROR(--LEFT(SUBSTITUTE(GR113,"x","х"),FIND("х",SUBSTITUTE(GR113,"x","х"))-1),3)&gt;3,Каталог!$S$9,1))))</f>
        <v>1</v>
      </c>
      <c r="GY113">
        <f t="shared" si="174"/>
        <v>0</v>
      </c>
    </row>
    <row r="114" spans="1:207" x14ac:dyDescent="0.3">
      <c r="A114" t="s">
        <v>750</v>
      </c>
      <c r="B114">
        <v>26</v>
      </c>
      <c r="C114" t="str">
        <f>IF(BD114="","",IF(BE114="вводной узел","узел ","")&amp;"л."&amp;(INT((BD114-1)/Столбцов_на_лист)+1)&amp;" / "&amp;(MOD(BD114-1,Столбцов_на_лист)+1))</f>
        <v>л.2 / 9</v>
      </c>
      <c r="D114" t="s">
        <v>1405</v>
      </c>
      <c r="E114" s="133" t="s">
        <v>1406</v>
      </c>
      <c r="G114">
        <v>0.16200000000000001</v>
      </c>
      <c r="H114">
        <v>1</v>
      </c>
      <c r="I114">
        <v>1</v>
      </c>
      <c r="J114">
        <v>230</v>
      </c>
      <c r="K114" t="s">
        <v>602</v>
      </c>
      <c r="L114">
        <v>0.5</v>
      </c>
      <c r="O114">
        <v>3</v>
      </c>
      <c r="P114">
        <v>52</v>
      </c>
      <c r="Q114">
        <v>36</v>
      </c>
      <c r="R114">
        <v>18</v>
      </c>
      <c r="T114">
        <v>1</v>
      </c>
      <c r="U114" t="s">
        <v>11</v>
      </c>
      <c r="V114">
        <v>3</v>
      </c>
      <c r="W114">
        <v>1.5</v>
      </c>
      <c r="X114">
        <v>10</v>
      </c>
      <c r="Z114" t="s">
        <v>580</v>
      </c>
      <c r="AA114" t="s">
        <v>818</v>
      </c>
      <c r="AD114" t="s">
        <v>517</v>
      </c>
      <c r="AK114" t="s">
        <v>488</v>
      </c>
      <c r="AR114" t="str">
        <f t="shared" si="88"/>
        <v/>
      </c>
      <c r="AS114" cm="1">
        <f t="array" ref="AS114">ROW()-ROW(Линии[#Headers])</f>
        <v>112</v>
      </c>
      <c r="AT114" t="str">
        <f t="shared" si="89"/>
        <v>K</v>
      </c>
      <c r="AU114" t="str">
        <f t="shared" si="90"/>
        <v>0.004A-K.0.005A</v>
      </c>
      <c r="AV114" t="str">
        <f t="shared" si="91"/>
        <v>0</v>
      </c>
      <c r="AW114" t="str">
        <f t="shared" si="92"/>
        <v>004A-K.0.005A</v>
      </c>
      <c r="AX114" t="str">
        <f t="shared" si="93"/>
        <v>004A-K</v>
      </c>
      <c r="AY114" t="str">
        <f>IF(D114="","",IF(ISERROR(SEARCH(".",D114)),IFERROR(VLOOKUP(D114,Потребители_обозначение,2,FALSE)&amp;"",""),IFERROR(IF(VLOOKUP(AT114,Потребители_обозначение,4,FALSE)=1,VLOOKUP(AT114,Потребители_обозначение,2,FALSE)&amp;" "&amp;VLOOKUP(AV114,Этаж_обозначение,2,FALSE)&amp;" Пом. №"&amp;AX114,VLOOKUP(AT114,Потребители_обозначение,2,FALSE)&amp;" Шлейф №"&amp;AV114),IFERROR(VLOOKUP(D114,Потребители_обозначение,2,FALSE),""))))</f>
        <v>Внутренний блок кондиционирования Цокольный этаж Пом. №004A-K</v>
      </c>
      <c r="AZ114" t="str">
        <f t="shared" si="94"/>
        <v>Внутренний блок кондиционирования цокольный этаж Пом. №013.1Б</v>
      </c>
      <c r="BA114" t="str">
        <f>IF(F114&lt;&gt;"",F114,IF(AND(D114&lt;&gt;"",D114&lt;&gt;A114,ISNUMBER(_xlfn.XMATCH(D114,Щиты[Щит]))),D114,""))</f>
        <v/>
      </c>
      <c r="BB114">
        <f>IFERROR(_xlfn.XMATCH(A114,Щиты[Щит]),0)</f>
        <v>6</v>
      </c>
      <c r="BC114">
        <f>IFERROR(N(_xlfn.XLOOKUP(A114,Щиты[Щит],Щиты[Мест под вводной узел])),15)</f>
        <v>12</v>
      </c>
      <c r="BD114">
        <f t="shared" si="95"/>
        <v>26</v>
      </c>
      <c r="BE114" t="str">
        <f t="shared" si="96"/>
        <v>линии</v>
      </c>
      <c r="BF114">
        <f>IF(D114="","",IF(BA114&lt;&gt;"",IFERROR(_xlfn.XLOOKUP(BA114,Щиты[Щит],Щиты[Руст, кВт]),0),N(G114)))</f>
        <v>0.16200000000000001</v>
      </c>
      <c r="BG114">
        <f>IF(J114&lt;&gt;"",J114,IF(D114="","",IFERROR(IF(VLOOKUP(AT114,Потребители_обозначение,8,FALSE)=0,"",VLOOKUP(AT114,Потребители_обозначение,8,FALSE)),"")))</f>
        <v>230</v>
      </c>
      <c r="BH114">
        <f>IF(I114&lt;&gt;"",I114,IF(D114="","",IFERROR(IF(VLOOKUP(AT114,Потребители_обозначение,9,FALSE)=0,"",VLOOKUP(AT114,Потребители_обозначение,9,FALSE)),"")))</f>
        <v>1</v>
      </c>
      <c r="BI114" t="str">
        <f>IF(U114&lt;&gt;"",U114,IF(D114="","",IFERROR(IF(VLOOKUP(AT114,Потребители_обозначение,6,FALSE)=0,"",VLOOKUP(AT114,Потребители_обозначение,6,FALSE)),"")))</f>
        <v>мс</v>
      </c>
      <c r="BJ114">
        <f>IF(V114&lt;&gt;"",V114,IF(D114="","",IFERROR(IF(VLOOKUP(AT114,Потребители_обозначение,7,FALSE)=0,"",VLOOKUP(AT114,Потребители_обозначение,7,FALSE)),"")))</f>
        <v>3</v>
      </c>
      <c r="BK114">
        <f>IF(W114&lt;&gt;"",W114,IF(D114="","",IFERROR(IF(VLOOKUP(AT114,Потребители_обозначение,10,FALSE)=0,"",VLOOKUP(AT114,Потребители_обозначение,10,FALSE)),"")))</f>
        <v>1.5</v>
      </c>
      <c r="BL114">
        <f>IFERROR(VLOOKUP(AT114,Потребители_обозначение,5,FALSE),0)</f>
        <v>1</v>
      </c>
      <c r="BM114" cm="1">
        <f t="array" ref="BM114">IF(D114="","",IF(BA114&lt;&gt;"",IFERROR(_xlfn.XLOOKUP(BA114,Щиты[Щит],Щиты[cos φ]),0.95),IF(ISNUMBER(M114),M114,IFERROR(IF(BL114=2,_xlfn.IFS(BH114=3,VLOOKUP(BF114,Справочная_двигатели,8,FALSE),BH114=1,VLOOKUP(BF114,Справочная_двигатели,10,TRUE)),IF(AND(Методика="нормы 2026",CN114="Сил"),0.8,0.95)),0.95))))</f>
        <v>0.95</v>
      </c>
      <c r="BN114" cm="1">
        <f t="array" ref="BN114">IF(D114="","",IF(BA114&lt;&gt;"",IFERROR(_xlfn.XLOOKUP(BA114,Щиты[Щит],Щиты[Iр, А]),""),IFERROR(_xlfn.IFS(BH114=1,BF114/((Uн_лин/SQRT(3))*BM114),BH114=3,BF114/(SQRT(3)*Uн_лин*BM114)),"")))</f>
        <v>0.73840060743725822</v>
      </c>
      <c r="BO114">
        <f>IF(D114="","",IF(N(X114)=0,IFERROR(VLOOKUP(BN114,Автомат_номиналы,2,TRUE),""),X114))</f>
        <v>10</v>
      </c>
      <c r="BP114">
        <f t="shared" si="97"/>
        <v>1</v>
      </c>
      <c r="BQ114">
        <f>IF(ISNUMBER(Y114),Y114,К_прокл)</f>
        <v>1</v>
      </c>
      <c r="BR114">
        <f t="shared" si="98"/>
        <v>2</v>
      </c>
      <c r="BS114" cm="1">
        <f t="array" ref="BS114">IF(D114="","",IF(N(BK114)&lt;&gt;0,BK114,IFERROR(_xlfn.LET(_xlpm.need,BO114/(BP114*BQ114),_xlpm.t,CHOOSE(BR114,Iдоп_1ж,Iдоп_2ж,Iдоп_3ж),_xlpm.k,_xlfn.XMATCH(_xlpm.need,_xlpm.t,1),IF(ISNA(_xlpm.k),"Не исп",INDEX(Iдоп_S,_xlpm.k))),"Не исп")))</f>
        <v>1.5</v>
      </c>
      <c r="BT114">
        <f>IFERROR(VLOOKUP(BS114,Кабель_сопротивление,3,FALSE),"")</f>
        <v>2.2499999999999999E-2</v>
      </c>
      <c r="BU114">
        <f>IFERROR(VLOOKUP(BS114,Кабель_сопротивление,2,FALSE),"")</f>
        <v>0.11</v>
      </c>
      <c r="BV114">
        <f t="shared" si="99"/>
        <v>52</v>
      </c>
      <c r="BW114">
        <f>IF(D114="","",IFERROR(IF(VLOOKUP(AT114,Потребители_обозначение,4,FALSE)=1,VLOOKUP(AT114,Потребители_обозначение,3,FALSE)*(H114*2-1)+BV114+VLOOKUP(AV114,Этаж_обозначение,3,FALSE)+VLOOKUP(AV114,Этаж_обозначение,4,FALSE),VLOOKUP(AT114,Потребители_обозначение,3,FALSE)*(H114*2-1)+BV114),BV114))</f>
        <v>54</v>
      </c>
      <c r="BX114">
        <f t="shared" si="100"/>
        <v>18</v>
      </c>
      <c r="BY114">
        <f t="shared" si="101"/>
        <v>0</v>
      </c>
      <c r="BZ114">
        <f t="shared" si="102"/>
        <v>2</v>
      </c>
      <c r="CA114">
        <f t="shared" si="103"/>
        <v>0.31</v>
      </c>
      <c r="CB114">
        <f t="shared" si="104"/>
        <v>1.1391179166030103</v>
      </c>
      <c r="CC114">
        <f>IFERROR(ROUNDUP(CB114/((Uн_лин/SQRT(3))*1000)*100,2),"")</f>
        <v>0.5</v>
      </c>
      <c r="CD114">
        <f>IF(ISNUMBER(CC114),CC114+IFERROR(_xlfn.XLOOKUP(A114,Щиты[Щит],Щиты[ΔU до шин, %]),0),"")</f>
        <v>0.74</v>
      </c>
      <c r="CE114">
        <f>IF(D114="","",IF(IFERROR(VLOOKUP(AT114,УГО_спр,2,FALSE),"")="Светильник",3,4)+IF(Методика="нормы 2026",MIN(0.5,MAX(0,N(BW114)-100)*0.005),0))</f>
        <v>4</v>
      </c>
      <c r="CF114" t="str">
        <f>IFERROR(VLOOKUP(BI114,Кабель_обозначение,2,FALSE),"")</f>
        <v>ВВГнг(А)-LS</v>
      </c>
      <c r="CG114" t="str">
        <f>IFERROR(IF(VLOOKUP(BI114,Кабель_обозначение,3,FALSE)=1,CF114&amp;" ("&amp;BJ114&amp;"х"&amp;BS114&amp;")",CF114),"")</f>
        <v>ВВГнг(А)-LS (3х1,5)</v>
      </c>
      <c r="CH114" t="str">
        <f t="shared" si="105"/>
        <v>ВВГнг(А)-LS (3х1,5)
L=54-0,5%</v>
      </c>
      <c r="CI114">
        <f>IFERROR(2*ρкз_Cu*BW114/BS114,"")</f>
        <v>1.8936000000000002</v>
      </c>
      <c r="CJ114">
        <f t="shared" si="106"/>
        <v>0.63</v>
      </c>
      <c r="CK114" t="str">
        <f>IFERROR(IF(OR(D114="",NOT(ISNUMBER(BS114)),N(BW114)=0),"",_xlfn.XLOOKUP(A114,Щиты[Щит],Щиты[Zпетли на шинах, Ом])+CI114),"")</f>
        <v/>
      </c>
      <c r="CL114" t="str">
        <f>IF(ISNUMBER(CK114),c_min*(Uн_лин*1000/SQRT(3))/CK114,"")</f>
        <v/>
      </c>
      <c r="CM114" t="str">
        <f>IFERROR(IF(OR(D114="",NOT(ISNUMBER(BS114))),"",1.05*(Uн_лин*1000/SQRT(3))/(_xlfn.XLOOKUP(A114,Щиты[Щит],Щиты[Zmax на шинах, Ом])+CJ114)/1000),"")</f>
        <v/>
      </c>
      <c r="CN114" t="str">
        <f>IF(D114="","",IF(BA114&lt;&gt;"","Щит",IF(K114&lt;&gt;"",K114,IF(ISNUMBER(L114),"Сил",IF(IFERROR(_xlfn.XLOOKUP(AT114,Коды_код,Коды_группа)&amp;"","")="","Быт",_xlfn.XLOOKUP(AT114,Коды_код,Коды_группа)&amp;"")))))</f>
        <v>Сил</v>
      </c>
      <c r="CO114">
        <f>IF(CN114="Щит","щит",IF(CN114="","",IF(CN114="Быт",IFERROR(_xlfn.XLOOKUP(A114,Щиты[Щит],Щиты[Кс быт]),1),IF(CN114="Сил",IF(ISNUMBER(L114),L114,IF(Методика="нормы 2026",IFERROR(_xlfn.XLOOKUP(A114,Щиты[Щит],Щиты[Кс силовых (табл. 7.5)]),1),1)),IF(OR(CN114="Пост",CN114="Отоп"),1,IF(CN114="ВНГ",0.7,0))))))</f>
        <v>0.5</v>
      </c>
      <c r="CP114">
        <f t="shared" si="107"/>
        <v>1</v>
      </c>
      <c r="CQ114">
        <f t="shared" si="108"/>
        <v>0.16200000000000001</v>
      </c>
      <c r="CR114">
        <f t="shared" si="109"/>
        <v>0</v>
      </c>
      <c r="CS114">
        <f t="shared" si="110"/>
        <v>8.1000000000000003E-2</v>
      </c>
      <c r="CT114">
        <f t="shared" si="111"/>
        <v>0</v>
      </c>
      <c r="CU114">
        <f t="shared" si="112"/>
        <v>0</v>
      </c>
      <c r="CV114">
        <f t="shared" si="113"/>
        <v>0</v>
      </c>
      <c r="CW114">
        <f t="shared" si="114"/>
        <v>0.16200000000000001</v>
      </c>
      <c r="CX114">
        <f t="shared" si="115"/>
        <v>0.15390000000000001</v>
      </c>
      <c r="CY114">
        <f t="shared" si="116"/>
        <v>2</v>
      </c>
      <c r="CZ114" t="str">
        <f t="shared" si="117"/>
        <v>L2</v>
      </c>
      <c r="DA114" cm="1">
        <f t="array" ref="DA114">IFERROR(IF(BL114=2,_xlfn.IFS(BH114=3,VLOOKUP(BF114,Справочная_двигатели,3,FALSE),BH114=1,VLOOKUP(BF114,Справочная_двигатели,5,TRUE)),0),0)</f>
        <v>0</v>
      </c>
      <c r="DB114">
        <f>IFERROR(IF(BL114=3,VLOOKUP(BF114,Справочная_ЛЭД,2,TRUE),0),0)</f>
        <v>0</v>
      </c>
      <c r="DC114">
        <f t="shared" si="118"/>
        <v>0</v>
      </c>
      <c r="DD114" t="str">
        <f t="shared" si="119"/>
        <v>L3</v>
      </c>
      <c r="DE114" t="str" cm="1">
        <f t="array" ref="DE114">IF(D114="","",IFERROR(INDEX({"I особая","I","II","III"},MATCH(TRIM(AA114&amp;""),{"I особая","I","II","III"},0)),"III"))</f>
        <v>II</v>
      </c>
      <c r="DF114" t="str">
        <f>IF(D114="","",IF(TRIM(AB114&amp;"")&lt;&gt;"",IF(LOWER(TRIM(AB114&amp;""))="да","да","нет"),IF(IFERROR(_xlfn.XLOOKUP(AT114,Коды_код,Коды_пожарная),"")="да","да","нет")))</f>
        <v>нет</v>
      </c>
      <c r="DG114" t="str">
        <f t="shared" si="120"/>
        <v/>
      </c>
      <c r="DH114" t="str">
        <f t="shared" si="121"/>
        <v>основная</v>
      </c>
      <c r="DI114">
        <f t="shared" si="122"/>
        <v>1</v>
      </c>
      <c r="DJ114" t="str" cm="1">
        <f t="array" ref="DJ114">IF(D114="","",_xlfn.LET(_xlpm.t,IFERROR(_xlfn.XLOOKUP(1,(Шины[Шина]=DH114)*(((Шины[Щит]=A114)+(Шины[Щит]=""))&gt;0),Шины[Тип]),"")&amp;"",IF(_xlpm.t&lt;&gt;"",_xlpm.t,IF(ISNUMBER(SEARCH("ИБП",DH114)),"ИБП",IF(ISNUMBER(SEARCH("ДГУ",DH114)),"ДГУ","Ввод "&amp;DI114)))))</f>
        <v>Ввод 1</v>
      </c>
      <c r="DK114" t="str">
        <f t="shared" si="123"/>
        <v>Ввод 1</v>
      </c>
      <c r="DL114" t="str">
        <f>IF(D114="","",IF(OR(DJ114="ИБП",DJ114="ДГУ"),"I особая",IF(DJ114="Одиночная","III",_xlfn.XLOOKUP(A114,Щиты[Щит],Щиты[Категория шины «Ввод»],"III"))))</f>
        <v>II</v>
      </c>
      <c r="DM114">
        <f>IF(D114="",0,IFERROR(MATCH(DE114,{"III","II","I","I особая"},0),1))</f>
        <v>2</v>
      </c>
      <c r="DN114">
        <f t="shared" si="124"/>
        <v>2</v>
      </c>
      <c r="DO114" t="str">
        <f>IF(D114="","",IF(DM114&gt;IFERROR(MATCH(DL114,{"III","II","I","I особая"},0),1),"НЕ ОБЕСПЕЧЕНА","ОК"))</f>
        <v>ОК</v>
      </c>
      <c r="DP114" t="str">
        <f>IF(A114="","",_xlfn.XLOOKUP(A114,Щиты[Щит],Щиты[Путь],""))</f>
        <v>|ГРЩ-ЖД|ЩОВ-01|</v>
      </c>
      <c r="DQ114" t="str">
        <f>IF(D114="","",IF(Z114&lt;&gt;"",Z114,IF(IFERROR(_xlfn.XLOOKUP(AT114,Коды_код,Коды_вид)&amp;"","")="","Прочее",_xlfn.XLOOKUP(AT114,Коды_код,Коды_вид)&amp;"")))</f>
        <v>Кондиционирование и увлажнение</v>
      </c>
      <c r="DR114">
        <f>IF(BD114="","",INT((BD114-1)/Столбцов_на_лист)+1)</f>
        <v>2</v>
      </c>
      <c r="DS114" t="str">
        <f t="shared" si="125"/>
        <v>ВВГнг(А)-LS (3х1,5) L=54-0,5%</v>
      </c>
      <c r="DT114">
        <f t="shared" si="126"/>
        <v>0.16200000000000001</v>
      </c>
      <c r="DU114">
        <f t="shared" si="127"/>
        <v>0.74</v>
      </c>
      <c r="DV114">
        <f t="shared" si="128"/>
        <v>1</v>
      </c>
      <c r="DW114">
        <f>IF(AT114="",0,_xlfn.LET(_xlpm.v,IFERROR(VLOOKUP(D114,УГО_спр,3,FALSE),IFERROR(VLOOKUP(AT114,УГО_спр,3,FALSE),IFERROR(VLOOKUP(LEFT(AT114,2),УГО_спр,3,FALSE),""))),IF(_xlpm.v="да",30,IF(ISNUMBER(_xlpm.v),_xlpm.v,0))))</f>
        <v>0</v>
      </c>
      <c r="DX114">
        <f t="shared" si="129"/>
        <v>0</v>
      </c>
      <c r="DY114">
        <f>IF(BD114="","",IF(AD114&lt;&gt;"",COUNTIFS(A$3:A114,A114,AD$3:AD114,"?*"),IF(OR(OR(AS114=1,A114&lt;&gt;A113),AL114="вручную"),"",IF(AS114=1,"",DZ113))))</f>
        <v>12</v>
      </c>
      <c r="DZ114">
        <f t="shared" si="130"/>
        <v>12</v>
      </c>
      <c r="EA114">
        <f>IF(D114="",0,MAX(IFERROR(--X114,0),IFERROR(--VLOOKUP(D114,УГО_спр,4,FALSE),IFERROR(--VLOOKUP(AT114,УГО_спр,4,FALSE),IFERROR(--VLOOKUP(LEFT(AT114,2),УГО_спр,4,FALSE),0)))))</f>
        <v>10</v>
      </c>
      <c r="EB114">
        <f>IF(D114="","",IFERROR(LOOKUP(INDEX(CHOOSE(BR114,Iдоп_1ж,Iдоп_2ж,Iдоп_3ж),MATCH(BS114,Iдоп_S,0))*BP114*BQ114,{6,10,16,20,25,32,40,50,63,80,100,125,160,200,250,315,400,500,630}),""))</f>
        <v>16</v>
      </c>
      <c r="EC114">
        <f>IF(AD114="","",SUMIFS(Линии[_Ток схемы],Линии[_гр.],DY114,Линии[Щит],A114,Линии[_в кабель выше],0))</f>
        <v>0.74</v>
      </c>
      <c r="ED114">
        <f>IF(AD114="","",IFERROR(VLOOKUP(EC114,Автомат_номиналы,2,TRUE),""))</f>
        <v>6</v>
      </c>
      <c r="EE114">
        <f>IF(AD114="","",MAX(N(ED114),_xlfn.MAXIFS(Линии[_мин. по типу],Линии[_гр.],DY114,Линии[Щит],A114)))</f>
        <v>10</v>
      </c>
      <c r="EF114">
        <f>IF(AD114="","",_xlfn.MINIFS(Линии[_макс. автомат по кабелю],Линии[_гр.],DY114,Линии[Щит],A114))</f>
        <v>16</v>
      </c>
      <c r="EG114">
        <f>IF(AD114="","",MAX(1,_xlfn.MAXIFS(Линии[_фаз],Линии[_гр.],DY114,Линии[Щит],A114)))</f>
        <v>1</v>
      </c>
      <c r="EH114">
        <f>IF(AD114="","",IF(AND(AD114&lt;&gt;"авто",AD114&lt;&gt;"+"),IF(ISNUMBER(SEARCH("мА",AD114)),IFERROR(--TRIM(RIGHT(SUBSTITUTE(LEFT(AD114,SEARCH("мА",AD114)-1)," ",REPT(" ",9)),6)),30),0),IF(AE114="нет",0,IF(ISNUMBER(AE114),AE114,IF(AE114="да",30,_xlfn.MINIFS(Линии[_дифзащита по коду, мА],Линии[_гр.],DY114,Линии[Щит],A114,Линии[_дифзащита по коду, мА],"&gt;0"))))))</f>
        <v>0</v>
      </c>
      <c r="EI114">
        <f t="shared" si="131"/>
        <v>0</v>
      </c>
      <c r="EJ114" t="str">
        <f t="shared" si="132"/>
        <v>QF12</v>
      </c>
      <c r="EK114" t="str">
        <f t="shared" si="133"/>
        <v>QF12</v>
      </c>
      <c r="EL114" t="str">
        <f t="shared" si="134"/>
        <v/>
      </c>
      <c r="EM114">
        <f t="shared" si="135"/>
        <v>0</v>
      </c>
      <c r="EN114">
        <f>IF(AD114="","",IF(EM114=1,MAX(EE114,Мин_автомат_БП),EE114))</f>
        <v>10</v>
      </c>
      <c r="EO114" t="str">
        <f t="shared" si="136"/>
        <v>1P</v>
      </c>
      <c r="EP114" t="str">
        <f t="shared" si="137"/>
        <v>1P С10А</v>
      </c>
      <c r="EQ114">
        <f t="shared" si="138"/>
        <v>10</v>
      </c>
      <c r="ER114" t="str">
        <f>IF(OR(AI114="",AI114="-"),"",IFERROR(VLOOKUP(AI114,Модули_спр,2,FALSE),"R"))</f>
        <v/>
      </c>
      <c r="ES114" t="str">
        <f>IF(ER114="","",ER114&amp;"."&amp;COUNTIFS(A$3:A114,A114,ER$3:ER114,ER114))</f>
        <v/>
      </c>
      <c r="ET114" t="str">
        <f t="shared" si="139"/>
        <v/>
      </c>
      <c r="EU114" t="str">
        <f t="shared" si="140"/>
        <v/>
      </c>
      <c r="EV114" t="str">
        <f t="shared" si="141"/>
        <v/>
      </c>
      <c r="EW114" t="str">
        <f t="shared" si="142"/>
        <v/>
      </c>
      <c r="EX114">
        <f t="shared" si="143"/>
        <v>1</v>
      </c>
      <c r="EY114" t="str">
        <f>IF(AK114="нет","",IF(AK114&lt;&gt;"",AK114,IF(EX114=1,"XT"&amp;COUNTIFS(A$3:A114,A114,EX$3:EX114,1),"")))</f>
        <v/>
      </c>
      <c r="EZ114" t="str">
        <f t="shared" si="144"/>
        <v>QF12</v>
      </c>
      <c r="FA114" t="str">
        <f t="shared" si="145"/>
        <v/>
      </c>
      <c r="FB114" t="str">
        <f t="shared" si="146"/>
        <v>ok</v>
      </c>
      <c r="FC114" t="str">
        <f>IF(OR(EV114="",ET114=""),"",IF(EV114&gt;IFERROR(VLOOKUP(EU114,Модули_спр,3,FALSE),99),"ЛИШНИЙ КАНАЛ",IF(AND(AJ114&lt;&gt;"=",COUNTIFS(Линии[_модуль гр.],ET114,Линии[Канал (итог)],EV114,Линии[Канал],"&lt;&gt;=",Линии[Щит],A114)&gt;1),"ДУБЛЬ КАНАЛА","")))</f>
        <v/>
      </c>
      <c r="FD114">
        <f t="shared" si="147"/>
        <v>10</v>
      </c>
      <c r="FE114" t="str">
        <f t="shared" si="148"/>
        <v>1P С10А</v>
      </c>
      <c r="FF114">
        <f t="shared" si="149"/>
        <v>0</v>
      </c>
      <c r="FG114">
        <f t="shared" si="150"/>
        <v>0</v>
      </c>
      <c r="FH114" t="str">
        <f t="shared" si="151"/>
        <v/>
      </c>
      <c r="FI114">
        <f t="shared" si="152"/>
        <v>10</v>
      </c>
      <c r="FJ114" t="str">
        <f t="shared" si="153"/>
        <v/>
      </c>
      <c r="FK114" t="str">
        <f>IF(AND(D114="",EZ114=""),"",_xlfn.TEXTJOIN("; ",TRUE,IF(AND(D114&lt;&gt;"",DD114=""),"нет фазы",""),IF(AND(D114&lt;&gt;"",N(DT114)=0,CN114&lt;&gt;"Нет"),"нет мощности",""),IF(AND(EY114&lt;&gt;"",COUNTIFS(Линии[Щит],A114,Линии[Клемма (итог)],EY114)&gt;1),"дубль клеммы "&amp;EY114,""),IF(AND(FB114&lt;&gt;"",FB114&lt;&gt;"ok"),FB114,""),IF(FC114&lt;&gt;"",FC114,""),IF(AND(ISNUMBER(SEARCH("(5х",DS114)),N(DV114)=1),"5 жил на 1 фазе",""),IF(AND(AT114="R",AD114&lt;&gt;"",OR(N(EH114)=0,N(EH114)&gt;30)),"розетка без дифзащиты до 30 мА",""),IFERROR(IF(AND(ISNUMBER(CD114),CD114&gt;CE114),"потери "&amp;FIXED(CD114,1)&amp;" % &gt; "&amp;CE114&amp;" %",""),""),IFERROR(IF(LEFT(FJ114,4)="мало","Iкз мало — отключение &gt; 0,4 с",""),""),IF(AND(D114&lt;&gt;"",BD114=""),"не на схеме","")))</f>
        <v/>
      </c>
      <c r="FL114">
        <f>IF(AD114="","",_xlfn.LET(_xlpm.t,IFERROR(_xlfn.XLOOKUP(EP114,Каталог!$U$4:$U$500,Каталог!$G$4:$G$500),""),_xlpm.k,SEARCH("кА",_xlpm.t),IFERROR(--TRIM(RIGHT(SUBSTITUTE(MID(_xlpm.t,MAX(1,_xlpm.k-4),_xlpm.k-MAX(1,_xlpm.k-4))," ",REPT(" ",9)),5)),"")))</f>
        <v>6</v>
      </c>
      <c r="FM114" t="str">
        <f>IF(OR(FL114="",AD114=""),"",IF(_xlfn.XLOOKUP(A114,Щиты[Щит],Щиты[Iкз max на шинах, кА],"")="","",IF(FL114&lt;_xlfn.XLOOKUP(A114,Щиты[Щит],Щиты[Iкз max на шинах, кА]),"Icu "&amp;FL114&amp;" кА &lt; Iкз max","ok")))</f>
        <v/>
      </c>
      <c r="FN114" t="str">
        <f t="shared" si="154"/>
        <v>QF12</v>
      </c>
      <c r="FO114" t="str">
        <f t="shared" si="155"/>
        <v>QF12|кабель ВВГнг(А)-LS (3х1,5) → Внутренний блок кондиционирования цокольный этаж Пом. №013.1Б</v>
      </c>
      <c r="FP114" t="str" cm="1">
        <f t="array" ref="FP114">IF(FO114="","",_xlfn.LET(_xlpm.nd,_xlfn.TEXTSPLIT(FO114,"|"),IF(COLUMNS(_xlpm.nd)&gt;1,A114&amp;"¦"&amp;INDEX(_xlpm.nd,1)&amp;"¦"&amp;INDEX(_xlpm.nd,2),"")))</f>
        <v>ЩОВ-01¦QF12¦кабель ВВГнг(А)-LS (3х1,5) → Внутренний блок кондиционирования цокольный этаж Пом. №013.1Б</v>
      </c>
      <c r="FQ114" t="str">
        <f t="shared" si="156"/>
        <v>K.0.004A-K.0.005A¦Внутренний блок кондиционирования цокольный этаж Пом. №013.1Б</v>
      </c>
      <c r="FR114" t="str" cm="1">
        <f t="array" ref="FR114">IF(FO114="","",_xlfn.LET(_xlpm.nd,_xlfn.TEXTSPLIT(FO114,"|"),IF(COLUMNS(_xlpm.nd)&gt;2,A114&amp;"¦"&amp;INDEX(_xlpm.nd,2)&amp;"¦"&amp;INDEX(_xlpm.nd,3),"")))</f>
        <v/>
      </c>
      <c r="FS114" t="str">
        <f t="shared" si="157"/>
        <v/>
      </c>
      <c r="FT114" t="str" cm="1">
        <f t="array" ref="FT114">IF(FO114="","",_xlfn.LET(_xlpm.nd,_xlfn.TEXTSPLIT(FO114,"|"),IF(COLUMNS(_xlpm.nd)&gt;3,A114&amp;"¦"&amp;INDEX(_xlpm.nd,3)&amp;"¦"&amp;INDEX(_xlpm.nd,4),"")))</f>
        <v/>
      </c>
      <c r="FU114" t="str">
        <f t="shared" si="158"/>
        <v/>
      </c>
      <c r="FV114" t="str" cm="1">
        <f t="array" ref="FV114">IF(FO114="","",_xlfn.LET(_xlpm.nd,_xlfn.TEXTSPLIT(FO114,"|"),IF(COLUMNS(_xlpm.nd)&gt;4,A114&amp;"¦"&amp;INDEX(_xlpm.nd,4)&amp;"¦"&amp;INDEX(_xlpm.nd,5),"")))</f>
        <v/>
      </c>
      <c r="FW114" t="str">
        <f t="shared" si="159"/>
        <v/>
      </c>
      <c r="FX114" t="str" cm="1">
        <f t="array" ref="FX114">IF(FO114="","",_xlfn.LET(_xlpm.nd,_xlfn.TEXTSPLIT(FO114,"|"),IF(COLUMNS(_xlpm.nd)&gt;5,A114&amp;"¦"&amp;INDEX(_xlpm.nd,5)&amp;"¦"&amp;INDEX(_xlpm.nd,6),"")))</f>
        <v/>
      </c>
      <c r="FY114" t="str">
        <f t="shared" si="160"/>
        <v/>
      </c>
      <c r="FZ114" t="str" cm="1">
        <f t="array" ref="FZ114">IF(FO114="","",_xlfn.LET(_xlpm.nd,_xlfn.TEXTSPLIT(FO114,"|"),IF(COLUMNS(_xlpm.nd)&gt;6,A114&amp;"¦"&amp;INDEX(_xlpm.nd,6)&amp;"¦"&amp;INDEX(_xlpm.nd,7),"")))</f>
        <v/>
      </c>
      <c r="GA114" t="str">
        <f t="shared" si="161"/>
        <v/>
      </c>
      <c r="GB114" t="str">
        <f t="shared" si="162"/>
        <v/>
      </c>
      <c r="GC114" t="str">
        <f t="shared" si="163"/>
        <v>QF12</v>
      </c>
      <c r="GD114">
        <f t="shared" si="164"/>
        <v>1</v>
      </c>
      <c r="GE114">
        <f t="shared" si="165"/>
        <v>0</v>
      </c>
      <c r="GF114">
        <f t="shared" si="166"/>
        <v>0</v>
      </c>
      <c r="GG114" t="str">
        <f t="shared" si="167"/>
        <v/>
      </c>
      <c r="GH114" t="str">
        <f t="shared" si="168"/>
        <v/>
      </c>
      <c r="GI114" t="str">
        <f t="shared" si="169"/>
        <v/>
      </c>
      <c r="GJ114" t="str">
        <f t="shared" si="170"/>
        <v/>
      </c>
      <c r="GK114">
        <f>IF(D114="","",IFERROR(VLOOKUP(D114,УГО_спр,2,FALSE),IFERROR(VLOOKUP(AT114,УГО_спр,2,FALSE),IFERROR(VLOOKUP(LEFT(AT114,2),УГО_спр,2,FALSE),""))))</f>
        <v>0</v>
      </c>
      <c r="GL114" t="str">
        <f>IF(D114="","",IF(OR(GK114="",GK114=0),"BOX",IFERROR(IF(VLOOKUP(GK114,УГО_блоки,3,FALSE)&amp;""&lt;&gt;"",VLOOKUP(GK114,УГО_блоки,3,FALSE),VLOOKUP(GK114,УГО_блоки,2,FALSE)),GK114)))</f>
        <v>BOX</v>
      </c>
      <c r="GM114">
        <f t="shared" si="171"/>
        <v>1</v>
      </c>
      <c r="GN114" t="str">
        <f>IF(EP114="","",IF(COUNTIF(EP$3:EP114,EP114)=1,MAX(GN$2:GN113)+1,""))</f>
        <v/>
      </c>
      <c r="GO114" t="str">
        <f>IF(AF114="","",IF(COUNTIF(AF$3:AF114,AF114)+COUNTIF(AG$2:AG113,AF114)+COUNTIF(AH$2:AH113,AF114)=1,MAX(GO$2:GQ113)+1,""))</f>
        <v/>
      </c>
      <c r="GP114" t="str">
        <f>IF(AG114="","",IF(COUNTIF(AF$3:AF114,AG114)+COUNTIF(AG$3:AG114,AG114)+COUNTIF(AH$2:AH113,AG114)=1,MAX(GO$2:GQ113,GO114)+1,""))</f>
        <v/>
      </c>
      <c r="GQ114" t="str">
        <f>IF(AH114="","",IF(COUNTIF(AF$3:AF114,AH114)+COUNTIF(AG$3:AG114,AH114)+COUNTIF(AH$3:AH114,AH114)=1,MAX(GO$2:GQ113,GO114,GP114)+1,""))</f>
        <v/>
      </c>
      <c r="GR114" t="str">
        <f t="shared" si="172"/>
        <v>3х1,5</v>
      </c>
      <c r="GS114" t="str">
        <f>IF(GR114="","",IF(COUNTIF(GR$3:GR114,GR114)=1,MAX(GS$2:GS113)+1,""))</f>
        <v/>
      </c>
      <c r="GT114" t="str">
        <f>IF(ES114="","",COUNTIF(ES$3:ES114,"?*"))</f>
        <v/>
      </c>
      <c r="GU114" t="str">
        <f>IF(OR(ES114="",EU114=""),"",IF(COUNTIFS(ES$3:ES114,"?*",EU$3:EU114,EU114)=1,MAX(GU$2:GU113)+1,""))</f>
        <v/>
      </c>
      <c r="GV114">
        <f t="shared" si="173"/>
        <v>0</v>
      </c>
      <c r="GW114">
        <f>IF(D114="","",COUNTIF(D$3:D114,"?*"))</f>
        <v>112</v>
      </c>
      <c r="GX114">
        <f>IF(EX114&lt;&gt;1,0,_xlfn.LET(_xlpm.k,MAX(IFERROR(--VLOOKUP(D114,УГО_спр,5,FALSE),0),IFERROR(--VLOOKUP(AT114,УГО_спр,5,FALSE),0),IFERROR(--VLOOKUP(LEFT(AT114,2),УГО_спр,5,FALSE),0)),IF(_xlpm.k&gt;0,_xlpm.k,IF(IFERROR(--LEFT(SUBSTITUTE(GR114,"x","х"),FIND("х",SUBSTITUTE(GR114,"x","х"))-1),3)&gt;3,Каталог!$S$9,1))))</f>
        <v>1</v>
      </c>
      <c r="GY114">
        <f t="shared" si="174"/>
        <v>0</v>
      </c>
    </row>
    <row r="115" spans="1:207" x14ac:dyDescent="0.3">
      <c r="A115" t="s">
        <v>750</v>
      </c>
      <c r="B115">
        <v>27</v>
      </c>
      <c r="C115" t="str">
        <f>IF(BD115="","",IF(BE115="вводной узел","узел ","")&amp;"л."&amp;(INT((BD115-1)/Столбцов_на_лист)+1)&amp;" / "&amp;(MOD(BD115-1,Столбцов_на_лист)+1))</f>
        <v>л.2 / 10</v>
      </c>
      <c r="D115" t="s">
        <v>1407</v>
      </c>
      <c r="E115" s="133" t="s">
        <v>1408</v>
      </c>
      <c r="G115">
        <v>0.16200000000000001</v>
      </c>
      <c r="H115">
        <v>1</v>
      </c>
      <c r="I115">
        <v>1</v>
      </c>
      <c r="J115">
        <v>230</v>
      </c>
      <c r="K115" t="s">
        <v>602</v>
      </c>
      <c r="L115">
        <v>0.5</v>
      </c>
      <c r="O115">
        <v>1</v>
      </c>
      <c r="P115">
        <v>40</v>
      </c>
      <c r="Q115">
        <v>21</v>
      </c>
      <c r="R115">
        <v>21</v>
      </c>
      <c r="T115">
        <v>1</v>
      </c>
      <c r="U115" t="s">
        <v>11</v>
      </c>
      <c r="V115">
        <v>3</v>
      </c>
      <c r="W115">
        <v>1.5</v>
      </c>
      <c r="X115">
        <v>10</v>
      </c>
      <c r="Z115" t="s">
        <v>580</v>
      </c>
      <c r="AA115" t="s">
        <v>818</v>
      </c>
      <c r="AD115" t="s">
        <v>517</v>
      </c>
      <c r="AK115" t="s">
        <v>488</v>
      </c>
      <c r="AR115" t="str">
        <f t="shared" si="88"/>
        <v/>
      </c>
      <c r="AS115" cm="1">
        <f t="array" ref="AS115">ROW()-ROW(Линии[#Headers])</f>
        <v>113</v>
      </c>
      <c r="AT115" t="str">
        <f t="shared" si="89"/>
        <v>K</v>
      </c>
      <c r="AU115" t="str">
        <f t="shared" si="90"/>
        <v>0.005Б.1</v>
      </c>
      <c r="AV115" t="str">
        <f t="shared" si="91"/>
        <v>0</v>
      </c>
      <c r="AW115" t="str">
        <f t="shared" si="92"/>
        <v>005Б.1</v>
      </c>
      <c r="AX115" t="str">
        <f t="shared" si="93"/>
        <v>005Б</v>
      </c>
      <c r="AY115" t="str">
        <f>IF(D115="","",IF(ISERROR(SEARCH(".",D115)),IFERROR(VLOOKUP(D115,Потребители_обозначение,2,FALSE)&amp;"",""),IFERROR(IF(VLOOKUP(AT115,Потребители_обозначение,4,FALSE)=1,VLOOKUP(AT115,Потребители_обозначение,2,FALSE)&amp;" "&amp;VLOOKUP(AV115,Этаж_обозначение,2,FALSE)&amp;" Пом. №"&amp;AX115,VLOOKUP(AT115,Потребители_обозначение,2,FALSE)&amp;" Шлейф №"&amp;AV115),IFERROR(VLOOKUP(D115,Потребители_обозначение,2,FALSE),""))))</f>
        <v>Внутренний блок кондиционирования Цокольный этаж Пом. №005Б</v>
      </c>
      <c r="AZ115" t="str">
        <f t="shared" si="94"/>
        <v>Внутренний блок кондиционирования цокольный этаж Пом. №005Б</v>
      </c>
      <c r="BA115" t="str">
        <f>IF(F115&lt;&gt;"",F115,IF(AND(D115&lt;&gt;"",D115&lt;&gt;A115,ISNUMBER(_xlfn.XMATCH(D115,Щиты[Щит]))),D115,""))</f>
        <v/>
      </c>
      <c r="BB115">
        <f>IFERROR(_xlfn.XMATCH(A115,Щиты[Щит]),0)</f>
        <v>6</v>
      </c>
      <c r="BC115">
        <f>IFERROR(N(_xlfn.XLOOKUP(A115,Щиты[Щит],Щиты[Мест под вводной узел])),15)</f>
        <v>12</v>
      </c>
      <c r="BD115">
        <f t="shared" si="95"/>
        <v>27</v>
      </c>
      <c r="BE115" t="str">
        <f t="shared" si="96"/>
        <v>линии</v>
      </c>
      <c r="BF115">
        <f>IF(D115="","",IF(BA115&lt;&gt;"",IFERROR(_xlfn.XLOOKUP(BA115,Щиты[Щит],Щиты[Руст, кВт]),0),N(G115)))</f>
        <v>0.16200000000000001</v>
      </c>
      <c r="BG115">
        <f>IF(J115&lt;&gt;"",J115,IF(D115="","",IFERROR(IF(VLOOKUP(AT115,Потребители_обозначение,8,FALSE)=0,"",VLOOKUP(AT115,Потребители_обозначение,8,FALSE)),"")))</f>
        <v>230</v>
      </c>
      <c r="BH115">
        <f>IF(I115&lt;&gt;"",I115,IF(D115="","",IFERROR(IF(VLOOKUP(AT115,Потребители_обозначение,9,FALSE)=0,"",VLOOKUP(AT115,Потребители_обозначение,9,FALSE)),"")))</f>
        <v>1</v>
      </c>
      <c r="BI115" t="str">
        <f>IF(U115&lt;&gt;"",U115,IF(D115="","",IFERROR(IF(VLOOKUP(AT115,Потребители_обозначение,6,FALSE)=0,"",VLOOKUP(AT115,Потребители_обозначение,6,FALSE)),"")))</f>
        <v>мс</v>
      </c>
      <c r="BJ115">
        <f>IF(V115&lt;&gt;"",V115,IF(D115="","",IFERROR(IF(VLOOKUP(AT115,Потребители_обозначение,7,FALSE)=0,"",VLOOKUP(AT115,Потребители_обозначение,7,FALSE)),"")))</f>
        <v>3</v>
      </c>
      <c r="BK115">
        <f>IF(W115&lt;&gt;"",W115,IF(D115="","",IFERROR(IF(VLOOKUP(AT115,Потребители_обозначение,10,FALSE)=0,"",VLOOKUP(AT115,Потребители_обозначение,10,FALSE)),"")))</f>
        <v>1.5</v>
      </c>
      <c r="BL115">
        <f>IFERROR(VLOOKUP(AT115,Потребители_обозначение,5,FALSE),0)</f>
        <v>1</v>
      </c>
      <c r="BM115" cm="1">
        <f t="array" ref="BM115">IF(D115="","",IF(BA115&lt;&gt;"",IFERROR(_xlfn.XLOOKUP(BA115,Щиты[Щит],Щиты[cos φ]),0.95),IF(ISNUMBER(M115),M115,IFERROR(IF(BL115=2,_xlfn.IFS(BH115=3,VLOOKUP(BF115,Справочная_двигатели,8,FALSE),BH115=1,VLOOKUP(BF115,Справочная_двигатели,10,TRUE)),IF(AND(Методика="нормы 2026",CN115="Сил"),0.8,0.95)),0.95))))</f>
        <v>0.95</v>
      </c>
      <c r="BN115" cm="1">
        <f t="array" ref="BN115">IF(D115="","",IF(BA115&lt;&gt;"",IFERROR(_xlfn.XLOOKUP(BA115,Щиты[Щит],Щиты[Iр, А]),""),IFERROR(_xlfn.IFS(BH115=1,BF115/((Uн_лин/SQRT(3))*BM115),BH115=3,BF115/(SQRT(3)*Uн_лин*BM115)),"")))</f>
        <v>0.73840060743725822</v>
      </c>
      <c r="BO115">
        <f>IF(D115="","",IF(N(X115)=0,IFERROR(VLOOKUP(BN115,Автомат_номиналы,2,TRUE),""),X115))</f>
        <v>10</v>
      </c>
      <c r="BP115">
        <f t="shared" si="97"/>
        <v>1</v>
      </c>
      <c r="BQ115">
        <f>IF(ISNUMBER(Y115),Y115,К_прокл)</f>
        <v>1</v>
      </c>
      <c r="BR115">
        <f t="shared" si="98"/>
        <v>2</v>
      </c>
      <c r="BS115" cm="1">
        <f t="array" ref="BS115">IF(D115="","",IF(N(BK115)&lt;&gt;0,BK115,IFERROR(_xlfn.LET(_xlpm.need,BO115/(BP115*BQ115),_xlpm.t,CHOOSE(BR115,Iдоп_1ж,Iдоп_2ж,Iдоп_3ж),_xlpm.k,_xlfn.XMATCH(_xlpm.need,_xlpm.t,1),IF(ISNA(_xlpm.k),"Не исп",INDEX(Iдоп_S,_xlpm.k))),"Не исп")))</f>
        <v>1.5</v>
      </c>
      <c r="BT115">
        <f>IFERROR(VLOOKUP(BS115,Кабель_сопротивление,3,FALSE),"")</f>
        <v>2.2499999999999999E-2</v>
      </c>
      <c r="BU115">
        <f>IFERROR(VLOOKUP(BS115,Кабель_сопротивление,2,FALSE),"")</f>
        <v>0.11</v>
      </c>
      <c r="BV115">
        <f t="shared" si="99"/>
        <v>40</v>
      </c>
      <c r="BW115">
        <f>IF(D115="","",IFERROR(IF(VLOOKUP(AT115,Потребители_обозначение,4,FALSE)=1,VLOOKUP(AT115,Потребители_обозначение,3,FALSE)*(H115*2-1)+BV115+VLOOKUP(AV115,Этаж_обозначение,3,FALSE)+VLOOKUP(AV115,Этаж_обозначение,4,FALSE),VLOOKUP(AT115,Потребители_обозначение,3,FALSE)*(H115*2-1)+BV115),BV115))</f>
        <v>42</v>
      </c>
      <c r="BX115">
        <f t="shared" si="100"/>
        <v>21</v>
      </c>
      <c r="BY115">
        <f t="shared" si="101"/>
        <v>0</v>
      </c>
      <c r="BZ115">
        <f t="shared" si="102"/>
        <v>2</v>
      </c>
      <c r="CA115">
        <f t="shared" si="103"/>
        <v>0.31</v>
      </c>
      <c r="CB115">
        <f t="shared" si="104"/>
        <v>0.88598060180234128</v>
      </c>
      <c r="CC115">
        <f>IFERROR(ROUNDUP(CB115/((Uн_лин/SQRT(3))*1000)*100,2),"")</f>
        <v>0.39</v>
      </c>
      <c r="CD115">
        <f>IF(ISNUMBER(CC115),CC115+IFERROR(_xlfn.XLOOKUP(A115,Щиты[Щит],Щиты[ΔU до шин, %]),0),"")</f>
        <v>0.63</v>
      </c>
      <c r="CE115">
        <f>IF(D115="","",IF(IFERROR(VLOOKUP(AT115,УГО_спр,2,FALSE),"")="Светильник",3,4)+IF(Методика="нормы 2026",MIN(0.5,MAX(0,N(BW115)-100)*0.005),0))</f>
        <v>4</v>
      </c>
      <c r="CF115" t="str">
        <f>IFERROR(VLOOKUP(BI115,Кабель_обозначение,2,FALSE),"")</f>
        <v>ВВГнг(А)-LS</v>
      </c>
      <c r="CG115" t="str">
        <f>IFERROR(IF(VLOOKUP(BI115,Кабель_обозначение,3,FALSE)=1,CF115&amp;" ("&amp;BJ115&amp;"х"&amp;BS115&amp;")",CF115),"")</f>
        <v>ВВГнг(А)-LS (3х1,5)</v>
      </c>
      <c r="CH115" t="str">
        <f t="shared" si="105"/>
        <v>ВВГнг(А)-LS (3х1,5)
L=42-0,39%</v>
      </c>
      <c r="CI115">
        <f>IFERROR(2*ρкз_Cu*BW115/BS115,"")</f>
        <v>1.4728000000000001</v>
      </c>
      <c r="CJ115">
        <f t="shared" si="106"/>
        <v>0.49000000000000005</v>
      </c>
      <c r="CK115" t="str">
        <f>IFERROR(IF(OR(D115="",NOT(ISNUMBER(BS115)),N(BW115)=0),"",_xlfn.XLOOKUP(A115,Щиты[Щит],Щиты[Zпетли на шинах, Ом])+CI115),"")</f>
        <v/>
      </c>
      <c r="CL115" t="str">
        <f>IF(ISNUMBER(CK115),c_min*(Uн_лин*1000/SQRT(3))/CK115,"")</f>
        <v/>
      </c>
      <c r="CM115" t="str">
        <f>IFERROR(IF(OR(D115="",NOT(ISNUMBER(BS115))),"",1.05*(Uн_лин*1000/SQRT(3))/(_xlfn.XLOOKUP(A115,Щиты[Щит],Щиты[Zmax на шинах, Ом])+CJ115)/1000),"")</f>
        <v/>
      </c>
      <c r="CN115" t="str">
        <f>IF(D115="","",IF(BA115&lt;&gt;"","Щит",IF(K115&lt;&gt;"",K115,IF(ISNUMBER(L115),"Сил",IF(IFERROR(_xlfn.XLOOKUP(AT115,Коды_код,Коды_группа)&amp;"","")="","Быт",_xlfn.XLOOKUP(AT115,Коды_код,Коды_группа)&amp;"")))))</f>
        <v>Сил</v>
      </c>
      <c r="CO115">
        <f>IF(CN115="Щит","щит",IF(CN115="","",IF(CN115="Быт",IFERROR(_xlfn.XLOOKUP(A115,Щиты[Щит],Щиты[Кс быт]),1),IF(CN115="Сил",IF(ISNUMBER(L115),L115,IF(Методика="нормы 2026",IFERROR(_xlfn.XLOOKUP(A115,Щиты[Щит],Щиты[Кс силовых (табл. 7.5)]),1),1)),IF(OR(CN115="Пост",CN115="Отоп"),1,IF(CN115="ВНГ",0.7,0))))))</f>
        <v>0.5</v>
      </c>
      <c r="CP115">
        <f t="shared" si="107"/>
        <v>1</v>
      </c>
      <c r="CQ115">
        <f t="shared" si="108"/>
        <v>0.16200000000000001</v>
      </c>
      <c r="CR115">
        <f t="shared" si="109"/>
        <v>0</v>
      </c>
      <c r="CS115">
        <f t="shared" si="110"/>
        <v>8.1000000000000003E-2</v>
      </c>
      <c r="CT115">
        <f t="shared" si="111"/>
        <v>0</v>
      </c>
      <c r="CU115">
        <f t="shared" si="112"/>
        <v>0</v>
      </c>
      <c r="CV115">
        <f t="shared" si="113"/>
        <v>0</v>
      </c>
      <c r="CW115">
        <f t="shared" si="114"/>
        <v>0.16200000000000001</v>
      </c>
      <c r="CX115">
        <f t="shared" si="115"/>
        <v>0.15390000000000001</v>
      </c>
      <c r="CY115">
        <f t="shared" si="116"/>
        <v>3</v>
      </c>
      <c r="CZ115" t="str">
        <f t="shared" si="117"/>
        <v>L3</v>
      </c>
      <c r="DA115" cm="1">
        <f t="array" ref="DA115">IFERROR(IF(BL115=2,_xlfn.IFS(BH115=3,VLOOKUP(BF115,Справочная_двигатели,3,FALSE),BH115=1,VLOOKUP(BF115,Справочная_двигатели,5,TRUE)),0),0)</f>
        <v>0</v>
      </c>
      <c r="DB115">
        <f>IFERROR(IF(BL115=3,VLOOKUP(BF115,Справочная_ЛЭД,2,TRUE),0),0)</f>
        <v>0</v>
      </c>
      <c r="DC115">
        <f t="shared" si="118"/>
        <v>0</v>
      </c>
      <c r="DD115" t="str">
        <f t="shared" si="119"/>
        <v>L1</v>
      </c>
      <c r="DE115" t="str" cm="1">
        <f t="array" ref="DE115">IF(D115="","",IFERROR(INDEX({"I особая","I","II","III"},MATCH(TRIM(AA115&amp;""),{"I особая","I","II","III"},0)),"III"))</f>
        <v>II</v>
      </c>
      <c r="DF115" t="str">
        <f>IF(D115="","",IF(TRIM(AB115&amp;"")&lt;&gt;"",IF(LOWER(TRIM(AB115&amp;""))="да","да","нет"),IF(IFERROR(_xlfn.XLOOKUP(AT115,Коды_код,Коды_пожарная),"")="да","да","нет")))</f>
        <v>нет</v>
      </c>
      <c r="DG115" t="str">
        <f t="shared" si="120"/>
        <v/>
      </c>
      <c r="DH115" t="str">
        <f t="shared" si="121"/>
        <v>основная</v>
      </c>
      <c r="DI115">
        <f t="shared" si="122"/>
        <v>1</v>
      </c>
      <c r="DJ115" t="str" cm="1">
        <f t="array" ref="DJ115">IF(D115="","",_xlfn.LET(_xlpm.t,IFERROR(_xlfn.XLOOKUP(1,(Шины[Шина]=DH115)*(((Шины[Щит]=A115)+(Шины[Щит]=""))&gt;0),Шины[Тип]),"")&amp;"",IF(_xlpm.t&lt;&gt;"",_xlpm.t,IF(ISNUMBER(SEARCH("ИБП",DH115)),"ИБП",IF(ISNUMBER(SEARCH("ДГУ",DH115)),"ДГУ","Ввод "&amp;DI115)))))</f>
        <v>Ввод 1</v>
      </c>
      <c r="DK115" t="str">
        <f t="shared" si="123"/>
        <v>Ввод 1</v>
      </c>
      <c r="DL115" t="str">
        <f>IF(D115="","",IF(OR(DJ115="ИБП",DJ115="ДГУ"),"I особая",IF(DJ115="Одиночная","III",_xlfn.XLOOKUP(A115,Щиты[Щит],Щиты[Категория шины «Ввод»],"III"))))</f>
        <v>II</v>
      </c>
      <c r="DM115">
        <f>IF(D115="",0,IFERROR(MATCH(DE115,{"III","II","I","I особая"},0),1))</f>
        <v>2</v>
      </c>
      <c r="DN115">
        <f t="shared" si="124"/>
        <v>2</v>
      </c>
      <c r="DO115" t="str">
        <f>IF(D115="","",IF(DM115&gt;IFERROR(MATCH(DL115,{"III","II","I","I особая"},0),1),"НЕ ОБЕСПЕЧЕНА","ОК"))</f>
        <v>ОК</v>
      </c>
      <c r="DP115" t="str">
        <f>IF(A115="","",_xlfn.XLOOKUP(A115,Щиты[Щит],Щиты[Путь],""))</f>
        <v>|ГРЩ-ЖД|ЩОВ-01|</v>
      </c>
      <c r="DQ115" t="str">
        <f>IF(D115="","",IF(Z115&lt;&gt;"",Z115,IF(IFERROR(_xlfn.XLOOKUP(AT115,Коды_код,Коды_вид)&amp;"","")="","Прочее",_xlfn.XLOOKUP(AT115,Коды_код,Коды_вид)&amp;"")))</f>
        <v>Кондиционирование и увлажнение</v>
      </c>
      <c r="DR115">
        <f>IF(BD115="","",INT((BD115-1)/Столбцов_на_лист)+1)</f>
        <v>2</v>
      </c>
      <c r="DS115" t="str">
        <f t="shared" si="125"/>
        <v>ВВГнг(А)-LS (3х1,5) L=42-0,39%</v>
      </c>
      <c r="DT115">
        <f t="shared" si="126"/>
        <v>0.16200000000000001</v>
      </c>
      <c r="DU115">
        <f t="shared" si="127"/>
        <v>0.74</v>
      </c>
      <c r="DV115">
        <f t="shared" si="128"/>
        <v>1</v>
      </c>
      <c r="DW115">
        <f>IF(AT115="",0,_xlfn.LET(_xlpm.v,IFERROR(VLOOKUP(D115,УГО_спр,3,FALSE),IFERROR(VLOOKUP(AT115,УГО_спр,3,FALSE),IFERROR(VLOOKUP(LEFT(AT115,2),УГО_спр,3,FALSE),""))),IF(_xlpm.v="да",30,IF(ISNUMBER(_xlpm.v),_xlpm.v,0))))</f>
        <v>0</v>
      </c>
      <c r="DX115">
        <f t="shared" si="129"/>
        <v>0</v>
      </c>
      <c r="DY115">
        <f>IF(BD115="","",IF(AD115&lt;&gt;"",COUNTIFS(A$3:A115,A115,AD$3:AD115,"?*"),IF(OR(OR(AS115=1,A115&lt;&gt;A114),AL115="вручную"),"",IF(AS115=1,"",DZ114))))</f>
        <v>13</v>
      </c>
      <c r="DZ115">
        <f t="shared" si="130"/>
        <v>13</v>
      </c>
      <c r="EA115">
        <f>IF(D115="",0,MAX(IFERROR(--X115,0),IFERROR(--VLOOKUP(D115,УГО_спр,4,FALSE),IFERROR(--VLOOKUP(AT115,УГО_спр,4,FALSE),IFERROR(--VLOOKUP(LEFT(AT115,2),УГО_спр,4,FALSE),0)))))</f>
        <v>10</v>
      </c>
      <c r="EB115">
        <f>IF(D115="","",IFERROR(LOOKUP(INDEX(CHOOSE(BR115,Iдоп_1ж,Iдоп_2ж,Iдоп_3ж),MATCH(BS115,Iдоп_S,0))*BP115*BQ115,{6,10,16,20,25,32,40,50,63,80,100,125,160,200,250,315,400,500,630}),""))</f>
        <v>16</v>
      </c>
      <c r="EC115">
        <f>IF(AD115="","",SUMIFS(Линии[_Ток схемы],Линии[_гр.],DY115,Линии[Щит],A115,Линии[_в кабель выше],0))</f>
        <v>0.74</v>
      </c>
      <c r="ED115">
        <f>IF(AD115="","",IFERROR(VLOOKUP(EC115,Автомат_номиналы,2,TRUE),""))</f>
        <v>6</v>
      </c>
      <c r="EE115">
        <f>IF(AD115="","",MAX(N(ED115),_xlfn.MAXIFS(Линии[_мин. по типу],Линии[_гр.],DY115,Линии[Щит],A115)))</f>
        <v>10</v>
      </c>
      <c r="EF115">
        <f>IF(AD115="","",_xlfn.MINIFS(Линии[_макс. автомат по кабелю],Линии[_гр.],DY115,Линии[Щит],A115))</f>
        <v>16</v>
      </c>
      <c r="EG115">
        <f>IF(AD115="","",MAX(1,_xlfn.MAXIFS(Линии[_фаз],Линии[_гр.],DY115,Линии[Щит],A115)))</f>
        <v>1</v>
      </c>
      <c r="EH115">
        <f>IF(AD115="","",IF(AND(AD115&lt;&gt;"авто",AD115&lt;&gt;"+"),IF(ISNUMBER(SEARCH("мА",AD115)),IFERROR(--TRIM(RIGHT(SUBSTITUTE(LEFT(AD115,SEARCH("мА",AD115)-1)," ",REPT(" ",9)),6)),30),0),IF(AE115="нет",0,IF(ISNUMBER(AE115),AE115,IF(AE115="да",30,_xlfn.MINIFS(Линии[_дифзащита по коду, мА],Линии[_гр.],DY115,Линии[Щит],A115,Линии[_дифзащита по коду, мА],"&gt;0"))))))</f>
        <v>0</v>
      </c>
      <c r="EI115">
        <f t="shared" si="131"/>
        <v>0</v>
      </c>
      <c r="EJ115" t="str">
        <f t="shared" si="132"/>
        <v>QF13</v>
      </c>
      <c r="EK115" t="str">
        <f t="shared" si="133"/>
        <v>QF13</v>
      </c>
      <c r="EL115" t="str">
        <f t="shared" si="134"/>
        <v/>
      </c>
      <c r="EM115">
        <f t="shared" si="135"/>
        <v>0</v>
      </c>
      <c r="EN115">
        <f>IF(AD115="","",IF(EM115=1,MAX(EE115,Мин_автомат_БП),EE115))</f>
        <v>10</v>
      </c>
      <c r="EO115" t="str">
        <f t="shared" si="136"/>
        <v>1P</v>
      </c>
      <c r="EP115" t="str">
        <f t="shared" si="137"/>
        <v>1P С10А</v>
      </c>
      <c r="EQ115">
        <f t="shared" si="138"/>
        <v>10</v>
      </c>
      <c r="ER115" t="str">
        <f>IF(OR(AI115="",AI115="-"),"",IFERROR(VLOOKUP(AI115,Модули_спр,2,FALSE),"R"))</f>
        <v/>
      </c>
      <c r="ES115" t="str">
        <f>IF(ER115="","",ER115&amp;"."&amp;COUNTIFS(A$3:A115,A115,ER$3:ER115,ER115))</f>
        <v/>
      </c>
      <c r="ET115" t="str">
        <f t="shared" si="139"/>
        <v/>
      </c>
      <c r="EU115" t="str">
        <f t="shared" si="140"/>
        <v/>
      </c>
      <c r="EV115" t="str">
        <f t="shared" si="141"/>
        <v/>
      </c>
      <c r="EW115" t="str">
        <f t="shared" si="142"/>
        <v/>
      </c>
      <c r="EX115">
        <f t="shared" si="143"/>
        <v>1</v>
      </c>
      <c r="EY115" t="str">
        <f>IF(AK115="нет","",IF(AK115&lt;&gt;"",AK115,IF(EX115=1,"XT"&amp;COUNTIFS(A$3:A115,A115,EX$3:EX115,1),"")))</f>
        <v/>
      </c>
      <c r="EZ115" t="str">
        <f t="shared" si="144"/>
        <v>QF13</v>
      </c>
      <c r="FA115" t="str">
        <f t="shared" si="145"/>
        <v/>
      </c>
      <c r="FB115" t="str">
        <f t="shared" si="146"/>
        <v>ok</v>
      </c>
      <c r="FC115" t="str">
        <f>IF(OR(EV115="",ET115=""),"",IF(EV115&gt;IFERROR(VLOOKUP(EU115,Модули_спр,3,FALSE),99),"ЛИШНИЙ КАНАЛ",IF(AND(AJ115&lt;&gt;"=",COUNTIFS(Линии[_модуль гр.],ET115,Линии[Канал (итог)],EV115,Линии[Канал],"&lt;&gt;=",Линии[Щит],A115)&gt;1),"ДУБЛЬ КАНАЛА","")))</f>
        <v/>
      </c>
      <c r="FD115">
        <f t="shared" si="147"/>
        <v>10</v>
      </c>
      <c r="FE115" t="str">
        <f t="shared" si="148"/>
        <v>1P С10А</v>
      </c>
      <c r="FF115">
        <f t="shared" si="149"/>
        <v>0</v>
      </c>
      <c r="FG115">
        <f t="shared" si="150"/>
        <v>0</v>
      </c>
      <c r="FH115" t="str">
        <f t="shared" si="151"/>
        <v/>
      </c>
      <c r="FI115">
        <f t="shared" si="152"/>
        <v>10</v>
      </c>
      <c r="FJ115" t="str">
        <f t="shared" si="153"/>
        <v/>
      </c>
      <c r="FK115" t="str">
        <f>IF(AND(D115="",EZ115=""),"",_xlfn.TEXTJOIN("; ",TRUE,IF(AND(D115&lt;&gt;"",DD115=""),"нет фазы",""),IF(AND(D115&lt;&gt;"",N(DT115)=0,CN115&lt;&gt;"Нет"),"нет мощности",""),IF(AND(EY115&lt;&gt;"",COUNTIFS(Линии[Щит],A115,Линии[Клемма (итог)],EY115)&gt;1),"дубль клеммы "&amp;EY115,""),IF(AND(FB115&lt;&gt;"",FB115&lt;&gt;"ok"),FB115,""),IF(FC115&lt;&gt;"",FC115,""),IF(AND(ISNUMBER(SEARCH("(5х",DS115)),N(DV115)=1),"5 жил на 1 фазе",""),IF(AND(AT115="R",AD115&lt;&gt;"",OR(N(EH115)=0,N(EH115)&gt;30)),"розетка без дифзащиты до 30 мА",""),IFERROR(IF(AND(ISNUMBER(CD115),CD115&gt;CE115),"потери "&amp;FIXED(CD115,1)&amp;" % &gt; "&amp;CE115&amp;" %",""),""),IFERROR(IF(LEFT(FJ115,4)="мало","Iкз мало — отключение &gt; 0,4 с",""),""),IF(AND(D115&lt;&gt;"",BD115=""),"не на схеме","")))</f>
        <v/>
      </c>
      <c r="FL115">
        <f>IF(AD115="","",_xlfn.LET(_xlpm.t,IFERROR(_xlfn.XLOOKUP(EP115,Каталог!$U$4:$U$500,Каталог!$G$4:$G$500),""),_xlpm.k,SEARCH("кА",_xlpm.t),IFERROR(--TRIM(RIGHT(SUBSTITUTE(MID(_xlpm.t,MAX(1,_xlpm.k-4),_xlpm.k-MAX(1,_xlpm.k-4))," ",REPT(" ",9)),5)),"")))</f>
        <v>6</v>
      </c>
      <c r="FM115" t="str">
        <f>IF(OR(FL115="",AD115=""),"",IF(_xlfn.XLOOKUP(A115,Щиты[Щит],Щиты[Iкз max на шинах, кА],"")="","",IF(FL115&lt;_xlfn.XLOOKUP(A115,Щиты[Щит],Щиты[Iкз max на шинах, кА]),"Icu "&amp;FL115&amp;" кА &lt; Iкз max","ok")))</f>
        <v/>
      </c>
      <c r="FN115" t="str">
        <f t="shared" si="154"/>
        <v>QF13</v>
      </c>
      <c r="FO115" t="str">
        <f t="shared" si="155"/>
        <v>QF13|кабель ВВГнг(А)-LS (3х1,5) → Внутренний блок кондиционирования цокольный этаж Пом. №005Б</v>
      </c>
      <c r="FP115" t="str" cm="1">
        <f t="array" ref="FP115">IF(FO115="","",_xlfn.LET(_xlpm.nd,_xlfn.TEXTSPLIT(FO115,"|"),IF(COLUMNS(_xlpm.nd)&gt;1,A115&amp;"¦"&amp;INDEX(_xlpm.nd,1)&amp;"¦"&amp;INDEX(_xlpm.nd,2),"")))</f>
        <v>ЩОВ-01¦QF13¦кабель ВВГнг(А)-LS (3х1,5) → Внутренний блок кондиционирования цокольный этаж Пом. №005Б</v>
      </c>
      <c r="FQ115" t="str">
        <f t="shared" si="156"/>
        <v>K.0.005Б.1¦Внутренний блок кондиционирования цокольный этаж Пом. №005Б</v>
      </c>
      <c r="FR115" t="str" cm="1">
        <f t="array" ref="FR115">IF(FO115="","",_xlfn.LET(_xlpm.nd,_xlfn.TEXTSPLIT(FO115,"|"),IF(COLUMNS(_xlpm.nd)&gt;2,A115&amp;"¦"&amp;INDEX(_xlpm.nd,2)&amp;"¦"&amp;INDEX(_xlpm.nd,3),"")))</f>
        <v/>
      </c>
      <c r="FS115" t="str">
        <f t="shared" si="157"/>
        <v/>
      </c>
      <c r="FT115" t="str" cm="1">
        <f t="array" ref="FT115">IF(FO115="","",_xlfn.LET(_xlpm.nd,_xlfn.TEXTSPLIT(FO115,"|"),IF(COLUMNS(_xlpm.nd)&gt;3,A115&amp;"¦"&amp;INDEX(_xlpm.nd,3)&amp;"¦"&amp;INDEX(_xlpm.nd,4),"")))</f>
        <v/>
      </c>
      <c r="FU115" t="str">
        <f t="shared" si="158"/>
        <v/>
      </c>
      <c r="FV115" t="str" cm="1">
        <f t="array" ref="FV115">IF(FO115="","",_xlfn.LET(_xlpm.nd,_xlfn.TEXTSPLIT(FO115,"|"),IF(COLUMNS(_xlpm.nd)&gt;4,A115&amp;"¦"&amp;INDEX(_xlpm.nd,4)&amp;"¦"&amp;INDEX(_xlpm.nd,5),"")))</f>
        <v/>
      </c>
      <c r="FW115" t="str">
        <f t="shared" si="159"/>
        <v/>
      </c>
      <c r="FX115" t="str" cm="1">
        <f t="array" ref="FX115">IF(FO115="","",_xlfn.LET(_xlpm.nd,_xlfn.TEXTSPLIT(FO115,"|"),IF(COLUMNS(_xlpm.nd)&gt;5,A115&amp;"¦"&amp;INDEX(_xlpm.nd,5)&amp;"¦"&amp;INDEX(_xlpm.nd,6),"")))</f>
        <v/>
      </c>
      <c r="FY115" t="str">
        <f t="shared" si="160"/>
        <v/>
      </c>
      <c r="FZ115" t="str" cm="1">
        <f t="array" ref="FZ115">IF(FO115="","",_xlfn.LET(_xlpm.nd,_xlfn.TEXTSPLIT(FO115,"|"),IF(COLUMNS(_xlpm.nd)&gt;6,A115&amp;"¦"&amp;INDEX(_xlpm.nd,6)&amp;"¦"&amp;INDEX(_xlpm.nd,7),"")))</f>
        <v/>
      </c>
      <c r="GA115" t="str">
        <f t="shared" si="161"/>
        <v/>
      </c>
      <c r="GB115" t="str">
        <f t="shared" si="162"/>
        <v/>
      </c>
      <c r="GC115" t="str">
        <f t="shared" si="163"/>
        <v>QF13</v>
      </c>
      <c r="GD115">
        <f t="shared" si="164"/>
        <v>1</v>
      </c>
      <c r="GE115">
        <f t="shared" si="165"/>
        <v>0</v>
      </c>
      <c r="GF115">
        <f t="shared" si="166"/>
        <v>0</v>
      </c>
      <c r="GG115" t="str">
        <f t="shared" si="167"/>
        <v/>
      </c>
      <c r="GH115" t="str">
        <f t="shared" si="168"/>
        <v/>
      </c>
      <c r="GI115" t="str">
        <f t="shared" si="169"/>
        <v/>
      </c>
      <c r="GJ115" t="str">
        <f t="shared" si="170"/>
        <v/>
      </c>
      <c r="GK115">
        <f>IF(D115="","",IFERROR(VLOOKUP(D115,УГО_спр,2,FALSE),IFERROR(VLOOKUP(AT115,УГО_спр,2,FALSE),IFERROR(VLOOKUP(LEFT(AT115,2),УГО_спр,2,FALSE),""))))</f>
        <v>0</v>
      </c>
      <c r="GL115" t="str">
        <f>IF(D115="","",IF(OR(GK115="",GK115=0),"BOX",IFERROR(IF(VLOOKUP(GK115,УГО_блоки,3,FALSE)&amp;""&lt;&gt;"",VLOOKUP(GK115,УГО_блоки,3,FALSE),VLOOKUP(GK115,УГО_блоки,2,FALSE)),GK115)))</f>
        <v>BOX</v>
      </c>
      <c r="GM115">
        <f t="shared" si="171"/>
        <v>1</v>
      </c>
      <c r="GN115" t="str">
        <f>IF(EP115="","",IF(COUNTIF(EP$3:EP115,EP115)=1,MAX(GN$2:GN114)+1,""))</f>
        <v/>
      </c>
      <c r="GO115" t="str">
        <f>IF(AF115="","",IF(COUNTIF(AF$3:AF115,AF115)+COUNTIF(AG$2:AG114,AF115)+COUNTIF(AH$2:AH114,AF115)=1,MAX(GO$2:GQ114)+1,""))</f>
        <v/>
      </c>
      <c r="GP115" t="str">
        <f>IF(AG115="","",IF(COUNTIF(AF$3:AF115,AG115)+COUNTIF(AG$3:AG115,AG115)+COUNTIF(AH$2:AH114,AG115)=1,MAX(GO$2:GQ114,GO115)+1,""))</f>
        <v/>
      </c>
      <c r="GQ115" t="str">
        <f>IF(AH115="","",IF(COUNTIF(AF$3:AF115,AH115)+COUNTIF(AG$3:AG115,AH115)+COUNTIF(AH$3:AH115,AH115)=1,MAX(GO$2:GQ114,GO115,GP115)+1,""))</f>
        <v/>
      </c>
      <c r="GR115" t="str">
        <f t="shared" si="172"/>
        <v>3х1,5</v>
      </c>
      <c r="GS115" t="str">
        <f>IF(GR115="","",IF(COUNTIF(GR$3:GR115,GR115)=1,MAX(GS$2:GS114)+1,""))</f>
        <v/>
      </c>
      <c r="GT115" t="str">
        <f>IF(ES115="","",COUNTIF(ES$3:ES115,"?*"))</f>
        <v/>
      </c>
      <c r="GU115" t="str">
        <f>IF(OR(ES115="",EU115=""),"",IF(COUNTIFS(ES$3:ES115,"?*",EU$3:EU115,EU115)=1,MAX(GU$2:GU114)+1,""))</f>
        <v/>
      </c>
      <c r="GV115">
        <f t="shared" si="173"/>
        <v>0</v>
      </c>
      <c r="GW115">
        <f>IF(D115="","",COUNTIF(D$3:D115,"?*"))</f>
        <v>113</v>
      </c>
      <c r="GX115">
        <f>IF(EX115&lt;&gt;1,0,_xlfn.LET(_xlpm.k,MAX(IFERROR(--VLOOKUP(D115,УГО_спр,5,FALSE),0),IFERROR(--VLOOKUP(AT115,УГО_спр,5,FALSE),0),IFERROR(--VLOOKUP(LEFT(AT115,2),УГО_спр,5,FALSE),0)),IF(_xlpm.k&gt;0,_xlpm.k,IF(IFERROR(--LEFT(SUBSTITUTE(GR115,"x","х"),FIND("х",SUBSTITUTE(GR115,"x","х"))-1),3)&gt;3,Каталог!$S$9,1))))</f>
        <v>1</v>
      </c>
      <c r="GY115">
        <f t="shared" si="174"/>
        <v>0</v>
      </c>
    </row>
    <row r="116" spans="1:207" x14ac:dyDescent="0.3">
      <c r="A116" t="s">
        <v>750</v>
      </c>
      <c r="B116">
        <v>28</v>
      </c>
      <c r="C116" t="str">
        <f>IF(BD116="","",IF(BE116="вводной узел","узел ","")&amp;"л."&amp;(INT((BD116-1)/Столбцов_на_лист)+1)&amp;" / "&amp;(MOD(BD116-1,Столбцов_на_лист)+1))</f>
        <v>л.2 / 11</v>
      </c>
      <c r="D116" t="s">
        <v>1409</v>
      </c>
      <c r="E116" s="133" t="s">
        <v>1408</v>
      </c>
      <c r="G116">
        <v>0.16200000000000001</v>
      </c>
      <c r="H116">
        <v>1</v>
      </c>
      <c r="I116">
        <v>1</v>
      </c>
      <c r="J116">
        <v>230</v>
      </c>
      <c r="K116" t="s">
        <v>602</v>
      </c>
      <c r="L116">
        <v>0.5</v>
      </c>
      <c r="O116">
        <v>2</v>
      </c>
      <c r="P116">
        <v>48</v>
      </c>
      <c r="Q116">
        <v>21</v>
      </c>
      <c r="R116">
        <v>29</v>
      </c>
      <c r="T116">
        <v>1</v>
      </c>
      <c r="U116" t="s">
        <v>11</v>
      </c>
      <c r="V116">
        <v>3</v>
      </c>
      <c r="W116">
        <v>1.5</v>
      </c>
      <c r="X116">
        <v>10</v>
      </c>
      <c r="Z116" t="s">
        <v>580</v>
      </c>
      <c r="AA116" t="s">
        <v>818</v>
      </c>
      <c r="AD116" t="s">
        <v>517</v>
      </c>
      <c r="AK116" t="s">
        <v>488</v>
      </c>
      <c r="AR116" t="str">
        <f t="shared" si="88"/>
        <v/>
      </c>
      <c r="AS116" cm="1">
        <f t="array" ref="AS116">ROW()-ROW(Линии[#Headers])</f>
        <v>114</v>
      </c>
      <c r="AT116" t="str">
        <f t="shared" si="89"/>
        <v>K</v>
      </c>
      <c r="AU116" t="str">
        <f t="shared" si="90"/>
        <v>0.005Б.2</v>
      </c>
      <c r="AV116" t="str">
        <f t="shared" si="91"/>
        <v>0</v>
      </c>
      <c r="AW116" t="str">
        <f t="shared" si="92"/>
        <v>005Б.2</v>
      </c>
      <c r="AX116" t="str">
        <f t="shared" si="93"/>
        <v>005Б</v>
      </c>
      <c r="AY116" t="str">
        <f>IF(D116="","",IF(ISERROR(SEARCH(".",D116)),IFERROR(VLOOKUP(D116,Потребители_обозначение,2,FALSE)&amp;"",""),IFERROR(IF(VLOOKUP(AT116,Потребители_обозначение,4,FALSE)=1,VLOOKUP(AT116,Потребители_обозначение,2,FALSE)&amp;" "&amp;VLOOKUP(AV116,Этаж_обозначение,2,FALSE)&amp;" Пом. №"&amp;AX116,VLOOKUP(AT116,Потребители_обозначение,2,FALSE)&amp;" Шлейф №"&amp;AV116),IFERROR(VLOOKUP(D116,Потребители_обозначение,2,FALSE),""))))</f>
        <v>Внутренний блок кондиционирования Цокольный этаж Пом. №005Б</v>
      </c>
      <c r="AZ116" t="str">
        <f t="shared" si="94"/>
        <v>Внутренний блок кондиционирования цокольный этаж Пом. №005Б</v>
      </c>
      <c r="BA116" t="str">
        <f>IF(F116&lt;&gt;"",F116,IF(AND(D116&lt;&gt;"",D116&lt;&gt;A116,ISNUMBER(_xlfn.XMATCH(D116,Щиты[Щит]))),D116,""))</f>
        <v/>
      </c>
      <c r="BB116">
        <f>IFERROR(_xlfn.XMATCH(A116,Щиты[Щит]),0)</f>
        <v>6</v>
      </c>
      <c r="BC116">
        <f>IFERROR(N(_xlfn.XLOOKUP(A116,Щиты[Щит],Щиты[Мест под вводной узел])),15)</f>
        <v>12</v>
      </c>
      <c r="BD116">
        <f t="shared" si="95"/>
        <v>28</v>
      </c>
      <c r="BE116" t="str">
        <f t="shared" si="96"/>
        <v>линии</v>
      </c>
      <c r="BF116">
        <f>IF(D116="","",IF(BA116&lt;&gt;"",IFERROR(_xlfn.XLOOKUP(BA116,Щиты[Щит],Щиты[Руст, кВт]),0),N(G116)))</f>
        <v>0.16200000000000001</v>
      </c>
      <c r="BG116">
        <f>IF(J116&lt;&gt;"",J116,IF(D116="","",IFERROR(IF(VLOOKUP(AT116,Потребители_обозначение,8,FALSE)=0,"",VLOOKUP(AT116,Потребители_обозначение,8,FALSE)),"")))</f>
        <v>230</v>
      </c>
      <c r="BH116">
        <f>IF(I116&lt;&gt;"",I116,IF(D116="","",IFERROR(IF(VLOOKUP(AT116,Потребители_обозначение,9,FALSE)=0,"",VLOOKUP(AT116,Потребители_обозначение,9,FALSE)),"")))</f>
        <v>1</v>
      </c>
      <c r="BI116" t="str">
        <f>IF(U116&lt;&gt;"",U116,IF(D116="","",IFERROR(IF(VLOOKUP(AT116,Потребители_обозначение,6,FALSE)=0,"",VLOOKUP(AT116,Потребители_обозначение,6,FALSE)),"")))</f>
        <v>мс</v>
      </c>
      <c r="BJ116">
        <f>IF(V116&lt;&gt;"",V116,IF(D116="","",IFERROR(IF(VLOOKUP(AT116,Потребители_обозначение,7,FALSE)=0,"",VLOOKUP(AT116,Потребители_обозначение,7,FALSE)),"")))</f>
        <v>3</v>
      </c>
      <c r="BK116">
        <f>IF(W116&lt;&gt;"",W116,IF(D116="","",IFERROR(IF(VLOOKUP(AT116,Потребители_обозначение,10,FALSE)=0,"",VLOOKUP(AT116,Потребители_обозначение,10,FALSE)),"")))</f>
        <v>1.5</v>
      </c>
      <c r="BL116">
        <f>IFERROR(VLOOKUP(AT116,Потребители_обозначение,5,FALSE),0)</f>
        <v>1</v>
      </c>
      <c r="BM116" cm="1">
        <f t="array" ref="BM116">IF(D116="","",IF(BA116&lt;&gt;"",IFERROR(_xlfn.XLOOKUP(BA116,Щиты[Щит],Щиты[cos φ]),0.95),IF(ISNUMBER(M116),M116,IFERROR(IF(BL116=2,_xlfn.IFS(BH116=3,VLOOKUP(BF116,Справочная_двигатели,8,FALSE),BH116=1,VLOOKUP(BF116,Справочная_двигатели,10,TRUE)),IF(AND(Методика="нормы 2026",CN116="Сил"),0.8,0.95)),0.95))))</f>
        <v>0.95</v>
      </c>
      <c r="BN116" cm="1">
        <f t="array" ref="BN116">IF(D116="","",IF(BA116&lt;&gt;"",IFERROR(_xlfn.XLOOKUP(BA116,Щиты[Щит],Щиты[Iр, А]),""),IFERROR(_xlfn.IFS(BH116=1,BF116/((Uн_лин/SQRT(3))*BM116),BH116=3,BF116/(SQRT(3)*Uн_лин*BM116)),"")))</f>
        <v>0.73840060743725822</v>
      </c>
      <c r="BO116">
        <f>IF(D116="","",IF(N(X116)=0,IFERROR(VLOOKUP(BN116,Автомат_номиналы,2,TRUE),""),X116))</f>
        <v>10</v>
      </c>
      <c r="BP116">
        <f t="shared" si="97"/>
        <v>1</v>
      </c>
      <c r="BQ116">
        <f>IF(ISNUMBER(Y116),Y116,К_прокл)</f>
        <v>1</v>
      </c>
      <c r="BR116">
        <f t="shared" si="98"/>
        <v>2</v>
      </c>
      <c r="BS116" cm="1">
        <f t="array" ref="BS116">IF(D116="","",IF(N(BK116)&lt;&gt;0,BK116,IFERROR(_xlfn.LET(_xlpm.need,BO116/(BP116*BQ116),_xlpm.t,CHOOSE(BR116,Iдоп_1ж,Iдоп_2ж,Iдоп_3ж),_xlpm.k,_xlfn.XMATCH(_xlpm.need,_xlpm.t,1),IF(ISNA(_xlpm.k),"Не исп",INDEX(Iдоп_S,_xlpm.k))),"Не исп")))</f>
        <v>1.5</v>
      </c>
      <c r="BT116">
        <f>IFERROR(VLOOKUP(BS116,Кабель_сопротивление,3,FALSE),"")</f>
        <v>2.2499999999999999E-2</v>
      </c>
      <c r="BU116">
        <f>IFERROR(VLOOKUP(BS116,Кабель_сопротивление,2,FALSE),"")</f>
        <v>0.11</v>
      </c>
      <c r="BV116">
        <f t="shared" si="99"/>
        <v>48</v>
      </c>
      <c r="BW116">
        <f>IF(D116="","",IFERROR(IF(VLOOKUP(AT116,Потребители_обозначение,4,FALSE)=1,VLOOKUP(AT116,Потребители_обозначение,3,FALSE)*(H116*2-1)+BV116+VLOOKUP(AV116,Этаж_обозначение,3,FALSE)+VLOOKUP(AV116,Этаж_обозначение,4,FALSE),VLOOKUP(AT116,Потребители_обозначение,3,FALSE)*(H116*2-1)+BV116),BV116))</f>
        <v>50</v>
      </c>
      <c r="BX116">
        <f t="shared" si="100"/>
        <v>29</v>
      </c>
      <c r="BY116">
        <f t="shared" si="101"/>
        <v>0</v>
      </c>
      <c r="BZ116">
        <f t="shared" si="102"/>
        <v>2</v>
      </c>
      <c r="CA116">
        <f t="shared" si="103"/>
        <v>0.31</v>
      </c>
      <c r="CB116">
        <f t="shared" si="104"/>
        <v>1.0547388116694538</v>
      </c>
      <c r="CC116">
        <f>IFERROR(ROUNDUP(CB116/((Uн_лин/SQRT(3))*1000)*100,2),"")</f>
        <v>0.46</v>
      </c>
      <c r="CD116">
        <f>IF(ISNUMBER(CC116),CC116+IFERROR(_xlfn.XLOOKUP(A116,Щиты[Щит],Щиты[ΔU до шин, %]),0),"")</f>
        <v>0.70000000000000007</v>
      </c>
      <c r="CE116">
        <f>IF(D116="","",IF(IFERROR(VLOOKUP(AT116,УГО_спр,2,FALSE),"")="Светильник",3,4)+IF(Методика="нормы 2026",MIN(0.5,MAX(0,N(BW116)-100)*0.005),0))</f>
        <v>4</v>
      </c>
      <c r="CF116" t="str">
        <f>IFERROR(VLOOKUP(BI116,Кабель_обозначение,2,FALSE),"")</f>
        <v>ВВГнг(А)-LS</v>
      </c>
      <c r="CG116" t="str">
        <f>IFERROR(IF(VLOOKUP(BI116,Кабель_обозначение,3,FALSE)=1,CF116&amp;" ("&amp;BJ116&amp;"х"&amp;BS116&amp;")",CF116),"")</f>
        <v>ВВГнг(А)-LS (3х1,5)</v>
      </c>
      <c r="CH116" t="str">
        <f t="shared" si="105"/>
        <v>ВВГнг(А)-LS (3х1,5)
L=50-0,46%</v>
      </c>
      <c r="CI116">
        <f>IFERROR(2*ρкз_Cu*BW116/BS116,"")</f>
        <v>1.7533333333333332</v>
      </c>
      <c r="CJ116">
        <f t="shared" si="106"/>
        <v>0.58333333333333337</v>
      </c>
      <c r="CK116" t="str">
        <f>IFERROR(IF(OR(D116="",NOT(ISNUMBER(BS116)),N(BW116)=0),"",_xlfn.XLOOKUP(A116,Щиты[Щит],Щиты[Zпетли на шинах, Ом])+CI116),"")</f>
        <v/>
      </c>
      <c r="CL116" t="str">
        <f>IF(ISNUMBER(CK116),c_min*(Uн_лин*1000/SQRT(3))/CK116,"")</f>
        <v/>
      </c>
      <c r="CM116" t="str">
        <f>IFERROR(IF(OR(D116="",NOT(ISNUMBER(BS116))),"",1.05*(Uн_лин*1000/SQRT(3))/(_xlfn.XLOOKUP(A116,Щиты[Щит],Щиты[Zmax на шинах, Ом])+CJ116)/1000),"")</f>
        <v/>
      </c>
      <c r="CN116" t="str">
        <f>IF(D116="","",IF(BA116&lt;&gt;"","Щит",IF(K116&lt;&gt;"",K116,IF(ISNUMBER(L116),"Сил",IF(IFERROR(_xlfn.XLOOKUP(AT116,Коды_код,Коды_группа)&amp;"","")="","Быт",_xlfn.XLOOKUP(AT116,Коды_код,Коды_группа)&amp;"")))))</f>
        <v>Сил</v>
      </c>
      <c r="CO116">
        <f>IF(CN116="Щит","щит",IF(CN116="","",IF(CN116="Быт",IFERROR(_xlfn.XLOOKUP(A116,Щиты[Щит],Щиты[Кс быт]),1),IF(CN116="Сил",IF(ISNUMBER(L116),L116,IF(Методика="нормы 2026",IFERROR(_xlfn.XLOOKUP(A116,Щиты[Щит],Щиты[Кс силовых (табл. 7.5)]),1),1)),IF(OR(CN116="Пост",CN116="Отоп"),1,IF(CN116="ВНГ",0.7,0))))))</f>
        <v>0.5</v>
      </c>
      <c r="CP116">
        <f t="shared" si="107"/>
        <v>1</v>
      </c>
      <c r="CQ116">
        <f t="shared" si="108"/>
        <v>0.16200000000000001</v>
      </c>
      <c r="CR116">
        <f t="shared" si="109"/>
        <v>0</v>
      </c>
      <c r="CS116">
        <f t="shared" si="110"/>
        <v>8.1000000000000003E-2</v>
      </c>
      <c r="CT116">
        <f t="shared" si="111"/>
        <v>0</v>
      </c>
      <c r="CU116">
        <f t="shared" si="112"/>
        <v>0</v>
      </c>
      <c r="CV116">
        <f t="shared" si="113"/>
        <v>0</v>
      </c>
      <c r="CW116">
        <f t="shared" si="114"/>
        <v>0.16200000000000001</v>
      </c>
      <c r="CX116">
        <f t="shared" si="115"/>
        <v>0.15390000000000001</v>
      </c>
      <c r="CY116">
        <f t="shared" si="116"/>
        <v>1</v>
      </c>
      <c r="CZ116" t="str">
        <f t="shared" si="117"/>
        <v>L1</v>
      </c>
      <c r="DA116" cm="1">
        <f t="array" ref="DA116">IFERROR(IF(BL116=2,_xlfn.IFS(BH116=3,VLOOKUP(BF116,Справочная_двигатели,3,FALSE),BH116=1,VLOOKUP(BF116,Справочная_двигатели,5,TRUE)),0),0)</f>
        <v>0</v>
      </c>
      <c r="DB116">
        <f>IFERROR(IF(BL116=3,VLOOKUP(BF116,Справочная_ЛЭД,2,TRUE),0),0)</f>
        <v>0</v>
      </c>
      <c r="DC116">
        <f t="shared" si="118"/>
        <v>0</v>
      </c>
      <c r="DD116" t="str">
        <f t="shared" si="119"/>
        <v>L2</v>
      </c>
      <c r="DE116" t="str" cm="1">
        <f t="array" ref="DE116">IF(D116="","",IFERROR(INDEX({"I особая","I","II","III"},MATCH(TRIM(AA116&amp;""),{"I особая","I","II","III"},0)),"III"))</f>
        <v>II</v>
      </c>
      <c r="DF116" t="str">
        <f>IF(D116="","",IF(TRIM(AB116&amp;"")&lt;&gt;"",IF(LOWER(TRIM(AB116&amp;""))="да","да","нет"),IF(IFERROR(_xlfn.XLOOKUP(AT116,Коды_код,Коды_пожарная),"")="да","да","нет")))</f>
        <v>нет</v>
      </c>
      <c r="DG116" t="str">
        <f t="shared" si="120"/>
        <v/>
      </c>
      <c r="DH116" t="str">
        <f t="shared" si="121"/>
        <v>основная</v>
      </c>
      <c r="DI116">
        <f t="shared" si="122"/>
        <v>1</v>
      </c>
      <c r="DJ116" t="str" cm="1">
        <f t="array" ref="DJ116">IF(D116="","",_xlfn.LET(_xlpm.t,IFERROR(_xlfn.XLOOKUP(1,(Шины[Шина]=DH116)*(((Шины[Щит]=A116)+(Шины[Щит]=""))&gt;0),Шины[Тип]),"")&amp;"",IF(_xlpm.t&lt;&gt;"",_xlpm.t,IF(ISNUMBER(SEARCH("ИБП",DH116)),"ИБП",IF(ISNUMBER(SEARCH("ДГУ",DH116)),"ДГУ","Ввод "&amp;DI116)))))</f>
        <v>Ввод 1</v>
      </c>
      <c r="DK116" t="str">
        <f t="shared" si="123"/>
        <v>Ввод 1</v>
      </c>
      <c r="DL116" t="str">
        <f>IF(D116="","",IF(OR(DJ116="ИБП",DJ116="ДГУ"),"I особая",IF(DJ116="Одиночная","III",_xlfn.XLOOKUP(A116,Щиты[Щит],Щиты[Категория шины «Ввод»],"III"))))</f>
        <v>II</v>
      </c>
      <c r="DM116">
        <f>IF(D116="",0,IFERROR(MATCH(DE116,{"III","II","I","I особая"},0),1))</f>
        <v>2</v>
      </c>
      <c r="DN116">
        <f t="shared" si="124"/>
        <v>2</v>
      </c>
      <c r="DO116" t="str">
        <f>IF(D116="","",IF(DM116&gt;IFERROR(MATCH(DL116,{"III","II","I","I особая"},0),1),"НЕ ОБЕСПЕЧЕНА","ОК"))</f>
        <v>ОК</v>
      </c>
      <c r="DP116" t="str">
        <f>IF(A116="","",_xlfn.XLOOKUP(A116,Щиты[Щит],Щиты[Путь],""))</f>
        <v>|ГРЩ-ЖД|ЩОВ-01|</v>
      </c>
      <c r="DQ116" t="str">
        <f>IF(D116="","",IF(Z116&lt;&gt;"",Z116,IF(IFERROR(_xlfn.XLOOKUP(AT116,Коды_код,Коды_вид)&amp;"","")="","Прочее",_xlfn.XLOOKUP(AT116,Коды_код,Коды_вид)&amp;"")))</f>
        <v>Кондиционирование и увлажнение</v>
      </c>
      <c r="DR116">
        <f>IF(BD116="","",INT((BD116-1)/Столбцов_на_лист)+1)</f>
        <v>2</v>
      </c>
      <c r="DS116" t="str">
        <f t="shared" si="125"/>
        <v>ВВГнг(А)-LS (3х1,5) L=50-0,46%</v>
      </c>
      <c r="DT116">
        <f t="shared" si="126"/>
        <v>0.16200000000000001</v>
      </c>
      <c r="DU116">
        <f t="shared" si="127"/>
        <v>0.74</v>
      </c>
      <c r="DV116">
        <f t="shared" si="128"/>
        <v>1</v>
      </c>
      <c r="DW116">
        <f>IF(AT116="",0,_xlfn.LET(_xlpm.v,IFERROR(VLOOKUP(D116,УГО_спр,3,FALSE),IFERROR(VLOOKUP(AT116,УГО_спр,3,FALSE),IFERROR(VLOOKUP(LEFT(AT116,2),УГО_спр,3,FALSE),""))),IF(_xlpm.v="да",30,IF(ISNUMBER(_xlpm.v),_xlpm.v,0))))</f>
        <v>0</v>
      </c>
      <c r="DX116">
        <f t="shared" si="129"/>
        <v>0</v>
      </c>
      <c r="DY116">
        <f>IF(BD116="","",IF(AD116&lt;&gt;"",COUNTIFS(A$3:A116,A116,AD$3:AD116,"?*"),IF(OR(OR(AS116=1,A116&lt;&gt;A115),AL116="вручную"),"",IF(AS116=1,"",DZ115))))</f>
        <v>14</v>
      </c>
      <c r="DZ116">
        <f t="shared" si="130"/>
        <v>14</v>
      </c>
      <c r="EA116">
        <f>IF(D116="",0,MAX(IFERROR(--X116,0),IFERROR(--VLOOKUP(D116,УГО_спр,4,FALSE),IFERROR(--VLOOKUP(AT116,УГО_спр,4,FALSE),IFERROR(--VLOOKUP(LEFT(AT116,2),УГО_спр,4,FALSE),0)))))</f>
        <v>10</v>
      </c>
      <c r="EB116">
        <f>IF(D116="","",IFERROR(LOOKUP(INDEX(CHOOSE(BR116,Iдоп_1ж,Iдоп_2ж,Iдоп_3ж),MATCH(BS116,Iдоп_S,0))*BP116*BQ116,{6,10,16,20,25,32,40,50,63,80,100,125,160,200,250,315,400,500,630}),""))</f>
        <v>16</v>
      </c>
      <c r="EC116">
        <f>IF(AD116="","",SUMIFS(Линии[_Ток схемы],Линии[_гр.],DY116,Линии[Щит],A116,Линии[_в кабель выше],0))</f>
        <v>0.74</v>
      </c>
      <c r="ED116">
        <f>IF(AD116="","",IFERROR(VLOOKUP(EC116,Автомат_номиналы,2,TRUE),""))</f>
        <v>6</v>
      </c>
      <c r="EE116">
        <f>IF(AD116="","",MAX(N(ED116),_xlfn.MAXIFS(Линии[_мин. по типу],Линии[_гр.],DY116,Линии[Щит],A116)))</f>
        <v>10</v>
      </c>
      <c r="EF116">
        <f>IF(AD116="","",_xlfn.MINIFS(Линии[_макс. автомат по кабелю],Линии[_гр.],DY116,Линии[Щит],A116))</f>
        <v>16</v>
      </c>
      <c r="EG116">
        <f>IF(AD116="","",MAX(1,_xlfn.MAXIFS(Линии[_фаз],Линии[_гр.],DY116,Линии[Щит],A116)))</f>
        <v>1</v>
      </c>
      <c r="EH116">
        <f>IF(AD116="","",IF(AND(AD116&lt;&gt;"авто",AD116&lt;&gt;"+"),IF(ISNUMBER(SEARCH("мА",AD116)),IFERROR(--TRIM(RIGHT(SUBSTITUTE(LEFT(AD116,SEARCH("мА",AD116)-1)," ",REPT(" ",9)),6)),30),0),IF(AE116="нет",0,IF(ISNUMBER(AE116),AE116,IF(AE116="да",30,_xlfn.MINIFS(Линии[_дифзащита по коду, мА],Линии[_гр.],DY116,Линии[Щит],A116,Линии[_дифзащита по коду, мА],"&gt;0"))))))</f>
        <v>0</v>
      </c>
      <c r="EI116">
        <f t="shared" si="131"/>
        <v>0</v>
      </c>
      <c r="EJ116" t="str">
        <f t="shared" si="132"/>
        <v>QF14</v>
      </c>
      <c r="EK116" t="str">
        <f t="shared" si="133"/>
        <v>QF14</v>
      </c>
      <c r="EL116" t="str">
        <f t="shared" si="134"/>
        <v/>
      </c>
      <c r="EM116">
        <f t="shared" si="135"/>
        <v>0</v>
      </c>
      <c r="EN116">
        <f>IF(AD116="","",IF(EM116=1,MAX(EE116,Мин_автомат_БП),EE116))</f>
        <v>10</v>
      </c>
      <c r="EO116" t="str">
        <f t="shared" si="136"/>
        <v>1P</v>
      </c>
      <c r="EP116" t="str">
        <f t="shared" si="137"/>
        <v>1P С10А</v>
      </c>
      <c r="EQ116">
        <f t="shared" si="138"/>
        <v>10</v>
      </c>
      <c r="ER116" t="str">
        <f>IF(OR(AI116="",AI116="-"),"",IFERROR(VLOOKUP(AI116,Модули_спр,2,FALSE),"R"))</f>
        <v/>
      </c>
      <c r="ES116" t="str">
        <f>IF(ER116="","",ER116&amp;"."&amp;COUNTIFS(A$3:A116,A116,ER$3:ER116,ER116))</f>
        <v/>
      </c>
      <c r="ET116" t="str">
        <f t="shared" si="139"/>
        <v/>
      </c>
      <c r="EU116" t="str">
        <f t="shared" si="140"/>
        <v/>
      </c>
      <c r="EV116" t="str">
        <f t="shared" si="141"/>
        <v/>
      </c>
      <c r="EW116" t="str">
        <f t="shared" si="142"/>
        <v/>
      </c>
      <c r="EX116">
        <f t="shared" si="143"/>
        <v>1</v>
      </c>
      <c r="EY116" t="str">
        <f>IF(AK116="нет","",IF(AK116&lt;&gt;"",AK116,IF(EX116=1,"XT"&amp;COUNTIFS(A$3:A116,A116,EX$3:EX116,1),"")))</f>
        <v/>
      </c>
      <c r="EZ116" t="str">
        <f t="shared" si="144"/>
        <v>QF14</v>
      </c>
      <c r="FA116" t="str">
        <f t="shared" si="145"/>
        <v/>
      </c>
      <c r="FB116" t="str">
        <f t="shared" si="146"/>
        <v>ok</v>
      </c>
      <c r="FC116" t="str">
        <f>IF(OR(EV116="",ET116=""),"",IF(EV116&gt;IFERROR(VLOOKUP(EU116,Модули_спр,3,FALSE),99),"ЛИШНИЙ КАНАЛ",IF(AND(AJ116&lt;&gt;"=",COUNTIFS(Линии[_модуль гр.],ET116,Линии[Канал (итог)],EV116,Линии[Канал],"&lt;&gt;=",Линии[Щит],A116)&gt;1),"ДУБЛЬ КАНАЛА","")))</f>
        <v/>
      </c>
      <c r="FD116">
        <f t="shared" si="147"/>
        <v>10</v>
      </c>
      <c r="FE116" t="str">
        <f t="shared" si="148"/>
        <v>1P С10А</v>
      </c>
      <c r="FF116">
        <f t="shared" si="149"/>
        <v>0</v>
      </c>
      <c r="FG116">
        <f t="shared" si="150"/>
        <v>0</v>
      </c>
      <c r="FH116" t="str">
        <f t="shared" si="151"/>
        <v/>
      </c>
      <c r="FI116">
        <f t="shared" si="152"/>
        <v>10</v>
      </c>
      <c r="FJ116" t="str">
        <f t="shared" si="153"/>
        <v/>
      </c>
      <c r="FK116" t="str">
        <f>IF(AND(D116="",EZ116=""),"",_xlfn.TEXTJOIN("; ",TRUE,IF(AND(D116&lt;&gt;"",DD116=""),"нет фазы",""),IF(AND(D116&lt;&gt;"",N(DT116)=0,CN116&lt;&gt;"Нет"),"нет мощности",""),IF(AND(EY116&lt;&gt;"",COUNTIFS(Линии[Щит],A116,Линии[Клемма (итог)],EY116)&gt;1),"дубль клеммы "&amp;EY116,""),IF(AND(FB116&lt;&gt;"",FB116&lt;&gt;"ok"),FB116,""),IF(FC116&lt;&gt;"",FC116,""),IF(AND(ISNUMBER(SEARCH("(5х",DS116)),N(DV116)=1),"5 жил на 1 фазе",""),IF(AND(AT116="R",AD116&lt;&gt;"",OR(N(EH116)=0,N(EH116)&gt;30)),"розетка без дифзащиты до 30 мА",""),IFERROR(IF(AND(ISNUMBER(CD116),CD116&gt;CE116),"потери "&amp;FIXED(CD116,1)&amp;" % &gt; "&amp;CE116&amp;" %",""),""),IFERROR(IF(LEFT(FJ116,4)="мало","Iкз мало — отключение &gt; 0,4 с",""),""),IF(AND(D116&lt;&gt;"",BD116=""),"не на схеме","")))</f>
        <v/>
      </c>
      <c r="FL116">
        <f>IF(AD116="","",_xlfn.LET(_xlpm.t,IFERROR(_xlfn.XLOOKUP(EP116,Каталог!$U$4:$U$500,Каталог!$G$4:$G$500),""),_xlpm.k,SEARCH("кА",_xlpm.t),IFERROR(--TRIM(RIGHT(SUBSTITUTE(MID(_xlpm.t,MAX(1,_xlpm.k-4),_xlpm.k-MAX(1,_xlpm.k-4))," ",REPT(" ",9)),5)),"")))</f>
        <v>6</v>
      </c>
      <c r="FM116" t="str">
        <f>IF(OR(FL116="",AD116=""),"",IF(_xlfn.XLOOKUP(A116,Щиты[Щит],Щиты[Iкз max на шинах, кА],"")="","",IF(FL116&lt;_xlfn.XLOOKUP(A116,Щиты[Щит],Щиты[Iкз max на шинах, кА]),"Icu "&amp;FL116&amp;" кА &lt; Iкз max","ok")))</f>
        <v/>
      </c>
      <c r="FN116" t="str">
        <f t="shared" si="154"/>
        <v>QF14</v>
      </c>
      <c r="FO116" t="str">
        <f t="shared" si="155"/>
        <v>QF14|кабель ВВГнг(А)-LS (3х1,5) → Внутренний блок кондиционирования цокольный этаж Пом. №005Б</v>
      </c>
      <c r="FP116" t="str" cm="1">
        <f t="array" ref="FP116">IF(FO116="","",_xlfn.LET(_xlpm.nd,_xlfn.TEXTSPLIT(FO116,"|"),IF(COLUMNS(_xlpm.nd)&gt;1,A116&amp;"¦"&amp;INDEX(_xlpm.nd,1)&amp;"¦"&amp;INDEX(_xlpm.nd,2),"")))</f>
        <v>ЩОВ-01¦QF14¦кабель ВВГнг(А)-LS (3х1,5) → Внутренний блок кондиционирования цокольный этаж Пом. №005Б</v>
      </c>
      <c r="FQ116" t="str">
        <f t="shared" si="156"/>
        <v>K.0.005Б.2¦Внутренний блок кондиционирования цокольный этаж Пом. №005Б</v>
      </c>
      <c r="FR116" t="str" cm="1">
        <f t="array" ref="FR116">IF(FO116="","",_xlfn.LET(_xlpm.nd,_xlfn.TEXTSPLIT(FO116,"|"),IF(COLUMNS(_xlpm.nd)&gt;2,A116&amp;"¦"&amp;INDEX(_xlpm.nd,2)&amp;"¦"&amp;INDEX(_xlpm.nd,3),"")))</f>
        <v/>
      </c>
      <c r="FS116" t="str">
        <f t="shared" si="157"/>
        <v/>
      </c>
      <c r="FT116" t="str" cm="1">
        <f t="array" ref="FT116">IF(FO116="","",_xlfn.LET(_xlpm.nd,_xlfn.TEXTSPLIT(FO116,"|"),IF(COLUMNS(_xlpm.nd)&gt;3,A116&amp;"¦"&amp;INDEX(_xlpm.nd,3)&amp;"¦"&amp;INDEX(_xlpm.nd,4),"")))</f>
        <v/>
      </c>
      <c r="FU116" t="str">
        <f t="shared" si="158"/>
        <v/>
      </c>
      <c r="FV116" t="str" cm="1">
        <f t="array" ref="FV116">IF(FO116="","",_xlfn.LET(_xlpm.nd,_xlfn.TEXTSPLIT(FO116,"|"),IF(COLUMNS(_xlpm.nd)&gt;4,A116&amp;"¦"&amp;INDEX(_xlpm.nd,4)&amp;"¦"&amp;INDEX(_xlpm.nd,5),"")))</f>
        <v/>
      </c>
      <c r="FW116" t="str">
        <f t="shared" si="159"/>
        <v/>
      </c>
      <c r="FX116" t="str" cm="1">
        <f t="array" ref="FX116">IF(FO116="","",_xlfn.LET(_xlpm.nd,_xlfn.TEXTSPLIT(FO116,"|"),IF(COLUMNS(_xlpm.nd)&gt;5,A116&amp;"¦"&amp;INDEX(_xlpm.nd,5)&amp;"¦"&amp;INDEX(_xlpm.nd,6),"")))</f>
        <v/>
      </c>
      <c r="FY116" t="str">
        <f t="shared" si="160"/>
        <v/>
      </c>
      <c r="FZ116" t="str" cm="1">
        <f t="array" ref="FZ116">IF(FO116="","",_xlfn.LET(_xlpm.nd,_xlfn.TEXTSPLIT(FO116,"|"),IF(COLUMNS(_xlpm.nd)&gt;6,A116&amp;"¦"&amp;INDEX(_xlpm.nd,6)&amp;"¦"&amp;INDEX(_xlpm.nd,7),"")))</f>
        <v/>
      </c>
      <c r="GA116" t="str">
        <f t="shared" si="161"/>
        <v/>
      </c>
      <c r="GB116" t="str">
        <f t="shared" si="162"/>
        <v/>
      </c>
      <c r="GC116" t="str">
        <f t="shared" si="163"/>
        <v>QF14</v>
      </c>
      <c r="GD116">
        <f t="shared" si="164"/>
        <v>1</v>
      </c>
      <c r="GE116">
        <f t="shared" si="165"/>
        <v>0</v>
      </c>
      <c r="GF116">
        <f t="shared" si="166"/>
        <v>0</v>
      </c>
      <c r="GG116" t="str">
        <f t="shared" si="167"/>
        <v/>
      </c>
      <c r="GH116" t="str">
        <f t="shared" si="168"/>
        <v/>
      </c>
      <c r="GI116" t="str">
        <f t="shared" si="169"/>
        <v/>
      </c>
      <c r="GJ116" t="str">
        <f t="shared" si="170"/>
        <v/>
      </c>
      <c r="GK116">
        <f>IF(D116="","",IFERROR(VLOOKUP(D116,УГО_спр,2,FALSE),IFERROR(VLOOKUP(AT116,УГО_спр,2,FALSE),IFERROR(VLOOKUP(LEFT(AT116,2),УГО_спр,2,FALSE),""))))</f>
        <v>0</v>
      </c>
      <c r="GL116" t="str">
        <f>IF(D116="","",IF(OR(GK116="",GK116=0),"BOX",IFERROR(IF(VLOOKUP(GK116,УГО_блоки,3,FALSE)&amp;""&lt;&gt;"",VLOOKUP(GK116,УГО_блоки,3,FALSE),VLOOKUP(GK116,УГО_блоки,2,FALSE)),GK116)))</f>
        <v>BOX</v>
      </c>
      <c r="GM116">
        <f t="shared" si="171"/>
        <v>1</v>
      </c>
      <c r="GN116" t="str">
        <f>IF(EP116="","",IF(COUNTIF(EP$3:EP116,EP116)=1,MAX(GN$2:GN115)+1,""))</f>
        <v/>
      </c>
      <c r="GO116" t="str">
        <f>IF(AF116="","",IF(COUNTIF(AF$3:AF116,AF116)+COUNTIF(AG$2:AG115,AF116)+COUNTIF(AH$2:AH115,AF116)=1,MAX(GO$2:GQ115)+1,""))</f>
        <v/>
      </c>
      <c r="GP116" t="str">
        <f>IF(AG116="","",IF(COUNTIF(AF$3:AF116,AG116)+COUNTIF(AG$3:AG116,AG116)+COUNTIF(AH$2:AH115,AG116)=1,MAX(GO$2:GQ115,GO116)+1,""))</f>
        <v/>
      </c>
      <c r="GQ116" t="str">
        <f>IF(AH116="","",IF(COUNTIF(AF$3:AF116,AH116)+COUNTIF(AG$3:AG116,AH116)+COUNTIF(AH$3:AH116,AH116)=1,MAX(GO$2:GQ115,GO116,GP116)+1,""))</f>
        <v/>
      </c>
      <c r="GR116" t="str">
        <f t="shared" si="172"/>
        <v>3х1,5</v>
      </c>
      <c r="GS116" t="str">
        <f>IF(GR116="","",IF(COUNTIF(GR$3:GR116,GR116)=1,MAX(GS$2:GS115)+1,""))</f>
        <v/>
      </c>
      <c r="GT116" t="str">
        <f>IF(ES116="","",COUNTIF(ES$3:ES116,"?*"))</f>
        <v/>
      </c>
      <c r="GU116" t="str">
        <f>IF(OR(ES116="",EU116=""),"",IF(COUNTIFS(ES$3:ES116,"?*",EU$3:EU116,EU116)=1,MAX(GU$2:GU115)+1,""))</f>
        <v/>
      </c>
      <c r="GV116">
        <f t="shared" si="173"/>
        <v>0</v>
      </c>
      <c r="GW116">
        <f>IF(D116="","",COUNTIF(D$3:D116,"?*"))</f>
        <v>114</v>
      </c>
      <c r="GX116">
        <f>IF(EX116&lt;&gt;1,0,_xlfn.LET(_xlpm.k,MAX(IFERROR(--VLOOKUP(D116,УГО_спр,5,FALSE),0),IFERROR(--VLOOKUP(AT116,УГО_спр,5,FALSE),0),IFERROR(--VLOOKUP(LEFT(AT116,2),УГО_спр,5,FALSE),0)),IF(_xlpm.k&gt;0,_xlpm.k,IF(IFERROR(--LEFT(SUBSTITUTE(GR116,"x","х"),FIND("х",SUBSTITUTE(GR116,"x","х"))-1),3)&gt;3,Каталог!$S$9,1))))</f>
        <v>1</v>
      </c>
      <c r="GY116">
        <f t="shared" si="174"/>
        <v>0</v>
      </c>
    </row>
    <row r="117" spans="1:207" x14ac:dyDescent="0.3">
      <c r="A117" t="s">
        <v>750</v>
      </c>
      <c r="B117">
        <v>29</v>
      </c>
      <c r="C117" t="str">
        <f>IF(BD117="","",IF(BE117="вводной узел","узел ","")&amp;"л."&amp;(INT((BD117-1)/Столбцов_на_лист)+1)&amp;" / "&amp;(MOD(BD117-1,Столбцов_на_лист)+1))</f>
        <v>л.2 / 12</v>
      </c>
      <c r="D117" t="s">
        <v>1375</v>
      </c>
      <c r="E117" s="133" t="s">
        <v>1410</v>
      </c>
      <c r="G117">
        <v>0.111</v>
      </c>
      <c r="H117">
        <v>1</v>
      </c>
      <c r="I117">
        <v>1</v>
      </c>
      <c r="J117">
        <v>230</v>
      </c>
      <c r="K117" t="s">
        <v>602</v>
      </c>
      <c r="L117">
        <v>0.5</v>
      </c>
      <c r="O117">
        <v>3</v>
      </c>
      <c r="P117">
        <v>50</v>
      </c>
      <c r="Q117">
        <v>36</v>
      </c>
      <c r="R117">
        <v>16</v>
      </c>
      <c r="T117">
        <v>1</v>
      </c>
      <c r="U117" t="s">
        <v>11</v>
      </c>
      <c r="V117">
        <v>3</v>
      </c>
      <c r="W117">
        <v>1.5</v>
      </c>
      <c r="X117">
        <v>10</v>
      </c>
      <c r="Z117" t="s">
        <v>580</v>
      </c>
      <c r="AA117" t="s">
        <v>818</v>
      </c>
      <c r="AD117" t="s">
        <v>517</v>
      </c>
      <c r="AK117" t="s">
        <v>488</v>
      </c>
      <c r="AR117" t="str">
        <f t="shared" si="88"/>
        <v/>
      </c>
      <c r="AS117" cm="1">
        <f t="array" ref="AS117">ROW()-ROW(Линии[#Headers])</f>
        <v>115</v>
      </c>
      <c r="AT117" t="str">
        <f t="shared" si="89"/>
        <v>K</v>
      </c>
      <c r="AU117" t="str">
        <f t="shared" si="90"/>
        <v>0.006A</v>
      </c>
      <c r="AV117" t="str">
        <f t="shared" si="91"/>
        <v>0</v>
      </c>
      <c r="AW117" t="str">
        <f t="shared" si="92"/>
        <v>006A</v>
      </c>
      <c r="AX117" t="str">
        <f t="shared" si="93"/>
        <v>006A</v>
      </c>
      <c r="AY117" t="str">
        <f>IF(D117="","",IF(ISERROR(SEARCH(".",D117)),IFERROR(VLOOKUP(D117,Потребители_обозначение,2,FALSE)&amp;"",""),IFERROR(IF(VLOOKUP(AT117,Потребители_обозначение,4,FALSE)=1,VLOOKUP(AT117,Потребители_обозначение,2,FALSE)&amp;" "&amp;VLOOKUP(AV117,Этаж_обозначение,2,FALSE)&amp;" Пом. №"&amp;AX117,VLOOKUP(AT117,Потребители_обозначение,2,FALSE)&amp;" Шлейф №"&amp;AV117),IFERROR(VLOOKUP(D117,Потребители_обозначение,2,FALSE),""))))</f>
        <v>Внутренний блок кондиционирования Цокольный этаж Пом. №006A</v>
      </c>
      <c r="AZ117" t="str">
        <f t="shared" si="94"/>
        <v>Внутренний блок кондиционирования цокольный этаж Пом. №014Б</v>
      </c>
      <c r="BA117" t="str">
        <f>IF(F117&lt;&gt;"",F117,IF(AND(D117&lt;&gt;"",D117&lt;&gt;A117,ISNUMBER(_xlfn.XMATCH(D117,Щиты[Щит]))),D117,""))</f>
        <v/>
      </c>
      <c r="BB117">
        <f>IFERROR(_xlfn.XMATCH(A117,Щиты[Щит]),0)</f>
        <v>6</v>
      </c>
      <c r="BC117">
        <f>IFERROR(N(_xlfn.XLOOKUP(A117,Щиты[Щит],Щиты[Мест под вводной узел])),15)</f>
        <v>12</v>
      </c>
      <c r="BD117">
        <f t="shared" si="95"/>
        <v>29</v>
      </c>
      <c r="BE117" t="str">
        <f t="shared" si="96"/>
        <v>линии</v>
      </c>
      <c r="BF117">
        <f>IF(D117="","",IF(BA117&lt;&gt;"",IFERROR(_xlfn.XLOOKUP(BA117,Щиты[Щит],Щиты[Руст, кВт]),0),N(G117)))</f>
        <v>0.111</v>
      </c>
      <c r="BG117">
        <f>IF(J117&lt;&gt;"",J117,IF(D117="","",IFERROR(IF(VLOOKUP(AT117,Потребители_обозначение,8,FALSE)=0,"",VLOOKUP(AT117,Потребители_обозначение,8,FALSE)),"")))</f>
        <v>230</v>
      </c>
      <c r="BH117">
        <f>IF(I117&lt;&gt;"",I117,IF(D117="","",IFERROR(IF(VLOOKUP(AT117,Потребители_обозначение,9,FALSE)=0,"",VLOOKUP(AT117,Потребители_обозначение,9,FALSE)),"")))</f>
        <v>1</v>
      </c>
      <c r="BI117" t="str">
        <f>IF(U117&lt;&gt;"",U117,IF(D117="","",IFERROR(IF(VLOOKUP(AT117,Потребители_обозначение,6,FALSE)=0,"",VLOOKUP(AT117,Потребители_обозначение,6,FALSE)),"")))</f>
        <v>мс</v>
      </c>
      <c r="BJ117">
        <f>IF(V117&lt;&gt;"",V117,IF(D117="","",IFERROR(IF(VLOOKUP(AT117,Потребители_обозначение,7,FALSE)=0,"",VLOOKUP(AT117,Потребители_обозначение,7,FALSE)),"")))</f>
        <v>3</v>
      </c>
      <c r="BK117">
        <f>IF(W117&lt;&gt;"",W117,IF(D117="","",IFERROR(IF(VLOOKUP(AT117,Потребители_обозначение,10,FALSE)=0,"",VLOOKUP(AT117,Потребители_обозначение,10,FALSE)),"")))</f>
        <v>1.5</v>
      </c>
      <c r="BL117">
        <f>IFERROR(VLOOKUP(AT117,Потребители_обозначение,5,FALSE),0)</f>
        <v>1</v>
      </c>
      <c r="BM117" cm="1">
        <f t="array" ref="BM117">IF(D117="","",IF(BA117&lt;&gt;"",IFERROR(_xlfn.XLOOKUP(BA117,Щиты[Щит],Щиты[cos φ]),0.95),IF(ISNUMBER(M117),M117,IFERROR(IF(BL117=2,_xlfn.IFS(BH117=3,VLOOKUP(BF117,Справочная_двигатели,8,FALSE),BH117=1,VLOOKUP(BF117,Справочная_двигатели,10,TRUE)),IF(AND(Методика="нормы 2026",CN117="Сил"),0.8,0.95)),0.95))))</f>
        <v>0.95</v>
      </c>
      <c r="BN117" cm="1">
        <f t="array" ref="BN117">IF(D117="","",IF(BA117&lt;&gt;"",IFERROR(_xlfn.XLOOKUP(BA117,Щиты[Щит],Щиты[Iр, А]),""),IFERROR(_xlfn.IFS(BH117=1,BF117/((Uн_лин/SQRT(3))*BM117),BH117=3,BF117/(SQRT(3)*Uн_лин*BM117)),"")))</f>
        <v>0.50594115694775099</v>
      </c>
      <c r="BO117">
        <f>IF(D117="","",IF(N(X117)=0,IFERROR(VLOOKUP(BN117,Автомат_номиналы,2,TRUE),""),X117))</f>
        <v>10</v>
      </c>
      <c r="BP117">
        <f t="shared" si="97"/>
        <v>1</v>
      </c>
      <c r="BQ117">
        <f>IF(ISNUMBER(Y117),Y117,К_прокл)</f>
        <v>1</v>
      </c>
      <c r="BR117">
        <f t="shared" si="98"/>
        <v>2</v>
      </c>
      <c r="BS117" cm="1">
        <f t="array" ref="BS117">IF(D117="","",IF(N(BK117)&lt;&gt;0,BK117,IFERROR(_xlfn.LET(_xlpm.need,BO117/(BP117*BQ117),_xlpm.t,CHOOSE(BR117,Iдоп_1ж,Iдоп_2ж,Iдоп_3ж),_xlpm.k,_xlfn.XMATCH(_xlpm.need,_xlpm.t,1),IF(ISNA(_xlpm.k),"Не исп",INDEX(Iдоп_S,_xlpm.k))),"Не исп")))</f>
        <v>1.5</v>
      </c>
      <c r="BT117">
        <f>IFERROR(VLOOKUP(BS117,Кабель_сопротивление,3,FALSE),"")</f>
        <v>2.2499999999999999E-2</v>
      </c>
      <c r="BU117">
        <f>IFERROR(VLOOKUP(BS117,Кабель_сопротивление,2,FALSE),"")</f>
        <v>0.11</v>
      </c>
      <c r="BV117">
        <f t="shared" si="99"/>
        <v>50</v>
      </c>
      <c r="BW117">
        <f>IF(D117="","",IFERROR(IF(VLOOKUP(AT117,Потребители_обозначение,4,FALSE)=1,VLOOKUP(AT117,Потребители_обозначение,3,FALSE)*(H117*2-1)+BV117+VLOOKUP(AV117,Этаж_обозначение,3,FALSE)+VLOOKUP(AV117,Этаж_обозначение,4,FALSE),VLOOKUP(AT117,Потребители_обозначение,3,FALSE)*(H117*2-1)+BV117),BV117))</f>
        <v>52</v>
      </c>
      <c r="BX117">
        <f t="shared" si="100"/>
        <v>16</v>
      </c>
      <c r="BY117">
        <f t="shared" si="101"/>
        <v>0</v>
      </c>
      <c r="BZ117">
        <f t="shared" si="102"/>
        <v>2</v>
      </c>
      <c r="CA117">
        <f t="shared" si="103"/>
        <v>0.31</v>
      </c>
      <c r="CB117">
        <f t="shared" si="104"/>
        <v>0.75159906431556633</v>
      </c>
      <c r="CC117">
        <f>IFERROR(ROUNDUP(CB117/((Uн_лин/SQRT(3))*1000)*100,2),"")</f>
        <v>0.33</v>
      </c>
      <c r="CD117">
        <f>IF(ISNUMBER(CC117),CC117+IFERROR(_xlfn.XLOOKUP(A117,Щиты[Щит],Щиты[ΔU до шин, %]),0),"")</f>
        <v>0.57000000000000006</v>
      </c>
      <c r="CE117">
        <f>IF(D117="","",IF(IFERROR(VLOOKUP(AT117,УГО_спр,2,FALSE),"")="Светильник",3,4)+IF(Методика="нормы 2026",MIN(0.5,MAX(0,N(BW117)-100)*0.005),0))</f>
        <v>4</v>
      </c>
      <c r="CF117" t="str">
        <f>IFERROR(VLOOKUP(BI117,Кабель_обозначение,2,FALSE),"")</f>
        <v>ВВГнг(А)-LS</v>
      </c>
      <c r="CG117" t="str">
        <f>IFERROR(IF(VLOOKUP(BI117,Кабель_обозначение,3,FALSE)=1,CF117&amp;" ("&amp;BJ117&amp;"х"&amp;BS117&amp;")",CF117),"")</f>
        <v>ВВГнг(А)-LS (3х1,5)</v>
      </c>
      <c r="CH117" t="str">
        <f t="shared" si="105"/>
        <v>ВВГнг(А)-LS (3х1,5)
L=52-0,33%</v>
      </c>
      <c r="CI117">
        <f>IFERROR(2*ρкз_Cu*BW117/BS117,"")</f>
        <v>1.8234666666666666</v>
      </c>
      <c r="CJ117">
        <f t="shared" si="106"/>
        <v>0.6066666666666668</v>
      </c>
      <c r="CK117" t="str">
        <f>IFERROR(IF(OR(D117="",NOT(ISNUMBER(BS117)),N(BW117)=0),"",_xlfn.XLOOKUP(A117,Щиты[Щит],Щиты[Zпетли на шинах, Ом])+CI117),"")</f>
        <v/>
      </c>
      <c r="CL117" t="str">
        <f>IF(ISNUMBER(CK117),c_min*(Uн_лин*1000/SQRT(3))/CK117,"")</f>
        <v/>
      </c>
      <c r="CM117" t="str">
        <f>IFERROR(IF(OR(D117="",NOT(ISNUMBER(BS117))),"",1.05*(Uн_лин*1000/SQRT(3))/(_xlfn.XLOOKUP(A117,Щиты[Щит],Щиты[Zmax на шинах, Ом])+CJ117)/1000),"")</f>
        <v/>
      </c>
      <c r="CN117" t="str">
        <f>IF(D117="","",IF(BA117&lt;&gt;"","Щит",IF(K117&lt;&gt;"",K117,IF(ISNUMBER(L117),"Сил",IF(IFERROR(_xlfn.XLOOKUP(AT117,Коды_код,Коды_группа)&amp;"","")="","Быт",_xlfn.XLOOKUP(AT117,Коды_код,Коды_группа)&amp;"")))))</f>
        <v>Сил</v>
      </c>
      <c r="CO117">
        <f>IF(CN117="Щит","щит",IF(CN117="","",IF(CN117="Быт",IFERROR(_xlfn.XLOOKUP(A117,Щиты[Щит],Щиты[Кс быт]),1),IF(CN117="Сил",IF(ISNUMBER(L117),L117,IF(Методика="нормы 2026",IFERROR(_xlfn.XLOOKUP(A117,Щиты[Щит],Щиты[Кс силовых (табл. 7.5)]),1),1)),IF(OR(CN117="Пост",CN117="Отоп"),1,IF(CN117="ВНГ",0.7,0))))))</f>
        <v>0.5</v>
      </c>
      <c r="CP117">
        <f t="shared" si="107"/>
        <v>1</v>
      </c>
      <c r="CQ117">
        <f t="shared" si="108"/>
        <v>0.111</v>
      </c>
      <c r="CR117">
        <f t="shared" si="109"/>
        <v>0</v>
      </c>
      <c r="CS117">
        <f t="shared" si="110"/>
        <v>5.5500000000000001E-2</v>
      </c>
      <c r="CT117">
        <f t="shared" si="111"/>
        <v>0</v>
      </c>
      <c r="CU117">
        <f t="shared" si="112"/>
        <v>0</v>
      </c>
      <c r="CV117">
        <f t="shared" si="113"/>
        <v>0</v>
      </c>
      <c r="CW117">
        <f t="shared" si="114"/>
        <v>0.111</v>
      </c>
      <c r="CX117">
        <f t="shared" si="115"/>
        <v>0.10545</v>
      </c>
      <c r="CY117">
        <f t="shared" si="116"/>
        <v>2</v>
      </c>
      <c r="CZ117" t="str">
        <f t="shared" si="117"/>
        <v>L2</v>
      </c>
      <c r="DA117" cm="1">
        <f t="array" ref="DA117">IFERROR(IF(BL117=2,_xlfn.IFS(BH117=3,VLOOKUP(BF117,Справочная_двигатели,3,FALSE),BH117=1,VLOOKUP(BF117,Справочная_двигатели,5,TRUE)),0),0)</f>
        <v>0</v>
      </c>
      <c r="DB117">
        <f>IFERROR(IF(BL117=3,VLOOKUP(BF117,Справочная_ЛЭД,2,TRUE),0),0)</f>
        <v>0</v>
      </c>
      <c r="DC117">
        <f t="shared" si="118"/>
        <v>0</v>
      </c>
      <c r="DD117" t="str">
        <f t="shared" si="119"/>
        <v>L3</v>
      </c>
      <c r="DE117" t="str" cm="1">
        <f t="array" ref="DE117">IF(D117="","",IFERROR(INDEX({"I особая","I","II","III"},MATCH(TRIM(AA117&amp;""),{"I особая","I","II","III"},0)),"III"))</f>
        <v>II</v>
      </c>
      <c r="DF117" t="str">
        <f>IF(D117="","",IF(TRIM(AB117&amp;"")&lt;&gt;"",IF(LOWER(TRIM(AB117&amp;""))="да","да","нет"),IF(IFERROR(_xlfn.XLOOKUP(AT117,Коды_код,Коды_пожарная),"")="да","да","нет")))</f>
        <v>нет</v>
      </c>
      <c r="DG117" t="str">
        <f t="shared" si="120"/>
        <v/>
      </c>
      <c r="DH117" t="str">
        <f t="shared" si="121"/>
        <v>основная</v>
      </c>
      <c r="DI117">
        <f t="shared" si="122"/>
        <v>1</v>
      </c>
      <c r="DJ117" t="str" cm="1">
        <f t="array" ref="DJ117">IF(D117="","",_xlfn.LET(_xlpm.t,IFERROR(_xlfn.XLOOKUP(1,(Шины[Шина]=DH117)*(((Шины[Щит]=A117)+(Шины[Щит]=""))&gt;0),Шины[Тип]),"")&amp;"",IF(_xlpm.t&lt;&gt;"",_xlpm.t,IF(ISNUMBER(SEARCH("ИБП",DH117)),"ИБП",IF(ISNUMBER(SEARCH("ДГУ",DH117)),"ДГУ","Ввод "&amp;DI117)))))</f>
        <v>Ввод 1</v>
      </c>
      <c r="DK117" t="str">
        <f t="shared" si="123"/>
        <v>Ввод 1</v>
      </c>
      <c r="DL117" t="str">
        <f>IF(D117="","",IF(OR(DJ117="ИБП",DJ117="ДГУ"),"I особая",IF(DJ117="Одиночная","III",_xlfn.XLOOKUP(A117,Щиты[Щит],Щиты[Категория шины «Ввод»],"III"))))</f>
        <v>II</v>
      </c>
      <c r="DM117">
        <f>IF(D117="",0,IFERROR(MATCH(DE117,{"III","II","I","I особая"},0),1))</f>
        <v>2</v>
      </c>
      <c r="DN117">
        <f t="shared" si="124"/>
        <v>2</v>
      </c>
      <c r="DO117" t="str">
        <f>IF(D117="","",IF(DM117&gt;IFERROR(MATCH(DL117,{"III","II","I","I особая"},0),1),"НЕ ОБЕСПЕЧЕНА","ОК"))</f>
        <v>ОК</v>
      </c>
      <c r="DP117" t="str">
        <f>IF(A117="","",_xlfn.XLOOKUP(A117,Щиты[Щит],Щиты[Путь],""))</f>
        <v>|ГРЩ-ЖД|ЩОВ-01|</v>
      </c>
      <c r="DQ117" t="str">
        <f>IF(D117="","",IF(Z117&lt;&gt;"",Z117,IF(IFERROR(_xlfn.XLOOKUP(AT117,Коды_код,Коды_вид)&amp;"","")="","Прочее",_xlfn.XLOOKUP(AT117,Коды_код,Коды_вид)&amp;"")))</f>
        <v>Кондиционирование и увлажнение</v>
      </c>
      <c r="DR117">
        <f>IF(BD117="","",INT((BD117-1)/Столбцов_на_лист)+1)</f>
        <v>2</v>
      </c>
      <c r="DS117" t="str">
        <f t="shared" si="125"/>
        <v>ВВГнг(А)-LS (3х1,5) L=52-0,33%</v>
      </c>
      <c r="DT117">
        <f t="shared" si="126"/>
        <v>0.111</v>
      </c>
      <c r="DU117">
        <f t="shared" si="127"/>
        <v>0.51</v>
      </c>
      <c r="DV117">
        <f t="shared" si="128"/>
        <v>1</v>
      </c>
      <c r="DW117">
        <f>IF(AT117="",0,_xlfn.LET(_xlpm.v,IFERROR(VLOOKUP(D117,УГО_спр,3,FALSE),IFERROR(VLOOKUP(AT117,УГО_спр,3,FALSE),IFERROR(VLOOKUP(LEFT(AT117,2),УГО_спр,3,FALSE),""))),IF(_xlpm.v="да",30,IF(ISNUMBER(_xlpm.v),_xlpm.v,0))))</f>
        <v>0</v>
      </c>
      <c r="DX117">
        <f t="shared" si="129"/>
        <v>0</v>
      </c>
      <c r="DY117">
        <f>IF(BD117="","",IF(AD117&lt;&gt;"",COUNTIFS(A$3:A117,A117,AD$3:AD117,"?*"),IF(OR(OR(AS117=1,A117&lt;&gt;A116),AL117="вручную"),"",IF(AS117=1,"",DZ116))))</f>
        <v>15</v>
      </c>
      <c r="DZ117">
        <f t="shared" si="130"/>
        <v>15</v>
      </c>
      <c r="EA117">
        <f>IF(D117="",0,MAX(IFERROR(--X117,0),IFERROR(--VLOOKUP(D117,УГО_спр,4,FALSE),IFERROR(--VLOOKUP(AT117,УГО_спр,4,FALSE),IFERROR(--VLOOKUP(LEFT(AT117,2),УГО_спр,4,FALSE),0)))))</f>
        <v>10</v>
      </c>
      <c r="EB117">
        <f>IF(D117="","",IFERROR(LOOKUP(INDEX(CHOOSE(BR117,Iдоп_1ж,Iдоп_2ж,Iдоп_3ж),MATCH(BS117,Iдоп_S,0))*BP117*BQ117,{6,10,16,20,25,32,40,50,63,80,100,125,160,200,250,315,400,500,630}),""))</f>
        <v>16</v>
      </c>
      <c r="EC117">
        <f>IF(AD117="","",SUMIFS(Линии[_Ток схемы],Линии[_гр.],DY117,Линии[Щит],A117,Линии[_в кабель выше],0))</f>
        <v>0.51</v>
      </c>
      <c r="ED117">
        <f>IF(AD117="","",IFERROR(VLOOKUP(EC117,Автомат_номиналы,2,TRUE),""))</f>
        <v>6</v>
      </c>
      <c r="EE117">
        <f>IF(AD117="","",MAX(N(ED117),_xlfn.MAXIFS(Линии[_мин. по типу],Линии[_гр.],DY117,Линии[Щит],A117)))</f>
        <v>10</v>
      </c>
      <c r="EF117">
        <f>IF(AD117="","",_xlfn.MINIFS(Линии[_макс. автомат по кабелю],Линии[_гр.],DY117,Линии[Щит],A117))</f>
        <v>16</v>
      </c>
      <c r="EG117">
        <f>IF(AD117="","",MAX(1,_xlfn.MAXIFS(Линии[_фаз],Линии[_гр.],DY117,Линии[Щит],A117)))</f>
        <v>1</v>
      </c>
      <c r="EH117">
        <f>IF(AD117="","",IF(AND(AD117&lt;&gt;"авто",AD117&lt;&gt;"+"),IF(ISNUMBER(SEARCH("мА",AD117)),IFERROR(--TRIM(RIGHT(SUBSTITUTE(LEFT(AD117,SEARCH("мА",AD117)-1)," ",REPT(" ",9)),6)),30),0),IF(AE117="нет",0,IF(ISNUMBER(AE117),AE117,IF(AE117="да",30,_xlfn.MINIFS(Линии[_дифзащита по коду, мА],Линии[_гр.],DY117,Линии[Щит],A117,Линии[_дифзащита по коду, мА],"&gt;0"))))))</f>
        <v>0</v>
      </c>
      <c r="EI117">
        <f t="shared" si="131"/>
        <v>0</v>
      </c>
      <c r="EJ117" t="str">
        <f t="shared" si="132"/>
        <v>QF15</v>
      </c>
      <c r="EK117" t="str">
        <f t="shared" si="133"/>
        <v>QF15</v>
      </c>
      <c r="EL117" t="str">
        <f t="shared" si="134"/>
        <v/>
      </c>
      <c r="EM117">
        <f t="shared" si="135"/>
        <v>0</v>
      </c>
      <c r="EN117">
        <f>IF(AD117="","",IF(EM117=1,MAX(EE117,Мин_автомат_БП),EE117))</f>
        <v>10</v>
      </c>
      <c r="EO117" t="str">
        <f t="shared" si="136"/>
        <v>1P</v>
      </c>
      <c r="EP117" t="str">
        <f t="shared" si="137"/>
        <v>1P С10А</v>
      </c>
      <c r="EQ117">
        <f t="shared" si="138"/>
        <v>10</v>
      </c>
      <c r="ER117" t="str">
        <f>IF(OR(AI117="",AI117="-"),"",IFERROR(VLOOKUP(AI117,Модули_спр,2,FALSE),"R"))</f>
        <v/>
      </c>
      <c r="ES117" t="str">
        <f>IF(ER117="","",ER117&amp;"."&amp;COUNTIFS(A$3:A117,A117,ER$3:ER117,ER117))</f>
        <v/>
      </c>
      <c r="ET117" t="str">
        <f t="shared" si="139"/>
        <v/>
      </c>
      <c r="EU117" t="str">
        <f t="shared" si="140"/>
        <v/>
      </c>
      <c r="EV117" t="str">
        <f t="shared" si="141"/>
        <v/>
      </c>
      <c r="EW117" t="str">
        <f t="shared" si="142"/>
        <v/>
      </c>
      <c r="EX117">
        <f t="shared" si="143"/>
        <v>1</v>
      </c>
      <c r="EY117" t="str">
        <f>IF(AK117="нет","",IF(AK117&lt;&gt;"",AK117,IF(EX117=1,"XT"&amp;COUNTIFS(A$3:A117,A117,EX$3:EX117,1),"")))</f>
        <v/>
      </c>
      <c r="EZ117" t="str">
        <f t="shared" si="144"/>
        <v>QF15</v>
      </c>
      <c r="FA117" t="str">
        <f t="shared" si="145"/>
        <v/>
      </c>
      <c r="FB117" t="str">
        <f t="shared" si="146"/>
        <v>ok</v>
      </c>
      <c r="FC117" t="str">
        <f>IF(OR(EV117="",ET117=""),"",IF(EV117&gt;IFERROR(VLOOKUP(EU117,Модули_спр,3,FALSE),99),"ЛИШНИЙ КАНАЛ",IF(AND(AJ117&lt;&gt;"=",COUNTIFS(Линии[_модуль гр.],ET117,Линии[Канал (итог)],EV117,Линии[Канал],"&lt;&gt;=",Линии[Щит],A117)&gt;1),"ДУБЛЬ КАНАЛА","")))</f>
        <v/>
      </c>
      <c r="FD117">
        <f t="shared" si="147"/>
        <v>10</v>
      </c>
      <c r="FE117" t="str">
        <f t="shared" si="148"/>
        <v>1P С10А</v>
      </c>
      <c r="FF117">
        <f t="shared" si="149"/>
        <v>0</v>
      </c>
      <c r="FG117">
        <f t="shared" si="150"/>
        <v>0</v>
      </c>
      <c r="FH117" t="str">
        <f t="shared" si="151"/>
        <v/>
      </c>
      <c r="FI117">
        <f t="shared" si="152"/>
        <v>10</v>
      </c>
      <c r="FJ117" t="str">
        <f t="shared" si="153"/>
        <v/>
      </c>
      <c r="FK117" t="str">
        <f>IF(AND(D117="",EZ117=""),"",_xlfn.TEXTJOIN("; ",TRUE,IF(AND(D117&lt;&gt;"",DD117=""),"нет фазы",""),IF(AND(D117&lt;&gt;"",N(DT117)=0,CN117&lt;&gt;"Нет"),"нет мощности",""),IF(AND(EY117&lt;&gt;"",COUNTIFS(Линии[Щит],A117,Линии[Клемма (итог)],EY117)&gt;1),"дубль клеммы "&amp;EY117,""),IF(AND(FB117&lt;&gt;"",FB117&lt;&gt;"ok"),FB117,""),IF(FC117&lt;&gt;"",FC117,""),IF(AND(ISNUMBER(SEARCH("(5х",DS117)),N(DV117)=1),"5 жил на 1 фазе",""),IF(AND(AT117="R",AD117&lt;&gt;"",OR(N(EH117)=0,N(EH117)&gt;30)),"розетка без дифзащиты до 30 мА",""),IFERROR(IF(AND(ISNUMBER(CD117),CD117&gt;CE117),"потери "&amp;FIXED(CD117,1)&amp;" % &gt; "&amp;CE117&amp;" %",""),""),IFERROR(IF(LEFT(FJ117,4)="мало","Iкз мало — отключение &gt; 0,4 с",""),""),IF(AND(D117&lt;&gt;"",BD117=""),"не на схеме","")))</f>
        <v/>
      </c>
      <c r="FL117">
        <f>IF(AD117="","",_xlfn.LET(_xlpm.t,IFERROR(_xlfn.XLOOKUP(EP117,Каталог!$U$4:$U$500,Каталог!$G$4:$G$500),""),_xlpm.k,SEARCH("кА",_xlpm.t),IFERROR(--TRIM(RIGHT(SUBSTITUTE(MID(_xlpm.t,MAX(1,_xlpm.k-4),_xlpm.k-MAX(1,_xlpm.k-4))," ",REPT(" ",9)),5)),"")))</f>
        <v>6</v>
      </c>
      <c r="FM117" t="str">
        <f>IF(OR(FL117="",AD117=""),"",IF(_xlfn.XLOOKUP(A117,Щиты[Щит],Щиты[Iкз max на шинах, кА],"")="","",IF(FL117&lt;_xlfn.XLOOKUP(A117,Щиты[Щит],Щиты[Iкз max на шинах, кА]),"Icu "&amp;FL117&amp;" кА &lt; Iкз max","ok")))</f>
        <v/>
      </c>
      <c r="FN117" t="str">
        <f t="shared" si="154"/>
        <v>QF15</v>
      </c>
      <c r="FO117" t="str">
        <f t="shared" si="155"/>
        <v>QF15|кабель ВВГнг(А)-LS (3х1,5) → Внутренний блок кондиционирования цокольный этаж Пом. №014Б</v>
      </c>
      <c r="FP117" t="str" cm="1">
        <f t="array" ref="FP117">IF(FO117="","",_xlfn.LET(_xlpm.nd,_xlfn.TEXTSPLIT(FO117,"|"),IF(COLUMNS(_xlpm.nd)&gt;1,A117&amp;"¦"&amp;INDEX(_xlpm.nd,1)&amp;"¦"&amp;INDEX(_xlpm.nd,2),"")))</f>
        <v>ЩОВ-01¦QF15¦кабель ВВГнг(А)-LS (3х1,5) → Внутренний блок кондиционирования цокольный этаж Пом. №014Б</v>
      </c>
      <c r="FQ117" t="str">
        <f t="shared" si="156"/>
        <v>K.0.006A¦Внутренний блок кондиционирования цокольный этаж Пом. №014Б</v>
      </c>
      <c r="FR117" t="str" cm="1">
        <f t="array" ref="FR117">IF(FO117="","",_xlfn.LET(_xlpm.nd,_xlfn.TEXTSPLIT(FO117,"|"),IF(COLUMNS(_xlpm.nd)&gt;2,A117&amp;"¦"&amp;INDEX(_xlpm.nd,2)&amp;"¦"&amp;INDEX(_xlpm.nd,3),"")))</f>
        <v/>
      </c>
      <c r="FS117" t="str">
        <f t="shared" si="157"/>
        <v/>
      </c>
      <c r="FT117" t="str" cm="1">
        <f t="array" ref="FT117">IF(FO117="","",_xlfn.LET(_xlpm.nd,_xlfn.TEXTSPLIT(FO117,"|"),IF(COLUMNS(_xlpm.nd)&gt;3,A117&amp;"¦"&amp;INDEX(_xlpm.nd,3)&amp;"¦"&amp;INDEX(_xlpm.nd,4),"")))</f>
        <v/>
      </c>
      <c r="FU117" t="str">
        <f t="shared" si="158"/>
        <v/>
      </c>
      <c r="FV117" t="str" cm="1">
        <f t="array" ref="FV117">IF(FO117="","",_xlfn.LET(_xlpm.nd,_xlfn.TEXTSPLIT(FO117,"|"),IF(COLUMNS(_xlpm.nd)&gt;4,A117&amp;"¦"&amp;INDEX(_xlpm.nd,4)&amp;"¦"&amp;INDEX(_xlpm.nd,5),"")))</f>
        <v/>
      </c>
      <c r="FW117" t="str">
        <f t="shared" si="159"/>
        <v/>
      </c>
      <c r="FX117" t="str" cm="1">
        <f t="array" ref="FX117">IF(FO117="","",_xlfn.LET(_xlpm.nd,_xlfn.TEXTSPLIT(FO117,"|"),IF(COLUMNS(_xlpm.nd)&gt;5,A117&amp;"¦"&amp;INDEX(_xlpm.nd,5)&amp;"¦"&amp;INDEX(_xlpm.nd,6),"")))</f>
        <v/>
      </c>
      <c r="FY117" t="str">
        <f t="shared" si="160"/>
        <v/>
      </c>
      <c r="FZ117" t="str" cm="1">
        <f t="array" ref="FZ117">IF(FO117="","",_xlfn.LET(_xlpm.nd,_xlfn.TEXTSPLIT(FO117,"|"),IF(COLUMNS(_xlpm.nd)&gt;6,A117&amp;"¦"&amp;INDEX(_xlpm.nd,6)&amp;"¦"&amp;INDEX(_xlpm.nd,7),"")))</f>
        <v/>
      </c>
      <c r="GA117" t="str">
        <f t="shared" si="161"/>
        <v/>
      </c>
      <c r="GB117" t="str">
        <f t="shared" si="162"/>
        <v/>
      </c>
      <c r="GC117" t="str">
        <f t="shared" si="163"/>
        <v>QF15</v>
      </c>
      <c r="GD117">
        <f t="shared" si="164"/>
        <v>1</v>
      </c>
      <c r="GE117">
        <f t="shared" si="165"/>
        <v>0</v>
      </c>
      <c r="GF117">
        <f t="shared" si="166"/>
        <v>0</v>
      </c>
      <c r="GG117" t="str">
        <f t="shared" si="167"/>
        <v/>
      </c>
      <c r="GH117" t="str">
        <f t="shared" si="168"/>
        <v/>
      </c>
      <c r="GI117" t="str">
        <f t="shared" si="169"/>
        <v/>
      </c>
      <c r="GJ117" t="str">
        <f t="shared" si="170"/>
        <v/>
      </c>
      <c r="GK117">
        <f>IF(D117="","",IFERROR(VLOOKUP(D117,УГО_спр,2,FALSE),IFERROR(VLOOKUP(AT117,УГО_спр,2,FALSE),IFERROR(VLOOKUP(LEFT(AT117,2),УГО_спр,2,FALSE),""))))</f>
        <v>0</v>
      </c>
      <c r="GL117" t="str">
        <f>IF(D117="","",IF(OR(GK117="",GK117=0),"BOX",IFERROR(IF(VLOOKUP(GK117,УГО_блоки,3,FALSE)&amp;""&lt;&gt;"",VLOOKUP(GK117,УГО_блоки,3,FALSE),VLOOKUP(GK117,УГО_блоки,2,FALSE)),GK117)))</f>
        <v>BOX</v>
      </c>
      <c r="GM117">
        <f t="shared" si="171"/>
        <v>1</v>
      </c>
      <c r="GN117" t="str">
        <f>IF(EP117="","",IF(COUNTIF(EP$3:EP117,EP117)=1,MAX(GN$2:GN116)+1,""))</f>
        <v/>
      </c>
      <c r="GO117" t="str">
        <f>IF(AF117="","",IF(COUNTIF(AF$3:AF117,AF117)+COUNTIF(AG$2:AG116,AF117)+COUNTIF(AH$2:AH116,AF117)=1,MAX(GO$2:GQ116)+1,""))</f>
        <v/>
      </c>
      <c r="GP117" t="str">
        <f>IF(AG117="","",IF(COUNTIF(AF$3:AF117,AG117)+COUNTIF(AG$3:AG117,AG117)+COUNTIF(AH$2:AH116,AG117)=1,MAX(GO$2:GQ116,GO117)+1,""))</f>
        <v/>
      </c>
      <c r="GQ117" t="str">
        <f>IF(AH117="","",IF(COUNTIF(AF$3:AF117,AH117)+COUNTIF(AG$3:AG117,AH117)+COUNTIF(AH$3:AH117,AH117)=1,MAX(GO$2:GQ116,GO117,GP117)+1,""))</f>
        <v/>
      </c>
      <c r="GR117" t="str">
        <f t="shared" si="172"/>
        <v>3х1,5</v>
      </c>
      <c r="GS117" t="str">
        <f>IF(GR117="","",IF(COUNTIF(GR$3:GR117,GR117)=1,MAX(GS$2:GS116)+1,""))</f>
        <v/>
      </c>
      <c r="GT117" t="str">
        <f>IF(ES117="","",COUNTIF(ES$3:ES117,"?*"))</f>
        <v/>
      </c>
      <c r="GU117" t="str">
        <f>IF(OR(ES117="",EU117=""),"",IF(COUNTIFS(ES$3:ES117,"?*",EU$3:EU117,EU117)=1,MAX(GU$2:GU116)+1,""))</f>
        <v/>
      </c>
      <c r="GV117">
        <f t="shared" si="173"/>
        <v>0</v>
      </c>
      <c r="GW117">
        <f>IF(D117="","",COUNTIF(D$3:D117,"?*"))</f>
        <v>115</v>
      </c>
      <c r="GX117">
        <f>IF(EX117&lt;&gt;1,0,_xlfn.LET(_xlpm.k,MAX(IFERROR(--VLOOKUP(D117,УГО_спр,5,FALSE),0),IFERROR(--VLOOKUP(AT117,УГО_спр,5,FALSE),0),IFERROR(--VLOOKUP(LEFT(AT117,2),УГО_спр,5,FALSE),0)),IF(_xlpm.k&gt;0,_xlpm.k,IF(IFERROR(--LEFT(SUBSTITUTE(GR117,"x","х"),FIND("х",SUBSTITUTE(GR117,"x","х"))-1),3)&gt;3,Каталог!$S$9,1))))</f>
        <v>1</v>
      </c>
      <c r="GY117">
        <f t="shared" si="174"/>
        <v>0</v>
      </c>
    </row>
    <row r="118" spans="1:207" x14ac:dyDescent="0.3">
      <c r="A118" t="s">
        <v>750</v>
      </c>
      <c r="B118">
        <v>30</v>
      </c>
      <c r="C118" t="str">
        <f>IF(BD118="","",IF(BE118="вводной узел","узел ","")&amp;"л."&amp;(INT((BD118-1)/Столбцов_на_лист)+1)&amp;" / "&amp;(MOD(BD118-1,Столбцов_на_лист)+1))</f>
        <v>л.2 / 13</v>
      </c>
      <c r="D118" t="s">
        <v>1411</v>
      </c>
      <c r="E118" s="133" t="s">
        <v>1410</v>
      </c>
      <c r="G118">
        <v>0.104</v>
      </c>
      <c r="H118">
        <v>1</v>
      </c>
      <c r="I118">
        <v>1</v>
      </c>
      <c r="J118">
        <v>230</v>
      </c>
      <c r="K118" t="s">
        <v>602</v>
      </c>
      <c r="L118">
        <v>0.5</v>
      </c>
      <c r="O118">
        <v>1</v>
      </c>
      <c r="P118">
        <v>53</v>
      </c>
      <c r="Q118">
        <v>36</v>
      </c>
      <c r="R118">
        <v>19</v>
      </c>
      <c r="T118">
        <v>1</v>
      </c>
      <c r="U118" t="s">
        <v>11</v>
      </c>
      <c r="V118">
        <v>3</v>
      </c>
      <c r="W118">
        <v>1.5</v>
      </c>
      <c r="X118">
        <v>10</v>
      </c>
      <c r="Z118" t="s">
        <v>580</v>
      </c>
      <c r="AA118" t="s">
        <v>818</v>
      </c>
      <c r="AD118" t="s">
        <v>517</v>
      </c>
      <c r="AK118" t="s">
        <v>488</v>
      </c>
      <c r="AR118" t="str">
        <f t="shared" si="88"/>
        <v/>
      </c>
      <c r="AS118" cm="1">
        <f t="array" ref="AS118">ROW()-ROW(Линии[#Headers])</f>
        <v>116</v>
      </c>
      <c r="AT118" t="str">
        <f t="shared" si="89"/>
        <v>K</v>
      </c>
      <c r="AU118" t="str">
        <f t="shared" si="90"/>
        <v>0.008A</v>
      </c>
      <c r="AV118" t="str">
        <f t="shared" si="91"/>
        <v>0</v>
      </c>
      <c r="AW118" t="str">
        <f t="shared" si="92"/>
        <v>008A</v>
      </c>
      <c r="AX118" t="str">
        <f t="shared" si="93"/>
        <v>008A</v>
      </c>
      <c r="AY118" t="str">
        <f>IF(D118="","",IF(ISERROR(SEARCH(".",D118)),IFERROR(VLOOKUP(D118,Потребители_обозначение,2,FALSE)&amp;"",""),IFERROR(IF(VLOOKUP(AT118,Потребители_обозначение,4,FALSE)=1,VLOOKUP(AT118,Потребители_обозначение,2,FALSE)&amp;" "&amp;VLOOKUP(AV118,Этаж_обозначение,2,FALSE)&amp;" Пом. №"&amp;AX118,VLOOKUP(AT118,Потребители_обозначение,2,FALSE)&amp;" Шлейф №"&amp;AV118),IFERROR(VLOOKUP(D118,Потребители_обозначение,2,FALSE),""))))</f>
        <v>Внутренний блок кондиционирования Цокольный этаж Пом. №008A</v>
      </c>
      <c r="AZ118" t="str">
        <f t="shared" si="94"/>
        <v>Внутренний блок кондиционирования цокольный этаж Пом. №014Б</v>
      </c>
      <c r="BA118" t="str">
        <f>IF(F118&lt;&gt;"",F118,IF(AND(D118&lt;&gt;"",D118&lt;&gt;A118,ISNUMBER(_xlfn.XMATCH(D118,Щиты[Щит]))),D118,""))</f>
        <v/>
      </c>
      <c r="BB118">
        <f>IFERROR(_xlfn.XMATCH(A118,Щиты[Щит]),0)</f>
        <v>6</v>
      </c>
      <c r="BC118">
        <f>IFERROR(N(_xlfn.XLOOKUP(A118,Щиты[Щит],Щиты[Мест под вводной узел])),15)</f>
        <v>12</v>
      </c>
      <c r="BD118">
        <f t="shared" si="95"/>
        <v>30</v>
      </c>
      <c r="BE118" t="str">
        <f t="shared" si="96"/>
        <v>линии</v>
      </c>
      <c r="BF118">
        <f>IF(D118="","",IF(BA118&lt;&gt;"",IFERROR(_xlfn.XLOOKUP(BA118,Щиты[Щит],Щиты[Руст, кВт]),0),N(G118)))</f>
        <v>0.104</v>
      </c>
      <c r="BG118">
        <f>IF(J118&lt;&gt;"",J118,IF(D118="","",IFERROR(IF(VLOOKUP(AT118,Потребители_обозначение,8,FALSE)=0,"",VLOOKUP(AT118,Потребители_обозначение,8,FALSE)),"")))</f>
        <v>230</v>
      </c>
      <c r="BH118">
        <f>IF(I118&lt;&gt;"",I118,IF(D118="","",IFERROR(IF(VLOOKUP(AT118,Потребители_обозначение,9,FALSE)=0,"",VLOOKUP(AT118,Потребители_обозначение,9,FALSE)),"")))</f>
        <v>1</v>
      </c>
      <c r="BI118" t="str">
        <f>IF(U118&lt;&gt;"",U118,IF(D118="","",IFERROR(IF(VLOOKUP(AT118,Потребители_обозначение,6,FALSE)=0,"",VLOOKUP(AT118,Потребители_обозначение,6,FALSE)),"")))</f>
        <v>мс</v>
      </c>
      <c r="BJ118">
        <f>IF(V118&lt;&gt;"",V118,IF(D118="","",IFERROR(IF(VLOOKUP(AT118,Потребители_обозначение,7,FALSE)=0,"",VLOOKUP(AT118,Потребители_обозначение,7,FALSE)),"")))</f>
        <v>3</v>
      </c>
      <c r="BK118">
        <f>IF(W118&lt;&gt;"",W118,IF(D118="","",IFERROR(IF(VLOOKUP(AT118,Потребители_обозначение,10,FALSE)=0,"",VLOOKUP(AT118,Потребители_обозначение,10,FALSE)),"")))</f>
        <v>1.5</v>
      </c>
      <c r="BL118">
        <f>IFERROR(VLOOKUP(AT118,Потребители_обозначение,5,FALSE),0)</f>
        <v>1</v>
      </c>
      <c r="BM118" cm="1">
        <f t="array" ref="BM118">IF(D118="","",IF(BA118&lt;&gt;"",IFERROR(_xlfn.XLOOKUP(BA118,Щиты[Щит],Щиты[cos φ]),0.95),IF(ISNUMBER(M118),M118,IFERROR(IF(BL118=2,_xlfn.IFS(BH118=3,VLOOKUP(BF118,Справочная_двигатели,8,FALSE),BH118=1,VLOOKUP(BF118,Справочная_двигатели,10,TRUE)),IF(AND(Методика="нормы 2026",CN118="Сил"),0.8,0.95)),0.95))))</f>
        <v>0.95</v>
      </c>
      <c r="BN118" cm="1">
        <f t="array" ref="BN118">IF(D118="","",IF(BA118&lt;&gt;"",IFERROR(_xlfn.XLOOKUP(BA118,Щиты[Щит],Щиты[Iр, А]),""),IFERROR(_xlfn.IFS(BH118=1,BF118/((Uн_лин/SQRT(3))*BM118),BH118=3,BF118/(SQRT(3)*Uн_лин*BM118)),"")))</f>
        <v>0.47403495786095584</v>
      </c>
      <c r="BO118">
        <f>IF(D118="","",IF(N(X118)=0,IFERROR(VLOOKUP(BN118,Автомат_номиналы,2,TRUE),""),X118))</f>
        <v>10</v>
      </c>
      <c r="BP118">
        <f t="shared" si="97"/>
        <v>1</v>
      </c>
      <c r="BQ118">
        <f>IF(ISNUMBER(Y118),Y118,К_прокл)</f>
        <v>1</v>
      </c>
      <c r="BR118">
        <f t="shared" si="98"/>
        <v>2</v>
      </c>
      <c r="BS118" cm="1">
        <f t="array" ref="BS118">IF(D118="","",IF(N(BK118)&lt;&gt;0,BK118,IFERROR(_xlfn.LET(_xlpm.need,BO118/(BP118*BQ118),_xlpm.t,CHOOSE(BR118,Iдоп_1ж,Iдоп_2ж,Iдоп_3ж),_xlpm.k,_xlfn.XMATCH(_xlpm.need,_xlpm.t,1),IF(ISNA(_xlpm.k),"Не исп",INDEX(Iдоп_S,_xlpm.k))),"Не исп")))</f>
        <v>1.5</v>
      </c>
      <c r="BT118">
        <f>IFERROR(VLOOKUP(BS118,Кабель_сопротивление,3,FALSE),"")</f>
        <v>2.2499999999999999E-2</v>
      </c>
      <c r="BU118">
        <f>IFERROR(VLOOKUP(BS118,Кабель_сопротивление,2,FALSE),"")</f>
        <v>0.11</v>
      </c>
      <c r="BV118">
        <f t="shared" si="99"/>
        <v>53</v>
      </c>
      <c r="BW118">
        <f>IF(D118="","",IFERROR(IF(VLOOKUP(AT118,Потребители_обозначение,4,FALSE)=1,VLOOKUP(AT118,Потребители_обозначение,3,FALSE)*(H118*2-1)+BV118+VLOOKUP(AV118,Этаж_обозначение,3,FALSE)+VLOOKUP(AV118,Этаж_обозначение,4,FALSE),VLOOKUP(AT118,Потребители_обозначение,3,FALSE)*(H118*2-1)+BV118),BV118))</f>
        <v>55</v>
      </c>
      <c r="BX118">
        <f t="shared" si="100"/>
        <v>19</v>
      </c>
      <c r="BY118">
        <f t="shared" si="101"/>
        <v>0</v>
      </c>
      <c r="BZ118">
        <f t="shared" si="102"/>
        <v>2</v>
      </c>
      <c r="CA118">
        <f t="shared" si="103"/>
        <v>0.31</v>
      </c>
      <c r="CB118">
        <f t="shared" si="104"/>
        <v>0.74482790157398482</v>
      </c>
      <c r="CC118">
        <f>IFERROR(ROUNDUP(CB118/((Uн_лин/SQRT(3))*1000)*100,2),"")</f>
        <v>0.33</v>
      </c>
      <c r="CD118">
        <f>IF(ISNUMBER(CC118),CC118+IFERROR(_xlfn.XLOOKUP(A118,Щиты[Щит],Щиты[ΔU до шин, %]),0),"")</f>
        <v>0.57000000000000006</v>
      </c>
      <c r="CE118">
        <f>IF(D118="","",IF(IFERROR(VLOOKUP(AT118,УГО_спр,2,FALSE),"")="Светильник",3,4)+IF(Методика="нормы 2026",MIN(0.5,MAX(0,N(BW118)-100)*0.005),0))</f>
        <v>4</v>
      </c>
      <c r="CF118" t="str">
        <f>IFERROR(VLOOKUP(BI118,Кабель_обозначение,2,FALSE),"")</f>
        <v>ВВГнг(А)-LS</v>
      </c>
      <c r="CG118" t="str">
        <f>IFERROR(IF(VLOOKUP(BI118,Кабель_обозначение,3,FALSE)=1,CF118&amp;" ("&amp;BJ118&amp;"х"&amp;BS118&amp;")",CF118),"")</f>
        <v>ВВГнг(А)-LS (3х1,5)</v>
      </c>
      <c r="CH118" t="str">
        <f t="shared" si="105"/>
        <v>ВВГнг(А)-LS (3х1,5)
L=55-0,33%</v>
      </c>
      <c r="CI118">
        <f>IFERROR(2*ρкз_Cu*BW118/BS118,"")</f>
        <v>1.9286666666666668</v>
      </c>
      <c r="CJ118">
        <f t="shared" si="106"/>
        <v>0.64166666666666672</v>
      </c>
      <c r="CK118" t="str">
        <f>IFERROR(IF(OR(D118="",NOT(ISNUMBER(BS118)),N(BW118)=0),"",_xlfn.XLOOKUP(A118,Щиты[Щит],Щиты[Zпетли на шинах, Ом])+CI118),"")</f>
        <v/>
      </c>
      <c r="CL118" t="str">
        <f>IF(ISNUMBER(CK118),c_min*(Uн_лин*1000/SQRT(3))/CK118,"")</f>
        <v/>
      </c>
      <c r="CM118" t="str">
        <f>IFERROR(IF(OR(D118="",NOT(ISNUMBER(BS118))),"",1.05*(Uн_лин*1000/SQRT(3))/(_xlfn.XLOOKUP(A118,Щиты[Щит],Щиты[Zmax на шинах, Ом])+CJ118)/1000),"")</f>
        <v/>
      </c>
      <c r="CN118" t="str">
        <f>IF(D118="","",IF(BA118&lt;&gt;"","Щит",IF(K118&lt;&gt;"",K118,IF(ISNUMBER(L118),"Сил",IF(IFERROR(_xlfn.XLOOKUP(AT118,Коды_код,Коды_группа)&amp;"","")="","Быт",_xlfn.XLOOKUP(AT118,Коды_код,Коды_группа)&amp;"")))))</f>
        <v>Сил</v>
      </c>
      <c r="CO118">
        <f>IF(CN118="Щит","щит",IF(CN118="","",IF(CN118="Быт",IFERROR(_xlfn.XLOOKUP(A118,Щиты[Щит],Щиты[Кс быт]),1),IF(CN118="Сил",IF(ISNUMBER(L118),L118,IF(Методика="нормы 2026",IFERROR(_xlfn.XLOOKUP(A118,Щиты[Щит],Щиты[Кс силовых (табл. 7.5)]),1),1)),IF(OR(CN118="Пост",CN118="Отоп"),1,IF(CN118="ВНГ",0.7,0))))))</f>
        <v>0.5</v>
      </c>
      <c r="CP118">
        <f t="shared" si="107"/>
        <v>1</v>
      </c>
      <c r="CQ118">
        <f t="shared" si="108"/>
        <v>0.104</v>
      </c>
      <c r="CR118">
        <f t="shared" si="109"/>
        <v>0</v>
      </c>
      <c r="CS118">
        <f t="shared" si="110"/>
        <v>5.1999999999999998E-2</v>
      </c>
      <c r="CT118">
        <f t="shared" si="111"/>
        <v>0</v>
      </c>
      <c r="CU118">
        <f t="shared" si="112"/>
        <v>0</v>
      </c>
      <c r="CV118">
        <f t="shared" si="113"/>
        <v>0</v>
      </c>
      <c r="CW118">
        <f t="shared" si="114"/>
        <v>0.104</v>
      </c>
      <c r="CX118">
        <f t="shared" si="115"/>
        <v>9.8799999999999985E-2</v>
      </c>
      <c r="CY118">
        <f t="shared" si="116"/>
        <v>3</v>
      </c>
      <c r="CZ118" t="str">
        <f t="shared" si="117"/>
        <v>L3</v>
      </c>
      <c r="DA118" cm="1">
        <f t="array" ref="DA118">IFERROR(IF(BL118=2,_xlfn.IFS(BH118=3,VLOOKUP(BF118,Справочная_двигатели,3,FALSE),BH118=1,VLOOKUP(BF118,Справочная_двигатели,5,TRUE)),0),0)</f>
        <v>0</v>
      </c>
      <c r="DB118">
        <f>IFERROR(IF(BL118=3,VLOOKUP(BF118,Справочная_ЛЭД,2,TRUE),0),0)</f>
        <v>0</v>
      </c>
      <c r="DC118">
        <f t="shared" si="118"/>
        <v>0</v>
      </c>
      <c r="DD118" t="str">
        <f t="shared" si="119"/>
        <v>L1</v>
      </c>
      <c r="DE118" t="str" cm="1">
        <f t="array" ref="DE118">IF(D118="","",IFERROR(INDEX({"I особая","I","II","III"},MATCH(TRIM(AA118&amp;""),{"I особая","I","II","III"},0)),"III"))</f>
        <v>II</v>
      </c>
      <c r="DF118" t="str">
        <f>IF(D118="","",IF(TRIM(AB118&amp;"")&lt;&gt;"",IF(LOWER(TRIM(AB118&amp;""))="да","да","нет"),IF(IFERROR(_xlfn.XLOOKUP(AT118,Коды_код,Коды_пожарная),"")="да","да","нет")))</f>
        <v>нет</v>
      </c>
      <c r="DG118" t="str">
        <f t="shared" si="120"/>
        <v/>
      </c>
      <c r="DH118" t="str">
        <f t="shared" si="121"/>
        <v>основная</v>
      </c>
      <c r="DI118">
        <f t="shared" si="122"/>
        <v>1</v>
      </c>
      <c r="DJ118" t="str" cm="1">
        <f t="array" ref="DJ118">IF(D118="","",_xlfn.LET(_xlpm.t,IFERROR(_xlfn.XLOOKUP(1,(Шины[Шина]=DH118)*(((Шины[Щит]=A118)+(Шины[Щит]=""))&gt;0),Шины[Тип]),"")&amp;"",IF(_xlpm.t&lt;&gt;"",_xlpm.t,IF(ISNUMBER(SEARCH("ИБП",DH118)),"ИБП",IF(ISNUMBER(SEARCH("ДГУ",DH118)),"ДГУ","Ввод "&amp;DI118)))))</f>
        <v>Ввод 1</v>
      </c>
      <c r="DK118" t="str">
        <f t="shared" si="123"/>
        <v>Ввод 1</v>
      </c>
      <c r="DL118" t="str">
        <f>IF(D118="","",IF(OR(DJ118="ИБП",DJ118="ДГУ"),"I особая",IF(DJ118="Одиночная","III",_xlfn.XLOOKUP(A118,Щиты[Щит],Щиты[Категория шины «Ввод»],"III"))))</f>
        <v>II</v>
      </c>
      <c r="DM118">
        <f>IF(D118="",0,IFERROR(MATCH(DE118,{"III","II","I","I особая"},0),1))</f>
        <v>2</v>
      </c>
      <c r="DN118">
        <f t="shared" si="124"/>
        <v>2</v>
      </c>
      <c r="DO118" t="str">
        <f>IF(D118="","",IF(DM118&gt;IFERROR(MATCH(DL118,{"III","II","I","I особая"},0),1),"НЕ ОБЕСПЕЧЕНА","ОК"))</f>
        <v>ОК</v>
      </c>
      <c r="DP118" t="str">
        <f>IF(A118="","",_xlfn.XLOOKUP(A118,Щиты[Щит],Щиты[Путь],""))</f>
        <v>|ГРЩ-ЖД|ЩОВ-01|</v>
      </c>
      <c r="DQ118" t="str">
        <f>IF(D118="","",IF(Z118&lt;&gt;"",Z118,IF(IFERROR(_xlfn.XLOOKUP(AT118,Коды_код,Коды_вид)&amp;"","")="","Прочее",_xlfn.XLOOKUP(AT118,Коды_код,Коды_вид)&amp;"")))</f>
        <v>Кондиционирование и увлажнение</v>
      </c>
      <c r="DR118">
        <f>IF(BD118="","",INT((BD118-1)/Столбцов_на_лист)+1)</f>
        <v>2</v>
      </c>
      <c r="DS118" t="str">
        <f t="shared" si="125"/>
        <v>ВВГнг(А)-LS (3х1,5) L=55-0,33%</v>
      </c>
      <c r="DT118">
        <f t="shared" si="126"/>
        <v>0.104</v>
      </c>
      <c r="DU118">
        <f t="shared" si="127"/>
        <v>0.48</v>
      </c>
      <c r="DV118">
        <f t="shared" si="128"/>
        <v>1</v>
      </c>
      <c r="DW118">
        <f>IF(AT118="",0,_xlfn.LET(_xlpm.v,IFERROR(VLOOKUP(D118,УГО_спр,3,FALSE),IFERROR(VLOOKUP(AT118,УГО_спр,3,FALSE),IFERROR(VLOOKUP(LEFT(AT118,2),УГО_спр,3,FALSE),""))),IF(_xlpm.v="да",30,IF(ISNUMBER(_xlpm.v),_xlpm.v,0))))</f>
        <v>0</v>
      </c>
      <c r="DX118">
        <f t="shared" si="129"/>
        <v>0</v>
      </c>
      <c r="DY118">
        <f>IF(BD118="","",IF(AD118&lt;&gt;"",COUNTIFS(A$3:A118,A118,AD$3:AD118,"?*"),IF(OR(OR(AS118=1,A118&lt;&gt;A117),AL118="вручную"),"",IF(AS118=1,"",DZ117))))</f>
        <v>16</v>
      </c>
      <c r="DZ118">
        <f t="shared" si="130"/>
        <v>16</v>
      </c>
      <c r="EA118">
        <f>IF(D118="",0,MAX(IFERROR(--X118,0),IFERROR(--VLOOKUP(D118,УГО_спр,4,FALSE),IFERROR(--VLOOKUP(AT118,УГО_спр,4,FALSE),IFERROR(--VLOOKUP(LEFT(AT118,2),УГО_спр,4,FALSE),0)))))</f>
        <v>10</v>
      </c>
      <c r="EB118">
        <f>IF(D118="","",IFERROR(LOOKUP(INDEX(CHOOSE(BR118,Iдоп_1ж,Iдоп_2ж,Iдоп_3ж),MATCH(BS118,Iдоп_S,0))*BP118*BQ118,{6,10,16,20,25,32,40,50,63,80,100,125,160,200,250,315,400,500,630}),""))</f>
        <v>16</v>
      </c>
      <c r="EC118">
        <f>IF(AD118="","",SUMIFS(Линии[_Ток схемы],Линии[_гр.],DY118,Линии[Щит],A118,Линии[_в кабель выше],0))</f>
        <v>0.48</v>
      </c>
      <c r="ED118">
        <f>IF(AD118="","",IFERROR(VLOOKUP(EC118,Автомат_номиналы,2,TRUE),""))</f>
        <v>6</v>
      </c>
      <c r="EE118">
        <f>IF(AD118="","",MAX(N(ED118),_xlfn.MAXIFS(Линии[_мин. по типу],Линии[_гр.],DY118,Линии[Щит],A118)))</f>
        <v>10</v>
      </c>
      <c r="EF118">
        <f>IF(AD118="","",_xlfn.MINIFS(Линии[_макс. автомат по кабелю],Линии[_гр.],DY118,Линии[Щит],A118))</f>
        <v>16</v>
      </c>
      <c r="EG118">
        <f>IF(AD118="","",MAX(1,_xlfn.MAXIFS(Линии[_фаз],Линии[_гр.],DY118,Линии[Щит],A118)))</f>
        <v>1</v>
      </c>
      <c r="EH118">
        <f>IF(AD118="","",IF(AND(AD118&lt;&gt;"авто",AD118&lt;&gt;"+"),IF(ISNUMBER(SEARCH("мА",AD118)),IFERROR(--TRIM(RIGHT(SUBSTITUTE(LEFT(AD118,SEARCH("мА",AD118)-1)," ",REPT(" ",9)),6)),30),0),IF(AE118="нет",0,IF(ISNUMBER(AE118),AE118,IF(AE118="да",30,_xlfn.MINIFS(Линии[_дифзащита по коду, мА],Линии[_гр.],DY118,Линии[Щит],A118,Линии[_дифзащита по коду, мА],"&gt;0"))))))</f>
        <v>0</v>
      </c>
      <c r="EI118">
        <f t="shared" si="131"/>
        <v>0</v>
      </c>
      <c r="EJ118" t="str">
        <f t="shared" si="132"/>
        <v>QF16</v>
      </c>
      <c r="EK118" t="str">
        <f t="shared" si="133"/>
        <v>QF16</v>
      </c>
      <c r="EL118" t="str">
        <f t="shared" si="134"/>
        <v/>
      </c>
      <c r="EM118">
        <f t="shared" si="135"/>
        <v>0</v>
      </c>
      <c r="EN118">
        <f>IF(AD118="","",IF(EM118=1,MAX(EE118,Мин_автомат_БП),EE118))</f>
        <v>10</v>
      </c>
      <c r="EO118" t="str">
        <f t="shared" si="136"/>
        <v>1P</v>
      </c>
      <c r="EP118" t="str">
        <f t="shared" si="137"/>
        <v>1P С10А</v>
      </c>
      <c r="EQ118">
        <f t="shared" si="138"/>
        <v>10</v>
      </c>
      <c r="ER118" t="str">
        <f>IF(OR(AI118="",AI118="-"),"",IFERROR(VLOOKUP(AI118,Модули_спр,2,FALSE),"R"))</f>
        <v/>
      </c>
      <c r="ES118" t="str">
        <f>IF(ER118="","",ER118&amp;"."&amp;COUNTIFS(A$3:A118,A118,ER$3:ER118,ER118))</f>
        <v/>
      </c>
      <c r="ET118" t="str">
        <f t="shared" si="139"/>
        <v/>
      </c>
      <c r="EU118" t="str">
        <f t="shared" si="140"/>
        <v/>
      </c>
      <c r="EV118" t="str">
        <f t="shared" si="141"/>
        <v/>
      </c>
      <c r="EW118" t="str">
        <f t="shared" si="142"/>
        <v/>
      </c>
      <c r="EX118">
        <f t="shared" si="143"/>
        <v>1</v>
      </c>
      <c r="EY118" t="str">
        <f>IF(AK118="нет","",IF(AK118&lt;&gt;"",AK118,IF(EX118=1,"XT"&amp;COUNTIFS(A$3:A118,A118,EX$3:EX118,1),"")))</f>
        <v/>
      </c>
      <c r="EZ118" t="str">
        <f t="shared" si="144"/>
        <v>QF16</v>
      </c>
      <c r="FA118" t="str">
        <f t="shared" si="145"/>
        <v/>
      </c>
      <c r="FB118" t="str">
        <f t="shared" si="146"/>
        <v>ok</v>
      </c>
      <c r="FC118" t="str">
        <f>IF(OR(EV118="",ET118=""),"",IF(EV118&gt;IFERROR(VLOOKUP(EU118,Модули_спр,3,FALSE),99),"ЛИШНИЙ КАНАЛ",IF(AND(AJ118&lt;&gt;"=",COUNTIFS(Линии[_модуль гр.],ET118,Линии[Канал (итог)],EV118,Линии[Канал],"&lt;&gt;=",Линии[Щит],A118)&gt;1),"ДУБЛЬ КАНАЛА","")))</f>
        <v/>
      </c>
      <c r="FD118">
        <f t="shared" si="147"/>
        <v>10</v>
      </c>
      <c r="FE118" t="str">
        <f t="shared" si="148"/>
        <v>1P С10А</v>
      </c>
      <c r="FF118">
        <f t="shared" si="149"/>
        <v>0</v>
      </c>
      <c r="FG118">
        <f t="shared" si="150"/>
        <v>0</v>
      </c>
      <c r="FH118" t="str">
        <f t="shared" si="151"/>
        <v/>
      </c>
      <c r="FI118">
        <f t="shared" si="152"/>
        <v>10</v>
      </c>
      <c r="FJ118" t="str">
        <f t="shared" si="153"/>
        <v/>
      </c>
      <c r="FK118" t="str">
        <f>IF(AND(D118="",EZ118=""),"",_xlfn.TEXTJOIN("; ",TRUE,IF(AND(D118&lt;&gt;"",DD118=""),"нет фазы",""),IF(AND(D118&lt;&gt;"",N(DT118)=0,CN118&lt;&gt;"Нет"),"нет мощности",""),IF(AND(EY118&lt;&gt;"",COUNTIFS(Линии[Щит],A118,Линии[Клемма (итог)],EY118)&gt;1),"дубль клеммы "&amp;EY118,""),IF(AND(FB118&lt;&gt;"",FB118&lt;&gt;"ok"),FB118,""),IF(FC118&lt;&gt;"",FC118,""),IF(AND(ISNUMBER(SEARCH("(5х",DS118)),N(DV118)=1),"5 жил на 1 фазе",""),IF(AND(AT118="R",AD118&lt;&gt;"",OR(N(EH118)=0,N(EH118)&gt;30)),"розетка без дифзащиты до 30 мА",""),IFERROR(IF(AND(ISNUMBER(CD118),CD118&gt;CE118),"потери "&amp;FIXED(CD118,1)&amp;" % &gt; "&amp;CE118&amp;" %",""),""),IFERROR(IF(LEFT(FJ118,4)="мало","Iкз мало — отключение &gt; 0,4 с",""),""),IF(AND(D118&lt;&gt;"",BD118=""),"не на схеме","")))</f>
        <v/>
      </c>
      <c r="FL118">
        <f>IF(AD118="","",_xlfn.LET(_xlpm.t,IFERROR(_xlfn.XLOOKUP(EP118,Каталог!$U$4:$U$500,Каталог!$G$4:$G$500),""),_xlpm.k,SEARCH("кА",_xlpm.t),IFERROR(--TRIM(RIGHT(SUBSTITUTE(MID(_xlpm.t,MAX(1,_xlpm.k-4),_xlpm.k-MAX(1,_xlpm.k-4))," ",REPT(" ",9)),5)),"")))</f>
        <v>6</v>
      </c>
      <c r="FM118" t="str">
        <f>IF(OR(FL118="",AD118=""),"",IF(_xlfn.XLOOKUP(A118,Щиты[Щит],Щиты[Iкз max на шинах, кА],"")="","",IF(FL118&lt;_xlfn.XLOOKUP(A118,Щиты[Щит],Щиты[Iкз max на шинах, кА]),"Icu "&amp;FL118&amp;" кА &lt; Iкз max","ok")))</f>
        <v/>
      </c>
      <c r="FN118" t="str">
        <f t="shared" si="154"/>
        <v>QF16</v>
      </c>
      <c r="FO118" t="str">
        <f t="shared" si="155"/>
        <v>QF16|кабель ВВГнг(А)-LS (3х1,5) → Внутренний блок кондиционирования цокольный этаж Пом. №014Б</v>
      </c>
      <c r="FP118" t="str" cm="1">
        <f t="array" ref="FP118">IF(FO118="","",_xlfn.LET(_xlpm.nd,_xlfn.TEXTSPLIT(FO118,"|"),IF(COLUMNS(_xlpm.nd)&gt;1,A118&amp;"¦"&amp;INDEX(_xlpm.nd,1)&amp;"¦"&amp;INDEX(_xlpm.nd,2),"")))</f>
        <v>ЩОВ-01¦QF16¦кабель ВВГнг(А)-LS (3х1,5) → Внутренний блок кондиционирования цокольный этаж Пом. №014Б</v>
      </c>
      <c r="FQ118" t="str">
        <f t="shared" si="156"/>
        <v>K.0.008A¦Внутренний блок кондиционирования цокольный этаж Пом. №014Б</v>
      </c>
      <c r="FR118" t="str" cm="1">
        <f t="array" ref="FR118">IF(FO118="","",_xlfn.LET(_xlpm.nd,_xlfn.TEXTSPLIT(FO118,"|"),IF(COLUMNS(_xlpm.nd)&gt;2,A118&amp;"¦"&amp;INDEX(_xlpm.nd,2)&amp;"¦"&amp;INDEX(_xlpm.nd,3),"")))</f>
        <v/>
      </c>
      <c r="FS118" t="str">
        <f t="shared" si="157"/>
        <v/>
      </c>
      <c r="FT118" t="str" cm="1">
        <f t="array" ref="FT118">IF(FO118="","",_xlfn.LET(_xlpm.nd,_xlfn.TEXTSPLIT(FO118,"|"),IF(COLUMNS(_xlpm.nd)&gt;3,A118&amp;"¦"&amp;INDEX(_xlpm.nd,3)&amp;"¦"&amp;INDEX(_xlpm.nd,4),"")))</f>
        <v/>
      </c>
      <c r="FU118" t="str">
        <f t="shared" si="158"/>
        <v/>
      </c>
      <c r="FV118" t="str" cm="1">
        <f t="array" ref="FV118">IF(FO118="","",_xlfn.LET(_xlpm.nd,_xlfn.TEXTSPLIT(FO118,"|"),IF(COLUMNS(_xlpm.nd)&gt;4,A118&amp;"¦"&amp;INDEX(_xlpm.nd,4)&amp;"¦"&amp;INDEX(_xlpm.nd,5),"")))</f>
        <v/>
      </c>
      <c r="FW118" t="str">
        <f t="shared" si="159"/>
        <v/>
      </c>
      <c r="FX118" t="str" cm="1">
        <f t="array" ref="FX118">IF(FO118="","",_xlfn.LET(_xlpm.nd,_xlfn.TEXTSPLIT(FO118,"|"),IF(COLUMNS(_xlpm.nd)&gt;5,A118&amp;"¦"&amp;INDEX(_xlpm.nd,5)&amp;"¦"&amp;INDEX(_xlpm.nd,6),"")))</f>
        <v/>
      </c>
      <c r="FY118" t="str">
        <f t="shared" si="160"/>
        <v/>
      </c>
      <c r="FZ118" t="str" cm="1">
        <f t="array" ref="FZ118">IF(FO118="","",_xlfn.LET(_xlpm.nd,_xlfn.TEXTSPLIT(FO118,"|"),IF(COLUMNS(_xlpm.nd)&gt;6,A118&amp;"¦"&amp;INDEX(_xlpm.nd,6)&amp;"¦"&amp;INDEX(_xlpm.nd,7),"")))</f>
        <v/>
      </c>
      <c r="GA118" t="str">
        <f t="shared" si="161"/>
        <v/>
      </c>
      <c r="GB118" t="str">
        <f t="shared" si="162"/>
        <v/>
      </c>
      <c r="GC118" t="str">
        <f t="shared" si="163"/>
        <v>QF16</v>
      </c>
      <c r="GD118">
        <f t="shared" si="164"/>
        <v>1</v>
      </c>
      <c r="GE118">
        <f t="shared" si="165"/>
        <v>0</v>
      </c>
      <c r="GF118">
        <f t="shared" si="166"/>
        <v>0</v>
      </c>
      <c r="GG118" t="str">
        <f t="shared" si="167"/>
        <v/>
      </c>
      <c r="GH118" t="str">
        <f t="shared" si="168"/>
        <v/>
      </c>
      <c r="GI118" t="str">
        <f t="shared" si="169"/>
        <v/>
      </c>
      <c r="GJ118" t="str">
        <f t="shared" si="170"/>
        <v/>
      </c>
      <c r="GK118">
        <f>IF(D118="","",IFERROR(VLOOKUP(D118,УГО_спр,2,FALSE),IFERROR(VLOOKUP(AT118,УГО_спр,2,FALSE),IFERROR(VLOOKUP(LEFT(AT118,2),УГО_спр,2,FALSE),""))))</f>
        <v>0</v>
      </c>
      <c r="GL118" t="str">
        <f>IF(D118="","",IF(OR(GK118="",GK118=0),"BOX",IFERROR(IF(VLOOKUP(GK118,УГО_блоки,3,FALSE)&amp;""&lt;&gt;"",VLOOKUP(GK118,УГО_блоки,3,FALSE),VLOOKUP(GK118,УГО_блоки,2,FALSE)),GK118)))</f>
        <v>BOX</v>
      </c>
      <c r="GM118">
        <f t="shared" si="171"/>
        <v>1</v>
      </c>
      <c r="GN118" t="str">
        <f>IF(EP118="","",IF(COUNTIF(EP$3:EP118,EP118)=1,MAX(GN$2:GN117)+1,""))</f>
        <v/>
      </c>
      <c r="GO118" t="str">
        <f>IF(AF118="","",IF(COUNTIF(AF$3:AF118,AF118)+COUNTIF(AG$2:AG117,AF118)+COUNTIF(AH$2:AH117,AF118)=1,MAX(GO$2:GQ117)+1,""))</f>
        <v/>
      </c>
      <c r="GP118" t="str">
        <f>IF(AG118="","",IF(COUNTIF(AF$3:AF118,AG118)+COUNTIF(AG$3:AG118,AG118)+COUNTIF(AH$2:AH117,AG118)=1,MAX(GO$2:GQ117,GO118)+1,""))</f>
        <v/>
      </c>
      <c r="GQ118" t="str">
        <f>IF(AH118="","",IF(COUNTIF(AF$3:AF118,AH118)+COUNTIF(AG$3:AG118,AH118)+COUNTIF(AH$3:AH118,AH118)=1,MAX(GO$2:GQ117,GO118,GP118)+1,""))</f>
        <v/>
      </c>
      <c r="GR118" t="str">
        <f t="shared" si="172"/>
        <v>3х1,5</v>
      </c>
      <c r="GS118" t="str">
        <f>IF(GR118="","",IF(COUNTIF(GR$3:GR118,GR118)=1,MAX(GS$2:GS117)+1,""))</f>
        <v/>
      </c>
      <c r="GT118" t="str">
        <f>IF(ES118="","",COUNTIF(ES$3:ES118,"?*"))</f>
        <v/>
      </c>
      <c r="GU118" t="str">
        <f>IF(OR(ES118="",EU118=""),"",IF(COUNTIFS(ES$3:ES118,"?*",EU$3:EU118,EU118)=1,MAX(GU$2:GU117)+1,""))</f>
        <v/>
      </c>
      <c r="GV118">
        <f t="shared" si="173"/>
        <v>0</v>
      </c>
      <c r="GW118">
        <f>IF(D118="","",COUNTIF(D$3:D118,"?*"))</f>
        <v>116</v>
      </c>
      <c r="GX118">
        <f>IF(EX118&lt;&gt;1,0,_xlfn.LET(_xlpm.k,MAX(IFERROR(--VLOOKUP(D118,УГО_спр,5,FALSE),0),IFERROR(--VLOOKUP(AT118,УГО_спр,5,FALSE),0),IFERROR(--VLOOKUP(LEFT(AT118,2),УГО_спр,5,FALSE),0)),IF(_xlpm.k&gt;0,_xlpm.k,IF(IFERROR(--LEFT(SUBSTITUTE(GR118,"x","х"),FIND("х",SUBSTITUTE(GR118,"x","х"))-1),3)&gt;3,Каталог!$S$9,1))))</f>
        <v>1</v>
      </c>
      <c r="GY118">
        <f t="shared" si="174"/>
        <v>0</v>
      </c>
    </row>
    <row r="119" spans="1:207" x14ac:dyDescent="0.3">
      <c r="A119" t="s">
        <v>750</v>
      </c>
      <c r="B119">
        <v>31</v>
      </c>
      <c r="C119" t="str">
        <f>IF(BD119="","",IF(BE119="вводной узел","узел ","")&amp;"л."&amp;(INT((BD119-1)/Столбцов_на_лист)+1)&amp;" / "&amp;(MOD(BD119-1,Столбцов_на_лист)+1))</f>
        <v>л.2 / 14</v>
      </c>
      <c r="D119" t="s">
        <v>1412</v>
      </c>
      <c r="E119" s="133" t="s">
        <v>1413</v>
      </c>
      <c r="G119">
        <v>0.111</v>
      </c>
      <c r="H119">
        <v>1</v>
      </c>
      <c r="I119">
        <v>1</v>
      </c>
      <c r="J119">
        <v>230</v>
      </c>
      <c r="K119" t="s">
        <v>602</v>
      </c>
      <c r="L119">
        <v>0.5</v>
      </c>
      <c r="O119">
        <v>2</v>
      </c>
      <c r="P119">
        <v>36</v>
      </c>
      <c r="Q119">
        <v>26</v>
      </c>
      <c r="R119">
        <v>12</v>
      </c>
      <c r="T119">
        <v>1</v>
      </c>
      <c r="U119" t="s">
        <v>11</v>
      </c>
      <c r="V119">
        <v>3</v>
      </c>
      <c r="W119">
        <v>1.5</v>
      </c>
      <c r="X119">
        <v>10</v>
      </c>
      <c r="Z119" t="s">
        <v>580</v>
      </c>
      <c r="AA119" t="s">
        <v>818</v>
      </c>
      <c r="AD119" t="s">
        <v>517</v>
      </c>
      <c r="AK119" t="s">
        <v>488</v>
      </c>
      <c r="AR119" t="str">
        <f t="shared" si="88"/>
        <v/>
      </c>
      <c r="AS119" cm="1">
        <f t="array" ref="AS119">ROW()-ROW(Линии[#Headers])</f>
        <v>117</v>
      </c>
      <c r="AT119" t="str">
        <f t="shared" si="89"/>
        <v>K</v>
      </c>
      <c r="AU119" t="str">
        <f t="shared" si="90"/>
        <v>0.012Б</v>
      </c>
      <c r="AV119" t="str">
        <f t="shared" si="91"/>
        <v>0</v>
      </c>
      <c r="AW119" t="str">
        <f t="shared" si="92"/>
        <v>012Б</v>
      </c>
      <c r="AX119" t="str">
        <f t="shared" si="93"/>
        <v>012Б</v>
      </c>
      <c r="AY119" t="str">
        <f>IF(D119="","",IF(ISERROR(SEARCH(".",D119)),IFERROR(VLOOKUP(D119,Потребители_обозначение,2,FALSE)&amp;"",""),IFERROR(IF(VLOOKUP(AT119,Потребители_обозначение,4,FALSE)=1,VLOOKUP(AT119,Потребители_обозначение,2,FALSE)&amp;" "&amp;VLOOKUP(AV119,Этаж_обозначение,2,FALSE)&amp;" Пом. №"&amp;AX119,VLOOKUP(AT119,Потребители_обозначение,2,FALSE)&amp;" Шлейф №"&amp;AV119),IFERROR(VLOOKUP(D119,Потребители_обозначение,2,FALSE),""))))</f>
        <v>Внутренний блок кондиционирования Цокольный этаж Пом. №012Б</v>
      </c>
      <c r="AZ119" t="str">
        <f t="shared" si="94"/>
        <v>Внутренний блок кондиционирования цокольный этаж Пом. №012Б</v>
      </c>
      <c r="BA119" t="str">
        <f>IF(F119&lt;&gt;"",F119,IF(AND(D119&lt;&gt;"",D119&lt;&gt;A119,ISNUMBER(_xlfn.XMATCH(D119,Щиты[Щит]))),D119,""))</f>
        <v/>
      </c>
      <c r="BB119">
        <f>IFERROR(_xlfn.XMATCH(A119,Щиты[Щит]),0)</f>
        <v>6</v>
      </c>
      <c r="BC119">
        <f>IFERROR(N(_xlfn.XLOOKUP(A119,Щиты[Щит],Щиты[Мест под вводной узел])),15)</f>
        <v>12</v>
      </c>
      <c r="BD119">
        <f t="shared" si="95"/>
        <v>31</v>
      </c>
      <c r="BE119" t="str">
        <f t="shared" si="96"/>
        <v>линии</v>
      </c>
      <c r="BF119">
        <f>IF(D119="","",IF(BA119&lt;&gt;"",IFERROR(_xlfn.XLOOKUP(BA119,Щиты[Щит],Щиты[Руст, кВт]),0),N(G119)))</f>
        <v>0.111</v>
      </c>
      <c r="BG119">
        <f>IF(J119&lt;&gt;"",J119,IF(D119="","",IFERROR(IF(VLOOKUP(AT119,Потребители_обозначение,8,FALSE)=0,"",VLOOKUP(AT119,Потребители_обозначение,8,FALSE)),"")))</f>
        <v>230</v>
      </c>
      <c r="BH119">
        <f>IF(I119&lt;&gt;"",I119,IF(D119="","",IFERROR(IF(VLOOKUP(AT119,Потребители_обозначение,9,FALSE)=0,"",VLOOKUP(AT119,Потребители_обозначение,9,FALSE)),"")))</f>
        <v>1</v>
      </c>
      <c r="BI119" t="str">
        <f>IF(U119&lt;&gt;"",U119,IF(D119="","",IFERROR(IF(VLOOKUP(AT119,Потребители_обозначение,6,FALSE)=0,"",VLOOKUP(AT119,Потребители_обозначение,6,FALSE)),"")))</f>
        <v>мс</v>
      </c>
      <c r="BJ119">
        <f>IF(V119&lt;&gt;"",V119,IF(D119="","",IFERROR(IF(VLOOKUP(AT119,Потребители_обозначение,7,FALSE)=0,"",VLOOKUP(AT119,Потребители_обозначение,7,FALSE)),"")))</f>
        <v>3</v>
      </c>
      <c r="BK119">
        <f>IF(W119&lt;&gt;"",W119,IF(D119="","",IFERROR(IF(VLOOKUP(AT119,Потребители_обозначение,10,FALSE)=0,"",VLOOKUP(AT119,Потребители_обозначение,10,FALSE)),"")))</f>
        <v>1.5</v>
      </c>
      <c r="BL119">
        <f>IFERROR(VLOOKUP(AT119,Потребители_обозначение,5,FALSE),0)</f>
        <v>1</v>
      </c>
      <c r="BM119" cm="1">
        <f t="array" ref="BM119">IF(D119="","",IF(BA119&lt;&gt;"",IFERROR(_xlfn.XLOOKUP(BA119,Щиты[Щит],Щиты[cos φ]),0.95),IF(ISNUMBER(M119),M119,IFERROR(IF(BL119=2,_xlfn.IFS(BH119=3,VLOOKUP(BF119,Справочная_двигатели,8,FALSE),BH119=1,VLOOKUP(BF119,Справочная_двигатели,10,TRUE)),IF(AND(Методика="нормы 2026",CN119="Сил"),0.8,0.95)),0.95))))</f>
        <v>0.95</v>
      </c>
      <c r="BN119" cm="1">
        <f t="array" ref="BN119">IF(D119="","",IF(BA119&lt;&gt;"",IFERROR(_xlfn.XLOOKUP(BA119,Щиты[Щит],Щиты[Iр, А]),""),IFERROR(_xlfn.IFS(BH119=1,BF119/((Uн_лин/SQRT(3))*BM119),BH119=3,BF119/(SQRT(3)*Uн_лин*BM119)),"")))</f>
        <v>0.50594115694775099</v>
      </c>
      <c r="BO119">
        <f>IF(D119="","",IF(N(X119)=0,IFERROR(VLOOKUP(BN119,Автомат_номиналы,2,TRUE),""),X119))</f>
        <v>10</v>
      </c>
      <c r="BP119">
        <f t="shared" si="97"/>
        <v>1</v>
      </c>
      <c r="BQ119">
        <f>IF(ISNUMBER(Y119),Y119,К_прокл)</f>
        <v>1</v>
      </c>
      <c r="BR119">
        <f t="shared" si="98"/>
        <v>2</v>
      </c>
      <c r="BS119" cm="1">
        <f t="array" ref="BS119">IF(D119="","",IF(N(BK119)&lt;&gt;0,BK119,IFERROR(_xlfn.LET(_xlpm.need,BO119/(BP119*BQ119),_xlpm.t,CHOOSE(BR119,Iдоп_1ж,Iдоп_2ж,Iдоп_3ж),_xlpm.k,_xlfn.XMATCH(_xlpm.need,_xlpm.t,1),IF(ISNA(_xlpm.k),"Не исп",INDEX(Iдоп_S,_xlpm.k))),"Не исп")))</f>
        <v>1.5</v>
      </c>
      <c r="BT119">
        <f>IFERROR(VLOOKUP(BS119,Кабель_сопротивление,3,FALSE),"")</f>
        <v>2.2499999999999999E-2</v>
      </c>
      <c r="BU119">
        <f>IFERROR(VLOOKUP(BS119,Кабель_сопротивление,2,FALSE),"")</f>
        <v>0.11</v>
      </c>
      <c r="BV119">
        <f t="shared" si="99"/>
        <v>36</v>
      </c>
      <c r="BW119">
        <f>IF(D119="","",IFERROR(IF(VLOOKUP(AT119,Потребители_обозначение,4,FALSE)=1,VLOOKUP(AT119,Потребители_обозначение,3,FALSE)*(H119*2-1)+BV119+VLOOKUP(AV119,Этаж_обозначение,3,FALSE)+VLOOKUP(AV119,Этаж_обозначение,4,FALSE),VLOOKUP(AT119,Потребители_обозначение,3,FALSE)*(H119*2-1)+BV119),BV119))</f>
        <v>38</v>
      </c>
      <c r="BX119">
        <f t="shared" si="100"/>
        <v>12</v>
      </c>
      <c r="BY119">
        <f t="shared" si="101"/>
        <v>0</v>
      </c>
      <c r="BZ119">
        <f t="shared" si="102"/>
        <v>2</v>
      </c>
      <c r="CA119">
        <f t="shared" si="103"/>
        <v>0.31</v>
      </c>
      <c r="CB119">
        <f t="shared" si="104"/>
        <v>0.54924547007676006</v>
      </c>
      <c r="CC119">
        <f>IFERROR(ROUNDUP(CB119/((Uн_лин/SQRT(3))*1000)*100,2),"")</f>
        <v>0.24000000000000002</v>
      </c>
      <c r="CD119">
        <f>IF(ISNUMBER(CC119),CC119+IFERROR(_xlfn.XLOOKUP(A119,Щиты[Щит],Щиты[ΔU до шин, %]),0),"")</f>
        <v>0.48000000000000004</v>
      </c>
      <c r="CE119">
        <f>IF(D119="","",IF(IFERROR(VLOOKUP(AT119,УГО_спр,2,FALSE),"")="Светильник",3,4)+IF(Методика="нормы 2026",MIN(0.5,MAX(0,N(BW119)-100)*0.005),0))</f>
        <v>4</v>
      </c>
      <c r="CF119" t="str">
        <f>IFERROR(VLOOKUP(BI119,Кабель_обозначение,2,FALSE),"")</f>
        <v>ВВГнг(А)-LS</v>
      </c>
      <c r="CG119" t="str">
        <f>IFERROR(IF(VLOOKUP(BI119,Кабель_обозначение,3,FALSE)=1,CF119&amp;" ("&amp;BJ119&amp;"х"&amp;BS119&amp;")",CF119),"")</f>
        <v>ВВГнг(А)-LS (3х1,5)</v>
      </c>
      <c r="CH119" t="str">
        <f t="shared" si="105"/>
        <v>ВВГнг(А)-LS (3х1,5)
L=38-0,24%</v>
      </c>
      <c r="CI119">
        <f>IFERROR(2*ρкз_Cu*BW119/BS119,"")</f>
        <v>1.3325333333333333</v>
      </c>
      <c r="CJ119">
        <f t="shared" si="106"/>
        <v>0.44333333333333336</v>
      </c>
      <c r="CK119" t="str">
        <f>IFERROR(IF(OR(D119="",NOT(ISNUMBER(BS119)),N(BW119)=0),"",_xlfn.XLOOKUP(A119,Щиты[Щит],Щиты[Zпетли на шинах, Ом])+CI119),"")</f>
        <v/>
      </c>
      <c r="CL119" t="str">
        <f>IF(ISNUMBER(CK119),c_min*(Uн_лин*1000/SQRT(3))/CK119,"")</f>
        <v/>
      </c>
      <c r="CM119" t="str">
        <f>IFERROR(IF(OR(D119="",NOT(ISNUMBER(BS119))),"",1.05*(Uн_лин*1000/SQRT(3))/(_xlfn.XLOOKUP(A119,Щиты[Щит],Щиты[Zmax на шинах, Ом])+CJ119)/1000),"")</f>
        <v/>
      </c>
      <c r="CN119" t="str">
        <f>IF(D119="","",IF(BA119&lt;&gt;"","Щит",IF(K119&lt;&gt;"",K119,IF(ISNUMBER(L119),"Сил",IF(IFERROR(_xlfn.XLOOKUP(AT119,Коды_код,Коды_группа)&amp;"","")="","Быт",_xlfn.XLOOKUP(AT119,Коды_код,Коды_группа)&amp;"")))))</f>
        <v>Сил</v>
      </c>
      <c r="CO119">
        <f>IF(CN119="Щит","щит",IF(CN119="","",IF(CN119="Быт",IFERROR(_xlfn.XLOOKUP(A119,Щиты[Щит],Щиты[Кс быт]),1),IF(CN119="Сил",IF(ISNUMBER(L119),L119,IF(Методика="нормы 2026",IFERROR(_xlfn.XLOOKUP(A119,Щиты[Щит],Щиты[Кс силовых (табл. 7.5)]),1),1)),IF(OR(CN119="Пост",CN119="Отоп"),1,IF(CN119="ВНГ",0.7,0))))))</f>
        <v>0.5</v>
      </c>
      <c r="CP119">
        <f t="shared" si="107"/>
        <v>1</v>
      </c>
      <c r="CQ119">
        <f t="shared" si="108"/>
        <v>0.111</v>
      </c>
      <c r="CR119">
        <f t="shared" si="109"/>
        <v>0</v>
      </c>
      <c r="CS119">
        <f t="shared" si="110"/>
        <v>5.5500000000000001E-2</v>
      </c>
      <c r="CT119">
        <f t="shared" si="111"/>
        <v>0</v>
      </c>
      <c r="CU119">
        <f t="shared" si="112"/>
        <v>0</v>
      </c>
      <c r="CV119">
        <f t="shared" si="113"/>
        <v>0</v>
      </c>
      <c r="CW119">
        <f t="shared" si="114"/>
        <v>0.111</v>
      </c>
      <c r="CX119">
        <f t="shared" si="115"/>
        <v>0.10545</v>
      </c>
      <c r="CY119">
        <f t="shared" si="116"/>
        <v>1</v>
      </c>
      <c r="CZ119" t="str">
        <f t="shared" si="117"/>
        <v>L1</v>
      </c>
      <c r="DA119" cm="1">
        <f t="array" ref="DA119">IFERROR(IF(BL119=2,_xlfn.IFS(BH119=3,VLOOKUP(BF119,Справочная_двигатели,3,FALSE),BH119=1,VLOOKUP(BF119,Справочная_двигатели,5,TRUE)),0),0)</f>
        <v>0</v>
      </c>
      <c r="DB119">
        <f>IFERROR(IF(BL119=3,VLOOKUP(BF119,Справочная_ЛЭД,2,TRUE),0),0)</f>
        <v>0</v>
      </c>
      <c r="DC119">
        <f t="shared" si="118"/>
        <v>0</v>
      </c>
      <c r="DD119" t="str">
        <f t="shared" si="119"/>
        <v>L2</v>
      </c>
      <c r="DE119" t="str" cm="1">
        <f t="array" ref="DE119">IF(D119="","",IFERROR(INDEX({"I особая","I","II","III"},MATCH(TRIM(AA119&amp;""),{"I особая","I","II","III"},0)),"III"))</f>
        <v>II</v>
      </c>
      <c r="DF119" t="str">
        <f>IF(D119="","",IF(TRIM(AB119&amp;"")&lt;&gt;"",IF(LOWER(TRIM(AB119&amp;""))="да","да","нет"),IF(IFERROR(_xlfn.XLOOKUP(AT119,Коды_код,Коды_пожарная),"")="да","да","нет")))</f>
        <v>нет</v>
      </c>
      <c r="DG119" t="str">
        <f t="shared" si="120"/>
        <v/>
      </c>
      <c r="DH119" t="str">
        <f t="shared" si="121"/>
        <v>основная</v>
      </c>
      <c r="DI119">
        <f t="shared" si="122"/>
        <v>1</v>
      </c>
      <c r="DJ119" t="str" cm="1">
        <f t="array" ref="DJ119">IF(D119="","",_xlfn.LET(_xlpm.t,IFERROR(_xlfn.XLOOKUP(1,(Шины[Шина]=DH119)*(((Шины[Щит]=A119)+(Шины[Щит]=""))&gt;0),Шины[Тип]),"")&amp;"",IF(_xlpm.t&lt;&gt;"",_xlpm.t,IF(ISNUMBER(SEARCH("ИБП",DH119)),"ИБП",IF(ISNUMBER(SEARCH("ДГУ",DH119)),"ДГУ","Ввод "&amp;DI119)))))</f>
        <v>Ввод 1</v>
      </c>
      <c r="DK119" t="str">
        <f t="shared" si="123"/>
        <v>Ввод 1</v>
      </c>
      <c r="DL119" t="str">
        <f>IF(D119="","",IF(OR(DJ119="ИБП",DJ119="ДГУ"),"I особая",IF(DJ119="Одиночная","III",_xlfn.XLOOKUP(A119,Щиты[Щит],Щиты[Категория шины «Ввод»],"III"))))</f>
        <v>II</v>
      </c>
      <c r="DM119">
        <f>IF(D119="",0,IFERROR(MATCH(DE119,{"III","II","I","I особая"},0),1))</f>
        <v>2</v>
      </c>
      <c r="DN119">
        <f t="shared" si="124"/>
        <v>2</v>
      </c>
      <c r="DO119" t="str">
        <f>IF(D119="","",IF(DM119&gt;IFERROR(MATCH(DL119,{"III","II","I","I особая"},0),1),"НЕ ОБЕСПЕЧЕНА","ОК"))</f>
        <v>ОК</v>
      </c>
      <c r="DP119" t="str">
        <f>IF(A119="","",_xlfn.XLOOKUP(A119,Щиты[Щит],Щиты[Путь],""))</f>
        <v>|ГРЩ-ЖД|ЩОВ-01|</v>
      </c>
      <c r="DQ119" t="str">
        <f>IF(D119="","",IF(Z119&lt;&gt;"",Z119,IF(IFERROR(_xlfn.XLOOKUP(AT119,Коды_код,Коды_вид)&amp;"","")="","Прочее",_xlfn.XLOOKUP(AT119,Коды_код,Коды_вид)&amp;"")))</f>
        <v>Кондиционирование и увлажнение</v>
      </c>
      <c r="DR119">
        <f>IF(BD119="","",INT((BD119-1)/Столбцов_на_лист)+1)</f>
        <v>2</v>
      </c>
      <c r="DS119" t="str">
        <f t="shared" si="125"/>
        <v>ВВГнг(А)-LS (3х1,5) L=38-0,24%</v>
      </c>
      <c r="DT119">
        <f t="shared" si="126"/>
        <v>0.111</v>
      </c>
      <c r="DU119">
        <f t="shared" si="127"/>
        <v>0.51</v>
      </c>
      <c r="DV119">
        <f t="shared" si="128"/>
        <v>1</v>
      </c>
      <c r="DW119">
        <f>IF(AT119="",0,_xlfn.LET(_xlpm.v,IFERROR(VLOOKUP(D119,УГО_спр,3,FALSE),IFERROR(VLOOKUP(AT119,УГО_спр,3,FALSE),IFERROR(VLOOKUP(LEFT(AT119,2),УГО_спр,3,FALSE),""))),IF(_xlpm.v="да",30,IF(ISNUMBER(_xlpm.v),_xlpm.v,0))))</f>
        <v>0</v>
      </c>
      <c r="DX119">
        <f t="shared" si="129"/>
        <v>0</v>
      </c>
      <c r="DY119">
        <f>IF(BD119="","",IF(AD119&lt;&gt;"",COUNTIFS(A$3:A119,A119,AD$3:AD119,"?*"),IF(OR(OR(AS119=1,A119&lt;&gt;A118),AL119="вручную"),"",IF(AS119=1,"",DZ118))))</f>
        <v>17</v>
      </c>
      <c r="DZ119">
        <f t="shared" si="130"/>
        <v>17</v>
      </c>
      <c r="EA119">
        <f>IF(D119="",0,MAX(IFERROR(--X119,0),IFERROR(--VLOOKUP(D119,УГО_спр,4,FALSE),IFERROR(--VLOOKUP(AT119,УГО_спр,4,FALSE),IFERROR(--VLOOKUP(LEFT(AT119,2),УГО_спр,4,FALSE),0)))))</f>
        <v>10</v>
      </c>
      <c r="EB119">
        <f>IF(D119="","",IFERROR(LOOKUP(INDEX(CHOOSE(BR119,Iдоп_1ж,Iдоп_2ж,Iдоп_3ж),MATCH(BS119,Iдоп_S,0))*BP119*BQ119,{6,10,16,20,25,32,40,50,63,80,100,125,160,200,250,315,400,500,630}),""))</f>
        <v>16</v>
      </c>
      <c r="EC119">
        <f>IF(AD119="","",SUMIFS(Линии[_Ток схемы],Линии[_гр.],DY119,Линии[Щит],A119,Линии[_в кабель выше],0))</f>
        <v>0.51</v>
      </c>
      <c r="ED119">
        <f>IF(AD119="","",IFERROR(VLOOKUP(EC119,Автомат_номиналы,2,TRUE),""))</f>
        <v>6</v>
      </c>
      <c r="EE119">
        <f>IF(AD119="","",MAX(N(ED119),_xlfn.MAXIFS(Линии[_мин. по типу],Линии[_гр.],DY119,Линии[Щит],A119)))</f>
        <v>10</v>
      </c>
      <c r="EF119">
        <f>IF(AD119="","",_xlfn.MINIFS(Линии[_макс. автомат по кабелю],Линии[_гр.],DY119,Линии[Щит],A119))</f>
        <v>16</v>
      </c>
      <c r="EG119">
        <f>IF(AD119="","",MAX(1,_xlfn.MAXIFS(Линии[_фаз],Линии[_гр.],DY119,Линии[Щит],A119)))</f>
        <v>1</v>
      </c>
      <c r="EH119">
        <f>IF(AD119="","",IF(AND(AD119&lt;&gt;"авто",AD119&lt;&gt;"+"),IF(ISNUMBER(SEARCH("мА",AD119)),IFERROR(--TRIM(RIGHT(SUBSTITUTE(LEFT(AD119,SEARCH("мА",AD119)-1)," ",REPT(" ",9)),6)),30),0),IF(AE119="нет",0,IF(ISNUMBER(AE119),AE119,IF(AE119="да",30,_xlfn.MINIFS(Линии[_дифзащита по коду, мА],Линии[_гр.],DY119,Линии[Щит],A119,Линии[_дифзащита по коду, мА],"&gt;0"))))))</f>
        <v>0</v>
      </c>
      <c r="EI119">
        <f t="shared" si="131"/>
        <v>0</v>
      </c>
      <c r="EJ119" t="str">
        <f t="shared" si="132"/>
        <v>QF17</v>
      </c>
      <c r="EK119" t="str">
        <f t="shared" si="133"/>
        <v>QF17</v>
      </c>
      <c r="EL119" t="str">
        <f t="shared" si="134"/>
        <v/>
      </c>
      <c r="EM119">
        <f t="shared" si="135"/>
        <v>0</v>
      </c>
      <c r="EN119">
        <f>IF(AD119="","",IF(EM119=1,MAX(EE119,Мин_автомат_БП),EE119))</f>
        <v>10</v>
      </c>
      <c r="EO119" t="str">
        <f t="shared" si="136"/>
        <v>1P</v>
      </c>
      <c r="EP119" t="str">
        <f t="shared" si="137"/>
        <v>1P С10А</v>
      </c>
      <c r="EQ119">
        <f t="shared" si="138"/>
        <v>10</v>
      </c>
      <c r="ER119" t="str">
        <f>IF(OR(AI119="",AI119="-"),"",IFERROR(VLOOKUP(AI119,Модули_спр,2,FALSE),"R"))</f>
        <v/>
      </c>
      <c r="ES119" t="str">
        <f>IF(ER119="","",ER119&amp;"."&amp;COUNTIFS(A$3:A119,A119,ER$3:ER119,ER119))</f>
        <v/>
      </c>
      <c r="ET119" t="str">
        <f t="shared" si="139"/>
        <v/>
      </c>
      <c r="EU119" t="str">
        <f t="shared" si="140"/>
        <v/>
      </c>
      <c r="EV119" t="str">
        <f t="shared" si="141"/>
        <v/>
      </c>
      <c r="EW119" t="str">
        <f t="shared" si="142"/>
        <v/>
      </c>
      <c r="EX119">
        <f t="shared" si="143"/>
        <v>1</v>
      </c>
      <c r="EY119" t="str">
        <f>IF(AK119="нет","",IF(AK119&lt;&gt;"",AK119,IF(EX119=1,"XT"&amp;COUNTIFS(A$3:A119,A119,EX$3:EX119,1),"")))</f>
        <v/>
      </c>
      <c r="EZ119" t="str">
        <f t="shared" si="144"/>
        <v>QF17</v>
      </c>
      <c r="FA119" t="str">
        <f t="shared" si="145"/>
        <v/>
      </c>
      <c r="FB119" t="str">
        <f t="shared" si="146"/>
        <v>ok</v>
      </c>
      <c r="FC119" t="str">
        <f>IF(OR(EV119="",ET119=""),"",IF(EV119&gt;IFERROR(VLOOKUP(EU119,Модули_спр,3,FALSE),99),"ЛИШНИЙ КАНАЛ",IF(AND(AJ119&lt;&gt;"=",COUNTIFS(Линии[_модуль гр.],ET119,Линии[Канал (итог)],EV119,Линии[Канал],"&lt;&gt;=",Линии[Щит],A119)&gt;1),"ДУБЛЬ КАНАЛА","")))</f>
        <v/>
      </c>
      <c r="FD119">
        <f t="shared" si="147"/>
        <v>10</v>
      </c>
      <c r="FE119" t="str">
        <f t="shared" si="148"/>
        <v>1P С10А</v>
      </c>
      <c r="FF119">
        <f t="shared" si="149"/>
        <v>0</v>
      </c>
      <c r="FG119">
        <f t="shared" si="150"/>
        <v>0</v>
      </c>
      <c r="FH119" t="str">
        <f t="shared" si="151"/>
        <v/>
      </c>
      <c r="FI119">
        <f t="shared" si="152"/>
        <v>10</v>
      </c>
      <c r="FJ119" t="str">
        <f t="shared" si="153"/>
        <v/>
      </c>
      <c r="FK119" t="str">
        <f>IF(AND(D119="",EZ119=""),"",_xlfn.TEXTJOIN("; ",TRUE,IF(AND(D119&lt;&gt;"",DD119=""),"нет фазы",""),IF(AND(D119&lt;&gt;"",N(DT119)=0,CN119&lt;&gt;"Нет"),"нет мощности",""),IF(AND(EY119&lt;&gt;"",COUNTIFS(Линии[Щит],A119,Линии[Клемма (итог)],EY119)&gt;1),"дубль клеммы "&amp;EY119,""),IF(AND(FB119&lt;&gt;"",FB119&lt;&gt;"ok"),FB119,""),IF(FC119&lt;&gt;"",FC119,""),IF(AND(ISNUMBER(SEARCH("(5х",DS119)),N(DV119)=1),"5 жил на 1 фазе",""),IF(AND(AT119="R",AD119&lt;&gt;"",OR(N(EH119)=0,N(EH119)&gt;30)),"розетка без дифзащиты до 30 мА",""),IFERROR(IF(AND(ISNUMBER(CD119),CD119&gt;CE119),"потери "&amp;FIXED(CD119,1)&amp;" % &gt; "&amp;CE119&amp;" %",""),""),IFERROR(IF(LEFT(FJ119,4)="мало","Iкз мало — отключение &gt; 0,4 с",""),""),IF(AND(D119&lt;&gt;"",BD119=""),"не на схеме","")))</f>
        <v/>
      </c>
      <c r="FL119">
        <f>IF(AD119="","",_xlfn.LET(_xlpm.t,IFERROR(_xlfn.XLOOKUP(EP119,Каталог!$U$4:$U$500,Каталог!$G$4:$G$500),""),_xlpm.k,SEARCH("кА",_xlpm.t),IFERROR(--TRIM(RIGHT(SUBSTITUTE(MID(_xlpm.t,MAX(1,_xlpm.k-4),_xlpm.k-MAX(1,_xlpm.k-4))," ",REPT(" ",9)),5)),"")))</f>
        <v>6</v>
      </c>
      <c r="FM119" t="str">
        <f>IF(OR(FL119="",AD119=""),"",IF(_xlfn.XLOOKUP(A119,Щиты[Щит],Щиты[Iкз max на шинах, кА],"")="","",IF(FL119&lt;_xlfn.XLOOKUP(A119,Щиты[Щит],Щиты[Iкз max на шинах, кА]),"Icu "&amp;FL119&amp;" кА &lt; Iкз max","ok")))</f>
        <v/>
      </c>
      <c r="FN119" t="str">
        <f t="shared" si="154"/>
        <v>QF17</v>
      </c>
      <c r="FO119" t="str">
        <f t="shared" si="155"/>
        <v>QF17|кабель ВВГнг(А)-LS (3х1,5) → Внутренний блок кондиционирования цокольный этаж Пом. №012Б</v>
      </c>
      <c r="FP119" t="str" cm="1">
        <f t="array" ref="FP119">IF(FO119="","",_xlfn.LET(_xlpm.nd,_xlfn.TEXTSPLIT(FO119,"|"),IF(COLUMNS(_xlpm.nd)&gt;1,A119&amp;"¦"&amp;INDEX(_xlpm.nd,1)&amp;"¦"&amp;INDEX(_xlpm.nd,2),"")))</f>
        <v>ЩОВ-01¦QF17¦кабель ВВГнг(А)-LS (3х1,5) → Внутренний блок кондиционирования цокольный этаж Пом. №012Б</v>
      </c>
      <c r="FQ119" t="str">
        <f t="shared" si="156"/>
        <v>K.0.012Б¦Внутренний блок кондиционирования цокольный этаж Пом. №012Б</v>
      </c>
      <c r="FR119" t="str" cm="1">
        <f t="array" ref="FR119">IF(FO119="","",_xlfn.LET(_xlpm.nd,_xlfn.TEXTSPLIT(FO119,"|"),IF(COLUMNS(_xlpm.nd)&gt;2,A119&amp;"¦"&amp;INDEX(_xlpm.nd,2)&amp;"¦"&amp;INDEX(_xlpm.nd,3),"")))</f>
        <v/>
      </c>
      <c r="FS119" t="str">
        <f t="shared" si="157"/>
        <v/>
      </c>
      <c r="FT119" t="str" cm="1">
        <f t="array" ref="FT119">IF(FO119="","",_xlfn.LET(_xlpm.nd,_xlfn.TEXTSPLIT(FO119,"|"),IF(COLUMNS(_xlpm.nd)&gt;3,A119&amp;"¦"&amp;INDEX(_xlpm.nd,3)&amp;"¦"&amp;INDEX(_xlpm.nd,4),"")))</f>
        <v/>
      </c>
      <c r="FU119" t="str">
        <f t="shared" si="158"/>
        <v/>
      </c>
      <c r="FV119" t="str" cm="1">
        <f t="array" ref="FV119">IF(FO119="","",_xlfn.LET(_xlpm.nd,_xlfn.TEXTSPLIT(FO119,"|"),IF(COLUMNS(_xlpm.nd)&gt;4,A119&amp;"¦"&amp;INDEX(_xlpm.nd,4)&amp;"¦"&amp;INDEX(_xlpm.nd,5),"")))</f>
        <v/>
      </c>
      <c r="FW119" t="str">
        <f t="shared" si="159"/>
        <v/>
      </c>
      <c r="FX119" t="str" cm="1">
        <f t="array" ref="FX119">IF(FO119="","",_xlfn.LET(_xlpm.nd,_xlfn.TEXTSPLIT(FO119,"|"),IF(COLUMNS(_xlpm.nd)&gt;5,A119&amp;"¦"&amp;INDEX(_xlpm.nd,5)&amp;"¦"&amp;INDEX(_xlpm.nd,6),"")))</f>
        <v/>
      </c>
      <c r="FY119" t="str">
        <f t="shared" si="160"/>
        <v/>
      </c>
      <c r="FZ119" t="str" cm="1">
        <f t="array" ref="FZ119">IF(FO119="","",_xlfn.LET(_xlpm.nd,_xlfn.TEXTSPLIT(FO119,"|"),IF(COLUMNS(_xlpm.nd)&gt;6,A119&amp;"¦"&amp;INDEX(_xlpm.nd,6)&amp;"¦"&amp;INDEX(_xlpm.nd,7),"")))</f>
        <v/>
      </c>
      <c r="GA119" t="str">
        <f t="shared" si="161"/>
        <v/>
      </c>
      <c r="GB119" t="str">
        <f t="shared" si="162"/>
        <v/>
      </c>
      <c r="GC119" t="str">
        <f t="shared" si="163"/>
        <v>QF17</v>
      </c>
      <c r="GD119">
        <f t="shared" si="164"/>
        <v>1</v>
      </c>
      <c r="GE119">
        <f t="shared" si="165"/>
        <v>0</v>
      </c>
      <c r="GF119">
        <f t="shared" si="166"/>
        <v>0</v>
      </c>
      <c r="GG119" t="str">
        <f t="shared" si="167"/>
        <v/>
      </c>
      <c r="GH119" t="str">
        <f t="shared" si="168"/>
        <v/>
      </c>
      <c r="GI119" t="str">
        <f t="shared" si="169"/>
        <v/>
      </c>
      <c r="GJ119" t="str">
        <f t="shared" si="170"/>
        <v/>
      </c>
      <c r="GK119">
        <f>IF(D119="","",IFERROR(VLOOKUP(D119,УГО_спр,2,FALSE),IFERROR(VLOOKUP(AT119,УГО_спр,2,FALSE),IFERROR(VLOOKUP(LEFT(AT119,2),УГО_спр,2,FALSE),""))))</f>
        <v>0</v>
      </c>
      <c r="GL119" t="str">
        <f>IF(D119="","",IF(OR(GK119="",GK119=0),"BOX",IFERROR(IF(VLOOKUP(GK119,УГО_блоки,3,FALSE)&amp;""&lt;&gt;"",VLOOKUP(GK119,УГО_блоки,3,FALSE),VLOOKUP(GK119,УГО_блоки,2,FALSE)),GK119)))</f>
        <v>BOX</v>
      </c>
      <c r="GM119">
        <f t="shared" si="171"/>
        <v>1</v>
      </c>
      <c r="GN119" t="str">
        <f>IF(EP119="","",IF(COUNTIF(EP$3:EP119,EP119)=1,MAX(GN$2:GN118)+1,""))</f>
        <v/>
      </c>
      <c r="GO119" t="str">
        <f>IF(AF119="","",IF(COUNTIF(AF$3:AF119,AF119)+COUNTIF(AG$2:AG118,AF119)+COUNTIF(AH$2:AH118,AF119)=1,MAX(GO$2:GQ118)+1,""))</f>
        <v/>
      </c>
      <c r="GP119" t="str">
        <f>IF(AG119="","",IF(COUNTIF(AF$3:AF119,AG119)+COUNTIF(AG$3:AG119,AG119)+COUNTIF(AH$2:AH118,AG119)=1,MAX(GO$2:GQ118,GO119)+1,""))</f>
        <v/>
      </c>
      <c r="GQ119" t="str">
        <f>IF(AH119="","",IF(COUNTIF(AF$3:AF119,AH119)+COUNTIF(AG$3:AG119,AH119)+COUNTIF(AH$3:AH119,AH119)=1,MAX(GO$2:GQ118,GO119,GP119)+1,""))</f>
        <v/>
      </c>
      <c r="GR119" t="str">
        <f t="shared" si="172"/>
        <v>3х1,5</v>
      </c>
      <c r="GS119" t="str">
        <f>IF(GR119="","",IF(COUNTIF(GR$3:GR119,GR119)=1,MAX(GS$2:GS118)+1,""))</f>
        <v/>
      </c>
      <c r="GT119" t="str">
        <f>IF(ES119="","",COUNTIF(ES$3:ES119,"?*"))</f>
        <v/>
      </c>
      <c r="GU119" t="str">
        <f>IF(OR(ES119="",EU119=""),"",IF(COUNTIFS(ES$3:ES119,"?*",EU$3:EU119,EU119)=1,MAX(GU$2:GU118)+1,""))</f>
        <v/>
      </c>
      <c r="GV119">
        <f t="shared" si="173"/>
        <v>0</v>
      </c>
      <c r="GW119">
        <f>IF(D119="","",COUNTIF(D$3:D119,"?*"))</f>
        <v>117</v>
      </c>
      <c r="GX119">
        <f>IF(EX119&lt;&gt;1,0,_xlfn.LET(_xlpm.k,MAX(IFERROR(--VLOOKUP(D119,УГО_спр,5,FALSE),0),IFERROR(--VLOOKUP(AT119,УГО_спр,5,FALSE),0),IFERROR(--VLOOKUP(LEFT(AT119,2),УГО_спр,5,FALSE),0)),IF(_xlpm.k&gt;0,_xlpm.k,IF(IFERROR(--LEFT(SUBSTITUTE(GR119,"x","х"),FIND("х",SUBSTITUTE(GR119,"x","х"))-1),3)&gt;3,Каталог!$S$9,1))))</f>
        <v>1</v>
      </c>
      <c r="GY119">
        <f t="shared" si="174"/>
        <v>0</v>
      </c>
    </row>
    <row r="120" spans="1:207" x14ac:dyDescent="0.3">
      <c r="A120" t="s">
        <v>750</v>
      </c>
      <c r="B120">
        <v>32</v>
      </c>
      <c r="C120" t="str">
        <f>IF(BD120="","",IF(BE120="вводной узел","узел ","")&amp;"л."&amp;(INT((BD120-1)/Столбцов_на_лист)+1)&amp;" / "&amp;(MOD(BD120-1,Столбцов_на_лист)+1))</f>
        <v>л.2 / 15</v>
      </c>
      <c r="D120" t="s">
        <v>1414</v>
      </c>
      <c r="E120" s="133" t="s">
        <v>1415</v>
      </c>
      <c r="G120">
        <v>0.376</v>
      </c>
      <c r="H120">
        <v>1</v>
      </c>
      <c r="I120">
        <v>1</v>
      </c>
      <c r="J120">
        <v>230</v>
      </c>
      <c r="K120" t="s">
        <v>602</v>
      </c>
      <c r="L120">
        <v>0.5</v>
      </c>
      <c r="O120">
        <v>3</v>
      </c>
      <c r="P120">
        <v>40</v>
      </c>
      <c r="Q120">
        <v>19</v>
      </c>
      <c r="R120">
        <v>23</v>
      </c>
      <c r="T120">
        <v>1</v>
      </c>
      <c r="U120" t="s">
        <v>11</v>
      </c>
      <c r="V120">
        <v>3</v>
      </c>
      <c r="W120">
        <v>1.5</v>
      </c>
      <c r="X120">
        <v>10</v>
      </c>
      <c r="Z120" t="s">
        <v>580</v>
      </c>
      <c r="AA120" t="s">
        <v>818</v>
      </c>
      <c r="AD120" t="s">
        <v>517</v>
      </c>
      <c r="AK120" t="s">
        <v>488</v>
      </c>
      <c r="AR120" t="str">
        <f t="shared" si="88"/>
        <v/>
      </c>
      <c r="AS120" cm="1">
        <f t="array" ref="AS120">ROW()-ROW(Линии[#Headers])</f>
        <v>118</v>
      </c>
      <c r="AT120" t="str">
        <f t="shared" si="89"/>
        <v>K</v>
      </c>
      <c r="AU120" t="str">
        <f t="shared" si="90"/>
        <v>1.002AБ.1</v>
      </c>
      <c r="AV120" t="str">
        <f t="shared" si="91"/>
        <v>1</v>
      </c>
      <c r="AW120" t="str">
        <f t="shared" si="92"/>
        <v>002AБ.1</v>
      </c>
      <c r="AX120" t="str">
        <f t="shared" si="93"/>
        <v>002AБ</v>
      </c>
      <c r="AY120" t="str">
        <f>IF(D120="","",IF(ISERROR(SEARCH(".",D120)),IFERROR(VLOOKUP(D120,Потребители_обозначение,2,FALSE)&amp;"",""),IFERROR(IF(VLOOKUP(AT120,Потребители_обозначение,4,FALSE)=1,VLOOKUP(AT120,Потребители_обозначение,2,FALSE)&amp;" "&amp;VLOOKUP(AV120,Этаж_обозначение,2,FALSE)&amp;" Пом. №"&amp;AX120,VLOOKUP(AT120,Потребители_обозначение,2,FALSE)&amp;" Шлейф №"&amp;AV120),IFERROR(VLOOKUP(D120,Потребители_обозначение,2,FALSE),""))))</f>
        <v>Внутренний блок кондиционирования Первый этаж Пом. №002AБ</v>
      </c>
      <c r="AZ120" t="str">
        <f t="shared" si="94"/>
        <v>Внутренний блок кондиционирования подвальный этаж Пом. №001Т</v>
      </c>
      <c r="BA120" t="str">
        <f>IF(F120&lt;&gt;"",F120,IF(AND(D120&lt;&gt;"",D120&lt;&gt;A120,ISNUMBER(_xlfn.XMATCH(D120,Щиты[Щит]))),D120,""))</f>
        <v/>
      </c>
      <c r="BB120">
        <f>IFERROR(_xlfn.XMATCH(A120,Щиты[Щит]),0)</f>
        <v>6</v>
      </c>
      <c r="BC120">
        <f>IFERROR(N(_xlfn.XLOOKUP(A120,Щиты[Щит],Щиты[Мест под вводной узел])),15)</f>
        <v>12</v>
      </c>
      <c r="BD120">
        <f t="shared" si="95"/>
        <v>32</v>
      </c>
      <c r="BE120" t="str">
        <f t="shared" si="96"/>
        <v>линии</v>
      </c>
      <c r="BF120">
        <f>IF(D120="","",IF(BA120&lt;&gt;"",IFERROR(_xlfn.XLOOKUP(BA120,Щиты[Щит],Щиты[Руст, кВт]),0),N(G120)))</f>
        <v>0.376</v>
      </c>
      <c r="BG120">
        <f>IF(J120&lt;&gt;"",J120,IF(D120="","",IFERROR(IF(VLOOKUP(AT120,Потребители_обозначение,8,FALSE)=0,"",VLOOKUP(AT120,Потребители_обозначение,8,FALSE)),"")))</f>
        <v>230</v>
      </c>
      <c r="BH120">
        <f>IF(I120&lt;&gt;"",I120,IF(D120="","",IFERROR(IF(VLOOKUP(AT120,Потребители_обозначение,9,FALSE)=0,"",VLOOKUP(AT120,Потребители_обозначение,9,FALSE)),"")))</f>
        <v>1</v>
      </c>
      <c r="BI120" t="str">
        <f>IF(U120&lt;&gt;"",U120,IF(D120="","",IFERROR(IF(VLOOKUP(AT120,Потребители_обозначение,6,FALSE)=0,"",VLOOKUP(AT120,Потребители_обозначение,6,FALSE)),"")))</f>
        <v>мс</v>
      </c>
      <c r="BJ120">
        <f>IF(V120&lt;&gt;"",V120,IF(D120="","",IFERROR(IF(VLOOKUP(AT120,Потребители_обозначение,7,FALSE)=0,"",VLOOKUP(AT120,Потребители_обозначение,7,FALSE)),"")))</f>
        <v>3</v>
      </c>
      <c r="BK120">
        <f>IF(W120&lt;&gt;"",W120,IF(D120="","",IFERROR(IF(VLOOKUP(AT120,Потребители_обозначение,10,FALSE)=0,"",VLOOKUP(AT120,Потребители_обозначение,10,FALSE)),"")))</f>
        <v>1.5</v>
      </c>
      <c r="BL120">
        <f>IFERROR(VLOOKUP(AT120,Потребители_обозначение,5,FALSE),0)</f>
        <v>1</v>
      </c>
      <c r="BM120" cm="1">
        <f t="array" ref="BM120">IF(D120="","",IF(BA120&lt;&gt;"",IFERROR(_xlfn.XLOOKUP(BA120,Щиты[Щит],Щиты[cos φ]),0.95),IF(ISNUMBER(M120),M120,IFERROR(IF(BL120=2,_xlfn.IFS(BH120=3,VLOOKUP(BF120,Справочная_двигатели,8,FALSE),BH120=1,VLOOKUP(BF120,Справочная_двигатели,10,TRUE)),IF(AND(Методика="нормы 2026",CN120="Сил"),0.8,0.95)),0.95))))</f>
        <v>0.95</v>
      </c>
      <c r="BN120" cm="1">
        <f t="array" ref="BN120">IF(D120="","",IF(BA120&lt;&gt;"",IFERROR(_xlfn.XLOOKUP(BA120,Щиты[Щит],Щиты[Iр, А]),""),IFERROR(_xlfn.IFS(BH120=1,BF120/((Uн_лин/SQRT(3))*BM120),BH120=3,BF120/(SQRT(3)*Uн_лин*BM120)),"")))</f>
        <v>1.7138186938049942</v>
      </c>
      <c r="BO120">
        <f>IF(D120="","",IF(N(X120)=0,IFERROR(VLOOKUP(BN120,Автомат_номиналы,2,TRUE),""),X120))</f>
        <v>10</v>
      </c>
      <c r="BP120">
        <f t="shared" si="97"/>
        <v>1</v>
      </c>
      <c r="BQ120">
        <f>IF(ISNUMBER(Y120),Y120,К_прокл)</f>
        <v>1</v>
      </c>
      <c r="BR120">
        <f t="shared" si="98"/>
        <v>2</v>
      </c>
      <c r="BS120" cm="1">
        <f t="array" ref="BS120">IF(D120="","",IF(N(BK120)&lt;&gt;0,BK120,IFERROR(_xlfn.LET(_xlpm.need,BO120/(BP120*BQ120),_xlpm.t,CHOOSE(BR120,Iдоп_1ж,Iдоп_2ж,Iдоп_3ж),_xlpm.k,_xlfn.XMATCH(_xlpm.need,_xlpm.t,1),IF(ISNA(_xlpm.k),"Не исп",INDEX(Iдоп_S,_xlpm.k))),"Не исп")))</f>
        <v>1.5</v>
      </c>
      <c r="BT120">
        <f>IFERROR(VLOOKUP(BS120,Кабель_сопротивление,3,FALSE),"")</f>
        <v>2.2499999999999999E-2</v>
      </c>
      <c r="BU120">
        <f>IFERROR(VLOOKUP(BS120,Кабель_сопротивление,2,FALSE),"")</f>
        <v>0.11</v>
      </c>
      <c r="BV120">
        <f t="shared" si="99"/>
        <v>40</v>
      </c>
      <c r="BW120">
        <f>IF(D120="","",IFERROR(IF(VLOOKUP(AT120,Потребители_обозначение,4,FALSE)=1,VLOOKUP(AT120,Потребители_обозначение,3,FALSE)*(H120*2-1)+BV120+VLOOKUP(AV120,Этаж_обозначение,3,FALSE)+VLOOKUP(AV120,Этаж_обозначение,4,FALSE),VLOOKUP(AT120,Потребители_обозначение,3,FALSE)*(H120*2-1)+BV120),BV120))</f>
        <v>42</v>
      </c>
      <c r="BX120">
        <f t="shared" si="100"/>
        <v>23</v>
      </c>
      <c r="BY120">
        <f t="shared" si="101"/>
        <v>0</v>
      </c>
      <c r="BZ120">
        <f t="shared" si="102"/>
        <v>2</v>
      </c>
      <c r="CA120">
        <f t="shared" si="103"/>
        <v>0.31</v>
      </c>
      <c r="CB120">
        <f t="shared" si="104"/>
        <v>2.0563500387511127</v>
      </c>
      <c r="CC120">
        <f>IFERROR(ROUNDUP(CB120/((Uн_лин/SQRT(3))*1000)*100,2),"")</f>
        <v>0.9</v>
      </c>
      <c r="CD120">
        <f>IF(ISNUMBER(CC120),CC120+IFERROR(_xlfn.XLOOKUP(A120,Щиты[Щит],Щиты[ΔU до шин, %]),0),"")</f>
        <v>1.1400000000000001</v>
      </c>
      <c r="CE120">
        <f>IF(D120="","",IF(IFERROR(VLOOKUP(AT120,УГО_спр,2,FALSE),"")="Светильник",3,4)+IF(Методика="нормы 2026",MIN(0.5,MAX(0,N(BW120)-100)*0.005),0))</f>
        <v>4</v>
      </c>
      <c r="CF120" t="str">
        <f>IFERROR(VLOOKUP(BI120,Кабель_обозначение,2,FALSE),"")</f>
        <v>ВВГнг(А)-LS</v>
      </c>
      <c r="CG120" t="str">
        <f>IFERROR(IF(VLOOKUP(BI120,Кабель_обозначение,3,FALSE)=1,CF120&amp;" ("&amp;BJ120&amp;"х"&amp;BS120&amp;")",CF120),"")</f>
        <v>ВВГнг(А)-LS (3х1,5)</v>
      </c>
      <c r="CH120" t="str">
        <f t="shared" si="105"/>
        <v>ВВГнг(А)-LS (3х1,5)
L=42-0,9%</v>
      </c>
      <c r="CI120">
        <f>IFERROR(2*ρкз_Cu*BW120/BS120,"")</f>
        <v>1.4728000000000001</v>
      </c>
      <c r="CJ120">
        <f t="shared" si="106"/>
        <v>0.49000000000000005</v>
      </c>
      <c r="CK120" t="str">
        <f>IFERROR(IF(OR(D120="",NOT(ISNUMBER(BS120)),N(BW120)=0),"",_xlfn.XLOOKUP(A120,Щиты[Щит],Щиты[Zпетли на шинах, Ом])+CI120),"")</f>
        <v/>
      </c>
      <c r="CL120" t="str">
        <f>IF(ISNUMBER(CK120),c_min*(Uн_лин*1000/SQRT(3))/CK120,"")</f>
        <v/>
      </c>
      <c r="CM120" t="str">
        <f>IFERROR(IF(OR(D120="",NOT(ISNUMBER(BS120))),"",1.05*(Uн_лин*1000/SQRT(3))/(_xlfn.XLOOKUP(A120,Щиты[Щит],Щиты[Zmax на шинах, Ом])+CJ120)/1000),"")</f>
        <v/>
      </c>
      <c r="CN120" t="str">
        <f>IF(D120="","",IF(BA120&lt;&gt;"","Щит",IF(K120&lt;&gt;"",K120,IF(ISNUMBER(L120),"Сил",IF(IFERROR(_xlfn.XLOOKUP(AT120,Коды_код,Коды_группа)&amp;"","")="","Быт",_xlfn.XLOOKUP(AT120,Коды_код,Коды_группа)&amp;"")))))</f>
        <v>Сил</v>
      </c>
      <c r="CO120">
        <f>IF(CN120="Щит","щит",IF(CN120="","",IF(CN120="Быт",IFERROR(_xlfn.XLOOKUP(A120,Щиты[Щит],Щиты[Кс быт]),1),IF(CN120="Сил",IF(ISNUMBER(L120),L120,IF(Методика="нормы 2026",IFERROR(_xlfn.XLOOKUP(A120,Щиты[Щит],Щиты[Кс силовых (табл. 7.5)]),1),1)),IF(OR(CN120="Пост",CN120="Отоп"),1,IF(CN120="ВНГ",0.7,0))))))</f>
        <v>0.5</v>
      </c>
      <c r="CP120">
        <f t="shared" si="107"/>
        <v>1</v>
      </c>
      <c r="CQ120">
        <f t="shared" si="108"/>
        <v>0.376</v>
      </c>
      <c r="CR120">
        <f t="shared" si="109"/>
        <v>0</v>
      </c>
      <c r="CS120">
        <f t="shared" si="110"/>
        <v>0.188</v>
      </c>
      <c r="CT120">
        <f t="shared" si="111"/>
        <v>0</v>
      </c>
      <c r="CU120">
        <f t="shared" si="112"/>
        <v>0</v>
      </c>
      <c r="CV120">
        <f t="shared" si="113"/>
        <v>0</v>
      </c>
      <c r="CW120">
        <f t="shared" si="114"/>
        <v>0.376</v>
      </c>
      <c r="CX120">
        <f t="shared" si="115"/>
        <v>0.35719999999999996</v>
      </c>
      <c r="CY120">
        <f t="shared" si="116"/>
        <v>2</v>
      </c>
      <c r="CZ120" t="str">
        <f t="shared" si="117"/>
        <v>L2</v>
      </c>
      <c r="DA120" cm="1">
        <f t="array" ref="DA120">IFERROR(IF(BL120=2,_xlfn.IFS(BH120=3,VLOOKUP(BF120,Справочная_двигатели,3,FALSE),BH120=1,VLOOKUP(BF120,Справочная_двигатели,5,TRUE)),0),0)</f>
        <v>0</v>
      </c>
      <c r="DB120">
        <f>IFERROR(IF(BL120=3,VLOOKUP(BF120,Справочная_ЛЭД,2,TRUE),0),0)</f>
        <v>0</v>
      </c>
      <c r="DC120">
        <f t="shared" si="118"/>
        <v>0</v>
      </c>
      <c r="DD120" t="str">
        <f t="shared" si="119"/>
        <v>L3</v>
      </c>
      <c r="DE120" t="str" cm="1">
        <f t="array" ref="DE120">IF(D120="","",IFERROR(INDEX({"I особая","I","II","III"},MATCH(TRIM(AA120&amp;""),{"I особая","I","II","III"},0)),"III"))</f>
        <v>II</v>
      </c>
      <c r="DF120" t="str">
        <f>IF(D120="","",IF(TRIM(AB120&amp;"")&lt;&gt;"",IF(LOWER(TRIM(AB120&amp;""))="да","да","нет"),IF(IFERROR(_xlfn.XLOOKUP(AT120,Коды_код,Коды_пожарная),"")="да","да","нет")))</f>
        <v>нет</v>
      </c>
      <c r="DG120" t="str">
        <f t="shared" si="120"/>
        <v/>
      </c>
      <c r="DH120" t="str">
        <f t="shared" si="121"/>
        <v>основная</v>
      </c>
      <c r="DI120">
        <f t="shared" si="122"/>
        <v>1</v>
      </c>
      <c r="DJ120" t="str" cm="1">
        <f t="array" ref="DJ120">IF(D120="","",_xlfn.LET(_xlpm.t,IFERROR(_xlfn.XLOOKUP(1,(Шины[Шина]=DH120)*(((Шины[Щит]=A120)+(Шины[Щит]=""))&gt;0),Шины[Тип]),"")&amp;"",IF(_xlpm.t&lt;&gt;"",_xlpm.t,IF(ISNUMBER(SEARCH("ИБП",DH120)),"ИБП",IF(ISNUMBER(SEARCH("ДГУ",DH120)),"ДГУ","Ввод "&amp;DI120)))))</f>
        <v>Ввод 1</v>
      </c>
      <c r="DK120" t="str">
        <f t="shared" si="123"/>
        <v>Ввод 1</v>
      </c>
      <c r="DL120" t="str">
        <f>IF(D120="","",IF(OR(DJ120="ИБП",DJ120="ДГУ"),"I особая",IF(DJ120="Одиночная","III",_xlfn.XLOOKUP(A120,Щиты[Щит],Щиты[Категория шины «Ввод»],"III"))))</f>
        <v>II</v>
      </c>
      <c r="DM120">
        <f>IF(D120="",0,IFERROR(MATCH(DE120,{"III","II","I","I особая"},0),1))</f>
        <v>2</v>
      </c>
      <c r="DN120">
        <f t="shared" si="124"/>
        <v>2</v>
      </c>
      <c r="DO120" t="str">
        <f>IF(D120="","",IF(DM120&gt;IFERROR(MATCH(DL120,{"III","II","I","I особая"},0),1),"НЕ ОБЕСПЕЧЕНА","ОК"))</f>
        <v>ОК</v>
      </c>
      <c r="DP120" t="str">
        <f>IF(A120="","",_xlfn.XLOOKUP(A120,Щиты[Щит],Щиты[Путь],""))</f>
        <v>|ГРЩ-ЖД|ЩОВ-01|</v>
      </c>
      <c r="DQ120" t="str">
        <f>IF(D120="","",IF(Z120&lt;&gt;"",Z120,IF(IFERROR(_xlfn.XLOOKUP(AT120,Коды_код,Коды_вид)&amp;"","")="","Прочее",_xlfn.XLOOKUP(AT120,Коды_код,Коды_вид)&amp;"")))</f>
        <v>Кондиционирование и увлажнение</v>
      </c>
      <c r="DR120">
        <f>IF(BD120="","",INT((BD120-1)/Столбцов_на_лист)+1)</f>
        <v>2</v>
      </c>
      <c r="DS120" t="str">
        <f t="shared" si="125"/>
        <v>ВВГнг(А)-LS (3х1,5) L=42-0,9%</v>
      </c>
      <c r="DT120">
        <f t="shared" si="126"/>
        <v>0.376</v>
      </c>
      <c r="DU120">
        <f t="shared" si="127"/>
        <v>1.72</v>
      </c>
      <c r="DV120">
        <f t="shared" si="128"/>
        <v>1</v>
      </c>
      <c r="DW120">
        <f>IF(AT120="",0,_xlfn.LET(_xlpm.v,IFERROR(VLOOKUP(D120,УГО_спр,3,FALSE),IFERROR(VLOOKUP(AT120,УГО_спр,3,FALSE),IFERROR(VLOOKUP(LEFT(AT120,2),УГО_спр,3,FALSE),""))),IF(_xlpm.v="да",30,IF(ISNUMBER(_xlpm.v),_xlpm.v,0))))</f>
        <v>0</v>
      </c>
      <c r="DX120">
        <f t="shared" si="129"/>
        <v>0</v>
      </c>
      <c r="DY120">
        <f>IF(BD120="","",IF(AD120&lt;&gt;"",COUNTIFS(A$3:A120,A120,AD$3:AD120,"?*"),IF(OR(OR(AS120=1,A120&lt;&gt;A119),AL120="вручную"),"",IF(AS120=1,"",DZ119))))</f>
        <v>18</v>
      </c>
      <c r="DZ120">
        <f t="shared" si="130"/>
        <v>18</v>
      </c>
      <c r="EA120">
        <f>IF(D120="",0,MAX(IFERROR(--X120,0),IFERROR(--VLOOKUP(D120,УГО_спр,4,FALSE),IFERROR(--VLOOKUP(AT120,УГО_спр,4,FALSE),IFERROR(--VLOOKUP(LEFT(AT120,2),УГО_спр,4,FALSE),0)))))</f>
        <v>10</v>
      </c>
      <c r="EB120">
        <f>IF(D120="","",IFERROR(LOOKUP(INDEX(CHOOSE(BR120,Iдоп_1ж,Iдоп_2ж,Iдоп_3ж),MATCH(BS120,Iдоп_S,0))*BP120*BQ120,{6,10,16,20,25,32,40,50,63,80,100,125,160,200,250,315,400,500,630}),""))</f>
        <v>16</v>
      </c>
      <c r="EC120">
        <f>IF(AD120="","",SUMIFS(Линии[_Ток схемы],Линии[_гр.],DY120,Линии[Щит],A120,Линии[_в кабель выше],0))</f>
        <v>1.72</v>
      </c>
      <c r="ED120">
        <f>IF(AD120="","",IFERROR(VLOOKUP(EC120,Автомат_номиналы,2,TRUE),""))</f>
        <v>6</v>
      </c>
      <c r="EE120">
        <f>IF(AD120="","",MAX(N(ED120),_xlfn.MAXIFS(Линии[_мин. по типу],Линии[_гр.],DY120,Линии[Щит],A120)))</f>
        <v>10</v>
      </c>
      <c r="EF120">
        <f>IF(AD120="","",_xlfn.MINIFS(Линии[_макс. автомат по кабелю],Линии[_гр.],DY120,Линии[Щит],A120))</f>
        <v>16</v>
      </c>
      <c r="EG120">
        <f>IF(AD120="","",MAX(1,_xlfn.MAXIFS(Линии[_фаз],Линии[_гр.],DY120,Линии[Щит],A120)))</f>
        <v>1</v>
      </c>
      <c r="EH120">
        <f>IF(AD120="","",IF(AND(AD120&lt;&gt;"авто",AD120&lt;&gt;"+"),IF(ISNUMBER(SEARCH("мА",AD120)),IFERROR(--TRIM(RIGHT(SUBSTITUTE(LEFT(AD120,SEARCH("мА",AD120)-1)," ",REPT(" ",9)),6)),30),0),IF(AE120="нет",0,IF(ISNUMBER(AE120),AE120,IF(AE120="да",30,_xlfn.MINIFS(Линии[_дифзащита по коду, мА],Линии[_гр.],DY120,Линии[Щит],A120,Линии[_дифзащита по коду, мА],"&gt;0"))))))</f>
        <v>0</v>
      </c>
      <c r="EI120">
        <f t="shared" si="131"/>
        <v>0</v>
      </c>
      <c r="EJ120" t="str">
        <f t="shared" si="132"/>
        <v>QF18</v>
      </c>
      <c r="EK120" t="str">
        <f t="shared" si="133"/>
        <v>QF18</v>
      </c>
      <c r="EL120" t="str">
        <f t="shared" si="134"/>
        <v/>
      </c>
      <c r="EM120">
        <f t="shared" si="135"/>
        <v>0</v>
      </c>
      <c r="EN120">
        <f>IF(AD120="","",IF(EM120=1,MAX(EE120,Мин_автомат_БП),EE120))</f>
        <v>10</v>
      </c>
      <c r="EO120" t="str">
        <f t="shared" si="136"/>
        <v>1P</v>
      </c>
      <c r="EP120" t="str">
        <f t="shared" si="137"/>
        <v>1P С10А</v>
      </c>
      <c r="EQ120">
        <f t="shared" si="138"/>
        <v>10</v>
      </c>
      <c r="ER120" t="str">
        <f>IF(OR(AI120="",AI120="-"),"",IFERROR(VLOOKUP(AI120,Модули_спр,2,FALSE),"R"))</f>
        <v/>
      </c>
      <c r="ES120" t="str">
        <f>IF(ER120="","",ER120&amp;"."&amp;COUNTIFS(A$3:A120,A120,ER$3:ER120,ER120))</f>
        <v/>
      </c>
      <c r="ET120" t="str">
        <f t="shared" si="139"/>
        <v/>
      </c>
      <c r="EU120" t="str">
        <f t="shared" si="140"/>
        <v/>
      </c>
      <c r="EV120" t="str">
        <f t="shared" si="141"/>
        <v/>
      </c>
      <c r="EW120" t="str">
        <f t="shared" si="142"/>
        <v/>
      </c>
      <c r="EX120">
        <f t="shared" si="143"/>
        <v>1</v>
      </c>
      <c r="EY120" t="str">
        <f>IF(AK120="нет","",IF(AK120&lt;&gt;"",AK120,IF(EX120=1,"XT"&amp;COUNTIFS(A$3:A120,A120,EX$3:EX120,1),"")))</f>
        <v/>
      </c>
      <c r="EZ120" t="str">
        <f t="shared" si="144"/>
        <v>QF18</v>
      </c>
      <c r="FA120" t="str">
        <f t="shared" si="145"/>
        <v/>
      </c>
      <c r="FB120" t="str">
        <f t="shared" si="146"/>
        <v>ok</v>
      </c>
      <c r="FC120" t="str">
        <f>IF(OR(EV120="",ET120=""),"",IF(EV120&gt;IFERROR(VLOOKUP(EU120,Модули_спр,3,FALSE),99),"ЛИШНИЙ КАНАЛ",IF(AND(AJ120&lt;&gt;"=",COUNTIFS(Линии[_модуль гр.],ET120,Линии[Канал (итог)],EV120,Линии[Канал],"&lt;&gt;=",Линии[Щит],A120)&gt;1),"ДУБЛЬ КАНАЛА","")))</f>
        <v/>
      </c>
      <c r="FD120">
        <f t="shared" si="147"/>
        <v>10</v>
      </c>
      <c r="FE120" t="str">
        <f t="shared" si="148"/>
        <v>1P С10А</v>
      </c>
      <c r="FF120">
        <f t="shared" si="149"/>
        <v>0</v>
      </c>
      <c r="FG120">
        <f t="shared" si="150"/>
        <v>0</v>
      </c>
      <c r="FH120" t="str">
        <f t="shared" si="151"/>
        <v/>
      </c>
      <c r="FI120">
        <f t="shared" si="152"/>
        <v>10</v>
      </c>
      <c r="FJ120" t="str">
        <f t="shared" si="153"/>
        <v/>
      </c>
      <c r="FK120" t="str">
        <f>IF(AND(D120="",EZ120=""),"",_xlfn.TEXTJOIN("; ",TRUE,IF(AND(D120&lt;&gt;"",DD120=""),"нет фазы",""),IF(AND(D120&lt;&gt;"",N(DT120)=0,CN120&lt;&gt;"Нет"),"нет мощности",""),IF(AND(EY120&lt;&gt;"",COUNTIFS(Линии[Щит],A120,Линии[Клемма (итог)],EY120)&gt;1),"дубль клеммы "&amp;EY120,""),IF(AND(FB120&lt;&gt;"",FB120&lt;&gt;"ok"),FB120,""),IF(FC120&lt;&gt;"",FC120,""),IF(AND(ISNUMBER(SEARCH("(5х",DS120)),N(DV120)=1),"5 жил на 1 фазе",""),IF(AND(AT120="R",AD120&lt;&gt;"",OR(N(EH120)=0,N(EH120)&gt;30)),"розетка без дифзащиты до 30 мА",""),IFERROR(IF(AND(ISNUMBER(CD120),CD120&gt;CE120),"потери "&amp;FIXED(CD120,1)&amp;" % &gt; "&amp;CE120&amp;" %",""),""),IFERROR(IF(LEFT(FJ120,4)="мало","Iкз мало — отключение &gt; 0,4 с",""),""),IF(AND(D120&lt;&gt;"",BD120=""),"не на схеме","")))</f>
        <v/>
      </c>
      <c r="FL120">
        <f>IF(AD120="","",_xlfn.LET(_xlpm.t,IFERROR(_xlfn.XLOOKUP(EP120,Каталог!$U$4:$U$500,Каталог!$G$4:$G$500),""),_xlpm.k,SEARCH("кА",_xlpm.t),IFERROR(--TRIM(RIGHT(SUBSTITUTE(MID(_xlpm.t,MAX(1,_xlpm.k-4),_xlpm.k-MAX(1,_xlpm.k-4))," ",REPT(" ",9)),5)),"")))</f>
        <v>6</v>
      </c>
      <c r="FM120" t="str">
        <f>IF(OR(FL120="",AD120=""),"",IF(_xlfn.XLOOKUP(A120,Щиты[Щит],Щиты[Iкз max на шинах, кА],"")="","",IF(FL120&lt;_xlfn.XLOOKUP(A120,Щиты[Щит],Щиты[Iкз max на шинах, кА]),"Icu "&amp;FL120&amp;" кА &lt; Iкз max","ok")))</f>
        <v/>
      </c>
      <c r="FN120" t="str">
        <f t="shared" si="154"/>
        <v>QF18</v>
      </c>
      <c r="FO120" t="str">
        <f t="shared" si="155"/>
        <v>QF18|кабель ВВГнг(А)-LS (3х1,5) → Внутренний блок кондиционирования подвальный этаж Пом. №001Т</v>
      </c>
      <c r="FP120" t="str" cm="1">
        <f t="array" ref="FP120">IF(FO120="","",_xlfn.LET(_xlpm.nd,_xlfn.TEXTSPLIT(FO120,"|"),IF(COLUMNS(_xlpm.nd)&gt;1,A120&amp;"¦"&amp;INDEX(_xlpm.nd,1)&amp;"¦"&amp;INDEX(_xlpm.nd,2),"")))</f>
        <v>ЩОВ-01¦QF18¦кабель ВВГнг(А)-LS (3х1,5) → Внутренний блок кондиционирования подвальный этаж Пом. №001Т</v>
      </c>
      <c r="FQ120" t="str">
        <f t="shared" si="156"/>
        <v>K.1.002AБ.1¦Внутренний блок кондиционирования подвальный этаж Пом. №001Т</v>
      </c>
      <c r="FR120" t="str" cm="1">
        <f t="array" ref="FR120">IF(FO120="","",_xlfn.LET(_xlpm.nd,_xlfn.TEXTSPLIT(FO120,"|"),IF(COLUMNS(_xlpm.nd)&gt;2,A120&amp;"¦"&amp;INDEX(_xlpm.nd,2)&amp;"¦"&amp;INDEX(_xlpm.nd,3),"")))</f>
        <v/>
      </c>
      <c r="FS120" t="str">
        <f t="shared" si="157"/>
        <v/>
      </c>
      <c r="FT120" t="str" cm="1">
        <f t="array" ref="FT120">IF(FO120="","",_xlfn.LET(_xlpm.nd,_xlfn.TEXTSPLIT(FO120,"|"),IF(COLUMNS(_xlpm.nd)&gt;3,A120&amp;"¦"&amp;INDEX(_xlpm.nd,3)&amp;"¦"&amp;INDEX(_xlpm.nd,4),"")))</f>
        <v/>
      </c>
      <c r="FU120" t="str">
        <f t="shared" si="158"/>
        <v/>
      </c>
      <c r="FV120" t="str" cm="1">
        <f t="array" ref="FV120">IF(FO120="","",_xlfn.LET(_xlpm.nd,_xlfn.TEXTSPLIT(FO120,"|"),IF(COLUMNS(_xlpm.nd)&gt;4,A120&amp;"¦"&amp;INDEX(_xlpm.nd,4)&amp;"¦"&amp;INDEX(_xlpm.nd,5),"")))</f>
        <v/>
      </c>
      <c r="FW120" t="str">
        <f t="shared" si="159"/>
        <v/>
      </c>
      <c r="FX120" t="str" cm="1">
        <f t="array" ref="FX120">IF(FO120="","",_xlfn.LET(_xlpm.nd,_xlfn.TEXTSPLIT(FO120,"|"),IF(COLUMNS(_xlpm.nd)&gt;5,A120&amp;"¦"&amp;INDEX(_xlpm.nd,5)&amp;"¦"&amp;INDEX(_xlpm.nd,6),"")))</f>
        <v/>
      </c>
      <c r="FY120" t="str">
        <f t="shared" si="160"/>
        <v/>
      </c>
      <c r="FZ120" t="str" cm="1">
        <f t="array" ref="FZ120">IF(FO120="","",_xlfn.LET(_xlpm.nd,_xlfn.TEXTSPLIT(FO120,"|"),IF(COLUMNS(_xlpm.nd)&gt;6,A120&amp;"¦"&amp;INDEX(_xlpm.nd,6)&amp;"¦"&amp;INDEX(_xlpm.nd,7),"")))</f>
        <v/>
      </c>
      <c r="GA120" t="str">
        <f t="shared" si="161"/>
        <v/>
      </c>
      <c r="GB120" t="str">
        <f t="shared" si="162"/>
        <v/>
      </c>
      <c r="GC120" t="str">
        <f t="shared" si="163"/>
        <v>QF18</v>
      </c>
      <c r="GD120">
        <f t="shared" si="164"/>
        <v>1</v>
      </c>
      <c r="GE120">
        <f t="shared" si="165"/>
        <v>0</v>
      </c>
      <c r="GF120">
        <f t="shared" si="166"/>
        <v>0</v>
      </c>
      <c r="GG120" t="str">
        <f t="shared" si="167"/>
        <v/>
      </c>
      <c r="GH120" t="str">
        <f t="shared" si="168"/>
        <v/>
      </c>
      <c r="GI120" t="str">
        <f t="shared" si="169"/>
        <v/>
      </c>
      <c r="GJ120" t="str">
        <f t="shared" si="170"/>
        <v/>
      </c>
      <c r="GK120">
        <f>IF(D120="","",IFERROR(VLOOKUP(D120,УГО_спр,2,FALSE),IFERROR(VLOOKUP(AT120,УГО_спр,2,FALSE),IFERROR(VLOOKUP(LEFT(AT120,2),УГО_спр,2,FALSE),""))))</f>
        <v>0</v>
      </c>
      <c r="GL120" t="str">
        <f>IF(D120="","",IF(OR(GK120="",GK120=0),"BOX",IFERROR(IF(VLOOKUP(GK120,УГО_блоки,3,FALSE)&amp;""&lt;&gt;"",VLOOKUP(GK120,УГО_блоки,3,FALSE),VLOOKUP(GK120,УГО_блоки,2,FALSE)),GK120)))</f>
        <v>BOX</v>
      </c>
      <c r="GM120">
        <f t="shared" si="171"/>
        <v>1</v>
      </c>
      <c r="GN120" t="str">
        <f>IF(EP120="","",IF(COUNTIF(EP$3:EP120,EP120)=1,MAX(GN$2:GN119)+1,""))</f>
        <v/>
      </c>
      <c r="GO120" t="str">
        <f>IF(AF120="","",IF(COUNTIF(AF$3:AF120,AF120)+COUNTIF(AG$2:AG119,AF120)+COUNTIF(AH$2:AH119,AF120)=1,MAX(GO$2:GQ119)+1,""))</f>
        <v/>
      </c>
      <c r="GP120" t="str">
        <f>IF(AG120="","",IF(COUNTIF(AF$3:AF120,AG120)+COUNTIF(AG$3:AG120,AG120)+COUNTIF(AH$2:AH119,AG120)=1,MAX(GO$2:GQ119,GO120)+1,""))</f>
        <v/>
      </c>
      <c r="GQ120" t="str">
        <f>IF(AH120="","",IF(COUNTIF(AF$3:AF120,AH120)+COUNTIF(AG$3:AG120,AH120)+COUNTIF(AH$3:AH120,AH120)=1,MAX(GO$2:GQ119,GO120,GP120)+1,""))</f>
        <v/>
      </c>
      <c r="GR120" t="str">
        <f t="shared" si="172"/>
        <v>3х1,5</v>
      </c>
      <c r="GS120" t="str">
        <f>IF(GR120="","",IF(COUNTIF(GR$3:GR120,GR120)=1,MAX(GS$2:GS119)+1,""))</f>
        <v/>
      </c>
      <c r="GT120" t="str">
        <f>IF(ES120="","",COUNTIF(ES$3:ES120,"?*"))</f>
        <v/>
      </c>
      <c r="GU120" t="str">
        <f>IF(OR(ES120="",EU120=""),"",IF(COUNTIFS(ES$3:ES120,"?*",EU$3:EU120,EU120)=1,MAX(GU$2:GU119)+1,""))</f>
        <v/>
      </c>
      <c r="GV120">
        <f t="shared" si="173"/>
        <v>0</v>
      </c>
      <c r="GW120">
        <f>IF(D120="","",COUNTIF(D$3:D120,"?*"))</f>
        <v>118</v>
      </c>
      <c r="GX120">
        <f>IF(EX120&lt;&gt;1,0,_xlfn.LET(_xlpm.k,MAX(IFERROR(--VLOOKUP(D120,УГО_спр,5,FALSE),0),IFERROR(--VLOOKUP(AT120,УГО_спр,5,FALSE),0),IFERROR(--VLOOKUP(LEFT(AT120,2),УГО_спр,5,FALSE),0)),IF(_xlpm.k&gt;0,_xlpm.k,IF(IFERROR(--LEFT(SUBSTITUTE(GR120,"x","х"),FIND("х",SUBSTITUTE(GR120,"x","х"))-1),3)&gt;3,Каталог!$S$9,1))))</f>
        <v>1</v>
      </c>
      <c r="GY120">
        <f t="shared" si="174"/>
        <v>0</v>
      </c>
    </row>
    <row r="121" spans="1:207" x14ac:dyDescent="0.3">
      <c r="A121" t="s">
        <v>750</v>
      </c>
      <c r="B121">
        <v>33</v>
      </c>
      <c r="C121" t="str">
        <f>IF(BD121="","",IF(BE121="вводной узел","узел ","")&amp;"л."&amp;(INT((BD121-1)/Столбцов_на_лист)+1)&amp;" / "&amp;(MOD(BD121-1,Столбцов_на_лист)+1))</f>
        <v>л.2 / 16</v>
      </c>
      <c r="D121" t="s">
        <v>1416</v>
      </c>
      <c r="E121" s="133" t="s">
        <v>1415</v>
      </c>
      <c r="G121">
        <v>0.376</v>
      </c>
      <c r="H121">
        <v>1</v>
      </c>
      <c r="I121">
        <v>1</v>
      </c>
      <c r="J121">
        <v>230</v>
      </c>
      <c r="K121" t="s">
        <v>602</v>
      </c>
      <c r="L121">
        <v>0.5</v>
      </c>
      <c r="O121">
        <v>1</v>
      </c>
      <c r="P121">
        <v>40</v>
      </c>
      <c r="Q121">
        <v>19</v>
      </c>
      <c r="R121">
        <v>23</v>
      </c>
      <c r="T121">
        <v>1</v>
      </c>
      <c r="U121" t="s">
        <v>11</v>
      </c>
      <c r="V121">
        <v>3</v>
      </c>
      <c r="W121">
        <v>1.5</v>
      </c>
      <c r="X121">
        <v>10</v>
      </c>
      <c r="Z121" t="s">
        <v>580</v>
      </c>
      <c r="AA121" t="s">
        <v>818</v>
      </c>
      <c r="AD121" t="s">
        <v>517</v>
      </c>
      <c r="AK121" t="s">
        <v>488</v>
      </c>
      <c r="AR121" t="str">
        <f t="shared" si="88"/>
        <v/>
      </c>
      <c r="AS121" cm="1">
        <f t="array" ref="AS121">ROW()-ROW(Линии[#Headers])</f>
        <v>119</v>
      </c>
      <c r="AT121" t="str">
        <f t="shared" si="89"/>
        <v>K</v>
      </c>
      <c r="AU121" t="str">
        <f t="shared" si="90"/>
        <v>1.002AБ.2</v>
      </c>
      <c r="AV121" t="str">
        <f t="shared" si="91"/>
        <v>1</v>
      </c>
      <c r="AW121" t="str">
        <f t="shared" si="92"/>
        <v>002AБ.2</v>
      </c>
      <c r="AX121" t="str">
        <f t="shared" si="93"/>
        <v>002AБ</v>
      </c>
      <c r="AY121" t="str">
        <f>IF(D121="","",IF(ISERROR(SEARCH(".",D121)),IFERROR(VLOOKUP(D121,Потребители_обозначение,2,FALSE)&amp;"",""),IFERROR(IF(VLOOKUP(AT121,Потребители_обозначение,4,FALSE)=1,VLOOKUP(AT121,Потребители_обозначение,2,FALSE)&amp;" "&amp;VLOOKUP(AV121,Этаж_обозначение,2,FALSE)&amp;" Пом. №"&amp;AX121,VLOOKUP(AT121,Потребители_обозначение,2,FALSE)&amp;" Шлейф №"&amp;AV121),IFERROR(VLOOKUP(D121,Потребители_обозначение,2,FALSE),""))))</f>
        <v>Внутренний блок кондиционирования Первый этаж Пом. №002AБ</v>
      </c>
      <c r="AZ121" t="str">
        <f t="shared" si="94"/>
        <v>Внутренний блок кондиционирования подвальный этаж Пом. №001Т</v>
      </c>
      <c r="BA121" t="str">
        <f>IF(F121&lt;&gt;"",F121,IF(AND(D121&lt;&gt;"",D121&lt;&gt;A121,ISNUMBER(_xlfn.XMATCH(D121,Щиты[Щит]))),D121,""))</f>
        <v/>
      </c>
      <c r="BB121">
        <f>IFERROR(_xlfn.XMATCH(A121,Щиты[Щит]),0)</f>
        <v>6</v>
      </c>
      <c r="BC121">
        <f>IFERROR(N(_xlfn.XLOOKUP(A121,Щиты[Щит],Щиты[Мест под вводной узел])),15)</f>
        <v>12</v>
      </c>
      <c r="BD121">
        <f t="shared" si="95"/>
        <v>33</v>
      </c>
      <c r="BE121" t="str">
        <f t="shared" si="96"/>
        <v>линии</v>
      </c>
      <c r="BF121">
        <f>IF(D121="","",IF(BA121&lt;&gt;"",IFERROR(_xlfn.XLOOKUP(BA121,Щиты[Щит],Щиты[Руст, кВт]),0),N(G121)))</f>
        <v>0.376</v>
      </c>
      <c r="BG121">
        <f>IF(J121&lt;&gt;"",J121,IF(D121="","",IFERROR(IF(VLOOKUP(AT121,Потребители_обозначение,8,FALSE)=0,"",VLOOKUP(AT121,Потребители_обозначение,8,FALSE)),"")))</f>
        <v>230</v>
      </c>
      <c r="BH121">
        <f>IF(I121&lt;&gt;"",I121,IF(D121="","",IFERROR(IF(VLOOKUP(AT121,Потребители_обозначение,9,FALSE)=0,"",VLOOKUP(AT121,Потребители_обозначение,9,FALSE)),"")))</f>
        <v>1</v>
      </c>
      <c r="BI121" t="str">
        <f>IF(U121&lt;&gt;"",U121,IF(D121="","",IFERROR(IF(VLOOKUP(AT121,Потребители_обозначение,6,FALSE)=0,"",VLOOKUP(AT121,Потребители_обозначение,6,FALSE)),"")))</f>
        <v>мс</v>
      </c>
      <c r="BJ121">
        <f>IF(V121&lt;&gt;"",V121,IF(D121="","",IFERROR(IF(VLOOKUP(AT121,Потребители_обозначение,7,FALSE)=0,"",VLOOKUP(AT121,Потребители_обозначение,7,FALSE)),"")))</f>
        <v>3</v>
      </c>
      <c r="BK121">
        <f>IF(W121&lt;&gt;"",W121,IF(D121="","",IFERROR(IF(VLOOKUP(AT121,Потребители_обозначение,10,FALSE)=0,"",VLOOKUP(AT121,Потребители_обозначение,10,FALSE)),"")))</f>
        <v>1.5</v>
      </c>
      <c r="BL121">
        <f>IFERROR(VLOOKUP(AT121,Потребители_обозначение,5,FALSE),0)</f>
        <v>1</v>
      </c>
      <c r="BM121" cm="1">
        <f t="array" ref="BM121">IF(D121="","",IF(BA121&lt;&gt;"",IFERROR(_xlfn.XLOOKUP(BA121,Щиты[Щит],Щиты[cos φ]),0.95),IF(ISNUMBER(M121),M121,IFERROR(IF(BL121=2,_xlfn.IFS(BH121=3,VLOOKUP(BF121,Справочная_двигатели,8,FALSE),BH121=1,VLOOKUP(BF121,Справочная_двигатели,10,TRUE)),IF(AND(Методика="нормы 2026",CN121="Сил"),0.8,0.95)),0.95))))</f>
        <v>0.95</v>
      </c>
      <c r="BN121" cm="1">
        <f t="array" ref="BN121">IF(D121="","",IF(BA121&lt;&gt;"",IFERROR(_xlfn.XLOOKUP(BA121,Щиты[Щит],Щиты[Iр, А]),""),IFERROR(_xlfn.IFS(BH121=1,BF121/((Uн_лин/SQRT(3))*BM121),BH121=3,BF121/(SQRT(3)*Uн_лин*BM121)),"")))</f>
        <v>1.7138186938049942</v>
      </c>
      <c r="BO121">
        <f>IF(D121="","",IF(N(X121)=0,IFERROR(VLOOKUP(BN121,Автомат_номиналы,2,TRUE),""),X121))</f>
        <v>10</v>
      </c>
      <c r="BP121">
        <f t="shared" si="97"/>
        <v>1</v>
      </c>
      <c r="BQ121">
        <f>IF(ISNUMBER(Y121),Y121,К_прокл)</f>
        <v>1</v>
      </c>
      <c r="BR121">
        <f t="shared" si="98"/>
        <v>2</v>
      </c>
      <c r="BS121" cm="1">
        <f t="array" ref="BS121">IF(D121="","",IF(N(BK121)&lt;&gt;0,BK121,IFERROR(_xlfn.LET(_xlpm.need,BO121/(BP121*BQ121),_xlpm.t,CHOOSE(BR121,Iдоп_1ж,Iдоп_2ж,Iдоп_3ж),_xlpm.k,_xlfn.XMATCH(_xlpm.need,_xlpm.t,1),IF(ISNA(_xlpm.k),"Не исп",INDEX(Iдоп_S,_xlpm.k))),"Не исп")))</f>
        <v>1.5</v>
      </c>
      <c r="BT121">
        <f>IFERROR(VLOOKUP(BS121,Кабель_сопротивление,3,FALSE),"")</f>
        <v>2.2499999999999999E-2</v>
      </c>
      <c r="BU121">
        <f>IFERROR(VLOOKUP(BS121,Кабель_сопротивление,2,FALSE),"")</f>
        <v>0.11</v>
      </c>
      <c r="BV121">
        <f t="shared" si="99"/>
        <v>40</v>
      </c>
      <c r="BW121">
        <f>IF(D121="","",IFERROR(IF(VLOOKUP(AT121,Потребители_обозначение,4,FALSE)=1,VLOOKUP(AT121,Потребители_обозначение,3,FALSE)*(H121*2-1)+BV121+VLOOKUP(AV121,Этаж_обозначение,3,FALSE)+VLOOKUP(AV121,Этаж_обозначение,4,FALSE),VLOOKUP(AT121,Потребители_обозначение,3,FALSE)*(H121*2-1)+BV121),BV121))</f>
        <v>42</v>
      </c>
      <c r="BX121">
        <f t="shared" si="100"/>
        <v>23</v>
      </c>
      <c r="BY121">
        <f t="shared" si="101"/>
        <v>0</v>
      </c>
      <c r="BZ121">
        <f t="shared" si="102"/>
        <v>2</v>
      </c>
      <c r="CA121">
        <f t="shared" si="103"/>
        <v>0.31</v>
      </c>
      <c r="CB121">
        <f t="shared" si="104"/>
        <v>2.0563500387511127</v>
      </c>
      <c r="CC121">
        <f>IFERROR(ROUNDUP(CB121/((Uн_лин/SQRT(3))*1000)*100,2),"")</f>
        <v>0.9</v>
      </c>
      <c r="CD121">
        <f>IF(ISNUMBER(CC121),CC121+IFERROR(_xlfn.XLOOKUP(A121,Щиты[Щит],Щиты[ΔU до шин, %]),0),"")</f>
        <v>1.1400000000000001</v>
      </c>
      <c r="CE121">
        <f>IF(D121="","",IF(IFERROR(VLOOKUP(AT121,УГО_спр,2,FALSE),"")="Светильник",3,4)+IF(Методика="нормы 2026",MIN(0.5,MAX(0,N(BW121)-100)*0.005),0))</f>
        <v>4</v>
      </c>
      <c r="CF121" t="str">
        <f>IFERROR(VLOOKUP(BI121,Кабель_обозначение,2,FALSE),"")</f>
        <v>ВВГнг(А)-LS</v>
      </c>
      <c r="CG121" t="str">
        <f>IFERROR(IF(VLOOKUP(BI121,Кабель_обозначение,3,FALSE)=1,CF121&amp;" ("&amp;BJ121&amp;"х"&amp;BS121&amp;")",CF121),"")</f>
        <v>ВВГнг(А)-LS (3х1,5)</v>
      </c>
      <c r="CH121" t="str">
        <f t="shared" si="105"/>
        <v>ВВГнг(А)-LS (3х1,5)
L=42-0,9%</v>
      </c>
      <c r="CI121">
        <f>IFERROR(2*ρкз_Cu*BW121/BS121,"")</f>
        <v>1.4728000000000001</v>
      </c>
      <c r="CJ121">
        <f t="shared" si="106"/>
        <v>0.49000000000000005</v>
      </c>
      <c r="CK121" t="str">
        <f>IFERROR(IF(OR(D121="",NOT(ISNUMBER(BS121)),N(BW121)=0),"",_xlfn.XLOOKUP(A121,Щиты[Щит],Щиты[Zпетли на шинах, Ом])+CI121),"")</f>
        <v/>
      </c>
      <c r="CL121" t="str">
        <f>IF(ISNUMBER(CK121),c_min*(Uн_лин*1000/SQRT(3))/CK121,"")</f>
        <v/>
      </c>
      <c r="CM121" t="str">
        <f>IFERROR(IF(OR(D121="",NOT(ISNUMBER(BS121))),"",1.05*(Uн_лин*1000/SQRT(3))/(_xlfn.XLOOKUP(A121,Щиты[Щит],Щиты[Zmax на шинах, Ом])+CJ121)/1000),"")</f>
        <v/>
      </c>
      <c r="CN121" t="str">
        <f>IF(D121="","",IF(BA121&lt;&gt;"","Щит",IF(K121&lt;&gt;"",K121,IF(ISNUMBER(L121),"Сил",IF(IFERROR(_xlfn.XLOOKUP(AT121,Коды_код,Коды_группа)&amp;"","")="","Быт",_xlfn.XLOOKUP(AT121,Коды_код,Коды_группа)&amp;"")))))</f>
        <v>Сил</v>
      </c>
      <c r="CO121">
        <f>IF(CN121="Щит","щит",IF(CN121="","",IF(CN121="Быт",IFERROR(_xlfn.XLOOKUP(A121,Щиты[Щит],Щиты[Кс быт]),1),IF(CN121="Сил",IF(ISNUMBER(L121),L121,IF(Методика="нормы 2026",IFERROR(_xlfn.XLOOKUP(A121,Щиты[Щит],Щиты[Кс силовых (табл. 7.5)]),1),1)),IF(OR(CN121="Пост",CN121="Отоп"),1,IF(CN121="ВНГ",0.7,0))))))</f>
        <v>0.5</v>
      </c>
      <c r="CP121">
        <f t="shared" si="107"/>
        <v>1</v>
      </c>
      <c r="CQ121">
        <f t="shared" si="108"/>
        <v>0.376</v>
      </c>
      <c r="CR121">
        <f t="shared" si="109"/>
        <v>0</v>
      </c>
      <c r="CS121">
        <f t="shared" si="110"/>
        <v>0.188</v>
      </c>
      <c r="CT121">
        <f t="shared" si="111"/>
        <v>0</v>
      </c>
      <c r="CU121">
        <f t="shared" si="112"/>
        <v>0</v>
      </c>
      <c r="CV121">
        <f t="shared" si="113"/>
        <v>0</v>
      </c>
      <c r="CW121">
        <f t="shared" si="114"/>
        <v>0.376</v>
      </c>
      <c r="CX121">
        <f t="shared" si="115"/>
        <v>0.35719999999999996</v>
      </c>
      <c r="CY121">
        <f t="shared" si="116"/>
        <v>3</v>
      </c>
      <c r="CZ121" t="str">
        <f t="shared" si="117"/>
        <v>L3</v>
      </c>
      <c r="DA121" cm="1">
        <f t="array" ref="DA121">IFERROR(IF(BL121=2,_xlfn.IFS(BH121=3,VLOOKUP(BF121,Справочная_двигатели,3,FALSE),BH121=1,VLOOKUP(BF121,Справочная_двигатели,5,TRUE)),0),0)</f>
        <v>0</v>
      </c>
      <c r="DB121">
        <f>IFERROR(IF(BL121=3,VLOOKUP(BF121,Справочная_ЛЭД,2,TRUE),0),0)</f>
        <v>0</v>
      </c>
      <c r="DC121">
        <f t="shared" si="118"/>
        <v>0</v>
      </c>
      <c r="DD121" t="str">
        <f t="shared" si="119"/>
        <v>L1</v>
      </c>
      <c r="DE121" t="str" cm="1">
        <f t="array" ref="DE121">IF(D121="","",IFERROR(INDEX({"I особая","I","II","III"},MATCH(TRIM(AA121&amp;""),{"I особая","I","II","III"},0)),"III"))</f>
        <v>II</v>
      </c>
      <c r="DF121" t="str">
        <f>IF(D121="","",IF(TRIM(AB121&amp;"")&lt;&gt;"",IF(LOWER(TRIM(AB121&amp;""))="да","да","нет"),IF(IFERROR(_xlfn.XLOOKUP(AT121,Коды_код,Коды_пожарная),"")="да","да","нет")))</f>
        <v>нет</v>
      </c>
      <c r="DG121" t="str">
        <f t="shared" si="120"/>
        <v/>
      </c>
      <c r="DH121" t="str">
        <f t="shared" si="121"/>
        <v>основная</v>
      </c>
      <c r="DI121">
        <f t="shared" si="122"/>
        <v>1</v>
      </c>
      <c r="DJ121" t="str" cm="1">
        <f t="array" ref="DJ121">IF(D121="","",_xlfn.LET(_xlpm.t,IFERROR(_xlfn.XLOOKUP(1,(Шины[Шина]=DH121)*(((Шины[Щит]=A121)+(Шины[Щит]=""))&gt;0),Шины[Тип]),"")&amp;"",IF(_xlpm.t&lt;&gt;"",_xlpm.t,IF(ISNUMBER(SEARCH("ИБП",DH121)),"ИБП",IF(ISNUMBER(SEARCH("ДГУ",DH121)),"ДГУ","Ввод "&amp;DI121)))))</f>
        <v>Ввод 1</v>
      </c>
      <c r="DK121" t="str">
        <f t="shared" si="123"/>
        <v>Ввод 1</v>
      </c>
      <c r="DL121" t="str">
        <f>IF(D121="","",IF(OR(DJ121="ИБП",DJ121="ДГУ"),"I особая",IF(DJ121="Одиночная","III",_xlfn.XLOOKUP(A121,Щиты[Щит],Щиты[Категория шины «Ввод»],"III"))))</f>
        <v>II</v>
      </c>
      <c r="DM121">
        <f>IF(D121="",0,IFERROR(MATCH(DE121,{"III","II","I","I особая"},0),1))</f>
        <v>2</v>
      </c>
      <c r="DN121">
        <f t="shared" si="124"/>
        <v>2</v>
      </c>
      <c r="DO121" t="str">
        <f>IF(D121="","",IF(DM121&gt;IFERROR(MATCH(DL121,{"III","II","I","I особая"},0),1),"НЕ ОБЕСПЕЧЕНА","ОК"))</f>
        <v>ОК</v>
      </c>
      <c r="DP121" t="str">
        <f>IF(A121="","",_xlfn.XLOOKUP(A121,Щиты[Щит],Щиты[Путь],""))</f>
        <v>|ГРЩ-ЖД|ЩОВ-01|</v>
      </c>
      <c r="DQ121" t="str">
        <f>IF(D121="","",IF(Z121&lt;&gt;"",Z121,IF(IFERROR(_xlfn.XLOOKUP(AT121,Коды_код,Коды_вид)&amp;"","")="","Прочее",_xlfn.XLOOKUP(AT121,Коды_код,Коды_вид)&amp;"")))</f>
        <v>Кондиционирование и увлажнение</v>
      </c>
      <c r="DR121">
        <f>IF(BD121="","",INT((BD121-1)/Столбцов_на_лист)+1)</f>
        <v>2</v>
      </c>
      <c r="DS121" t="str">
        <f t="shared" si="125"/>
        <v>ВВГнг(А)-LS (3х1,5) L=42-0,9%</v>
      </c>
      <c r="DT121">
        <f t="shared" si="126"/>
        <v>0.376</v>
      </c>
      <c r="DU121">
        <f t="shared" si="127"/>
        <v>1.72</v>
      </c>
      <c r="DV121">
        <f t="shared" si="128"/>
        <v>1</v>
      </c>
      <c r="DW121">
        <f>IF(AT121="",0,_xlfn.LET(_xlpm.v,IFERROR(VLOOKUP(D121,УГО_спр,3,FALSE),IFERROR(VLOOKUP(AT121,УГО_спр,3,FALSE),IFERROR(VLOOKUP(LEFT(AT121,2),УГО_спр,3,FALSE),""))),IF(_xlpm.v="да",30,IF(ISNUMBER(_xlpm.v),_xlpm.v,0))))</f>
        <v>0</v>
      </c>
      <c r="DX121">
        <f t="shared" si="129"/>
        <v>0</v>
      </c>
      <c r="DY121">
        <f>IF(BD121="","",IF(AD121&lt;&gt;"",COUNTIFS(A$3:A121,A121,AD$3:AD121,"?*"),IF(OR(OR(AS121=1,A121&lt;&gt;A120),AL121="вручную"),"",IF(AS121=1,"",DZ120))))</f>
        <v>19</v>
      </c>
      <c r="DZ121">
        <f t="shared" si="130"/>
        <v>19</v>
      </c>
      <c r="EA121">
        <f>IF(D121="",0,MAX(IFERROR(--X121,0),IFERROR(--VLOOKUP(D121,УГО_спр,4,FALSE),IFERROR(--VLOOKUP(AT121,УГО_спр,4,FALSE),IFERROR(--VLOOKUP(LEFT(AT121,2),УГО_спр,4,FALSE),0)))))</f>
        <v>10</v>
      </c>
      <c r="EB121">
        <f>IF(D121="","",IFERROR(LOOKUP(INDEX(CHOOSE(BR121,Iдоп_1ж,Iдоп_2ж,Iдоп_3ж),MATCH(BS121,Iдоп_S,0))*BP121*BQ121,{6,10,16,20,25,32,40,50,63,80,100,125,160,200,250,315,400,500,630}),""))</f>
        <v>16</v>
      </c>
      <c r="EC121">
        <f>IF(AD121="","",SUMIFS(Линии[_Ток схемы],Линии[_гр.],DY121,Линии[Щит],A121,Линии[_в кабель выше],0))</f>
        <v>1.72</v>
      </c>
      <c r="ED121">
        <f>IF(AD121="","",IFERROR(VLOOKUP(EC121,Автомат_номиналы,2,TRUE),""))</f>
        <v>6</v>
      </c>
      <c r="EE121">
        <f>IF(AD121="","",MAX(N(ED121),_xlfn.MAXIFS(Линии[_мин. по типу],Линии[_гр.],DY121,Линии[Щит],A121)))</f>
        <v>10</v>
      </c>
      <c r="EF121">
        <f>IF(AD121="","",_xlfn.MINIFS(Линии[_макс. автомат по кабелю],Линии[_гр.],DY121,Линии[Щит],A121))</f>
        <v>16</v>
      </c>
      <c r="EG121">
        <f>IF(AD121="","",MAX(1,_xlfn.MAXIFS(Линии[_фаз],Линии[_гр.],DY121,Линии[Щит],A121)))</f>
        <v>1</v>
      </c>
      <c r="EH121">
        <f>IF(AD121="","",IF(AND(AD121&lt;&gt;"авто",AD121&lt;&gt;"+"),IF(ISNUMBER(SEARCH("мА",AD121)),IFERROR(--TRIM(RIGHT(SUBSTITUTE(LEFT(AD121,SEARCH("мА",AD121)-1)," ",REPT(" ",9)),6)),30),0),IF(AE121="нет",0,IF(ISNUMBER(AE121),AE121,IF(AE121="да",30,_xlfn.MINIFS(Линии[_дифзащита по коду, мА],Линии[_гр.],DY121,Линии[Щит],A121,Линии[_дифзащита по коду, мА],"&gt;0"))))))</f>
        <v>0</v>
      </c>
      <c r="EI121">
        <f t="shared" si="131"/>
        <v>0</v>
      </c>
      <c r="EJ121" t="str">
        <f t="shared" si="132"/>
        <v>QF19</v>
      </c>
      <c r="EK121" t="str">
        <f t="shared" si="133"/>
        <v>QF19</v>
      </c>
      <c r="EL121" t="str">
        <f t="shared" si="134"/>
        <v/>
      </c>
      <c r="EM121">
        <f t="shared" si="135"/>
        <v>0</v>
      </c>
      <c r="EN121">
        <f>IF(AD121="","",IF(EM121=1,MAX(EE121,Мин_автомат_БП),EE121))</f>
        <v>10</v>
      </c>
      <c r="EO121" t="str">
        <f t="shared" si="136"/>
        <v>1P</v>
      </c>
      <c r="EP121" t="str">
        <f t="shared" si="137"/>
        <v>1P С10А</v>
      </c>
      <c r="EQ121">
        <f t="shared" si="138"/>
        <v>10</v>
      </c>
      <c r="ER121" t="str">
        <f>IF(OR(AI121="",AI121="-"),"",IFERROR(VLOOKUP(AI121,Модули_спр,2,FALSE),"R"))</f>
        <v/>
      </c>
      <c r="ES121" t="str">
        <f>IF(ER121="","",ER121&amp;"."&amp;COUNTIFS(A$3:A121,A121,ER$3:ER121,ER121))</f>
        <v/>
      </c>
      <c r="ET121" t="str">
        <f t="shared" si="139"/>
        <v/>
      </c>
      <c r="EU121" t="str">
        <f t="shared" si="140"/>
        <v/>
      </c>
      <c r="EV121" t="str">
        <f t="shared" si="141"/>
        <v/>
      </c>
      <c r="EW121" t="str">
        <f t="shared" si="142"/>
        <v/>
      </c>
      <c r="EX121">
        <f t="shared" si="143"/>
        <v>1</v>
      </c>
      <c r="EY121" t="str">
        <f>IF(AK121="нет","",IF(AK121&lt;&gt;"",AK121,IF(EX121=1,"XT"&amp;COUNTIFS(A$3:A121,A121,EX$3:EX121,1),"")))</f>
        <v/>
      </c>
      <c r="EZ121" t="str">
        <f t="shared" si="144"/>
        <v>QF19</v>
      </c>
      <c r="FA121" t="str">
        <f t="shared" si="145"/>
        <v/>
      </c>
      <c r="FB121" t="str">
        <f t="shared" si="146"/>
        <v>ok</v>
      </c>
      <c r="FC121" t="str">
        <f>IF(OR(EV121="",ET121=""),"",IF(EV121&gt;IFERROR(VLOOKUP(EU121,Модули_спр,3,FALSE),99),"ЛИШНИЙ КАНАЛ",IF(AND(AJ121&lt;&gt;"=",COUNTIFS(Линии[_модуль гр.],ET121,Линии[Канал (итог)],EV121,Линии[Канал],"&lt;&gt;=",Линии[Щит],A121)&gt;1),"ДУБЛЬ КАНАЛА","")))</f>
        <v/>
      </c>
      <c r="FD121">
        <f t="shared" si="147"/>
        <v>10</v>
      </c>
      <c r="FE121" t="str">
        <f t="shared" si="148"/>
        <v>1P С10А</v>
      </c>
      <c r="FF121">
        <f t="shared" si="149"/>
        <v>0</v>
      </c>
      <c r="FG121">
        <f t="shared" si="150"/>
        <v>0</v>
      </c>
      <c r="FH121" t="str">
        <f t="shared" si="151"/>
        <v/>
      </c>
      <c r="FI121">
        <f t="shared" si="152"/>
        <v>10</v>
      </c>
      <c r="FJ121" t="str">
        <f t="shared" si="153"/>
        <v/>
      </c>
      <c r="FK121" t="str">
        <f>IF(AND(D121="",EZ121=""),"",_xlfn.TEXTJOIN("; ",TRUE,IF(AND(D121&lt;&gt;"",DD121=""),"нет фазы",""),IF(AND(D121&lt;&gt;"",N(DT121)=0,CN121&lt;&gt;"Нет"),"нет мощности",""),IF(AND(EY121&lt;&gt;"",COUNTIFS(Линии[Щит],A121,Линии[Клемма (итог)],EY121)&gt;1),"дубль клеммы "&amp;EY121,""),IF(AND(FB121&lt;&gt;"",FB121&lt;&gt;"ok"),FB121,""),IF(FC121&lt;&gt;"",FC121,""),IF(AND(ISNUMBER(SEARCH("(5х",DS121)),N(DV121)=1),"5 жил на 1 фазе",""),IF(AND(AT121="R",AD121&lt;&gt;"",OR(N(EH121)=0,N(EH121)&gt;30)),"розетка без дифзащиты до 30 мА",""),IFERROR(IF(AND(ISNUMBER(CD121),CD121&gt;CE121),"потери "&amp;FIXED(CD121,1)&amp;" % &gt; "&amp;CE121&amp;" %",""),""),IFERROR(IF(LEFT(FJ121,4)="мало","Iкз мало — отключение &gt; 0,4 с",""),""),IF(AND(D121&lt;&gt;"",BD121=""),"не на схеме","")))</f>
        <v/>
      </c>
      <c r="FL121">
        <f>IF(AD121="","",_xlfn.LET(_xlpm.t,IFERROR(_xlfn.XLOOKUP(EP121,Каталог!$U$4:$U$500,Каталог!$G$4:$G$500),""),_xlpm.k,SEARCH("кА",_xlpm.t),IFERROR(--TRIM(RIGHT(SUBSTITUTE(MID(_xlpm.t,MAX(1,_xlpm.k-4),_xlpm.k-MAX(1,_xlpm.k-4))," ",REPT(" ",9)),5)),"")))</f>
        <v>6</v>
      </c>
      <c r="FM121" t="str">
        <f>IF(OR(FL121="",AD121=""),"",IF(_xlfn.XLOOKUP(A121,Щиты[Щит],Щиты[Iкз max на шинах, кА],"")="","",IF(FL121&lt;_xlfn.XLOOKUP(A121,Щиты[Щит],Щиты[Iкз max на шинах, кА]),"Icu "&amp;FL121&amp;" кА &lt; Iкз max","ok")))</f>
        <v/>
      </c>
      <c r="FN121" t="str">
        <f t="shared" si="154"/>
        <v>QF19</v>
      </c>
      <c r="FO121" t="str">
        <f t="shared" si="155"/>
        <v>QF19|кабель ВВГнг(А)-LS (3х1,5) → Внутренний блок кондиционирования подвальный этаж Пом. №001Т</v>
      </c>
      <c r="FP121" t="str" cm="1">
        <f t="array" ref="FP121">IF(FO121="","",_xlfn.LET(_xlpm.nd,_xlfn.TEXTSPLIT(FO121,"|"),IF(COLUMNS(_xlpm.nd)&gt;1,A121&amp;"¦"&amp;INDEX(_xlpm.nd,1)&amp;"¦"&amp;INDEX(_xlpm.nd,2),"")))</f>
        <v>ЩОВ-01¦QF19¦кабель ВВГнг(А)-LS (3х1,5) → Внутренний блок кондиционирования подвальный этаж Пом. №001Т</v>
      </c>
      <c r="FQ121" t="str">
        <f t="shared" si="156"/>
        <v>K.1.002AБ.2¦Внутренний блок кондиционирования подвальный этаж Пом. №001Т</v>
      </c>
      <c r="FR121" t="str" cm="1">
        <f t="array" ref="FR121">IF(FO121="","",_xlfn.LET(_xlpm.nd,_xlfn.TEXTSPLIT(FO121,"|"),IF(COLUMNS(_xlpm.nd)&gt;2,A121&amp;"¦"&amp;INDEX(_xlpm.nd,2)&amp;"¦"&amp;INDEX(_xlpm.nd,3),"")))</f>
        <v/>
      </c>
      <c r="FS121" t="str">
        <f t="shared" si="157"/>
        <v/>
      </c>
      <c r="FT121" t="str" cm="1">
        <f t="array" ref="FT121">IF(FO121="","",_xlfn.LET(_xlpm.nd,_xlfn.TEXTSPLIT(FO121,"|"),IF(COLUMNS(_xlpm.nd)&gt;3,A121&amp;"¦"&amp;INDEX(_xlpm.nd,3)&amp;"¦"&amp;INDEX(_xlpm.nd,4),"")))</f>
        <v/>
      </c>
      <c r="FU121" t="str">
        <f t="shared" si="158"/>
        <v/>
      </c>
      <c r="FV121" t="str" cm="1">
        <f t="array" ref="FV121">IF(FO121="","",_xlfn.LET(_xlpm.nd,_xlfn.TEXTSPLIT(FO121,"|"),IF(COLUMNS(_xlpm.nd)&gt;4,A121&amp;"¦"&amp;INDEX(_xlpm.nd,4)&amp;"¦"&amp;INDEX(_xlpm.nd,5),"")))</f>
        <v/>
      </c>
      <c r="FW121" t="str">
        <f t="shared" si="159"/>
        <v/>
      </c>
      <c r="FX121" t="str" cm="1">
        <f t="array" ref="FX121">IF(FO121="","",_xlfn.LET(_xlpm.nd,_xlfn.TEXTSPLIT(FO121,"|"),IF(COLUMNS(_xlpm.nd)&gt;5,A121&amp;"¦"&amp;INDEX(_xlpm.nd,5)&amp;"¦"&amp;INDEX(_xlpm.nd,6),"")))</f>
        <v/>
      </c>
      <c r="FY121" t="str">
        <f t="shared" si="160"/>
        <v/>
      </c>
      <c r="FZ121" t="str" cm="1">
        <f t="array" ref="FZ121">IF(FO121="","",_xlfn.LET(_xlpm.nd,_xlfn.TEXTSPLIT(FO121,"|"),IF(COLUMNS(_xlpm.nd)&gt;6,A121&amp;"¦"&amp;INDEX(_xlpm.nd,6)&amp;"¦"&amp;INDEX(_xlpm.nd,7),"")))</f>
        <v/>
      </c>
      <c r="GA121" t="str">
        <f t="shared" si="161"/>
        <v/>
      </c>
      <c r="GB121" t="str">
        <f t="shared" si="162"/>
        <v/>
      </c>
      <c r="GC121" t="str">
        <f t="shared" si="163"/>
        <v>QF19</v>
      </c>
      <c r="GD121">
        <f t="shared" si="164"/>
        <v>1</v>
      </c>
      <c r="GE121">
        <f t="shared" si="165"/>
        <v>0</v>
      </c>
      <c r="GF121">
        <f t="shared" si="166"/>
        <v>0</v>
      </c>
      <c r="GG121" t="str">
        <f t="shared" si="167"/>
        <v/>
      </c>
      <c r="GH121" t="str">
        <f t="shared" si="168"/>
        <v/>
      </c>
      <c r="GI121" t="str">
        <f t="shared" si="169"/>
        <v/>
      </c>
      <c r="GJ121" t="str">
        <f t="shared" si="170"/>
        <v/>
      </c>
      <c r="GK121">
        <f>IF(D121="","",IFERROR(VLOOKUP(D121,УГО_спр,2,FALSE),IFERROR(VLOOKUP(AT121,УГО_спр,2,FALSE),IFERROR(VLOOKUP(LEFT(AT121,2),УГО_спр,2,FALSE),""))))</f>
        <v>0</v>
      </c>
      <c r="GL121" t="str">
        <f>IF(D121="","",IF(OR(GK121="",GK121=0),"BOX",IFERROR(IF(VLOOKUP(GK121,УГО_блоки,3,FALSE)&amp;""&lt;&gt;"",VLOOKUP(GK121,УГО_блоки,3,FALSE),VLOOKUP(GK121,УГО_блоки,2,FALSE)),GK121)))</f>
        <v>BOX</v>
      </c>
      <c r="GM121">
        <f t="shared" si="171"/>
        <v>1</v>
      </c>
      <c r="GN121" t="str">
        <f>IF(EP121="","",IF(COUNTIF(EP$3:EP121,EP121)=1,MAX(GN$2:GN120)+1,""))</f>
        <v/>
      </c>
      <c r="GO121" t="str">
        <f>IF(AF121="","",IF(COUNTIF(AF$3:AF121,AF121)+COUNTIF(AG$2:AG120,AF121)+COUNTIF(AH$2:AH120,AF121)=1,MAX(GO$2:GQ120)+1,""))</f>
        <v/>
      </c>
      <c r="GP121" t="str">
        <f>IF(AG121="","",IF(COUNTIF(AF$3:AF121,AG121)+COUNTIF(AG$3:AG121,AG121)+COUNTIF(AH$2:AH120,AG121)=1,MAX(GO$2:GQ120,GO121)+1,""))</f>
        <v/>
      </c>
      <c r="GQ121" t="str">
        <f>IF(AH121="","",IF(COUNTIF(AF$3:AF121,AH121)+COUNTIF(AG$3:AG121,AH121)+COUNTIF(AH$3:AH121,AH121)=1,MAX(GO$2:GQ120,GO121,GP121)+1,""))</f>
        <v/>
      </c>
      <c r="GR121" t="str">
        <f t="shared" si="172"/>
        <v>3х1,5</v>
      </c>
      <c r="GS121" t="str">
        <f>IF(GR121="","",IF(COUNTIF(GR$3:GR121,GR121)=1,MAX(GS$2:GS120)+1,""))</f>
        <v/>
      </c>
      <c r="GT121" t="str">
        <f>IF(ES121="","",COUNTIF(ES$3:ES121,"?*"))</f>
        <v/>
      </c>
      <c r="GU121" t="str">
        <f>IF(OR(ES121="",EU121=""),"",IF(COUNTIFS(ES$3:ES121,"?*",EU$3:EU121,EU121)=1,MAX(GU$2:GU120)+1,""))</f>
        <v/>
      </c>
      <c r="GV121">
        <f t="shared" si="173"/>
        <v>0</v>
      </c>
      <c r="GW121">
        <f>IF(D121="","",COUNTIF(D$3:D121,"?*"))</f>
        <v>119</v>
      </c>
      <c r="GX121">
        <f>IF(EX121&lt;&gt;1,0,_xlfn.LET(_xlpm.k,MAX(IFERROR(--VLOOKUP(D121,УГО_спр,5,FALSE),0),IFERROR(--VLOOKUP(AT121,УГО_спр,5,FALSE),0),IFERROR(--VLOOKUP(LEFT(AT121,2),УГО_спр,5,FALSE),0)),IF(_xlpm.k&gt;0,_xlpm.k,IF(IFERROR(--LEFT(SUBSTITUTE(GR121,"x","х"),FIND("х",SUBSTITUTE(GR121,"x","х"))-1),3)&gt;3,Каталог!$S$9,1))))</f>
        <v>1</v>
      </c>
      <c r="GY121">
        <f t="shared" si="174"/>
        <v>0</v>
      </c>
    </row>
    <row r="122" spans="1:207" x14ac:dyDescent="0.3">
      <c r="A122" t="s">
        <v>750</v>
      </c>
      <c r="B122">
        <v>36</v>
      </c>
      <c r="C122" t="str">
        <f>IF(BD122="","",IF(BE122="вводной узел","узел ","")&amp;"л."&amp;(INT((BD122-1)/Столбцов_на_лист)+1)&amp;" / "&amp;(MOD(BD122-1,Столбцов_на_лист)+1))</f>
        <v>л.3 / 2</v>
      </c>
      <c r="D122" t="s">
        <v>1417</v>
      </c>
      <c r="E122" s="133" t="s">
        <v>1415</v>
      </c>
      <c r="G122">
        <v>0.16400000000000001</v>
      </c>
      <c r="H122">
        <v>1</v>
      </c>
      <c r="I122">
        <v>1</v>
      </c>
      <c r="J122">
        <v>230</v>
      </c>
      <c r="K122" t="s">
        <v>602</v>
      </c>
      <c r="L122">
        <v>0.5</v>
      </c>
      <c r="O122">
        <v>1</v>
      </c>
      <c r="P122">
        <v>39</v>
      </c>
      <c r="Q122">
        <v>19</v>
      </c>
      <c r="R122">
        <v>22</v>
      </c>
      <c r="T122">
        <v>1</v>
      </c>
      <c r="U122" t="s">
        <v>11</v>
      </c>
      <c r="V122">
        <v>3</v>
      </c>
      <c r="W122">
        <v>1.5</v>
      </c>
      <c r="X122">
        <v>10</v>
      </c>
      <c r="Z122" t="s">
        <v>580</v>
      </c>
      <c r="AA122" t="s">
        <v>818</v>
      </c>
      <c r="AD122" t="s">
        <v>517</v>
      </c>
      <c r="AR122" t="str">
        <f t="shared" si="88"/>
        <v/>
      </c>
      <c r="AS122" cm="1">
        <f t="array" ref="AS122">ROW()-ROW(Линии[#Headers])</f>
        <v>120</v>
      </c>
      <c r="AT122" t="str">
        <f t="shared" si="89"/>
        <v>K</v>
      </c>
      <c r="AU122" t="str">
        <f t="shared" si="90"/>
        <v>1.006A</v>
      </c>
      <c r="AV122" t="str">
        <f t="shared" si="91"/>
        <v>1</v>
      </c>
      <c r="AW122" t="str">
        <f t="shared" si="92"/>
        <v>006A</v>
      </c>
      <c r="AX122" t="str">
        <f t="shared" si="93"/>
        <v>006A</v>
      </c>
      <c r="AY122" t="str">
        <f>IF(D122="","",IF(ISERROR(SEARCH(".",D122)),IFERROR(VLOOKUP(D122,Потребители_обозначение,2,FALSE)&amp;"",""),IFERROR(IF(VLOOKUP(AT122,Потребители_обозначение,4,FALSE)=1,VLOOKUP(AT122,Потребители_обозначение,2,FALSE)&amp;" "&amp;VLOOKUP(AV122,Этаж_обозначение,2,FALSE)&amp;" Пом. №"&amp;AX122,VLOOKUP(AT122,Потребители_обозначение,2,FALSE)&amp;" Шлейф №"&amp;AV122),IFERROR(VLOOKUP(D122,Потребители_обозначение,2,FALSE),""))))</f>
        <v>Внутренний блок кондиционирования Первый этаж Пом. №006A</v>
      </c>
      <c r="AZ122" t="str">
        <f t="shared" si="94"/>
        <v>Внутренний блок кондиционирования подвальный этаж Пом. №001Т</v>
      </c>
      <c r="BA122" t="str">
        <f>IF(F122&lt;&gt;"",F122,IF(AND(D122&lt;&gt;"",D122&lt;&gt;A122,ISNUMBER(_xlfn.XMATCH(D122,Щиты[Щит]))),D122,""))</f>
        <v/>
      </c>
      <c r="BB122">
        <f>IFERROR(_xlfn.XMATCH(A122,Щиты[Щит]),0)</f>
        <v>6</v>
      </c>
      <c r="BC122">
        <f>IFERROR(N(_xlfn.XLOOKUP(A122,Щиты[Щит],Щиты[Мест под вводной узел])),15)</f>
        <v>12</v>
      </c>
      <c r="BD122">
        <f t="shared" si="95"/>
        <v>36</v>
      </c>
      <c r="BE122" t="str">
        <f t="shared" si="96"/>
        <v>линии</v>
      </c>
      <c r="BF122">
        <f>IF(D122="","",IF(BA122&lt;&gt;"",IFERROR(_xlfn.XLOOKUP(BA122,Щиты[Щит],Щиты[Руст, кВт]),0),N(G122)))</f>
        <v>0.16400000000000001</v>
      </c>
      <c r="BG122">
        <f>IF(J122&lt;&gt;"",J122,IF(D122="","",IFERROR(IF(VLOOKUP(AT122,Потребители_обозначение,8,FALSE)=0,"",VLOOKUP(AT122,Потребители_обозначение,8,FALSE)),"")))</f>
        <v>230</v>
      </c>
      <c r="BH122">
        <f>IF(I122&lt;&gt;"",I122,IF(D122="","",IFERROR(IF(VLOOKUP(AT122,Потребители_обозначение,9,FALSE)=0,"",VLOOKUP(AT122,Потребители_обозначение,9,FALSE)),"")))</f>
        <v>1</v>
      </c>
      <c r="BI122" t="str">
        <f>IF(U122&lt;&gt;"",U122,IF(D122="","",IFERROR(IF(VLOOKUP(AT122,Потребители_обозначение,6,FALSE)=0,"",VLOOKUP(AT122,Потребители_обозначение,6,FALSE)),"")))</f>
        <v>мс</v>
      </c>
      <c r="BJ122">
        <f>IF(V122&lt;&gt;"",V122,IF(D122="","",IFERROR(IF(VLOOKUP(AT122,Потребители_обозначение,7,FALSE)=0,"",VLOOKUP(AT122,Потребители_обозначение,7,FALSE)),"")))</f>
        <v>3</v>
      </c>
      <c r="BK122">
        <f>IF(W122&lt;&gt;"",W122,IF(D122="","",IFERROR(IF(VLOOKUP(AT122,Потребители_обозначение,10,FALSE)=0,"",VLOOKUP(AT122,Потребители_обозначение,10,FALSE)),"")))</f>
        <v>1.5</v>
      </c>
      <c r="BL122">
        <f>IFERROR(VLOOKUP(AT122,Потребители_обозначение,5,FALSE),0)</f>
        <v>1</v>
      </c>
      <c r="BM122" cm="1">
        <f t="array" ref="BM122">IF(D122="","",IF(BA122&lt;&gt;"",IFERROR(_xlfn.XLOOKUP(BA122,Щиты[Щит],Щиты[cos φ]),0.95),IF(ISNUMBER(M122),M122,IFERROR(IF(BL122=2,_xlfn.IFS(BH122=3,VLOOKUP(BF122,Справочная_двигатели,8,FALSE),BH122=1,VLOOKUP(BF122,Справочная_двигатели,10,TRUE)),IF(AND(Методика="нормы 2026",CN122="Сил"),0.8,0.95)),0.95))))</f>
        <v>0.95</v>
      </c>
      <c r="BN122" cm="1">
        <f t="array" ref="BN122">IF(D122="","",IF(BA122&lt;&gt;"",IFERROR(_xlfn.XLOOKUP(BA122,Щиты[Щит],Щиты[Iр, А]),""),IFERROR(_xlfn.IFS(BH122=1,BF122/((Uн_лин/SQRT(3))*BM122),BH122=3,BF122/(SQRT(3)*Uн_лин*BM122)),"")))</f>
        <v>0.74751666431919972</v>
      </c>
      <c r="BO122">
        <f>IF(D122="","",IF(N(X122)=0,IFERROR(VLOOKUP(BN122,Автомат_номиналы,2,TRUE),""),X122))</f>
        <v>10</v>
      </c>
      <c r="BP122">
        <f t="shared" si="97"/>
        <v>1</v>
      </c>
      <c r="BQ122">
        <f>IF(ISNUMBER(Y122),Y122,К_прокл)</f>
        <v>1</v>
      </c>
      <c r="BR122">
        <f t="shared" si="98"/>
        <v>2</v>
      </c>
      <c r="BS122" cm="1">
        <f t="array" ref="BS122">IF(D122="","",IF(N(BK122)&lt;&gt;0,BK122,IFERROR(_xlfn.LET(_xlpm.need,BO122/(BP122*BQ122),_xlpm.t,CHOOSE(BR122,Iдоп_1ж,Iдоп_2ж,Iдоп_3ж),_xlpm.k,_xlfn.XMATCH(_xlpm.need,_xlpm.t,1),IF(ISNA(_xlpm.k),"Не исп",INDEX(Iдоп_S,_xlpm.k))),"Не исп")))</f>
        <v>1.5</v>
      </c>
      <c r="BT122">
        <f>IFERROR(VLOOKUP(BS122,Кабель_сопротивление,3,FALSE),"")</f>
        <v>2.2499999999999999E-2</v>
      </c>
      <c r="BU122">
        <f>IFERROR(VLOOKUP(BS122,Кабель_сопротивление,2,FALSE),"")</f>
        <v>0.11</v>
      </c>
      <c r="BV122">
        <f t="shared" si="99"/>
        <v>39</v>
      </c>
      <c r="BW122">
        <f>IF(D122="","",IFERROR(IF(VLOOKUP(AT122,Потребители_обозначение,4,FALSE)=1,VLOOKUP(AT122,Потребители_обозначение,3,FALSE)*(H122*2-1)+BV122+VLOOKUP(AV122,Этаж_обозначение,3,FALSE)+VLOOKUP(AV122,Этаж_обозначение,4,FALSE),VLOOKUP(AT122,Потребители_обозначение,3,FALSE)*(H122*2-1)+BV122),BV122))</f>
        <v>41</v>
      </c>
      <c r="BX122">
        <f t="shared" si="100"/>
        <v>22</v>
      </c>
      <c r="BY122">
        <f t="shared" si="101"/>
        <v>0</v>
      </c>
      <c r="BZ122">
        <f t="shared" si="102"/>
        <v>2</v>
      </c>
      <c r="CA122">
        <f t="shared" si="103"/>
        <v>0.31</v>
      </c>
      <c r="CB122">
        <f t="shared" si="104"/>
        <v>0.87556342835375411</v>
      </c>
      <c r="CC122">
        <f>IFERROR(ROUNDUP(CB122/((Uн_лин/SQRT(3))*1000)*100,2),"")</f>
        <v>0.38</v>
      </c>
      <c r="CD122">
        <f>IF(ISNUMBER(CC122),CC122+IFERROR(_xlfn.XLOOKUP(A122,Щиты[Щит],Щиты[ΔU до шин, %]),0),"")</f>
        <v>0.62</v>
      </c>
      <c r="CE122">
        <f>IF(D122="","",IF(IFERROR(VLOOKUP(AT122,УГО_спр,2,FALSE),"")="Светильник",3,4)+IF(Методика="нормы 2026",MIN(0.5,MAX(0,N(BW122)-100)*0.005),0))</f>
        <v>4</v>
      </c>
      <c r="CF122" t="str">
        <f>IFERROR(VLOOKUP(BI122,Кабель_обозначение,2,FALSE),"")</f>
        <v>ВВГнг(А)-LS</v>
      </c>
      <c r="CG122" t="str">
        <f>IFERROR(IF(VLOOKUP(BI122,Кабель_обозначение,3,FALSE)=1,CF122&amp;" ("&amp;BJ122&amp;"х"&amp;BS122&amp;")",CF122),"")</f>
        <v>ВВГнг(А)-LS (3х1,5)</v>
      </c>
      <c r="CH122" t="str">
        <f t="shared" si="105"/>
        <v>ВВГнг(А)-LS (3х1,5)
L=41-0,38%</v>
      </c>
      <c r="CI122">
        <f>IFERROR(2*ρкз_Cu*BW122/BS122,"")</f>
        <v>1.4377333333333333</v>
      </c>
      <c r="CJ122">
        <f t="shared" si="106"/>
        <v>0.47833333333333333</v>
      </c>
      <c r="CK122" t="str">
        <f>IFERROR(IF(OR(D122="",NOT(ISNUMBER(BS122)),N(BW122)=0),"",_xlfn.XLOOKUP(A122,Щиты[Щит],Щиты[Zпетли на шинах, Ом])+CI122),"")</f>
        <v/>
      </c>
      <c r="CL122" t="str">
        <f>IF(ISNUMBER(CK122),c_min*(Uн_лин*1000/SQRT(3))/CK122,"")</f>
        <v/>
      </c>
      <c r="CM122" t="str">
        <f>IFERROR(IF(OR(D122="",NOT(ISNUMBER(BS122))),"",1.05*(Uн_лин*1000/SQRT(3))/(_xlfn.XLOOKUP(A122,Щиты[Щит],Щиты[Zmax на шинах, Ом])+CJ122)/1000),"")</f>
        <v/>
      </c>
      <c r="CN122" t="str">
        <f>IF(D122="","",IF(BA122&lt;&gt;"","Щит",IF(K122&lt;&gt;"",K122,IF(ISNUMBER(L122),"Сил",IF(IFERROR(_xlfn.XLOOKUP(AT122,Коды_код,Коды_группа)&amp;"","")="","Быт",_xlfn.XLOOKUP(AT122,Коды_код,Коды_группа)&amp;"")))))</f>
        <v>Сил</v>
      </c>
      <c r="CO122">
        <f>IF(CN122="Щит","щит",IF(CN122="","",IF(CN122="Быт",IFERROR(_xlfn.XLOOKUP(A122,Щиты[Щит],Щиты[Кс быт]),1),IF(CN122="Сил",IF(ISNUMBER(L122),L122,IF(Методика="нормы 2026",IFERROR(_xlfn.XLOOKUP(A122,Щиты[Щит],Щиты[Кс силовых (табл. 7.5)]),1),1)),IF(OR(CN122="Пост",CN122="Отоп"),1,IF(CN122="ВНГ",0.7,0))))))</f>
        <v>0.5</v>
      </c>
      <c r="CP122">
        <f t="shared" si="107"/>
        <v>1</v>
      </c>
      <c r="CQ122">
        <f t="shared" si="108"/>
        <v>0.16400000000000001</v>
      </c>
      <c r="CR122">
        <f t="shared" si="109"/>
        <v>0</v>
      </c>
      <c r="CS122">
        <f t="shared" si="110"/>
        <v>8.2000000000000003E-2</v>
      </c>
      <c r="CT122">
        <f t="shared" si="111"/>
        <v>0</v>
      </c>
      <c r="CU122">
        <f t="shared" si="112"/>
        <v>0</v>
      </c>
      <c r="CV122">
        <f t="shared" si="113"/>
        <v>0</v>
      </c>
      <c r="CW122">
        <f t="shared" si="114"/>
        <v>0.16400000000000001</v>
      </c>
      <c r="CX122">
        <f t="shared" si="115"/>
        <v>0.15579999999999999</v>
      </c>
      <c r="CY122">
        <f t="shared" si="116"/>
        <v>1</v>
      </c>
      <c r="CZ122" t="str">
        <f t="shared" si="117"/>
        <v>L1</v>
      </c>
      <c r="DA122" cm="1">
        <f t="array" ref="DA122">IFERROR(IF(BL122=2,_xlfn.IFS(BH122=3,VLOOKUP(BF122,Справочная_двигатели,3,FALSE),BH122=1,VLOOKUP(BF122,Справочная_двигатели,5,TRUE)),0),0)</f>
        <v>0</v>
      </c>
      <c r="DB122">
        <f>IFERROR(IF(BL122=3,VLOOKUP(BF122,Справочная_ЛЭД,2,TRUE),0),0)</f>
        <v>0</v>
      </c>
      <c r="DC122">
        <f t="shared" si="118"/>
        <v>0</v>
      </c>
      <c r="DD122" t="str">
        <f t="shared" si="119"/>
        <v>L1</v>
      </c>
      <c r="DE122" t="str" cm="1">
        <f t="array" ref="DE122">IF(D122="","",IFERROR(INDEX({"I особая","I","II","III"},MATCH(TRIM(AA122&amp;""),{"I особая","I","II","III"},0)),"III"))</f>
        <v>II</v>
      </c>
      <c r="DF122" t="str">
        <f>IF(D122="","",IF(TRIM(AB122&amp;"")&lt;&gt;"",IF(LOWER(TRIM(AB122&amp;""))="да","да","нет"),IF(IFERROR(_xlfn.XLOOKUP(AT122,Коды_код,Коды_пожарная),"")="да","да","нет")))</f>
        <v>нет</v>
      </c>
      <c r="DG122" t="str">
        <f t="shared" si="120"/>
        <v/>
      </c>
      <c r="DH122" t="str">
        <f t="shared" si="121"/>
        <v>основная</v>
      </c>
      <c r="DI122">
        <f t="shared" si="122"/>
        <v>1</v>
      </c>
      <c r="DJ122" t="str" cm="1">
        <f t="array" ref="DJ122">IF(D122="","",_xlfn.LET(_xlpm.t,IFERROR(_xlfn.XLOOKUP(1,(Шины[Шина]=DH122)*(((Шины[Щит]=A122)+(Шины[Щит]=""))&gt;0),Шины[Тип]),"")&amp;"",IF(_xlpm.t&lt;&gt;"",_xlpm.t,IF(ISNUMBER(SEARCH("ИБП",DH122)),"ИБП",IF(ISNUMBER(SEARCH("ДГУ",DH122)),"ДГУ","Ввод "&amp;DI122)))))</f>
        <v>Ввод 1</v>
      </c>
      <c r="DK122" t="str">
        <f t="shared" si="123"/>
        <v>Ввод 1</v>
      </c>
      <c r="DL122" t="str">
        <f>IF(D122="","",IF(OR(DJ122="ИБП",DJ122="ДГУ"),"I особая",IF(DJ122="Одиночная","III",_xlfn.XLOOKUP(A122,Щиты[Щит],Щиты[Категория шины «Ввод»],"III"))))</f>
        <v>II</v>
      </c>
      <c r="DM122">
        <f>IF(D122="",0,IFERROR(MATCH(DE122,{"III","II","I","I особая"},0),1))</f>
        <v>2</v>
      </c>
      <c r="DN122">
        <f t="shared" si="124"/>
        <v>2</v>
      </c>
      <c r="DO122" t="str">
        <f>IF(D122="","",IF(DM122&gt;IFERROR(MATCH(DL122,{"III","II","I","I особая"},0),1),"НЕ ОБЕСПЕЧЕНА","ОК"))</f>
        <v>ОК</v>
      </c>
      <c r="DP122" t="str">
        <f>IF(A122="","",_xlfn.XLOOKUP(A122,Щиты[Щит],Щиты[Путь],""))</f>
        <v>|ГРЩ-ЖД|ЩОВ-01|</v>
      </c>
      <c r="DQ122" t="str">
        <f>IF(D122="","",IF(Z122&lt;&gt;"",Z122,IF(IFERROR(_xlfn.XLOOKUP(AT122,Коды_код,Коды_вид)&amp;"","")="","Прочее",_xlfn.XLOOKUP(AT122,Коды_код,Коды_вид)&amp;"")))</f>
        <v>Кондиционирование и увлажнение</v>
      </c>
      <c r="DR122">
        <f>IF(BD122="","",INT((BD122-1)/Столбцов_на_лист)+1)</f>
        <v>3</v>
      </c>
      <c r="DS122" t="str">
        <f t="shared" si="125"/>
        <v>ВВГнг(А)-LS (3х1,5) L=41-0,38%</v>
      </c>
      <c r="DT122">
        <f t="shared" si="126"/>
        <v>0.16400000000000001</v>
      </c>
      <c r="DU122">
        <f t="shared" si="127"/>
        <v>0.75</v>
      </c>
      <c r="DV122">
        <f t="shared" si="128"/>
        <v>1</v>
      </c>
      <c r="DW122">
        <f>IF(AT122="",0,_xlfn.LET(_xlpm.v,IFERROR(VLOOKUP(D122,УГО_спр,3,FALSE),IFERROR(VLOOKUP(AT122,УГО_спр,3,FALSE),IFERROR(VLOOKUP(LEFT(AT122,2),УГО_спр,3,FALSE),""))),IF(_xlpm.v="да",30,IF(ISNUMBER(_xlpm.v),_xlpm.v,0))))</f>
        <v>0</v>
      </c>
      <c r="DX122">
        <f t="shared" si="129"/>
        <v>0</v>
      </c>
      <c r="DY122">
        <f>IF(BD122="","",IF(AD122&lt;&gt;"",COUNTIFS(A$3:A122,A122,AD$3:AD122,"?*"),IF(OR(OR(AS122=1,A122&lt;&gt;A121),AL122="вручную"),"",IF(AS122=1,"",DZ121))))</f>
        <v>20</v>
      </c>
      <c r="DZ122">
        <f t="shared" si="130"/>
        <v>20</v>
      </c>
      <c r="EA122">
        <f>IF(D122="",0,MAX(IFERROR(--X122,0),IFERROR(--VLOOKUP(D122,УГО_спр,4,FALSE),IFERROR(--VLOOKUP(AT122,УГО_спр,4,FALSE),IFERROR(--VLOOKUP(LEFT(AT122,2),УГО_спр,4,FALSE),0)))))</f>
        <v>10</v>
      </c>
      <c r="EB122">
        <f>IF(D122="","",IFERROR(LOOKUP(INDEX(CHOOSE(BR122,Iдоп_1ж,Iдоп_2ж,Iдоп_3ж),MATCH(BS122,Iдоп_S,0))*BP122*BQ122,{6,10,16,20,25,32,40,50,63,80,100,125,160,200,250,315,400,500,630}),""))</f>
        <v>16</v>
      </c>
      <c r="EC122">
        <f>IF(AD122="","",SUMIFS(Линии[_Ток схемы],Линии[_гр.],DY122,Линии[Щит],A122,Линии[_в кабель выше],0))</f>
        <v>0.75</v>
      </c>
      <c r="ED122">
        <f>IF(AD122="","",IFERROR(VLOOKUP(EC122,Автомат_номиналы,2,TRUE),""))</f>
        <v>6</v>
      </c>
      <c r="EE122">
        <f>IF(AD122="","",MAX(N(ED122),_xlfn.MAXIFS(Линии[_мин. по типу],Линии[_гр.],DY122,Линии[Щит],A122)))</f>
        <v>10</v>
      </c>
      <c r="EF122">
        <f>IF(AD122="","",_xlfn.MINIFS(Линии[_макс. автомат по кабелю],Линии[_гр.],DY122,Линии[Щит],A122))</f>
        <v>16</v>
      </c>
      <c r="EG122">
        <f>IF(AD122="","",MAX(1,_xlfn.MAXIFS(Линии[_фаз],Линии[_гр.],DY122,Линии[Щит],A122)))</f>
        <v>1</v>
      </c>
      <c r="EH122">
        <f>IF(AD122="","",IF(AND(AD122&lt;&gt;"авто",AD122&lt;&gt;"+"),IF(ISNUMBER(SEARCH("мА",AD122)),IFERROR(--TRIM(RIGHT(SUBSTITUTE(LEFT(AD122,SEARCH("мА",AD122)-1)," ",REPT(" ",9)),6)),30),0),IF(AE122="нет",0,IF(ISNUMBER(AE122),AE122,IF(AE122="да",30,_xlfn.MINIFS(Линии[_дифзащита по коду, мА],Линии[_гр.],DY122,Линии[Щит],A122,Линии[_дифзащита по коду, мА],"&gt;0"))))))</f>
        <v>0</v>
      </c>
      <c r="EI122">
        <f t="shared" si="131"/>
        <v>0</v>
      </c>
      <c r="EJ122" t="str">
        <f t="shared" si="132"/>
        <v>QF20</v>
      </c>
      <c r="EK122" t="str">
        <f t="shared" si="133"/>
        <v>QF20</v>
      </c>
      <c r="EL122" t="str">
        <f t="shared" si="134"/>
        <v/>
      </c>
      <c r="EM122">
        <f t="shared" si="135"/>
        <v>0</v>
      </c>
      <c r="EN122">
        <f>IF(AD122="","",IF(EM122=1,MAX(EE122,Мин_автомат_БП),EE122))</f>
        <v>10</v>
      </c>
      <c r="EO122" t="str">
        <f t="shared" si="136"/>
        <v>1P</v>
      </c>
      <c r="EP122" t="str">
        <f t="shared" si="137"/>
        <v>1P С10А</v>
      </c>
      <c r="EQ122">
        <f t="shared" si="138"/>
        <v>10</v>
      </c>
      <c r="ER122" t="str">
        <f>IF(OR(AI122="",AI122="-"),"",IFERROR(VLOOKUP(AI122,Модули_спр,2,FALSE),"R"))</f>
        <v/>
      </c>
      <c r="ES122" t="str">
        <f>IF(ER122="","",ER122&amp;"."&amp;COUNTIFS(A$3:A122,A122,ER$3:ER122,ER122))</f>
        <v/>
      </c>
      <c r="ET122" t="str">
        <f t="shared" si="139"/>
        <v/>
      </c>
      <c r="EU122" t="str">
        <f t="shared" si="140"/>
        <v/>
      </c>
      <c r="EV122" t="str">
        <f t="shared" si="141"/>
        <v/>
      </c>
      <c r="EW122" t="str">
        <f t="shared" si="142"/>
        <v/>
      </c>
      <c r="EX122">
        <f t="shared" si="143"/>
        <v>1</v>
      </c>
      <c r="EY122" t="str">
        <f>IF(AK122="нет","",IF(AK122&lt;&gt;"",AK122,IF(EX122=1,"XT"&amp;COUNTIFS(A$3:A122,A122,EX$3:EX122,1),"")))</f>
        <v>XT21</v>
      </c>
      <c r="EZ122" t="str">
        <f t="shared" si="144"/>
        <v>QF20</v>
      </c>
      <c r="FA122" t="str">
        <f t="shared" si="145"/>
        <v/>
      </c>
      <c r="FB122" t="str">
        <f t="shared" si="146"/>
        <v>ok</v>
      </c>
      <c r="FC122" t="str">
        <f>IF(OR(EV122="",ET122=""),"",IF(EV122&gt;IFERROR(VLOOKUP(EU122,Модули_спр,3,FALSE),99),"ЛИШНИЙ КАНАЛ",IF(AND(AJ122&lt;&gt;"=",COUNTIFS(Линии[_модуль гр.],ET122,Линии[Канал (итог)],EV122,Линии[Канал],"&lt;&gt;=",Линии[Щит],A122)&gt;1),"ДУБЛЬ КАНАЛА","")))</f>
        <v/>
      </c>
      <c r="FD122">
        <f t="shared" si="147"/>
        <v>10</v>
      </c>
      <c r="FE122" t="str">
        <f t="shared" si="148"/>
        <v>1P С10А</v>
      </c>
      <c r="FF122">
        <f t="shared" si="149"/>
        <v>0</v>
      </c>
      <c r="FG122">
        <f t="shared" si="150"/>
        <v>0</v>
      </c>
      <c r="FH122" t="str">
        <f t="shared" si="151"/>
        <v/>
      </c>
      <c r="FI122">
        <f t="shared" si="152"/>
        <v>10</v>
      </c>
      <c r="FJ122" t="str">
        <f t="shared" si="153"/>
        <v/>
      </c>
      <c r="FK122" t="str">
        <f>IF(AND(D122="",EZ122=""),"",_xlfn.TEXTJOIN("; ",TRUE,IF(AND(D122&lt;&gt;"",DD122=""),"нет фазы",""),IF(AND(D122&lt;&gt;"",N(DT122)=0,CN122&lt;&gt;"Нет"),"нет мощности",""),IF(AND(EY122&lt;&gt;"",COUNTIFS(Линии[Щит],A122,Линии[Клемма (итог)],EY122)&gt;1),"дубль клеммы "&amp;EY122,""),IF(AND(FB122&lt;&gt;"",FB122&lt;&gt;"ok"),FB122,""),IF(FC122&lt;&gt;"",FC122,""),IF(AND(ISNUMBER(SEARCH("(5х",DS122)),N(DV122)=1),"5 жил на 1 фазе",""),IF(AND(AT122="R",AD122&lt;&gt;"",OR(N(EH122)=0,N(EH122)&gt;30)),"розетка без дифзащиты до 30 мА",""),IFERROR(IF(AND(ISNUMBER(CD122),CD122&gt;CE122),"потери "&amp;FIXED(CD122,1)&amp;" % &gt; "&amp;CE122&amp;" %",""),""),IFERROR(IF(LEFT(FJ122,4)="мало","Iкз мало — отключение &gt; 0,4 с",""),""),IF(AND(D122&lt;&gt;"",BD122=""),"не на схеме","")))</f>
        <v/>
      </c>
      <c r="FL122">
        <f>IF(AD122="","",_xlfn.LET(_xlpm.t,IFERROR(_xlfn.XLOOKUP(EP122,Каталог!$U$4:$U$500,Каталог!$G$4:$G$500),""),_xlpm.k,SEARCH("кА",_xlpm.t),IFERROR(--TRIM(RIGHT(SUBSTITUTE(MID(_xlpm.t,MAX(1,_xlpm.k-4),_xlpm.k-MAX(1,_xlpm.k-4))," ",REPT(" ",9)),5)),"")))</f>
        <v>6</v>
      </c>
      <c r="FM122" t="str">
        <f>IF(OR(FL122="",AD122=""),"",IF(_xlfn.XLOOKUP(A122,Щиты[Щит],Щиты[Iкз max на шинах, кА],"")="","",IF(FL122&lt;_xlfn.XLOOKUP(A122,Щиты[Щит],Щиты[Iкз max на шинах, кА]),"Icu "&amp;FL122&amp;" кА &lt; Iкз max","ok")))</f>
        <v/>
      </c>
      <c r="FN122" t="str">
        <f t="shared" si="154"/>
        <v>QF20|XT21</v>
      </c>
      <c r="FO122" t="str">
        <f t="shared" si="155"/>
        <v>QF20|XT21|кабель ВВГнг(А)-LS (3х1,5) → Внутренний блок кондиционирования подвальный этаж Пом. №001Т</v>
      </c>
      <c r="FP122" t="str" cm="1">
        <f t="array" ref="FP122">IF(FO122="","",_xlfn.LET(_xlpm.nd,_xlfn.TEXTSPLIT(FO122,"|"),IF(COLUMNS(_xlpm.nd)&gt;1,A122&amp;"¦"&amp;INDEX(_xlpm.nd,1)&amp;"¦"&amp;INDEX(_xlpm.nd,2),"")))</f>
        <v>ЩОВ-01¦QF20¦XT21</v>
      </c>
      <c r="FQ122" t="str">
        <f t="shared" si="156"/>
        <v>K.1.006A¦Внутренний блок кондиционирования подвальный этаж Пом. №001Т</v>
      </c>
      <c r="FR122" t="str" cm="1">
        <f t="array" ref="FR122">IF(FO122="","",_xlfn.LET(_xlpm.nd,_xlfn.TEXTSPLIT(FO122,"|"),IF(COLUMNS(_xlpm.nd)&gt;2,A122&amp;"¦"&amp;INDEX(_xlpm.nd,2)&amp;"¦"&amp;INDEX(_xlpm.nd,3),"")))</f>
        <v>ЩОВ-01¦XT21¦кабель ВВГнг(А)-LS (3х1,5) → Внутренний блок кондиционирования подвальный этаж Пом. №001Т</v>
      </c>
      <c r="FS122" t="str">
        <f t="shared" si="157"/>
        <v>K.1.006A¦Внутренний блок кондиционирования подвальный этаж Пом. №001Т</v>
      </c>
      <c r="FT122" t="str" cm="1">
        <f t="array" ref="FT122">IF(FO122="","",_xlfn.LET(_xlpm.nd,_xlfn.TEXTSPLIT(FO122,"|"),IF(COLUMNS(_xlpm.nd)&gt;3,A122&amp;"¦"&amp;INDEX(_xlpm.nd,3)&amp;"¦"&amp;INDEX(_xlpm.nd,4),"")))</f>
        <v/>
      </c>
      <c r="FU122" t="str">
        <f t="shared" si="158"/>
        <v/>
      </c>
      <c r="FV122" t="str" cm="1">
        <f t="array" ref="FV122">IF(FO122="","",_xlfn.LET(_xlpm.nd,_xlfn.TEXTSPLIT(FO122,"|"),IF(COLUMNS(_xlpm.nd)&gt;4,A122&amp;"¦"&amp;INDEX(_xlpm.nd,4)&amp;"¦"&amp;INDEX(_xlpm.nd,5),"")))</f>
        <v/>
      </c>
      <c r="FW122" t="str">
        <f t="shared" si="159"/>
        <v/>
      </c>
      <c r="FX122" t="str" cm="1">
        <f t="array" ref="FX122">IF(FO122="","",_xlfn.LET(_xlpm.nd,_xlfn.TEXTSPLIT(FO122,"|"),IF(COLUMNS(_xlpm.nd)&gt;5,A122&amp;"¦"&amp;INDEX(_xlpm.nd,5)&amp;"¦"&amp;INDEX(_xlpm.nd,6),"")))</f>
        <v/>
      </c>
      <c r="FY122" t="str">
        <f t="shared" si="160"/>
        <v/>
      </c>
      <c r="FZ122" t="str" cm="1">
        <f t="array" ref="FZ122">IF(FO122="","",_xlfn.LET(_xlpm.nd,_xlfn.TEXTSPLIT(FO122,"|"),IF(COLUMNS(_xlpm.nd)&gt;6,A122&amp;"¦"&amp;INDEX(_xlpm.nd,6)&amp;"¦"&amp;INDEX(_xlpm.nd,7),"")))</f>
        <v/>
      </c>
      <c r="GA122" t="str">
        <f t="shared" si="161"/>
        <v/>
      </c>
      <c r="GB122" t="str">
        <f t="shared" si="162"/>
        <v/>
      </c>
      <c r="GC122" t="str">
        <f t="shared" si="163"/>
        <v>QF20 → XT21</v>
      </c>
      <c r="GD122">
        <f t="shared" si="164"/>
        <v>1</v>
      </c>
      <c r="GE122">
        <f t="shared" si="165"/>
        <v>0</v>
      </c>
      <c r="GF122">
        <f t="shared" si="166"/>
        <v>0</v>
      </c>
      <c r="GG122" t="str">
        <f t="shared" si="167"/>
        <v/>
      </c>
      <c r="GH122" t="str">
        <f t="shared" si="168"/>
        <v/>
      </c>
      <c r="GI122" t="str">
        <f t="shared" si="169"/>
        <v/>
      </c>
      <c r="GJ122" t="str">
        <f t="shared" si="170"/>
        <v/>
      </c>
      <c r="GK122">
        <f>IF(D122="","",IFERROR(VLOOKUP(D122,УГО_спр,2,FALSE),IFERROR(VLOOKUP(AT122,УГО_спр,2,FALSE),IFERROR(VLOOKUP(LEFT(AT122,2),УГО_спр,2,FALSE),""))))</f>
        <v>0</v>
      </c>
      <c r="GL122" t="str">
        <f>IF(D122="","",IF(OR(GK122="",GK122=0),"BOX",IFERROR(IF(VLOOKUP(GK122,УГО_блоки,3,FALSE)&amp;""&lt;&gt;"",VLOOKUP(GK122,УГО_блоки,3,FALSE),VLOOKUP(GK122,УГО_блоки,2,FALSE)),GK122)))</f>
        <v>BOX</v>
      </c>
      <c r="GM122">
        <f t="shared" si="171"/>
        <v>1</v>
      </c>
      <c r="GN122" t="str">
        <f>IF(EP122="","",IF(COUNTIF(EP$3:EP122,EP122)=1,MAX(GN$2:GN121)+1,""))</f>
        <v/>
      </c>
      <c r="GO122" t="str">
        <f>IF(AF122="","",IF(COUNTIF(AF$3:AF122,AF122)+COUNTIF(AG$2:AG121,AF122)+COUNTIF(AH$2:AH121,AF122)=1,MAX(GO$2:GQ121)+1,""))</f>
        <v/>
      </c>
      <c r="GP122" t="str">
        <f>IF(AG122="","",IF(COUNTIF(AF$3:AF122,AG122)+COUNTIF(AG$3:AG122,AG122)+COUNTIF(AH$2:AH121,AG122)=1,MAX(GO$2:GQ121,GO122)+1,""))</f>
        <v/>
      </c>
      <c r="GQ122" t="str">
        <f>IF(AH122="","",IF(COUNTIF(AF$3:AF122,AH122)+COUNTIF(AG$3:AG122,AH122)+COUNTIF(AH$3:AH122,AH122)=1,MAX(GO$2:GQ121,GO122,GP122)+1,""))</f>
        <v/>
      </c>
      <c r="GR122" t="str">
        <f t="shared" si="172"/>
        <v>3х1,5</v>
      </c>
      <c r="GS122" t="str">
        <f>IF(GR122="","",IF(COUNTIF(GR$3:GR122,GR122)=1,MAX(GS$2:GS121)+1,""))</f>
        <v/>
      </c>
      <c r="GT122" t="str">
        <f>IF(ES122="","",COUNTIF(ES$3:ES122,"?*"))</f>
        <v/>
      </c>
      <c r="GU122" t="str">
        <f>IF(OR(ES122="",EU122=""),"",IF(COUNTIFS(ES$3:ES122,"?*",EU$3:EU122,EU122)=1,MAX(GU$2:GU121)+1,""))</f>
        <v/>
      </c>
      <c r="GV122">
        <f t="shared" si="173"/>
        <v>0</v>
      </c>
      <c r="GW122">
        <f>IF(D122="","",COUNTIF(D$3:D122,"?*"))</f>
        <v>120</v>
      </c>
      <c r="GX122">
        <f>IF(EX122&lt;&gt;1,0,_xlfn.LET(_xlpm.k,MAX(IFERROR(--VLOOKUP(D122,УГО_спр,5,FALSE),0),IFERROR(--VLOOKUP(AT122,УГО_спр,5,FALSE),0),IFERROR(--VLOOKUP(LEFT(AT122,2),УГО_спр,5,FALSE),0)),IF(_xlpm.k&gt;0,_xlpm.k,IF(IFERROR(--LEFT(SUBSTITUTE(GR122,"x","х"),FIND("х",SUBSTITUTE(GR122,"x","х"))-1),3)&gt;3,Каталог!$S$9,1))))</f>
        <v>1</v>
      </c>
      <c r="GY122">
        <f t="shared" si="174"/>
        <v>0</v>
      </c>
    </row>
    <row r="123" spans="1:207" x14ac:dyDescent="0.3">
      <c r="A123" t="s">
        <v>750</v>
      </c>
      <c r="B123">
        <v>37</v>
      </c>
      <c r="C123" t="str">
        <f>IF(BD123="","",IF(BE123="вводной узел","узел ","")&amp;"л."&amp;(INT((BD123-1)/Столбцов_на_лист)+1)&amp;" / "&amp;(MOD(BD123-1,Столбцов_на_лист)+1))</f>
        <v>л.3 / 3</v>
      </c>
      <c r="D123" t="s">
        <v>1418</v>
      </c>
      <c r="E123" s="133" t="s">
        <v>1419</v>
      </c>
      <c r="G123">
        <v>0.376</v>
      </c>
      <c r="H123">
        <v>1</v>
      </c>
      <c r="I123">
        <v>1</v>
      </c>
      <c r="J123">
        <v>230</v>
      </c>
      <c r="K123" t="s">
        <v>602</v>
      </c>
      <c r="L123">
        <v>0.5</v>
      </c>
      <c r="O123">
        <v>2</v>
      </c>
      <c r="P123">
        <v>72</v>
      </c>
      <c r="Q123">
        <v>60</v>
      </c>
      <c r="R123">
        <v>14</v>
      </c>
      <c r="T123">
        <v>1</v>
      </c>
      <c r="U123" t="s">
        <v>11</v>
      </c>
      <c r="V123">
        <v>3</v>
      </c>
      <c r="W123">
        <v>1.5</v>
      </c>
      <c r="X123">
        <v>10</v>
      </c>
      <c r="Z123" t="s">
        <v>580</v>
      </c>
      <c r="AA123" t="s">
        <v>818</v>
      </c>
      <c r="AD123" t="s">
        <v>517</v>
      </c>
      <c r="AR123" t="str">
        <f t="shared" si="88"/>
        <v/>
      </c>
      <c r="AS123" cm="1">
        <f t="array" ref="AS123">ROW()-ROW(Линии[#Headers])</f>
        <v>121</v>
      </c>
      <c r="AT123" t="str">
        <f t="shared" si="89"/>
        <v>K</v>
      </c>
      <c r="AU123" t="str">
        <f t="shared" si="90"/>
        <v>1.002Б</v>
      </c>
      <c r="AV123" t="str">
        <f t="shared" si="91"/>
        <v>1</v>
      </c>
      <c r="AW123" t="str">
        <f t="shared" si="92"/>
        <v>002Б</v>
      </c>
      <c r="AX123" t="str">
        <f t="shared" si="93"/>
        <v>002Б</v>
      </c>
      <c r="AY123" t="str">
        <f>IF(D123="","",IF(ISERROR(SEARCH(".",D123)),IFERROR(VLOOKUP(D123,Потребители_обозначение,2,FALSE)&amp;"",""),IFERROR(IF(VLOOKUP(AT123,Потребители_обозначение,4,FALSE)=1,VLOOKUP(AT123,Потребители_обозначение,2,FALSE)&amp;" "&amp;VLOOKUP(AV123,Этаж_обозначение,2,FALSE)&amp;" Пом. №"&amp;AX123,VLOOKUP(AT123,Потребители_обозначение,2,FALSE)&amp;" Шлейф №"&amp;AV123),IFERROR(VLOOKUP(D123,Потребители_обозначение,2,FALSE),""))))</f>
        <v>Внутренний блок кондиционирования Первый этаж Пом. №002Б</v>
      </c>
      <c r="AZ123" t="str">
        <f t="shared" si="94"/>
        <v>Внутренний блок кондиционирования первый этаж Пом. №002Б</v>
      </c>
      <c r="BA123" t="str">
        <f>IF(F123&lt;&gt;"",F123,IF(AND(D123&lt;&gt;"",D123&lt;&gt;A123,ISNUMBER(_xlfn.XMATCH(D123,Щиты[Щит]))),D123,""))</f>
        <v/>
      </c>
      <c r="BB123">
        <f>IFERROR(_xlfn.XMATCH(A123,Щиты[Щит]),0)</f>
        <v>6</v>
      </c>
      <c r="BC123">
        <f>IFERROR(N(_xlfn.XLOOKUP(A123,Щиты[Щит],Щиты[Мест под вводной узел])),15)</f>
        <v>12</v>
      </c>
      <c r="BD123">
        <f t="shared" si="95"/>
        <v>37</v>
      </c>
      <c r="BE123" t="str">
        <f t="shared" si="96"/>
        <v>линии</v>
      </c>
      <c r="BF123">
        <f>IF(D123="","",IF(BA123&lt;&gt;"",IFERROR(_xlfn.XLOOKUP(BA123,Щиты[Щит],Щиты[Руст, кВт]),0),N(G123)))</f>
        <v>0.376</v>
      </c>
      <c r="BG123">
        <f>IF(J123&lt;&gt;"",J123,IF(D123="","",IFERROR(IF(VLOOKUP(AT123,Потребители_обозначение,8,FALSE)=0,"",VLOOKUP(AT123,Потребители_обозначение,8,FALSE)),"")))</f>
        <v>230</v>
      </c>
      <c r="BH123">
        <f>IF(I123&lt;&gt;"",I123,IF(D123="","",IFERROR(IF(VLOOKUP(AT123,Потребители_обозначение,9,FALSE)=0,"",VLOOKUP(AT123,Потребители_обозначение,9,FALSE)),"")))</f>
        <v>1</v>
      </c>
      <c r="BI123" t="str">
        <f>IF(U123&lt;&gt;"",U123,IF(D123="","",IFERROR(IF(VLOOKUP(AT123,Потребители_обозначение,6,FALSE)=0,"",VLOOKUP(AT123,Потребители_обозначение,6,FALSE)),"")))</f>
        <v>мс</v>
      </c>
      <c r="BJ123">
        <f>IF(V123&lt;&gt;"",V123,IF(D123="","",IFERROR(IF(VLOOKUP(AT123,Потребители_обозначение,7,FALSE)=0,"",VLOOKUP(AT123,Потребители_обозначение,7,FALSE)),"")))</f>
        <v>3</v>
      </c>
      <c r="BK123">
        <f>IF(W123&lt;&gt;"",W123,IF(D123="","",IFERROR(IF(VLOOKUP(AT123,Потребители_обозначение,10,FALSE)=0,"",VLOOKUP(AT123,Потребители_обозначение,10,FALSE)),"")))</f>
        <v>1.5</v>
      </c>
      <c r="BL123">
        <f>IFERROR(VLOOKUP(AT123,Потребители_обозначение,5,FALSE),0)</f>
        <v>1</v>
      </c>
      <c r="BM123" cm="1">
        <f t="array" ref="BM123">IF(D123="","",IF(BA123&lt;&gt;"",IFERROR(_xlfn.XLOOKUP(BA123,Щиты[Щит],Щиты[cos φ]),0.95),IF(ISNUMBER(M123),M123,IFERROR(IF(BL123=2,_xlfn.IFS(BH123=3,VLOOKUP(BF123,Справочная_двигатели,8,FALSE),BH123=1,VLOOKUP(BF123,Справочная_двигатели,10,TRUE)),IF(AND(Методика="нормы 2026",CN123="Сил"),0.8,0.95)),0.95))))</f>
        <v>0.95</v>
      </c>
      <c r="BN123" cm="1">
        <f t="array" ref="BN123">IF(D123="","",IF(BA123&lt;&gt;"",IFERROR(_xlfn.XLOOKUP(BA123,Щиты[Щит],Щиты[Iр, А]),""),IFERROR(_xlfn.IFS(BH123=1,BF123/((Uн_лин/SQRT(3))*BM123),BH123=3,BF123/(SQRT(3)*Uн_лин*BM123)),"")))</f>
        <v>1.7138186938049942</v>
      </c>
      <c r="BO123">
        <f>IF(D123="","",IF(N(X123)=0,IFERROR(VLOOKUP(BN123,Автомат_номиналы,2,TRUE),""),X123))</f>
        <v>10</v>
      </c>
      <c r="BP123">
        <f t="shared" si="97"/>
        <v>1</v>
      </c>
      <c r="BQ123">
        <f>IF(ISNUMBER(Y123),Y123,К_прокл)</f>
        <v>1</v>
      </c>
      <c r="BR123">
        <f t="shared" si="98"/>
        <v>2</v>
      </c>
      <c r="BS123" cm="1">
        <f t="array" ref="BS123">IF(D123="","",IF(N(BK123)&lt;&gt;0,BK123,IFERROR(_xlfn.LET(_xlpm.need,BO123/(BP123*BQ123),_xlpm.t,CHOOSE(BR123,Iдоп_1ж,Iдоп_2ж,Iдоп_3ж),_xlpm.k,_xlfn.XMATCH(_xlpm.need,_xlpm.t,1),IF(ISNA(_xlpm.k),"Не исп",INDEX(Iдоп_S,_xlpm.k))),"Не исп")))</f>
        <v>1.5</v>
      </c>
      <c r="BT123">
        <f>IFERROR(VLOOKUP(BS123,Кабель_сопротивление,3,FALSE),"")</f>
        <v>2.2499999999999999E-2</v>
      </c>
      <c r="BU123">
        <f>IFERROR(VLOOKUP(BS123,Кабель_сопротивление,2,FALSE),"")</f>
        <v>0.11</v>
      </c>
      <c r="BV123">
        <f t="shared" si="99"/>
        <v>72</v>
      </c>
      <c r="BW123">
        <f>IF(D123="","",IFERROR(IF(VLOOKUP(AT123,Потребители_обозначение,4,FALSE)=1,VLOOKUP(AT123,Потребители_обозначение,3,FALSE)*(H123*2-1)+BV123+VLOOKUP(AV123,Этаж_обозначение,3,FALSE)+VLOOKUP(AV123,Этаж_обозначение,4,FALSE),VLOOKUP(AT123,Потребители_обозначение,3,FALSE)*(H123*2-1)+BV123),BV123))</f>
        <v>74</v>
      </c>
      <c r="BX123">
        <f t="shared" si="100"/>
        <v>14</v>
      </c>
      <c r="BY123">
        <f t="shared" si="101"/>
        <v>0</v>
      </c>
      <c r="BZ123">
        <f t="shared" si="102"/>
        <v>2</v>
      </c>
      <c r="CA123">
        <f t="shared" si="103"/>
        <v>0.31</v>
      </c>
      <c r="CB123">
        <f t="shared" si="104"/>
        <v>3.6230929254186282</v>
      </c>
      <c r="CC123">
        <f>IFERROR(ROUNDUP(CB123/((Uн_лин/SQRT(3))*1000)*100,2),"")</f>
        <v>1.57</v>
      </c>
      <c r="CD123">
        <f>IF(ISNUMBER(CC123),CC123+IFERROR(_xlfn.XLOOKUP(A123,Щиты[Щит],Щиты[ΔU до шин, %]),0),"")</f>
        <v>1.81</v>
      </c>
      <c r="CE123">
        <f>IF(D123="","",IF(IFERROR(VLOOKUP(AT123,УГО_спр,2,FALSE),"")="Светильник",3,4)+IF(Методика="нормы 2026",MIN(0.5,MAX(0,N(BW123)-100)*0.005),0))</f>
        <v>4</v>
      </c>
      <c r="CF123" t="str">
        <f>IFERROR(VLOOKUP(BI123,Кабель_обозначение,2,FALSE),"")</f>
        <v>ВВГнг(А)-LS</v>
      </c>
      <c r="CG123" t="str">
        <f>IFERROR(IF(VLOOKUP(BI123,Кабель_обозначение,3,FALSE)=1,CF123&amp;" ("&amp;BJ123&amp;"х"&amp;BS123&amp;")",CF123),"")</f>
        <v>ВВГнг(А)-LS (3х1,5)</v>
      </c>
      <c r="CH123" t="str">
        <f t="shared" si="105"/>
        <v>ВВГнг(А)-LS (3х1,5)
L=74-1,57%</v>
      </c>
      <c r="CI123">
        <f>IFERROR(2*ρкз_Cu*BW123/BS123,"")</f>
        <v>2.5949333333333331</v>
      </c>
      <c r="CJ123">
        <f t="shared" si="106"/>
        <v>0.8633333333333334</v>
      </c>
      <c r="CK123" t="str">
        <f>IFERROR(IF(OR(D123="",NOT(ISNUMBER(BS123)),N(BW123)=0),"",_xlfn.XLOOKUP(A123,Щиты[Щит],Щиты[Zпетли на шинах, Ом])+CI123),"")</f>
        <v/>
      </c>
      <c r="CL123" t="str">
        <f>IF(ISNUMBER(CK123),c_min*(Uн_лин*1000/SQRT(3))/CK123,"")</f>
        <v/>
      </c>
      <c r="CM123" t="str">
        <f>IFERROR(IF(OR(D123="",NOT(ISNUMBER(BS123))),"",1.05*(Uн_лин*1000/SQRT(3))/(_xlfn.XLOOKUP(A123,Щиты[Щит],Щиты[Zmax на шинах, Ом])+CJ123)/1000),"")</f>
        <v/>
      </c>
      <c r="CN123" t="str">
        <f>IF(D123="","",IF(BA123&lt;&gt;"","Щит",IF(K123&lt;&gt;"",K123,IF(ISNUMBER(L123),"Сил",IF(IFERROR(_xlfn.XLOOKUP(AT123,Коды_код,Коды_группа)&amp;"","")="","Быт",_xlfn.XLOOKUP(AT123,Коды_код,Коды_группа)&amp;"")))))</f>
        <v>Сил</v>
      </c>
      <c r="CO123">
        <f>IF(CN123="Щит","щит",IF(CN123="","",IF(CN123="Быт",IFERROR(_xlfn.XLOOKUP(A123,Щиты[Щит],Щиты[Кс быт]),1),IF(CN123="Сил",IF(ISNUMBER(L123),L123,IF(Методика="нормы 2026",IFERROR(_xlfn.XLOOKUP(A123,Щиты[Щит],Щиты[Кс силовых (табл. 7.5)]),1),1)),IF(OR(CN123="Пост",CN123="Отоп"),1,IF(CN123="ВНГ",0.7,0))))))</f>
        <v>0.5</v>
      </c>
      <c r="CP123">
        <f t="shared" si="107"/>
        <v>1</v>
      </c>
      <c r="CQ123">
        <f t="shared" si="108"/>
        <v>0.376</v>
      </c>
      <c r="CR123">
        <f t="shared" si="109"/>
        <v>0</v>
      </c>
      <c r="CS123">
        <f t="shared" si="110"/>
        <v>0.188</v>
      </c>
      <c r="CT123">
        <f t="shared" si="111"/>
        <v>0</v>
      </c>
      <c r="CU123">
        <f t="shared" si="112"/>
        <v>0</v>
      </c>
      <c r="CV123">
        <f t="shared" si="113"/>
        <v>0</v>
      </c>
      <c r="CW123">
        <f t="shared" si="114"/>
        <v>0.376</v>
      </c>
      <c r="CX123">
        <f t="shared" si="115"/>
        <v>0.35719999999999996</v>
      </c>
      <c r="CY123">
        <f t="shared" si="116"/>
        <v>2</v>
      </c>
      <c r="CZ123" t="str">
        <f t="shared" si="117"/>
        <v>L2</v>
      </c>
      <c r="DA123" cm="1">
        <f t="array" ref="DA123">IFERROR(IF(BL123=2,_xlfn.IFS(BH123=3,VLOOKUP(BF123,Справочная_двигатели,3,FALSE),BH123=1,VLOOKUP(BF123,Справочная_двигатели,5,TRUE)),0),0)</f>
        <v>0</v>
      </c>
      <c r="DB123">
        <f>IFERROR(IF(BL123=3,VLOOKUP(BF123,Справочная_ЛЭД,2,TRUE),0),0)</f>
        <v>0</v>
      </c>
      <c r="DC123">
        <f t="shared" si="118"/>
        <v>0</v>
      </c>
      <c r="DD123" t="str">
        <f t="shared" si="119"/>
        <v>L2</v>
      </c>
      <c r="DE123" t="str" cm="1">
        <f t="array" ref="DE123">IF(D123="","",IFERROR(INDEX({"I особая","I","II","III"},MATCH(TRIM(AA123&amp;""),{"I особая","I","II","III"},0)),"III"))</f>
        <v>II</v>
      </c>
      <c r="DF123" t="str">
        <f>IF(D123="","",IF(TRIM(AB123&amp;"")&lt;&gt;"",IF(LOWER(TRIM(AB123&amp;""))="да","да","нет"),IF(IFERROR(_xlfn.XLOOKUP(AT123,Коды_код,Коды_пожарная),"")="да","да","нет")))</f>
        <v>нет</v>
      </c>
      <c r="DG123" t="str">
        <f t="shared" si="120"/>
        <v/>
      </c>
      <c r="DH123" t="str">
        <f t="shared" si="121"/>
        <v>основная</v>
      </c>
      <c r="DI123">
        <f t="shared" si="122"/>
        <v>1</v>
      </c>
      <c r="DJ123" t="str" cm="1">
        <f t="array" ref="DJ123">IF(D123="","",_xlfn.LET(_xlpm.t,IFERROR(_xlfn.XLOOKUP(1,(Шины[Шина]=DH123)*(((Шины[Щит]=A123)+(Шины[Щит]=""))&gt;0),Шины[Тип]),"")&amp;"",IF(_xlpm.t&lt;&gt;"",_xlpm.t,IF(ISNUMBER(SEARCH("ИБП",DH123)),"ИБП",IF(ISNUMBER(SEARCH("ДГУ",DH123)),"ДГУ","Ввод "&amp;DI123)))))</f>
        <v>Ввод 1</v>
      </c>
      <c r="DK123" t="str">
        <f t="shared" si="123"/>
        <v>Ввод 1</v>
      </c>
      <c r="DL123" t="str">
        <f>IF(D123="","",IF(OR(DJ123="ИБП",DJ123="ДГУ"),"I особая",IF(DJ123="Одиночная","III",_xlfn.XLOOKUP(A123,Щиты[Щит],Щиты[Категория шины «Ввод»],"III"))))</f>
        <v>II</v>
      </c>
      <c r="DM123">
        <f>IF(D123="",0,IFERROR(MATCH(DE123,{"III","II","I","I особая"},0),1))</f>
        <v>2</v>
      </c>
      <c r="DN123">
        <f t="shared" si="124"/>
        <v>2</v>
      </c>
      <c r="DO123" t="str">
        <f>IF(D123="","",IF(DM123&gt;IFERROR(MATCH(DL123,{"III","II","I","I особая"},0),1),"НЕ ОБЕСПЕЧЕНА","ОК"))</f>
        <v>ОК</v>
      </c>
      <c r="DP123" t="str">
        <f>IF(A123="","",_xlfn.XLOOKUP(A123,Щиты[Щит],Щиты[Путь],""))</f>
        <v>|ГРЩ-ЖД|ЩОВ-01|</v>
      </c>
      <c r="DQ123" t="str">
        <f>IF(D123="","",IF(Z123&lt;&gt;"",Z123,IF(IFERROR(_xlfn.XLOOKUP(AT123,Коды_код,Коды_вид)&amp;"","")="","Прочее",_xlfn.XLOOKUP(AT123,Коды_код,Коды_вид)&amp;"")))</f>
        <v>Кондиционирование и увлажнение</v>
      </c>
      <c r="DR123">
        <f>IF(BD123="","",INT((BD123-1)/Столбцов_на_лист)+1)</f>
        <v>3</v>
      </c>
      <c r="DS123" t="str">
        <f t="shared" si="125"/>
        <v>ВВГнг(А)-LS (3х1,5) L=74-1,57%</v>
      </c>
      <c r="DT123">
        <f t="shared" si="126"/>
        <v>0.376</v>
      </c>
      <c r="DU123">
        <f t="shared" si="127"/>
        <v>1.72</v>
      </c>
      <c r="DV123">
        <f t="shared" si="128"/>
        <v>1</v>
      </c>
      <c r="DW123">
        <f>IF(AT123="",0,_xlfn.LET(_xlpm.v,IFERROR(VLOOKUP(D123,УГО_спр,3,FALSE),IFERROR(VLOOKUP(AT123,УГО_спр,3,FALSE),IFERROR(VLOOKUP(LEFT(AT123,2),УГО_спр,3,FALSE),""))),IF(_xlpm.v="да",30,IF(ISNUMBER(_xlpm.v),_xlpm.v,0))))</f>
        <v>0</v>
      </c>
      <c r="DX123">
        <f t="shared" si="129"/>
        <v>0</v>
      </c>
      <c r="DY123">
        <f>IF(BD123="","",IF(AD123&lt;&gt;"",COUNTIFS(A$3:A123,A123,AD$3:AD123,"?*"),IF(OR(OR(AS123=1,A123&lt;&gt;A122),AL123="вручную"),"",IF(AS123=1,"",DZ122))))</f>
        <v>21</v>
      </c>
      <c r="DZ123">
        <f t="shared" si="130"/>
        <v>21</v>
      </c>
      <c r="EA123">
        <f>IF(D123="",0,MAX(IFERROR(--X123,0),IFERROR(--VLOOKUP(D123,УГО_спр,4,FALSE),IFERROR(--VLOOKUP(AT123,УГО_спр,4,FALSE),IFERROR(--VLOOKUP(LEFT(AT123,2),УГО_спр,4,FALSE),0)))))</f>
        <v>10</v>
      </c>
      <c r="EB123">
        <f>IF(D123="","",IFERROR(LOOKUP(INDEX(CHOOSE(BR123,Iдоп_1ж,Iдоп_2ж,Iдоп_3ж),MATCH(BS123,Iдоп_S,0))*BP123*BQ123,{6,10,16,20,25,32,40,50,63,80,100,125,160,200,250,315,400,500,630}),""))</f>
        <v>16</v>
      </c>
      <c r="EC123">
        <f>IF(AD123="","",SUMIFS(Линии[_Ток схемы],Линии[_гр.],DY123,Линии[Щит],A123,Линии[_в кабель выше],0))</f>
        <v>1.72</v>
      </c>
      <c r="ED123">
        <f>IF(AD123="","",IFERROR(VLOOKUP(EC123,Автомат_номиналы,2,TRUE),""))</f>
        <v>6</v>
      </c>
      <c r="EE123">
        <f>IF(AD123="","",MAX(N(ED123),_xlfn.MAXIFS(Линии[_мин. по типу],Линии[_гр.],DY123,Линии[Щит],A123)))</f>
        <v>10</v>
      </c>
      <c r="EF123">
        <f>IF(AD123="","",_xlfn.MINIFS(Линии[_макс. автомат по кабелю],Линии[_гр.],DY123,Линии[Щит],A123))</f>
        <v>16</v>
      </c>
      <c r="EG123">
        <f>IF(AD123="","",MAX(1,_xlfn.MAXIFS(Линии[_фаз],Линии[_гр.],DY123,Линии[Щит],A123)))</f>
        <v>1</v>
      </c>
      <c r="EH123">
        <f>IF(AD123="","",IF(AND(AD123&lt;&gt;"авто",AD123&lt;&gt;"+"),IF(ISNUMBER(SEARCH("мА",AD123)),IFERROR(--TRIM(RIGHT(SUBSTITUTE(LEFT(AD123,SEARCH("мА",AD123)-1)," ",REPT(" ",9)),6)),30),0),IF(AE123="нет",0,IF(ISNUMBER(AE123),AE123,IF(AE123="да",30,_xlfn.MINIFS(Линии[_дифзащита по коду, мА],Линии[_гр.],DY123,Линии[Щит],A123,Линии[_дифзащита по коду, мА],"&gt;0"))))))</f>
        <v>0</v>
      </c>
      <c r="EI123">
        <f t="shared" si="131"/>
        <v>0</v>
      </c>
      <c r="EJ123" t="str">
        <f t="shared" si="132"/>
        <v>QF21</v>
      </c>
      <c r="EK123" t="str">
        <f t="shared" si="133"/>
        <v>QF21</v>
      </c>
      <c r="EL123" t="str">
        <f t="shared" si="134"/>
        <v/>
      </c>
      <c r="EM123">
        <f t="shared" si="135"/>
        <v>0</v>
      </c>
      <c r="EN123">
        <f>IF(AD123="","",IF(EM123=1,MAX(EE123,Мин_автомат_БП),EE123))</f>
        <v>10</v>
      </c>
      <c r="EO123" t="str">
        <f t="shared" si="136"/>
        <v>1P</v>
      </c>
      <c r="EP123" t="str">
        <f t="shared" si="137"/>
        <v>1P С10А</v>
      </c>
      <c r="EQ123">
        <f t="shared" si="138"/>
        <v>10</v>
      </c>
      <c r="ER123" t="str">
        <f>IF(OR(AI123="",AI123="-"),"",IFERROR(VLOOKUP(AI123,Модули_спр,2,FALSE),"R"))</f>
        <v/>
      </c>
      <c r="ES123" t="str">
        <f>IF(ER123="","",ER123&amp;"."&amp;COUNTIFS(A$3:A123,A123,ER$3:ER123,ER123))</f>
        <v/>
      </c>
      <c r="ET123" t="str">
        <f t="shared" si="139"/>
        <v/>
      </c>
      <c r="EU123" t="str">
        <f t="shared" si="140"/>
        <v/>
      </c>
      <c r="EV123" t="str">
        <f t="shared" si="141"/>
        <v/>
      </c>
      <c r="EW123" t="str">
        <f t="shared" si="142"/>
        <v/>
      </c>
      <c r="EX123">
        <f t="shared" si="143"/>
        <v>1</v>
      </c>
      <c r="EY123" t="str">
        <f>IF(AK123="нет","",IF(AK123&lt;&gt;"",AK123,IF(EX123=1,"XT"&amp;COUNTIFS(A$3:A123,A123,EX$3:EX123,1),"")))</f>
        <v>XT22</v>
      </c>
      <c r="EZ123" t="str">
        <f t="shared" si="144"/>
        <v>QF21</v>
      </c>
      <c r="FA123" t="str">
        <f t="shared" si="145"/>
        <v/>
      </c>
      <c r="FB123" t="str">
        <f t="shared" si="146"/>
        <v>ok</v>
      </c>
      <c r="FC123" t="str">
        <f>IF(OR(EV123="",ET123=""),"",IF(EV123&gt;IFERROR(VLOOKUP(EU123,Модули_спр,3,FALSE),99),"ЛИШНИЙ КАНАЛ",IF(AND(AJ123&lt;&gt;"=",COUNTIFS(Линии[_модуль гр.],ET123,Линии[Канал (итог)],EV123,Линии[Канал],"&lt;&gt;=",Линии[Щит],A123)&gt;1),"ДУБЛЬ КАНАЛА","")))</f>
        <v/>
      </c>
      <c r="FD123">
        <f t="shared" si="147"/>
        <v>10</v>
      </c>
      <c r="FE123" t="str">
        <f t="shared" si="148"/>
        <v>1P С10А</v>
      </c>
      <c r="FF123">
        <f t="shared" si="149"/>
        <v>0</v>
      </c>
      <c r="FG123">
        <f t="shared" si="150"/>
        <v>0</v>
      </c>
      <c r="FH123" t="str">
        <f t="shared" si="151"/>
        <v/>
      </c>
      <c r="FI123">
        <f t="shared" si="152"/>
        <v>10</v>
      </c>
      <c r="FJ123" t="str">
        <f t="shared" si="153"/>
        <v/>
      </c>
      <c r="FK123" t="str">
        <f>IF(AND(D123="",EZ123=""),"",_xlfn.TEXTJOIN("; ",TRUE,IF(AND(D123&lt;&gt;"",DD123=""),"нет фазы",""),IF(AND(D123&lt;&gt;"",N(DT123)=0,CN123&lt;&gt;"Нет"),"нет мощности",""),IF(AND(EY123&lt;&gt;"",COUNTIFS(Линии[Щит],A123,Линии[Клемма (итог)],EY123)&gt;1),"дубль клеммы "&amp;EY123,""),IF(AND(FB123&lt;&gt;"",FB123&lt;&gt;"ok"),FB123,""),IF(FC123&lt;&gt;"",FC123,""),IF(AND(ISNUMBER(SEARCH("(5х",DS123)),N(DV123)=1),"5 жил на 1 фазе",""),IF(AND(AT123="R",AD123&lt;&gt;"",OR(N(EH123)=0,N(EH123)&gt;30)),"розетка без дифзащиты до 30 мА",""),IFERROR(IF(AND(ISNUMBER(CD123),CD123&gt;CE123),"потери "&amp;FIXED(CD123,1)&amp;" % &gt; "&amp;CE123&amp;" %",""),""),IFERROR(IF(LEFT(FJ123,4)="мало","Iкз мало — отключение &gt; 0,4 с",""),""),IF(AND(D123&lt;&gt;"",BD123=""),"не на схеме","")))</f>
        <v/>
      </c>
      <c r="FL123">
        <f>IF(AD123="","",_xlfn.LET(_xlpm.t,IFERROR(_xlfn.XLOOKUP(EP123,Каталог!$U$4:$U$500,Каталог!$G$4:$G$500),""),_xlpm.k,SEARCH("кА",_xlpm.t),IFERROR(--TRIM(RIGHT(SUBSTITUTE(MID(_xlpm.t,MAX(1,_xlpm.k-4),_xlpm.k-MAX(1,_xlpm.k-4))," ",REPT(" ",9)),5)),"")))</f>
        <v>6</v>
      </c>
      <c r="FM123" t="str">
        <f>IF(OR(FL123="",AD123=""),"",IF(_xlfn.XLOOKUP(A123,Щиты[Щит],Щиты[Iкз max на шинах, кА],"")="","",IF(FL123&lt;_xlfn.XLOOKUP(A123,Щиты[Щит],Щиты[Iкз max на шинах, кА]),"Icu "&amp;FL123&amp;" кА &lt; Iкз max","ok")))</f>
        <v/>
      </c>
      <c r="FN123" t="str">
        <f t="shared" si="154"/>
        <v>QF21|XT22</v>
      </c>
      <c r="FO123" t="str">
        <f t="shared" si="155"/>
        <v>QF21|XT22|кабель ВВГнг(А)-LS (3х1,5) → Внутренний блок кондиционирования первый этаж Пом. №002Б</v>
      </c>
      <c r="FP123" t="str" cm="1">
        <f t="array" ref="FP123">IF(FO123="","",_xlfn.LET(_xlpm.nd,_xlfn.TEXTSPLIT(FO123,"|"),IF(COLUMNS(_xlpm.nd)&gt;1,A123&amp;"¦"&amp;INDEX(_xlpm.nd,1)&amp;"¦"&amp;INDEX(_xlpm.nd,2),"")))</f>
        <v>ЩОВ-01¦QF21¦XT22</v>
      </c>
      <c r="FQ123" t="str">
        <f t="shared" si="156"/>
        <v>K.1.002Б¦Внутренний блок кондиционирования первый этаж Пом. №002Б</v>
      </c>
      <c r="FR123" t="str" cm="1">
        <f t="array" ref="FR123">IF(FO123="","",_xlfn.LET(_xlpm.nd,_xlfn.TEXTSPLIT(FO123,"|"),IF(COLUMNS(_xlpm.nd)&gt;2,A123&amp;"¦"&amp;INDEX(_xlpm.nd,2)&amp;"¦"&amp;INDEX(_xlpm.nd,3),"")))</f>
        <v>ЩОВ-01¦XT22¦кабель ВВГнг(А)-LS (3х1,5) → Внутренний блок кондиционирования первый этаж Пом. №002Б</v>
      </c>
      <c r="FS123" t="str">
        <f t="shared" si="157"/>
        <v>K.1.002Б¦Внутренний блок кондиционирования первый этаж Пом. №002Б</v>
      </c>
      <c r="FT123" t="str" cm="1">
        <f t="array" ref="FT123">IF(FO123="","",_xlfn.LET(_xlpm.nd,_xlfn.TEXTSPLIT(FO123,"|"),IF(COLUMNS(_xlpm.nd)&gt;3,A123&amp;"¦"&amp;INDEX(_xlpm.nd,3)&amp;"¦"&amp;INDEX(_xlpm.nd,4),"")))</f>
        <v/>
      </c>
      <c r="FU123" t="str">
        <f t="shared" si="158"/>
        <v/>
      </c>
      <c r="FV123" t="str" cm="1">
        <f t="array" ref="FV123">IF(FO123="","",_xlfn.LET(_xlpm.nd,_xlfn.TEXTSPLIT(FO123,"|"),IF(COLUMNS(_xlpm.nd)&gt;4,A123&amp;"¦"&amp;INDEX(_xlpm.nd,4)&amp;"¦"&amp;INDEX(_xlpm.nd,5),"")))</f>
        <v/>
      </c>
      <c r="FW123" t="str">
        <f t="shared" si="159"/>
        <v/>
      </c>
      <c r="FX123" t="str" cm="1">
        <f t="array" ref="FX123">IF(FO123="","",_xlfn.LET(_xlpm.nd,_xlfn.TEXTSPLIT(FO123,"|"),IF(COLUMNS(_xlpm.nd)&gt;5,A123&amp;"¦"&amp;INDEX(_xlpm.nd,5)&amp;"¦"&amp;INDEX(_xlpm.nd,6),"")))</f>
        <v/>
      </c>
      <c r="FY123" t="str">
        <f t="shared" si="160"/>
        <v/>
      </c>
      <c r="FZ123" t="str" cm="1">
        <f t="array" ref="FZ123">IF(FO123="","",_xlfn.LET(_xlpm.nd,_xlfn.TEXTSPLIT(FO123,"|"),IF(COLUMNS(_xlpm.nd)&gt;6,A123&amp;"¦"&amp;INDEX(_xlpm.nd,6)&amp;"¦"&amp;INDEX(_xlpm.nd,7),"")))</f>
        <v/>
      </c>
      <c r="GA123" t="str">
        <f t="shared" si="161"/>
        <v/>
      </c>
      <c r="GB123" t="str">
        <f t="shared" si="162"/>
        <v/>
      </c>
      <c r="GC123" t="str">
        <f t="shared" si="163"/>
        <v>QF21 → XT22</v>
      </c>
      <c r="GD123">
        <f t="shared" si="164"/>
        <v>1</v>
      </c>
      <c r="GE123">
        <f t="shared" si="165"/>
        <v>0</v>
      </c>
      <c r="GF123">
        <f t="shared" si="166"/>
        <v>0</v>
      </c>
      <c r="GG123" t="str">
        <f t="shared" si="167"/>
        <v/>
      </c>
      <c r="GH123" t="str">
        <f t="shared" si="168"/>
        <v/>
      </c>
      <c r="GI123" t="str">
        <f t="shared" si="169"/>
        <v/>
      </c>
      <c r="GJ123" t="str">
        <f t="shared" si="170"/>
        <v/>
      </c>
      <c r="GK123">
        <f>IF(D123="","",IFERROR(VLOOKUP(D123,УГО_спр,2,FALSE),IFERROR(VLOOKUP(AT123,УГО_спр,2,FALSE),IFERROR(VLOOKUP(LEFT(AT123,2),УГО_спр,2,FALSE),""))))</f>
        <v>0</v>
      </c>
      <c r="GL123" t="str">
        <f>IF(D123="","",IF(OR(GK123="",GK123=0),"BOX",IFERROR(IF(VLOOKUP(GK123,УГО_блоки,3,FALSE)&amp;""&lt;&gt;"",VLOOKUP(GK123,УГО_блоки,3,FALSE),VLOOKUP(GK123,УГО_блоки,2,FALSE)),GK123)))</f>
        <v>BOX</v>
      </c>
      <c r="GM123">
        <f t="shared" si="171"/>
        <v>1</v>
      </c>
      <c r="GN123" t="str">
        <f>IF(EP123="","",IF(COUNTIF(EP$3:EP123,EP123)=1,MAX(GN$2:GN122)+1,""))</f>
        <v/>
      </c>
      <c r="GO123" t="str">
        <f>IF(AF123="","",IF(COUNTIF(AF$3:AF123,AF123)+COUNTIF(AG$2:AG122,AF123)+COUNTIF(AH$2:AH122,AF123)=1,MAX(GO$2:GQ122)+1,""))</f>
        <v/>
      </c>
      <c r="GP123" t="str">
        <f>IF(AG123="","",IF(COUNTIF(AF$3:AF123,AG123)+COUNTIF(AG$3:AG123,AG123)+COUNTIF(AH$2:AH122,AG123)=1,MAX(GO$2:GQ122,GO123)+1,""))</f>
        <v/>
      </c>
      <c r="GQ123" t="str">
        <f>IF(AH123="","",IF(COUNTIF(AF$3:AF123,AH123)+COUNTIF(AG$3:AG123,AH123)+COUNTIF(AH$3:AH123,AH123)=1,MAX(GO$2:GQ122,GO123,GP123)+1,""))</f>
        <v/>
      </c>
      <c r="GR123" t="str">
        <f t="shared" si="172"/>
        <v>3х1,5</v>
      </c>
      <c r="GS123" t="str">
        <f>IF(GR123="","",IF(COUNTIF(GR$3:GR123,GR123)=1,MAX(GS$2:GS122)+1,""))</f>
        <v/>
      </c>
      <c r="GT123" t="str">
        <f>IF(ES123="","",COUNTIF(ES$3:ES123,"?*"))</f>
        <v/>
      </c>
      <c r="GU123" t="str">
        <f>IF(OR(ES123="",EU123=""),"",IF(COUNTIFS(ES$3:ES123,"?*",EU$3:EU123,EU123)=1,MAX(GU$2:GU122)+1,""))</f>
        <v/>
      </c>
      <c r="GV123">
        <f t="shared" si="173"/>
        <v>0</v>
      </c>
      <c r="GW123">
        <f>IF(D123="","",COUNTIF(D$3:D123,"?*"))</f>
        <v>121</v>
      </c>
      <c r="GX123">
        <f>IF(EX123&lt;&gt;1,0,_xlfn.LET(_xlpm.k,MAX(IFERROR(--VLOOKUP(D123,УГО_спр,5,FALSE),0),IFERROR(--VLOOKUP(AT123,УГО_спр,5,FALSE),0),IFERROR(--VLOOKUP(LEFT(AT123,2),УГО_спр,5,FALSE),0)),IF(_xlpm.k&gt;0,_xlpm.k,IF(IFERROR(--LEFT(SUBSTITUTE(GR123,"x","х"),FIND("х",SUBSTITUTE(GR123,"x","х"))-1),3)&gt;3,Каталог!$S$9,1))))</f>
        <v>1</v>
      </c>
      <c r="GY123">
        <f t="shared" si="174"/>
        <v>0</v>
      </c>
    </row>
    <row r="124" spans="1:207" x14ac:dyDescent="0.3">
      <c r="A124" t="s">
        <v>750</v>
      </c>
      <c r="B124">
        <v>38</v>
      </c>
      <c r="C124" t="str">
        <f>IF(BD124="","",IF(BE124="вводной узел","узел ","")&amp;"л."&amp;(INT((BD124-1)/Столбцов_на_лист)+1)&amp;" / "&amp;(MOD(BD124-1,Столбцов_на_лист)+1))</f>
        <v>л.3 / 4</v>
      </c>
      <c r="D124" t="s">
        <v>1420</v>
      </c>
      <c r="E124" s="133" t="s">
        <v>1421</v>
      </c>
      <c r="G124">
        <v>0.16400000000000001</v>
      </c>
      <c r="H124">
        <v>1</v>
      </c>
      <c r="I124">
        <v>1</v>
      </c>
      <c r="J124">
        <v>230</v>
      </c>
      <c r="K124" t="s">
        <v>602</v>
      </c>
      <c r="L124">
        <v>0.5</v>
      </c>
      <c r="O124">
        <v>3</v>
      </c>
      <c r="P124">
        <v>72</v>
      </c>
      <c r="Q124">
        <v>60</v>
      </c>
      <c r="R124">
        <v>14</v>
      </c>
      <c r="T124">
        <v>1</v>
      </c>
      <c r="U124" t="s">
        <v>11</v>
      </c>
      <c r="V124">
        <v>3</v>
      </c>
      <c r="W124">
        <v>1.5</v>
      </c>
      <c r="X124">
        <v>10</v>
      </c>
      <c r="Z124" t="s">
        <v>580</v>
      </c>
      <c r="AA124" t="s">
        <v>818</v>
      </c>
      <c r="AD124" t="s">
        <v>517</v>
      </c>
      <c r="AK124" t="s">
        <v>488</v>
      </c>
      <c r="AR124" t="str">
        <f t="shared" si="88"/>
        <v/>
      </c>
      <c r="AS124" cm="1">
        <f t="array" ref="AS124">ROW()-ROW(Линии[#Headers])</f>
        <v>122</v>
      </c>
      <c r="AT124" t="str">
        <f t="shared" si="89"/>
        <v>K</v>
      </c>
      <c r="AU124" t="str">
        <f t="shared" si="90"/>
        <v>1.007A</v>
      </c>
      <c r="AV124" t="str">
        <f t="shared" si="91"/>
        <v>1</v>
      </c>
      <c r="AW124" t="str">
        <f t="shared" si="92"/>
        <v>007A</v>
      </c>
      <c r="AX124" t="str">
        <f t="shared" si="93"/>
        <v>007A</v>
      </c>
      <c r="AY124" t="str">
        <f>IF(D124="","",IF(ISERROR(SEARCH(".",D124)),IFERROR(VLOOKUP(D124,Потребители_обозначение,2,FALSE)&amp;"",""),IFERROR(IF(VLOOKUP(AT124,Потребители_обозначение,4,FALSE)=1,VLOOKUP(AT124,Потребители_обозначение,2,FALSE)&amp;" "&amp;VLOOKUP(AV124,Этаж_обозначение,2,FALSE)&amp;" Пом. №"&amp;AX124,VLOOKUP(AT124,Потребители_обозначение,2,FALSE)&amp;" Шлейф №"&amp;AV124),IFERROR(VLOOKUP(D124,Потребители_обозначение,2,FALSE),""))))</f>
        <v>Внутренний блок кондиционирования Первый этаж Пом. №007A</v>
      </c>
      <c r="AZ124" t="str">
        <f t="shared" si="94"/>
        <v>Внутренний блок кондиционирования первый этаж Пом. №003Б</v>
      </c>
      <c r="BA124" t="str">
        <f>IF(F124&lt;&gt;"",F124,IF(AND(D124&lt;&gt;"",D124&lt;&gt;A124,ISNUMBER(_xlfn.XMATCH(D124,Щиты[Щит]))),D124,""))</f>
        <v/>
      </c>
      <c r="BB124">
        <f>IFERROR(_xlfn.XMATCH(A124,Щиты[Щит]),0)</f>
        <v>6</v>
      </c>
      <c r="BC124">
        <f>IFERROR(N(_xlfn.XLOOKUP(A124,Щиты[Щит],Щиты[Мест под вводной узел])),15)</f>
        <v>12</v>
      </c>
      <c r="BD124">
        <f t="shared" si="95"/>
        <v>38</v>
      </c>
      <c r="BE124" t="str">
        <f t="shared" si="96"/>
        <v>линии</v>
      </c>
      <c r="BF124">
        <f>IF(D124="","",IF(BA124&lt;&gt;"",IFERROR(_xlfn.XLOOKUP(BA124,Щиты[Щит],Щиты[Руст, кВт]),0),N(G124)))</f>
        <v>0.16400000000000001</v>
      </c>
      <c r="BG124">
        <f>IF(J124&lt;&gt;"",J124,IF(D124="","",IFERROR(IF(VLOOKUP(AT124,Потребители_обозначение,8,FALSE)=0,"",VLOOKUP(AT124,Потребители_обозначение,8,FALSE)),"")))</f>
        <v>230</v>
      </c>
      <c r="BH124">
        <f>IF(I124&lt;&gt;"",I124,IF(D124="","",IFERROR(IF(VLOOKUP(AT124,Потребители_обозначение,9,FALSE)=0,"",VLOOKUP(AT124,Потребители_обозначение,9,FALSE)),"")))</f>
        <v>1</v>
      </c>
      <c r="BI124" t="str">
        <f>IF(U124&lt;&gt;"",U124,IF(D124="","",IFERROR(IF(VLOOKUP(AT124,Потребители_обозначение,6,FALSE)=0,"",VLOOKUP(AT124,Потребители_обозначение,6,FALSE)),"")))</f>
        <v>мс</v>
      </c>
      <c r="BJ124">
        <f>IF(V124&lt;&gt;"",V124,IF(D124="","",IFERROR(IF(VLOOKUP(AT124,Потребители_обозначение,7,FALSE)=0,"",VLOOKUP(AT124,Потребители_обозначение,7,FALSE)),"")))</f>
        <v>3</v>
      </c>
      <c r="BK124">
        <f>IF(W124&lt;&gt;"",W124,IF(D124="","",IFERROR(IF(VLOOKUP(AT124,Потребители_обозначение,10,FALSE)=0,"",VLOOKUP(AT124,Потребители_обозначение,10,FALSE)),"")))</f>
        <v>1.5</v>
      </c>
      <c r="BL124">
        <f>IFERROR(VLOOKUP(AT124,Потребители_обозначение,5,FALSE),0)</f>
        <v>1</v>
      </c>
      <c r="BM124" cm="1">
        <f t="array" ref="BM124">IF(D124="","",IF(BA124&lt;&gt;"",IFERROR(_xlfn.XLOOKUP(BA124,Щиты[Щит],Щиты[cos φ]),0.95),IF(ISNUMBER(M124),M124,IFERROR(IF(BL124=2,_xlfn.IFS(BH124=3,VLOOKUP(BF124,Справочная_двигатели,8,FALSE),BH124=1,VLOOKUP(BF124,Справочная_двигатели,10,TRUE)),IF(AND(Методика="нормы 2026",CN124="Сил"),0.8,0.95)),0.95))))</f>
        <v>0.95</v>
      </c>
      <c r="BN124" cm="1">
        <f t="array" ref="BN124">IF(D124="","",IF(BA124&lt;&gt;"",IFERROR(_xlfn.XLOOKUP(BA124,Щиты[Щит],Щиты[Iр, А]),""),IFERROR(_xlfn.IFS(BH124=1,BF124/((Uн_лин/SQRT(3))*BM124),BH124=3,BF124/(SQRT(3)*Uн_лин*BM124)),"")))</f>
        <v>0.74751666431919972</v>
      </c>
      <c r="BO124">
        <f>IF(D124="","",IF(N(X124)=0,IFERROR(VLOOKUP(BN124,Автомат_номиналы,2,TRUE),""),X124))</f>
        <v>10</v>
      </c>
      <c r="BP124">
        <f t="shared" si="97"/>
        <v>1</v>
      </c>
      <c r="BQ124">
        <f>IF(ISNUMBER(Y124),Y124,К_прокл)</f>
        <v>1</v>
      </c>
      <c r="BR124">
        <f t="shared" si="98"/>
        <v>2</v>
      </c>
      <c r="BS124" cm="1">
        <f t="array" ref="BS124">IF(D124="","",IF(N(BK124)&lt;&gt;0,BK124,IFERROR(_xlfn.LET(_xlpm.need,BO124/(BP124*BQ124),_xlpm.t,CHOOSE(BR124,Iдоп_1ж,Iдоп_2ж,Iдоп_3ж),_xlpm.k,_xlfn.XMATCH(_xlpm.need,_xlpm.t,1),IF(ISNA(_xlpm.k),"Не исп",INDEX(Iдоп_S,_xlpm.k))),"Не исп")))</f>
        <v>1.5</v>
      </c>
      <c r="BT124">
        <f>IFERROR(VLOOKUP(BS124,Кабель_сопротивление,3,FALSE),"")</f>
        <v>2.2499999999999999E-2</v>
      </c>
      <c r="BU124">
        <f>IFERROR(VLOOKUP(BS124,Кабель_сопротивление,2,FALSE),"")</f>
        <v>0.11</v>
      </c>
      <c r="BV124">
        <f t="shared" si="99"/>
        <v>72</v>
      </c>
      <c r="BW124">
        <f>IF(D124="","",IFERROR(IF(VLOOKUP(AT124,Потребители_обозначение,4,FALSE)=1,VLOOKUP(AT124,Потребители_обозначение,3,FALSE)*(H124*2-1)+BV124+VLOOKUP(AV124,Этаж_обозначение,3,FALSE)+VLOOKUP(AV124,Этаж_обозначение,4,FALSE),VLOOKUP(AT124,Потребители_обозначение,3,FALSE)*(H124*2-1)+BV124),BV124))</f>
        <v>74</v>
      </c>
      <c r="BX124">
        <f t="shared" si="100"/>
        <v>14</v>
      </c>
      <c r="BY124">
        <f t="shared" si="101"/>
        <v>0</v>
      </c>
      <c r="BZ124">
        <f t="shared" si="102"/>
        <v>2</v>
      </c>
      <c r="CA124">
        <f t="shared" si="103"/>
        <v>0.31</v>
      </c>
      <c r="CB124">
        <f t="shared" si="104"/>
        <v>1.5802852121506785</v>
      </c>
      <c r="CC124">
        <f>IFERROR(ROUNDUP(CB124/((Uн_лин/SQRT(3))*1000)*100,2),"")</f>
        <v>0.69000000000000006</v>
      </c>
      <c r="CD124">
        <f>IF(ISNUMBER(CC124),CC124+IFERROR(_xlfn.XLOOKUP(A124,Щиты[Щит],Щиты[ΔU до шин, %]),0),"")</f>
        <v>0.93</v>
      </c>
      <c r="CE124">
        <f>IF(D124="","",IF(IFERROR(VLOOKUP(AT124,УГО_спр,2,FALSE),"")="Светильник",3,4)+IF(Методика="нормы 2026",MIN(0.5,MAX(0,N(BW124)-100)*0.005),0))</f>
        <v>4</v>
      </c>
      <c r="CF124" t="str">
        <f>IFERROR(VLOOKUP(BI124,Кабель_обозначение,2,FALSE),"")</f>
        <v>ВВГнг(А)-LS</v>
      </c>
      <c r="CG124" t="str">
        <f>IFERROR(IF(VLOOKUP(BI124,Кабель_обозначение,3,FALSE)=1,CF124&amp;" ("&amp;BJ124&amp;"х"&amp;BS124&amp;")",CF124),"")</f>
        <v>ВВГнг(А)-LS (3х1,5)</v>
      </c>
      <c r="CH124" t="str">
        <f t="shared" si="105"/>
        <v>ВВГнг(А)-LS (3х1,5)
L=74-0,69%</v>
      </c>
      <c r="CI124">
        <f>IFERROR(2*ρкз_Cu*BW124/BS124,"")</f>
        <v>2.5949333333333331</v>
      </c>
      <c r="CJ124">
        <f t="shared" si="106"/>
        <v>0.8633333333333334</v>
      </c>
      <c r="CK124" t="str">
        <f>IFERROR(IF(OR(D124="",NOT(ISNUMBER(BS124)),N(BW124)=0),"",_xlfn.XLOOKUP(A124,Щиты[Щит],Щиты[Zпетли на шинах, Ом])+CI124),"")</f>
        <v/>
      </c>
      <c r="CL124" t="str">
        <f>IF(ISNUMBER(CK124),c_min*(Uн_лин*1000/SQRT(3))/CK124,"")</f>
        <v/>
      </c>
      <c r="CM124" t="str">
        <f>IFERROR(IF(OR(D124="",NOT(ISNUMBER(BS124))),"",1.05*(Uн_лин*1000/SQRT(3))/(_xlfn.XLOOKUP(A124,Щиты[Щит],Щиты[Zmax на шинах, Ом])+CJ124)/1000),"")</f>
        <v/>
      </c>
      <c r="CN124" t="str">
        <f>IF(D124="","",IF(BA124&lt;&gt;"","Щит",IF(K124&lt;&gt;"",K124,IF(ISNUMBER(L124),"Сил",IF(IFERROR(_xlfn.XLOOKUP(AT124,Коды_код,Коды_группа)&amp;"","")="","Быт",_xlfn.XLOOKUP(AT124,Коды_код,Коды_группа)&amp;"")))))</f>
        <v>Сил</v>
      </c>
      <c r="CO124">
        <f>IF(CN124="Щит","щит",IF(CN124="","",IF(CN124="Быт",IFERROR(_xlfn.XLOOKUP(A124,Щиты[Щит],Щиты[Кс быт]),1),IF(CN124="Сил",IF(ISNUMBER(L124),L124,IF(Методика="нормы 2026",IFERROR(_xlfn.XLOOKUP(A124,Щиты[Щит],Щиты[Кс силовых (табл. 7.5)]),1),1)),IF(OR(CN124="Пост",CN124="Отоп"),1,IF(CN124="ВНГ",0.7,0))))))</f>
        <v>0.5</v>
      </c>
      <c r="CP124">
        <f t="shared" si="107"/>
        <v>1</v>
      </c>
      <c r="CQ124">
        <f t="shared" si="108"/>
        <v>0.16400000000000001</v>
      </c>
      <c r="CR124">
        <f t="shared" si="109"/>
        <v>0</v>
      </c>
      <c r="CS124">
        <f t="shared" si="110"/>
        <v>8.2000000000000003E-2</v>
      </c>
      <c r="CT124">
        <f t="shared" si="111"/>
        <v>0</v>
      </c>
      <c r="CU124">
        <f t="shared" si="112"/>
        <v>0</v>
      </c>
      <c r="CV124">
        <f t="shared" si="113"/>
        <v>0</v>
      </c>
      <c r="CW124">
        <f t="shared" si="114"/>
        <v>0.16400000000000001</v>
      </c>
      <c r="CX124">
        <f t="shared" si="115"/>
        <v>0.15579999999999999</v>
      </c>
      <c r="CY124">
        <f t="shared" si="116"/>
        <v>3</v>
      </c>
      <c r="CZ124" t="str">
        <f t="shared" si="117"/>
        <v>L3</v>
      </c>
      <c r="DA124" cm="1">
        <f t="array" ref="DA124">IFERROR(IF(BL124=2,_xlfn.IFS(BH124=3,VLOOKUP(BF124,Справочная_двигатели,3,FALSE),BH124=1,VLOOKUP(BF124,Справочная_двигатели,5,TRUE)),0),0)</f>
        <v>0</v>
      </c>
      <c r="DB124">
        <f>IFERROR(IF(BL124=3,VLOOKUP(BF124,Справочная_ЛЭД,2,TRUE),0),0)</f>
        <v>0</v>
      </c>
      <c r="DC124">
        <f t="shared" si="118"/>
        <v>0</v>
      </c>
      <c r="DD124" t="str">
        <f t="shared" si="119"/>
        <v>L3</v>
      </c>
      <c r="DE124" t="str" cm="1">
        <f t="array" ref="DE124">IF(D124="","",IFERROR(INDEX({"I особая","I","II","III"},MATCH(TRIM(AA124&amp;""),{"I особая","I","II","III"},0)),"III"))</f>
        <v>II</v>
      </c>
      <c r="DF124" t="str">
        <f>IF(D124="","",IF(TRIM(AB124&amp;"")&lt;&gt;"",IF(LOWER(TRIM(AB124&amp;""))="да","да","нет"),IF(IFERROR(_xlfn.XLOOKUP(AT124,Коды_код,Коды_пожарная),"")="да","да","нет")))</f>
        <v>нет</v>
      </c>
      <c r="DG124" t="str">
        <f t="shared" si="120"/>
        <v/>
      </c>
      <c r="DH124" t="str">
        <f t="shared" si="121"/>
        <v>основная</v>
      </c>
      <c r="DI124">
        <f t="shared" si="122"/>
        <v>1</v>
      </c>
      <c r="DJ124" t="str" cm="1">
        <f t="array" ref="DJ124">IF(D124="","",_xlfn.LET(_xlpm.t,IFERROR(_xlfn.XLOOKUP(1,(Шины[Шина]=DH124)*(((Шины[Щит]=A124)+(Шины[Щит]=""))&gt;0),Шины[Тип]),"")&amp;"",IF(_xlpm.t&lt;&gt;"",_xlpm.t,IF(ISNUMBER(SEARCH("ИБП",DH124)),"ИБП",IF(ISNUMBER(SEARCH("ДГУ",DH124)),"ДГУ","Ввод "&amp;DI124)))))</f>
        <v>Ввод 1</v>
      </c>
      <c r="DK124" t="str">
        <f t="shared" si="123"/>
        <v>Ввод 1</v>
      </c>
      <c r="DL124" t="str">
        <f>IF(D124="","",IF(OR(DJ124="ИБП",DJ124="ДГУ"),"I особая",IF(DJ124="Одиночная","III",_xlfn.XLOOKUP(A124,Щиты[Щит],Щиты[Категория шины «Ввод»],"III"))))</f>
        <v>II</v>
      </c>
      <c r="DM124">
        <f>IF(D124="",0,IFERROR(MATCH(DE124,{"III","II","I","I особая"},0),1))</f>
        <v>2</v>
      </c>
      <c r="DN124">
        <f t="shared" si="124"/>
        <v>2</v>
      </c>
      <c r="DO124" t="str">
        <f>IF(D124="","",IF(DM124&gt;IFERROR(MATCH(DL124,{"III","II","I","I особая"},0),1),"НЕ ОБЕСПЕЧЕНА","ОК"))</f>
        <v>ОК</v>
      </c>
      <c r="DP124" t="str">
        <f>IF(A124="","",_xlfn.XLOOKUP(A124,Щиты[Щит],Щиты[Путь],""))</f>
        <v>|ГРЩ-ЖД|ЩОВ-01|</v>
      </c>
      <c r="DQ124" t="str">
        <f>IF(D124="","",IF(Z124&lt;&gt;"",Z124,IF(IFERROR(_xlfn.XLOOKUP(AT124,Коды_код,Коды_вид)&amp;"","")="","Прочее",_xlfn.XLOOKUP(AT124,Коды_код,Коды_вид)&amp;"")))</f>
        <v>Кондиционирование и увлажнение</v>
      </c>
      <c r="DR124">
        <f>IF(BD124="","",INT((BD124-1)/Столбцов_на_лист)+1)</f>
        <v>3</v>
      </c>
      <c r="DS124" t="str">
        <f t="shared" si="125"/>
        <v>ВВГнг(А)-LS (3х1,5) L=74-0,69%</v>
      </c>
      <c r="DT124">
        <f t="shared" si="126"/>
        <v>0.16400000000000001</v>
      </c>
      <c r="DU124">
        <f t="shared" si="127"/>
        <v>0.75</v>
      </c>
      <c r="DV124">
        <f t="shared" si="128"/>
        <v>1</v>
      </c>
      <c r="DW124">
        <f>IF(AT124="",0,_xlfn.LET(_xlpm.v,IFERROR(VLOOKUP(D124,УГО_спр,3,FALSE),IFERROR(VLOOKUP(AT124,УГО_спр,3,FALSE),IFERROR(VLOOKUP(LEFT(AT124,2),УГО_спр,3,FALSE),""))),IF(_xlpm.v="да",30,IF(ISNUMBER(_xlpm.v),_xlpm.v,0))))</f>
        <v>0</v>
      </c>
      <c r="DX124">
        <f t="shared" si="129"/>
        <v>0</v>
      </c>
      <c r="DY124">
        <f>IF(BD124="","",IF(AD124&lt;&gt;"",COUNTIFS(A$3:A124,A124,AD$3:AD124,"?*"),IF(OR(OR(AS124=1,A124&lt;&gt;A123),AL124="вручную"),"",IF(AS124=1,"",DZ123))))</f>
        <v>22</v>
      </c>
      <c r="DZ124">
        <f t="shared" si="130"/>
        <v>22</v>
      </c>
      <c r="EA124">
        <f>IF(D124="",0,MAX(IFERROR(--X124,0),IFERROR(--VLOOKUP(D124,УГО_спр,4,FALSE),IFERROR(--VLOOKUP(AT124,УГО_спр,4,FALSE),IFERROR(--VLOOKUP(LEFT(AT124,2),УГО_спр,4,FALSE),0)))))</f>
        <v>10</v>
      </c>
      <c r="EB124">
        <f>IF(D124="","",IFERROR(LOOKUP(INDEX(CHOOSE(BR124,Iдоп_1ж,Iдоп_2ж,Iдоп_3ж),MATCH(BS124,Iдоп_S,0))*BP124*BQ124,{6,10,16,20,25,32,40,50,63,80,100,125,160,200,250,315,400,500,630}),""))</f>
        <v>16</v>
      </c>
      <c r="EC124">
        <f>IF(AD124="","",SUMIFS(Линии[_Ток схемы],Линии[_гр.],DY124,Линии[Щит],A124,Линии[_в кабель выше],0))</f>
        <v>0.75</v>
      </c>
      <c r="ED124">
        <f>IF(AD124="","",IFERROR(VLOOKUP(EC124,Автомат_номиналы,2,TRUE),""))</f>
        <v>6</v>
      </c>
      <c r="EE124">
        <f>IF(AD124="","",MAX(N(ED124),_xlfn.MAXIFS(Линии[_мин. по типу],Линии[_гр.],DY124,Линии[Щит],A124)))</f>
        <v>10</v>
      </c>
      <c r="EF124">
        <f>IF(AD124="","",_xlfn.MINIFS(Линии[_макс. автомат по кабелю],Линии[_гр.],DY124,Линии[Щит],A124))</f>
        <v>16</v>
      </c>
      <c r="EG124">
        <f>IF(AD124="","",MAX(1,_xlfn.MAXIFS(Линии[_фаз],Линии[_гр.],DY124,Линии[Щит],A124)))</f>
        <v>1</v>
      </c>
      <c r="EH124">
        <f>IF(AD124="","",IF(AND(AD124&lt;&gt;"авто",AD124&lt;&gt;"+"),IF(ISNUMBER(SEARCH("мА",AD124)),IFERROR(--TRIM(RIGHT(SUBSTITUTE(LEFT(AD124,SEARCH("мА",AD124)-1)," ",REPT(" ",9)),6)),30),0),IF(AE124="нет",0,IF(ISNUMBER(AE124),AE124,IF(AE124="да",30,_xlfn.MINIFS(Линии[_дифзащита по коду, мА],Линии[_гр.],DY124,Линии[Щит],A124,Линии[_дифзащита по коду, мА],"&gt;0"))))))</f>
        <v>0</v>
      </c>
      <c r="EI124">
        <f t="shared" si="131"/>
        <v>0</v>
      </c>
      <c r="EJ124" t="str">
        <f t="shared" si="132"/>
        <v>QF22</v>
      </c>
      <c r="EK124" t="str">
        <f t="shared" si="133"/>
        <v>QF22</v>
      </c>
      <c r="EL124" t="str">
        <f t="shared" si="134"/>
        <v/>
      </c>
      <c r="EM124">
        <f t="shared" si="135"/>
        <v>0</v>
      </c>
      <c r="EN124">
        <f>IF(AD124="","",IF(EM124=1,MAX(EE124,Мин_автомат_БП),EE124))</f>
        <v>10</v>
      </c>
      <c r="EO124" t="str">
        <f t="shared" si="136"/>
        <v>1P</v>
      </c>
      <c r="EP124" t="str">
        <f t="shared" si="137"/>
        <v>1P С10А</v>
      </c>
      <c r="EQ124">
        <f t="shared" si="138"/>
        <v>10</v>
      </c>
      <c r="ER124" t="str">
        <f>IF(OR(AI124="",AI124="-"),"",IFERROR(VLOOKUP(AI124,Модули_спр,2,FALSE),"R"))</f>
        <v/>
      </c>
      <c r="ES124" t="str">
        <f>IF(ER124="","",ER124&amp;"."&amp;COUNTIFS(A$3:A124,A124,ER$3:ER124,ER124))</f>
        <v/>
      </c>
      <c r="ET124" t="str">
        <f t="shared" si="139"/>
        <v/>
      </c>
      <c r="EU124" t="str">
        <f t="shared" si="140"/>
        <v/>
      </c>
      <c r="EV124" t="str">
        <f t="shared" si="141"/>
        <v/>
      </c>
      <c r="EW124" t="str">
        <f t="shared" si="142"/>
        <v/>
      </c>
      <c r="EX124">
        <f t="shared" si="143"/>
        <v>1</v>
      </c>
      <c r="EY124" t="str">
        <f>IF(AK124="нет","",IF(AK124&lt;&gt;"",AK124,IF(EX124=1,"XT"&amp;COUNTIFS(A$3:A124,A124,EX$3:EX124,1),"")))</f>
        <v/>
      </c>
      <c r="EZ124" t="str">
        <f t="shared" si="144"/>
        <v>QF22</v>
      </c>
      <c r="FA124" t="str">
        <f t="shared" si="145"/>
        <v/>
      </c>
      <c r="FB124" t="str">
        <f t="shared" si="146"/>
        <v>ok</v>
      </c>
      <c r="FC124" t="str">
        <f>IF(OR(EV124="",ET124=""),"",IF(EV124&gt;IFERROR(VLOOKUP(EU124,Модули_спр,3,FALSE),99),"ЛИШНИЙ КАНАЛ",IF(AND(AJ124&lt;&gt;"=",COUNTIFS(Линии[_модуль гр.],ET124,Линии[Канал (итог)],EV124,Линии[Канал],"&lt;&gt;=",Линии[Щит],A124)&gt;1),"ДУБЛЬ КАНАЛА","")))</f>
        <v/>
      </c>
      <c r="FD124">
        <f t="shared" si="147"/>
        <v>10</v>
      </c>
      <c r="FE124" t="str">
        <f t="shared" si="148"/>
        <v>1P С10А</v>
      </c>
      <c r="FF124">
        <f t="shared" si="149"/>
        <v>0</v>
      </c>
      <c r="FG124">
        <f t="shared" si="150"/>
        <v>0</v>
      </c>
      <c r="FH124" t="str">
        <f t="shared" si="151"/>
        <v/>
      </c>
      <c r="FI124">
        <f t="shared" si="152"/>
        <v>10</v>
      </c>
      <c r="FJ124" t="str">
        <f t="shared" si="153"/>
        <v/>
      </c>
      <c r="FK124" t="str">
        <f>IF(AND(D124="",EZ124=""),"",_xlfn.TEXTJOIN("; ",TRUE,IF(AND(D124&lt;&gt;"",DD124=""),"нет фазы",""),IF(AND(D124&lt;&gt;"",N(DT124)=0,CN124&lt;&gt;"Нет"),"нет мощности",""),IF(AND(EY124&lt;&gt;"",COUNTIFS(Линии[Щит],A124,Линии[Клемма (итог)],EY124)&gt;1),"дубль клеммы "&amp;EY124,""),IF(AND(FB124&lt;&gt;"",FB124&lt;&gt;"ok"),FB124,""),IF(FC124&lt;&gt;"",FC124,""),IF(AND(ISNUMBER(SEARCH("(5х",DS124)),N(DV124)=1),"5 жил на 1 фазе",""),IF(AND(AT124="R",AD124&lt;&gt;"",OR(N(EH124)=0,N(EH124)&gt;30)),"розетка без дифзащиты до 30 мА",""),IFERROR(IF(AND(ISNUMBER(CD124),CD124&gt;CE124),"потери "&amp;FIXED(CD124,1)&amp;" % &gt; "&amp;CE124&amp;" %",""),""),IFERROR(IF(LEFT(FJ124,4)="мало","Iкз мало — отключение &gt; 0,4 с",""),""),IF(AND(D124&lt;&gt;"",BD124=""),"не на схеме","")))</f>
        <v/>
      </c>
      <c r="FL124">
        <f>IF(AD124="","",_xlfn.LET(_xlpm.t,IFERROR(_xlfn.XLOOKUP(EP124,Каталог!$U$4:$U$500,Каталог!$G$4:$G$500),""),_xlpm.k,SEARCH("кА",_xlpm.t),IFERROR(--TRIM(RIGHT(SUBSTITUTE(MID(_xlpm.t,MAX(1,_xlpm.k-4),_xlpm.k-MAX(1,_xlpm.k-4))," ",REPT(" ",9)),5)),"")))</f>
        <v>6</v>
      </c>
      <c r="FM124" t="str">
        <f>IF(OR(FL124="",AD124=""),"",IF(_xlfn.XLOOKUP(A124,Щиты[Щит],Щиты[Iкз max на шинах, кА],"")="","",IF(FL124&lt;_xlfn.XLOOKUP(A124,Щиты[Щит],Щиты[Iкз max на шинах, кА]),"Icu "&amp;FL124&amp;" кА &lt; Iкз max","ok")))</f>
        <v/>
      </c>
      <c r="FN124" t="str">
        <f t="shared" si="154"/>
        <v>QF22</v>
      </c>
      <c r="FO124" t="str">
        <f t="shared" si="155"/>
        <v>QF22|кабель ВВГнг(А)-LS (3х1,5) → Внутренний блок кондиционирования первый этаж Пом. №003Б</v>
      </c>
      <c r="FP124" t="str" cm="1">
        <f t="array" ref="FP124">IF(FO124="","",_xlfn.LET(_xlpm.nd,_xlfn.TEXTSPLIT(FO124,"|"),IF(COLUMNS(_xlpm.nd)&gt;1,A124&amp;"¦"&amp;INDEX(_xlpm.nd,1)&amp;"¦"&amp;INDEX(_xlpm.nd,2),"")))</f>
        <v>ЩОВ-01¦QF22¦кабель ВВГнг(А)-LS (3х1,5) → Внутренний блок кондиционирования первый этаж Пом. №003Б</v>
      </c>
      <c r="FQ124" t="str">
        <f t="shared" si="156"/>
        <v>K.1.007A¦Внутренний блок кондиционирования первый этаж Пом. №003Б</v>
      </c>
      <c r="FR124" t="str" cm="1">
        <f t="array" ref="FR124">IF(FO124="","",_xlfn.LET(_xlpm.nd,_xlfn.TEXTSPLIT(FO124,"|"),IF(COLUMNS(_xlpm.nd)&gt;2,A124&amp;"¦"&amp;INDEX(_xlpm.nd,2)&amp;"¦"&amp;INDEX(_xlpm.nd,3),"")))</f>
        <v/>
      </c>
      <c r="FS124" t="str">
        <f t="shared" si="157"/>
        <v/>
      </c>
      <c r="FT124" t="str" cm="1">
        <f t="array" ref="FT124">IF(FO124="","",_xlfn.LET(_xlpm.nd,_xlfn.TEXTSPLIT(FO124,"|"),IF(COLUMNS(_xlpm.nd)&gt;3,A124&amp;"¦"&amp;INDEX(_xlpm.nd,3)&amp;"¦"&amp;INDEX(_xlpm.nd,4),"")))</f>
        <v/>
      </c>
      <c r="FU124" t="str">
        <f t="shared" si="158"/>
        <v/>
      </c>
      <c r="FV124" t="str" cm="1">
        <f t="array" ref="FV124">IF(FO124="","",_xlfn.LET(_xlpm.nd,_xlfn.TEXTSPLIT(FO124,"|"),IF(COLUMNS(_xlpm.nd)&gt;4,A124&amp;"¦"&amp;INDEX(_xlpm.nd,4)&amp;"¦"&amp;INDEX(_xlpm.nd,5),"")))</f>
        <v/>
      </c>
      <c r="FW124" t="str">
        <f t="shared" si="159"/>
        <v/>
      </c>
      <c r="FX124" t="str" cm="1">
        <f t="array" ref="FX124">IF(FO124="","",_xlfn.LET(_xlpm.nd,_xlfn.TEXTSPLIT(FO124,"|"),IF(COLUMNS(_xlpm.nd)&gt;5,A124&amp;"¦"&amp;INDEX(_xlpm.nd,5)&amp;"¦"&amp;INDEX(_xlpm.nd,6),"")))</f>
        <v/>
      </c>
      <c r="FY124" t="str">
        <f t="shared" si="160"/>
        <v/>
      </c>
      <c r="FZ124" t="str" cm="1">
        <f t="array" ref="FZ124">IF(FO124="","",_xlfn.LET(_xlpm.nd,_xlfn.TEXTSPLIT(FO124,"|"),IF(COLUMNS(_xlpm.nd)&gt;6,A124&amp;"¦"&amp;INDEX(_xlpm.nd,6)&amp;"¦"&amp;INDEX(_xlpm.nd,7),"")))</f>
        <v/>
      </c>
      <c r="GA124" t="str">
        <f t="shared" si="161"/>
        <v/>
      </c>
      <c r="GB124" t="str">
        <f t="shared" si="162"/>
        <v/>
      </c>
      <c r="GC124" t="str">
        <f t="shared" si="163"/>
        <v>QF22</v>
      </c>
      <c r="GD124">
        <f t="shared" si="164"/>
        <v>1</v>
      </c>
      <c r="GE124">
        <f t="shared" si="165"/>
        <v>0</v>
      </c>
      <c r="GF124">
        <f t="shared" si="166"/>
        <v>0</v>
      </c>
      <c r="GG124" t="str">
        <f t="shared" si="167"/>
        <v/>
      </c>
      <c r="GH124" t="str">
        <f t="shared" si="168"/>
        <v/>
      </c>
      <c r="GI124" t="str">
        <f t="shared" si="169"/>
        <v/>
      </c>
      <c r="GJ124" t="str">
        <f t="shared" si="170"/>
        <v/>
      </c>
      <c r="GK124">
        <f>IF(D124="","",IFERROR(VLOOKUP(D124,УГО_спр,2,FALSE),IFERROR(VLOOKUP(AT124,УГО_спр,2,FALSE),IFERROR(VLOOKUP(LEFT(AT124,2),УГО_спр,2,FALSE),""))))</f>
        <v>0</v>
      </c>
      <c r="GL124" t="str">
        <f>IF(D124="","",IF(OR(GK124="",GK124=0),"BOX",IFERROR(IF(VLOOKUP(GK124,УГО_блоки,3,FALSE)&amp;""&lt;&gt;"",VLOOKUP(GK124,УГО_блоки,3,FALSE),VLOOKUP(GK124,УГО_блоки,2,FALSE)),GK124)))</f>
        <v>BOX</v>
      </c>
      <c r="GM124">
        <f t="shared" si="171"/>
        <v>1</v>
      </c>
      <c r="GN124" t="str">
        <f>IF(EP124="","",IF(COUNTIF(EP$3:EP124,EP124)=1,MAX(GN$2:GN123)+1,""))</f>
        <v/>
      </c>
      <c r="GO124" t="str">
        <f>IF(AF124="","",IF(COUNTIF(AF$3:AF124,AF124)+COUNTIF(AG$2:AG123,AF124)+COUNTIF(AH$2:AH123,AF124)=1,MAX(GO$2:GQ123)+1,""))</f>
        <v/>
      </c>
      <c r="GP124" t="str">
        <f>IF(AG124="","",IF(COUNTIF(AF$3:AF124,AG124)+COUNTIF(AG$3:AG124,AG124)+COUNTIF(AH$2:AH123,AG124)=1,MAX(GO$2:GQ123,GO124)+1,""))</f>
        <v/>
      </c>
      <c r="GQ124" t="str">
        <f>IF(AH124="","",IF(COUNTIF(AF$3:AF124,AH124)+COUNTIF(AG$3:AG124,AH124)+COUNTIF(AH$3:AH124,AH124)=1,MAX(GO$2:GQ123,GO124,GP124)+1,""))</f>
        <v/>
      </c>
      <c r="GR124" t="str">
        <f t="shared" si="172"/>
        <v>3х1,5</v>
      </c>
      <c r="GS124" t="str">
        <f>IF(GR124="","",IF(COUNTIF(GR$3:GR124,GR124)=1,MAX(GS$2:GS123)+1,""))</f>
        <v/>
      </c>
      <c r="GT124" t="str">
        <f>IF(ES124="","",COUNTIF(ES$3:ES124,"?*"))</f>
        <v/>
      </c>
      <c r="GU124" t="str">
        <f>IF(OR(ES124="",EU124=""),"",IF(COUNTIFS(ES$3:ES124,"?*",EU$3:EU124,EU124)=1,MAX(GU$2:GU123)+1,""))</f>
        <v/>
      </c>
      <c r="GV124">
        <f t="shared" si="173"/>
        <v>0</v>
      </c>
      <c r="GW124">
        <f>IF(D124="","",COUNTIF(D$3:D124,"?*"))</f>
        <v>122</v>
      </c>
      <c r="GX124">
        <f>IF(EX124&lt;&gt;1,0,_xlfn.LET(_xlpm.k,MAX(IFERROR(--VLOOKUP(D124,УГО_спр,5,FALSE),0),IFERROR(--VLOOKUP(AT124,УГО_спр,5,FALSE),0),IFERROR(--VLOOKUP(LEFT(AT124,2),УГО_спр,5,FALSE),0)),IF(_xlpm.k&gt;0,_xlpm.k,IF(IFERROR(--LEFT(SUBSTITUTE(GR124,"x","х"),FIND("х",SUBSTITUTE(GR124,"x","х"))-1),3)&gt;3,Каталог!$S$9,1))))</f>
        <v>1</v>
      </c>
      <c r="GY124">
        <f t="shared" si="174"/>
        <v>0</v>
      </c>
    </row>
    <row r="125" spans="1:207" x14ac:dyDescent="0.3">
      <c r="A125" t="s">
        <v>750</v>
      </c>
      <c r="B125">
        <v>39</v>
      </c>
      <c r="C125" t="str">
        <f>IF(BD125="","",IF(BE125="вводной узел","узел ","")&amp;"л."&amp;(INT((BD125-1)/Столбцов_на_лист)+1)&amp;" / "&amp;(MOD(BD125-1,Столбцов_на_лист)+1))</f>
        <v>л.3 / 5</v>
      </c>
      <c r="D125" t="s">
        <v>1422</v>
      </c>
      <c r="E125" s="133" t="s">
        <v>1421</v>
      </c>
      <c r="G125">
        <v>0.16400000000000001</v>
      </c>
      <c r="H125">
        <v>1</v>
      </c>
      <c r="I125">
        <v>1</v>
      </c>
      <c r="J125">
        <v>230</v>
      </c>
      <c r="K125" t="s">
        <v>602</v>
      </c>
      <c r="L125">
        <v>0.5</v>
      </c>
      <c r="O125">
        <v>1</v>
      </c>
      <c r="P125">
        <v>74</v>
      </c>
      <c r="Q125">
        <v>60</v>
      </c>
      <c r="R125">
        <v>16</v>
      </c>
      <c r="T125">
        <v>1</v>
      </c>
      <c r="U125" t="s">
        <v>11</v>
      </c>
      <c r="V125">
        <v>3</v>
      </c>
      <c r="W125">
        <v>1.5</v>
      </c>
      <c r="X125">
        <v>10</v>
      </c>
      <c r="Z125" t="s">
        <v>580</v>
      </c>
      <c r="AA125" t="s">
        <v>818</v>
      </c>
      <c r="AD125" t="s">
        <v>517</v>
      </c>
      <c r="AK125" t="s">
        <v>488</v>
      </c>
      <c r="AR125" t="str">
        <f t="shared" si="88"/>
        <v/>
      </c>
      <c r="AS125" cm="1">
        <f t="array" ref="AS125">ROW()-ROW(Линии[#Headers])</f>
        <v>123</v>
      </c>
      <c r="AT125" t="str">
        <f t="shared" si="89"/>
        <v>K</v>
      </c>
      <c r="AU125" t="str">
        <f t="shared" si="90"/>
        <v>1.010A</v>
      </c>
      <c r="AV125" t="str">
        <f t="shared" si="91"/>
        <v>1</v>
      </c>
      <c r="AW125" t="str">
        <f t="shared" si="92"/>
        <v>010A</v>
      </c>
      <c r="AX125" t="str">
        <f t="shared" si="93"/>
        <v>010A</v>
      </c>
      <c r="AY125" t="str">
        <f>IF(D125="","",IF(ISERROR(SEARCH(".",D125)),IFERROR(VLOOKUP(D125,Потребители_обозначение,2,FALSE)&amp;"",""),IFERROR(IF(VLOOKUP(AT125,Потребители_обозначение,4,FALSE)=1,VLOOKUP(AT125,Потребители_обозначение,2,FALSE)&amp;" "&amp;VLOOKUP(AV125,Этаж_обозначение,2,FALSE)&amp;" Пом. №"&amp;AX125,VLOOKUP(AT125,Потребители_обозначение,2,FALSE)&amp;" Шлейф №"&amp;AV125),IFERROR(VLOOKUP(D125,Потребители_обозначение,2,FALSE),""))))</f>
        <v>Внутренний блок кондиционирования Первый этаж Пом. №010A</v>
      </c>
      <c r="AZ125" t="str">
        <f t="shared" si="94"/>
        <v>Внутренний блок кондиционирования первый этаж Пом. №003Б</v>
      </c>
      <c r="BA125" t="str">
        <f>IF(F125&lt;&gt;"",F125,IF(AND(D125&lt;&gt;"",D125&lt;&gt;A125,ISNUMBER(_xlfn.XMATCH(D125,Щиты[Щит]))),D125,""))</f>
        <v/>
      </c>
      <c r="BB125">
        <f>IFERROR(_xlfn.XMATCH(A125,Щиты[Щит]),0)</f>
        <v>6</v>
      </c>
      <c r="BC125">
        <f>IFERROR(N(_xlfn.XLOOKUP(A125,Щиты[Щит],Щиты[Мест под вводной узел])),15)</f>
        <v>12</v>
      </c>
      <c r="BD125">
        <f t="shared" si="95"/>
        <v>39</v>
      </c>
      <c r="BE125" t="str">
        <f t="shared" si="96"/>
        <v>линии</v>
      </c>
      <c r="BF125">
        <f>IF(D125="","",IF(BA125&lt;&gt;"",IFERROR(_xlfn.XLOOKUP(BA125,Щиты[Щит],Щиты[Руст, кВт]),0),N(G125)))</f>
        <v>0.16400000000000001</v>
      </c>
      <c r="BG125">
        <f>IF(J125&lt;&gt;"",J125,IF(D125="","",IFERROR(IF(VLOOKUP(AT125,Потребители_обозначение,8,FALSE)=0,"",VLOOKUP(AT125,Потребители_обозначение,8,FALSE)),"")))</f>
        <v>230</v>
      </c>
      <c r="BH125">
        <f>IF(I125&lt;&gt;"",I125,IF(D125="","",IFERROR(IF(VLOOKUP(AT125,Потребители_обозначение,9,FALSE)=0,"",VLOOKUP(AT125,Потребители_обозначение,9,FALSE)),"")))</f>
        <v>1</v>
      </c>
      <c r="BI125" t="str">
        <f>IF(U125&lt;&gt;"",U125,IF(D125="","",IFERROR(IF(VLOOKUP(AT125,Потребители_обозначение,6,FALSE)=0,"",VLOOKUP(AT125,Потребители_обозначение,6,FALSE)),"")))</f>
        <v>мс</v>
      </c>
      <c r="BJ125">
        <f>IF(V125&lt;&gt;"",V125,IF(D125="","",IFERROR(IF(VLOOKUP(AT125,Потребители_обозначение,7,FALSE)=0,"",VLOOKUP(AT125,Потребители_обозначение,7,FALSE)),"")))</f>
        <v>3</v>
      </c>
      <c r="BK125">
        <f>IF(W125&lt;&gt;"",W125,IF(D125="","",IFERROR(IF(VLOOKUP(AT125,Потребители_обозначение,10,FALSE)=0,"",VLOOKUP(AT125,Потребители_обозначение,10,FALSE)),"")))</f>
        <v>1.5</v>
      </c>
      <c r="BL125">
        <f>IFERROR(VLOOKUP(AT125,Потребители_обозначение,5,FALSE),0)</f>
        <v>1</v>
      </c>
      <c r="BM125" cm="1">
        <f t="array" ref="BM125">IF(D125="","",IF(BA125&lt;&gt;"",IFERROR(_xlfn.XLOOKUP(BA125,Щиты[Щит],Щиты[cos φ]),0.95),IF(ISNUMBER(M125),M125,IFERROR(IF(BL125=2,_xlfn.IFS(BH125=3,VLOOKUP(BF125,Справочная_двигатели,8,FALSE),BH125=1,VLOOKUP(BF125,Справочная_двигатели,10,TRUE)),IF(AND(Методика="нормы 2026",CN125="Сил"),0.8,0.95)),0.95))))</f>
        <v>0.95</v>
      </c>
      <c r="BN125" cm="1">
        <f t="array" ref="BN125">IF(D125="","",IF(BA125&lt;&gt;"",IFERROR(_xlfn.XLOOKUP(BA125,Щиты[Щит],Щиты[Iр, А]),""),IFERROR(_xlfn.IFS(BH125=1,BF125/((Uн_лин/SQRT(3))*BM125),BH125=3,BF125/(SQRT(3)*Uн_лин*BM125)),"")))</f>
        <v>0.74751666431919972</v>
      </c>
      <c r="BO125">
        <f>IF(D125="","",IF(N(X125)=0,IFERROR(VLOOKUP(BN125,Автомат_номиналы,2,TRUE),""),X125))</f>
        <v>10</v>
      </c>
      <c r="BP125">
        <f t="shared" si="97"/>
        <v>1</v>
      </c>
      <c r="BQ125">
        <f>IF(ISNUMBER(Y125),Y125,К_прокл)</f>
        <v>1</v>
      </c>
      <c r="BR125">
        <f t="shared" si="98"/>
        <v>2</v>
      </c>
      <c r="BS125" cm="1">
        <f t="array" ref="BS125">IF(D125="","",IF(N(BK125)&lt;&gt;0,BK125,IFERROR(_xlfn.LET(_xlpm.need,BO125/(BP125*BQ125),_xlpm.t,CHOOSE(BR125,Iдоп_1ж,Iдоп_2ж,Iдоп_3ж),_xlpm.k,_xlfn.XMATCH(_xlpm.need,_xlpm.t,1),IF(ISNA(_xlpm.k),"Не исп",INDEX(Iдоп_S,_xlpm.k))),"Не исп")))</f>
        <v>1.5</v>
      </c>
      <c r="BT125">
        <f>IFERROR(VLOOKUP(BS125,Кабель_сопротивление,3,FALSE),"")</f>
        <v>2.2499999999999999E-2</v>
      </c>
      <c r="BU125">
        <f>IFERROR(VLOOKUP(BS125,Кабель_сопротивление,2,FALSE),"")</f>
        <v>0.11</v>
      </c>
      <c r="BV125">
        <f t="shared" si="99"/>
        <v>74</v>
      </c>
      <c r="BW125">
        <f>IF(D125="","",IFERROR(IF(VLOOKUP(AT125,Потребители_обозначение,4,FALSE)=1,VLOOKUP(AT125,Потребители_обозначение,3,FALSE)*(H125*2-1)+BV125+VLOOKUP(AV125,Этаж_обозначение,3,FALSE)+VLOOKUP(AV125,Этаж_обозначение,4,FALSE),VLOOKUP(AT125,Потребители_обозначение,3,FALSE)*(H125*2-1)+BV125),BV125))</f>
        <v>76</v>
      </c>
      <c r="BX125">
        <f t="shared" si="100"/>
        <v>16</v>
      </c>
      <c r="BY125">
        <f t="shared" si="101"/>
        <v>0</v>
      </c>
      <c r="BZ125">
        <f t="shared" si="102"/>
        <v>2</v>
      </c>
      <c r="CA125">
        <f t="shared" si="103"/>
        <v>0.31</v>
      </c>
      <c r="CB125">
        <f t="shared" si="104"/>
        <v>1.6229956232898857</v>
      </c>
      <c r="CC125">
        <f>IFERROR(ROUNDUP(CB125/((Uн_лин/SQRT(3))*1000)*100,2),"")</f>
        <v>0.71</v>
      </c>
      <c r="CD125">
        <f>IF(ISNUMBER(CC125),CC125+IFERROR(_xlfn.XLOOKUP(A125,Щиты[Щит],Щиты[ΔU до шин, %]),0),"")</f>
        <v>0.95</v>
      </c>
      <c r="CE125">
        <f>IF(D125="","",IF(IFERROR(VLOOKUP(AT125,УГО_спр,2,FALSE),"")="Светильник",3,4)+IF(Методика="нормы 2026",MIN(0.5,MAX(0,N(BW125)-100)*0.005),0))</f>
        <v>4</v>
      </c>
      <c r="CF125" t="str">
        <f>IFERROR(VLOOKUP(BI125,Кабель_обозначение,2,FALSE),"")</f>
        <v>ВВГнг(А)-LS</v>
      </c>
      <c r="CG125" t="str">
        <f>IFERROR(IF(VLOOKUP(BI125,Кабель_обозначение,3,FALSE)=1,CF125&amp;" ("&amp;BJ125&amp;"х"&amp;BS125&amp;")",CF125),"")</f>
        <v>ВВГнг(А)-LS (3х1,5)</v>
      </c>
      <c r="CH125" t="str">
        <f t="shared" si="105"/>
        <v>ВВГнг(А)-LS (3х1,5)
L=76-0,71%</v>
      </c>
      <c r="CI125">
        <f>IFERROR(2*ρкз_Cu*BW125/BS125,"")</f>
        <v>2.6650666666666667</v>
      </c>
      <c r="CJ125">
        <f t="shared" si="106"/>
        <v>0.88666666666666671</v>
      </c>
      <c r="CK125" t="str">
        <f>IFERROR(IF(OR(D125="",NOT(ISNUMBER(BS125)),N(BW125)=0),"",_xlfn.XLOOKUP(A125,Щиты[Щит],Щиты[Zпетли на шинах, Ом])+CI125),"")</f>
        <v/>
      </c>
      <c r="CL125" t="str">
        <f>IF(ISNUMBER(CK125),c_min*(Uн_лин*1000/SQRT(3))/CK125,"")</f>
        <v/>
      </c>
      <c r="CM125" t="str">
        <f>IFERROR(IF(OR(D125="",NOT(ISNUMBER(BS125))),"",1.05*(Uн_лин*1000/SQRT(3))/(_xlfn.XLOOKUP(A125,Щиты[Щит],Щиты[Zmax на шинах, Ом])+CJ125)/1000),"")</f>
        <v/>
      </c>
      <c r="CN125" t="str">
        <f>IF(D125="","",IF(BA125&lt;&gt;"","Щит",IF(K125&lt;&gt;"",K125,IF(ISNUMBER(L125),"Сил",IF(IFERROR(_xlfn.XLOOKUP(AT125,Коды_код,Коды_группа)&amp;"","")="","Быт",_xlfn.XLOOKUP(AT125,Коды_код,Коды_группа)&amp;"")))))</f>
        <v>Сил</v>
      </c>
      <c r="CO125">
        <f>IF(CN125="Щит","щит",IF(CN125="","",IF(CN125="Быт",IFERROR(_xlfn.XLOOKUP(A125,Щиты[Щит],Щиты[Кс быт]),1),IF(CN125="Сил",IF(ISNUMBER(L125),L125,IF(Методика="нормы 2026",IFERROR(_xlfn.XLOOKUP(A125,Щиты[Щит],Щиты[Кс силовых (табл. 7.5)]),1),1)),IF(OR(CN125="Пост",CN125="Отоп"),1,IF(CN125="ВНГ",0.7,0))))))</f>
        <v>0.5</v>
      </c>
      <c r="CP125">
        <f t="shared" si="107"/>
        <v>1</v>
      </c>
      <c r="CQ125">
        <f t="shared" si="108"/>
        <v>0.16400000000000001</v>
      </c>
      <c r="CR125">
        <f t="shared" si="109"/>
        <v>0</v>
      </c>
      <c r="CS125">
        <f t="shared" si="110"/>
        <v>8.2000000000000003E-2</v>
      </c>
      <c r="CT125">
        <f t="shared" si="111"/>
        <v>0</v>
      </c>
      <c r="CU125">
        <f t="shared" si="112"/>
        <v>0</v>
      </c>
      <c r="CV125">
        <f t="shared" si="113"/>
        <v>0</v>
      </c>
      <c r="CW125">
        <f t="shared" si="114"/>
        <v>0.16400000000000001</v>
      </c>
      <c r="CX125">
        <f t="shared" si="115"/>
        <v>0.15579999999999999</v>
      </c>
      <c r="CY125">
        <f t="shared" si="116"/>
        <v>1</v>
      </c>
      <c r="CZ125" t="str">
        <f t="shared" si="117"/>
        <v>L1</v>
      </c>
      <c r="DA125" cm="1">
        <f t="array" ref="DA125">IFERROR(IF(BL125=2,_xlfn.IFS(BH125=3,VLOOKUP(BF125,Справочная_двигатели,3,FALSE),BH125=1,VLOOKUP(BF125,Справочная_двигатели,5,TRUE)),0),0)</f>
        <v>0</v>
      </c>
      <c r="DB125">
        <f>IFERROR(IF(BL125=3,VLOOKUP(BF125,Справочная_ЛЭД,2,TRUE),0),0)</f>
        <v>0</v>
      </c>
      <c r="DC125">
        <f t="shared" si="118"/>
        <v>0</v>
      </c>
      <c r="DD125" t="str">
        <f t="shared" si="119"/>
        <v>L1</v>
      </c>
      <c r="DE125" t="str" cm="1">
        <f t="array" ref="DE125">IF(D125="","",IFERROR(INDEX({"I особая","I","II","III"},MATCH(TRIM(AA125&amp;""),{"I особая","I","II","III"},0)),"III"))</f>
        <v>II</v>
      </c>
      <c r="DF125" t="str">
        <f>IF(D125="","",IF(TRIM(AB125&amp;"")&lt;&gt;"",IF(LOWER(TRIM(AB125&amp;""))="да","да","нет"),IF(IFERROR(_xlfn.XLOOKUP(AT125,Коды_код,Коды_пожарная),"")="да","да","нет")))</f>
        <v>нет</v>
      </c>
      <c r="DG125" t="str">
        <f t="shared" si="120"/>
        <v/>
      </c>
      <c r="DH125" t="str">
        <f t="shared" si="121"/>
        <v>основная</v>
      </c>
      <c r="DI125">
        <f t="shared" si="122"/>
        <v>1</v>
      </c>
      <c r="DJ125" t="str" cm="1">
        <f t="array" ref="DJ125">IF(D125="","",_xlfn.LET(_xlpm.t,IFERROR(_xlfn.XLOOKUP(1,(Шины[Шина]=DH125)*(((Шины[Щит]=A125)+(Шины[Щит]=""))&gt;0),Шины[Тип]),"")&amp;"",IF(_xlpm.t&lt;&gt;"",_xlpm.t,IF(ISNUMBER(SEARCH("ИБП",DH125)),"ИБП",IF(ISNUMBER(SEARCH("ДГУ",DH125)),"ДГУ","Ввод "&amp;DI125)))))</f>
        <v>Ввод 1</v>
      </c>
      <c r="DK125" t="str">
        <f t="shared" si="123"/>
        <v>Ввод 1</v>
      </c>
      <c r="DL125" t="str">
        <f>IF(D125="","",IF(OR(DJ125="ИБП",DJ125="ДГУ"),"I особая",IF(DJ125="Одиночная","III",_xlfn.XLOOKUP(A125,Щиты[Щит],Щиты[Категория шины «Ввод»],"III"))))</f>
        <v>II</v>
      </c>
      <c r="DM125">
        <f>IF(D125="",0,IFERROR(MATCH(DE125,{"III","II","I","I особая"},0),1))</f>
        <v>2</v>
      </c>
      <c r="DN125">
        <f t="shared" si="124"/>
        <v>2</v>
      </c>
      <c r="DO125" t="str">
        <f>IF(D125="","",IF(DM125&gt;IFERROR(MATCH(DL125,{"III","II","I","I особая"},0),1),"НЕ ОБЕСПЕЧЕНА","ОК"))</f>
        <v>ОК</v>
      </c>
      <c r="DP125" t="str">
        <f>IF(A125="","",_xlfn.XLOOKUP(A125,Щиты[Щит],Щиты[Путь],""))</f>
        <v>|ГРЩ-ЖД|ЩОВ-01|</v>
      </c>
      <c r="DQ125" t="str">
        <f>IF(D125="","",IF(Z125&lt;&gt;"",Z125,IF(IFERROR(_xlfn.XLOOKUP(AT125,Коды_код,Коды_вид)&amp;"","")="","Прочее",_xlfn.XLOOKUP(AT125,Коды_код,Коды_вид)&amp;"")))</f>
        <v>Кондиционирование и увлажнение</v>
      </c>
      <c r="DR125">
        <f>IF(BD125="","",INT((BD125-1)/Столбцов_на_лист)+1)</f>
        <v>3</v>
      </c>
      <c r="DS125" t="str">
        <f t="shared" si="125"/>
        <v>ВВГнг(А)-LS (3х1,5) L=76-0,71%</v>
      </c>
      <c r="DT125">
        <f t="shared" si="126"/>
        <v>0.16400000000000001</v>
      </c>
      <c r="DU125">
        <f t="shared" si="127"/>
        <v>0.75</v>
      </c>
      <c r="DV125">
        <f t="shared" si="128"/>
        <v>1</v>
      </c>
      <c r="DW125">
        <f>IF(AT125="",0,_xlfn.LET(_xlpm.v,IFERROR(VLOOKUP(D125,УГО_спр,3,FALSE),IFERROR(VLOOKUP(AT125,УГО_спр,3,FALSE),IFERROR(VLOOKUP(LEFT(AT125,2),УГО_спр,3,FALSE),""))),IF(_xlpm.v="да",30,IF(ISNUMBER(_xlpm.v),_xlpm.v,0))))</f>
        <v>0</v>
      </c>
      <c r="DX125">
        <f t="shared" si="129"/>
        <v>0</v>
      </c>
      <c r="DY125">
        <f>IF(BD125="","",IF(AD125&lt;&gt;"",COUNTIFS(A$3:A125,A125,AD$3:AD125,"?*"),IF(OR(OR(AS125=1,A125&lt;&gt;A124),AL125="вручную"),"",IF(AS125=1,"",DZ124))))</f>
        <v>23</v>
      </c>
      <c r="DZ125">
        <f t="shared" si="130"/>
        <v>23</v>
      </c>
      <c r="EA125">
        <f>IF(D125="",0,MAX(IFERROR(--X125,0),IFERROR(--VLOOKUP(D125,УГО_спр,4,FALSE),IFERROR(--VLOOKUP(AT125,УГО_спр,4,FALSE),IFERROR(--VLOOKUP(LEFT(AT125,2),УГО_спр,4,FALSE),0)))))</f>
        <v>10</v>
      </c>
      <c r="EB125">
        <f>IF(D125="","",IFERROR(LOOKUP(INDEX(CHOOSE(BR125,Iдоп_1ж,Iдоп_2ж,Iдоп_3ж),MATCH(BS125,Iдоп_S,0))*BP125*BQ125,{6,10,16,20,25,32,40,50,63,80,100,125,160,200,250,315,400,500,630}),""))</f>
        <v>16</v>
      </c>
      <c r="EC125">
        <f>IF(AD125="","",SUMIFS(Линии[_Ток схемы],Линии[_гр.],DY125,Линии[Щит],A125,Линии[_в кабель выше],0))</f>
        <v>0.75</v>
      </c>
      <c r="ED125">
        <f>IF(AD125="","",IFERROR(VLOOKUP(EC125,Автомат_номиналы,2,TRUE),""))</f>
        <v>6</v>
      </c>
      <c r="EE125">
        <f>IF(AD125="","",MAX(N(ED125),_xlfn.MAXIFS(Линии[_мин. по типу],Линии[_гр.],DY125,Линии[Щит],A125)))</f>
        <v>10</v>
      </c>
      <c r="EF125">
        <f>IF(AD125="","",_xlfn.MINIFS(Линии[_макс. автомат по кабелю],Линии[_гр.],DY125,Линии[Щит],A125))</f>
        <v>16</v>
      </c>
      <c r="EG125">
        <f>IF(AD125="","",MAX(1,_xlfn.MAXIFS(Линии[_фаз],Линии[_гр.],DY125,Линии[Щит],A125)))</f>
        <v>1</v>
      </c>
      <c r="EH125">
        <f>IF(AD125="","",IF(AND(AD125&lt;&gt;"авто",AD125&lt;&gt;"+"),IF(ISNUMBER(SEARCH("мА",AD125)),IFERROR(--TRIM(RIGHT(SUBSTITUTE(LEFT(AD125,SEARCH("мА",AD125)-1)," ",REPT(" ",9)),6)),30),0),IF(AE125="нет",0,IF(ISNUMBER(AE125),AE125,IF(AE125="да",30,_xlfn.MINIFS(Линии[_дифзащита по коду, мА],Линии[_гр.],DY125,Линии[Щит],A125,Линии[_дифзащита по коду, мА],"&gt;0"))))))</f>
        <v>0</v>
      </c>
      <c r="EI125">
        <f t="shared" si="131"/>
        <v>0</v>
      </c>
      <c r="EJ125" t="str">
        <f t="shared" si="132"/>
        <v>QF23</v>
      </c>
      <c r="EK125" t="str">
        <f t="shared" si="133"/>
        <v>QF23</v>
      </c>
      <c r="EL125" t="str">
        <f t="shared" si="134"/>
        <v/>
      </c>
      <c r="EM125">
        <f t="shared" si="135"/>
        <v>0</v>
      </c>
      <c r="EN125">
        <f>IF(AD125="","",IF(EM125=1,MAX(EE125,Мин_автомат_БП),EE125))</f>
        <v>10</v>
      </c>
      <c r="EO125" t="str">
        <f t="shared" si="136"/>
        <v>1P</v>
      </c>
      <c r="EP125" t="str">
        <f t="shared" si="137"/>
        <v>1P С10А</v>
      </c>
      <c r="EQ125">
        <f t="shared" si="138"/>
        <v>10</v>
      </c>
      <c r="ER125" t="str">
        <f>IF(OR(AI125="",AI125="-"),"",IFERROR(VLOOKUP(AI125,Модули_спр,2,FALSE),"R"))</f>
        <v/>
      </c>
      <c r="ES125" t="str">
        <f>IF(ER125="","",ER125&amp;"."&amp;COUNTIFS(A$3:A125,A125,ER$3:ER125,ER125))</f>
        <v/>
      </c>
      <c r="ET125" t="str">
        <f t="shared" si="139"/>
        <v/>
      </c>
      <c r="EU125" t="str">
        <f t="shared" si="140"/>
        <v/>
      </c>
      <c r="EV125" t="str">
        <f t="shared" si="141"/>
        <v/>
      </c>
      <c r="EW125" t="str">
        <f t="shared" si="142"/>
        <v/>
      </c>
      <c r="EX125">
        <f t="shared" si="143"/>
        <v>1</v>
      </c>
      <c r="EY125" t="str">
        <f>IF(AK125="нет","",IF(AK125&lt;&gt;"",AK125,IF(EX125=1,"XT"&amp;COUNTIFS(A$3:A125,A125,EX$3:EX125,1),"")))</f>
        <v/>
      </c>
      <c r="EZ125" t="str">
        <f t="shared" si="144"/>
        <v>QF23</v>
      </c>
      <c r="FA125" t="str">
        <f t="shared" si="145"/>
        <v/>
      </c>
      <c r="FB125" t="str">
        <f t="shared" si="146"/>
        <v>ok</v>
      </c>
      <c r="FC125" t="str">
        <f>IF(OR(EV125="",ET125=""),"",IF(EV125&gt;IFERROR(VLOOKUP(EU125,Модули_спр,3,FALSE),99),"ЛИШНИЙ КАНАЛ",IF(AND(AJ125&lt;&gt;"=",COUNTIFS(Линии[_модуль гр.],ET125,Линии[Канал (итог)],EV125,Линии[Канал],"&lt;&gt;=",Линии[Щит],A125)&gt;1),"ДУБЛЬ КАНАЛА","")))</f>
        <v/>
      </c>
      <c r="FD125">
        <f t="shared" si="147"/>
        <v>10</v>
      </c>
      <c r="FE125" t="str">
        <f t="shared" si="148"/>
        <v>1P С10А</v>
      </c>
      <c r="FF125">
        <f t="shared" si="149"/>
        <v>0</v>
      </c>
      <c r="FG125">
        <f t="shared" si="150"/>
        <v>0</v>
      </c>
      <c r="FH125" t="str">
        <f t="shared" si="151"/>
        <v/>
      </c>
      <c r="FI125">
        <f t="shared" si="152"/>
        <v>10</v>
      </c>
      <c r="FJ125" t="str">
        <f t="shared" si="153"/>
        <v/>
      </c>
      <c r="FK125" t="str">
        <f>IF(AND(D125="",EZ125=""),"",_xlfn.TEXTJOIN("; ",TRUE,IF(AND(D125&lt;&gt;"",DD125=""),"нет фазы",""),IF(AND(D125&lt;&gt;"",N(DT125)=0,CN125&lt;&gt;"Нет"),"нет мощности",""),IF(AND(EY125&lt;&gt;"",COUNTIFS(Линии[Щит],A125,Линии[Клемма (итог)],EY125)&gt;1),"дубль клеммы "&amp;EY125,""),IF(AND(FB125&lt;&gt;"",FB125&lt;&gt;"ok"),FB125,""),IF(FC125&lt;&gt;"",FC125,""),IF(AND(ISNUMBER(SEARCH("(5х",DS125)),N(DV125)=1),"5 жил на 1 фазе",""),IF(AND(AT125="R",AD125&lt;&gt;"",OR(N(EH125)=0,N(EH125)&gt;30)),"розетка без дифзащиты до 30 мА",""),IFERROR(IF(AND(ISNUMBER(CD125),CD125&gt;CE125),"потери "&amp;FIXED(CD125,1)&amp;" % &gt; "&amp;CE125&amp;" %",""),""),IFERROR(IF(LEFT(FJ125,4)="мало","Iкз мало — отключение &gt; 0,4 с",""),""),IF(AND(D125&lt;&gt;"",BD125=""),"не на схеме","")))</f>
        <v/>
      </c>
      <c r="FL125">
        <f>IF(AD125="","",_xlfn.LET(_xlpm.t,IFERROR(_xlfn.XLOOKUP(EP125,Каталог!$U$4:$U$500,Каталог!$G$4:$G$500),""),_xlpm.k,SEARCH("кА",_xlpm.t),IFERROR(--TRIM(RIGHT(SUBSTITUTE(MID(_xlpm.t,MAX(1,_xlpm.k-4),_xlpm.k-MAX(1,_xlpm.k-4))," ",REPT(" ",9)),5)),"")))</f>
        <v>6</v>
      </c>
      <c r="FM125" t="str">
        <f>IF(OR(FL125="",AD125=""),"",IF(_xlfn.XLOOKUP(A125,Щиты[Щит],Щиты[Iкз max на шинах, кА],"")="","",IF(FL125&lt;_xlfn.XLOOKUP(A125,Щиты[Щит],Щиты[Iкз max на шинах, кА]),"Icu "&amp;FL125&amp;" кА &lt; Iкз max","ok")))</f>
        <v/>
      </c>
      <c r="FN125" t="str">
        <f t="shared" si="154"/>
        <v>QF23</v>
      </c>
      <c r="FO125" t="str">
        <f t="shared" si="155"/>
        <v>QF23|кабель ВВГнг(А)-LS (3х1,5) → Внутренний блок кондиционирования первый этаж Пом. №003Б</v>
      </c>
      <c r="FP125" t="str" cm="1">
        <f t="array" ref="FP125">IF(FO125="","",_xlfn.LET(_xlpm.nd,_xlfn.TEXTSPLIT(FO125,"|"),IF(COLUMNS(_xlpm.nd)&gt;1,A125&amp;"¦"&amp;INDEX(_xlpm.nd,1)&amp;"¦"&amp;INDEX(_xlpm.nd,2),"")))</f>
        <v>ЩОВ-01¦QF23¦кабель ВВГнг(А)-LS (3х1,5) → Внутренний блок кондиционирования первый этаж Пом. №003Б</v>
      </c>
      <c r="FQ125" t="str">
        <f t="shared" si="156"/>
        <v>K.1.010A¦Внутренний блок кондиционирования первый этаж Пом. №003Б</v>
      </c>
      <c r="FR125" t="str" cm="1">
        <f t="array" ref="FR125">IF(FO125="","",_xlfn.LET(_xlpm.nd,_xlfn.TEXTSPLIT(FO125,"|"),IF(COLUMNS(_xlpm.nd)&gt;2,A125&amp;"¦"&amp;INDEX(_xlpm.nd,2)&amp;"¦"&amp;INDEX(_xlpm.nd,3),"")))</f>
        <v/>
      </c>
      <c r="FS125" t="str">
        <f t="shared" si="157"/>
        <v/>
      </c>
      <c r="FT125" t="str" cm="1">
        <f t="array" ref="FT125">IF(FO125="","",_xlfn.LET(_xlpm.nd,_xlfn.TEXTSPLIT(FO125,"|"),IF(COLUMNS(_xlpm.nd)&gt;3,A125&amp;"¦"&amp;INDEX(_xlpm.nd,3)&amp;"¦"&amp;INDEX(_xlpm.nd,4),"")))</f>
        <v/>
      </c>
      <c r="FU125" t="str">
        <f t="shared" si="158"/>
        <v/>
      </c>
      <c r="FV125" t="str" cm="1">
        <f t="array" ref="FV125">IF(FO125="","",_xlfn.LET(_xlpm.nd,_xlfn.TEXTSPLIT(FO125,"|"),IF(COLUMNS(_xlpm.nd)&gt;4,A125&amp;"¦"&amp;INDEX(_xlpm.nd,4)&amp;"¦"&amp;INDEX(_xlpm.nd,5),"")))</f>
        <v/>
      </c>
      <c r="FW125" t="str">
        <f t="shared" si="159"/>
        <v/>
      </c>
      <c r="FX125" t="str" cm="1">
        <f t="array" ref="FX125">IF(FO125="","",_xlfn.LET(_xlpm.nd,_xlfn.TEXTSPLIT(FO125,"|"),IF(COLUMNS(_xlpm.nd)&gt;5,A125&amp;"¦"&amp;INDEX(_xlpm.nd,5)&amp;"¦"&amp;INDEX(_xlpm.nd,6),"")))</f>
        <v/>
      </c>
      <c r="FY125" t="str">
        <f t="shared" si="160"/>
        <v/>
      </c>
      <c r="FZ125" t="str" cm="1">
        <f t="array" ref="FZ125">IF(FO125="","",_xlfn.LET(_xlpm.nd,_xlfn.TEXTSPLIT(FO125,"|"),IF(COLUMNS(_xlpm.nd)&gt;6,A125&amp;"¦"&amp;INDEX(_xlpm.nd,6)&amp;"¦"&amp;INDEX(_xlpm.nd,7),"")))</f>
        <v/>
      </c>
      <c r="GA125" t="str">
        <f t="shared" si="161"/>
        <v/>
      </c>
      <c r="GB125" t="str">
        <f t="shared" si="162"/>
        <v/>
      </c>
      <c r="GC125" t="str">
        <f t="shared" si="163"/>
        <v>QF23</v>
      </c>
      <c r="GD125">
        <f t="shared" si="164"/>
        <v>1</v>
      </c>
      <c r="GE125">
        <f t="shared" si="165"/>
        <v>0</v>
      </c>
      <c r="GF125">
        <f t="shared" si="166"/>
        <v>0</v>
      </c>
      <c r="GG125" t="str">
        <f t="shared" si="167"/>
        <v/>
      </c>
      <c r="GH125" t="str">
        <f t="shared" si="168"/>
        <v/>
      </c>
      <c r="GI125" t="str">
        <f t="shared" si="169"/>
        <v/>
      </c>
      <c r="GJ125" t="str">
        <f t="shared" si="170"/>
        <v/>
      </c>
      <c r="GK125">
        <f>IF(D125="","",IFERROR(VLOOKUP(D125,УГО_спр,2,FALSE),IFERROR(VLOOKUP(AT125,УГО_спр,2,FALSE),IFERROR(VLOOKUP(LEFT(AT125,2),УГО_спр,2,FALSE),""))))</f>
        <v>0</v>
      </c>
      <c r="GL125" t="str">
        <f>IF(D125="","",IF(OR(GK125="",GK125=0),"BOX",IFERROR(IF(VLOOKUP(GK125,УГО_блоки,3,FALSE)&amp;""&lt;&gt;"",VLOOKUP(GK125,УГО_блоки,3,FALSE),VLOOKUP(GK125,УГО_блоки,2,FALSE)),GK125)))</f>
        <v>BOX</v>
      </c>
      <c r="GM125">
        <f t="shared" si="171"/>
        <v>1</v>
      </c>
      <c r="GN125" t="str">
        <f>IF(EP125="","",IF(COUNTIF(EP$3:EP125,EP125)=1,MAX(GN$2:GN124)+1,""))</f>
        <v/>
      </c>
      <c r="GO125" t="str">
        <f>IF(AF125="","",IF(COUNTIF(AF$3:AF125,AF125)+COUNTIF(AG$2:AG124,AF125)+COUNTIF(AH$2:AH124,AF125)=1,MAX(GO$2:GQ124)+1,""))</f>
        <v/>
      </c>
      <c r="GP125" t="str">
        <f>IF(AG125="","",IF(COUNTIF(AF$3:AF125,AG125)+COUNTIF(AG$3:AG125,AG125)+COUNTIF(AH$2:AH124,AG125)=1,MAX(GO$2:GQ124,GO125)+1,""))</f>
        <v/>
      </c>
      <c r="GQ125" t="str">
        <f>IF(AH125="","",IF(COUNTIF(AF$3:AF125,AH125)+COUNTIF(AG$3:AG125,AH125)+COUNTIF(AH$3:AH125,AH125)=1,MAX(GO$2:GQ124,GO125,GP125)+1,""))</f>
        <v/>
      </c>
      <c r="GR125" t="str">
        <f t="shared" si="172"/>
        <v>3х1,5</v>
      </c>
      <c r="GS125" t="str">
        <f>IF(GR125="","",IF(COUNTIF(GR$3:GR125,GR125)=1,MAX(GS$2:GS124)+1,""))</f>
        <v/>
      </c>
      <c r="GT125" t="str">
        <f>IF(ES125="","",COUNTIF(ES$3:ES125,"?*"))</f>
        <v/>
      </c>
      <c r="GU125" t="str">
        <f>IF(OR(ES125="",EU125=""),"",IF(COUNTIFS(ES$3:ES125,"?*",EU$3:EU125,EU125)=1,MAX(GU$2:GU124)+1,""))</f>
        <v/>
      </c>
      <c r="GV125">
        <f t="shared" si="173"/>
        <v>0</v>
      </c>
      <c r="GW125">
        <f>IF(D125="","",COUNTIF(D$3:D125,"?*"))</f>
        <v>123</v>
      </c>
      <c r="GX125">
        <f>IF(EX125&lt;&gt;1,0,_xlfn.LET(_xlpm.k,MAX(IFERROR(--VLOOKUP(D125,УГО_спр,5,FALSE),0),IFERROR(--VLOOKUP(AT125,УГО_спр,5,FALSE),0),IFERROR(--VLOOKUP(LEFT(AT125,2),УГО_спр,5,FALSE),0)),IF(_xlpm.k&gt;0,_xlpm.k,IF(IFERROR(--LEFT(SUBSTITUTE(GR125,"x","х"),FIND("х",SUBSTITUTE(GR125,"x","х"))-1),3)&gt;3,Каталог!$S$9,1))))</f>
        <v>1</v>
      </c>
      <c r="GY125">
        <f t="shared" si="174"/>
        <v>0</v>
      </c>
    </row>
    <row r="126" spans="1:207" x14ac:dyDescent="0.3">
      <c r="A126" t="s">
        <v>750</v>
      </c>
      <c r="B126">
        <v>40</v>
      </c>
      <c r="C126" t="str">
        <f>IF(BD126="","",IF(BE126="вводной узел","узел ","")&amp;"л."&amp;(INT((BD126-1)/Столбцов_на_лист)+1)&amp;" / "&amp;(MOD(BD126-1,Столбцов_на_лист)+1))</f>
        <v>л.3 / 6</v>
      </c>
      <c r="D126" t="s">
        <v>1423</v>
      </c>
      <c r="E126" s="133" t="s">
        <v>1419</v>
      </c>
      <c r="G126">
        <v>0.16400000000000001</v>
      </c>
      <c r="H126">
        <v>1</v>
      </c>
      <c r="I126">
        <v>1</v>
      </c>
      <c r="J126">
        <v>230</v>
      </c>
      <c r="K126" t="s">
        <v>602</v>
      </c>
      <c r="L126">
        <v>0.5</v>
      </c>
      <c r="O126">
        <v>2</v>
      </c>
      <c r="P126">
        <v>70</v>
      </c>
      <c r="Q126">
        <v>58</v>
      </c>
      <c r="R126">
        <v>14</v>
      </c>
      <c r="T126">
        <v>1</v>
      </c>
      <c r="U126" t="s">
        <v>11</v>
      </c>
      <c r="V126">
        <v>3</v>
      </c>
      <c r="W126">
        <v>1.5</v>
      </c>
      <c r="X126">
        <v>10</v>
      </c>
      <c r="Z126" t="s">
        <v>580</v>
      </c>
      <c r="AA126" t="s">
        <v>818</v>
      </c>
      <c r="AD126" t="s">
        <v>517</v>
      </c>
      <c r="AK126" t="s">
        <v>488</v>
      </c>
      <c r="AR126" t="str">
        <f t="shared" si="88"/>
        <v/>
      </c>
      <c r="AS126" cm="1">
        <f t="array" ref="AS126">ROW()-ROW(Линии[#Headers])</f>
        <v>124</v>
      </c>
      <c r="AT126" t="str">
        <f t="shared" si="89"/>
        <v>K</v>
      </c>
      <c r="AU126" t="str">
        <f t="shared" si="90"/>
        <v>1.011A</v>
      </c>
      <c r="AV126" t="str">
        <f t="shared" si="91"/>
        <v>1</v>
      </c>
      <c r="AW126" t="str">
        <f t="shared" si="92"/>
        <v>011A</v>
      </c>
      <c r="AX126" t="str">
        <f t="shared" si="93"/>
        <v>011A</v>
      </c>
      <c r="AY126" t="str">
        <f>IF(D126="","",IF(ISERROR(SEARCH(".",D126)),IFERROR(VLOOKUP(D126,Потребители_обозначение,2,FALSE)&amp;"",""),IFERROR(IF(VLOOKUP(AT126,Потребители_обозначение,4,FALSE)=1,VLOOKUP(AT126,Потребители_обозначение,2,FALSE)&amp;" "&amp;VLOOKUP(AV126,Этаж_обозначение,2,FALSE)&amp;" Пом. №"&amp;AX126,VLOOKUP(AT126,Потребители_обозначение,2,FALSE)&amp;" Шлейф №"&amp;AV126),IFERROR(VLOOKUP(D126,Потребители_обозначение,2,FALSE),""))))</f>
        <v>Внутренний блок кондиционирования Первый этаж Пом. №011A</v>
      </c>
      <c r="AZ126" t="str">
        <f t="shared" si="94"/>
        <v>Внутренний блок кондиционирования первый этаж Пом. №002Б</v>
      </c>
      <c r="BA126" t="str">
        <f>IF(F126&lt;&gt;"",F126,IF(AND(D126&lt;&gt;"",D126&lt;&gt;A126,ISNUMBER(_xlfn.XMATCH(D126,Щиты[Щит]))),D126,""))</f>
        <v/>
      </c>
      <c r="BB126">
        <f>IFERROR(_xlfn.XMATCH(A126,Щиты[Щит]),0)</f>
        <v>6</v>
      </c>
      <c r="BC126">
        <f>IFERROR(N(_xlfn.XLOOKUP(A126,Щиты[Щит],Щиты[Мест под вводной узел])),15)</f>
        <v>12</v>
      </c>
      <c r="BD126">
        <f t="shared" si="95"/>
        <v>40</v>
      </c>
      <c r="BE126" t="str">
        <f t="shared" si="96"/>
        <v>линии</v>
      </c>
      <c r="BF126">
        <f>IF(D126="","",IF(BA126&lt;&gt;"",IFERROR(_xlfn.XLOOKUP(BA126,Щиты[Щит],Щиты[Руст, кВт]),0),N(G126)))</f>
        <v>0.16400000000000001</v>
      </c>
      <c r="BG126">
        <f>IF(J126&lt;&gt;"",J126,IF(D126="","",IFERROR(IF(VLOOKUP(AT126,Потребители_обозначение,8,FALSE)=0,"",VLOOKUP(AT126,Потребители_обозначение,8,FALSE)),"")))</f>
        <v>230</v>
      </c>
      <c r="BH126">
        <f>IF(I126&lt;&gt;"",I126,IF(D126="","",IFERROR(IF(VLOOKUP(AT126,Потребители_обозначение,9,FALSE)=0,"",VLOOKUP(AT126,Потребители_обозначение,9,FALSE)),"")))</f>
        <v>1</v>
      </c>
      <c r="BI126" t="str">
        <f>IF(U126&lt;&gt;"",U126,IF(D126="","",IFERROR(IF(VLOOKUP(AT126,Потребители_обозначение,6,FALSE)=0,"",VLOOKUP(AT126,Потребители_обозначение,6,FALSE)),"")))</f>
        <v>мс</v>
      </c>
      <c r="BJ126">
        <f>IF(V126&lt;&gt;"",V126,IF(D126="","",IFERROR(IF(VLOOKUP(AT126,Потребители_обозначение,7,FALSE)=0,"",VLOOKUP(AT126,Потребители_обозначение,7,FALSE)),"")))</f>
        <v>3</v>
      </c>
      <c r="BK126">
        <f>IF(W126&lt;&gt;"",W126,IF(D126="","",IFERROR(IF(VLOOKUP(AT126,Потребители_обозначение,10,FALSE)=0,"",VLOOKUP(AT126,Потребители_обозначение,10,FALSE)),"")))</f>
        <v>1.5</v>
      </c>
      <c r="BL126">
        <f>IFERROR(VLOOKUP(AT126,Потребители_обозначение,5,FALSE),0)</f>
        <v>1</v>
      </c>
      <c r="BM126" cm="1">
        <f t="array" ref="BM126">IF(D126="","",IF(BA126&lt;&gt;"",IFERROR(_xlfn.XLOOKUP(BA126,Щиты[Щит],Щиты[cos φ]),0.95),IF(ISNUMBER(M126),M126,IFERROR(IF(BL126=2,_xlfn.IFS(BH126=3,VLOOKUP(BF126,Справочная_двигатели,8,FALSE),BH126=1,VLOOKUP(BF126,Справочная_двигатели,10,TRUE)),IF(AND(Методика="нормы 2026",CN126="Сил"),0.8,0.95)),0.95))))</f>
        <v>0.95</v>
      </c>
      <c r="BN126" cm="1">
        <f t="array" ref="BN126">IF(D126="","",IF(BA126&lt;&gt;"",IFERROR(_xlfn.XLOOKUP(BA126,Щиты[Щит],Щиты[Iр, А]),""),IFERROR(_xlfn.IFS(BH126=1,BF126/((Uн_лин/SQRT(3))*BM126),BH126=3,BF126/(SQRT(3)*Uн_лин*BM126)),"")))</f>
        <v>0.74751666431919972</v>
      </c>
      <c r="BO126">
        <f>IF(D126="","",IF(N(X126)=0,IFERROR(VLOOKUP(BN126,Автомат_номиналы,2,TRUE),""),X126))</f>
        <v>10</v>
      </c>
      <c r="BP126">
        <f t="shared" si="97"/>
        <v>1</v>
      </c>
      <c r="BQ126">
        <f>IF(ISNUMBER(Y126),Y126,К_прокл)</f>
        <v>1</v>
      </c>
      <c r="BR126">
        <f t="shared" si="98"/>
        <v>2</v>
      </c>
      <c r="BS126" cm="1">
        <f t="array" ref="BS126">IF(D126="","",IF(N(BK126)&lt;&gt;0,BK126,IFERROR(_xlfn.LET(_xlpm.need,BO126/(BP126*BQ126),_xlpm.t,CHOOSE(BR126,Iдоп_1ж,Iдоп_2ж,Iдоп_3ж),_xlpm.k,_xlfn.XMATCH(_xlpm.need,_xlpm.t,1),IF(ISNA(_xlpm.k),"Не исп",INDEX(Iдоп_S,_xlpm.k))),"Не исп")))</f>
        <v>1.5</v>
      </c>
      <c r="BT126">
        <f>IFERROR(VLOOKUP(BS126,Кабель_сопротивление,3,FALSE),"")</f>
        <v>2.2499999999999999E-2</v>
      </c>
      <c r="BU126">
        <f>IFERROR(VLOOKUP(BS126,Кабель_сопротивление,2,FALSE),"")</f>
        <v>0.11</v>
      </c>
      <c r="BV126">
        <f t="shared" si="99"/>
        <v>70</v>
      </c>
      <c r="BW126">
        <f>IF(D126="","",IFERROR(IF(VLOOKUP(AT126,Потребители_обозначение,4,FALSE)=1,VLOOKUP(AT126,Потребители_обозначение,3,FALSE)*(H126*2-1)+BV126+VLOOKUP(AV126,Этаж_обозначение,3,FALSE)+VLOOKUP(AV126,Этаж_обозначение,4,FALSE),VLOOKUP(AT126,Потребители_обозначение,3,FALSE)*(H126*2-1)+BV126),BV126))</f>
        <v>72</v>
      </c>
      <c r="BX126">
        <f t="shared" si="100"/>
        <v>14</v>
      </c>
      <c r="BY126">
        <f t="shared" si="101"/>
        <v>0</v>
      </c>
      <c r="BZ126">
        <f t="shared" si="102"/>
        <v>2</v>
      </c>
      <c r="CA126">
        <f t="shared" si="103"/>
        <v>0.31</v>
      </c>
      <c r="CB126">
        <f t="shared" si="104"/>
        <v>1.5375748010114705</v>
      </c>
      <c r="CC126">
        <f>IFERROR(ROUNDUP(CB126/((Uн_лин/SQRT(3))*1000)*100,2),"")</f>
        <v>0.67</v>
      </c>
      <c r="CD126">
        <f>IF(ISNUMBER(CC126),CC126+IFERROR(_xlfn.XLOOKUP(A126,Щиты[Щит],Щиты[ΔU до шин, %]),0),"")</f>
        <v>0.91</v>
      </c>
      <c r="CE126">
        <f>IF(D126="","",IF(IFERROR(VLOOKUP(AT126,УГО_спр,2,FALSE),"")="Светильник",3,4)+IF(Методика="нормы 2026",MIN(0.5,MAX(0,N(BW126)-100)*0.005),0))</f>
        <v>4</v>
      </c>
      <c r="CF126" t="str">
        <f>IFERROR(VLOOKUP(BI126,Кабель_обозначение,2,FALSE),"")</f>
        <v>ВВГнг(А)-LS</v>
      </c>
      <c r="CG126" t="str">
        <f>IFERROR(IF(VLOOKUP(BI126,Кабель_обозначение,3,FALSE)=1,CF126&amp;" ("&amp;BJ126&amp;"х"&amp;BS126&amp;")",CF126),"")</f>
        <v>ВВГнг(А)-LS (3х1,5)</v>
      </c>
      <c r="CH126" t="str">
        <f t="shared" si="105"/>
        <v>ВВГнг(А)-LS (3х1,5)
L=72-0,67%</v>
      </c>
      <c r="CI126">
        <f>IFERROR(2*ρкз_Cu*BW126/BS126,"")</f>
        <v>2.5247999999999999</v>
      </c>
      <c r="CJ126">
        <f t="shared" si="106"/>
        <v>0.84000000000000019</v>
      </c>
      <c r="CK126" t="str">
        <f>IFERROR(IF(OR(D126="",NOT(ISNUMBER(BS126)),N(BW126)=0),"",_xlfn.XLOOKUP(A126,Щиты[Щит],Щиты[Zпетли на шинах, Ом])+CI126),"")</f>
        <v/>
      </c>
      <c r="CL126" t="str">
        <f>IF(ISNUMBER(CK126),c_min*(Uн_лин*1000/SQRT(3))/CK126,"")</f>
        <v/>
      </c>
      <c r="CM126" t="str">
        <f>IFERROR(IF(OR(D126="",NOT(ISNUMBER(BS126))),"",1.05*(Uн_лин*1000/SQRT(3))/(_xlfn.XLOOKUP(A126,Щиты[Щит],Щиты[Zmax на шинах, Ом])+CJ126)/1000),"")</f>
        <v/>
      </c>
      <c r="CN126" t="str">
        <f>IF(D126="","",IF(BA126&lt;&gt;"","Щит",IF(K126&lt;&gt;"",K126,IF(ISNUMBER(L126),"Сил",IF(IFERROR(_xlfn.XLOOKUP(AT126,Коды_код,Коды_группа)&amp;"","")="","Быт",_xlfn.XLOOKUP(AT126,Коды_код,Коды_группа)&amp;"")))))</f>
        <v>Сил</v>
      </c>
      <c r="CO126">
        <f>IF(CN126="Щит","щит",IF(CN126="","",IF(CN126="Быт",IFERROR(_xlfn.XLOOKUP(A126,Щиты[Щит],Щиты[Кс быт]),1),IF(CN126="Сил",IF(ISNUMBER(L126),L126,IF(Методика="нормы 2026",IFERROR(_xlfn.XLOOKUP(A126,Щиты[Щит],Щиты[Кс силовых (табл. 7.5)]),1),1)),IF(OR(CN126="Пост",CN126="Отоп"),1,IF(CN126="ВНГ",0.7,0))))))</f>
        <v>0.5</v>
      </c>
      <c r="CP126">
        <f t="shared" si="107"/>
        <v>1</v>
      </c>
      <c r="CQ126">
        <f t="shared" si="108"/>
        <v>0.16400000000000001</v>
      </c>
      <c r="CR126">
        <f t="shared" si="109"/>
        <v>0</v>
      </c>
      <c r="CS126">
        <f t="shared" si="110"/>
        <v>8.2000000000000003E-2</v>
      </c>
      <c r="CT126">
        <f t="shared" si="111"/>
        <v>0</v>
      </c>
      <c r="CU126">
        <f t="shared" si="112"/>
        <v>0</v>
      </c>
      <c r="CV126">
        <f t="shared" si="113"/>
        <v>0</v>
      </c>
      <c r="CW126">
        <f t="shared" si="114"/>
        <v>0.16400000000000001</v>
      </c>
      <c r="CX126">
        <f t="shared" si="115"/>
        <v>0.15579999999999999</v>
      </c>
      <c r="CY126">
        <f t="shared" si="116"/>
        <v>2</v>
      </c>
      <c r="CZ126" t="str">
        <f t="shared" si="117"/>
        <v>L2</v>
      </c>
      <c r="DA126" cm="1">
        <f t="array" ref="DA126">IFERROR(IF(BL126=2,_xlfn.IFS(BH126=3,VLOOKUP(BF126,Справочная_двигатели,3,FALSE),BH126=1,VLOOKUP(BF126,Справочная_двигатели,5,TRUE)),0),0)</f>
        <v>0</v>
      </c>
      <c r="DB126">
        <f>IFERROR(IF(BL126=3,VLOOKUP(BF126,Справочная_ЛЭД,2,TRUE),0),0)</f>
        <v>0</v>
      </c>
      <c r="DC126">
        <f t="shared" si="118"/>
        <v>0</v>
      </c>
      <c r="DD126" t="str">
        <f t="shared" si="119"/>
        <v>L2</v>
      </c>
      <c r="DE126" t="str" cm="1">
        <f t="array" ref="DE126">IF(D126="","",IFERROR(INDEX({"I особая","I","II","III"},MATCH(TRIM(AA126&amp;""),{"I особая","I","II","III"},0)),"III"))</f>
        <v>II</v>
      </c>
      <c r="DF126" t="str">
        <f>IF(D126="","",IF(TRIM(AB126&amp;"")&lt;&gt;"",IF(LOWER(TRIM(AB126&amp;""))="да","да","нет"),IF(IFERROR(_xlfn.XLOOKUP(AT126,Коды_код,Коды_пожарная),"")="да","да","нет")))</f>
        <v>нет</v>
      </c>
      <c r="DG126" t="str">
        <f t="shared" si="120"/>
        <v/>
      </c>
      <c r="DH126" t="str">
        <f t="shared" si="121"/>
        <v>основная</v>
      </c>
      <c r="DI126">
        <f t="shared" si="122"/>
        <v>1</v>
      </c>
      <c r="DJ126" t="str" cm="1">
        <f t="array" ref="DJ126">IF(D126="","",_xlfn.LET(_xlpm.t,IFERROR(_xlfn.XLOOKUP(1,(Шины[Шина]=DH126)*(((Шины[Щит]=A126)+(Шины[Щит]=""))&gt;0),Шины[Тип]),"")&amp;"",IF(_xlpm.t&lt;&gt;"",_xlpm.t,IF(ISNUMBER(SEARCH("ИБП",DH126)),"ИБП",IF(ISNUMBER(SEARCH("ДГУ",DH126)),"ДГУ","Ввод "&amp;DI126)))))</f>
        <v>Ввод 1</v>
      </c>
      <c r="DK126" t="str">
        <f t="shared" si="123"/>
        <v>Ввод 1</v>
      </c>
      <c r="DL126" t="str">
        <f>IF(D126="","",IF(OR(DJ126="ИБП",DJ126="ДГУ"),"I особая",IF(DJ126="Одиночная","III",_xlfn.XLOOKUP(A126,Щиты[Щит],Щиты[Категория шины «Ввод»],"III"))))</f>
        <v>II</v>
      </c>
      <c r="DM126">
        <f>IF(D126="",0,IFERROR(MATCH(DE126,{"III","II","I","I особая"},0),1))</f>
        <v>2</v>
      </c>
      <c r="DN126">
        <f t="shared" si="124"/>
        <v>2</v>
      </c>
      <c r="DO126" t="str">
        <f>IF(D126="","",IF(DM126&gt;IFERROR(MATCH(DL126,{"III","II","I","I особая"},0),1),"НЕ ОБЕСПЕЧЕНА","ОК"))</f>
        <v>ОК</v>
      </c>
      <c r="DP126" t="str">
        <f>IF(A126="","",_xlfn.XLOOKUP(A126,Щиты[Щит],Щиты[Путь],""))</f>
        <v>|ГРЩ-ЖД|ЩОВ-01|</v>
      </c>
      <c r="DQ126" t="str">
        <f>IF(D126="","",IF(Z126&lt;&gt;"",Z126,IF(IFERROR(_xlfn.XLOOKUP(AT126,Коды_код,Коды_вид)&amp;"","")="","Прочее",_xlfn.XLOOKUP(AT126,Коды_код,Коды_вид)&amp;"")))</f>
        <v>Кондиционирование и увлажнение</v>
      </c>
      <c r="DR126">
        <f>IF(BD126="","",INT((BD126-1)/Столбцов_на_лист)+1)</f>
        <v>3</v>
      </c>
      <c r="DS126" t="str">
        <f t="shared" si="125"/>
        <v>ВВГнг(А)-LS (3х1,5) L=72-0,67%</v>
      </c>
      <c r="DT126">
        <f t="shared" si="126"/>
        <v>0.16400000000000001</v>
      </c>
      <c r="DU126">
        <f t="shared" si="127"/>
        <v>0.75</v>
      </c>
      <c r="DV126">
        <f t="shared" si="128"/>
        <v>1</v>
      </c>
      <c r="DW126">
        <f>IF(AT126="",0,_xlfn.LET(_xlpm.v,IFERROR(VLOOKUP(D126,УГО_спр,3,FALSE),IFERROR(VLOOKUP(AT126,УГО_спр,3,FALSE),IFERROR(VLOOKUP(LEFT(AT126,2),УГО_спр,3,FALSE),""))),IF(_xlpm.v="да",30,IF(ISNUMBER(_xlpm.v),_xlpm.v,0))))</f>
        <v>0</v>
      </c>
      <c r="DX126">
        <f t="shared" si="129"/>
        <v>0</v>
      </c>
      <c r="DY126">
        <f>IF(BD126="","",IF(AD126&lt;&gt;"",COUNTIFS(A$3:A126,A126,AD$3:AD126,"?*"),IF(OR(OR(AS126=1,A126&lt;&gt;A125),AL126="вручную"),"",IF(AS126=1,"",DZ125))))</f>
        <v>24</v>
      </c>
      <c r="DZ126">
        <f t="shared" si="130"/>
        <v>24</v>
      </c>
      <c r="EA126">
        <f>IF(D126="",0,MAX(IFERROR(--X126,0),IFERROR(--VLOOKUP(D126,УГО_спр,4,FALSE),IFERROR(--VLOOKUP(AT126,УГО_спр,4,FALSE),IFERROR(--VLOOKUP(LEFT(AT126,2),УГО_спр,4,FALSE),0)))))</f>
        <v>10</v>
      </c>
      <c r="EB126">
        <f>IF(D126="","",IFERROR(LOOKUP(INDEX(CHOOSE(BR126,Iдоп_1ж,Iдоп_2ж,Iдоп_3ж),MATCH(BS126,Iдоп_S,0))*BP126*BQ126,{6,10,16,20,25,32,40,50,63,80,100,125,160,200,250,315,400,500,630}),""))</f>
        <v>16</v>
      </c>
      <c r="EC126">
        <f>IF(AD126="","",SUMIFS(Линии[_Ток схемы],Линии[_гр.],DY126,Линии[Щит],A126,Линии[_в кабель выше],0))</f>
        <v>0.75</v>
      </c>
      <c r="ED126">
        <f>IF(AD126="","",IFERROR(VLOOKUP(EC126,Автомат_номиналы,2,TRUE),""))</f>
        <v>6</v>
      </c>
      <c r="EE126">
        <f>IF(AD126="","",MAX(N(ED126),_xlfn.MAXIFS(Линии[_мин. по типу],Линии[_гр.],DY126,Линии[Щит],A126)))</f>
        <v>10</v>
      </c>
      <c r="EF126">
        <f>IF(AD126="","",_xlfn.MINIFS(Линии[_макс. автомат по кабелю],Линии[_гр.],DY126,Линии[Щит],A126))</f>
        <v>16</v>
      </c>
      <c r="EG126">
        <f>IF(AD126="","",MAX(1,_xlfn.MAXIFS(Линии[_фаз],Линии[_гр.],DY126,Линии[Щит],A126)))</f>
        <v>1</v>
      </c>
      <c r="EH126">
        <f>IF(AD126="","",IF(AND(AD126&lt;&gt;"авто",AD126&lt;&gt;"+"),IF(ISNUMBER(SEARCH("мА",AD126)),IFERROR(--TRIM(RIGHT(SUBSTITUTE(LEFT(AD126,SEARCH("мА",AD126)-1)," ",REPT(" ",9)),6)),30),0),IF(AE126="нет",0,IF(ISNUMBER(AE126),AE126,IF(AE126="да",30,_xlfn.MINIFS(Линии[_дифзащита по коду, мА],Линии[_гр.],DY126,Линии[Щит],A126,Линии[_дифзащита по коду, мА],"&gt;0"))))))</f>
        <v>0</v>
      </c>
      <c r="EI126">
        <f t="shared" si="131"/>
        <v>0</v>
      </c>
      <c r="EJ126" t="str">
        <f t="shared" si="132"/>
        <v>QF24</v>
      </c>
      <c r="EK126" t="str">
        <f t="shared" si="133"/>
        <v>QF24</v>
      </c>
      <c r="EL126" t="str">
        <f t="shared" si="134"/>
        <v/>
      </c>
      <c r="EM126">
        <f t="shared" si="135"/>
        <v>0</v>
      </c>
      <c r="EN126">
        <f>IF(AD126="","",IF(EM126=1,MAX(EE126,Мин_автомат_БП),EE126))</f>
        <v>10</v>
      </c>
      <c r="EO126" t="str">
        <f t="shared" si="136"/>
        <v>1P</v>
      </c>
      <c r="EP126" t="str">
        <f t="shared" si="137"/>
        <v>1P С10А</v>
      </c>
      <c r="EQ126">
        <f t="shared" si="138"/>
        <v>10</v>
      </c>
      <c r="ER126" t="str">
        <f>IF(OR(AI126="",AI126="-"),"",IFERROR(VLOOKUP(AI126,Модули_спр,2,FALSE),"R"))</f>
        <v/>
      </c>
      <c r="ES126" t="str">
        <f>IF(ER126="","",ER126&amp;"."&amp;COUNTIFS(A$3:A126,A126,ER$3:ER126,ER126))</f>
        <v/>
      </c>
      <c r="ET126" t="str">
        <f t="shared" si="139"/>
        <v/>
      </c>
      <c r="EU126" t="str">
        <f t="shared" si="140"/>
        <v/>
      </c>
      <c r="EV126" t="str">
        <f t="shared" si="141"/>
        <v/>
      </c>
      <c r="EW126" t="str">
        <f t="shared" si="142"/>
        <v/>
      </c>
      <c r="EX126">
        <f t="shared" si="143"/>
        <v>1</v>
      </c>
      <c r="EY126" t="str">
        <f>IF(AK126="нет","",IF(AK126&lt;&gt;"",AK126,IF(EX126=1,"XT"&amp;COUNTIFS(A$3:A126,A126,EX$3:EX126,1),"")))</f>
        <v/>
      </c>
      <c r="EZ126" t="str">
        <f t="shared" si="144"/>
        <v>QF24</v>
      </c>
      <c r="FA126" t="str">
        <f t="shared" si="145"/>
        <v/>
      </c>
      <c r="FB126" t="str">
        <f t="shared" si="146"/>
        <v>ok</v>
      </c>
      <c r="FC126" t="str">
        <f>IF(OR(EV126="",ET126=""),"",IF(EV126&gt;IFERROR(VLOOKUP(EU126,Модули_спр,3,FALSE),99),"ЛИШНИЙ КАНАЛ",IF(AND(AJ126&lt;&gt;"=",COUNTIFS(Линии[_модуль гр.],ET126,Линии[Канал (итог)],EV126,Линии[Канал],"&lt;&gt;=",Линии[Щит],A126)&gt;1),"ДУБЛЬ КАНАЛА","")))</f>
        <v/>
      </c>
      <c r="FD126">
        <f t="shared" si="147"/>
        <v>10</v>
      </c>
      <c r="FE126" t="str">
        <f t="shared" si="148"/>
        <v>1P С10А</v>
      </c>
      <c r="FF126">
        <f t="shared" si="149"/>
        <v>0</v>
      </c>
      <c r="FG126">
        <f t="shared" si="150"/>
        <v>0</v>
      </c>
      <c r="FH126" t="str">
        <f t="shared" si="151"/>
        <v/>
      </c>
      <c r="FI126">
        <f t="shared" si="152"/>
        <v>10</v>
      </c>
      <c r="FJ126" t="str">
        <f t="shared" si="153"/>
        <v/>
      </c>
      <c r="FK126" t="str">
        <f>IF(AND(D126="",EZ126=""),"",_xlfn.TEXTJOIN("; ",TRUE,IF(AND(D126&lt;&gt;"",DD126=""),"нет фазы",""),IF(AND(D126&lt;&gt;"",N(DT126)=0,CN126&lt;&gt;"Нет"),"нет мощности",""),IF(AND(EY126&lt;&gt;"",COUNTIFS(Линии[Щит],A126,Линии[Клемма (итог)],EY126)&gt;1),"дубль клеммы "&amp;EY126,""),IF(AND(FB126&lt;&gt;"",FB126&lt;&gt;"ok"),FB126,""),IF(FC126&lt;&gt;"",FC126,""),IF(AND(ISNUMBER(SEARCH("(5х",DS126)),N(DV126)=1),"5 жил на 1 фазе",""),IF(AND(AT126="R",AD126&lt;&gt;"",OR(N(EH126)=0,N(EH126)&gt;30)),"розетка без дифзащиты до 30 мА",""),IFERROR(IF(AND(ISNUMBER(CD126),CD126&gt;CE126),"потери "&amp;FIXED(CD126,1)&amp;" % &gt; "&amp;CE126&amp;" %",""),""),IFERROR(IF(LEFT(FJ126,4)="мало","Iкз мало — отключение &gt; 0,4 с",""),""),IF(AND(D126&lt;&gt;"",BD126=""),"не на схеме","")))</f>
        <v/>
      </c>
      <c r="FL126">
        <f>IF(AD126="","",_xlfn.LET(_xlpm.t,IFERROR(_xlfn.XLOOKUP(EP126,Каталог!$U$4:$U$500,Каталог!$G$4:$G$500),""),_xlpm.k,SEARCH("кА",_xlpm.t),IFERROR(--TRIM(RIGHT(SUBSTITUTE(MID(_xlpm.t,MAX(1,_xlpm.k-4),_xlpm.k-MAX(1,_xlpm.k-4))," ",REPT(" ",9)),5)),"")))</f>
        <v>6</v>
      </c>
      <c r="FM126" t="str">
        <f>IF(OR(FL126="",AD126=""),"",IF(_xlfn.XLOOKUP(A126,Щиты[Щит],Щиты[Iкз max на шинах, кА],"")="","",IF(FL126&lt;_xlfn.XLOOKUP(A126,Щиты[Щит],Щиты[Iкз max на шинах, кА]),"Icu "&amp;FL126&amp;" кА &lt; Iкз max","ok")))</f>
        <v/>
      </c>
      <c r="FN126" t="str">
        <f t="shared" si="154"/>
        <v>QF24</v>
      </c>
      <c r="FO126" t="str">
        <f t="shared" si="155"/>
        <v>QF24|кабель ВВГнг(А)-LS (3х1,5) → Внутренний блок кондиционирования первый этаж Пом. №002Б</v>
      </c>
      <c r="FP126" t="str" cm="1">
        <f t="array" ref="FP126">IF(FO126="","",_xlfn.LET(_xlpm.nd,_xlfn.TEXTSPLIT(FO126,"|"),IF(COLUMNS(_xlpm.nd)&gt;1,A126&amp;"¦"&amp;INDEX(_xlpm.nd,1)&amp;"¦"&amp;INDEX(_xlpm.nd,2),"")))</f>
        <v>ЩОВ-01¦QF24¦кабель ВВГнг(А)-LS (3х1,5) → Внутренний блок кондиционирования первый этаж Пом. №002Б</v>
      </c>
      <c r="FQ126" t="str">
        <f t="shared" si="156"/>
        <v>K.1.011A¦Внутренний блок кондиционирования первый этаж Пом. №002Б</v>
      </c>
      <c r="FR126" t="str" cm="1">
        <f t="array" ref="FR126">IF(FO126="","",_xlfn.LET(_xlpm.nd,_xlfn.TEXTSPLIT(FO126,"|"),IF(COLUMNS(_xlpm.nd)&gt;2,A126&amp;"¦"&amp;INDEX(_xlpm.nd,2)&amp;"¦"&amp;INDEX(_xlpm.nd,3),"")))</f>
        <v/>
      </c>
      <c r="FS126" t="str">
        <f t="shared" si="157"/>
        <v/>
      </c>
      <c r="FT126" t="str" cm="1">
        <f t="array" ref="FT126">IF(FO126="","",_xlfn.LET(_xlpm.nd,_xlfn.TEXTSPLIT(FO126,"|"),IF(COLUMNS(_xlpm.nd)&gt;3,A126&amp;"¦"&amp;INDEX(_xlpm.nd,3)&amp;"¦"&amp;INDEX(_xlpm.nd,4),"")))</f>
        <v/>
      </c>
      <c r="FU126" t="str">
        <f t="shared" si="158"/>
        <v/>
      </c>
      <c r="FV126" t="str" cm="1">
        <f t="array" ref="FV126">IF(FO126="","",_xlfn.LET(_xlpm.nd,_xlfn.TEXTSPLIT(FO126,"|"),IF(COLUMNS(_xlpm.nd)&gt;4,A126&amp;"¦"&amp;INDEX(_xlpm.nd,4)&amp;"¦"&amp;INDEX(_xlpm.nd,5),"")))</f>
        <v/>
      </c>
      <c r="FW126" t="str">
        <f t="shared" si="159"/>
        <v/>
      </c>
      <c r="FX126" t="str" cm="1">
        <f t="array" ref="FX126">IF(FO126="","",_xlfn.LET(_xlpm.nd,_xlfn.TEXTSPLIT(FO126,"|"),IF(COLUMNS(_xlpm.nd)&gt;5,A126&amp;"¦"&amp;INDEX(_xlpm.nd,5)&amp;"¦"&amp;INDEX(_xlpm.nd,6),"")))</f>
        <v/>
      </c>
      <c r="FY126" t="str">
        <f t="shared" si="160"/>
        <v/>
      </c>
      <c r="FZ126" t="str" cm="1">
        <f t="array" ref="FZ126">IF(FO126="","",_xlfn.LET(_xlpm.nd,_xlfn.TEXTSPLIT(FO126,"|"),IF(COLUMNS(_xlpm.nd)&gt;6,A126&amp;"¦"&amp;INDEX(_xlpm.nd,6)&amp;"¦"&amp;INDEX(_xlpm.nd,7),"")))</f>
        <v/>
      </c>
      <c r="GA126" t="str">
        <f t="shared" si="161"/>
        <v/>
      </c>
      <c r="GB126" t="str">
        <f t="shared" si="162"/>
        <v/>
      </c>
      <c r="GC126" t="str">
        <f t="shared" si="163"/>
        <v>QF24</v>
      </c>
      <c r="GD126">
        <f t="shared" si="164"/>
        <v>1</v>
      </c>
      <c r="GE126">
        <f t="shared" si="165"/>
        <v>0</v>
      </c>
      <c r="GF126">
        <f t="shared" si="166"/>
        <v>0</v>
      </c>
      <c r="GG126" t="str">
        <f t="shared" si="167"/>
        <v/>
      </c>
      <c r="GH126" t="str">
        <f t="shared" si="168"/>
        <v/>
      </c>
      <c r="GI126" t="str">
        <f t="shared" si="169"/>
        <v/>
      </c>
      <c r="GJ126" t="str">
        <f t="shared" si="170"/>
        <v/>
      </c>
      <c r="GK126">
        <f>IF(D126="","",IFERROR(VLOOKUP(D126,УГО_спр,2,FALSE),IFERROR(VLOOKUP(AT126,УГО_спр,2,FALSE),IFERROR(VLOOKUP(LEFT(AT126,2),УГО_спр,2,FALSE),""))))</f>
        <v>0</v>
      </c>
      <c r="GL126" t="str">
        <f>IF(D126="","",IF(OR(GK126="",GK126=0),"BOX",IFERROR(IF(VLOOKUP(GK126,УГО_блоки,3,FALSE)&amp;""&lt;&gt;"",VLOOKUP(GK126,УГО_блоки,3,FALSE),VLOOKUP(GK126,УГО_блоки,2,FALSE)),GK126)))</f>
        <v>BOX</v>
      </c>
      <c r="GM126">
        <f t="shared" si="171"/>
        <v>1</v>
      </c>
      <c r="GN126" t="str">
        <f>IF(EP126="","",IF(COUNTIF(EP$3:EP126,EP126)=1,MAX(GN$2:GN125)+1,""))</f>
        <v/>
      </c>
      <c r="GO126" t="str">
        <f>IF(AF126="","",IF(COUNTIF(AF$3:AF126,AF126)+COUNTIF(AG$2:AG125,AF126)+COUNTIF(AH$2:AH125,AF126)=1,MAX(GO$2:GQ125)+1,""))</f>
        <v/>
      </c>
      <c r="GP126" t="str">
        <f>IF(AG126="","",IF(COUNTIF(AF$3:AF126,AG126)+COUNTIF(AG$3:AG126,AG126)+COUNTIF(AH$2:AH125,AG126)=1,MAX(GO$2:GQ125,GO126)+1,""))</f>
        <v/>
      </c>
      <c r="GQ126" t="str">
        <f>IF(AH126="","",IF(COUNTIF(AF$3:AF126,AH126)+COUNTIF(AG$3:AG126,AH126)+COUNTIF(AH$3:AH126,AH126)=1,MAX(GO$2:GQ125,GO126,GP126)+1,""))</f>
        <v/>
      </c>
      <c r="GR126" t="str">
        <f t="shared" si="172"/>
        <v>3х1,5</v>
      </c>
      <c r="GS126" t="str">
        <f>IF(GR126="","",IF(COUNTIF(GR$3:GR126,GR126)=1,MAX(GS$2:GS125)+1,""))</f>
        <v/>
      </c>
      <c r="GT126" t="str">
        <f>IF(ES126="","",COUNTIF(ES$3:ES126,"?*"))</f>
        <v/>
      </c>
      <c r="GU126" t="str">
        <f>IF(OR(ES126="",EU126=""),"",IF(COUNTIFS(ES$3:ES126,"?*",EU$3:EU126,EU126)=1,MAX(GU$2:GU125)+1,""))</f>
        <v/>
      </c>
      <c r="GV126">
        <f t="shared" si="173"/>
        <v>0</v>
      </c>
      <c r="GW126">
        <f>IF(D126="","",COUNTIF(D$3:D126,"?*"))</f>
        <v>124</v>
      </c>
      <c r="GX126">
        <f>IF(EX126&lt;&gt;1,0,_xlfn.LET(_xlpm.k,MAX(IFERROR(--VLOOKUP(D126,УГО_спр,5,FALSE),0),IFERROR(--VLOOKUP(AT126,УГО_спр,5,FALSE),0),IFERROR(--VLOOKUP(LEFT(AT126,2),УГО_спр,5,FALSE),0)),IF(_xlpm.k&gt;0,_xlpm.k,IF(IFERROR(--LEFT(SUBSTITUTE(GR126,"x","х"),FIND("х",SUBSTITUTE(GR126,"x","х"))-1),3)&gt;3,Каталог!$S$9,1))))</f>
        <v>1</v>
      </c>
      <c r="GY126">
        <f t="shared" si="174"/>
        <v>0</v>
      </c>
    </row>
    <row r="127" spans="1:207" x14ac:dyDescent="0.3">
      <c r="A127" t="s">
        <v>750</v>
      </c>
      <c r="B127">
        <v>41</v>
      </c>
      <c r="C127" t="str">
        <f>IF(BD127="","",IF(BE127="вводной узел","узел ","")&amp;"л."&amp;(INT((BD127-1)/Столбцов_на_лист)+1)&amp;" / "&amp;(MOD(BD127-1,Столбцов_на_лист)+1))</f>
        <v>л.3 / 7</v>
      </c>
      <c r="D127" t="s">
        <v>1424</v>
      </c>
      <c r="E127" s="133" t="s">
        <v>1419</v>
      </c>
      <c r="G127">
        <v>0.36</v>
      </c>
      <c r="H127">
        <v>1</v>
      </c>
      <c r="I127">
        <v>1</v>
      </c>
      <c r="J127">
        <v>230</v>
      </c>
      <c r="K127" t="s">
        <v>602</v>
      </c>
      <c r="L127">
        <v>0.5</v>
      </c>
      <c r="O127">
        <v>3</v>
      </c>
      <c r="P127">
        <v>68</v>
      </c>
      <c r="Q127">
        <v>58</v>
      </c>
      <c r="R127">
        <v>12</v>
      </c>
      <c r="T127">
        <v>1</v>
      </c>
      <c r="U127" t="s">
        <v>11</v>
      </c>
      <c r="V127">
        <v>3</v>
      </c>
      <c r="W127">
        <v>1.5</v>
      </c>
      <c r="X127">
        <v>10</v>
      </c>
      <c r="Z127" t="s">
        <v>580</v>
      </c>
      <c r="AA127" t="s">
        <v>818</v>
      </c>
      <c r="AD127" t="s">
        <v>517</v>
      </c>
      <c r="AK127" t="s">
        <v>488</v>
      </c>
      <c r="AR127" t="str">
        <f t="shared" si="88"/>
        <v/>
      </c>
      <c r="AS127" cm="1">
        <f t="array" ref="AS127">ROW()-ROW(Линии[#Headers])</f>
        <v>125</v>
      </c>
      <c r="AT127" t="str">
        <f t="shared" si="89"/>
        <v>K</v>
      </c>
      <c r="AU127" t="str">
        <f t="shared" si="90"/>
        <v>1.014A</v>
      </c>
      <c r="AV127" t="str">
        <f t="shared" si="91"/>
        <v>1</v>
      </c>
      <c r="AW127" t="str">
        <f t="shared" si="92"/>
        <v>014A</v>
      </c>
      <c r="AX127" t="str">
        <f t="shared" si="93"/>
        <v>014A</v>
      </c>
      <c r="AY127" t="str">
        <f>IF(D127="","",IF(ISERROR(SEARCH(".",D127)),IFERROR(VLOOKUP(D127,Потребители_обозначение,2,FALSE)&amp;"",""),IFERROR(IF(VLOOKUP(AT127,Потребители_обозначение,4,FALSE)=1,VLOOKUP(AT127,Потребители_обозначение,2,FALSE)&amp;" "&amp;VLOOKUP(AV127,Этаж_обозначение,2,FALSE)&amp;" Пом. №"&amp;AX127,VLOOKUP(AT127,Потребители_обозначение,2,FALSE)&amp;" Шлейф №"&amp;AV127),IFERROR(VLOOKUP(D127,Потребители_обозначение,2,FALSE),""))))</f>
        <v>Внутренний блок кондиционирования Первый этаж Пом. №014A</v>
      </c>
      <c r="AZ127" t="str">
        <f t="shared" si="94"/>
        <v>Внутренний блок кондиционирования первый этаж Пом. №002Б</v>
      </c>
      <c r="BA127" t="str">
        <f>IF(F127&lt;&gt;"",F127,IF(AND(D127&lt;&gt;"",D127&lt;&gt;A127,ISNUMBER(_xlfn.XMATCH(D127,Щиты[Щит]))),D127,""))</f>
        <v/>
      </c>
      <c r="BB127">
        <f>IFERROR(_xlfn.XMATCH(A127,Щиты[Щит]),0)</f>
        <v>6</v>
      </c>
      <c r="BC127">
        <f>IFERROR(N(_xlfn.XLOOKUP(A127,Щиты[Щит],Щиты[Мест под вводной узел])),15)</f>
        <v>12</v>
      </c>
      <c r="BD127">
        <f t="shared" si="95"/>
        <v>41</v>
      </c>
      <c r="BE127" t="str">
        <f t="shared" si="96"/>
        <v>линии</v>
      </c>
      <c r="BF127">
        <f>IF(D127="","",IF(BA127&lt;&gt;"",IFERROR(_xlfn.XLOOKUP(BA127,Щиты[Щит],Щиты[Руст, кВт]),0),N(G127)))</f>
        <v>0.36</v>
      </c>
      <c r="BG127">
        <f>IF(J127&lt;&gt;"",J127,IF(D127="","",IFERROR(IF(VLOOKUP(AT127,Потребители_обозначение,8,FALSE)=0,"",VLOOKUP(AT127,Потребители_обозначение,8,FALSE)),"")))</f>
        <v>230</v>
      </c>
      <c r="BH127">
        <f>IF(I127&lt;&gt;"",I127,IF(D127="","",IFERROR(IF(VLOOKUP(AT127,Потребители_обозначение,9,FALSE)=0,"",VLOOKUP(AT127,Потребители_обозначение,9,FALSE)),"")))</f>
        <v>1</v>
      </c>
      <c r="BI127" t="str">
        <f>IF(U127&lt;&gt;"",U127,IF(D127="","",IFERROR(IF(VLOOKUP(AT127,Потребители_обозначение,6,FALSE)=0,"",VLOOKUP(AT127,Потребители_обозначение,6,FALSE)),"")))</f>
        <v>мс</v>
      </c>
      <c r="BJ127">
        <f>IF(V127&lt;&gt;"",V127,IF(D127="","",IFERROR(IF(VLOOKUP(AT127,Потребители_обозначение,7,FALSE)=0,"",VLOOKUP(AT127,Потребители_обозначение,7,FALSE)),"")))</f>
        <v>3</v>
      </c>
      <c r="BK127">
        <f>IF(W127&lt;&gt;"",W127,IF(D127="","",IFERROR(IF(VLOOKUP(AT127,Потребители_обозначение,10,FALSE)=0,"",VLOOKUP(AT127,Потребители_обозначение,10,FALSE)),"")))</f>
        <v>1.5</v>
      </c>
      <c r="BL127">
        <f>IFERROR(VLOOKUP(AT127,Потребители_обозначение,5,FALSE),0)</f>
        <v>1</v>
      </c>
      <c r="BM127" cm="1">
        <f t="array" ref="BM127">IF(D127="","",IF(BA127&lt;&gt;"",IFERROR(_xlfn.XLOOKUP(BA127,Щиты[Щит],Щиты[cos φ]),0.95),IF(ISNUMBER(M127),M127,IFERROR(IF(BL127=2,_xlfn.IFS(BH127=3,VLOOKUP(BF127,Справочная_двигатели,8,FALSE),BH127=1,VLOOKUP(BF127,Справочная_двигатели,10,TRUE)),IF(AND(Методика="нормы 2026",CN127="Сил"),0.8,0.95)),0.95))))</f>
        <v>0.95</v>
      </c>
      <c r="BN127" cm="1">
        <f t="array" ref="BN127">IF(D127="","",IF(BA127&lt;&gt;"",IFERROR(_xlfn.XLOOKUP(BA127,Щиты[Щит],Щиты[Iр, А]),""),IFERROR(_xlfn.IFS(BH127=1,BF127/((Uн_лин/SQRT(3))*BM127),BH127=3,BF127/(SQRT(3)*Uн_лин*BM127)),"")))</f>
        <v>1.6408902387494626</v>
      </c>
      <c r="BO127">
        <f>IF(D127="","",IF(N(X127)=0,IFERROR(VLOOKUP(BN127,Автомат_номиналы,2,TRUE),""),X127))</f>
        <v>10</v>
      </c>
      <c r="BP127">
        <f t="shared" si="97"/>
        <v>1</v>
      </c>
      <c r="BQ127">
        <f>IF(ISNUMBER(Y127),Y127,К_прокл)</f>
        <v>1</v>
      </c>
      <c r="BR127">
        <f t="shared" si="98"/>
        <v>2</v>
      </c>
      <c r="BS127" cm="1">
        <f t="array" ref="BS127">IF(D127="","",IF(N(BK127)&lt;&gt;0,BK127,IFERROR(_xlfn.LET(_xlpm.need,BO127/(BP127*BQ127),_xlpm.t,CHOOSE(BR127,Iдоп_1ж,Iдоп_2ж,Iдоп_3ж),_xlpm.k,_xlfn.XMATCH(_xlpm.need,_xlpm.t,1),IF(ISNA(_xlpm.k),"Не исп",INDEX(Iдоп_S,_xlpm.k))),"Не исп")))</f>
        <v>1.5</v>
      </c>
      <c r="BT127">
        <f>IFERROR(VLOOKUP(BS127,Кабель_сопротивление,3,FALSE),"")</f>
        <v>2.2499999999999999E-2</v>
      </c>
      <c r="BU127">
        <f>IFERROR(VLOOKUP(BS127,Кабель_сопротивление,2,FALSE),"")</f>
        <v>0.11</v>
      </c>
      <c r="BV127">
        <f t="shared" si="99"/>
        <v>68</v>
      </c>
      <c r="BW127">
        <f>IF(D127="","",IFERROR(IF(VLOOKUP(AT127,Потребители_обозначение,4,FALSE)=1,VLOOKUP(AT127,Потребители_обозначение,3,FALSE)*(H127*2-1)+BV127+VLOOKUP(AV127,Этаж_обозначение,3,FALSE)+VLOOKUP(AV127,Этаж_обозначение,4,FALSE),VLOOKUP(AT127,Потребители_обозначение,3,FALSE)*(H127*2-1)+BV127),BV127))</f>
        <v>70</v>
      </c>
      <c r="BX127">
        <f t="shared" si="100"/>
        <v>12</v>
      </c>
      <c r="BY127">
        <f t="shared" si="101"/>
        <v>0</v>
      </c>
      <c r="BZ127">
        <f t="shared" si="102"/>
        <v>2</v>
      </c>
      <c r="CA127">
        <f t="shared" si="103"/>
        <v>0.31</v>
      </c>
      <c r="CB127">
        <f t="shared" si="104"/>
        <v>3.2814096363049678</v>
      </c>
      <c r="CC127">
        <f>IFERROR(ROUNDUP(CB127/((Uн_лин/SQRT(3))*1000)*100,2),"")</f>
        <v>1.43</v>
      </c>
      <c r="CD127">
        <f>IF(ISNUMBER(CC127),CC127+IFERROR(_xlfn.XLOOKUP(A127,Щиты[Щит],Щиты[ΔU до шин, %]),0),"")</f>
        <v>1.67</v>
      </c>
      <c r="CE127">
        <f>IF(D127="","",IF(IFERROR(VLOOKUP(AT127,УГО_спр,2,FALSE),"")="Светильник",3,4)+IF(Методика="нормы 2026",MIN(0.5,MAX(0,N(BW127)-100)*0.005),0))</f>
        <v>4</v>
      </c>
      <c r="CF127" t="str">
        <f>IFERROR(VLOOKUP(BI127,Кабель_обозначение,2,FALSE),"")</f>
        <v>ВВГнг(А)-LS</v>
      </c>
      <c r="CG127" t="str">
        <f>IFERROR(IF(VLOOKUP(BI127,Кабель_обозначение,3,FALSE)=1,CF127&amp;" ("&amp;BJ127&amp;"х"&amp;BS127&amp;")",CF127),"")</f>
        <v>ВВГнг(А)-LS (3х1,5)</v>
      </c>
      <c r="CH127" t="str">
        <f t="shared" si="105"/>
        <v>ВВГнг(А)-LS (3х1,5)
L=70-1,43%</v>
      </c>
      <c r="CI127">
        <f>IFERROR(2*ρкз_Cu*BW127/BS127,"")</f>
        <v>2.4546666666666668</v>
      </c>
      <c r="CJ127">
        <f t="shared" si="106"/>
        <v>0.81666666666666676</v>
      </c>
      <c r="CK127" t="str">
        <f>IFERROR(IF(OR(D127="",NOT(ISNUMBER(BS127)),N(BW127)=0),"",_xlfn.XLOOKUP(A127,Щиты[Щит],Щиты[Zпетли на шинах, Ом])+CI127),"")</f>
        <v/>
      </c>
      <c r="CL127" t="str">
        <f>IF(ISNUMBER(CK127),c_min*(Uн_лин*1000/SQRT(3))/CK127,"")</f>
        <v/>
      </c>
      <c r="CM127" t="str">
        <f>IFERROR(IF(OR(D127="",NOT(ISNUMBER(BS127))),"",1.05*(Uн_лин*1000/SQRT(3))/(_xlfn.XLOOKUP(A127,Щиты[Щит],Щиты[Zmax на шинах, Ом])+CJ127)/1000),"")</f>
        <v/>
      </c>
      <c r="CN127" t="str">
        <f>IF(D127="","",IF(BA127&lt;&gt;"","Щит",IF(K127&lt;&gt;"",K127,IF(ISNUMBER(L127),"Сил",IF(IFERROR(_xlfn.XLOOKUP(AT127,Коды_код,Коды_группа)&amp;"","")="","Быт",_xlfn.XLOOKUP(AT127,Коды_код,Коды_группа)&amp;"")))))</f>
        <v>Сил</v>
      </c>
      <c r="CO127">
        <f>IF(CN127="Щит","щит",IF(CN127="","",IF(CN127="Быт",IFERROR(_xlfn.XLOOKUP(A127,Щиты[Щит],Щиты[Кс быт]),1),IF(CN127="Сил",IF(ISNUMBER(L127),L127,IF(Методика="нормы 2026",IFERROR(_xlfn.XLOOKUP(A127,Щиты[Щит],Щиты[Кс силовых (табл. 7.5)]),1),1)),IF(OR(CN127="Пост",CN127="Отоп"),1,IF(CN127="ВНГ",0.7,0))))))</f>
        <v>0.5</v>
      </c>
      <c r="CP127">
        <f t="shared" si="107"/>
        <v>1</v>
      </c>
      <c r="CQ127">
        <f t="shared" si="108"/>
        <v>0.36</v>
      </c>
      <c r="CR127">
        <f t="shared" si="109"/>
        <v>0</v>
      </c>
      <c r="CS127">
        <f t="shared" si="110"/>
        <v>0.18</v>
      </c>
      <c r="CT127">
        <f t="shared" si="111"/>
        <v>0</v>
      </c>
      <c r="CU127">
        <f t="shared" si="112"/>
        <v>0</v>
      </c>
      <c r="CV127">
        <f t="shared" si="113"/>
        <v>0</v>
      </c>
      <c r="CW127">
        <f t="shared" si="114"/>
        <v>0.36</v>
      </c>
      <c r="CX127">
        <f t="shared" si="115"/>
        <v>0.34199999999999997</v>
      </c>
      <c r="CY127">
        <f t="shared" si="116"/>
        <v>3</v>
      </c>
      <c r="CZ127" t="str">
        <f t="shared" si="117"/>
        <v>L3</v>
      </c>
      <c r="DA127" cm="1">
        <f t="array" ref="DA127">IFERROR(IF(BL127=2,_xlfn.IFS(BH127=3,VLOOKUP(BF127,Справочная_двигатели,3,FALSE),BH127=1,VLOOKUP(BF127,Справочная_двигатели,5,TRUE)),0),0)</f>
        <v>0</v>
      </c>
      <c r="DB127">
        <f>IFERROR(IF(BL127=3,VLOOKUP(BF127,Справочная_ЛЭД,2,TRUE),0),0)</f>
        <v>0</v>
      </c>
      <c r="DC127">
        <f t="shared" si="118"/>
        <v>0</v>
      </c>
      <c r="DD127" t="str">
        <f t="shared" si="119"/>
        <v>L3</v>
      </c>
      <c r="DE127" t="str" cm="1">
        <f t="array" ref="DE127">IF(D127="","",IFERROR(INDEX({"I особая","I","II","III"},MATCH(TRIM(AA127&amp;""),{"I особая","I","II","III"},0)),"III"))</f>
        <v>II</v>
      </c>
      <c r="DF127" t="str">
        <f>IF(D127="","",IF(TRIM(AB127&amp;"")&lt;&gt;"",IF(LOWER(TRIM(AB127&amp;""))="да","да","нет"),IF(IFERROR(_xlfn.XLOOKUP(AT127,Коды_код,Коды_пожарная),"")="да","да","нет")))</f>
        <v>нет</v>
      </c>
      <c r="DG127" t="str">
        <f t="shared" si="120"/>
        <v/>
      </c>
      <c r="DH127" t="str">
        <f t="shared" si="121"/>
        <v>основная</v>
      </c>
      <c r="DI127">
        <f t="shared" si="122"/>
        <v>1</v>
      </c>
      <c r="DJ127" t="str" cm="1">
        <f t="array" ref="DJ127">IF(D127="","",_xlfn.LET(_xlpm.t,IFERROR(_xlfn.XLOOKUP(1,(Шины[Шина]=DH127)*(((Шины[Щит]=A127)+(Шины[Щит]=""))&gt;0),Шины[Тип]),"")&amp;"",IF(_xlpm.t&lt;&gt;"",_xlpm.t,IF(ISNUMBER(SEARCH("ИБП",DH127)),"ИБП",IF(ISNUMBER(SEARCH("ДГУ",DH127)),"ДГУ","Ввод "&amp;DI127)))))</f>
        <v>Ввод 1</v>
      </c>
      <c r="DK127" t="str">
        <f t="shared" si="123"/>
        <v>Ввод 1</v>
      </c>
      <c r="DL127" t="str">
        <f>IF(D127="","",IF(OR(DJ127="ИБП",DJ127="ДГУ"),"I особая",IF(DJ127="Одиночная","III",_xlfn.XLOOKUP(A127,Щиты[Щит],Щиты[Категория шины «Ввод»],"III"))))</f>
        <v>II</v>
      </c>
      <c r="DM127">
        <f>IF(D127="",0,IFERROR(MATCH(DE127,{"III","II","I","I особая"},0),1))</f>
        <v>2</v>
      </c>
      <c r="DN127">
        <f t="shared" si="124"/>
        <v>2</v>
      </c>
      <c r="DO127" t="str">
        <f>IF(D127="","",IF(DM127&gt;IFERROR(MATCH(DL127,{"III","II","I","I особая"},0),1),"НЕ ОБЕСПЕЧЕНА","ОК"))</f>
        <v>ОК</v>
      </c>
      <c r="DP127" t="str">
        <f>IF(A127="","",_xlfn.XLOOKUP(A127,Щиты[Щит],Щиты[Путь],""))</f>
        <v>|ГРЩ-ЖД|ЩОВ-01|</v>
      </c>
      <c r="DQ127" t="str">
        <f>IF(D127="","",IF(Z127&lt;&gt;"",Z127,IF(IFERROR(_xlfn.XLOOKUP(AT127,Коды_код,Коды_вид)&amp;"","")="","Прочее",_xlfn.XLOOKUP(AT127,Коды_код,Коды_вид)&amp;"")))</f>
        <v>Кондиционирование и увлажнение</v>
      </c>
      <c r="DR127">
        <f>IF(BD127="","",INT((BD127-1)/Столбцов_на_лист)+1)</f>
        <v>3</v>
      </c>
      <c r="DS127" t="str">
        <f t="shared" si="125"/>
        <v>ВВГнг(А)-LS (3х1,5) L=70-1,43%</v>
      </c>
      <c r="DT127">
        <f t="shared" si="126"/>
        <v>0.36</v>
      </c>
      <c r="DU127">
        <f t="shared" si="127"/>
        <v>1.65</v>
      </c>
      <c r="DV127">
        <f t="shared" si="128"/>
        <v>1</v>
      </c>
      <c r="DW127">
        <f>IF(AT127="",0,_xlfn.LET(_xlpm.v,IFERROR(VLOOKUP(D127,УГО_спр,3,FALSE),IFERROR(VLOOKUP(AT127,УГО_спр,3,FALSE),IFERROR(VLOOKUP(LEFT(AT127,2),УГО_спр,3,FALSE),""))),IF(_xlpm.v="да",30,IF(ISNUMBER(_xlpm.v),_xlpm.v,0))))</f>
        <v>0</v>
      </c>
      <c r="DX127">
        <f t="shared" si="129"/>
        <v>0</v>
      </c>
      <c r="DY127">
        <f>IF(BD127="","",IF(AD127&lt;&gt;"",COUNTIFS(A$3:A127,A127,AD$3:AD127,"?*"),IF(OR(OR(AS127=1,A127&lt;&gt;A126),AL127="вручную"),"",IF(AS127=1,"",DZ126))))</f>
        <v>25</v>
      </c>
      <c r="DZ127">
        <f t="shared" si="130"/>
        <v>25</v>
      </c>
      <c r="EA127">
        <f>IF(D127="",0,MAX(IFERROR(--X127,0),IFERROR(--VLOOKUP(D127,УГО_спр,4,FALSE),IFERROR(--VLOOKUP(AT127,УГО_спр,4,FALSE),IFERROR(--VLOOKUP(LEFT(AT127,2),УГО_спр,4,FALSE),0)))))</f>
        <v>10</v>
      </c>
      <c r="EB127">
        <f>IF(D127="","",IFERROR(LOOKUP(INDEX(CHOOSE(BR127,Iдоп_1ж,Iдоп_2ж,Iдоп_3ж),MATCH(BS127,Iдоп_S,0))*BP127*BQ127,{6,10,16,20,25,32,40,50,63,80,100,125,160,200,250,315,400,500,630}),""))</f>
        <v>16</v>
      </c>
      <c r="EC127">
        <f>IF(AD127="","",SUMIFS(Линии[_Ток схемы],Линии[_гр.],DY127,Линии[Щит],A127,Линии[_в кабель выше],0))</f>
        <v>1.65</v>
      </c>
      <c r="ED127">
        <f>IF(AD127="","",IFERROR(VLOOKUP(EC127,Автомат_номиналы,2,TRUE),""))</f>
        <v>6</v>
      </c>
      <c r="EE127">
        <f>IF(AD127="","",MAX(N(ED127),_xlfn.MAXIFS(Линии[_мин. по типу],Линии[_гр.],DY127,Линии[Щит],A127)))</f>
        <v>10</v>
      </c>
      <c r="EF127">
        <f>IF(AD127="","",_xlfn.MINIFS(Линии[_макс. автомат по кабелю],Линии[_гр.],DY127,Линии[Щит],A127))</f>
        <v>16</v>
      </c>
      <c r="EG127">
        <f>IF(AD127="","",MAX(1,_xlfn.MAXIFS(Линии[_фаз],Линии[_гр.],DY127,Линии[Щит],A127)))</f>
        <v>1</v>
      </c>
      <c r="EH127">
        <f>IF(AD127="","",IF(AND(AD127&lt;&gt;"авто",AD127&lt;&gt;"+"),IF(ISNUMBER(SEARCH("мА",AD127)),IFERROR(--TRIM(RIGHT(SUBSTITUTE(LEFT(AD127,SEARCH("мА",AD127)-1)," ",REPT(" ",9)),6)),30),0),IF(AE127="нет",0,IF(ISNUMBER(AE127),AE127,IF(AE127="да",30,_xlfn.MINIFS(Линии[_дифзащита по коду, мА],Линии[_гр.],DY127,Линии[Щит],A127,Линии[_дифзащита по коду, мА],"&gt;0"))))))</f>
        <v>0</v>
      </c>
      <c r="EI127">
        <f t="shared" si="131"/>
        <v>0</v>
      </c>
      <c r="EJ127" t="str">
        <f t="shared" si="132"/>
        <v>QF25</v>
      </c>
      <c r="EK127" t="str">
        <f t="shared" si="133"/>
        <v>QF25</v>
      </c>
      <c r="EL127" t="str">
        <f t="shared" si="134"/>
        <v/>
      </c>
      <c r="EM127">
        <f t="shared" si="135"/>
        <v>0</v>
      </c>
      <c r="EN127">
        <f>IF(AD127="","",IF(EM127=1,MAX(EE127,Мин_автомат_БП),EE127))</f>
        <v>10</v>
      </c>
      <c r="EO127" t="str">
        <f t="shared" si="136"/>
        <v>1P</v>
      </c>
      <c r="EP127" t="str">
        <f t="shared" si="137"/>
        <v>1P С10А</v>
      </c>
      <c r="EQ127">
        <f t="shared" si="138"/>
        <v>10</v>
      </c>
      <c r="ER127" t="str">
        <f>IF(OR(AI127="",AI127="-"),"",IFERROR(VLOOKUP(AI127,Модули_спр,2,FALSE),"R"))</f>
        <v/>
      </c>
      <c r="ES127" t="str">
        <f>IF(ER127="","",ER127&amp;"."&amp;COUNTIFS(A$3:A127,A127,ER$3:ER127,ER127))</f>
        <v/>
      </c>
      <c r="ET127" t="str">
        <f t="shared" si="139"/>
        <v/>
      </c>
      <c r="EU127" t="str">
        <f t="shared" si="140"/>
        <v/>
      </c>
      <c r="EV127" t="str">
        <f t="shared" si="141"/>
        <v/>
      </c>
      <c r="EW127" t="str">
        <f t="shared" si="142"/>
        <v/>
      </c>
      <c r="EX127">
        <f t="shared" si="143"/>
        <v>1</v>
      </c>
      <c r="EY127" t="str">
        <f>IF(AK127="нет","",IF(AK127&lt;&gt;"",AK127,IF(EX127=1,"XT"&amp;COUNTIFS(A$3:A127,A127,EX$3:EX127,1),"")))</f>
        <v/>
      </c>
      <c r="EZ127" t="str">
        <f t="shared" si="144"/>
        <v>QF25</v>
      </c>
      <c r="FA127" t="str">
        <f t="shared" si="145"/>
        <v/>
      </c>
      <c r="FB127" t="str">
        <f t="shared" si="146"/>
        <v>ok</v>
      </c>
      <c r="FC127" t="str">
        <f>IF(OR(EV127="",ET127=""),"",IF(EV127&gt;IFERROR(VLOOKUP(EU127,Модули_спр,3,FALSE),99),"ЛИШНИЙ КАНАЛ",IF(AND(AJ127&lt;&gt;"=",COUNTIFS(Линии[_модуль гр.],ET127,Линии[Канал (итог)],EV127,Линии[Канал],"&lt;&gt;=",Линии[Щит],A127)&gt;1),"ДУБЛЬ КАНАЛА","")))</f>
        <v/>
      </c>
      <c r="FD127">
        <f t="shared" si="147"/>
        <v>10</v>
      </c>
      <c r="FE127" t="str">
        <f t="shared" si="148"/>
        <v>1P С10А</v>
      </c>
      <c r="FF127">
        <f t="shared" si="149"/>
        <v>0</v>
      </c>
      <c r="FG127">
        <f t="shared" si="150"/>
        <v>0</v>
      </c>
      <c r="FH127" t="str">
        <f t="shared" si="151"/>
        <v/>
      </c>
      <c r="FI127">
        <f t="shared" si="152"/>
        <v>10</v>
      </c>
      <c r="FJ127" t="str">
        <f t="shared" si="153"/>
        <v/>
      </c>
      <c r="FK127" t="str">
        <f>IF(AND(D127="",EZ127=""),"",_xlfn.TEXTJOIN("; ",TRUE,IF(AND(D127&lt;&gt;"",DD127=""),"нет фазы",""),IF(AND(D127&lt;&gt;"",N(DT127)=0,CN127&lt;&gt;"Нет"),"нет мощности",""),IF(AND(EY127&lt;&gt;"",COUNTIFS(Линии[Щит],A127,Линии[Клемма (итог)],EY127)&gt;1),"дубль клеммы "&amp;EY127,""),IF(AND(FB127&lt;&gt;"",FB127&lt;&gt;"ok"),FB127,""),IF(FC127&lt;&gt;"",FC127,""),IF(AND(ISNUMBER(SEARCH("(5х",DS127)),N(DV127)=1),"5 жил на 1 фазе",""),IF(AND(AT127="R",AD127&lt;&gt;"",OR(N(EH127)=0,N(EH127)&gt;30)),"розетка без дифзащиты до 30 мА",""),IFERROR(IF(AND(ISNUMBER(CD127),CD127&gt;CE127),"потери "&amp;FIXED(CD127,1)&amp;" % &gt; "&amp;CE127&amp;" %",""),""),IFERROR(IF(LEFT(FJ127,4)="мало","Iкз мало — отключение &gt; 0,4 с",""),""),IF(AND(D127&lt;&gt;"",BD127=""),"не на схеме","")))</f>
        <v/>
      </c>
      <c r="FL127">
        <f>IF(AD127="","",_xlfn.LET(_xlpm.t,IFERROR(_xlfn.XLOOKUP(EP127,Каталог!$U$4:$U$500,Каталог!$G$4:$G$500),""),_xlpm.k,SEARCH("кА",_xlpm.t),IFERROR(--TRIM(RIGHT(SUBSTITUTE(MID(_xlpm.t,MAX(1,_xlpm.k-4),_xlpm.k-MAX(1,_xlpm.k-4))," ",REPT(" ",9)),5)),"")))</f>
        <v>6</v>
      </c>
      <c r="FM127" t="str">
        <f>IF(OR(FL127="",AD127=""),"",IF(_xlfn.XLOOKUP(A127,Щиты[Щит],Щиты[Iкз max на шинах, кА],"")="","",IF(FL127&lt;_xlfn.XLOOKUP(A127,Щиты[Щит],Щиты[Iкз max на шинах, кА]),"Icu "&amp;FL127&amp;" кА &lt; Iкз max","ok")))</f>
        <v/>
      </c>
      <c r="FN127" t="str">
        <f t="shared" si="154"/>
        <v>QF25</v>
      </c>
      <c r="FO127" t="str">
        <f t="shared" si="155"/>
        <v>QF25|кабель ВВГнг(А)-LS (3х1,5) → Внутренний блок кондиционирования первый этаж Пом. №002Б</v>
      </c>
      <c r="FP127" t="str" cm="1">
        <f t="array" ref="FP127">IF(FO127="","",_xlfn.LET(_xlpm.nd,_xlfn.TEXTSPLIT(FO127,"|"),IF(COLUMNS(_xlpm.nd)&gt;1,A127&amp;"¦"&amp;INDEX(_xlpm.nd,1)&amp;"¦"&amp;INDEX(_xlpm.nd,2),"")))</f>
        <v>ЩОВ-01¦QF25¦кабель ВВГнг(А)-LS (3х1,5) → Внутренний блок кондиционирования первый этаж Пом. №002Б</v>
      </c>
      <c r="FQ127" t="str">
        <f t="shared" si="156"/>
        <v>K.1.014A¦Внутренний блок кондиционирования первый этаж Пом. №002Б</v>
      </c>
      <c r="FR127" t="str" cm="1">
        <f t="array" ref="FR127">IF(FO127="","",_xlfn.LET(_xlpm.nd,_xlfn.TEXTSPLIT(FO127,"|"),IF(COLUMNS(_xlpm.nd)&gt;2,A127&amp;"¦"&amp;INDEX(_xlpm.nd,2)&amp;"¦"&amp;INDEX(_xlpm.nd,3),"")))</f>
        <v/>
      </c>
      <c r="FS127" t="str">
        <f t="shared" si="157"/>
        <v/>
      </c>
      <c r="FT127" t="str" cm="1">
        <f t="array" ref="FT127">IF(FO127="","",_xlfn.LET(_xlpm.nd,_xlfn.TEXTSPLIT(FO127,"|"),IF(COLUMNS(_xlpm.nd)&gt;3,A127&amp;"¦"&amp;INDEX(_xlpm.nd,3)&amp;"¦"&amp;INDEX(_xlpm.nd,4),"")))</f>
        <v/>
      </c>
      <c r="FU127" t="str">
        <f t="shared" si="158"/>
        <v/>
      </c>
      <c r="FV127" t="str" cm="1">
        <f t="array" ref="FV127">IF(FO127="","",_xlfn.LET(_xlpm.nd,_xlfn.TEXTSPLIT(FO127,"|"),IF(COLUMNS(_xlpm.nd)&gt;4,A127&amp;"¦"&amp;INDEX(_xlpm.nd,4)&amp;"¦"&amp;INDEX(_xlpm.nd,5),"")))</f>
        <v/>
      </c>
      <c r="FW127" t="str">
        <f t="shared" si="159"/>
        <v/>
      </c>
      <c r="FX127" t="str" cm="1">
        <f t="array" ref="FX127">IF(FO127="","",_xlfn.LET(_xlpm.nd,_xlfn.TEXTSPLIT(FO127,"|"),IF(COLUMNS(_xlpm.nd)&gt;5,A127&amp;"¦"&amp;INDEX(_xlpm.nd,5)&amp;"¦"&amp;INDEX(_xlpm.nd,6),"")))</f>
        <v/>
      </c>
      <c r="FY127" t="str">
        <f t="shared" si="160"/>
        <v/>
      </c>
      <c r="FZ127" t="str" cm="1">
        <f t="array" ref="FZ127">IF(FO127="","",_xlfn.LET(_xlpm.nd,_xlfn.TEXTSPLIT(FO127,"|"),IF(COLUMNS(_xlpm.nd)&gt;6,A127&amp;"¦"&amp;INDEX(_xlpm.nd,6)&amp;"¦"&amp;INDEX(_xlpm.nd,7),"")))</f>
        <v/>
      </c>
      <c r="GA127" t="str">
        <f t="shared" si="161"/>
        <v/>
      </c>
      <c r="GB127" t="str">
        <f t="shared" si="162"/>
        <v/>
      </c>
      <c r="GC127" t="str">
        <f t="shared" si="163"/>
        <v>QF25</v>
      </c>
      <c r="GD127">
        <f t="shared" si="164"/>
        <v>1</v>
      </c>
      <c r="GE127">
        <f t="shared" si="165"/>
        <v>0</v>
      </c>
      <c r="GF127">
        <f t="shared" si="166"/>
        <v>0</v>
      </c>
      <c r="GG127" t="str">
        <f t="shared" si="167"/>
        <v/>
      </c>
      <c r="GH127" t="str">
        <f t="shared" si="168"/>
        <v/>
      </c>
      <c r="GI127" t="str">
        <f t="shared" si="169"/>
        <v/>
      </c>
      <c r="GJ127" t="str">
        <f t="shared" si="170"/>
        <v/>
      </c>
      <c r="GK127">
        <f>IF(D127="","",IFERROR(VLOOKUP(D127,УГО_спр,2,FALSE),IFERROR(VLOOKUP(AT127,УГО_спр,2,FALSE),IFERROR(VLOOKUP(LEFT(AT127,2),УГО_спр,2,FALSE),""))))</f>
        <v>0</v>
      </c>
      <c r="GL127" t="str">
        <f>IF(D127="","",IF(OR(GK127="",GK127=0),"BOX",IFERROR(IF(VLOOKUP(GK127,УГО_блоки,3,FALSE)&amp;""&lt;&gt;"",VLOOKUP(GK127,УГО_блоки,3,FALSE),VLOOKUP(GK127,УГО_блоки,2,FALSE)),GK127)))</f>
        <v>BOX</v>
      </c>
      <c r="GM127">
        <f t="shared" si="171"/>
        <v>1</v>
      </c>
      <c r="GN127" t="str">
        <f>IF(EP127="","",IF(COUNTIF(EP$3:EP127,EP127)=1,MAX(GN$2:GN126)+1,""))</f>
        <v/>
      </c>
      <c r="GO127" t="str">
        <f>IF(AF127="","",IF(COUNTIF(AF$3:AF127,AF127)+COUNTIF(AG$2:AG126,AF127)+COUNTIF(AH$2:AH126,AF127)=1,MAX(GO$2:GQ126)+1,""))</f>
        <v/>
      </c>
      <c r="GP127" t="str">
        <f>IF(AG127="","",IF(COUNTIF(AF$3:AF127,AG127)+COUNTIF(AG$3:AG127,AG127)+COUNTIF(AH$2:AH126,AG127)=1,MAX(GO$2:GQ126,GO127)+1,""))</f>
        <v/>
      </c>
      <c r="GQ127" t="str">
        <f>IF(AH127="","",IF(COUNTIF(AF$3:AF127,AH127)+COUNTIF(AG$3:AG127,AH127)+COUNTIF(AH$3:AH127,AH127)=1,MAX(GO$2:GQ126,GO127,GP127)+1,""))</f>
        <v/>
      </c>
      <c r="GR127" t="str">
        <f t="shared" si="172"/>
        <v>3х1,5</v>
      </c>
      <c r="GS127" t="str">
        <f>IF(GR127="","",IF(COUNTIF(GR$3:GR127,GR127)=1,MAX(GS$2:GS126)+1,""))</f>
        <v/>
      </c>
      <c r="GT127" t="str">
        <f>IF(ES127="","",COUNTIF(ES$3:ES127,"?*"))</f>
        <v/>
      </c>
      <c r="GU127" t="str">
        <f>IF(OR(ES127="",EU127=""),"",IF(COUNTIFS(ES$3:ES127,"?*",EU$3:EU127,EU127)=1,MAX(GU$2:GU126)+1,""))</f>
        <v/>
      </c>
      <c r="GV127">
        <f t="shared" si="173"/>
        <v>0</v>
      </c>
      <c r="GW127">
        <f>IF(D127="","",COUNTIF(D$3:D127,"?*"))</f>
        <v>125</v>
      </c>
      <c r="GX127">
        <f>IF(EX127&lt;&gt;1,0,_xlfn.LET(_xlpm.k,MAX(IFERROR(--VLOOKUP(D127,УГО_спр,5,FALSE),0),IFERROR(--VLOOKUP(AT127,УГО_спр,5,FALSE),0),IFERROR(--VLOOKUP(LEFT(AT127,2),УГО_спр,5,FALSE),0)),IF(_xlpm.k&gt;0,_xlpm.k,IF(IFERROR(--LEFT(SUBSTITUTE(GR127,"x","х"),FIND("х",SUBSTITUTE(GR127,"x","х"))-1),3)&gt;3,Каталог!$S$9,1))))</f>
        <v>1</v>
      </c>
      <c r="GY127">
        <f t="shared" si="174"/>
        <v>0</v>
      </c>
    </row>
    <row r="128" spans="1:207" x14ac:dyDescent="0.3">
      <c r="A128" t="s">
        <v>750</v>
      </c>
      <c r="B128">
        <v>42</v>
      </c>
      <c r="C128" t="str">
        <f>IF(BD128="","",IF(BE128="вводной узел","узел ","")&amp;"л."&amp;(INT((BD128-1)/Столбцов_на_лист)+1)&amp;" / "&amp;(MOD(BD128-1,Столбцов_на_лист)+1))</f>
        <v>л.3 / 8</v>
      </c>
      <c r="D128" t="s">
        <v>1425</v>
      </c>
      <c r="E128" s="133" t="s">
        <v>1419</v>
      </c>
      <c r="G128">
        <v>0.376</v>
      </c>
      <c r="H128">
        <v>1</v>
      </c>
      <c r="I128">
        <v>1</v>
      </c>
      <c r="J128">
        <v>230</v>
      </c>
      <c r="K128" t="s">
        <v>602</v>
      </c>
      <c r="L128">
        <v>0.5</v>
      </c>
      <c r="O128">
        <v>1</v>
      </c>
      <c r="P128">
        <v>73</v>
      </c>
      <c r="Q128">
        <v>58</v>
      </c>
      <c r="R128">
        <v>17</v>
      </c>
      <c r="T128">
        <v>1</v>
      </c>
      <c r="U128" t="s">
        <v>11</v>
      </c>
      <c r="V128">
        <v>3</v>
      </c>
      <c r="W128">
        <v>1.5</v>
      </c>
      <c r="X128">
        <v>10</v>
      </c>
      <c r="Z128" t="s">
        <v>580</v>
      </c>
      <c r="AA128" t="s">
        <v>818</v>
      </c>
      <c r="AD128" t="s">
        <v>517</v>
      </c>
      <c r="AK128" t="s">
        <v>488</v>
      </c>
      <c r="AR128" t="str">
        <f t="shared" si="88"/>
        <v/>
      </c>
      <c r="AS128" cm="1">
        <f t="array" ref="AS128">ROW()-ROW(Линии[#Headers])</f>
        <v>126</v>
      </c>
      <c r="AT128" t="str">
        <f t="shared" si="89"/>
        <v>K</v>
      </c>
      <c r="AU128" t="str">
        <f t="shared" si="90"/>
        <v>1.015A</v>
      </c>
      <c r="AV128" t="str">
        <f t="shared" si="91"/>
        <v>1</v>
      </c>
      <c r="AW128" t="str">
        <f t="shared" si="92"/>
        <v>015A</v>
      </c>
      <c r="AX128" t="str">
        <f t="shared" si="93"/>
        <v>015A</v>
      </c>
      <c r="AY128" t="str">
        <f>IF(D128="","",IF(ISERROR(SEARCH(".",D128)),IFERROR(VLOOKUP(D128,Потребители_обозначение,2,FALSE)&amp;"",""),IFERROR(IF(VLOOKUP(AT128,Потребители_обозначение,4,FALSE)=1,VLOOKUP(AT128,Потребители_обозначение,2,FALSE)&amp;" "&amp;VLOOKUP(AV128,Этаж_обозначение,2,FALSE)&amp;" Пом. №"&amp;AX128,VLOOKUP(AT128,Потребители_обозначение,2,FALSE)&amp;" Шлейф №"&amp;AV128),IFERROR(VLOOKUP(D128,Потребители_обозначение,2,FALSE),""))))</f>
        <v>Внутренний блок кондиционирования Первый этаж Пом. №015A</v>
      </c>
      <c r="AZ128" t="str">
        <f t="shared" si="94"/>
        <v>Внутренний блок кондиционирования первый этаж Пом. №002Б</v>
      </c>
      <c r="BA128" t="str">
        <f>IF(F128&lt;&gt;"",F128,IF(AND(D128&lt;&gt;"",D128&lt;&gt;A128,ISNUMBER(_xlfn.XMATCH(D128,Щиты[Щит]))),D128,""))</f>
        <v/>
      </c>
      <c r="BB128">
        <f>IFERROR(_xlfn.XMATCH(A128,Щиты[Щит]),0)</f>
        <v>6</v>
      </c>
      <c r="BC128">
        <f>IFERROR(N(_xlfn.XLOOKUP(A128,Щиты[Щит],Щиты[Мест под вводной узел])),15)</f>
        <v>12</v>
      </c>
      <c r="BD128">
        <f t="shared" si="95"/>
        <v>42</v>
      </c>
      <c r="BE128" t="str">
        <f t="shared" si="96"/>
        <v>линии</v>
      </c>
      <c r="BF128">
        <f>IF(D128="","",IF(BA128&lt;&gt;"",IFERROR(_xlfn.XLOOKUP(BA128,Щиты[Щит],Щиты[Руст, кВт]),0),N(G128)))</f>
        <v>0.376</v>
      </c>
      <c r="BG128">
        <f>IF(J128&lt;&gt;"",J128,IF(D128="","",IFERROR(IF(VLOOKUP(AT128,Потребители_обозначение,8,FALSE)=0,"",VLOOKUP(AT128,Потребители_обозначение,8,FALSE)),"")))</f>
        <v>230</v>
      </c>
      <c r="BH128">
        <f>IF(I128&lt;&gt;"",I128,IF(D128="","",IFERROR(IF(VLOOKUP(AT128,Потребители_обозначение,9,FALSE)=0,"",VLOOKUP(AT128,Потребители_обозначение,9,FALSE)),"")))</f>
        <v>1</v>
      </c>
      <c r="BI128" t="str">
        <f>IF(U128&lt;&gt;"",U128,IF(D128="","",IFERROR(IF(VLOOKUP(AT128,Потребители_обозначение,6,FALSE)=0,"",VLOOKUP(AT128,Потребители_обозначение,6,FALSE)),"")))</f>
        <v>мс</v>
      </c>
      <c r="BJ128">
        <f>IF(V128&lt;&gt;"",V128,IF(D128="","",IFERROR(IF(VLOOKUP(AT128,Потребители_обозначение,7,FALSE)=0,"",VLOOKUP(AT128,Потребители_обозначение,7,FALSE)),"")))</f>
        <v>3</v>
      </c>
      <c r="BK128">
        <f>IF(W128&lt;&gt;"",W128,IF(D128="","",IFERROR(IF(VLOOKUP(AT128,Потребители_обозначение,10,FALSE)=0,"",VLOOKUP(AT128,Потребители_обозначение,10,FALSE)),"")))</f>
        <v>1.5</v>
      </c>
      <c r="BL128">
        <f>IFERROR(VLOOKUP(AT128,Потребители_обозначение,5,FALSE),0)</f>
        <v>1</v>
      </c>
      <c r="BM128" cm="1">
        <f t="array" ref="BM128">IF(D128="","",IF(BA128&lt;&gt;"",IFERROR(_xlfn.XLOOKUP(BA128,Щиты[Щит],Щиты[cos φ]),0.95),IF(ISNUMBER(M128),M128,IFERROR(IF(BL128=2,_xlfn.IFS(BH128=3,VLOOKUP(BF128,Справочная_двигатели,8,FALSE),BH128=1,VLOOKUP(BF128,Справочная_двигатели,10,TRUE)),IF(AND(Методика="нормы 2026",CN128="Сил"),0.8,0.95)),0.95))))</f>
        <v>0.95</v>
      </c>
      <c r="BN128" cm="1">
        <f t="array" ref="BN128">IF(D128="","",IF(BA128&lt;&gt;"",IFERROR(_xlfn.XLOOKUP(BA128,Щиты[Щит],Щиты[Iр, А]),""),IFERROR(_xlfn.IFS(BH128=1,BF128/((Uн_лин/SQRT(3))*BM128),BH128=3,BF128/(SQRT(3)*Uн_лин*BM128)),"")))</f>
        <v>1.7138186938049942</v>
      </c>
      <c r="BO128">
        <f>IF(D128="","",IF(N(X128)=0,IFERROR(VLOOKUP(BN128,Автомат_номиналы,2,TRUE),""),X128))</f>
        <v>10</v>
      </c>
      <c r="BP128">
        <f t="shared" si="97"/>
        <v>1</v>
      </c>
      <c r="BQ128">
        <f>IF(ISNUMBER(Y128),Y128,К_прокл)</f>
        <v>1</v>
      </c>
      <c r="BR128">
        <f t="shared" si="98"/>
        <v>2</v>
      </c>
      <c r="BS128" cm="1">
        <f t="array" ref="BS128">IF(D128="","",IF(N(BK128)&lt;&gt;0,BK128,IFERROR(_xlfn.LET(_xlpm.need,BO128/(BP128*BQ128),_xlpm.t,CHOOSE(BR128,Iдоп_1ж,Iдоп_2ж,Iдоп_3ж),_xlpm.k,_xlfn.XMATCH(_xlpm.need,_xlpm.t,1),IF(ISNA(_xlpm.k),"Не исп",INDEX(Iдоп_S,_xlpm.k))),"Не исп")))</f>
        <v>1.5</v>
      </c>
      <c r="BT128">
        <f>IFERROR(VLOOKUP(BS128,Кабель_сопротивление,3,FALSE),"")</f>
        <v>2.2499999999999999E-2</v>
      </c>
      <c r="BU128">
        <f>IFERROR(VLOOKUP(BS128,Кабель_сопротивление,2,FALSE),"")</f>
        <v>0.11</v>
      </c>
      <c r="BV128">
        <f t="shared" si="99"/>
        <v>73</v>
      </c>
      <c r="BW128">
        <f>IF(D128="","",IFERROR(IF(VLOOKUP(AT128,Потребители_обозначение,4,FALSE)=1,VLOOKUP(AT128,Потребители_обозначение,3,FALSE)*(H128*2-1)+BV128+VLOOKUP(AV128,Этаж_обозначение,3,FALSE)+VLOOKUP(AV128,Этаж_обозначение,4,FALSE),VLOOKUP(AT128,Потребители_обозначение,3,FALSE)*(H128*2-1)+BV128),BV128))</f>
        <v>75</v>
      </c>
      <c r="BX128">
        <f t="shared" si="100"/>
        <v>17</v>
      </c>
      <c r="BY128">
        <f t="shared" si="101"/>
        <v>0</v>
      </c>
      <c r="BZ128">
        <f t="shared" si="102"/>
        <v>2</v>
      </c>
      <c r="CA128">
        <f t="shared" si="103"/>
        <v>0.31</v>
      </c>
      <c r="CB128">
        <f t="shared" si="104"/>
        <v>3.672053640626987</v>
      </c>
      <c r="CC128">
        <f>IFERROR(ROUNDUP(CB128/((Uн_лин/SQRT(3))*1000)*100,2),"")</f>
        <v>1.6</v>
      </c>
      <c r="CD128">
        <f>IF(ISNUMBER(CC128),CC128+IFERROR(_xlfn.XLOOKUP(A128,Щиты[Щит],Щиты[ΔU до шин, %]),0),"")</f>
        <v>1.84</v>
      </c>
      <c r="CE128">
        <f>IF(D128="","",IF(IFERROR(VLOOKUP(AT128,УГО_спр,2,FALSE),"")="Светильник",3,4)+IF(Методика="нормы 2026",MIN(0.5,MAX(0,N(BW128)-100)*0.005),0))</f>
        <v>4</v>
      </c>
      <c r="CF128" t="str">
        <f>IFERROR(VLOOKUP(BI128,Кабель_обозначение,2,FALSE),"")</f>
        <v>ВВГнг(А)-LS</v>
      </c>
      <c r="CG128" t="str">
        <f>IFERROR(IF(VLOOKUP(BI128,Кабель_обозначение,3,FALSE)=1,CF128&amp;" ("&amp;BJ128&amp;"х"&amp;BS128&amp;")",CF128),"")</f>
        <v>ВВГнг(А)-LS (3х1,5)</v>
      </c>
      <c r="CH128" t="str">
        <f t="shared" si="105"/>
        <v>ВВГнг(А)-LS (3х1,5)
L=75-1,6%</v>
      </c>
      <c r="CI128">
        <f>IFERROR(2*ρкз_Cu*BW128/BS128,"")</f>
        <v>2.6300000000000003</v>
      </c>
      <c r="CJ128">
        <f t="shared" si="106"/>
        <v>0.87500000000000011</v>
      </c>
      <c r="CK128" t="str">
        <f>IFERROR(IF(OR(D128="",NOT(ISNUMBER(BS128)),N(BW128)=0),"",_xlfn.XLOOKUP(A128,Щиты[Щит],Щиты[Zпетли на шинах, Ом])+CI128),"")</f>
        <v/>
      </c>
      <c r="CL128" t="str">
        <f>IF(ISNUMBER(CK128),c_min*(Uн_лин*1000/SQRT(3))/CK128,"")</f>
        <v/>
      </c>
      <c r="CM128" t="str">
        <f>IFERROR(IF(OR(D128="",NOT(ISNUMBER(BS128))),"",1.05*(Uн_лин*1000/SQRT(3))/(_xlfn.XLOOKUP(A128,Щиты[Щит],Щиты[Zmax на шинах, Ом])+CJ128)/1000),"")</f>
        <v/>
      </c>
      <c r="CN128" t="str">
        <f>IF(D128="","",IF(BA128&lt;&gt;"","Щит",IF(K128&lt;&gt;"",K128,IF(ISNUMBER(L128),"Сил",IF(IFERROR(_xlfn.XLOOKUP(AT128,Коды_код,Коды_группа)&amp;"","")="","Быт",_xlfn.XLOOKUP(AT128,Коды_код,Коды_группа)&amp;"")))))</f>
        <v>Сил</v>
      </c>
      <c r="CO128">
        <f>IF(CN128="Щит","щит",IF(CN128="","",IF(CN128="Быт",IFERROR(_xlfn.XLOOKUP(A128,Щиты[Щит],Щиты[Кс быт]),1),IF(CN128="Сил",IF(ISNUMBER(L128),L128,IF(Методика="нормы 2026",IFERROR(_xlfn.XLOOKUP(A128,Щиты[Щит],Щиты[Кс силовых (табл. 7.5)]),1),1)),IF(OR(CN128="Пост",CN128="Отоп"),1,IF(CN128="ВНГ",0.7,0))))))</f>
        <v>0.5</v>
      </c>
      <c r="CP128">
        <f t="shared" si="107"/>
        <v>1</v>
      </c>
      <c r="CQ128">
        <f t="shared" si="108"/>
        <v>0.376</v>
      </c>
      <c r="CR128">
        <f t="shared" si="109"/>
        <v>0</v>
      </c>
      <c r="CS128">
        <f t="shared" si="110"/>
        <v>0.188</v>
      </c>
      <c r="CT128">
        <f t="shared" si="111"/>
        <v>0</v>
      </c>
      <c r="CU128">
        <f t="shared" si="112"/>
        <v>0</v>
      </c>
      <c r="CV128">
        <f t="shared" si="113"/>
        <v>0</v>
      </c>
      <c r="CW128">
        <f t="shared" si="114"/>
        <v>0.376</v>
      </c>
      <c r="CX128">
        <f t="shared" si="115"/>
        <v>0.35719999999999996</v>
      </c>
      <c r="CY128">
        <f t="shared" si="116"/>
        <v>1</v>
      </c>
      <c r="CZ128" t="str">
        <f t="shared" si="117"/>
        <v>L1</v>
      </c>
      <c r="DA128" cm="1">
        <f t="array" ref="DA128">IFERROR(IF(BL128=2,_xlfn.IFS(BH128=3,VLOOKUP(BF128,Справочная_двигатели,3,FALSE),BH128=1,VLOOKUP(BF128,Справочная_двигатели,5,TRUE)),0),0)</f>
        <v>0</v>
      </c>
      <c r="DB128">
        <f>IFERROR(IF(BL128=3,VLOOKUP(BF128,Справочная_ЛЭД,2,TRUE),0),0)</f>
        <v>0</v>
      </c>
      <c r="DC128">
        <f t="shared" si="118"/>
        <v>0</v>
      </c>
      <c r="DD128" t="str">
        <f t="shared" si="119"/>
        <v>L1</v>
      </c>
      <c r="DE128" t="str" cm="1">
        <f t="array" ref="DE128">IF(D128="","",IFERROR(INDEX({"I особая","I","II","III"},MATCH(TRIM(AA128&amp;""),{"I особая","I","II","III"},0)),"III"))</f>
        <v>II</v>
      </c>
      <c r="DF128" t="str">
        <f>IF(D128="","",IF(TRIM(AB128&amp;"")&lt;&gt;"",IF(LOWER(TRIM(AB128&amp;""))="да","да","нет"),IF(IFERROR(_xlfn.XLOOKUP(AT128,Коды_код,Коды_пожарная),"")="да","да","нет")))</f>
        <v>нет</v>
      </c>
      <c r="DG128" t="str">
        <f t="shared" si="120"/>
        <v/>
      </c>
      <c r="DH128" t="str">
        <f t="shared" si="121"/>
        <v>основная</v>
      </c>
      <c r="DI128">
        <f t="shared" si="122"/>
        <v>1</v>
      </c>
      <c r="DJ128" t="str" cm="1">
        <f t="array" ref="DJ128">IF(D128="","",_xlfn.LET(_xlpm.t,IFERROR(_xlfn.XLOOKUP(1,(Шины[Шина]=DH128)*(((Шины[Щит]=A128)+(Шины[Щит]=""))&gt;0),Шины[Тип]),"")&amp;"",IF(_xlpm.t&lt;&gt;"",_xlpm.t,IF(ISNUMBER(SEARCH("ИБП",DH128)),"ИБП",IF(ISNUMBER(SEARCH("ДГУ",DH128)),"ДГУ","Ввод "&amp;DI128)))))</f>
        <v>Ввод 1</v>
      </c>
      <c r="DK128" t="str">
        <f t="shared" si="123"/>
        <v>Ввод 1</v>
      </c>
      <c r="DL128" t="str">
        <f>IF(D128="","",IF(OR(DJ128="ИБП",DJ128="ДГУ"),"I особая",IF(DJ128="Одиночная","III",_xlfn.XLOOKUP(A128,Щиты[Щит],Щиты[Категория шины «Ввод»],"III"))))</f>
        <v>II</v>
      </c>
      <c r="DM128">
        <f>IF(D128="",0,IFERROR(MATCH(DE128,{"III","II","I","I особая"},0),1))</f>
        <v>2</v>
      </c>
      <c r="DN128">
        <f t="shared" si="124"/>
        <v>2</v>
      </c>
      <c r="DO128" t="str">
        <f>IF(D128="","",IF(DM128&gt;IFERROR(MATCH(DL128,{"III","II","I","I особая"},0),1),"НЕ ОБЕСПЕЧЕНА","ОК"))</f>
        <v>ОК</v>
      </c>
      <c r="DP128" t="str">
        <f>IF(A128="","",_xlfn.XLOOKUP(A128,Щиты[Щит],Щиты[Путь],""))</f>
        <v>|ГРЩ-ЖД|ЩОВ-01|</v>
      </c>
      <c r="DQ128" t="str">
        <f>IF(D128="","",IF(Z128&lt;&gt;"",Z128,IF(IFERROR(_xlfn.XLOOKUP(AT128,Коды_код,Коды_вид)&amp;"","")="","Прочее",_xlfn.XLOOKUP(AT128,Коды_код,Коды_вид)&amp;"")))</f>
        <v>Кондиционирование и увлажнение</v>
      </c>
      <c r="DR128">
        <f>IF(BD128="","",INT((BD128-1)/Столбцов_на_лист)+1)</f>
        <v>3</v>
      </c>
      <c r="DS128" t="str">
        <f t="shared" si="125"/>
        <v>ВВГнг(А)-LS (3х1,5) L=75-1,6%</v>
      </c>
      <c r="DT128">
        <f t="shared" si="126"/>
        <v>0.376</v>
      </c>
      <c r="DU128">
        <f t="shared" si="127"/>
        <v>1.72</v>
      </c>
      <c r="DV128">
        <f t="shared" si="128"/>
        <v>1</v>
      </c>
      <c r="DW128">
        <f>IF(AT128="",0,_xlfn.LET(_xlpm.v,IFERROR(VLOOKUP(D128,УГО_спр,3,FALSE),IFERROR(VLOOKUP(AT128,УГО_спр,3,FALSE),IFERROR(VLOOKUP(LEFT(AT128,2),УГО_спр,3,FALSE),""))),IF(_xlpm.v="да",30,IF(ISNUMBER(_xlpm.v),_xlpm.v,0))))</f>
        <v>0</v>
      </c>
      <c r="DX128">
        <f t="shared" si="129"/>
        <v>0</v>
      </c>
      <c r="DY128">
        <f>IF(BD128="","",IF(AD128&lt;&gt;"",COUNTIFS(A$3:A128,A128,AD$3:AD128,"?*"),IF(OR(OR(AS128=1,A128&lt;&gt;A127),AL128="вручную"),"",IF(AS128=1,"",DZ127))))</f>
        <v>26</v>
      </c>
      <c r="DZ128">
        <f t="shared" si="130"/>
        <v>26</v>
      </c>
      <c r="EA128">
        <f>IF(D128="",0,MAX(IFERROR(--X128,0),IFERROR(--VLOOKUP(D128,УГО_спр,4,FALSE),IFERROR(--VLOOKUP(AT128,УГО_спр,4,FALSE),IFERROR(--VLOOKUP(LEFT(AT128,2),УГО_спр,4,FALSE),0)))))</f>
        <v>10</v>
      </c>
      <c r="EB128">
        <f>IF(D128="","",IFERROR(LOOKUP(INDEX(CHOOSE(BR128,Iдоп_1ж,Iдоп_2ж,Iдоп_3ж),MATCH(BS128,Iдоп_S,0))*BP128*BQ128,{6,10,16,20,25,32,40,50,63,80,100,125,160,200,250,315,400,500,630}),""))</f>
        <v>16</v>
      </c>
      <c r="EC128">
        <f>IF(AD128="","",SUMIFS(Линии[_Ток схемы],Линии[_гр.],DY128,Линии[Щит],A128,Линии[_в кабель выше],0))</f>
        <v>1.72</v>
      </c>
      <c r="ED128">
        <f>IF(AD128="","",IFERROR(VLOOKUP(EC128,Автомат_номиналы,2,TRUE),""))</f>
        <v>6</v>
      </c>
      <c r="EE128">
        <f>IF(AD128="","",MAX(N(ED128),_xlfn.MAXIFS(Линии[_мин. по типу],Линии[_гр.],DY128,Линии[Щит],A128)))</f>
        <v>10</v>
      </c>
      <c r="EF128">
        <f>IF(AD128="","",_xlfn.MINIFS(Линии[_макс. автомат по кабелю],Линии[_гр.],DY128,Линии[Щит],A128))</f>
        <v>16</v>
      </c>
      <c r="EG128">
        <f>IF(AD128="","",MAX(1,_xlfn.MAXIFS(Линии[_фаз],Линии[_гр.],DY128,Линии[Щит],A128)))</f>
        <v>1</v>
      </c>
      <c r="EH128">
        <f>IF(AD128="","",IF(AND(AD128&lt;&gt;"авто",AD128&lt;&gt;"+"),IF(ISNUMBER(SEARCH("мА",AD128)),IFERROR(--TRIM(RIGHT(SUBSTITUTE(LEFT(AD128,SEARCH("мА",AD128)-1)," ",REPT(" ",9)),6)),30),0),IF(AE128="нет",0,IF(ISNUMBER(AE128),AE128,IF(AE128="да",30,_xlfn.MINIFS(Линии[_дифзащита по коду, мА],Линии[_гр.],DY128,Линии[Щит],A128,Линии[_дифзащита по коду, мА],"&gt;0"))))))</f>
        <v>0</v>
      </c>
      <c r="EI128">
        <f t="shared" si="131"/>
        <v>0</v>
      </c>
      <c r="EJ128" t="str">
        <f t="shared" si="132"/>
        <v>QF26</v>
      </c>
      <c r="EK128" t="str">
        <f t="shared" si="133"/>
        <v>QF26</v>
      </c>
      <c r="EL128" t="str">
        <f t="shared" si="134"/>
        <v/>
      </c>
      <c r="EM128">
        <f t="shared" si="135"/>
        <v>0</v>
      </c>
      <c r="EN128">
        <f>IF(AD128="","",IF(EM128=1,MAX(EE128,Мин_автомат_БП),EE128))</f>
        <v>10</v>
      </c>
      <c r="EO128" t="str">
        <f t="shared" si="136"/>
        <v>1P</v>
      </c>
      <c r="EP128" t="str">
        <f t="shared" si="137"/>
        <v>1P С10А</v>
      </c>
      <c r="EQ128">
        <f t="shared" si="138"/>
        <v>10</v>
      </c>
      <c r="ER128" t="str">
        <f>IF(OR(AI128="",AI128="-"),"",IFERROR(VLOOKUP(AI128,Модули_спр,2,FALSE),"R"))</f>
        <v/>
      </c>
      <c r="ES128" t="str">
        <f>IF(ER128="","",ER128&amp;"."&amp;COUNTIFS(A$3:A128,A128,ER$3:ER128,ER128))</f>
        <v/>
      </c>
      <c r="ET128" t="str">
        <f t="shared" si="139"/>
        <v/>
      </c>
      <c r="EU128" t="str">
        <f t="shared" si="140"/>
        <v/>
      </c>
      <c r="EV128" t="str">
        <f t="shared" si="141"/>
        <v/>
      </c>
      <c r="EW128" t="str">
        <f t="shared" si="142"/>
        <v/>
      </c>
      <c r="EX128">
        <f t="shared" si="143"/>
        <v>1</v>
      </c>
      <c r="EY128" t="str">
        <f>IF(AK128="нет","",IF(AK128&lt;&gt;"",AK128,IF(EX128=1,"XT"&amp;COUNTIFS(A$3:A128,A128,EX$3:EX128,1),"")))</f>
        <v/>
      </c>
      <c r="EZ128" t="str">
        <f t="shared" si="144"/>
        <v>QF26</v>
      </c>
      <c r="FA128" t="str">
        <f t="shared" si="145"/>
        <v/>
      </c>
      <c r="FB128" t="str">
        <f t="shared" si="146"/>
        <v>ok</v>
      </c>
      <c r="FC128" t="str">
        <f>IF(OR(EV128="",ET128=""),"",IF(EV128&gt;IFERROR(VLOOKUP(EU128,Модули_спр,3,FALSE),99),"ЛИШНИЙ КАНАЛ",IF(AND(AJ128&lt;&gt;"=",COUNTIFS(Линии[_модуль гр.],ET128,Линии[Канал (итог)],EV128,Линии[Канал],"&lt;&gt;=",Линии[Щит],A128)&gt;1),"ДУБЛЬ КАНАЛА","")))</f>
        <v/>
      </c>
      <c r="FD128">
        <f t="shared" si="147"/>
        <v>10</v>
      </c>
      <c r="FE128" t="str">
        <f t="shared" si="148"/>
        <v>1P С10А</v>
      </c>
      <c r="FF128">
        <f t="shared" si="149"/>
        <v>0</v>
      </c>
      <c r="FG128">
        <f t="shared" si="150"/>
        <v>0</v>
      </c>
      <c r="FH128" t="str">
        <f t="shared" si="151"/>
        <v/>
      </c>
      <c r="FI128">
        <f t="shared" si="152"/>
        <v>10</v>
      </c>
      <c r="FJ128" t="str">
        <f t="shared" si="153"/>
        <v/>
      </c>
      <c r="FK128" t="str">
        <f>IF(AND(D128="",EZ128=""),"",_xlfn.TEXTJOIN("; ",TRUE,IF(AND(D128&lt;&gt;"",DD128=""),"нет фазы",""),IF(AND(D128&lt;&gt;"",N(DT128)=0,CN128&lt;&gt;"Нет"),"нет мощности",""),IF(AND(EY128&lt;&gt;"",COUNTIFS(Линии[Щит],A128,Линии[Клемма (итог)],EY128)&gt;1),"дубль клеммы "&amp;EY128,""),IF(AND(FB128&lt;&gt;"",FB128&lt;&gt;"ok"),FB128,""),IF(FC128&lt;&gt;"",FC128,""),IF(AND(ISNUMBER(SEARCH("(5х",DS128)),N(DV128)=1),"5 жил на 1 фазе",""),IF(AND(AT128="R",AD128&lt;&gt;"",OR(N(EH128)=0,N(EH128)&gt;30)),"розетка без дифзащиты до 30 мА",""),IFERROR(IF(AND(ISNUMBER(CD128),CD128&gt;CE128),"потери "&amp;FIXED(CD128,1)&amp;" % &gt; "&amp;CE128&amp;" %",""),""),IFERROR(IF(LEFT(FJ128,4)="мало","Iкз мало — отключение &gt; 0,4 с",""),""),IF(AND(D128&lt;&gt;"",BD128=""),"не на схеме","")))</f>
        <v/>
      </c>
      <c r="FL128">
        <f>IF(AD128="","",_xlfn.LET(_xlpm.t,IFERROR(_xlfn.XLOOKUP(EP128,Каталог!$U$4:$U$500,Каталог!$G$4:$G$500),""),_xlpm.k,SEARCH("кА",_xlpm.t),IFERROR(--TRIM(RIGHT(SUBSTITUTE(MID(_xlpm.t,MAX(1,_xlpm.k-4),_xlpm.k-MAX(1,_xlpm.k-4))," ",REPT(" ",9)),5)),"")))</f>
        <v>6</v>
      </c>
      <c r="FM128" t="str">
        <f>IF(OR(FL128="",AD128=""),"",IF(_xlfn.XLOOKUP(A128,Щиты[Щит],Щиты[Iкз max на шинах, кА],"")="","",IF(FL128&lt;_xlfn.XLOOKUP(A128,Щиты[Щит],Щиты[Iкз max на шинах, кА]),"Icu "&amp;FL128&amp;" кА &lt; Iкз max","ok")))</f>
        <v/>
      </c>
      <c r="FN128" t="str">
        <f t="shared" si="154"/>
        <v>QF26</v>
      </c>
      <c r="FO128" t="str">
        <f t="shared" si="155"/>
        <v>QF26|кабель ВВГнг(А)-LS (3х1,5) → Внутренний блок кондиционирования первый этаж Пом. №002Б</v>
      </c>
      <c r="FP128" t="str" cm="1">
        <f t="array" ref="FP128">IF(FO128="","",_xlfn.LET(_xlpm.nd,_xlfn.TEXTSPLIT(FO128,"|"),IF(COLUMNS(_xlpm.nd)&gt;1,A128&amp;"¦"&amp;INDEX(_xlpm.nd,1)&amp;"¦"&amp;INDEX(_xlpm.nd,2),"")))</f>
        <v>ЩОВ-01¦QF26¦кабель ВВГнг(А)-LS (3х1,5) → Внутренний блок кондиционирования первый этаж Пом. №002Б</v>
      </c>
      <c r="FQ128" t="str">
        <f t="shared" si="156"/>
        <v>K.1.015A¦Внутренний блок кондиционирования первый этаж Пом. №002Б</v>
      </c>
      <c r="FR128" t="str" cm="1">
        <f t="array" ref="FR128">IF(FO128="","",_xlfn.LET(_xlpm.nd,_xlfn.TEXTSPLIT(FO128,"|"),IF(COLUMNS(_xlpm.nd)&gt;2,A128&amp;"¦"&amp;INDEX(_xlpm.nd,2)&amp;"¦"&amp;INDEX(_xlpm.nd,3),"")))</f>
        <v/>
      </c>
      <c r="FS128" t="str">
        <f t="shared" si="157"/>
        <v/>
      </c>
      <c r="FT128" t="str" cm="1">
        <f t="array" ref="FT128">IF(FO128="","",_xlfn.LET(_xlpm.nd,_xlfn.TEXTSPLIT(FO128,"|"),IF(COLUMNS(_xlpm.nd)&gt;3,A128&amp;"¦"&amp;INDEX(_xlpm.nd,3)&amp;"¦"&amp;INDEX(_xlpm.nd,4),"")))</f>
        <v/>
      </c>
      <c r="FU128" t="str">
        <f t="shared" si="158"/>
        <v/>
      </c>
      <c r="FV128" t="str" cm="1">
        <f t="array" ref="FV128">IF(FO128="","",_xlfn.LET(_xlpm.nd,_xlfn.TEXTSPLIT(FO128,"|"),IF(COLUMNS(_xlpm.nd)&gt;4,A128&amp;"¦"&amp;INDEX(_xlpm.nd,4)&amp;"¦"&amp;INDEX(_xlpm.nd,5),"")))</f>
        <v/>
      </c>
      <c r="FW128" t="str">
        <f t="shared" si="159"/>
        <v/>
      </c>
      <c r="FX128" t="str" cm="1">
        <f t="array" ref="FX128">IF(FO128="","",_xlfn.LET(_xlpm.nd,_xlfn.TEXTSPLIT(FO128,"|"),IF(COLUMNS(_xlpm.nd)&gt;5,A128&amp;"¦"&amp;INDEX(_xlpm.nd,5)&amp;"¦"&amp;INDEX(_xlpm.nd,6),"")))</f>
        <v/>
      </c>
      <c r="FY128" t="str">
        <f t="shared" si="160"/>
        <v/>
      </c>
      <c r="FZ128" t="str" cm="1">
        <f t="array" ref="FZ128">IF(FO128="","",_xlfn.LET(_xlpm.nd,_xlfn.TEXTSPLIT(FO128,"|"),IF(COLUMNS(_xlpm.nd)&gt;6,A128&amp;"¦"&amp;INDEX(_xlpm.nd,6)&amp;"¦"&amp;INDEX(_xlpm.nd,7),"")))</f>
        <v/>
      </c>
      <c r="GA128" t="str">
        <f t="shared" si="161"/>
        <v/>
      </c>
      <c r="GB128" t="str">
        <f t="shared" si="162"/>
        <v/>
      </c>
      <c r="GC128" t="str">
        <f t="shared" si="163"/>
        <v>QF26</v>
      </c>
      <c r="GD128">
        <f t="shared" si="164"/>
        <v>1</v>
      </c>
      <c r="GE128">
        <f t="shared" si="165"/>
        <v>0</v>
      </c>
      <c r="GF128">
        <f t="shared" si="166"/>
        <v>0</v>
      </c>
      <c r="GG128" t="str">
        <f t="shared" si="167"/>
        <v/>
      </c>
      <c r="GH128" t="str">
        <f t="shared" si="168"/>
        <v/>
      </c>
      <c r="GI128" t="str">
        <f t="shared" si="169"/>
        <v/>
      </c>
      <c r="GJ128" t="str">
        <f t="shared" si="170"/>
        <v/>
      </c>
      <c r="GK128">
        <f>IF(D128="","",IFERROR(VLOOKUP(D128,УГО_спр,2,FALSE),IFERROR(VLOOKUP(AT128,УГО_спр,2,FALSE),IFERROR(VLOOKUP(LEFT(AT128,2),УГО_спр,2,FALSE),""))))</f>
        <v>0</v>
      </c>
      <c r="GL128" t="str">
        <f>IF(D128="","",IF(OR(GK128="",GK128=0),"BOX",IFERROR(IF(VLOOKUP(GK128,УГО_блоки,3,FALSE)&amp;""&lt;&gt;"",VLOOKUP(GK128,УГО_блоки,3,FALSE),VLOOKUP(GK128,УГО_блоки,2,FALSE)),GK128)))</f>
        <v>BOX</v>
      </c>
      <c r="GM128">
        <f t="shared" si="171"/>
        <v>1</v>
      </c>
      <c r="GN128" t="str">
        <f>IF(EP128="","",IF(COUNTIF(EP$3:EP128,EP128)=1,MAX(GN$2:GN127)+1,""))</f>
        <v/>
      </c>
      <c r="GO128" t="str">
        <f>IF(AF128="","",IF(COUNTIF(AF$3:AF128,AF128)+COUNTIF(AG$2:AG127,AF128)+COUNTIF(AH$2:AH127,AF128)=1,MAX(GO$2:GQ127)+1,""))</f>
        <v/>
      </c>
      <c r="GP128" t="str">
        <f>IF(AG128="","",IF(COUNTIF(AF$3:AF128,AG128)+COUNTIF(AG$3:AG128,AG128)+COUNTIF(AH$2:AH127,AG128)=1,MAX(GO$2:GQ127,GO128)+1,""))</f>
        <v/>
      </c>
      <c r="GQ128" t="str">
        <f>IF(AH128="","",IF(COUNTIF(AF$3:AF128,AH128)+COUNTIF(AG$3:AG128,AH128)+COUNTIF(AH$3:AH128,AH128)=1,MAX(GO$2:GQ127,GO128,GP128)+1,""))</f>
        <v/>
      </c>
      <c r="GR128" t="str">
        <f t="shared" si="172"/>
        <v>3х1,5</v>
      </c>
      <c r="GS128" t="str">
        <f>IF(GR128="","",IF(COUNTIF(GR$3:GR128,GR128)=1,MAX(GS$2:GS127)+1,""))</f>
        <v/>
      </c>
      <c r="GT128" t="str">
        <f>IF(ES128="","",COUNTIF(ES$3:ES128,"?*"))</f>
        <v/>
      </c>
      <c r="GU128" t="str">
        <f>IF(OR(ES128="",EU128=""),"",IF(COUNTIFS(ES$3:ES128,"?*",EU$3:EU128,EU128)=1,MAX(GU$2:GU127)+1,""))</f>
        <v/>
      </c>
      <c r="GV128">
        <f t="shared" si="173"/>
        <v>0</v>
      </c>
      <c r="GW128">
        <f>IF(D128="","",COUNTIF(D$3:D128,"?*"))</f>
        <v>126</v>
      </c>
      <c r="GX128">
        <f>IF(EX128&lt;&gt;1,0,_xlfn.LET(_xlpm.k,MAX(IFERROR(--VLOOKUP(D128,УГО_спр,5,FALSE),0),IFERROR(--VLOOKUP(AT128,УГО_спр,5,FALSE),0),IFERROR(--VLOOKUP(LEFT(AT128,2),УГО_спр,5,FALSE),0)),IF(_xlpm.k&gt;0,_xlpm.k,IF(IFERROR(--LEFT(SUBSTITUTE(GR128,"x","х"),FIND("х",SUBSTITUTE(GR128,"x","х"))-1),3)&gt;3,Каталог!$S$9,1))))</f>
        <v>1</v>
      </c>
      <c r="GY128">
        <f t="shared" si="174"/>
        <v>0</v>
      </c>
    </row>
    <row r="129" spans="1:207" x14ac:dyDescent="0.3">
      <c r="A129" t="s">
        <v>750</v>
      </c>
      <c r="B129" t="s">
        <v>531</v>
      </c>
      <c r="C129" t="str">
        <f>IF(BD129="","",IF(BE129="вводной узел","узел ","")&amp;"л."&amp;(INT((BD129-1)/Столбцов_на_лист)+1)&amp;" / "&amp;(MOD(BD129-1,Столбцов_на_лист)+1))</f>
        <v/>
      </c>
      <c r="D129" t="s">
        <v>1426</v>
      </c>
      <c r="E129" s="133" t="s">
        <v>1427</v>
      </c>
      <c r="G129">
        <v>0.111</v>
      </c>
      <c r="H129">
        <v>1</v>
      </c>
      <c r="I129">
        <v>1</v>
      </c>
      <c r="J129">
        <v>230</v>
      </c>
      <c r="K129" t="s">
        <v>602</v>
      </c>
      <c r="L129">
        <v>0.5</v>
      </c>
      <c r="P129">
        <v>23</v>
      </c>
      <c r="Q129">
        <v>15</v>
      </c>
      <c r="R129">
        <v>10</v>
      </c>
      <c r="T129">
        <v>1</v>
      </c>
      <c r="U129" t="s">
        <v>11</v>
      </c>
      <c r="V129">
        <v>3</v>
      </c>
      <c r="W129">
        <v>1.5</v>
      </c>
      <c r="X129">
        <v>10</v>
      </c>
      <c r="Z129" t="s">
        <v>580</v>
      </c>
      <c r="AR129" t="str">
        <f t="shared" si="88"/>
        <v>не на схеме</v>
      </c>
      <c r="AS129" cm="1">
        <f t="array" ref="AS129">ROW()-ROW(Линии[#Headers])</f>
        <v>127</v>
      </c>
      <c r="AT129" t="str">
        <f t="shared" si="89"/>
        <v>K</v>
      </c>
      <c r="AU129" t="str">
        <f t="shared" si="90"/>
        <v>0.009А.1</v>
      </c>
      <c r="AV129" t="str">
        <f t="shared" si="91"/>
        <v>0</v>
      </c>
      <c r="AW129" t="str">
        <f t="shared" si="92"/>
        <v>009А.1</v>
      </c>
      <c r="AX129" t="str">
        <f t="shared" si="93"/>
        <v>009А</v>
      </c>
      <c r="AY129" t="str">
        <f>IF(D129="","",IF(ISERROR(SEARCH(".",D129)),IFERROR(VLOOKUP(D129,Потребители_обозначение,2,FALSE)&amp;"",""),IFERROR(IF(VLOOKUP(AT129,Потребители_обозначение,4,FALSE)=1,VLOOKUP(AT129,Потребители_обозначение,2,FALSE)&amp;" "&amp;VLOOKUP(AV129,Этаж_обозначение,2,FALSE)&amp;" Пом. №"&amp;AX129,VLOOKUP(AT129,Потребители_обозначение,2,FALSE)&amp;" Шлейф №"&amp;AV129),IFERROR(VLOOKUP(D129,Потребители_обозначение,2,FALSE),""))))</f>
        <v>Внутренний блок кондиционирования Цокольный этаж Пом. №009А</v>
      </c>
      <c r="AZ129" t="str">
        <f t="shared" si="94"/>
        <v>Внутренний блок кондиционирования цокольный этаж Пом. №0.002Т</v>
      </c>
      <c r="BA129" t="str">
        <f>IF(F129&lt;&gt;"",F129,IF(AND(D129&lt;&gt;"",D129&lt;&gt;A129,ISNUMBER(_xlfn.XMATCH(D129,Щиты[Щит]))),D129,""))</f>
        <v/>
      </c>
      <c r="BB129">
        <f>IFERROR(_xlfn.XMATCH(A129,Щиты[Щит]),0)</f>
        <v>6</v>
      </c>
      <c r="BC129">
        <f>IFERROR(N(_xlfn.XLOOKUP(A129,Щиты[Щит],Щиты[Мест под вводной узел])),15)</f>
        <v>12</v>
      </c>
      <c r="BD129" t="str">
        <f t="shared" si="95"/>
        <v/>
      </c>
      <c r="BE129" t="str">
        <f t="shared" si="96"/>
        <v/>
      </c>
      <c r="BF129">
        <f>IF(D129="","",IF(BA129&lt;&gt;"",IFERROR(_xlfn.XLOOKUP(BA129,Щиты[Щит],Щиты[Руст, кВт]),0),N(G129)))</f>
        <v>0.111</v>
      </c>
      <c r="BG129">
        <f>IF(J129&lt;&gt;"",J129,IF(D129="","",IFERROR(IF(VLOOKUP(AT129,Потребители_обозначение,8,FALSE)=0,"",VLOOKUP(AT129,Потребители_обозначение,8,FALSE)),"")))</f>
        <v>230</v>
      </c>
      <c r="BH129">
        <f>IF(I129&lt;&gt;"",I129,IF(D129="","",IFERROR(IF(VLOOKUP(AT129,Потребители_обозначение,9,FALSE)=0,"",VLOOKUP(AT129,Потребители_обозначение,9,FALSE)),"")))</f>
        <v>1</v>
      </c>
      <c r="BI129" t="str">
        <f>IF(U129&lt;&gt;"",U129,IF(D129="","",IFERROR(IF(VLOOKUP(AT129,Потребители_обозначение,6,FALSE)=0,"",VLOOKUP(AT129,Потребители_обозначение,6,FALSE)),"")))</f>
        <v>мс</v>
      </c>
      <c r="BJ129">
        <f>IF(V129&lt;&gt;"",V129,IF(D129="","",IFERROR(IF(VLOOKUP(AT129,Потребители_обозначение,7,FALSE)=0,"",VLOOKUP(AT129,Потребители_обозначение,7,FALSE)),"")))</f>
        <v>3</v>
      </c>
      <c r="BK129">
        <f>IF(W129&lt;&gt;"",W129,IF(D129="","",IFERROR(IF(VLOOKUP(AT129,Потребители_обозначение,10,FALSE)=0,"",VLOOKUP(AT129,Потребители_обозначение,10,FALSE)),"")))</f>
        <v>1.5</v>
      </c>
      <c r="BL129">
        <f>IFERROR(VLOOKUP(AT129,Потребители_обозначение,5,FALSE),0)</f>
        <v>1</v>
      </c>
      <c r="BM129" cm="1">
        <f t="array" ref="BM129">IF(D129="","",IF(BA129&lt;&gt;"",IFERROR(_xlfn.XLOOKUP(BA129,Щиты[Щит],Щиты[cos φ]),0.95),IF(ISNUMBER(M129),M129,IFERROR(IF(BL129=2,_xlfn.IFS(BH129=3,VLOOKUP(BF129,Справочная_двигатели,8,FALSE),BH129=1,VLOOKUP(BF129,Справочная_двигатели,10,TRUE)),IF(AND(Методика="нормы 2026",CN129="Сил"),0.8,0.95)),0.95))))</f>
        <v>0.95</v>
      </c>
      <c r="BN129" cm="1">
        <f t="array" ref="BN129">IF(D129="","",IF(BA129&lt;&gt;"",IFERROR(_xlfn.XLOOKUP(BA129,Щиты[Щит],Щиты[Iр, А]),""),IFERROR(_xlfn.IFS(BH129=1,BF129/((Uн_лин/SQRT(3))*BM129),BH129=3,BF129/(SQRT(3)*Uн_лин*BM129)),"")))</f>
        <v>0.50594115694775099</v>
      </c>
      <c r="BO129">
        <f>IF(D129="","",IF(N(X129)=0,IFERROR(VLOOKUP(BN129,Автомат_номиналы,2,TRUE),""),X129))</f>
        <v>10</v>
      </c>
      <c r="BP129">
        <f t="shared" si="97"/>
        <v>1</v>
      </c>
      <c r="BQ129">
        <f>IF(ISNUMBER(Y129),Y129,К_прокл)</f>
        <v>1</v>
      </c>
      <c r="BR129">
        <f t="shared" si="98"/>
        <v>2</v>
      </c>
      <c r="BS129" cm="1">
        <f t="array" ref="BS129">IF(D129="","",IF(N(BK129)&lt;&gt;0,BK129,IFERROR(_xlfn.LET(_xlpm.need,BO129/(BP129*BQ129),_xlpm.t,CHOOSE(BR129,Iдоп_1ж,Iдоп_2ж,Iдоп_3ж),_xlpm.k,_xlfn.XMATCH(_xlpm.need,_xlpm.t,1),IF(ISNA(_xlpm.k),"Не исп",INDEX(Iдоп_S,_xlpm.k))),"Не исп")))</f>
        <v>1.5</v>
      </c>
      <c r="BT129">
        <f>IFERROR(VLOOKUP(BS129,Кабель_сопротивление,3,FALSE),"")</f>
        <v>2.2499999999999999E-2</v>
      </c>
      <c r="BU129">
        <f>IFERROR(VLOOKUP(BS129,Кабель_сопротивление,2,FALSE),"")</f>
        <v>0.11</v>
      </c>
      <c r="BV129">
        <f t="shared" si="99"/>
        <v>23</v>
      </c>
      <c r="BW129">
        <f>IF(D129="","",IFERROR(IF(VLOOKUP(AT129,Потребители_обозначение,4,FALSE)=1,VLOOKUP(AT129,Потребители_обозначение,3,FALSE)*(H129*2-1)+BV129+VLOOKUP(AV129,Этаж_обозначение,3,FALSE)+VLOOKUP(AV129,Этаж_обозначение,4,FALSE),VLOOKUP(AT129,Потребители_обозначение,3,FALSE)*(H129*2-1)+BV129),BV129))</f>
        <v>25</v>
      </c>
      <c r="BX129">
        <f t="shared" si="100"/>
        <v>10</v>
      </c>
      <c r="BY129">
        <f t="shared" si="101"/>
        <v>0</v>
      </c>
      <c r="BZ129">
        <f t="shared" si="102"/>
        <v>2</v>
      </c>
      <c r="CA129">
        <f t="shared" si="103"/>
        <v>0.31</v>
      </c>
      <c r="CB129">
        <f t="shared" si="104"/>
        <v>0.36134570399786842</v>
      </c>
      <c r="CC129">
        <f>IFERROR(ROUNDUP(CB129/((Uн_лин/SQRT(3))*1000)*100,2),"")</f>
        <v>0.16</v>
      </c>
      <c r="CD129">
        <f>IF(ISNUMBER(CC129),CC129+IFERROR(_xlfn.XLOOKUP(A129,Щиты[Щит],Щиты[ΔU до шин, %]),0),"")</f>
        <v>0.4</v>
      </c>
      <c r="CE129">
        <f>IF(D129="","",IF(IFERROR(VLOOKUP(AT129,УГО_спр,2,FALSE),"")="Светильник",3,4)+IF(Методика="нормы 2026",MIN(0.5,MAX(0,N(BW129)-100)*0.005),0))</f>
        <v>4</v>
      </c>
      <c r="CF129" t="str">
        <f>IFERROR(VLOOKUP(BI129,Кабель_обозначение,2,FALSE),"")</f>
        <v>ВВГнг(А)-LS</v>
      </c>
      <c r="CG129" t="str">
        <f>IFERROR(IF(VLOOKUP(BI129,Кабель_обозначение,3,FALSE)=1,CF129&amp;" ("&amp;BJ129&amp;"х"&amp;BS129&amp;")",CF129),"")</f>
        <v>ВВГнг(А)-LS (3х1,5)</v>
      </c>
      <c r="CH129" t="str">
        <f t="shared" si="105"/>
        <v>ВВГнг(А)-LS (3х1,5)
L=25-0,16%</v>
      </c>
      <c r="CI129">
        <f>IFERROR(2*ρкз_Cu*BW129/BS129,"")</f>
        <v>0.87666666666666659</v>
      </c>
      <c r="CJ129">
        <f t="shared" si="106"/>
        <v>0.29166666666666669</v>
      </c>
      <c r="CK129" t="str">
        <f>IFERROR(IF(OR(D129="",NOT(ISNUMBER(BS129)),N(BW129)=0),"",_xlfn.XLOOKUP(A129,Щиты[Щит],Щиты[Zпетли на шинах, Ом])+CI129),"")</f>
        <v/>
      </c>
      <c r="CL129" t="str">
        <f>IF(ISNUMBER(CK129),c_min*(Uн_лин*1000/SQRT(3))/CK129,"")</f>
        <v/>
      </c>
      <c r="CM129" t="str">
        <f>IFERROR(IF(OR(D129="",NOT(ISNUMBER(BS129))),"",1.05*(Uн_лин*1000/SQRT(3))/(_xlfn.XLOOKUP(A129,Щиты[Щит],Щиты[Zmax на шинах, Ом])+CJ129)/1000),"")</f>
        <v/>
      </c>
      <c r="CN129" t="str">
        <f>IF(D129="","",IF(BA129&lt;&gt;"","Щит",IF(K129&lt;&gt;"",K129,IF(ISNUMBER(L129),"Сил",IF(IFERROR(_xlfn.XLOOKUP(AT129,Коды_код,Коды_группа)&amp;"","")="","Быт",_xlfn.XLOOKUP(AT129,Коды_код,Коды_группа)&amp;"")))))</f>
        <v>Сил</v>
      </c>
      <c r="CO129">
        <f>IF(CN129="Щит","щит",IF(CN129="","",IF(CN129="Быт",IFERROR(_xlfn.XLOOKUP(A129,Щиты[Щит],Щиты[Кс быт]),1),IF(CN129="Сил",IF(ISNUMBER(L129),L129,IF(Методика="нормы 2026",IFERROR(_xlfn.XLOOKUP(A129,Щиты[Щит],Щиты[Кс силовых (табл. 7.5)]),1),1)),IF(OR(CN129="Пост",CN129="Отоп"),1,IF(CN129="ВНГ",0.7,0))))))</f>
        <v>0.5</v>
      </c>
      <c r="CP129">
        <f t="shared" si="107"/>
        <v>1</v>
      </c>
      <c r="CQ129">
        <f t="shared" si="108"/>
        <v>0.111</v>
      </c>
      <c r="CR129">
        <f t="shared" si="109"/>
        <v>0</v>
      </c>
      <c r="CS129">
        <f t="shared" si="110"/>
        <v>5.5500000000000001E-2</v>
      </c>
      <c r="CT129">
        <f t="shared" si="111"/>
        <v>0</v>
      </c>
      <c r="CU129">
        <f t="shared" si="112"/>
        <v>0</v>
      </c>
      <c r="CV129">
        <f t="shared" si="113"/>
        <v>0</v>
      </c>
      <c r="CW129">
        <f t="shared" si="114"/>
        <v>0.111</v>
      </c>
      <c r="CX129">
        <f t="shared" si="115"/>
        <v>0.10545</v>
      </c>
      <c r="CY129">
        <f t="shared" si="116"/>
        <v>2</v>
      </c>
      <c r="CZ129" t="str">
        <f t="shared" si="117"/>
        <v>L2</v>
      </c>
      <c r="DA129" cm="1">
        <f t="array" ref="DA129">IFERROR(IF(BL129=2,_xlfn.IFS(BH129=3,VLOOKUP(BF129,Справочная_двигатели,3,FALSE),BH129=1,VLOOKUP(BF129,Справочная_двигатели,5,TRUE)),0),0)</f>
        <v>0</v>
      </c>
      <c r="DB129">
        <f>IFERROR(IF(BL129=3,VLOOKUP(BF129,Справочная_ЛЭД,2,TRUE),0),0)</f>
        <v>0</v>
      </c>
      <c r="DC129">
        <f t="shared" si="118"/>
        <v>0</v>
      </c>
      <c r="DD129" t="str">
        <f t="shared" si="119"/>
        <v>L2</v>
      </c>
      <c r="DE129" t="str" cm="1">
        <f t="array" ref="DE129">IF(D129="","",IFERROR(INDEX({"I особая","I","II","III"},MATCH(TRIM(AA129&amp;""),{"I особая","I","II","III"},0)),"III"))</f>
        <v>III</v>
      </c>
      <c r="DF129" t="str">
        <f>IF(D129="","",IF(TRIM(AB129&amp;"")&lt;&gt;"",IF(LOWER(TRIM(AB129&amp;""))="да","да","нет"),IF(IFERROR(_xlfn.XLOOKUP(AT129,Коды_код,Коды_пожарная),"")="да","да","нет")))</f>
        <v>нет</v>
      </c>
      <c r="DG129" t="str">
        <f t="shared" si="120"/>
        <v/>
      </c>
      <c r="DH129" t="str">
        <f t="shared" si="121"/>
        <v>основная</v>
      </c>
      <c r="DI129">
        <f t="shared" si="122"/>
        <v>1</v>
      </c>
      <c r="DJ129" t="str" cm="1">
        <f t="array" ref="DJ129">IF(D129="","",_xlfn.LET(_xlpm.t,IFERROR(_xlfn.XLOOKUP(1,(Шины[Шина]=DH129)*(((Шины[Щит]=A129)+(Шины[Щит]=""))&gt;0),Шины[Тип]),"")&amp;"",IF(_xlpm.t&lt;&gt;"",_xlpm.t,IF(ISNUMBER(SEARCH("ИБП",DH129)),"ИБП",IF(ISNUMBER(SEARCH("ДГУ",DH129)),"ДГУ","Ввод "&amp;DI129)))))</f>
        <v>Ввод 1</v>
      </c>
      <c r="DK129" t="str">
        <f t="shared" si="123"/>
        <v>Ввод 1</v>
      </c>
      <c r="DL129" t="str">
        <f>IF(D129="","",IF(OR(DJ129="ИБП",DJ129="ДГУ"),"I особая",IF(DJ129="Одиночная","III",_xlfn.XLOOKUP(A129,Щиты[Щит],Щиты[Категория шины «Ввод»],"III"))))</f>
        <v>II</v>
      </c>
      <c r="DM129">
        <f>IF(D129="",0,IFERROR(MATCH(DE129,{"III","II","I","I особая"},0),1))</f>
        <v>1</v>
      </c>
      <c r="DN129">
        <f t="shared" si="124"/>
        <v>1</v>
      </c>
      <c r="DO129" t="str">
        <f>IF(D129="","",IF(DM129&gt;IFERROR(MATCH(DL129,{"III","II","I","I особая"},0),1),"НЕ ОБЕСПЕЧЕНА","ОК"))</f>
        <v>ОК</v>
      </c>
      <c r="DP129" t="str">
        <f>IF(A129="","",_xlfn.XLOOKUP(A129,Щиты[Щит],Щиты[Путь],""))</f>
        <v>|ГРЩ-ЖД|ЩОВ-01|</v>
      </c>
      <c r="DQ129" t="str">
        <f>IF(D129="","",IF(Z129&lt;&gt;"",Z129,IF(IFERROR(_xlfn.XLOOKUP(AT129,Коды_код,Коды_вид)&amp;"","")="","Прочее",_xlfn.XLOOKUP(AT129,Коды_код,Коды_вид)&amp;"")))</f>
        <v>Кондиционирование и увлажнение</v>
      </c>
      <c r="DR129" t="str">
        <f>IF(BD129="","",INT((BD129-1)/Столбцов_на_лист)+1)</f>
        <v/>
      </c>
      <c r="DS129" t="str">
        <f t="shared" si="125"/>
        <v>ВВГнг(А)-LS (3х1,5) L=25-0,16%</v>
      </c>
      <c r="DT129">
        <f t="shared" si="126"/>
        <v>0.111</v>
      </c>
      <c r="DU129">
        <f t="shared" si="127"/>
        <v>0.51</v>
      </c>
      <c r="DV129">
        <f t="shared" si="128"/>
        <v>1</v>
      </c>
      <c r="DW129">
        <f>IF(AT129="",0,_xlfn.LET(_xlpm.v,IFERROR(VLOOKUP(D129,УГО_спр,3,FALSE),IFERROR(VLOOKUP(AT129,УГО_спр,3,FALSE),IFERROR(VLOOKUP(LEFT(AT129,2),УГО_спр,3,FALSE),""))),IF(_xlpm.v="да",30,IF(ISNUMBER(_xlpm.v),_xlpm.v,0))))</f>
        <v>0</v>
      </c>
      <c r="DX129">
        <f t="shared" si="129"/>
        <v>0</v>
      </c>
      <c r="DY129" t="str">
        <f>IF(BD129="","",IF(AD129&lt;&gt;"",COUNTIFS(A$3:A129,A129,AD$3:AD129,"?*"),IF(OR(OR(AS129=1,A129&lt;&gt;A128),AL129="вручную"),"",IF(AS129=1,"",DZ128))))</f>
        <v/>
      </c>
      <c r="DZ129">
        <f t="shared" si="130"/>
        <v>26</v>
      </c>
      <c r="EA129">
        <f>IF(D129="",0,MAX(IFERROR(--X129,0),IFERROR(--VLOOKUP(D129,УГО_спр,4,FALSE),IFERROR(--VLOOKUP(AT129,УГО_спр,4,FALSE),IFERROR(--VLOOKUP(LEFT(AT129,2),УГО_спр,4,FALSE),0)))))</f>
        <v>10</v>
      </c>
      <c r="EB129">
        <f>IF(D129="","",IFERROR(LOOKUP(INDEX(CHOOSE(BR129,Iдоп_1ж,Iдоп_2ж,Iдоп_3ж),MATCH(BS129,Iдоп_S,0))*BP129*BQ129,{6,10,16,20,25,32,40,50,63,80,100,125,160,200,250,315,400,500,630}),""))</f>
        <v>16</v>
      </c>
      <c r="EC129" t="str">
        <f>IF(AD129="","",SUMIFS(Линии[_Ток схемы],Линии[_гр.],DY129,Линии[Щит],A129,Линии[_в кабель выше],0))</f>
        <v/>
      </c>
      <c r="ED129" t="str">
        <f>IF(AD129="","",IFERROR(VLOOKUP(EC129,Автомат_номиналы,2,TRUE),""))</f>
        <v/>
      </c>
      <c r="EE129" t="str">
        <f>IF(AD129="","",MAX(N(ED129),_xlfn.MAXIFS(Линии[_мин. по типу],Линии[_гр.],DY129,Линии[Щит],A129)))</f>
        <v/>
      </c>
      <c r="EF129" t="str">
        <f>IF(AD129="","",_xlfn.MINIFS(Линии[_макс. автомат по кабелю],Линии[_гр.],DY129,Линии[Щит],A129))</f>
        <v/>
      </c>
      <c r="EG129" t="str">
        <f>IF(AD129="","",MAX(1,_xlfn.MAXIFS(Линии[_фаз],Линии[_гр.],DY129,Линии[Щит],A129)))</f>
        <v/>
      </c>
      <c r="EH129" t="str">
        <f>IF(AD129="","",IF(AND(AD129&lt;&gt;"авто",AD129&lt;&gt;"+"),IF(ISNUMBER(SEARCH("мА",AD129)),IFERROR(--TRIM(RIGHT(SUBSTITUTE(LEFT(AD129,SEARCH("мА",AD129)-1)," ",REPT(" ",9)),6)),30),0),IF(AE129="нет",0,IF(ISNUMBER(AE129),AE129,IF(AE129="да",30,_xlfn.MINIFS(Линии[_дифзащита по коду, мА],Линии[_гр.],DY129,Линии[Щит],A129,Линии[_дифзащита по коду, мА],"&gt;0"))))))</f>
        <v/>
      </c>
      <c r="EI129" t="str">
        <f t="shared" si="131"/>
        <v/>
      </c>
      <c r="EJ129" t="str">
        <f t="shared" si="132"/>
        <v/>
      </c>
      <c r="EK129" t="str">
        <f t="shared" si="133"/>
        <v>QF26</v>
      </c>
      <c r="EL129" t="str">
        <f t="shared" si="134"/>
        <v/>
      </c>
      <c r="EM129">
        <f t="shared" si="135"/>
        <v>0</v>
      </c>
      <c r="EN129" t="str">
        <f>IF(AD129="","",IF(EM129=1,MAX(EE129,Мин_автомат_БП),EE129))</f>
        <v/>
      </c>
      <c r="EO129" t="str">
        <f t="shared" si="136"/>
        <v/>
      </c>
      <c r="EP129" t="str">
        <f t="shared" si="137"/>
        <v/>
      </c>
      <c r="EQ129" t="str">
        <f t="shared" si="138"/>
        <v/>
      </c>
      <c r="ER129" t="str">
        <f>IF(OR(AI129="",AI129="-"),"",IFERROR(VLOOKUP(AI129,Модули_спр,2,FALSE),"R"))</f>
        <v/>
      </c>
      <c r="ES129" t="str">
        <f>IF(ER129="","",ER129&amp;"."&amp;COUNTIFS(A$3:A129,A129,ER$3:ER129,ER129))</f>
        <v/>
      </c>
      <c r="ET129" t="str">
        <f t="shared" si="139"/>
        <v/>
      </c>
      <c r="EU129" t="str">
        <f t="shared" si="140"/>
        <v/>
      </c>
      <c r="EV129" t="str">
        <f t="shared" si="141"/>
        <v/>
      </c>
      <c r="EW129" t="str">
        <f t="shared" si="142"/>
        <v/>
      </c>
      <c r="EX129">
        <f t="shared" si="143"/>
        <v>1</v>
      </c>
      <c r="EY129" t="str">
        <f>IF(AK129="нет","",IF(AK129&lt;&gt;"",AK129,IF(EX129=1,"XT"&amp;COUNTIFS(A$3:A129,A129,EX$3:EX129,1),"")))</f>
        <v>XT28</v>
      </c>
      <c r="EZ129" t="str">
        <f t="shared" si="144"/>
        <v>QF26</v>
      </c>
      <c r="FA129" t="str">
        <f t="shared" si="145"/>
        <v/>
      </c>
      <c r="FB129" t="str">
        <f t="shared" si="146"/>
        <v/>
      </c>
      <c r="FC129" t="str">
        <f>IF(OR(EV129="",ET129=""),"",IF(EV129&gt;IFERROR(VLOOKUP(EU129,Модули_спр,3,FALSE),99),"ЛИШНИЙ КАНАЛ",IF(AND(AJ129&lt;&gt;"=",COUNTIFS(Линии[_модуль гр.],ET129,Линии[Канал (итог)],EV129,Линии[Канал],"&lt;&gt;=",Линии[Щит],A129)&gt;1),"ДУБЛЬ КАНАЛА","")))</f>
        <v/>
      </c>
      <c r="FD129">
        <f t="shared" si="147"/>
        <v>10</v>
      </c>
      <c r="FE129" t="str">
        <f t="shared" si="148"/>
        <v>1P С10А</v>
      </c>
      <c r="FF129">
        <f t="shared" si="149"/>
        <v>0</v>
      </c>
      <c r="FG129">
        <f t="shared" si="150"/>
        <v>0</v>
      </c>
      <c r="FH129" t="str">
        <f t="shared" si="151"/>
        <v/>
      </c>
      <c r="FI129">
        <f t="shared" si="152"/>
        <v>10</v>
      </c>
      <c r="FJ129" t="str">
        <f t="shared" si="153"/>
        <v/>
      </c>
      <c r="FK129" t="str">
        <f>IF(AND(D129="",EZ129=""),"",_xlfn.TEXTJOIN("; ",TRUE,IF(AND(D129&lt;&gt;"",DD129=""),"нет фазы",""),IF(AND(D129&lt;&gt;"",N(DT129)=0,CN129&lt;&gt;"Нет"),"нет мощности",""),IF(AND(EY129&lt;&gt;"",COUNTIFS(Линии[Щит],A129,Линии[Клемма (итог)],EY129)&gt;1),"дубль клеммы "&amp;EY129,""),IF(AND(FB129&lt;&gt;"",FB129&lt;&gt;"ok"),FB129,""),IF(FC129&lt;&gt;"",FC129,""),IF(AND(ISNUMBER(SEARCH("(5х",DS129)),N(DV129)=1),"5 жил на 1 фазе",""),IF(AND(AT129="R",AD129&lt;&gt;"",OR(N(EH129)=0,N(EH129)&gt;30)),"розетка без дифзащиты до 30 мА",""),IFERROR(IF(AND(ISNUMBER(CD129),CD129&gt;CE129),"потери "&amp;FIXED(CD129,1)&amp;" % &gt; "&amp;CE129&amp;" %",""),""),IFERROR(IF(LEFT(FJ129,4)="мало","Iкз мало — отключение &gt; 0,4 с",""),""),IF(AND(D129&lt;&gt;"",BD129=""),"не на схеме","")))</f>
        <v>не на схеме</v>
      </c>
      <c r="FL129" t="str">
        <f>IF(AD129="","",_xlfn.LET(_xlpm.t,IFERROR(_xlfn.XLOOKUP(EP129,Каталог!$U$4:$U$500,Каталог!$G$4:$G$500),""),_xlpm.k,SEARCH("кА",_xlpm.t),IFERROR(--TRIM(RIGHT(SUBSTITUTE(MID(_xlpm.t,MAX(1,_xlpm.k-4),_xlpm.k-MAX(1,_xlpm.k-4))," ",REPT(" ",9)),5)),"")))</f>
        <v/>
      </c>
      <c r="FM129" t="str">
        <f>IF(OR(FL129="",AD129=""),"",IF(_xlfn.XLOOKUP(A129,Щиты[Щит],Щиты[Iкз max на шинах, кА],"")="","",IF(FL129&lt;_xlfn.XLOOKUP(A129,Щиты[Щит],Щиты[Iкз max на шинах, кА]),"Icu "&amp;FL129&amp;" кА &lt; Iкз max","ok")))</f>
        <v/>
      </c>
      <c r="FN129" t="str">
        <f t="shared" si="154"/>
        <v/>
      </c>
      <c r="FO129" t="str">
        <f t="shared" si="155"/>
        <v/>
      </c>
      <c r="FP129" t="str" cm="1">
        <f t="array" ref="FP129">IF(FO129="","",_xlfn.LET(_xlpm.nd,_xlfn.TEXTSPLIT(FO129,"|"),IF(COLUMNS(_xlpm.nd)&gt;1,A129&amp;"¦"&amp;INDEX(_xlpm.nd,1)&amp;"¦"&amp;INDEX(_xlpm.nd,2),"")))</f>
        <v/>
      </c>
      <c r="FQ129" t="str">
        <f t="shared" si="156"/>
        <v/>
      </c>
      <c r="FR129" t="str" cm="1">
        <f t="array" ref="FR129">IF(FO129="","",_xlfn.LET(_xlpm.nd,_xlfn.TEXTSPLIT(FO129,"|"),IF(COLUMNS(_xlpm.nd)&gt;2,A129&amp;"¦"&amp;INDEX(_xlpm.nd,2)&amp;"¦"&amp;INDEX(_xlpm.nd,3),"")))</f>
        <v/>
      </c>
      <c r="FS129" t="str">
        <f t="shared" si="157"/>
        <v/>
      </c>
      <c r="FT129" t="str" cm="1">
        <f t="array" ref="FT129">IF(FO129="","",_xlfn.LET(_xlpm.nd,_xlfn.TEXTSPLIT(FO129,"|"),IF(COLUMNS(_xlpm.nd)&gt;3,A129&amp;"¦"&amp;INDEX(_xlpm.nd,3)&amp;"¦"&amp;INDEX(_xlpm.nd,4),"")))</f>
        <v/>
      </c>
      <c r="FU129" t="str">
        <f t="shared" si="158"/>
        <v/>
      </c>
      <c r="FV129" t="str" cm="1">
        <f t="array" ref="FV129">IF(FO129="","",_xlfn.LET(_xlpm.nd,_xlfn.TEXTSPLIT(FO129,"|"),IF(COLUMNS(_xlpm.nd)&gt;4,A129&amp;"¦"&amp;INDEX(_xlpm.nd,4)&amp;"¦"&amp;INDEX(_xlpm.nd,5),"")))</f>
        <v/>
      </c>
      <c r="FW129" t="str">
        <f t="shared" si="159"/>
        <v/>
      </c>
      <c r="FX129" t="str" cm="1">
        <f t="array" ref="FX129">IF(FO129="","",_xlfn.LET(_xlpm.nd,_xlfn.TEXTSPLIT(FO129,"|"),IF(COLUMNS(_xlpm.nd)&gt;5,A129&amp;"¦"&amp;INDEX(_xlpm.nd,5)&amp;"¦"&amp;INDEX(_xlpm.nd,6),"")))</f>
        <v/>
      </c>
      <c r="FY129" t="str">
        <f t="shared" si="160"/>
        <v/>
      </c>
      <c r="FZ129" t="str" cm="1">
        <f t="array" ref="FZ129">IF(FO129="","",_xlfn.LET(_xlpm.nd,_xlfn.TEXTSPLIT(FO129,"|"),IF(COLUMNS(_xlpm.nd)&gt;6,A129&amp;"¦"&amp;INDEX(_xlpm.nd,6)&amp;"¦"&amp;INDEX(_xlpm.nd,7),"")))</f>
        <v/>
      </c>
      <c r="GA129" t="str">
        <f t="shared" si="161"/>
        <v/>
      </c>
      <c r="GB129" t="str">
        <f t="shared" si="162"/>
        <v/>
      </c>
      <c r="GC129" t="str">
        <f t="shared" si="163"/>
        <v>QF26 → XT28</v>
      </c>
      <c r="GD129">
        <f t="shared" si="164"/>
        <v>0</v>
      </c>
      <c r="GE129">
        <f t="shared" si="165"/>
        <v>0</v>
      </c>
      <c r="GF129">
        <f t="shared" si="166"/>
        <v>0</v>
      </c>
      <c r="GG129" t="str">
        <f t="shared" si="167"/>
        <v/>
      </c>
      <c r="GH129" t="str">
        <f t="shared" si="168"/>
        <v/>
      </c>
      <c r="GI129" t="str">
        <f t="shared" si="169"/>
        <v/>
      </c>
      <c r="GJ129" t="str">
        <f t="shared" si="170"/>
        <v/>
      </c>
      <c r="GK129">
        <f>IF(D129="","",IFERROR(VLOOKUP(D129,УГО_спр,2,FALSE),IFERROR(VLOOKUP(AT129,УГО_спр,2,FALSE),IFERROR(VLOOKUP(LEFT(AT129,2),УГО_спр,2,FALSE),""))))</f>
        <v>0</v>
      </c>
      <c r="GL129" t="str">
        <f>IF(D129="","",IF(OR(GK129="",GK129=0),"BOX",IFERROR(IF(VLOOKUP(GK129,УГО_блоки,3,FALSE)&amp;""&lt;&gt;"",VLOOKUP(GK129,УГО_блоки,3,FALSE),VLOOKUP(GK129,УГО_блоки,2,FALSE)),GK129)))</f>
        <v>BOX</v>
      </c>
      <c r="GM129">
        <f t="shared" si="171"/>
        <v>1</v>
      </c>
      <c r="GN129" t="str">
        <f>IF(EP129="","",IF(COUNTIF(EP$3:EP129,EP129)=1,MAX(GN$2:GN128)+1,""))</f>
        <v/>
      </c>
      <c r="GO129" t="str">
        <f>IF(AF129="","",IF(COUNTIF(AF$3:AF129,AF129)+COUNTIF(AG$2:AG128,AF129)+COUNTIF(AH$2:AH128,AF129)=1,MAX(GO$2:GQ128)+1,""))</f>
        <v/>
      </c>
      <c r="GP129" t="str">
        <f>IF(AG129="","",IF(COUNTIF(AF$3:AF129,AG129)+COUNTIF(AG$3:AG129,AG129)+COUNTIF(AH$2:AH128,AG129)=1,MAX(GO$2:GQ128,GO129)+1,""))</f>
        <v/>
      </c>
      <c r="GQ129" t="str">
        <f>IF(AH129="","",IF(COUNTIF(AF$3:AF129,AH129)+COUNTIF(AG$3:AG129,AH129)+COUNTIF(AH$3:AH129,AH129)=1,MAX(GO$2:GQ128,GO129,GP129)+1,""))</f>
        <v/>
      </c>
      <c r="GR129" t="str">
        <f t="shared" si="172"/>
        <v>3х1,5</v>
      </c>
      <c r="GS129" t="str">
        <f>IF(GR129="","",IF(COUNTIF(GR$3:GR129,GR129)=1,MAX(GS$2:GS128)+1,""))</f>
        <v/>
      </c>
      <c r="GT129" t="str">
        <f>IF(ES129="","",COUNTIF(ES$3:ES129,"?*"))</f>
        <v/>
      </c>
      <c r="GU129" t="str">
        <f>IF(OR(ES129="",EU129=""),"",IF(COUNTIFS(ES$3:ES129,"?*",EU$3:EU129,EU129)=1,MAX(GU$2:GU128)+1,""))</f>
        <v/>
      </c>
      <c r="GV129">
        <f t="shared" si="173"/>
        <v>1</v>
      </c>
      <c r="GW129">
        <f>IF(D129="","",COUNTIF(D$3:D129,"?*"))</f>
        <v>127</v>
      </c>
      <c r="GX129">
        <f>IF(EX129&lt;&gt;1,0,_xlfn.LET(_xlpm.k,MAX(IFERROR(--VLOOKUP(D129,УГО_спр,5,FALSE),0),IFERROR(--VLOOKUP(AT129,УГО_спр,5,FALSE),0),IFERROR(--VLOOKUP(LEFT(AT129,2),УГО_спр,5,FALSE),0)),IF(_xlpm.k&gt;0,_xlpm.k,IF(IFERROR(--LEFT(SUBSTITUTE(GR129,"x","х"),FIND("х",SUBSTITUTE(GR129,"x","х"))-1),3)&gt;3,Каталог!$S$9,1))))</f>
        <v>1</v>
      </c>
      <c r="GY129">
        <f t="shared" si="174"/>
        <v>0</v>
      </c>
    </row>
    <row r="130" spans="1:207" x14ac:dyDescent="0.3">
      <c r="A130" t="s">
        <v>756</v>
      </c>
      <c r="B130">
        <v>2</v>
      </c>
      <c r="C130" t="str">
        <f>IF(BD130="","",IF(BE130="вводной узел","узел ","")&amp;"л."&amp;(INT((BD130-1)/Столбцов_на_лист)+1)&amp;" / "&amp;(MOD(BD130-1,Столбцов_на_лист)+1))</f>
        <v>узел л.1 / 2</v>
      </c>
      <c r="D130" t="s">
        <v>58</v>
      </c>
      <c r="E130" s="133" t="str">
        <f t="shared" ref="E67:E130" si="175">AY130</f>
        <v>Вводной кабель</v>
      </c>
      <c r="G130" t="s">
        <v>18</v>
      </c>
      <c r="H130">
        <v>1</v>
      </c>
      <c r="I130">
        <v>3</v>
      </c>
      <c r="J130">
        <v>400</v>
      </c>
      <c r="K130" t="s">
        <v>551</v>
      </c>
      <c r="O130" t="s">
        <v>1298</v>
      </c>
      <c r="P130">
        <v>52</v>
      </c>
      <c r="Q130">
        <v>37</v>
      </c>
      <c r="R130">
        <v>15</v>
      </c>
      <c r="T130">
        <v>1</v>
      </c>
      <c r="U130" t="s">
        <v>11</v>
      </c>
      <c r="V130">
        <v>5</v>
      </c>
      <c r="W130">
        <v>4</v>
      </c>
      <c r="X130">
        <v>20</v>
      </c>
      <c r="AL130" t="s">
        <v>1301</v>
      </c>
      <c r="AR130" t="str">
        <f t="shared" si="88"/>
        <v/>
      </c>
      <c r="AS130" cm="1">
        <f t="array" ref="AS130">ROW()-ROW(Линии[#Headers])</f>
        <v>128</v>
      </c>
      <c r="AT130" t="str">
        <f t="shared" si="89"/>
        <v>Ввод</v>
      </c>
      <c r="AU130" t="str">
        <f t="shared" si="90"/>
        <v/>
      </c>
      <c r="AV130" t="str">
        <f t="shared" si="91"/>
        <v/>
      </c>
      <c r="AW130" t="str">
        <f t="shared" si="92"/>
        <v/>
      </c>
      <c r="AX130" t="str">
        <f t="shared" si="93"/>
        <v/>
      </c>
      <c r="AY130" t="str">
        <f>IF(D130="","",IF(ISERROR(SEARCH(".",D130)),IFERROR(VLOOKUP(D130,Потребители_обозначение,2,FALSE)&amp;"",""),IFERROR(IF(VLOOKUP(AT130,Потребители_обозначение,4,FALSE)=1,VLOOKUP(AT130,Потребители_обозначение,2,FALSE)&amp;" "&amp;VLOOKUP(AV130,Этаж_обозначение,2,FALSE)&amp;" Пом. №"&amp;AX130,VLOOKUP(AT130,Потребители_обозначение,2,FALSE)&amp;" Шлейф №"&amp;AV130),IFERROR(VLOOKUP(D130,Потребители_обозначение,2,FALSE),""))))</f>
        <v>Вводной кабель</v>
      </c>
      <c r="AZ130" t="str">
        <f t="shared" si="94"/>
        <v>Вводной кабель</v>
      </c>
      <c r="BA130" t="str">
        <f>IF(F130&lt;&gt;"",F130,IF(AND(D130&lt;&gt;"",D130&lt;&gt;A130,ISNUMBER(_xlfn.XMATCH(D130,Щиты[Щит]))),D130,""))</f>
        <v/>
      </c>
      <c r="BB130">
        <f>IFERROR(_xlfn.XMATCH(A130,Щиты[Щит]),0)</f>
        <v>7</v>
      </c>
      <c r="BC130">
        <f>IFERROR(N(_xlfn.XLOOKUP(A130,Щиты[Щит],Щиты[Мест под вводной узел])),15)</f>
        <v>12</v>
      </c>
      <c r="BD130">
        <f t="shared" si="95"/>
        <v>2</v>
      </c>
      <c r="BE130" t="str">
        <f t="shared" si="96"/>
        <v>вводной узел</v>
      </c>
      <c r="BF130">
        <f>IF(D130="","",IF(BA130&lt;&gt;"",IFERROR(_xlfn.XLOOKUP(BA130,Щиты[Щит],Щиты[Руст, кВт]),0),N(G130)))</f>
        <v>0</v>
      </c>
      <c r="BG130">
        <f>IF(J130&lt;&gt;"",J130,IF(D130="","",IFERROR(IF(VLOOKUP(AT130,Потребители_обозначение,8,FALSE)=0,"",VLOOKUP(AT130,Потребители_обозначение,8,FALSE)),"")))</f>
        <v>400</v>
      </c>
      <c r="BH130">
        <f>IF(I130&lt;&gt;"",I130,IF(D130="","",IFERROR(IF(VLOOKUP(AT130,Потребители_обозначение,9,FALSE)=0,"",VLOOKUP(AT130,Потребители_обозначение,9,FALSE)),"")))</f>
        <v>3</v>
      </c>
      <c r="BI130" t="str">
        <f>IF(U130&lt;&gt;"",U130,IF(D130="","",IFERROR(IF(VLOOKUP(AT130,Потребители_обозначение,6,FALSE)=0,"",VLOOKUP(AT130,Потребители_обозначение,6,FALSE)),"")))</f>
        <v>мс</v>
      </c>
      <c r="BJ130">
        <f>IF(V130&lt;&gt;"",V130,IF(D130="","",IFERROR(IF(VLOOKUP(AT130,Потребители_обозначение,7,FALSE)=0,"",VLOOKUP(AT130,Потребители_обозначение,7,FALSE)),"")))</f>
        <v>5</v>
      </c>
      <c r="BK130">
        <f>IF(W130&lt;&gt;"",W130,IF(D130="","",IFERROR(IF(VLOOKUP(AT130,Потребители_обозначение,10,FALSE)=0,"",VLOOKUP(AT130,Потребители_обозначение,10,FALSE)),"")))</f>
        <v>4</v>
      </c>
      <c r="BL130">
        <f>IFERROR(VLOOKUP(AT130,Потребители_обозначение,5,FALSE),0)</f>
        <v>1</v>
      </c>
      <c r="BM130" cm="1">
        <f t="array" ref="BM130">IF(D130="","",IF(BA130&lt;&gt;"",IFERROR(_xlfn.XLOOKUP(BA130,Щиты[Щит],Щиты[cos φ]),0.95),IF(ISNUMBER(M130),M130,IFERROR(IF(BL130=2,_xlfn.IFS(BH130=3,VLOOKUP(BF130,Справочная_двигатели,8,FALSE),BH130=1,VLOOKUP(BF130,Справочная_двигатели,10,TRUE)),IF(AND(Методика="нормы 2026",CN130="Сил"),0.8,0.95)),0.95))))</f>
        <v>0.95</v>
      </c>
      <c r="BN130" cm="1">
        <f t="array" ref="BN130">IF(D130="","",IF(BA130&lt;&gt;"",IFERROR(_xlfn.XLOOKUP(BA130,Щиты[Щит],Щиты[Iр, А]),""),IFERROR(_xlfn.IFS(BH130=1,BF130/((Uн_лин/SQRT(3))*BM130),BH130=3,BF130/(SQRT(3)*Uн_лин*BM130)),"")))</f>
        <v>0</v>
      </c>
      <c r="BO130">
        <f>IF(D130="","",IF(N(X130)=0,IFERROR(VLOOKUP(BN130,Автомат_номиналы,2,TRUE),""),X130))</f>
        <v>20</v>
      </c>
      <c r="BP130">
        <f t="shared" si="97"/>
        <v>0.92</v>
      </c>
      <c r="BQ130">
        <f>IF(ISNUMBER(Y130),Y130,К_прокл)</f>
        <v>1</v>
      </c>
      <c r="BR130">
        <f t="shared" si="98"/>
        <v>3</v>
      </c>
      <c r="BS130" cm="1">
        <f t="array" ref="BS130">IF(D130="","",IF(N(BK130)&lt;&gt;0,BK130,IFERROR(_xlfn.LET(_xlpm.need,BO130/(BP130*BQ130),_xlpm.t,CHOOSE(BR130,Iдоп_1ж,Iдоп_2ж,Iдоп_3ж),_xlpm.k,_xlfn.XMATCH(_xlpm.need,_xlpm.t,1),IF(ISNA(_xlpm.k),"Не исп",INDEX(Iдоп_S,_xlpm.k))),"Не исп")))</f>
        <v>4</v>
      </c>
      <c r="BT130">
        <f>IFERROR(VLOOKUP(BS130,Кабель_сопротивление,3,FALSE),"")</f>
        <v>2.2499999999999999E-2</v>
      </c>
      <c r="BU130">
        <f>IFERROR(VLOOKUP(BS130,Кабель_сопротивление,2,FALSE),"")</f>
        <v>9.5000000000000001E-2</v>
      </c>
      <c r="BV130">
        <f t="shared" si="99"/>
        <v>52</v>
      </c>
      <c r="BW130">
        <f>IF(D130="","",IFERROR(IF(VLOOKUP(AT130,Потребители_обозначение,4,FALSE)=1,VLOOKUP(AT130,Потребители_обозначение,3,FALSE)*(H130*2-1)+BV130+VLOOKUP(AV130,Этаж_обозначение,3,FALSE)+VLOOKUP(AV130,Этаж_обозначение,4,FALSE),VLOOKUP(AT130,Потребители_обозначение,3,FALSE)*(H130*2-1)+BV130),BV130))</f>
        <v>52</v>
      </c>
      <c r="BX130">
        <f t="shared" si="100"/>
        <v>15</v>
      </c>
      <c r="BY130">
        <f t="shared" si="101"/>
        <v>0</v>
      </c>
      <c r="BZ130">
        <f t="shared" si="102"/>
        <v>1</v>
      </c>
      <c r="CA130">
        <f t="shared" si="103"/>
        <v>0.31</v>
      </c>
      <c r="CB130">
        <f t="shared" si="104"/>
        <v>0</v>
      </c>
      <c r="CC130">
        <f>IFERROR(ROUNDUP(CB130/((Uн_лин/SQRT(3))*1000)*100,2),"")</f>
        <v>0</v>
      </c>
      <c r="CD130">
        <f>IF(ISNUMBER(CC130),CC130+IFERROR(_xlfn.XLOOKUP(A130,Щиты[Щит],Щиты[ΔU до шин, %]),0),"")</f>
        <v>1.02</v>
      </c>
      <c r="CE130">
        <f>IF(D130="","",IF(IFERROR(VLOOKUP(AT130,УГО_спр,2,FALSE),"")="Светильник",3,4)+IF(Методика="нормы 2026",MIN(0.5,MAX(0,N(BW130)-100)*0.005),0))</f>
        <v>4</v>
      </c>
      <c r="CF130" t="str">
        <f>IFERROR(VLOOKUP(BI130,Кабель_обозначение,2,FALSE),"")</f>
        <v>ВВГнг(А)-LS</v>
      </c>
      <c r="CG130" t="str">
        <f>IFERROR(IF(VLOOKUP(BI130,Кабель_обозначение,3,FALSE)=1,CF130&amp;" ("&amp;BJ130&amp;"х"&amp;BS130&amp;")",CF130),"")</f>
        <v>ВВГнг(А)-LS (5х4)</v>
      </c>
      <c r="CH130" t="str">
        <f t="shared" si="105"/>
        <v/>
      </c>
      <c r="CI130">
        <f>IFERROR(2*ρкз_Cu*BW130/BS130,"")</f>
        <v>0.68379999999999996</v>
      </c>
      <c r="CJ130">
        <f t="shared" si="106"/>
        <v>0.22750000000000004</v>
      </c>
      <c r="CK130" t="str">
        <f>IFERROR(IF(OR(D130="",NOT(ISNUMBER(BS130)),N(BW130)=0),"",_xlfn.XLOOKUP(A130,Щиты[Щит],Щиты[Zпетли на шинах, Ом])+CI130),"")</f>
        <v/>
      </c>
      <c r="CL130" t="str">
        <f>IF(ISNUMBER(CK130),c_min*(Uн_лин*1000/SQRT(3))/CK130,"")</f>
        <v/>
      </c>
      <c r="CM130" t="str">
        <f>IFERROR(IF(OR(D130="",NOT(ISNUMBER(BS130))),"",1.05*(Uн_лин*1000/SQRT(3))/(_xlfn.XLOOKUP(A130,Щиты[Щит],Щиты[Zmax на шинах, Ом])+CJ130)/1000),"")</f>
        <v/>
      </c>
      <c r="CN130" t="str">
        <f>IF(D130="","",IF(BA130&lt;&gt;"","Щит",IF(K130&lt;&gt;"",K130,IF(ISNUMBER(L130),"Сил",IF(IFERROR(_xlfn.XLOOKUP(AT130,Коды_код,Коды_группа)&amp;"","")="","Быт",_xlfn.XLOOKUP(AT130,Коды_код,Коды_группа)&amp;"")))))</f>
        <v>Нет</v>
      </c>
      <c r="CO130">
        <f>IF(CN130="Щит","щит",IF(CN130="","",IF(CN130="Быт",IFERROR(_xlfn.XLOOKUP(A130,Щиты[Щит],Щиты[Кс быт]),1),IF(CN130="Сил",IF(ISNUMBER(L130),L130,IF(Методика="нормы 2026",IFERROR(_xlfn.XLOOKUP(A130,Щиты[Щит],Щиты[Кс силовых (табл. 7.5)]),1),1)),IF(OR(CN130="Пост",CN130="Отоп"),1,IF(CN130="ВНГ",0.7,0))))))</f>
        <v>0</v>
      </c>
      <c r="CP130">
        <f t="shared" si="107"/>
        <v>1</v>
      </c>
      <c r="CQ130">
        <f t="shared" si="108"/>
        <v>0</v>
      </c>
      <c r="CR130">
        <f t="shared" si="109"/>
        <v>0</v>
      </c>
      <c r="CS130">
        <f t="shared" si="110"/>
        <v>0</v>
      </c>
      <c r="CT130">
        <f t="shared" si="111"/>
        <v>0</v>
      </c>
      <c r="CU130">
        <f t="shared" si="112"/>
        <v>0</v>
      </c>
      <c r="CV130">
        <f t="shared" si="113"/>
        <v>0</v>
      </c>
      <c r="CW130">
        <f t="shared" si="114"/>
        <v>0</v>
      </c>
      <c r="CX130">
        <f t="shared" si="115"/>
        <v>0</v>
      </c>
      <c r="CY130">
        <f t="shared" si="116"/>
        <v>0</v>
      </c>
      <c r="CZ130" t="str">
        <f t="shared" si="117"/>
        <v>L1,L2,L3</v>
      </c>
      <c r="DA130" cm="1">
        <f t="array" ref="DA130">IFERROR(IF(BL130=2,_xlfn.IFS(BH130=3,VLOOKUP(BF130,Справочная_двигатели,3,FALSE),BH130=1,VLOOKUP(BF130,Справочная_двигатели,5,TRUE)),0),0)</f>
        <v>0</v>
      </c>
      <c r="DB130">
        <f>IFERROR(IF(BL130=3,VLOOKUP(BF130,Справочная_ЛЭД,2,TRUE),0),0)</f>
        <v>0</v>
      </c>
      <c r="DC130">
        <f t="shared" si="118"/>
        <v>0</v>
      </c>
      <c r="DD130" t="str">
        <f t="shared" si="119"/>
        <v>L1,L2,L3</v>
      </c>
      <c r="DE130" t="str" cm="1">
        <f t="array" ref="DE130">IF(D130="","",IFERROR(INDEX({"I особая","I","II","III"},MATCH(TRIM(AA130&amp;""),{"I особая","I","II","III"},0)),"III"))</f>
        <v>III</v>
      </c>
      <c r="DF130" t="str">
        <f>IF(D130="","",IF(TRIM(AB130&amp;"")&lt;&gt;"",IF(LOWER(TRIM(AB130&amp;""))="да","да","нет"),IF(IFERROR(_xlfn.XLOOKUP(AT130,Коды_код,Коды_пожарная),"")="да","да","нет")))</f>
        <v>нет</v>
      </c>
      <c r="DG130" t="str">
        <f t="shared" si="120"/>
        <v/>
      </c>
      <c r="DH130" t="str">
        <f t="shared" si="121"/>
        <v>основная</v>
      </c>
      <c r="DI130">
        <f t="shared" si="122"/>
        <v>1</v>
      </c>
      <c r="DJ130" t="str" cm="1">
        <f t="array" ref="DJ130">IF(D130="","",_xlfn.LET(_xlpm.t,IFERROR(_xlfn.XLOOKUP(1,(Шины[Шина]=DH130)*(((Шины[Щит]=A130)+(Шины[Щит]=""))&gt;0),Шины[Тип]),"")&amp;"",IF(_xlpm.t&lt;&gt;"",_xlpm.t,IF(ISNUMBER(SEARCH("ИБП",DH130)),"ИБП",IF(ISNUMBER(SEARCH("ДГУ",DH130)),"ДГУ","Ввод "&amp;DI130)))))</f>
        <v>Ввод 1</v>
      </c>
      <c r="DK130" t="str">
        <f t="shared" si="123"/>
        <v>Ввод 1</v>
      </c>
      <c r="DL130" t="str">
        <f>IF(D130="","",IF(OR(DJ130="ИБП",DJ130="ДГУ"),"I особая",IF(DJ130="Одиночная","III",_xlfn.XLOOKUP(A130,Щиты[Щит],Щиты[Категория шины «Ввод»],"III"))))</f>
        <v>II</v>
      </c>
      <c r="DM130">
        <f>IF(D130="",0,IFERROR(MATCH(DE130,{"III","II","I","I особая"},0),1))</f>
        <v>1</v>
      </c>
      <c r="DN130">
        <f t="shared" si="124"/>
        <v>1</v>
      </c>
      <c r="DO130" t="str">
        <f>IF(D130="","",IF(DM130&gt;IFERROR(MATCH(DL130,{"III","II","I","I особая"},0),1),"НЕ ОБЕСПЕЧЕНА","ОК"))</f>
        <v>ОК</v>
      </c>
      <c r="DP130" t="str">
        <f>IF(A130="","",_xlfn.XLOOKUP(A130,Щиты[Щит],Щиты[Путь],""))</f>
        <v>|ГРЩ-ЖД|ЩОВ-2|</v>
      </c>
      <c r="DQ130" t="str">
        <f>IF(D130="","",IF(Z130&lt;&gt;"",Z130,IF(IFERROR(_xlfn.XLOOKUP(AT130,Коды_код,Коды_вид)&amp;"","")="","Прочее",_xlfn.XLOOKUP(AT130,Коды_код,Коды_вид)&amp;"")))</f>
        <v>Прочее</v>
      </c>
      <c r="DR130">
        <f>IF(BD130="","",INT((BD130-1)/Столбцов_на_лист)+1)</f>
        <v>1</v>
      </c>
      <c r="DS130" t="str">
        <f t="shared" si="125"/>
        <v/>
      </c>
      <c r="DT130">
        <f t="shared" si="126"/>
        <v>0</v>
      </c>
      <c r="DU130">
        <f t="shared" si="127"/>
        <v>0</v>
      </c>
      <c r="DV130">
        <f t="shared" si="128"/>
        <v>3</v>
      </c>
      <c r="DW130">
        <f>IF(AT130="",0,_xlfn.LET(_xlpm.v,IFERROR(VLOOKUP(D130,УГО_спр,3,FALSE),IFERROR(VLOOKUP(AT130,УГО_спр,3,FALSE),IFERROR(VLOOKUP(LEFT(AT130,2),УГО_спр,3,FALSE),""))),IF(_xlpm.v="да",30,IF(ISNUMBER(_xlpm.v),_xlpm.v,0))))</f>
        <v>0</v>
      </c>
      <c r="DX130">
        <f t="shared" si="129"/>
        <v>0</v>
      </c>
      <c r="DY130" t="str">
        <f>IF(BD130="","",IF(AD130&lt;&gt;"",COUNTIFS(A$3:A130,A130,AD$3:AD130,"?*"),IF(OR(OR(AS130=1,A130&lt;&gt;A129),AL130="вручную"),"",IF(AS130=1,"",DZ129))))</f>
        <v/>
      </c>
      <c r="DZ130" t="str">
        <f t="shared" si="130"/>
        <v/>
      </c>
      <c r="EA130">
        <f>IF(D130="",0,MAX(IFERROR(--X130,0),IFERROR(--VLOOKUP(D130,УГО_спр,4,FALSE),IFERROR(--VLOOKUP(AT130,УГО_спр,4,FALSE),IFERROR(--VLOOKUP(LEFT(AT130,2),УГО_спр,4,FALSE),0)))))</f>
        <v>20</v>
      </c>
      <c r="EB130">
        <f>IF(D130="","",IFERROR(LOOKUP(INDEX(CHOOSE(BR130,Iдоп_1ж,Iдоп_2ж,Iдоп_3ж),MATCH(BS130,Iдоп_S,0))*BP130*BQ130,{6,10,16,20,25,32,40,50,63,80,100,125,160,200,250,315,400,500,630}),""))</f>
        <v>32</v>
      </c>
      <c r="EC130" t="str">
        <f>IF(AD130="","",SUMIFS(Линии[_Ток схемы],Линии[_гр.],DY130,Линии[Щит],A130,Линии[_в кабель выше],0))</f>
        <v/>
      </c>
      <c r="ED130" t="str">
        <f>IF(AD130="","",IFERROR(VLOOKUP(EC130,Автомат_номиналы,2,TRUE),""))</f>
        <v/>
      </c>
      <c r="EE130" t="str">
        <f>IF(AD130="","",MAX(N(ED130),_xlfn.MAXIFS(Линии[_мин. по типу],Линии[_гр.],DY130,Линии[Щит],A130)))</f>
        <v/>
      </c>
      <c r="EF130" t="str">
        <f>IF(AD130="","",_xlfn.MINIFS(Линии[_макс. автомат по кабелю],Линии[_гр.],DY130,Линии[Щит],A130))</f>
        <v/>
      </c>
      <c r="EG130" t="str">
        <f>IF(AD130="","",MAX(1,_xlfn.MAXIFS(Линии[_фаз],Линии[_гр.],DY130,Линии[Щит],A130)))</f>
        <v/>
      </c>
      <c r="EH130" t="str">
        <f>IF(AD130="","",IF(AND(AD130&lt;&gt;"авто",AD130&lt;&gt;"+"),IF(ISNUMBER(SEARCH("мА",AD130)),IFERROR(--TRIM(RIGHT(SUBSTITUTE(LEFT(AD130,SEARCH("мА",AD130)-1)," ",REPT(" ",9)),6)),30),0),IF(AE130="нет",0,IF(ISNUMBER(AE130),AE130,IF(AE130="да",30,_xlfn.MINIFS(Линии[_дифзащита по коду, мА],Линии[_гр.],DY130,Линии[Щит],A130,Линии[_дифзащита по коду, мА],"&gt;0"))))))</f>
        <v/>
      </c>
      <c r="EI130" t="str">
        <f t="shared" si="131"/>
        <v/>
      </c>
      <c r="EJ130" t="str">
        <f t="shared" si="132"/>
        <v/>
      </c>
      <c r="EK130" t="str">
        <f t="shared" si="133"/>
        <v/>
      </c>
      <c r="EL130" t="str">
        <f t="shared" si="134"/>
        <v/>
      </c>
      <c r="EM130">
        <f t="shared" si="135"/>
        <v>0</v>
      </c>
      <c r="EN130" t="str">
        <f>IF(AD130="","",IF(EM130=1,MAX(EE130,Мин_автомат_БП),EE130))</f>
        <v/>
      </c>
      <c r="EO130" t="str">
        <f t="shared" si="136"/>
        <v/>
      </c>
      <c r="EP130" t="str">
        <f t="shared" si="137"/>
        <v/>
      </c>
      <c r="EQ130" t="str">
        <f t="shared" si="138"/>
        <v/>
      </c>
      <c r="ER130" t="str">
        <f>IF(OR(AI130="",AI130="-"),"",IFERROR(VLOOKUP(AI130,Модули_спр,2,FALSE),"R"))</f>
        <v/>
      </c>
      <c r="ES130" t="str">
        <f>IF(ER130="","",ER130&amp;"."&amp;COUNTIFS(A$3:A130,A130,ER$3:ER130,ER130))</f>
        <v/>
      </c>
      <c r="ET130" t="str">
        <f t="shared" si="139"/>
        <v/>
      </c>
      <c r="EU130" t="str">
        <f t="shared" si="140"/>
        <v/>
      </c>
      <c r="EV130" t="str">
        <f t="shared" si="141"/>
        <v/>
      </c>
      <c r="EW130" t="str">
        <f t="shared" si="142"/>
        <v/>
      </c>
      <c r="EX130">
        <f t="shared" si="143"/>
        <v>0</v>
      </c>
      <c r="EY130" t="str">
        <f>IF(AK130="нет","",IF(AK130&lt;&gt;"",AK130,IF(EX130=1,"XT"&amp;COUNTIFS(A$3:A130,A130,EX$3:EX130,1),"")))</f>
        <v/>
      </c>
      <c r="EZ130" t="str">
        <f t="shared" si="144"/>
        <v/>
      </c>
      <c r="FA130" t="str">
        <f t="shared" si="145"/>
        <v/>
      </c>
      <c r="FB130" t="str">
        <f t="shared" si="146"/>
        <v/>
      </c>
      <c r="FC130" t="str">
        <f>IF(OR(EV130="",ET130=""),"",IF(EV130&gt;IFERROR(VLOOKUP(EU130,Модули_спр,3,FALSE),99),"ЛИШНИЙ КАНАЛ",IF(AND(AJ130&lt;&gt;"=",COUNTIFS(Линии[_модуль гр.],ET130,Линии[Канал (итог)],EV130,Линии[Канал],"&lt;&gt;=",Линии[Щит],A130)&gt;1),"ДУБЛЬ КАНАЛА","")))</f>
        <v/>
      </c>
      <c r="FD130" t="str">
        <f t="shared" si="147"/>
        <v/>
      </c>
      <c r="FE130" t="str">
        <f t="shared" si="148"/>
        <v/>
      </c>
      <c r="FF130" t="str">
        <f t="shared" si="149"/>
        <v/>
      </c>
      <c r="FG130" t="str">
        <f t="shared" si="150"/>
        <v/>
      </c>
      <c r="FH130" t="str">
        <f t="shared" si="151"/>
        <v/>
      </c>
      <c r="FI130">
        <f t="shared" si="152"/>
        <v>10</v>
      </c>
      <c r="FJ130" t="str">
        <f t="shared" si="153"/>
        <v/>
      </c>
      <c r="FK130" t="str">
        <f>IF(AND(D130="",EZ130=""),"",_xlfn.TEXTJOIN("; ",TRUE,IF(AND(D130&lt;&gt;"",DD130=""),"нет фазы",""),IF(AND(D130&lt;&gt;"",N(DT130)=0,CN130&lt;&gt;"Нет"),"нет мощности",""),IF(AND(EY130&lt;&gt;"",COUNTIFS(Линии[Щит],A130,Линии[Клемма (итог)],EY130)&gt;1),"дубль клеммы "&amp;EY130,""),IF(AND(FB130&lt;&gt;"",FB130&lt;&gt;"ok"),FB130,""),IF(FC130&lt;&gt;"",FC130,""),IF(AND(ISNUMBER(SEARCH("(5х",DS130)),N(DV130)=1),"5 жил на 1 фазе",""),IF(AND(AT130="R",AD130&lt;&gt;"",OR(N(EH130)=0,N(EH130)&gt;30)),"розетка без дифзащиты до 30 мА",""),IFERROR(IF(AND(ISNUMBER(CD130),CD130&gt;CE130),"потери "&amp;FIXED(CD130,1)&amp;" % &gt; "&amp;CE130&amp;" %",""),""),IFERROR(IF(LEFT(FJ130,4)="мало","Iкз мало — отключение &gt; 0,4 с",""),""),IF(AND(D130&lt;&gt;"",BD130=""),"не на схеме","")))</f>
        <v/>
      </c>
      <c r="FL130" t="str">
        <f>IF(AD130="","",_xlfn.LET(_xlpm.t,IFERROR(_xlfn.XLOOKUP(EP130,Каталог!$U$4:$U$500,Каталог!$G$4:$G$500),""),_xlpm.k,SEARCH("кА",_xlpm.t),IFERROR(--TRIM(RIGHT(SUBSTITUTE(MID(_xlpm.t,MAX(1,_xlpm.k-4),_xlpm.k-MAX(1,_xlpm.k-4))," ",REPT(" ",9)),5)),"")))</f>
        <v/>
      </c>
      <c r="FM130" t="str">
        <f>IF(OR(FL130="",AD130=""),"",IF(_xlfn.XLOOKUP(A130,Щиты[Щит],Щиты[Iкз max на шинах, кА],"")="","",IF(FL130&lt;_xlfn.XLOOKUP(A130,Щиты[Щит],Щиты[Iкз max на шинах, кА]),"Icu "&amp;FL130&amp;" кА &lt; Iкз max","ok")))</f>
        <v/>
      </c>
      <c r="FN130" t="str">
        <f t="shared" si="154"/>
        <v/>
      </c>
      <c r="FO130" t="str">
        <f t="shared" si="155"/>
        <v/>
      </c>
      <c r="FP130" t="str" cm="1">
        <f t="array" ref="FP130">IF(FO130="","",_xlfn.LET(_xlpm.nd,_xlfn.TEXTSPLIT(FO130,"|"),IF(COLUMNS(_xlpm.nd)&gt;1,A130&amp;"¦"&amp;INDEX(_xlpm.nd,1)&amp;"¦"&amp;INDEX(_xlpm.nd,2),"")))</f>
        <v/>
      </c>
      <c r="FQ130" t="str">
        <f t="shared" si="156"/>
        <v/>
      </c>
      <c r="FR130" t="str" cm="1">
        <f t="array" ref="FR130">IF(FO130="","",_xlfn.LET(_xlpm.nd,_xlfn.TEXTSPLIT(FO130,"|"),IF(COLUMNS(_xlpm.nd)&gt;2,A130&amp;"¦"&amp;INDEX(_xlpm.nd,2)&amp;"¦"&amp;INDEX(_xlpm.nd,3),"")))</f>
        <v/>
      </c>
      <c r="FS130" t="str">
        <f t="shared" si="157"/>
        <v/>
      </c>
      <c r="FT130" t="str" cm="1">
        <f t="array" ref="FT130">IF(FO130="","",_xlfn.LET(_xlpm.nd,_xlfn.TEXTSPLIT(FO130,"|"),IF(COLUMNS(_xlpm.nd)&gt;3,A130&amp;"¦"&amp;INDEX(_xlpm.nd,3)&amp;"¦"&amp;INDEX(_xlpm.nd,4),"")))</f>
        <v/>
      </c>
      <c r="FU130" t="str">
        <f t="shared" si="158"/>
        <v/>
      </c>
      <c r="FV130" t="str" cm="1">
        <f t="array" ref="FV130">IF(FO130="","",_xlfn.LET(_xlpm.nd,_xlfn.TEXTSPLIT(FO130,"|"),IF(COLUMNS(_xlpm.nd)&gt;4,A130&amp;"¦"&amp;INDEX(_xlpm.nd,4)&amp;"¦"&amp;INDEX(_xlpm.nd,5),"")))</f>
        <v/>
      </c>
      <c r="FW130" t="str">
        <f t="shared" si="159"/>
        <v/>
      </c>
      <c r="FX130" t="str" cm="1">
        <f t="array" ref="FX130">IF(FO130="","",_xlfn.LET(_xlpm.nd,_xlfn.TEXTSPLIT(FO130,"|"),IF(COLUMNS(_xlpm.nd)&gt;5,A130&amp;"¦"&amp;INDEX(_xlpm.nd,5)&amp;"¦"&amp;INDEX(_xlpm.nd,6),"")))</f>
        <v/>
      </c>
      <c r="FY130" t="str">
        <f t="shared" si="160"/>
        <v/>
      </c>
      <c r="FZ130" t="str" cm="1">
        <f t="array" ref="FZ130">IF(FO130="","",_xlfn.LET(_xlpm.nd,_xlfn.TEXTSPLIT(FO130,"|"),IF(COLUMNS(_xlpm.nd)&gt;6,A130&amp;"¦"&amp;INDEX(_xlpm.nd,6)&amp;"¦"&amp;INDEX(_xlpm.nd,7),"")))</f>
        <v/>
      </c>
      <c r="GA130" t="str">
        <f t="shared" si="161"/>
        <v/>
      </c>
      <c r="GB130" t="str">
        <f t="shared" si="162"/>
        <v/>
      </c>
      <c r="GC130" t="str">
        <f t="shared" si="163"/>
        <v/>
      </c>
      <c r="GD130">
        <f t="shared" si="164"/>
        <v>0</v>
      </c>
      <c r="GE130">
        <f t="shared" si="165"/>
        <v>0</v>
      </c>
      <c r="GF130">
        <f t="shared" si="166"/>
        <v>0</v>
      </c>
      <c r="GG130" t="str">
        <f t="shared" si="167"/>
        <v/>
      </c>
      <c r="GH130" t="str">
        <f t="shared" si="168"/>
        <v/>
      </c>
      <c r="GI130" t="str">
        <f t="shared" si="169"/>
        <v/>
      </c>
      <c r="GJ130" t="str">
        <f t="shared" si="170"/>
        <v/>
      </c>
      <c r="GK130">
        <f>IF(D130="","",IFERROR(VLOOKUP(D130,УГО_спр,2,FALSE),IFERROR(VLOOKUP(AT130,УГО_спр,2,FALSE),IFERROR(VLOOKUP(LEFT(AT130,2),УГО_спр,2,FALSE),""))))</f>
        <v>0</v>
      </c>
      <c r="GL130" t="str">
        <f>IF(D130="","",IF(OR(GK130="",GK130=0),"BOX",IFERROR(IF(VLOOKUP(GK130,УГО_блоки,3,FALSE)&amp;""&lt;&gt;"",VLOOKUP(GK130,УГО_блоки,3,FALSE),VLOOKUP(GK130,УГО_блоки,2,FALSE)),GK130)))</f>
        <v>BOX</v>
      </c>
      <c r="GM130">
        <f t="shared" si="171"/>
        <v>1</v>
      </c>
      <c r="GN130" t="str">
        <f>IF(EP130="","",IF(COUNTIF(EP$3:EP130,EP130)=1,MAX(GN$2:GN129)+1,""))</f>
        <v/>
      </c>
      <c r="GO130" t="str">
        <f>IF(AF130="","",IF(COUNTIF(AF$3:AF130,AF130)+COUNTIF(AG$2:AG129,AF130)+COUNTIF(AH$2:AH129,AF130)=1,MAX(GO$2:GQ129)+1,""))</f>
        <v/>
      </c>
      <c r="GP130" t="str">
        <f>IF(AG130="","",IF(COUNTIF(AF$3:AF130,AG130)+COUNTIF(AG$3:AG130,AG130)+COUNTIF(AH$2:AH129,AG130)=1,MAX(GO$2:GQ129,GO130)+1,""))</f>
        <v/>
      </c>
      <c r="GQ130" t="str">
        <f>IF(AH130="","",IF(COUNTIF(AF$3:AF130,AH130)+COUNTIF(AG$3:AG130,AH130)+COUNTIF(AH$3:AH130,AH130)=1,MAX(GO$2:GQ129,GO130,GP130)+1,""))</f>
        <v/>
      </c>
      <c r="GR130" t="str">
        <f t="shared" si="172"/>
        <v/>
      </c>
      <c r="GS130" t="str">
        <f>IF(GR130="","",IF(COUNTIF(GR$3:GR130,GR130)=1,MAX(GS$2:GS129)+1,""))</f>
        <v/>
      </c>
      <c r="GT130" t="str">
        <f>IF(ES130="","",COUNTIF(ES$3:ES130,"?*"))</f>
        <v/>
      </c>
      <c r="GU130" t="str">
        <f>IF(OR(ES130="",EU130=""),"",IF(COUNTIFS(ES$3:ES130,"?*",EU$3:EU130,EU130)=1,MAX(GU$2:GU129)+1,""))</f>
        <v/>
      </c>
      <c r="GV130">
        <f t="shared" si="173"/>
        <v>0</v>
      </c>
      <c r="GW130">
        <f>IF(D130="","",COUNTIF(D$3:D130,"?*"))</f>
        <v>128</v>
      </c>
      <c r="GX130">
        <f>IF(EX130&lt;&gt;1,0,_xlfn.LET(_xlpm.k,MAX(IFERROR(--VLOOKUP(D130,УГО_спр,5,FALSE),0),IFERROR(--VLOOKUP(AT130,УГО_спр,5,FALSE),0),IFERROR(--VLOOKUP(LEFT(AT130,2),УГО_спр,5,FALSE),0)),IF(_xlpm.k&gt;0,_xlpm.k,IF(IFERROR(--LEFT(SUBSTITUTE(GR130,"x","х"),FIND("х",SUBSTITUTE(GR130,"x","х"))-1),3)&gt;3,Каталог!$S$9,1))))</f>
        <v>0</v>
      </c>
      <c r="GY130">
        <f t="shared" si="174"/>
        <v>0</v>
      </c>
    </row>
    <row r="131" spans="1:207" x14ac:dyDescent="0.3">
      <c r="A131" t="s">
        <v>756</v>
      </c>
      <c r="B131">
        <v>13</v>
      </c>
      <c r="C131" t="str">
        <f>IF(BD131="","",IF(BE131="вводной узел","узел ","")&amp;"л."&amp;(INT((BD131-1)/Столбцов_на_лист)+1)&amp;" / "&amp;(MOD(BD131-1,Столбцов_на_лист)+1))</f>
        <v>л.1 / 13</v>
      </c>
      <c r="D131" t="s">
        <v>1428</v>
      </c>
      <c r="E131" s="133" t="s">
        <v>1429</v>
      </c>
      <c r="G131">
        <v>0.46100000000000002</v>
      </c>
      <c r="H131">
        <v>1</v>
      </c>
      <c r="I131">
        <v>1</v>
      </c>
      <c r="J131">
        <v>230</v>
      </c>
      <c r="K131" t="s">
        <v>602</v>
      </c>
      <c r="L131">
        <v>0.5</v>
      </c>
      <c r="O131">
        <v>2</v>
      </c>
      <c r="P131">
        <v>28</v>
      </c>
      <c r="Q131">
        <v>6</v>
      </c>
      <c r="R131">
        <v>24</v>
      </c>
      <c r="T131">
        <v>1</v>
      </c>
      <c r="U131" t="s">
        <v>11</v>
      </c>
      <c r="V131">
        <v>3</v>
      </c>
      <c r="W131">
        <v>1.5</v>
      </c>
      <c r="Z131" t="s">
        <v>580</v>
      </c>
      <c r="AA131" t="s">
        <v>818</v>
      </c>
      <c r="AD131" t="s">
        <v>517</v>
      </c>
      <c r="AR131" t="str">
        <f t="shared" ref="AR131:AR194" si="176">_xlfn.TEXTJOIN("; ",TRUE,FK131,IF(DO131="НЕ ОБЕСПЕЧЕНА","категория "&amp;DE131&amp;" не обеспечена (есть "&amp;DL131&amp;")",""),IF(LEFT(FM131,3)="Icu",FM131,""),IF(AND(D131&lt;&gt;"",BS131="Не исп"),"сечение не подобрано",""))</f>
        <v/>
      </c>
      <c r="AS131" cm="1">
        <f t="array" ref="AS131">ROW()-ROW(Линии[#Headers])</f>
        <v>129</v>
      </c>
      <c r="AT131" t="str">
        <f t="shared" ref="AT131:AT194" si="177">IF(D131="","",IFERROR(LEFT(D131,SEARCH(".",D131)-1),D131))</f>
        <v>K</v>
      </c>
      <c r="AU131" t="str">
        <f t="shared" ref="AU131:AU194" si="178">IFERROR(RIGHT(D131,LEN(D131)-SEARCH(".",D131)),"")</f>
        <v>1.001A.1</v>
      </c>
      <c r="AV131" t="str">
        <f t="shared" ref="AV131:AV194" si="179">IFERROR(LEFT(AU131,SEARCH(".",AU131)-1),AU131)</f>
        <v>1</v>
      </c>
      <c r="AW131" t="str">
        <f t="shared" ref="AW131:AW194" si="180">IFERROR(RIGHT(AU131,LEN(AU131)-SEARCH(".",AU131)),"")</f>
        <v>001A.1</v>
      </c>
      <c r="AX131" t="str">
        <f t="shared" ref="AX131:AX194" si="181">IFERROR(LEFT(AW131,SEARCH(".",AW131)-1),AW131)</f>
        <v>001A</v>
      </c>
      <c r="AY131" t="str">
        <f>IF(D131="","",IF(ISERROR(SEARCH(".",D131)),IFERROR(VLOOKUP(D131,Потребители_обозначение,2,FALSE)&amp;"",""),IFERROR(IF(VLOOKUP(AT131,Потребители_обозначение,4,FALSE)=1,VLOOKUP(AT131,Потребители_обозначение,2,FALSE)&amp;" "&amp;VLOOKUP(AV131,Этаж_обозначение,2,FALSE)&amp;" Пом. №"&amp;AX131,VLOOKUP(AT131,Потребители_обозначение,2,FALSE)&amp;" Шлейф №"&amp;AV131),IFERROR(VLOOKUP(D131,Потребители_обозначение,2,FALSE),""))))</f>
        <v>Внутренний блок кондиционирования Первый этаж Пом. №001A</v>
      </c>
      <c r="AZ131" t="str">
        <f t="shared" ref="AZ131:AZ194" si="182">IF(E131&lt;&gt;"",E131,AY131)</f>
        <v>Внутренний блок кондиционирования Технический этаж Пом. №001Т</v>
      </c>
      <c r="BA131" t="str">
        <f>IF(F131&lt;&gt;"",F131,IF(AND(D131&lt;&gt;"",D131&lt;&gt;A131,ISNUMBER(_xlfn.XMATCH(D131,Щиты[Щит]))),D131,""))</f>
        <v/>
      </c>
      <c r="BB131">
        <f>IFERROR(_xlfn.XMATCH(A131,Щиты[Щит]),0)</f>
        <v>7</v>
      </c>
      <c r="BC131">
        <f>IFERROR(N(_xlfn.XLOOKUP(A131,Щиты[Щит],Щиты[Мест под вводной узел])),15)</f>
        <v>12</v>
      </c>
      <c r="BD131">
        <f t="shared" ref="BD131:BD194" si="183">IF(B131="-","",IF(ISNUMBER(B131),B131,_xlfn.LET(_xlpm.prev,IF(OR(AS131=1,A131&lt;&gt;A130),0,N(IF(AS131=1,"",BD130))),_xlpm.nx,_xlpm.prev+1,IF(AND(AL131&lt;&gt;"вручную",_xlpm.nx&lt;=BC131),BC131+1,_xlpm.nx))))</f>
        <v>13</v>
      </c>
      <c r="BE131" t="str">
        <f t="shared" ref="BE131:BE194" si="184">IF(BD131="","",IF(BD131&lt;=BC131,"вводной узел","линии"))</f>
        <v>линии</v>
      </c>
      <c r="BF131">
        <f>IF(D131="","",IF(BA131&lt;&gt;"",IFERROR(_xlfn.XLOOKUP(BA131,Щиты[Щит],Щиты[Руст, кВт]),0),N(G131)))</f>
        <v>0.46100000000000002</v>
      </c>
      <c r="BG131">
        <f>IF(J131&lt;&gt;"",J131,IF(D131="","",IFERROR(IF(VLOOKUP(AT131,Потребители_обозначение,8,FALSE)=0,"",VLOOKUP(AT131,Потребители_обозначение,8,FALSE)),"")))</f>
        <v>230</v>
      </c>
      <c r="BH131">
        <f>IF(I131&lt;&gt;"",I131,IF(D131="","",IFERROR(IF(VLOOKUP(AT131,Потребители_обозначение,9,FALSE)=0,"",VLOOKUP(AT131,Потребители_обозначение,9,FALSE)),"")))</f>
        <v>1</v>
      </c>
      <c r="BI131" t="str">
        <f>IF(U131&lt;&gt;"",U131,IF(D131="","",IFERROR(IF(VLOOKUP(AT131,Потребители_обозначение,6,FALSE)=0,"",VLOOKUP(AT131,Потребители_обозначение,6,FALSE)),"")))</f>
        <v>мс</v>
      </c>
      <c r="BJ131">
        <f>IF(V131&lt;&gt;"",V131,IF(D131="","",IFERROR(IF(VLOOKUP(AT131,Потребители_обозначение,7,FALSE)=0,"",VLOOKUP(AT131,Потребители_обозначение,7,FALSE)),"")))</f>
        <v>3</v>
      </c>
      <c r="BK131">
        <f>IF(W131&lt;&gt;"",W131,IF(D131="","",IFERROR(IF(VLOOKUP(AT131,Потребители_обозначение,10,FALSE)=0,"",VLOOKUP(AT131,Потребители_обозначение,10,FALSE)),"")))</f>
        <v>1.5</v>
      </c>
      <c r="BL131">
        <f>IFERROR(VLOOKUP(AT131,Потребители_обозначение,5,FALSE),0)</f>
        <v>1</v>
      </c>
      <c r="BM131" cm="1">
        <f t="array" ref="BM131">IF(D131="","",IF(BA131&lt;&gt;"",IFERROR(_xlfn.XLOOKUP(BA131,Щиты[Щит],Щиты[cos φ]),0.95),IF(ISNUMBER(M131),M131,IFERROR(IF(BL131=2,_xlfn.IFS(BH131=3,VLOOKUP(BF131,Справочная_двигатели,8,FALSE),BH131=1,VLOOKUP(BF131,Справочная_двигатели,10,TRUE)),IF(AND(Методика="нормы 2026",CN131="Сил"),0.8,0.95)),0.95))))</f>
        <v>0.95</v>
      </c>
      <c r="BN131" cm="1">
        <f t="array" ref="BN131">IF(D131="","",IF(BA131&lt;&gt;"",IFERROR(_xlfn.XLOOKUP(BA131,Щиты[Щит],Щиты[Iр, А]),""),IFERROR(_xlfn.IFS(BH131=1,BF131/((Uн_лин/SQRT(3))*BM131),BH131=3,BF131/(SQRT(3)*Uн_лин*BM131)),"")))</f>
        <v>2.1012511112875063</v>
      </c>
      <c r="BO131">
        <f>IF(D131="","",IF(N(X131)=0,IFERROR(VLOOKUP(BN131,Автомат_номиналы,2,TRUE),""),X131))</f>
        <v>6</v>
      </c>
      <c r="BP131">
        <f t="shared" ref="BP131:BP194" si="185">IF(N(BJ131)=1,1,IF(BH131=1,1,IF(N(BJ131)&gt;=4,0.92,1)))</f>
        <v>1</v>
      </c>
      <c r="BQ131">
        <f>IF(ISNUMBER(Y131),Y131,К_прокл)</f>
        <v>1</v>
      </c>
      <c r="BR131">
        <f t="shared" ref="BR131:BR194" si="186">IF(N(BJ131)=1,1,IF(BH131=1,2,3))</f>
        <v>2</v>
      </c>
      <c r="BS131" cm="1">
        <f t="array" ref="BS131">IF(D131="","",IF(N(BK131)&lt;&gt;0,BK131,IFERROR(_xlfn.LET(_xlpm.need,BO131/(BP131*BQ131),_xlpm.t,CHOOSE(BR131,Iдоп_1ж,Iдоп_2ж,Iдоп_3ж),_xlpm.k,_xlfn.XMATCH(_xlpm.need,_xlpm.t,1),IF(ISNA(_xlpm.k),"Не исп",INDEX(Iдоп_S,_xlpm.k))),"Не исп")))</f>
        <v>1.5</v>
      </c>
      <c r="BT131">
        <f>IFERROR(VLOOKUP(BS131,Кабель_сопротивление,3,FALSE),"")</f>
        <v>2.2499999999999999E-2</v>
      </c>
      <c r="BU131">
        <f>IFERROR(VLOOKUP(BS131,Кабель_сопротивление,2,FALSE),"")</f>
        <v>0.11</v>
      </c>
      <c r="BV131">
        <f t="shared" ref="BV131:BV194" si="187">IF(P131&lt;&gt;"",P131,IF(COUNT(AM131,AN131)=0,"",ROUNDUP(SUM(AM131,AN131),0)))</f>
        <v>28</v>
      </c>
      <c r="BW131">
        <f>IF(D131="","",IFERROR(IF(VLOOKUP(AT131,Потребители_обозначение,4,FALSE)=1,VLOOKUP(AT131,Потребители_обозначение,3,FALSE)*(H131*2-1)+BV131+VLOOKUP(AV131,Этаж_обозначение,3,FALSE)+VLOOKUP(AV131,Этаж_обозначение,4,FALSE),VLOOKUP(AT131,Потребители_обозначение,3,FALSE)*(H131*2-1)+BV131),BV131))</f>
        <v>30</v>
      </c>
      <c r="BX131">
        <f t="shared" ref="BX131:BX194" si="188">IF(R131&lt;&gt;"",R131,IF(OR(BV131="",T131=""),"",IF(T131=1,MAX(0,BW131-ROUNDUP(N(AN131),0)-4),ROUNDUP(N(AM131),0))))</f>
        <v>24</v>
      </c>
      <c r="BY131">
        <f t="shared" ref="BY131:BY194" si="189">IF(S131&lt;&gt;"",S131,IF(OR(BV131="",T131=""),"",IF(T131=2,MAX(0,BW131-ROUNDUP(N(AM131),0)-4),ROUNDUP(N(AN131),0))))</f>
        <v>0</v>
      </c>
      <c r="BZ131">
        <f t="shared" ref="BZ131:BZ194" si="190">IF(BH131=1,2,IF(BH131=3,1,""))</f>
        <v>2</v>
      </c>
      <c r="CA131">
        <f t="shared" ref="CA131:CA194" si="191">IFERROR(ROUND(SIN(ACOS(BM131)),2),"")</f>
        <v>0.31</v>
      </c>
      <c r="CB131">
        <f t="shared" ref="CB131:CB194" si="192">IFERROR(BZ131*(BT131*BW131/BS131*BM131+BU131*BW131*CA131/1000)*BN131,"")</f>
        <v>1.8008688599245117</v>
      </c>
      <c r="CC131">
        <f>IFERROR(ROUNDUP(CB131/((Uн_лин/SQRT(3))*1000)*100,2),"")</f>
        <v>0.78</v>
      </c>
      <c r="CD131">
        <f>IF(ISNUMBER(CC131),CC131+IFERROR(_xlfn.XLOOKUP(A131,Щиты[Щит],Щиты[ΔU до шин, %]),0),"")</f>
        <v>1.8</v>
      </c>
      <c r="CE131">
        <f>IF(D131="","",IF(IFERROR(VLOOKUP(AT131,УГО_спр,2,FALSE),"")="Светильник",3,4)+IF(Методика="нормы 2026",MIN(0.5,MAX(0,N(BW131)-100)*0.005),0))</f>
        <v>4</v>
      </c>
      <c r="CF131" t="str">
        <f>IFERROR(VLOOKUP(BI131,Кабель_обозначение,2,FALSE),"")</f>
        <v>ВВГнг(А)-LS</v>
      </c>
      <c r="CG131" t="str">
        <f>IFERROR(IF(VLOOKUP(BI131,Кабель_обозначение,3,FALSE)=1,CF131&amp;" ("&amp;BJ131&amp;"х"&amp;BS131&amp;")",CF131),"")</f>
        <v>ВВГнг(А)-LS (3х1,5)</v>
      </c>
      <c r="CH131" t="str">
        <f t="shared" ref="CH131:CH194" si="193">IF(OR(D131="",CF131="",AND(G131&lt;&gt;"",NOT(ISNUMBER(G131)))),"",IF(BS131=0,CF131,CG131&amp;CHAR(10)&amp;"L="&amp;BW131&amp;"-"&amp;CC131&amp;"%"))</f>
        <v>ВВГнг(А)-LS (3х1,5)
L=30-0,78%</v>
      </c>
      <c r="CI131">
        <f>IFERROR(2*ρкз_Cu*BW131/BS131,"")</f>
        <v>1.052</v>
      </c>
      <c r="CJ131">
        <f t="shared" ref="CJ131:CJ194" si="194">IFERROR(0.0175*N(BW131)/BS131,"")</f>
        <v>0.35000000000000003</v>
      </c>
      <c r="CK131" t="str">
        <f>IFERROR(IF(OR(D131="",NOT(ISNUMBER(BS131)),N(BW131)=0),"",_xlfn.XLOOKUP(A131,Щиты[Щит],Щиты[Zпетли на шинах, Ом])+CI131),"")</f>
        <v/>
      </c>
      <c r="CL131" t="str">
        <f>IF(ISNUMBER(CK131),c_min*(Uн_лин*1000/SQRT(3))/CK131,"")</f>
        <v/>
      </c>
      <c r="CM131" t="str">
        <f>IFERROR(IF(OR(D131="",NOT(ISNUMBER(BS131))),"",1.05*(Uн_лин*1000/SQRT(3))/(_xlfn.XLOOKUP(A131,Щиты[Щит],Щиты[Zmax на шинах, Ом])+CJ131)/1000),"")</f>
        <v/>
      </c>
      <c r="CN131" t="str">
        <f>IF(D131="","",IF(BA131&lt;&gt;"","Щит",IF(K131&lt;&gt;"",K131,IF(ISNUMBER(L131),"Сил",IF(IFERROR(_xlfn.XLOOKUP(AT131,Коды_код,Коды_группа)&amp;"","")="","Быт",_xlfn.XLOOKUP(AT131,Коды_код,Коды_группа)&amp;"")))))</f>
        <v>Сил</v>
      </c>
      <c r="CO131">
        <f>IF(CN131="Щит","щит",IF(CN131="","",IF(CN131="Быт",IFERROR(_xlfn.XLOOKUP(A131,Щиты[Щит],Щиты[Кс быт]),1),IF(CN131="Сил",IF(ISNUMBER(L131),L131,IF(Методика="нормы 2026",IFERROR(_xlfn.XLOOKUP(A131,Щиты[Щит],Щиты[Кс силовых (табл. 7.5)]),1),1)),IF(OR(CN131="Пост",CN131="Отоп"),1,IF(CN131="ВНГ",0.7,0))))))</f>
        <v>0.5</v>
      </c>
      <c r="CP131">
        <f t="shared" ref="CP131:CP194" si="195">IF(CN131="","",IFERROR(MIN(3,MAX(1,INT(--N131))),1))</f>
        <v>1</v>
      </c>
      <c r="CQ131">
        <f t="shared" ref="CQ131:CQ194" si="196">IF(OR(CN131="",CN131="Нет",CN131="Щит"),0,N(BF131))</f>
        <v>0.46100000000000002</v>
      </c>
      <c r="CR131">
        <f t="shared" ref="CR131:CR194" si="197">IF(CN131="Быт",N(BF131),0)</f>
        <v>0</v>
      </c>
      <c r="CS131">
        <f t="shared" ref="CS131:CS194" si="198">IF(CN131="Сил",N(BF131)*N(CO131),0)</f>
        <v>0.23050000000000001</v>
      </c>
      <c r="CT131">
        <f t="shared" ref="CT131:CT194" si="199">IF(CN131="Пост",N(BF131),0)</f>
        <v>0</v>
      </c>
      <c r="CU131">
        <f t="shared" ref="CU131:CU194" si="200">IF(CN131="Отоп",N(BF131),0)</f>
        <v>0</v>
      </c>
      <c r="CV131">
        <f t="shared" ref="CV131:CV194" si="201">IF(CN131="ВНГ",N(BF131)*0.7,0)</f>
        <v>0</v>
      </c>
      <c r="CW131">
        <f t="shared" ref="CW131:CW194" si="202">IF(OR(D131="",CN131="Щит"),0,N(BF131))</f>
        <v>0.46100000000000002</v>
      </c>
      <c r="CX131">
        <f t="shared" ref="CX131:CX194" si="203">IF(OR(D131="",CN131="Щит"),0,N(BF131)*N(BM131))</f>
        <v>0.43795000000000001</v>
      </c>
      <c r="CY131">
        <f t="shared" ref="CY131:CY194" si="204">_xlfn.LET(_xlpm.prev,IF(OR(OR(AS131=1,A131&lt;&gt;A130)),0,N(IF(AS131=1,"",CY130))),IF(OR(D131="",BH131=3),_xlpm.prev,IF(_xlpm.prev&gt;=3,1,_xlpm.prev+1)))</f>
        <v>1</v>
      </c>
      <c r="CZ131" t="str">
        <f t="shared" ref="CZ131:CZ194" si="205">IF(D131="","",IF(BH131=3,"L1,L2,L3","L"&amp;MAX(1,CY131)))</f>
        <v>L1</v>
      </c>
      <c r="DA131" cm="1">
        <f t="array" ref="DA131">IFERROR(IF(BL131=2,_xlfn.IFS(BH131=3,VLOOKUP(BF131,Справочная_двигатели,3,FALSE),BH131=1,VLOOKUP(BF131,Справочная_двигатели,5,TRUE)),0),0)</f>
        <v>0</v>
      </c>
      <c r="DB131">
        <f>IFERROR(IF(BL131=3,VLOOKUP(BF131,Справочная_ЛЭД,2,TRUE),0),0)</f>
        <v>0</v>
      </c>
      <c r="DC131">
        <f t="shared" ref="DC131:DC194" si="206">IF(D131="","",IF(DA131=0,DB131,DA131))</f>
        <v>0</v>
      </c>
      <c r="DD131" t="str">
        <f t="shared" ref="DD131:DD194" si="207">IF(D131="","",IF(O131="упр","",IF(O131="",CZ131,IF(O131&amp;""="1,2,3","L1,L2,L3","L"&amp;O131))))</f>
        <v>L2</v>
      </c>
      <c r="DE131" t="str" cm="1">
        <f t="array" ref="DE131">IF(D131="","",IFERROR(INDEX({"I особая","I","II","III"},MATCH(TRIM(AA131&amp;""),{"I особая","I","II","III"},0)),"III"))</f>
        <v>II</v>
      </c>
      <c r="DF131" t="str">
        <f>IF(D131="","",IF(TRIM(AB131&amp;"")&lt;&gt;"",IF(LOWER(TRIM(AB131&amp;""))="да","да","нет"),IF(IFERROR(_xlfn.XLOOKUP(AT131,Коды_код,Коды_пожарная),"")="да","да","нет")))</f>
        <v>нет</v>
      </c>
      <c r="DG131" t="str">
        <f t="shared" ref="DG131:DG194" si="208">IF(AC131&lt;&gt;"",AC131,IF(AD131&lt;&gt;"","",IF(EK131="","",IF(AS131=1,"",DG130))))</f>
        <v/>
      </c>
      <c r="DH131" t="str">
        <f t="shared" ref="DH131:DH194" si="209">IF(D131="","",IF(DG131="","основная",DG131))</f>
        <v>основная</v>
      </c>
      <c r="DI131">
        <f t="shared" ref="DI131:DI194" si="210">IFERROR(MIN(3,MAX(1,INT(--N131))),1)</f>
        <v>1</v>
      </c>
      <c r="DJ131" t="str" cm="1">
        <f t="array" ref="DJ131">IF(D131="","",_xlfn.LET(_xlpm.t,IFERROR(_xlfn.XLOOKUP(1,(Шины[Шина]=DH131)*(((Шины[Щит]=A131)+(Шины[Щит]=""))&gt;0),Шины[Тип]),"")&amp;"",IF(_xlpm.t&lt;&gt;"",_xlpm.t,IF(ISNUMBER(SEARCH("ИБП",DH131)),"ИБП",IF(ISNUMBER(SEARCH("ДГУ",DH131)),"ДГУ","Ввод "&amp;DI131)))))</f>
        <v>Ввод 1</v>
      </c>
      <c r="DK131" t="str">
        <f t="shared" ref="DK131:DK194" si="211">IF(D131="","",IF(OR(DJ131="ИБП",DJ131="ДГУ"),DJ131,IF(LEFT(DJ131,5)="Ввод ",DJ131,"Ввод "&amp;DI131)))</f>
        <v>Ввод 1</v>
      </c>
      <c r="DL131" t="str">
        <f>IF(D131="","",IF(OR(DJ131="ИБП",DJ131="ДГУ"),"I особая",IF(DJ131="Одиночная","III",_xlfn.XLOOKUP(A131,Щиты[Щит],Щиты[Категория шины «Ввод»],"III"))))</f>
        <v>II</v>
      </c>
      <c r="DM131">
        <f>IF(D131="",0,IFERROR(MATCH(DE131,{"III","II","I","I особая"},0),1))</f>
        <v>2</v>
      </c>
      <c r="DN131">
        <f t="shared" ref="DN131:DN194" si="212">IF(OR(DJ131="ИБП",DJ131="ДГУ"),MIN(DM131,3),DM131)</f>
        <v>2</v>
      </c>
      <c r="DO131" t="str">
        <f>IF(D131="","",IF(DM131&gt;IFERROR(MATCH(DL131,{"III","II","I","I особая"},0),1),"НЕ ОБЕСПЕЧЕНА","ОК"))</f>
        <v>ОК</v>
      </c>
      <c r="DP131" t="str">
        <f>IF(A131="","",_xlfn.XLOOKUP(A131,Щиты[Щит],Щиты[Путь],""))</f>
        <v>|ГРЩ-ЖД|ЩОВ-2|</v>
      </c>
      <c r="DQ131" t="str">
        <f>IF(D131="","",IF(Z131&lt;&gt;"",Z131,IF(IFERROR(_xlfn.XLOOKUP(AT131,Коды_код,Коды_вид)&amp;"","")="","Прочее",_xlfn.XLOOKUP(AT131,Коды_код,Коды_вид)&amp;"")))</f>
        <v>Кондиционирование и увлажнение</v>
      </c>
      <c r="DR131">
        <f>IF(BD131="","",INT((BD131-1)/Столбцов_на_лист)+1)</f>
        <v>1</v>
      </c>
      <c r="DS131" t="str">
        <f t="shared" ref="DS131:DS194" si="213">IF(D131="","",SUBSTITUTE(CH131,CHAR(10)," "))</f>
        <v>ВВГнг(А)-LS (3х1,5) L=30-0,78%</v>
      </c>
      <c r="DT131">
        <f t="shared" ref="DT131:DT194" si="214">IF(D131="","",IFERROR(--BF131,""))</f>
        <v>0.46100000000000002</v>
      </c>
      <c r="DU131">
        <f t="shared" ref="DU131:DU194" si="215">IF(D131="","",IFERROR(ROUNDUP(BN131,2),""))</f>
        <v>2.11</v>
      </c>
      <c r="DV131">
        <f t="shared" ref="DV131:DV194" si="216">IF(D131="","",IFERROR(--BH131,1))</f>
        <v>1</v>
      </c>
      <c r="DW131">
        <f>IF(AT131="",0,_xlfn.LET(_xlpm.v,IFERROR(VLOOKUP(D131,УГО_спр,3,FALSE),IFERROR(VLOOKUP(AT131,УГО_спр,3,FALSE),IFERROR(VLOOKUP(LEFT(AT131,2),УГО_спр,3,FALSE),""))),IF(_xlpm.v="да",30,IF(ISNUMBER(_xlpm.v),_xlpm.v,0))))</f>
        <v>0</v>
      </c>
      <c r="DX131">
        <f t="shared" ref="DX131:DX194" si="217">IF(OR(AJ131="+",AND(D131&lt;&gt;"",D131=IF(AS131=1,"",D130))),1,0)</f>
        <v>0</v>
      </c>
      <c r="DY131">
        <f>IF(BD131="","",IF(AD131&lt;&gt;"",COUNTIFS(A$3:A131,A131,AD$3:AD131,"?*"),IF(OR(OR(AS131=1,A131&lt;&gt;A130),AL131="вручную"),"",IF(AS131=1,"",DZ130))))</f>
        <v>1</v>
      </c>
      <c r="DZ131">
        <f t="shared" ref="DZ131:DZ194" si="218">IF(BD131="",IF(OR(AS131=1,A131&lt;&gt;A130),"",IF(AS131=1,"",DZ130)),DY131)</f>
        <v>1</v>
      </c>
      <c r="EA131">
        <f>IF(D131="",0,MAX(IFERROR(--X131,0),IFERROR(--VLOOKUP(D131,УГО_спр,4,FALSE),IFERROR(--VLOOKUP(AT131,УГО_спр,4,FALSE),IFERROR(--VLOOKUP(LEFT(AT131,2),УГО_спр,4,FALSE),0)))))</f>
        <v>0</v>
      </c>
      <c r="EB131">
        <f>IF(D131="","",IFERROR(LOOKUP(INDEX(CHOOSE(BR131,Iдоп_1ж,Iдоп_2ж,Iдоп_3ж),MATCH(BS131,Iдоп_S,0))*BP131*BQ131,{6,10,16,20,25,32,40,50,63,80,100,125,160,200,250,315,400,500,630}),""))</f>
        <v>16</v>
      </c>
      <c r="EC131">
        <f>IF(AD131="","",SUMIFS(Линии[_Ток схемы],Линии[_гр.],DY131,Линии[Щит],A131,Линии[_в кабель выше],0))</f>
        <v>2.11</v>
      </c>
      <c r="ED131">
        <f>IF(AD131="","",IFERROR(VLOOKUP(EC131,Автомат_номиналы,2,TRUE),""))</f>
        <v>6</v>
      </c>
      <c r="EE131">
        <f>IF(AD131="","",MAX(N(ED131),_xlfn.MAXIFS(Линии[_мин. по типу],Линии[_гр.],DY131,Линии[Щит],A131)))</f>
        <v>6</v>
      </c>
      <c r="EF131">
        <f>IF(AD131="","",_xlfn.MINIFS(Линии[_макс. автомат по кабелю],Линии[_гр.],DY131,Линии[Щит],A131))</f>
        <v>16</v>
      </c>
      <c r="EG131">
        <f>IF(AD131="","",MAX(1,_xlfn.MAXIFS(Линии[_фаз],Линии[_гр.],DY131,Линии[Щит],A131)))</f>
        <v>1</v>
      </c>
      <c r="EH131">
        <f>IF(AD131="","",IF(AND(AD131&lt;&gt;"авто",AD131&lt;&gt;"+"),IF(ISNUMBER(SEARCH("мА",AD131)),IFERROR(--TRIM(RIGHT(SUBSTITUTE(LEFT(AD131,SEARCH("мА",AD131)-1)," ",REPT(" ",9)),6)),30),0),IF(AE131="нет",0,IF(ISNUMBER(AE131),AE131,IF(AE131="да",30,_xlfn.MINIFS(Линии[_дифзащита по коду, мА],Линии[_гр.],DY131,Линии[Щит],A131,Линии[_дифзащита по коду, мА],"&gt;0"))))))</f>
        <v>0</v>
      </c>
      <c r="EI131">
        <f t="shared" ref="EI131:EI194" si="219">IF(AD131="","",IF(N(EH131)&gt;0,1,0))</f>
        <v>0</v>
      </c>
      <c r="EJ131" t="str">
        <f t="shared" ref="EJ131:EJ194" si="220">IF(AD131="","",IF(EI131=1,"QFD","QF")&amp;DY131)</f>
        <v>QF1</v>
      </c>
      <c r="EK131" t="str">
        <f t="shared" ref="EK131:EK194" si="221">IF(EJ131&lt;&gt;"",EJ131,IF(OR(OR(AS131=1,A131&lt;&gt;A130),AL131="вручную"),"",IF(AS131=1,"",EK130)))</f>
        <v>QF1</v>
      </c>
      <c r="EL131" t="str">
        <f t="shared" ref="EL131:EL194" si="222">IF(EJ131&lt;&gt;"",_xlfn.TEXTJOIN(" → ",TRUE,AF131,AG131,AH131),IF(EK131="","",IF(AS131=1,"",EL130)))</f>
        <v/>
      </c>
      <c r="EM131">
        <f t="shared" ref="EM131:EM194" si="223">IF(EL131="",0,IF(OR(LEFT(EL131,2)="T ",LEFT(EL131,2)="Т ",ISNUMBER(SEARCH("→ T ",EL131)),ISNUMBER(SEARCH("→ Т ",EL131)),ISNUMBER(SEARCH("БП",EL131))),1,0))</f>
        <v>0</v>
      </c>
      <c r="EN131">
        <f>IF(AD131="","",IF(EM131=1,MAX(EE131,Мин_автомат_БП),EE131))</f>
        <v>6</v>
      </c>
      <c r="EO131" t="str">
        <f t="shared" ref="EO131:EO194" si="224">IF(AD131="","",IF(EG131&gt;=3,IF(EI131=1,"4P","3P"),IF(EI131=1,"2P","1P")))</f>
        <v>1P</v>
      </c>
      <c r="EP131" t="str">
        <f t="shared" ref="EP131:EP194" si="225">IF(AD131="","",IF(AND(AD131&lt;&gt;"авто",AD131&lt;&gt;"+"),AD131,EO131&amp;" С"&amp;EN131&amp;"А"&amp;IF(EI131=1," "&amp;EH131&amp;"мА","")))</f>
        <v>1P С6А</v>
      </c>
      <c r="EQ131">
        <f t="shared" ref="EQ131:EQ194" si="226">IF(EP131="","",_xlfn.LET(_xlpm.t,SUBSTITUTE(SUBSTITUTE(UPPER(EP131),"С","C"),"А","A"),_xlpm.c,FIND("C",_xlpm.t),IFERROR(--MID(_xlpm.t,_xlpm.c+1,FIND("A",_xlpm.t&amp;"A",_xlpm.c)-_xlpm.c-1),"")))</f>
        <v>6</v>
      </c>
      <c r="ER131" t="str">
        <f>IF(OR(AI131="",AI131="-"),"",IFERROR(VLOOKUP(AI131,Модули_спр,2,FALSE),"R"))</f>
        <v/>
      </c>
      <c r="ES131" t="str">
        <f>IF(ER131="","",ER131&amp;"."&amp;COUNTIFS(A$3:A131,A131,ER$3:ER131,ER131))</f>
        <v/>
      </c>
      <c r="ET131" t="str">
        <f t="shared" ref="ET131:ET194" si="227">IF(AI131="-","",IF(ES131&lt;&gt;"",ES131,IF(OR(AS131=1,A131&lt;&gt;A130),"",IF(AS131=1,"",ET130))))</f>
        <v/>
      </c>
      <c r="EU131" t="str">
        <f t="shared" ref="EU131:EU194" si="228">IF(ET131="","",IF(AND(AI131&lt;&gt;"",AI131&lt;&gt;"-"),AI131,IF(AS131=1,"",EU130)))</f>
        <v/>
      </c>
      <c r="EV131" t="str">
        <f t="shared" ref="EV131:EV194" si="229">IF(AJ131="=",IF(AS131=1,"",EW130),IF(ISNUMBER(AJ131),AJ131,IF(ET131="","",IF(OR(D131&lt;&gt;"",AJ131="+",AJ131="р"),IF(OR(ES131&lt;&gt;"",IF(AS131=1,"",EW130)=""),1,IF(AS131=1,"",EW130)+1),""))))</f>
        <v/>
      </c>
      <c r="EW131" t="str">
        <f t="shared" ref="EW131:EW194" si="230">IF(EV131&lt;&gt;"",EV131,IF(OR(OR(AS131=1,A131&lt;&gt;A130),AI131="-",ES131&lt;&gt;""),"",IF(AS131=1,"",EW130)))</f>
        <v/>
      </c>
      <c r="EX131">
        <f t="shared" ref="EX131:EX194" si="231">IF(AJ131="б/к",0,IF(OR(ISNUMBER(SEARCH("L=",CH131)),AJ131="+",AJ131="="),1,0))</f>
        <v>1</v>
      </c>
      <c r="EY131" t="str">
        <f>IF(AK131="нет","",IF(AK131&lt;&gt;"",AK131,IF(EX131=1,"XT"&amp;COUNTIFS(A$3:A131,A131,EX$3:EX131,1),"")))</f>
        <v>XT1</v>
      </c>
      <c r="EZ131" t="str">
        <f t="shared" ref="EZ131:EZ194" si="232">IF(OR(D131&lt;&gt;"",EV131&lt;&gt;"",EX131=1),EK131,"")</f>
        <v>QF1</v>
      </c>
      <c r="FA131" t="str">
        <f t="shared" ref="FA131:FA194" si="233">IF(OR(EV131&lt;&gt;"",AND(AI131&lt;&gt;"",AI131&lt;&gt;"-")),ET131,"")</f>
        <v/>
      </c>
      <c r="FB131" t="str">
        <f t="shared" ref="FB131:FB194" si="234">IF(AD131="","",IF(NOT(ISNUMBER(EQ131)),"",IF(EC131&gt;EQ131,"ПЕРЕГРУЗ",IF(AND(EM131=0,EF131&gt;0,EQ131&gt;EF131),"КАБЕЛЬ НЕ ЗАЩИЩЁН","ok"))))</f>
        <v>ok</v>
      </c>
      <c r="FC131" t="str">
        <f>IF(OR(EV131="",ET131=""),"",IF(EV131&gt;IFERROR(VLOOKUP(EU131,Модули_спр,3,FALSE),99),"ЛИШНИЙ КАНАЛ",IF(AND(AJ131&lt;&gt;"=",COUNTIFS(Линии[_модуль гр.],ET131,Линии[Канал (итог)],EV131,Линии[Канал],"&lt;&gt;=",Линии[Щит],A131)&gt;1),"ДУБЛЬ КАНАЛА","")))</f>
        <v/>
      </c>
      <c r="FD131">
        <f t="shared" ref="FD131:FD194" si="235">IF(AD131&lt;&gt;"",EQ131,IF(EK131="","",IF(AS131=1,"",FD130)))</f>
        <v>6</v>
      </c>
      <c r="FE131" t="str">
        <f t="shared" ref="FE131:FE194" si="236">IF(AD131&lt;&gt;"",EP131,IF(EK131="","",IF(AS131=1,"",FE130)))</f>
        <v>1P С6А</v>
      </c>
      <c r="FF131">
        <f t="shared" ref="FF131:FF194" si="237">IF(AD131&lt;&gt;"",EI131,IF(EK131="","",IF(AS131=1,"",FF130)))</f>
        <v>0</v>
      </c>
      <c r="FG131">
        <f t="shared" ref="FG131:FG194" si="238">IF(AD131&lt;&gt;"",EH131,IF(EK131="","",IF(AS131=1,"",FG130)))</f>
        <v>0</v>
      </c>
      <c r="FH131" t="str">
        <f t="shared" ref="FH131:FH194" si="239">IFERROR(IF(ISNUMBER(CL131),CL131/IFERROR(--FD131,N(BO131)),""),"")</f>
        <v/>
      </c>
      <c r="FI131">
        <f t="shared" ref="FI131:FI194" si="240">IF(OR(ISNUMBER(SEARCH(" B"," "&amp;FE131)),ISNUMBER(SEARCH(" В"," "&amp;FE131))),5,IF(ISNUMBER(SEARCH(" D"," "&amp;FE131)),20,10))</f>
        <v>10</v>
      </c>
      <c r="FJ131" t="str">
        <f t="shared" ref="FJ131:FJ194" si="241">IF(NOT(ISNUMBER(FH131)),"",IF(FH131&gt;=FI131,"ok",IF(N(FF131)=1,"ok (дифзащита "&amp;FG131&amp;" мА)","мало: Iкз &lt; "&amp;FI131&amp;"·In")))</f>
        <v/>
      </c>
      <c r="FK131" t="str">
        <f>IF(AND(D131="",EZ131=""),"",_xlfn.TEXTJOIN("; ",TRUE,IF(AND(D131&lt;&gt;"",DD131=""),"нет фазы",""),IF(AND(D131&lt;&gt;"",N(DT131)=0,CN131&lt;&gt;"Нет"),"нет мощности",""),IF(AND(EY131&lt;&gt;"",COUNTIFS(Линии[Щит],A131,Линии[Клемма (итог)],EY131)&gt;1),"дубль клеммы "&amp;EY131,""),IF(AND(FB131&lt;&gt;"",FB131&lt;&gt;"ok"),FB131,""),IF(FC131&lt;&gt;"",FC131,""),IF(AND(ISNUMBER(SEARCH("(5х",DS131)),N(DV131)=1),"5 жил на 1 фазе",""),IF(AND(AT131="R",AD131&lt;&gt;"",OR(N(EH131)=0,N(EH131)&gt;30)),"розетка без дифзащиты до 30 мА",""),IFERROR(IF(AND(ISNUMBER(CD131),CD131&gt;CE131),"потери "&amp;FIXED(CD131,1)&amp;" % &gt; "&amp;CE131&amp;" %",""),""),IFERROR(IF(LEFT(FJ131,4)="мало","Iкз мало — отключение &gt; 0,4 с",""),""),IF(AND(D131&lt;&gt;"",BD131=""),"не на схеме","")))</f>
        <v/>
      </c>
      <c r="FL131" t="str">
        <f>IF(AD131="","",_xlfn.LET(_xlpm.t,IFERROR(_xlfn.XLOOKUP(EP131,Каталог!$U$4:$U$500,Каталог!$G$4:$G$500),""),_xlpm.k,SEARCH("кА",_xlpm.t),IFERROR(--TRIM(RIGHT(SUBSTITUTE(MID(_xlpm.t,MAX(1,_xlpm.k-4),_xlpm.k-MAX(1,_xlpm.k-4))," ",REPT(" ",9)),5)),"")))</f>
        <v/>
      </c>
      <c r="FM131" t="str">
        <f>IF(OR(FL131="",AD131=""),"",IF(_xlfn.XLOOKUP(A131,Щиты[Щит],Щиты[Iкз max на шинах, кА],"")="","",IF(FL131&lt;_xlfn.XLOOKUP(A131,Щиты[Щит],Щиты[Iкз max на шинах, кА]),"Icu "&amp;FL131&amp;" кА &lt; Iкз max","ok")))</f>
        <v/>
      </c>
      <c r="FN131" t="str">
        <f t="shared" ref="FN131:FN194" si="242">IF(OR(AL131="вручную",BD131="",AND(D131="",EY131="")),"",_xlfn.TEXTJOIN("|",TRUE,EK131,SUBSTITUTE(EL131," → ","|"),IF(ET131&lt;&gt;"",ET131&amp;IF(EV131&lt;&gt;""," к."&amp;EV131,""),""),EY131))</f>
        <v>QF1|XT1</v>
      </c>
      <c r="FO131" t="str">
        <f t="shared" ref="FO131:FO194" si="243">IF(FN131="","",FN131&amp;IF(D131&lt;&gt;"","|кабель "&amp;CG131&amp;" → "&amp;AZ131,""))</f>
        <v>QF1|XT1|кабель ВВГнг(А)-LS (3х1,5) → Внутренний блок кондиционирования Технический этаж Пом. №001Т</v>
      </c>
      <c r="FP131" t="str" cm="1">
        <f t="array" ref="FP131">IF(FO131="","",_xlfn.LET(_xlpm.nd,_xlfn.TEXTSPLIT(FO131,"|"),IF(COLUMNS(_xlpm.nd)&gt;1,A131&amp;"¦"&amp;INDEX(_xlpm.nd,1)&amp;"¦"&amp;INDEX(_xlpm.nd,2),"")))</f>
        <v>ЩОВ-2¦QF1¦XT1</v>
      </c>
      <c r="FQ131" t="str">
        <f t="shared" ref="FQ131:FQ194" si="244">IF(FP131="","",D131&amp;"¦"&amp;AZ131)</f>
        <v>K.1.001A.1¦Внутренний блок кондиционирования Технический этаж Пом. №001Т</v>
      </c>
      <c r="FR131" t="str" cm="1">
        <f t="array" ref="FR131">IF(FO131="","",_xlfn.LET(_xlpm.nd,_xlfn.TEXTSPLIT(FO131,"|"),IF(COLUMNS(_xlpm.nd)&gt;2,A131&amp;"¦"&amp;INDEX(_xlpm.nd,2)&amp;"¦"&amp;INDEX(_xlpm.nd,3),"")))</f>
        <v>ЩОВ-2¦XT1¦кабель ВВГнг(А)-LS (3х1,5) → Внутренний блок кондиционирования Технический этаж Пом. №001Т</v>
      </c>
      <c r="FS131" t="str">
        <f t="shared" ref="FS131:FS194" si="245">IF(FR131="","",D131&amp;"¦"&amp;AZ131)</f>
        <v>K.1.001A.1¦Внутренний блок кондиционирования Технический этаж Пом. №001Т</v>
      </c>
      <c r="FT131" t="str" cm="1">
        <f t="array" ref="FT131">IF(FO131="","",_xlfn.LET(_xlpm.nd,_xlfn.TEXTSPLIT(FO131,"|"),IF(COLUMNS(_xlpm.nd)&gt;3,A131&amp;"¦"&amp;INDEX(_xlpm.nd,3)&amp;"¦"&amp;INDEX(_xlpm.nd,4),"")))</f>
        <v/>
      </c>
      <c r="FU131" t="str">
        <f t="shared" ref="FU131:FU194" si="246">IF(FT131="","",D131&amp;"¦"&amp;AZ131)</f>
        <v/>
      </c>
      <c r="FV131" t="str" cm="1">
        <f t="array" ref="FV131">IF(FO131="","",_xlfn.LET(_xlpm.nd,_xlfn.TEXTSPLIT(FO131,"|"),IF(COLUMNS(_xlpm.nd)&gt;4,A131&amp;"¦"&amp;INDEX(_xlpm.nd,4)&amp;"¦"&amp;INDEX(_xlpm.nd,5),"")))</f>
        <v/>
      </c>
      <c r="FW131" t="str">
        <f t="shared" ref="FW131:FW194" si="247">IF(FV131="","",D131&amp;"¦"&amp;AZ131)</f>
        <v/>
      </c>
      <c r="FX131" t="str" cm="1">
        <f t="array" ref="FX131">IF(FO131="","",_xlfn.LET(_xlpm.nd,_xlfn.TEXTSPLIT(FO131,"|"),IF(COLUMNS(_xlpm.nd)&gt;5,A131&amp;"¦"&amp;INDEX(_xlpm.nd,5)&amp;"¦"&amp;INDEX(_xlpm.nd,6),"")))</f>
        <v/>
      </c>
      <c r="FY131" t="str">
        <f t="shared" ref="FY131:FY194" si="248">IF(FX131="","",D131&amp;"¦"&amp;AZ131)</f>
        <v/>
      </c>
      <c r="FZ131" t="str" cm="1">
        <f t="array" ref="FZ131">IF(FO131="","",_xlfn.LET(_xlpm.nd,_xlfn.TEXTSPLIT(FO131,"|"),IF(COLUMNS(_xlpm.nd)&gt;6,A131&amp;"¦"&amp;INDEX(_xlpm.nd,6)&amp;"¦"&amp;INDEX(_xlpm.nd,7),"")))</f>
        <v/>
      </c>
      <c r="GA131" t="str">
        <f t="shared" ref="GA131:GA194" si="249">IF(FZ131="","",D131&amp;"¦"&amp;AZ131)</f>
        <v/>
      </c>
      <c r="GB131" t="str">
        <f t="shared" ref="GB131:GB194" si="250">IF(FA131="","",EU131)</f>
        <v/>
      </c>
      <c r="GC131" t="str">
        <f t="shared" ref="GC131:GC194" si="251">IF(AND(D131="",EV131="",EY131=""),"",_xlfn.TEXTJOIN(" → ",TRUE,EK131,EL131,IF(ET131&lt;&gt;"",ET131&amp;IF(EV131&lt;&gt;""," к."&amp;EV131,""),IF(EV131&lt;&gt;"","к."&amp;EV131,"")),EY131,IF(DX131=1,"(в кабель выше)","")))</f>
        <v>QF1 → XT1</v>
      </c>
      <c r="GD131">
        <f t="shared" ref="GD131:GD194" si="252">IF(OR(BD131="",AL131="вручную",AND(BE131="вводной узел",AL131&lt;&gt;"рисовать")),0,1)</f>
        <v>1</v>
      </c>
      <c r="GE131">
        <f t="shared" ref="GE131:GE194" si="253">IF(AC131="",0,1)</f>
        <v>0</v>
      </c>
      <c r="GF131">
        <f t="shared" ref="GF131:GF194" si="254">IF(EJ131="",0,IF(LEFT(EJ131,3)="QFD",1,0))</f>
        <v>0</v>
      </c>
      <c r="GG131" t="str">
        <f t="shared" ref="GG131:GG194" si="255">IF(AJ131="=","=",IF(AJ131="+","+",IF(AJ131="р","R","")))</f>
        <v/>
      </c>
      <c r="GH131" t="str">
        <f t="shared" ref="GH131:GH194" si="256">IF(AF131="","",IF(OR(LEFT(AF131,1)="T",LEFT(AF131,1)="Т"),"T",IF(LEFT(UPPER(AF131),2)="БП","PS",IF(OR(LEFT(UPPER(AF131),2)="МК",LEFT(UPPER(AF131),2)="MK"),"MK",IF(OR(LEFT(UPPER(AF131),2)="КМ",LEFT(UPPER(AF131),2)="KM"),"KM","X")))))</f>
        <v/>
      </c>
      <c r="GI131" t="str">
        <f t="shared" ref="GI131:GI194" si="257">IF(AG131="","",IF(OR(LEFT(AG131,1)="T",LEFT(AG131,1)="Т"),"T",IF(LEFT(UPPER(AG131),2)="БП","PS",IF(OR(LEFT(UPPER(AG131),2)="МК",LEFT(UPPER(AG131),2)="MK"),"MK",IF(OR(LEFT(UPPER(AG131),2)="КМ",LEFT(UPPER(AG131),2)="KM"),"KM","X")))))</f>
        <v/>
      </c>
      <c r="GJ131" t="str">
        <f t="shared" ref="GJ131:GJ194" si="258">IF(AH131="","",IF(OR(LEFT(AH131,1)="T",LEFT(AH131,1)="Т"),"T",IF(LEFT(UPPER(AH131),2)="БП","PS",IF(OR(LEFT(UPPER(AH131),2)="МК",LEFT(UPPER(AH131),2)="MK"),"MK",IF(OR(LEFT(UPPER(AH131),2)="КМ",LEFT(UPPER(AH131),2)="KM"),"KM","X")))))</f>
        <v/>
      </c>
      <c r="GK131">
        <f>IF(D131="","",IFERROR(VLOOKUP(D131,УГО_спр,2,FALSE),IFERROR(VLOOKUP(AT131,УГО_спр,2,FALSE),IFERROR(VLOOKUP(LEFT(AT131,2),УГО_спр,2,FALSE),""))))</f>
        <v>0</v>
      </c>
      <c r="GL131" t="str">
        <f>IF(D131="","",IF(OR(GK131="",GK131=0),"BOX",IFERROR(IF(VLOOKUP(GK131,УГО_блоки,3,FALSE)&amp;""&lt;&gt;"",VLOOKUP(GK131,УГО_блоки,3,FALSE),VLOOKUP(GK131,УГО_блоки,2,FALSE)),GK131)))</f>
        <v>BOX</v>
      </c>
      <c r="GM131">
        <f t="shared" ref="GM131:GM194" si="259">IF(D131="",0,1)</f>
        <v>1</v>
      </c>
      <c r="GN131" t="str">
        <f>IF(EP131="","",IF(COUNTIF(EP$3:EP131,EP131)=1,MAX(GN$2:GN130)+1,""))</f>
        <v/>
      </c>
      <c r="GO131" t="str">
        <f>IF(AF131="","",IF(COUNTIF(AF$3:AF131,AF131)+COUNTIF(AG$2:AG130,AF131)+COUNTIF(AH$2:AH130,AF131)=1,MAX(GO$2:GQ130)+1,""))</f>
        <v/>
      </c>
      <c r="GP131" t="str">
        <f>IF(AG131="","",IF(COUNTIF(AF$3:AF131,AG131)+COUNTIF(AG$3:AG131,AG131)+COUNTIF(AH$2:AH130,AG131)=1,MAX(GO$2:GQ130,GO131)+1,""))</f>
        <v/>
      </c>
      <c r="GQ131" t="str">
        <f>IF(AH131="","",IF(COUNTIF(AF$3:AF131,AH131)+COUNTIF(AG$3:AG131,AH131)+COUNTIF(AH$3:AH131,AH131)=1,MAX(GO$2:GQ130,GO131,GP131)+1,""))</f>
        <v/>
      </c>
      <c r="GR131" t="str">
        <f t="shared" ref="GR131:GR194" si="260">IF(EX131=1,IFERROR(MID(DS131,FIND(" (",DS131)+2,FIND(")",DS131,FIND(" (",DS131))-FIND(" (",DS131)-2),"?"),"")</f>
        <v>3х1,5</v>
      </c>
      <c r="GS131" t="str">
        <f>IF(GR131="","",IF(COUNTIF(GR$3:GR131,GR131)=1,MAX(GS$2:GS130)+1,""))</f>
        <v/>
      </c>
      <c r="GT131" t="str">
        <f>IF(ES131="","",COUNTIF(ES$3:ES131,"?*"))</f>
        <v/>
      </c>
      <c r="GU131" t="str">
        <f>IF(OR(ES131="",EU131=""),"",IF(COUNTIFS(ES$3:ES131,"?*",EU$3:EU131,EU131)=1,MAX(GU$2:GU130)+1,""))</f>
        <v/>
      </c>
      <c r="GV131">
        <f t="shared" ref="GV131:GV194" si="261">IF(FK131="",0,IF(OR(ISNUMBER(SEARCH("дубль",FK131)),ISNUMBER(SEARCH("ПЕРЕГРУЗ",FK131)),ISNUMBER(SEARCH("ЗАЩИЩ",FK131)),ISNUMBER(SEARCH("КАНАЛ",FK131)),ISNUMBER(SEARCH("без диф",FK131))),2,1))</f>
        <v>0</v>
      </c>
      <c r="GW131">
        <f>IF(D131="","",COUNTIF(D$3:D131,"?*"))</f>
        <v>129</v>
      </c>
      <c r="GX131">
        <f>IF(EX131&lt;&gt;1,0,_xlfn.LET(_xlpm.k,MAX(IFERROR(--VLOOKUP(D131,УГО_спр,5,FALSE),0),IFERROR(--VLOOKUP(AT131,УГО_спр,5,FALSE),0),IFERROR(--VLOOKUP(LEFT(AT131,2),УГО_спр,5,FALSE),0)),IF(_xlpm.k&gt;0,_xlpm.k,IF(IFERROR(--LEFT(SUBSTITUTE(GR131,"x","х"),FIND("х",SUBSTITUTE(GR131,"x","х"))-1),3)&gt;3,Каталог!$S$9,1))))</f>
        <v>1</v>
      </c>
      <c r="GY131">
        <f t="shared" ref="GY131:GY194" si="262">IF(EX131&lt;&gt;1,0,MAX(0,IFERROR(--LEFT(SUBSTITUTE(GR131,"x","х"),FIND("х",SUBSTITUTE(GR131,"x","х"))-1),3)-3*GX131))</f>
        <v>0</v>
      </c>
    </row>
    <row r="132" spans="1:207" x14ac:dyDescent="0.3">
      <c r="A132" t="s">
        <v>756</v>
      </c>
      <c r="B132">
        <v>14</v>
      </c>
      <c r="C132" t="str">
        <f>IF(BD132="","",IF(BE132="вводной узел","узел ","")&amp;"л."&amp;(INT((BD132-1)/Столбцов_на_лист)+1)&amp;" / "&amp;(MOD(BD132-1,Столбцов_на_лист)+1))</f>
        <v>л.1 / 14</v>
      </c>
      <c r="D132" t="s">
        <v>1430</v>
      </c>
      <c r="E132" s="133" t="s">
        <v>1429</v>
      </c>
      <c r="G132">
        <v>0.46100000000000002</v>
      </c>
      <c r="H132">
        <v>1</v>
      </c>
      <c r="I132">
        <v>1</v>
      </c>
      <c r="J132">
        <v>230</v>
      </c>
      <c r="K132" t="s">
        <v>602</v>
      </c>
      <c r="L132">
        <v>0.5</v>
      </c>
      <c r="O132">
        <v>1</v>
      </c>
      <c r="P132">
        <v>20</v>
      </c>
      <c r="Q132">
        <v>4</v>
      </c>
      <c r="R132">
        <v>18</v>
      </c>
      <c r="T132">
        <v>1</v>
      </c>
      <c r="U132" t="s">
        <v>11</v>
      </c>
      <c r="V132">
        <v>3</v>
      </c>
      <c r="W132">
        <v>1.5</v>
      </c>
      <c r="Z132" t="s">
        <v>580</v>
      </c>
      <c r="AA132" t="s">
        <v>818</v>
      </c>
      <c r="AD132" t="s">
        <v>517</v>
      </c>
      <c r="AR132" t="str">
        <f t="shared" si="176"/>
        <v/>
      </c>
      <c r="AS132" cm="1">
        <f t="array" ref="AS132">ROW()-ROW(Линии[#Headers])</f>
        <v>130</v>
      </c>
      <c r="AT132" t="str">
        <f t="shared" si="177"/>
        <v>K</v>
      </c>
      <c r="AU132" t="str">
        <f t="shared" si="178"/>
        <v>1.001A.2</v>
      </c>
      <c r="AV132" t="str">
        <f t="shared" si="179"/>
        <v>1</v>
      </c>
      <c r="AW132" t="str">
        <f t="shared" si="180"/>
        <v>001A.2</v>
      </c>
      <c r="AX132" t="str">
        <f t="shared" si="181"/>
        <v>001A</v>
      </c>
      <c r="AY132" t="str">
        <f>IF(D132="","",IF(ISERROR(SEARCH(".",D132)),IFERROR(VLOOKUP(D132,Потребители_обозначение,2,FALSE)&amp;"",""),IFERROR(IF(VLOOKUP(AT132,Потребители_обозначение,4,FALSE)=1,VLOOKUP(AT132,Потребители_обозначение,2,FALSE)&amp;" "&amp;VLOOKUP(AV132,Этаж_обозначение,2,FALSE)&amp;" Пом. №"&amp;AX132,VLOOKUP(AT132,Потребители_обозначение,2,FALSE)&amp;" Шлейф №"&amp;AV132),IFERROR(VLOOKUP(D132,Потребители_обозначение,2,FALSE),""))))</f>
        <v>Внутренний блок кондиционирования Первый этаж Пом. №001A</v>
      </c>
      <c r="AZ132" t="str">
        <f t="shared" si="182"/>
        <v>Внутренний блок кондиционирования Технический этаж Пом. №001Т</v>
      </c>
      <c r="BA132" t="str">
        <f>IF(F132&lt;&gt;"",F132,IF(AND(D132&lt;&gt;"",D132&lt;&gt;A132,ISNUMBER(_xlfn.XMATCH(D132,Щиты[Щит]))),D132,""))</f>
        <v/>
      </c>
      <c r="BB132">
        <f>IFERROR(_xlfn.XMATCH(A132,Щиты[Щит]),0)</f>
        <v>7</v>
      </c>
      <c r="BC132">
        <f>IFERROR(N(_xlfn.XLOOKUP(A132,Щиты[Щит],Щиты[Мест под вводной узел])),15)</f>
        <v>12</v>
      </c>
      <c r="BD132">
        <f t="shared" si="183"/>
        <v>14</v>
      </c>
      <c r="BE132" t="str">
        <f t="shared" si="184"/>
        <v>линии</v>
      </c>
      <c r="BF132">
        <f>IF(D132="","",IF(BA132&lt;&gt;"",IFERROR(_xlfn.XLOOKUP(BA132,Щиты[Щит],Щиты[Руст, кВт]),0),N(G132)))</f>
        <v>0.46100000000000002</v>
      </c>
      <c r="BG132">
        <f>IF(J132&lt;&gt;"",J132,IF(D132="","",IFERROR(IF(VLOOKUP(AT132,Потребители_обозначение,8,FALSE)=0,"",VLOOKUP(AT132,Потребители_обозначение,8,FALSE)),"")))</f>
        <v>230</v>
      </c>
      <c r="BH132">
        <f>IF(I132&lt;&gt;"",I132,IF(D132="","",IFERROR(IF(VLOOKUP(AT132,Потребители_обозначение,9,FALSE)=0,"",VLOOKUP(AT132,Потребители_обозначение,9,FALSE)),"")))</f>
        <v>1</v>
      </c>
      <c r="BI132" t="str">
        <f>IF(U132&lt;&gt;"",U132,IF(D132="","",IFERROR(IF(VLOOKUP(AT132,Потребители_обозначение,6,FALSE)=0,"",VLOOKUP(AT132,Потребители_обозначение,6,FALSE)),"")))</f>
        <v>мс</v>
      </c>
      <c r="BJ132">
        <f>IF(V132&lt;&gt;"",V132,IF(D132="","",IFERROR(IF(VLOOKUP(AT132,Потребители_обозначение,7,FALSE)=0,"",VLOOKUP(AT132,Потребители_обозначение,7,FALSE)),"")))</f>
        <v>3</v>
      </c>
      <c r="BK132">
        <f>IF(W132&lt;&gt;"",W132,IF(D132="","",IFERROR(IF(VLOOKUP(AT132,Потребители_обозначение,10,FALSE)=0,"",VLOOKUP(AT132,Потребители_обозначение,10,FALSE)),"")))</f>
        <v>1.5</v>
      </c>
      <c r="BL132">
        <f>IFERROR(VLOOKUP(AT132,Потребители_обозначение,5,FALSE),0)</f>
        <v>1</v>
      </c>
      <c r="BM132" cm="1">
        <f t="array" ref="BM132">IF(D132="","",IF(BA132&lt;&gt;"",IFERROR(_xlfn.XLOOKUP(BA132,Щиты[Щит],Щиты[cos φ]),0.95),IF(ISNUMBER(M132),M132,IFERROR(IF(BL132=2,_xlfn.IFS(BH132=3,VLOOKUP(BF132,Справочная_двигатели,8,FALSE),BH132=1,VLOOKUP(BF132,Справочная_двигатели,10,TRUE)),IF(AND(Методика="нормы 2026",CN132="Сил"),0.8,0.95)),0.95))))</f>
        <v>0.95</v>
      </c>
      <c r="BN132" cm="1">
        <f t="array" ref="BN132">IF(D132="","",IF(BA132&lt;&gt;"",IFERROR(_xlfn.XLOOKUP(BA132,Щиты[Щит],Щиты[Iр, А]),""),IFERROR(_xlfn.IFS(BH132=1,BF132/((Uн_лин/SQRT(3))*BM132),BH132=3,BF132/(SQRT(3)*Uн_лин*BM132)),"")))</f>
        <v>2.1012511112875063</v>
      </c>
      <c r="BO132">
        <f>IF(D132="","",IF(N(X132)=0,IFERROR(VLOOKUP(BN132,Автомат_номиналы,2,TRUE),""),X132))</f>
        <v>6</v>
      </c>
      <c r="BP132">
        <f t="shared" si="185"/>
        <v>1</v>
      </c>
      <c r="BQ132">
        <f>IF(ISNUMBER(Y132),Y132,К_прокл)</f>
        <v>1</v>
      </c>
      <c r="BR132">
        <f t="shared" si="186"/>
        <v>2</v>
      </c>
      <c r="BS132" cm="1">
        <f t="array" ref="BS132">IF(D132="","",IF(N(BK132)&lt;&gt;0,BK132,IFERROR(_xlfn.LET(_xlpm.need,BO132/(BP132*BQ132),_xlpm.t,CHOOSE(BR132,Iдоп_1ж,Iдоп_2ж,Iдоп_3ж),_xlpm.k,_xlfn.XMATCH(_xlpm.need,_xlpm.t,1),IF(ISNA(_xlpm.k),"Не исп",INDEX(Iдоп_S,_xlpm.k))),"Не исп")))</f>
        <v>1.5</v>
      </c>
      <c r="BT132">
        <f>IFERROR(VLOOKUP(BS132,Кабель_сопротивление,3,FALSE),"")</f>
        <v>2.2499999999999999E-2</v>
      </c>
      <c r="BU132">
        <f>IFERROR(VLOOKUP(BS132,Кабель_сопротивление,2,FALSE),"")</f>
        <v>0.11</v>
      </c>
      <c r="BV132">
        <f t="shared" si="187"/>
        <v>20</v>
      </c>
      <c r="BW132">
        <f>IF(D132="","",IFERROR(IF(VLOOKUP(AT132,Потребители_обозначение,4,FALSE)=1,VLOOKUP(AT132,Потребители_обозначение,3,FALSE)*(H132*2-1)+BV132+VLOOKUP(AV132,Этаж_обозначение,3,FALSE)+VLOOKUP(AV132,Этаж_обозначение,4,FALSE),VLOOKUP(AT132,Потребители_обозначение,3,FALSE)*(H132*2-1)+BV132),BV132))</f>
        <v>22</v>
      </c>
      <c r="BX132">
        <f t="shared" si="188"/>
        <v>18</v>
      </c>
      <c r="BY132">
        <f t="shared" si="189"/>
        <v>0</v>
      </c>
      <c r="BZ132">
        <f t="shared" si="190"/>
        <v>2</v>
      </c>
      <c r="CA132">
        <f t="shared" si="191"/>
        <v>0.31</v>
      </c>
      <c r="CB132">
        <f t="shared" si="192"/>
        <v>1.3206371639446421</v>
      </c>
      <c r="CC132">
        <f>IFERROR(ROUNDUP(CB132/((Uн_лин/SQRT(3))*1000)*100,2),"")</f>
        <v>0.57999999999999996</v>
      </c>
      <c r="CD132">
        <f>IF(ISNUMBER(CC132),CC132+IFERROR(_xlfn.XLOOKUP(A132,Щиты[Щит],Щиты[ΔU до шин, %]),0),"")</f>
        <v>1.6</v>
      </c>
      <c r="CE132">
        <f>IF(D132="","",IF(IFERROR(VLOOKUP(AT132,УГО_спр,2,FALSE),"")="Светильник",3,4)+IF(Методика="нормы 2026",MIN(0.5,MAX(0,N(BW132)-100)*0.005),0))</f>
        <v>4</v>
      </c>
      <c r="CF132" t="str">
        <f>IFERROR(VLOOKUP(BI132,Кабель_обозначение,2,FALSE),"")</f>
        <v>ВВГнг(А)-LS</v>
      </c>
      <c r="CG132" t="str">
        <f>IFERROR(IF(VLOOKUP(BI132,Кабель_обозначение,3,FALSE)=1,CF132&amp;" ("&amp;BJ132&amp;"х"&amp;BS132&amp;")",CF132),"")</f>
        <v>ВВГнг(А)-LS (3х1,5)</v>
      </c>
      <c r="CH132" t="str">
        <f t="shared" si="193"/>
        <v>ВВГнг(А)-LS (3х1,5)
L=22-0,58%</v>
      </c>
      <c r="CI132">
        <f>IFERROR(2*ρкз_Cu*BW132/BS132,"")</f>
        <v>0.77146666666666663</v>
      </c>
      <c r="CJ132">
        <f t="shared" si="194"/>
        <v>0.25666666666666665</v>
      </c>
      <c r="CK132" t="str">
        <f>IFERROR(IF(OR(D132="",NOT(ISNUMBER(BS132)),N(BW132)=0),"",_xlfn.XLOOKUP(A132,Щиты[Щит],Щиты[Zпетли на шинах, Ом])+CI132),"")</f>
        <v/>
      </c>
      <c r="CL132" t="str">
        <f>IF(ISNUMBER(CK132),c_min*(Uн_лин*1000/SQRT(3))/CK132,"")</f>
        <v/>
      </c>
      <c r="CM132" t="str">
        <f>IFERROR(IF(OR(D132="",NOT(ISNUMBER(BS132))),"",1.05*(Uн_лин*1000/SQRT(3))/(_xlfn.XLOOKUP(A132,Щиты[Щит],Щиты[Zmax на шинах, Ом])+CJ132)/1000),"")</f>
        <v/>
      </c>
      <c r="CN132" t="str">
        <f>IF(D132="","",IF(BA132&lt;&gt;"","Щит",IF(K132&lt;&gt;"",K132,IF(ISNUMBER(L132),"Сил",IF(IFERROR(_xlfn.XLOOKUP(AT132,Коды_код,Коды_группа)&amp;"","")="","Быт",_xlfn.XLOOKUP(AT132,Коды_код,Коды_группа)&amp;"")))))</f>
        <v>Сил</v>
      </c>
      <c r="CO132">
        <f>IF(CN132="Щит","щит",IF(CN132="","",IF(CN132="Быт",IFERROR(_xlfn.XLOOKUP(A132,Щиты[Щит],Щиты[Кс быт]),1),IF(CN132="Сил",IF(ISNUMBER(L132),L132,IF(Методика="нормы 2026",IFERROR(_xlfn.XLOOKUP(A132,Щиты[Щит],Щиты[Кс силовых (табл. 7.5)]),1),1)),IF(OR(CN132="Пост",CN132="Отоп"),1,IF(CN132="ВНГ",0.7,0))))))</f>
        <v>0.5</v>
      </c>
      <c r="CP132">
        <f t="shared" si="195"/>
        <v>1</v>
      </c>
      <c r="CQ132">
        <f t="shared" si="196"/>
        <v>0.46100000000000002</v>
      </c>
      <c r="CR132">
        <f t="shared" si="197"/>
        <v>0</v>
      </c>
      <c r="CS132">
        <f t="shared" si="198"/>
        <v>0.23050000000000001</v>
      </c>
      <c r="CT132">
        <f t="shared" si="199"/>
        <v>0</v>
      </c>
      <c r="CU132">
        <f t="shared" si="200"/>
        <v>0</v>
      </c>
      <c r="CV132">
        <f t="shared" si="201"/>
        <v>0</v>
      </c>
      <c r="CW132">
        <f t="shared" si="202"/>
        <v>0.46100000000000002</v>
      </c>
      <c r="CX132">
        <f t="shared" si="203"/>
        <v>0.43795000000000001</v>
      </c>
      <c r="CY132">
        <f t="shared" si="204"/>
        <v>2</v>
      </c>
      <c r="CZ132" t="str">
        <f t="shared" si="205"/>
        <v>L2</v>
      </c>
      <c r="DA132" cm="1">
        <f t="array" ref="DA132">IFERROR(IF(BL132=2,_xlfn.IFS(BH132=3,VLOOKUP(BF132,Справочная_двигатели,3,FALSE),BH132=1,VLOOKUP(BF132,Справочная_двигатели,5,TRUE)),0),0)</f>
        <v>0</v>
      </c>
      <c r="DB132">
        <f>IFERROR(IF(BL132=3,VLOOKUP(BF132,Справочная_ЛЭД,2,TRUE),0),0)</f>
        <v>0</v>
      </c>
      <c r="DC132">
        <f t="shared" si="206"/>
        <v>0</v>
      </c>
      <c r="DD132" t="str">
        <f t="shared" si="207"/>
        <v>L1</v>
      </c>
      <c r="DE132" t="str" cm="1">
        <f t="array" ref="DE132">IF(D132="","",IFERROR(INDEX({"I особая","I","II","III"},MATCH(TRIM(AA132&amp;""),{"I особая","I","II","III"},0)),"III"))</f>
        <v>II</v>
      </c>
      <c r="DF132" t="str">
        <f>IF(D132="","",IF(TRIM(AB132&amp;"")&lt;&gt;"",IF(LOWER(TRIM(AB132&amp;""))="да","да","нет"),IF(IFERROR(_xlfn.XLOOKUP(AT132,Коды_код,Коды_пожарная),"")="да","да","нет")))</f>
        <v>нет</v>
      </c>
      <c r="DG132" t="str">
        <f t="shared" si="208"/>
        <v/>
      </c>
      <c r="DH132" t="str">
        <f t="shared" si="209"/>
        <v>основная</v>
      </c>
      <c r="DI132">
        <f t="shared" si="210"/>
        <v>1</v>
      </c>
      <c r="DJ132" t="str" cm="1">
        <f t="array" ref="DJ132">IF(D132="","",_xlfn.LET(_xlpm.t,IFERROR(_xlfn.XLOOKUP(1,(Шины[Шина]=DH132)*(((Шины[Щит]=A132)+(Шины[Щит]=""))&gt;0),Шины[Тип]),"")&amp;"",IF(_xlpm.t&lt;&gt;"",_xlpm.t,IF(ISNUMBER(SEARCH("ИБП",DH132)),"ИБП",IF(ISNUMBER(SEARCH("ДГУ",DH132)),"ДГУ","Ввод "&amp;DI132)))))</f>
        <v>Ввод 1</v>
      </c>
      <c r="DK132" t="str">
        <f t="shared" si="211"/>
        <v>Ввод 1</v>
      </c>
      <c r="DL132" t="str">
        <f>IF(D132="","",IF(OR(DJ132="ИБП",DJ132="ДГУ"),"I особая",IF(DJ132="Одиночная","III",_xlfn.XLOOKUP(A132,Щиты[Щит],Щиты[Категория шины «Ввод»],"III"))))</f>
        <v>II</v>
      </c>
      <c r="DM132">
        <f>IF(D132="",0,IFERROR(MATCH(DE132,{"III","II","I","I особая"},0),1))</f>
        <v>2</v>
      </c>
      <c r="DN132">
        <f t="shared" si="212"/>
        <v>2</v>
      </c>
      <c r="DO132" t="str">
        <f>IF(D132="","",IF(DM132&gt;IFERROR(MATCH(DL132,{"III","II","I","I особая"},0),1),"НЕ ОБЕСПЕЧЕНА","ОК"))</f>
        <v>ОК</v>
      </c>
      <c r="DP132" t="str">
        <f>IF(A132="","",_xlfn.XLOOKUP(A132,Щиты[Щит],Щиты[Путь],""))</f>
        <v>|ГРЩ-ЖД|ЩОВ-2|</v>
      </c>
      <c r="DQ132" t="str">
        <f>IF(D132="","",IF(Z132&lt;&gt;"",Z132,IF(IFERROR(_xlfn.XLOOKUP(AT132,Коды_код,Коды_вид)&amp;"","")="","Прочее",_xlfn.XLOOKUP(AT132,Коды_код,Коды_вид)&amp;"")))</f>
        <v>Кондиционирование и увлажнение</v>
      </c>
      <c r="DR132">
        <f>IF(BD132="","",INT((BD132-1)/Столбцов_на_лист)+1)</f>
        <v>1</v>
      </c>
      <c r="DS132" t="str">
        <f t="shared" si="213"/>
        <v>ВВГнг(А)-LS (3х1,5) L=22-0,58%</v>
      </c>
      <c r="DT132">
        <f t="shared" si="214"/>
        <v>0.46100000000000002</v>
      </c>
      <c r="DU132">
        <f t="shared" si="215"/>
        <v>2.11</v>
      </c>
      <c r="DV132">
        <f t="shared" si="216"/>
        <v>1</v>
      </c>
      <c r="DW132">
        <f>IF(AT132="",0,_xlfn.LET(_xlpm.v,IFERROR(VLOOKUP(D132,УГО_спр,3,FALSE),IFERROR(VLOOKUP(AT132,УГО_спр,3,FALSE),IFERROR(VLOOKUP(LEFT(AT132,2),УГО_спр,3,FALSE),""))),IF(_xlpm.v="да",30,IF(ISNUMBER(_xlpm.v),_xlpm.v,0))))</f>
        <v>0</v>
      </c>
      <c r="DX132">
        <f t="shared" si="217"/>
        <v>0</v>
      </c>
      <c r="DY132">
        <f>IF(BD132="","",IF(AD132&lt;&gt;"",COUNTIFS(A$3:A132,A132,AD$3:AD132,"?*"),IF(OR(OR(AS132=1,A132&lt;&gt;A131),AL132="вручную"),"",IF(AS132=1,"",DZ131))))</f>
        <v>2</v>
      </c>
      <c r="DZ132">
        <f t="shared" si="218"/>
        <v>2</v>
      </c>
      <c r="EA132">
        <f>IF(D132="",0,MAX(IFERROR(--X132,0),IFERROR(--VLOOKUP(D132,УГО_спр,4,FALSE),IFERROR(--VLOOKUP(AT132,УГО_спр,4,FALSE),IFERROR(--VLOOKUP(LEFT(AT132,2),УГО_спр,4,FALSE),0)))))</f>
        <v>0</v>
      </c>
      <c r="EB132">
        <f>IF(D132="","",IFERROR(LOOKUP(INDEX(CHOOSE(BR132,Iдоп_1ж,Iдоп_2ж,Iдоп_3ж),MATCH(BS132,Iдоп_S,0))*BP132*BQ132,{6,10,16,20,25,32,40,50,63,80,100,125,160,200,250,315,400,500,630}),""))</f>
        <v>16</v>
      </c>
      <c r="EC132">
        <f>IF(AD132="","",SUMIFS(Линии[_Ток схемы],Линии[_гр.],DY132,Линии[Щит],A132,Линии[_в кабель выше],0))</f>
        <v>2.11</v>
      </c>
      <c r="ED132">
        <f>IF(AD132="","",IFERROR(VLOOKUP(EC132,Автомат_номиналы,2,TRUE),""))</f>
        <v>6</v>
      </c>
      <c r="EE132">
        <f>IF(AD132="","",MAX(N(ED132),_xlfn.MAXIFS(Линии[_мин. по типу],Линии[_гр.],DY132,Линии[Щит],A132)))</f>
        <v>6</v>
      </c>
      <c r="EF132">
        <f>IF(AD132="","",_xlfn.MINIFS(Линии[_макс. автомат по кабелю],Линии[_гр.],DY132,Линии[Щит],A132))</f>
        <v>16</v>
      </c>
      <c r="EG132">
        <f>IF(AD132="","",MAX(1,_xlfn.MAXIFS(Линии[_фаз],Линии[_гр.],DY132,Линии[Щит],A132)))</f>
        <v>1</v>
      </c>
      <c r="EH132">
        <f>IF(AD132="","",IF(AND(AD132&lt;&gt;"авто",AD132&lt;&gt;"+"),IF(ISNUMBER(SEARCH("мА",AD132)),IFERROR(--TRIM(RIGHT(SUBSTITUTE(LEFT(AD132,SEARCH("мА",AD132)-1)," ",REPT(" ",9)),6)),30),0),IF(AE132="нет",0,IF(ISNUMBER(AE132),AE132,IF(AE132="да",30,_xlfn.MINIFS(Линии[_дифзащита по коду, мА],Линии[_гр.],DY132,Линии[Щит],A132,Линии[_дифзащита по коду, мА],"&gt;0"))))))</f>
        <v>0</v>
      </c>
      <c r="EI132">
        <f t="shared" si="219"/>
        <v>0</v>
      </c>
      <c r="EJ132" t="str">
        <f t="shared" si="220"/>
        <v>QF2</v>
      </c>
      <c r="EK132" t="str">
        <f t="shared" si="221"/>
        <v>QF2</v>
      </c>
      <c r="EL132" t="str">
        <f t="shared" si="222"/>
        <v/>
      </c>
      <c r="EM132">
        <f t="shared" si="223"/>
        <v>0</v>
      </c>
      <c r="EN132">
        <f>IF(AD132="","",IF(EM132=1,MAX(EE132,Мин_автомат_БП),EE132))</f>
        <v>6</v>
      </c>
      <c r="EO132" t="str">
        <f t="shared" si="224"/>
        <v>1P</v>
      </c>
      <c r="EP132" t="str">
        <f t="shared" si="225"/>
        <v>1P С6А</v>
      </c>
      <c r="EQ132">
        <f t="shared" si="226"/>
        <v>6</v>
      </c>
      <c r="ER132" t="str">
        <f>IF(OR(AI132="",AI132="-"),"",IFERROR(VLOOKUP(AI132,Модули_спр,2,FALSE),"R"))</f>
        <v/>
      </c>
      <c r="ES132" t="str">
        <f>IF(ER132="","",ER132&amp;"."&amp;COUNTIFS(A$3:A132,A132,ER$3:ER132,ER132))</f>
        <v/>
      </c>
      <c r="ET132" t="str">
        <f t="shared" si="227"/>
        <v/>
      </c>
      <c r="EU132" t="str">
        <f t="shared" si="228"/>
        <v/>
      </c>
      <c r="EV132" t="str">
        <f t="shared" si="229"/>
        <v/>
      </c>
      <c r="EW132" t="str">
        <f t="shared" si="230"/>
        <v/>
      </c>
      <c r="EX132">
        <f t="shared" si="231"/>
        <v>1</v>
      </c>
      <c r="EY132" t="str">
        <f>IF(AK132="нет","",IF(AK132&lt;&gt;"",AK132,IF(EX132=1,"XT"&amp;COUNTIFS(A$3:A132,A132,EX$3:EX132,1),"")))</f>
        <v>XT2</v>
      </c>
      <c r="EZ132" t="str">
        <f t="shared" si="232"/>
        <v>QF2</v>
      </c>
      <c r="FA132" t="str">
        <f t="shared" si="233"/>
        <v/>
      </c>
      <c r="FB132" t="str">
        <f t="shared" si="234"/>
        <v>ok</v>
      </c>
      <c r="FC132" t="str">
        <f>IF(OR(EV132="",ET132=""),"",IF(EV132&gt;IFERROR(VLOOKUP(EU132,Модули_спр,3,FALSE),99),"ЛИШНИЙ КАНАЛ",IF(AND(AJ132&lt;&gt;"=",COUNTIFS(Линии[_модуль гр.],ET132,Линии[Канал (итог)],EV132,Линии[Канал],"&lt;&gt;=",Линии[Щит],A132)&gt;1),"ДУБЛЬ КАНАЛА","")))</f>
        <v/>
      </c>
      <c r="FD132">
        <f t="shared" si="235"/>
        <v>6</v>
      </c>
      <c r="FE132" t="str">
        <f t="shared" si="236"/>
        <v>1P С6А</v>
      </c>
      <c r="FF132">
        <f t="shared" si="237"/>
        <v>0</v>
      </c>
      <c r="FG132">
        <f t="shared" si="238"/>
        <v>0</v>
      </c>
      <c r="FH132" t="str">
        <f t="shared" si="239"/>
        <v/>
      </c>
      <c r="FI132">
        <f t="shared" si="240"/>
        <v>10</v>
      </c>
      <c r="FJ132" t="str">
        <f t="shared" si="241"/>
        <v/>
      </c>
      <c r="FK132" t="str">
        <f>IF(AND(D132="",EZ132=""),"",_xlfn.TEXTJOIN("; ",TRUE,IF(AND(D132&lt;&gt;"",DD132=""),"нет фазы",""),IF(AND(D132&lt;&gt;"",N(DT132)=0,CN132&lt;&gt;"Нет"),"нет мощности",""),IF(AND(EY132&lt;&gt;"",COUNTIFS(Линии[Щит],A132,Линии[Клемма (итог)],EY132)&gt;1),"дубль клеммы "&amp;EY132,""),IF(AND(FB132&lt;&gt;"",FB132&lt;&gt;"ok"),FB132,""),IF(FC132&lt;&gt;"",FC132,""),IF(AND(ISNUMBER(SEARCH("(5х",DS132)),N(DV132)=1),"5 жил на 1 фазе",""),IF(AND(AT132="R",AD132&lt;&gt;"",OR(N(EH132)=0,N(EH132)&gt;30)),"розетка без дифзащиты до 30 мА",""),IFERROR(IF(AND(ISNUMBER(CD132),CD132&gt;CE132),"потери "&amp;FIXED(CD132,1)&amp;" % &gt; "&amp;CE132&amp;" %",""),""),IFERROR(IF(LEFT(FJ132,4)="мало","Iкз мало — отключение &gt; 0,4 с",""),""),IF(AND(D132&lt;&gt;"",BD132=""),"не на схеме","")))</f>
        <v/>
      </c>
      <c r="FL132" t="str">
        <f>IF(AD132="","",_xlfn.LET(_xlpm.t,IFERROR(_xlfn.XLOOKUP(EP132,Каталог!$U$4:$U$500,Каталог!$G$4:$G$500),""),_xlpm.k,SEARCH("кА",_xlpm.t),IFERROR(--TRIM(RIGHT(SUBSTITUTE(MID(_xlpm.t,MAX(1,_xlpm.k-4),_xlpm.k-MAX(1,_xlpm.k-4))," ",REPT(" ",9)),5)),"")))</f>
        <v/>
      </c>
      <c r="FM132" t="str">
        <f>IF(OR(FL132="",AD132=""),"",IF(_xlfn.XLOOKUP(A132,Щиты[Щит],Щиты[Iкз max на шинах, кА],"")="","",IF(FL132&lt;_xlfn.XLOOKUP(A132,Щиты[Щит],Щиты[Iкз max на шинах, кА]),"Icu "&amp;FL132&amp;" кА &lt; Iкз max","ok")))</f>
        <v/>
      </c>
      <c r="FN132" t="str">
        <f t="shared" si="242"/>
        <v>QF2|XT2</v>
      </c>
      <c r="FO132" t="str">
        <f t="shared" si="243"/>
        <v>QF2|XT2|кабель ВВГнг(А)-LS (3х1,5) → Внутренний блок кондиционирования Технический этаж Пом. №001Т</v>
      </c>
      <c r="FP132" t="str" cm="1">
        <f t="array" ref="FP132">IF(FO132="","",_xlfn.LET(_xlpm.nd,_xlfn.TEXTSPLIT(FO132,"|"),IF(COLUMNS(_xlpm.nd)&gt;1,A132&amp;"¦"&amp;INDEX(_xlpm.nd,1)&amp;"¦"&amp;INDEX(_xlpm.nd,2),"")))</f>
        <v>ЩОВ-2¦QF2¦XT2</v>
      </c>
      <c r="FQ132" t="str">
        <f t="shared" si="244"/>
        <v>K.1.001A.2¦Внутренний блок кондиционирования Технический этаж Пом. №001Т</v>
      </c>
      <c r="FR132" t="str" cm="1">
        <f t="array" ref="FR132">IF(FO132="","",_xlfn.LET(_xlpm.nd,_xlfn.TEXTSPLIT(FO132,"|"),IF(COLUMNS(_xlpm.nd)&gt;2,A132&amp;"¦"&amp;INDEX(_xlpm.nd,2)&amp;"¦"&amp;INDEX(_xlpm.nd,3),"")))</f>
        <v>ЩОВ-2¦XT2¦кабель ВВГнг(А)-LS (3х1,5) → Внутренний блок кондиционирования Технический этаж Пом. №001Т</v>
      </c>
      <c r="FS132" t="str">
        <f t="shared" si="245"/>
        <v>K.1.001A.2¦Внутренний блок кондиционирования Технический этаж Пом. №001Т</v>
      </c>
      <c r="FT132" t="str" cm="1">
        <f t="array" ref="FT132">IF(FO132="","",_xlfn.LET(_xlpm.nd,_xlfn.TEXTSPLIT(FO132,"|"),IF(COLUMNS(_xlpm.nd)&gt;3,A132&amp;"¦"&amp;INDEX(_xlpm.nd,3)&amp;"¦"&amp;INDEX(_xlpm.nd,4),"")))</f>
        <v/>
      </c>
      <c r="FU132" t="str">
        <f t="shared" si="246"/>
        <v/>
      </c>
      <c r="FV132" t="str" cm="1">
        <f t="array" ref="FV132">IF(FO132="","",_xlfn.LET(_xlpm.nd,_xlfn.TEXTSPLIT(FO132,"|"),IF(COLUMNS(_xlpm.nd)&gt;4,A132&amp;"¦"&amp;INDEX(_xlpm.nd,4)&amp;"¦"&amp;INDEX(_xlpm.nd,5),"")))</f>
        <v/>
      </c>
      <c r="FW132" t="str">
        <f t="shared" si="247"/>
        <v/>
      </c>
      <c r="FX132" t="str" cm="1">
        <f t="array" ref="FX132">IF(FO132="","",_xlfn.LET(_xlpm.nd,_xlfn.TEXTSPLIT(FO132,"|"),IF(COLUMNS(_xlpm.nd)&gt;5,A132&amp;"¦"&amp;INDEX(_xlpm.nd,5)&amp;"¦"&amp;INDEX(_xlpm.nd,6),"")))</f>
        <v/>
      </c>
      <c r="FY132" t="str">
        <f t="shared" si="248"/>
        <v/>
      </c>
      <c r="FZ132" t="str" cm="1">
        <f t="array" ref="FZ132">IF(FO132="","",_xlfn.LET(_xlpm.nd,_xlfn.TEXTSPLIT(FO132,"|"),IF(COLUMNS(_xlpm.nd)&gt;6,A132&amp;"¦"&amp;INDEX(_xlpm.nd,6)&amp;"¦"&amp;INDEX(_xlpm.nd,7),"")))</f>
        <v/>
      </c>
      <c r="GA132" t="str">
        <f t="shared" si="249"/>
        <v/>
      </c>
      <c r="GB132" t="str">
        <f t="shared" si="250"/>
        <v/>
      </c>
      <c r="GC132" t="str">
        <f t="shared" si="251"/>
        <v>QF2 → XT2</v>
      </c>
      <c r="GD132">
        <f t="shared" si="252"/>
        <v>1</v>
      </c>
      <c r="GE132">
        <f t="shared" si="253"/>
        <v>0</v>
      </c>
      <c r="GF132">
        <f t="shared" si="254"/>
        <v>0</v>
      </c>
      <c r="GG132" t="str">
        <f t="shared" si="255"/>
        <v/>
      </c>
      <c r="GH132" t="str">
        <f t="shared" si="256"/>
        <v/>
      </c>
      <c r="GI132" t="str">
        <f t="shared" si="257"/>
        <v/>
      </c>
      <c r="GJ132" t="str">
        <f t="shared" si="258"/>
        <v/>
      </c>
      <c r="GK132">
        <f>IF(D132="","",IFERROR(VLOOKUP(D132,УГО_спр,2,FALSE),IFERROR(VLOOKUP(AT132,УГО_спр,2,FALSE),IFERROR(VLOOKUP(LEFT(AT132,2),УГО_спр,2,FALSE),""))))</f>
        <v>0</v>
      </c>
      <c r="GL132" t="str">
        <f>IF(D132="","",IF(OR(GK132="",GK132=0),"BOX",IFERROR(IF(VLOOKUP(GK132,УГО_блоки,3,FALSE)&amp;""&lt;&gt;"",VLOOKUP(GK132,УГО_блоки,3,FALSE),VLOOKUP(GK132,УГО_блоки,2,FALSE)),GK132)))</f>
        <v>BOX</v>
      </c>
      <c r="GM132">
        <f t="shared" si="259"/>
        <v>1</v>
      </c>
      <c r="GN132" t="str">
        <f>IF(EP132="","",IF(COUNTIF(EP$3:EP132,EP132)=1,MAX(GN$2:GN131)+1,""))</f>
        <v/>
      </c>
      <c r="GO132" t="str">
        <f>IF(AF132="","",IF(COUNTIF(AF$3:AF132,AF132)+COUNTIF(AG$2:AG131,AF132)+COUNTIF(AH$2:AH131,AF132)=1,MAX(GO$2:GQ131)+1,""))</f>
        <v/>
      </c>
      <c r="GP132" t="str">
        <f>IF(AG132="","",IF(COUNTIF(AF$3:AF132,AG132)+COUNTIF(AG$3:AG132,AG132)+COUNTIF(AH$2:AH131,AG132)=1,MAX(GO$2:GQ131,GO132)+1,""))</f>
        <v/>
      </c>
      <c r="GQ132" t="str">
        <f>IF(AH132="","",IF(COUNTIF(AF$3:AF132,AH132)+COUNTIF(AG$3:AG132,AH132)+COUNTIF(AH$3:AH132,AH132)=1,MAX(GO$2:GQ131,GO132,GP132)+1,""))</f>
        <v/>
      </c>
      <c r="GR132" t="str">
        <f t="shared" si="260"/>
        <v>3х1,5</v>
      </c>
      <c r="GS132" t="str">
        <f>IF(GR132="","",IF(COUNTIF(GR$3:GR132,GR132)=1,MAX(GS$2:GS131)+1,""))</f>
        <v/>
      </c>
      <c r="GT132" t="str">
        <f>IF(ES132="","",COUNTIF(ES$3:ES132,"?*"))</f>
        <v/>
      </c>
      <c r="GU132" t="str">
        <f>IF(OR(ES132="",EU132=""),"",IF(COUNTIFS(ES$3:ES132,"?*",EU$3:EU132,EU132)=1,MAX(GU$2:GU131)+1,""))</f>
        <v/>
      </c>
      <c r="GV132">
        <f t="shared" si="261"/>
        <v>0</v>
      </c>
      <c r="GW132">
        <f>IF(D132="","",COUNTIF(D$3:D132,"?*"))</f>
        <v>130</v>
      </c>
      <c r="GX132">
        <f>IF(EX132&lt;&gt;1,0,_xlfn.LET(_xlpm.k,MAX(IFERROR(--VLOOKUP(D132,УГО_спр,5,FALSE),0),IFERROR(--VLOOKUP(AT132,УГО_спр,5,FALSE),0),IFERROR(--VLOOKUP(LEFT(AT132,2),УГО_спр,5,FALSE),0)),IF(_xlpm.k&gt;0,_xlpm.k,IF(IFERROR(--LEFT(SUBSTITUTE(GR132,"x","х"),FIND("х",SUBSTITUTE(GR132,"x","х"))-1),3)&gt;3,Каталог!$S$9,1))))</f>
        <v>1</v>
      </c>
      <c r="GY132">
        <f t="shared" si="262"/>
        <v>0</v>
      </c>
    </row>
    <row r="133" spans="1:207" x14ac:dyDescent="0.3">
      <c r="A133" t="s">
        <v>756</v>
      </c>
      <c r="B133">
        <v>15</v>
      </c>
      <c r="C133" t="str">
        <f>IF(BD133="","",IF(BE133="вводной узел","узел ","")&amp;"л."&amp;(INT((BD133-1)/Столбцов_на_лист)+1)&amp;" / "&amp;(MOD(BD133-1,Столбцов_на_лист)+1))</f>
        <v>л.1 / 15</v>
      </c>
      <c r="D133" t="s">
        <v>1431</v>
      </c>
      <c r="E133" s="133" t="s">
        <v>1432</v>
      </c>
      <c r="G133">
        <v>0.376</v>
      </c>
      <c r="H133">
        <v>1</v>
      </c>
      <c r="I133">
        <v>1</v>
      </c>
      <c r="J133">
        <v>230</v>
      </c>
      <c r="K133" t="s">
        <v>602</v>
      </c>
      <c r="L133">
        <v>0.5</v>
      </c>
      <c r="O133">
        <v>2</v>
      </c>
      <c r="P133">
        <v>24</v>
      </c>
      <c r="Q133">
        <v>12</v>
      </c>
      <c r="R133">
        <v>14</v>
      </c>
      <c r="T133">
        <v>1</v>
      </c>
      <c r="U133" t="s">
        <v>11</v>
      </c>
      <c r="V133">
        <v>3</v>
      </c>
      <c r="W133">
        <v>1.5</v>
      </c>
      <c r="Z133" t="s">
        <v>580</v>
      </c>
      <c r="AA133" t="s">
        <v>818</v>
      </c>
      <c r="AD133" t="s">
        <v>517</v>
      </c>
      <c r="AR133" t="str">
        <f t="shared" si="176"/>
        <v/>
      </c>
      <c r="AS133" cm="1">
        <f t="array" ref="AS133">ROW()-ROW(Линии[#Headers])</f>
        <v>131</v>
      </c>
      <c r="AT133" t="str">
        <f t="shared" si="177"/>
        <v>K</v>
      </c>
      <c r="AU133" t="str">
        <f t="shared" si="178"/>
        <v>1.003A</v>
      </c>
      <c r="AV133" t="str">
        <f t="shared" si="179"/>
        <v>1</v>
      </c>
      <c r="AW133" t="str">
        <f t="shared" si="180"/>
        <v>003A</v>
      </c>
      <c r="AX133" t="str">
        <f t="shared" si="181"/>
        <v>003A</v>
      </c>
      <c r="AY133" t="str">
        <f>IF(D133="","",IF(ISERROR(SEARCH(".",D133)),IFERROR(VLOOKUP(D133,Потребители_обозначение,2,FALSE)&amp;"",""),IFERROR(IF(VLOOKUP(AT133,Потребители_обозначение,4,FALSE)=1,VLOOKUP(AT133,Потребители_обозначение,2,FALSE)&amp;" "&amp;VLOOKUP(AV133,Этаж_обозначение,2,FALSE)&amp;" Пом. №"&amp;AX133,VLOOKUP(AT133,Потребители_обозначение,2,FALSE)&amp;" Шлейф №"&amp;AV133),IFERROR(VLOOKUP(D133,Потребители_обозначение,2,FALSE),""))))</f>
        <v>Внутренний блок кондиционирования Первый этаж Пом. №003A</v>
      </c>
      <c r="AZ133" t="str">
        <f t="shared" si="182"/>
        <v>Внутренний блок кондиционирования Технический этаж Пом. №002Т</v>
      </c>
      <c r="BA133" t="str">
        <f>IF(F133&lt;&gt;"",F133,IF(AND(D133&lt;&gt;"",D133&lt;&gt;A133,ISNUMBER(_xlfn.XMATCH(D133,Щиты[Щит]))),D133,""))</f>
        <v/>
      </c>
      <c r="BB133">
        <f>IFERROR(_xlfn.XMATCH(A133,Щиты[Щит]),0)</f>
        <v>7</v>
      </c>
      <c r="BC133">
        <f>IFERROR(N(_xlfn.XLOOKUP(A133,Щиты[Щит],Щиты[Мест под вводной узел])),15)</f>
        <v>12</v>
      </c>
      <c r="BD133">
        <f t="shared" si="183"/>
        <v>15</v>
      </c>
      <c r="BE133" t="str">
        <f t="shared" si="184"/>
        <v>линии</v>
      </c>
      <c r="BF133">
        <f>IF(D133="","",IF(BA133&lt;&gt;"",IFERROR(_xlfn.XLOOKUP(BA133,Щиты[Щит],Щиты[Руст, кВт]),0),N(G133)))</f>
        <v>0.376</v>
      </c>
      <c r="BG133">
        <f>IF(J133&lt;&gt;"",J133,IF(D133="","",IFERROR(IF(VLOOKUP(AT133,Потребители_обозначение,8,FALSE)=0,"",VLOOKUP(AT133,Потребители_обозначение,8,FALSE)),"")))</f>
        <v>230</v>
      </c>
      <c r="BH133">
        <f>IF(I133&lt;&gt;"",I133,IF(D133="","",IFERROR(IF(VLOOKUP(AT133,Потребители_обозначение,9,FALSE)=0,"",VLOOKUP(AT133,Потребители_обозначение,9,FALSE)),"")))</f>
        <v>1</v>
      </c>
      <c r="BI133" t="str">
        <f>IF(U133&lt;&gt;"",U133,IF(D133="","",IFERROR(IF(VLOOKUP(AT133,Потребители_обозначение,6,FALSE)=0,"",VLOOKUP(AT133,Потребители_обозначение,6,FALSE)),"")))</f>
        <v>мс</v>
      </c>
      <c r="BJ133">
        <f>IF(V133&lt;&gt;"",V133,IF(D133="","",IFERROR(IF(VLOOKUP(AT133,Потребители_обозначение,7,FALSE)=0,"",VLOOKUP(AT133,Потребители_обозначение,7,FALSE)),"")))</f>
        <v>3</v>
      </c>
      <c r="BK133">
        <f>IF(W133&lt;&gt;"",W133,IF(D133="","",IFERROR(IF(VLOOKUP(AT133,Потребители_обозначение,10,FALSE)=0,"",VLOOKUP(AT133,Потребители_обозначение,10,FALSE)),"")))</f>
        <v>1.5</v>
      </c>
      <c r="BL133">
        <f>IFERROR(VLOOKUP(AT133,Потребители_обозначение,5,FALSE),0)</f>
        <v>1</v>
      </c>
      <c r="BM133" cm="1">
        <f t="array" ref="BM133">IF(D133="","",IF(BA133&lt;&gt;"",IFERROR(_xlfn.XLOOKUP(BA133,Щиты[Щит],Щиты[cos φ]),0.95),IF(ISNUMBER(M133),M133,IFERROR(IF(BL133=2,_xlfn.IFS(BH133=3,VLOOKUP(BF133,Справочная_двигатели,8,FALSE),BH133=1,VLOOKUP(BF133,Справочная_двигатели,10,TRUE)),IF(AND(Методика="нормы 2026",CN133="Сил"),0.8,0.95)),0.95))))</f>
        <v>0.95</v>
      </c>
      <c r="BN133" cm="1">
        <f t="array" ref="BN133">IF(D133="","",IF(BA133&lt;&gt;"",IFERROR(_xlfn.XLOOKUP(BA133,Щиты[Щит],Щиты[Iр, А]),""),IFERROR(_xlfn.IFS(BH133=1,BF133/((Uн_лин/SQRT(3))*BM133),BH133=3,BF133/(SQRT(3)*Uн_лин*BM133)),"")))</f>
        <v>1.7138186938049942</v>
      </c>
      <c r="BO133">
        <f>IF(D133="","",IF(N(X133)=0,IFERROR(VLOOKUP(BN133,Автомат_номиналы,2,TRUE),""),X133))</f>
        <v>6</v>
      </c>
      <c r="BP133">
        <f t="shared" si="185"/>
        <v>1</v>
      </c>
      <c r="BQ133">
        <f>IF(ISNUMBER(Y133),Y133,К_прокл)</f>
        <v>1</v>
      </c>
      <c r="BR133">
        <f t="shared" si="186"/>
        <v>2</v>
      </c>
      <c r="BS133" cm="1">
        <f t="array" ref="BS133">IF(D133="","",IF(N(BK133)&lt;&gt;0,BK133,IFERROR(_xlfn.LET(_xlpm.need,BO133/(BP133*BQ133),_xlpm.t,CHOOSE(BR133,Iдоп_1ж,Iдоп_2ж,Iдоп_3ж),_xlpm.k,_xlfn.XMATCH(_xlpm.need,_xlpm.t,1),IF(ISNA(_xlpm.k),"Не исп",INDEX(Iдоп_S,_xlpm.k))),"Не исп")))</f>
        <v>1.5</v>
      </c>
      <c r="BT133">
        <f>IFERROR(VLOOKUP(BS133,Кабель_сопротивление,3,FALSE),"")</f>
        <v>2.2499999999999999E-2</v>
      </c>
      <c r="BU133">
        <f>IFERROR(VLOOKUP(BS133,Кабель_сопротивление,2,FALSE),"")</f>
        <v>0.11</v>
      </c>
      <c r="BV133">
        <f t="shared" si="187"/>
        <v>24</v>
      </c>
      <c r="BW133">
        <f>IF(D133="","",IFERROR(IF(VLOOKUP(AT133,Потребители_обозначение,4,FALSE)=1,VLOOKUP(AT133,Потребители_обозначение,3,FALSE)*(H133*2-1)+BV133+VLOOKUP(AV133,Этаж_обозначение,3,FALSE)+VLOOKUP(AV133,Этаж_обозначение,4,FALSE),VLOOKUP(AT133,Потребители_обозначение,3,FALSE)*(H133*2-1)+BV133),BV133))</f>
        <v>26</v>
      </c>
      <c r="BX133">
        <f t="shared" si="188"/>
        <v>14</v>
      </c>
      <c r="BY133">
        <f t="shared" si="189"/>
        <v>0</v>
      </c>
      <c r="BZ133">
        <f t="shared" si="190"/>
        <v>2</v>
      </c>
      <c r="CA133">
        <f t="shared" si="191"/>
        <v>0.31</v>
      </c>
      <c r="CB133">
        <f t="shared" si="192"/>
        <v>1.2729785954173556</v>
      </c>
      <c r="CC133">
        <f>IFERROR(ROUNDUP(CB133/((Uн_лин/SQRT(3))*1000)*100,2),"")</f>
        <v>0.56000000000000005</v>
      </c>
      <c r="CD133">
        <f>IF(ISNUMBER(CC133),CC133+IFERROR(_xlfn.XLOOKUP(A133,Щиты[Щит],Щиты[ΔU до шин, %]),0),"")</f>
        <v>1.58</v>
      </c>
      <c r="CE133">
        <f>IF(D133="","",IF(IFERROR(VLOOKUP(AT133,УГО_спр,2,FALSE),"")="Светильник",3,4)+IF(Методика="нормы 2026",MIN(0.5,MAX(0,N(BW133)-100)*0.005),0))</f>
        <v>4</v>
      </c>
      <c r="CF133" t="str">
        <f>IFERROR(VLOOKUP(BI133,Кабель_обозначение,2,FALSE),"")</f>
        <v>ВВГнг(А)-LS</v>
      </c>
      <c r="CG133" t="str">
        <f>IFERROR(IF(VLOOKUP(BI133,Кабель_обозначение,3,FALSE)=1,CF133&amp;" ("&amp;BJ133&amp;"х"&amp;BS133&amp;")",CF133),"")</f>
        <v>ВВГнг(А)-LS (3х1,5)</v>
      </c>
      <c r="CH133" t="str">
        <f t="shared" si="193"/>
        <v>ВВГнг(А)-LS (3х1,5)
L=26-0,56%</v>
      </c>
      <c r="CI133">
        <f>IFERROR(2*ρкз_Cu*BW133/BS133,"")</f>
        <v>0.91173333333333328</v>
      </c>
      <c r="CJ133">
        <f t="shared" si="194"/>
        <v>0.3033333333333334</v>
      </c>
      <c r="CK133" t="str">
        <f>IFERROR(IF(OR(D133="",NOT(ISNUMBER(BS133)),N(BW133)=0),"",_xlfn.XLOOKUP(A133,Щиты[Щит],Щиты[Zпетли на шинах, Ом])+CI133),"")</f>
        <v/>
      </c>
      <c r="CL133" t="str">
        <f>IF(ISNUMBER(CK133),c_min*(Uн_лин*1000/SQRT(3))/CK133,"")</f>
        <v/>
      </c>
      <c r="CM133" t="str">
        <f>IFERROR(IF(OR(D133="",NOT(ISNUMBER(BS133))),"",1.05*(Uн_лин*1000/SQRT(3))/(_xlfn.XLOOKUP(A133,Щиты[Щит],Щиты[Zmax на шинах, Ом])+CJ133)/1000),"")</f>
        <v/>
      </c>
      <c r="CN133" t="str">
        <f>IF(D133="","",IF(BA133&lt;&gt;"","Щит",IF(K133&lt;&gt;"",K133,IF(ISNUMBER(L133),"Сил",IF(IFERROR(_xlfn.XLOOKUP(AT133,Коды_код,Коды_группа)&amp;"","")="","Быт",_xlfn.XLOOKUP(AT133,Коды_код,Коды_группа)&amp;"")))))</f>
        <v>Сил</v>
      </c>
      <c r="CO133">
        <f>IF(CN133="Щит","щит",IF(CN133="","",IF(CN133="Быт",IFERROR(_xlfn.XLOOKUP(A133,Щиты[Щит],Щиты[Кс быт]),1),IF(CN133="Сил",IF(ISNUMBER(L133),L133,IF(Методика="нормы 2026",IFERROR(_xlfn.XLOOKUP(A133,Щиты[Щит],Щиты[Кс силовых (табл. 7.5)]),1),1)),IF(OR(CN133="Пост",CN133="Отоп"),1,IF(CN133="ВНГ",0.7,0))))))</f>
        <v>0.5</v>
      </c>
      <c r="CP133">
        <f t="shared" si="195"/>
        <v>1</v>
      </c>
      <c r="CQ133">
        <f t="shared" si="196"/>
        <v>0.376</v>
      </c>
      <c r="CR133">
        <f t="shared" si="197"/>
        <v>0</v>
      </c>
      <c r="CS133">
        <f t="shared" si="198"/>
        <v>0.188</v>
      </c>
      <c r="CT133">
        <f t="shared" si="199"/>
        <v>0</v>
      </c>
      <c r="CU133">
        <f t="shared" si="200"/>
        <v>0</v>
      </c>
      <c r="CV133">
        <f t="shared" si="201"/>
        <v>0</v>
      </c>
      <c r="CW133">
        <f t="shared" si="202"/>
        <v>0.376</v>
      </c>
      <c r="CX133">
        <f t="shared" si="203"/>
        <v>0.35719999999999996</v>
      </c>
      <c r="CY133">
        <f t="shared" si="204"/>
        <v>3</v>
      </c>
      <c r="CZ133" t="str">
        <f t="shared" si="205"/>
        <v>L3</v>
      </c>
      <c r="DA133" cm="1">
        <f t="array" ref="DA133">IFERROR(IF(BL133=2,_xlfn.IFS(BH133=3,VLOOKUP(BF133,Справочная_двигатели,3,FALSE),BH133=1,VLOOKUP(BF133,Справочная_двигатели,5,TRUE)),0),0)</f>
        <v>0</v>
      </c>
      <c r="DB133">
        <f>IFERROR(IF(BL133=3,VLOOKUP(BF133,Справочная_ЛЭД,2,TRUE),0),0)</f>
        <v>0</v>
      </c>
      <c r="DC133">
        <f t="shared" si="206"/>
        <v>0</v>
      </c>
      <c r="DD133" t="str">
        <f t="shared" si="207"/>
        <v>L2</v>
      </c>
      <c r="DE133" t="str" cm="1">
        <f t="array" ref="DE133">IF(D133="","",IFERROR(INDEX({"I особая","I","II","III"},MATCH(TRIM(AA133&amp;""),{"I особая","I","II","III"},0)),"III"))</f>
        <v>II</v>
      </c>
      <c r="DF133" t="str">
        <f>IF(D133="","",IF(TRIM(AB133&amp;"")&lt;&gt;"",IF(LOWER(TRIM(AB133&amp;""))="да","да","нет"),IF(IFERROR(_xlfn.XLOOKUP(AT133,Коды_код,Коды_пожарная),"")="да","да","нет")))</f>
        <v>нет</v>
      </c>
      <c r="DG133" t="str">
        <f t="shared" si="208"/>
        <v/>
      </c>
      <c r="DH133" t="str">
        <f t="shared" si="209"/>
        <v>основная</v>
      </c>
      <c r="DI133">
        <f t="shared" si="210"/>
        <v>1</v>
      </c>
      <c r="DJ133" t="str" cm="1">
        <f t="array" ref="DJ133">IF(D133="","",_xlfn.LET(_xlpm.t,IFERROR(_xlfn.XLOOKUP(1,(Шины[Шина]=DH133)*(((Шины[Щит]=A133)+(Шины[Щит]=""))&gt;0),Шины[Тип]),"")&amp;"",IF(_xlpm.t&lt;&gt;"",_xlpm.t,IF(ISNUMBER(SEARCH("ИБП",DH133)),"ИБП",IF(ISNUMBER(SEARCH("ДГУ",DH133)),"ДГУ","Ввод "&amp;DI133)))))</f>
        <v>Ввод 1</v>
      </c>
      <c r="DK133" t="str">
        <f t="shared" si="211"/>
        <v>Ввод 1</v>
      </c>
      <c r="DL133" t="str">
        <f>IF(D133="","",IF(OR(DJ133="ИБП",DJ133="ДГУ"),"I особая",IF(DJ133="Одиночная","III",_xlfn.XLOOKUP(A133,Щиты[Щит],Щиты[Категория шины «Ввод»],"III"))))</f>
        <v>II</v>
      </c>
      <c r="DM133">
        <f>IF(D133="",0,IFERROR(MATCH(DE133,{"III","II","I","I особая"},0),1))</f>
        <v>2</v>
      </c>
      <c r="DN133">
        <f t="shared" si="212"/>
        <v>2</v>
      </c>
      <c r="DO133" t="str">
        <f>IF(D133="","",IF(DM133&gt;IFERROR(MATCH(DL133,{"III","II","I","I особая"},0),1),"НЕ ОБЕСПЕЧЕНА","ОК"))</f>
        <v>ОК</v>
      </c>
      <c r="DP133" t="str">
        <f>IF(A133="","",_xlfn.XLOOKUP(A133,Щиты[Щит],Щиты[Путь],""))</f>
        <v>|ГРЩ-ЖД|ЩОВ-2|</v>
      </c>
      <c r="DQ133" t="str">
        <f>IF(D133="","",IF(Z133&lt;&gt;"",Z133,IF(IFERROR(_xlfn.XLOOKUP(AT133,Коды_код,Коды_вид)&amp;"","")="","Прочее",_xlfn.XLOOKUP(AT133,Коды_код,Коды_вид)&amp;"")))</f>
        <v>Кондиционирование и увлажнение</v>
      </c>
      <c r="DR133">
        <f>IF(BD133="","",INT((BD133-1)/Столбцов_на_лист)+1)</f>
        <v>1</v>
      </c>
      <c r="DS133" t="str">
        <f t="shared" si="213"/>
        <v>ВВГнг(А)-LS (3х1,5) L=26-0,56%</v>
      </c>
      <c r="DT133">
        <f t="shared" si="214"/>
        <v>0.376</v>
      </c>
      <c r="DU133">
        <f t="shared" si="215"/>
        <v>1.72</v>
      </c>
      <c r="DV133">
        <f t="shared" si="216"/>
        <v>1</v>
      </c>
      <c r="DW133">
        <f>IF(AT133="",0,_xlfn.LET(_xlpm.v,IFERROR(VLOOKUP(D133,УГО_спр,3,FALSE),IFERROR(VLOOKUP(AT133,УГО_спр,3,FALSE),IFERROR(VLOOKUP(LEFT(AT133,2),УГО_спр,3,FALSE),""))),IF(_xlpm.v="да",30,IF(ISNUMBER(_xlpm.v),_xlpm.v,0))))</f>
        <v>0</v>
      </c>
      <c r="DX133">
        <f t="shared" si="217"/>
        <v>0</v>
      </c>
      <c r="DY133">
        <f>IF(BD133="","",IF(AD133&lt;&gt;"",COUNTIFS(A$3:A133,A133,AD$3:AD133,"?*"),IF(OR(OR(AS133=1,A133&lt;&gt;A132),AL133="вручную"),"",IF(AS133=1,"",DZ132))))</f>
        <v>3</v>
      </c>
      <c r="DZ133">
        <f t="shared" si="218"/>
        <v>3</v>
      </c>
      <c r="EA133">
        <f>IF(D133="",0,MAX(IFERROR(--X133,0),IFERROR(--VLOOKUP(D133,УГО_спр,4,FALSE),IFERROR(--VLOOKUP(AT133,УГО_спр,4,FALSE),IFERROR(--VLOOKUP(LEFT(AT133,2),УГО_спр,4,FALSE),0)))))</f>
        <v>0</v>
      </c>
      <c r="EB133">
        <f>IF(D133="","",IFERROR(LOOKUP(INDEX(CHOOSE(BR133,Iдоп_1ж,Iдоп_2ж,Iдоп_3ж),MATCH(BS133,Iдоп_S,0))*BP133*BQ133,{6,10,16,20,25,32,40,50,63,80,100,125,160,200,250,315,400,500,630}),""))</f>
        <v>16</v>
      </c>
      <c r="EC133">
        <f>IF(AD133="","",SUMIFS(Линии[_Ток схемы],Линии[_гр.],DY133,Линии[Щит],A133,Линии[_в кабель выше],0))</f>
        <v>1.72</v>
      </c>
      <c r="ED133">
        <f>IF(AD133="","",IFERROR(VLOOKUP(EC133,Автомат_номиналы,2,TRUE),""))</f>
        <v>6</v>
      </c>
      <c r="EE133">
        <f>IF(AD133="","",MAX(N(ED133),_xlfn.MAXIFS(Линии[_мин. по типу],Линии[_гр.],DY133,Линии[Щит],A133)))</f>
        <v>6</v>
      </c>
      <c r="EF133">
        <f>IF(AD133="","",_xlfn.MINIFS(Линии[_макс. автомат по кабелю],Линии[_гр.],DY133,Линии[Щит],A133))</f>
        <v>16</v>
      </c>
      <c r="EG133">
        <f>IF(AD133="","",MAX(1,_xlfn.MAXIFS(Линии[_фаз],Линии[_гр.],DY133,Линии[Щит],A133)))</f>
        <v>1</v>
      </c>
      <c r="EH133">
        <f>IF(AD133="","",IF(AND(AD133&lt;&gt;"авто",AD133&lt;&gt;"+"),IF(ISNUMBER(SEARCH("мА",AD133)),IFERROR(--TRIM(RIGHT(SUBSTITUTE(LEFT(AD133,SEARCH("мА",AD133)-1)," ",REPT(" ",9)),6)),30),0),IF(AE133="нет",0,IF(ISNUMBER(AE133),AE133,IF(AE133="да",30,_xlfn.MINIFS(Линии[_дифзащита по коду, мА],Линии[_гр.],DY133,Линии[Щит],A133,Линии[_дифзащита по коду, мА],"&gt;0"))))))</f>
        <v>0</v>
      </c>
      <c r="EI133">
        <f t="shared" si="219"/>
        <v>0</v>
      </c>
      <c r="EJ133" t="str">
        <f t="shared" si="220"/>
        <v>QF3</v>
      </c>
      <c r="EK133" t="str">
        <f t="shared" si="221"/>
        <v>QF3</v>
      </c>
      <c r="EL133" t="str">
        <f t="shared" si="222"/>
        <v/>
      </c>
      <c r="EM133">
        <f t="shared" si="223"/>
        <v>0</v>
      </c>
      <c r="EN133">
        <f>IF(AD133="","",IF(EM133=1,MAX(EE133,Мин_автомат_БП),EE133))</f>
        <v>6</v>
      </c>
      <c r="EO133" t="str">
        <f t="shared" si="224"/>
        <v>1P</v>
      </c>
      <c r="EP133" t="str">
        <f t="shared" si="225"/>
        <v>1P С6А</v>
      </c>
      <c r="EQ133">
        <f t="shared" si="226"/>
        <v>6</v>
      </c>
      <c r="ER133" t="str">
        <f>IF(OR(AI133="",AI133="-"),"",IFERROR(VLOOKUP(AI133,Модули_спр,2,FALSE),"R"))</f>
        <v/>
      </c>
      <c r="ES133" t="str">
        <f>IF(ER133="","",ER133&amp;"."&amp;COUNTIFS(A$3:A133,A133,ER$3:ER133,ER133))</f>
        <v/>
      </c>
      <c r="ET133" t="str">
        <f t="shared" si="227"/>
        <v/>
      </c>
      <c r="EU133" t="str">
        <f t="shared" si="228"/>
        <v/>
      </c>
      <c r="EV133" t="str">
        <f t="shared" si="229"/>
        <v/>
      </c>
      <c r="EW133" t="str">
        <f t="shared" si="230"/>
        <v/>
      </c>
      <c r="EX133">
        <f t="shared" si="231"/>
        <v>1</v>
      </c>
      <c r="EY133" t="str">
        <f>IF(AK133="нет","",IF(AK133&lt;&gt;"",AK133,IF(EX133=1,"XT"&amp;COUNTIFS(A$3:A133,A133,EX$3:EX133,1),"")))</f>
        <v>XT3</v>
      </c>
      <c r="EZ133" t="str">
        <f t="shared" si="232"/>
        <v>QF3</v>
      </c>
      <c r="FA133" t="str">
        <f t="shared" si="233"/>
        <v/>
      </c>
      <c r="FB133" t="str">
        <f t="shared" si="234"/>
        <v>ok</v>
      </c>
      <c r="FC133" t="str">
        <f>IF(OR(EV133="",ET133=""),"",IF(EV133&gt;IFERROR(VLOOKUP(EU133,Модули_спр,3,FALSE),99),"ЛИШНИЙ КАНАЛ",IF(AND(AJ133&lt;&gt;"=",COUNTIFS(Линии[_модуль гр.],ET133,Линии[Канал (итог)],EV133,Линии[Канал],"&lt;&gt;=",Линии[Щит],A133)&gt;1),"ДУБЛЬ КАНАЛА","")))</f>
        <v/>
      </c>
      <c r="FD133">
        <f t="shared" si="235"/>
        <v>6</v>
      </c>
      <c r="FE133" t="str">
        <f t="shared" si="236"/>
        <v>1P С6А</v>
      </c>
      <c r="FF133">
        <f t="shared" si="237"/>
        <v>0</v>
      </c>
      <c r="FG133">
        <f t="shared" si="238"/>
        <v>0</v>
      </c>
      <c r="FH133" t="str">
        <f t="shared" si="239"/>
        <v/>
      </c>
      <c r="FI133">
        <f t="shared" si="240"/>
        <v>10</v>
      </c>
      <c r="FJ133" t="str">
        <f t="shared" si="241"/>
        <v/>
      </c>
      <c r="FK133" t="str">
        <f>IF(AND(D133="",EZ133=""),"",_xlfn.TEXTJOIN("; ",TRUE,IF(AND(D133&lt;&gt;"",DD133=""),"нет фазы",""),IF(AND(D133&lt;&gt;"",N(DT133)=0,CN133&lt;&gt;"Нет"),"нет мощности",""),IF(AND(EY133&lt;&gt;"",COUNTIFS(Линии[Щит],A133,Линии[Клемма (итог)],EY133)&gt;1),"дубль клеммы "&amp;EY133,""),IF(AND(FB133&lt;&gt;"",FB133&lt;&gt;"ok"),FB133,""),IF(FC133&lt;&gt;"",FC133,""),IF(AND(ISNUMBER(SEARCH("(5х",DS133)),N(DV133)=1),"5 жил на 1 фазе",""),IF(AND(AT133="R",AD133&lt;&gt;"",OR(N(EH133)=0,N(EH133)&gt;30)),"розетка без дифзащиты до 30 мА",""),IFERROR(IF(AND(ISNUMBER(CD133),CD133&gt;CE133),"потери "&amp;FIXED(CD133,1)&amp;" % &gt; "&amp;CE133&amp;" %",""),""),IFERROR(IF(LEFT(FJ133,4)="мало","Iкз мало — отключение &gt; 0,4 с",""),""),IF(AND(D133&lt;&gt;"",BD133=""),"не на схеме","")))</f>
        <v/>
      </c>
      <c r="FL133" t="str">
        <f>IF(AD133="","",_xlfn.LET(_xlpm.t,IFERROR(_xlfn.XLOOKUP(EP133,Каталог!$U$4:$U$500,Каталог!$G$4:$G$500),""),_xlpm.k,SEARCH("кА",_xlpm.t),IFERROR(--TRIM(RIGHT(SUBSTITUTE(MID(_xlpm.t,MAX(1,_xlpm.k-4),_xlpm.k-MAX(1,_xlpm.k-4))," ",REPT(" ",9)),5)),"")))</f>
        <v/>
      </c>
      <c r="FM133" t="str">
        <f>IF(OR(FL133="",AD133=""),"",IF(_xlfn.XLOOKUP(A133,Щиты[Щит],Щиты[Iкз max на шинах, кА],"")="","",IF(FL133&lt;_xlfn.XLOOKUP(A133,Щиты[Щит],Щиты[Iкз max на шинах, кА]),"Icu "&amp;FL133&amp;" кА &lt; Iкз max","ok")))</f>
        <v/>
      </c>
      <c r="FN133" t="str">
        <f t="shared" si="242"/>
        <v>QF3|XT3</v>
      </c>
      <c r="FO133" t="str">
        <f t="shared" si="243"/>
        <v>QF3|XT3|кабель ВВГнг(А)-LS (3х1,5) → Внутренний блок кондиционирования Технический этаж Пом. №002Т</v>
      </c>
      <c r="FP133" t="str" cm="1">
        <f t="array" ref="FP133">IF(FO133="","",_xlfn.LET(_xlpm.nd,_xlfn.TEXTSPLIT(FO133,"|"),IF(COLUMNS(_xlpm.nd)&gt;1,A133&amp;"¦"&amp;INDEX(_xlpm.nd,1)&amp;"¦"&amp;INDEX(_xlpm.nd,2),"")))</f>
        <v>ЩОВ-2¦QF3¦XT3</v>
      </c>
      <c r="FQ133" t="str">
        <f t="shared" si="244"/>
        <v>K.1.003A¦Внутренний блок кондиционирования Технический этаж Пом. №002Т</v>
      </c>
      <c r="FR133" t="str" cm="1">
        <f t="array" ref="FR133">IF(FO133="","",_xlfn.LET(_xlpm.nd,_xlfn.TEXTSPLIT(FO133,"|"),IF(COLUMNS(_xlpm.nd)&gt;2,A133&amp;"¦"&amp;INDEX(_xlpm.nd,2)&amp;"¦"&amp;INDEX(_xlpm.nd,3),"")))</f>
        <v>ЩОВ-2¦XT3¦кабель ВВГнг(А)-LS (3х1,5) → Внутренний блок кондиционирования Технический этаж Пом. №002Т</v>
      </c>
      <c r="FS133" t="str">
        <f t="shared" si="245"/>
        <v>K.1.003A¦Внутренний блок кондиционирования Технический этаж Пом. №002Т</v>
      </c>
      <c r="FT133" t="str" cm="1">
        <f t="array" ref="FT133">IF(FO133="","",_xlfn.LET(_xlpm.nd,_xlfn.TEXTSPLIT(FO133,"|"),IF(COLUMNS(_xlpm.nd)&gt;3,A133&amp;"¦"&amp;INDEX(_xlpm.nd,3)&amp;"¦"&amp;INDEX(_xlpm.nd,4),"")))</f>
        <v/>
      </c>
      <c r="FU133" t="str">
        <f t="shared" si="246"/>
        <v/>
      </c>
      <c r="FV133" t="str" cm="1">
        <f t="array" ref="FV133">IF(FO133="","",_xlfn.LET(_xlpm.nd,_xlfn.TEXTSPLIT(FO133,"|"),IF(COLUMNS(_xlpm.nd)&gt;4,A133&amp;"¦"&amp;INDEX(_xlpm.nd,4)&amp;"¦"&amp;INDEX(_xlpm.nd,5),"")))</f>
        <v/>
      </c>
      <c r="FW133" t="str">
        <f t="shared" si="247"/>
        <v/>
      </c>
      <c r="FX133" t="str" cm="1">
        <f t="array" ref="FX133">IF(FO133="","",_xlfn.LET(_xlpm.nd,_xlfn.TEXTSPLIT(FO133,"|"),IF(COLUMNS(_xlpm.nd)&gt;5,A133&amp;"¦"&amp;INDEX(_xlpm.nd,5)&amp;"¦"&amp;INDEX(_xlpm.nd,6),"")))</f>
        <v/>
      </c>
      <c r="FY133" t="str">
        <f t="shared" si="248"/>
        <v/>
      </c>
      <c r="FZ133" t="str" cm="1">
        <f t="array" ref="FZ133">IF(FO133="","",_xlfn.LET(_xlpm.nd,_xlfn.TEXTSPLIT(FO133,"|"),IF(COLUMNS(_xlpm.nd)&gt;6,A133&amp;"¦"&amp;INDEX(_xlpm.nd,6)&amp;"¦"&amp;INDEX(_xlpm.nd,7),"")))</f>
        <v/>
      </c>
      <c r="GA133" t="str">
        <f t="shared" si="249"/>
        <v/>
      </c>
      <c r="GB133" t="str">
        <f t="shared" si="250"/>
        <v/>
      </c>
      <c r="GC133" t="str">
        <f t="shared" si="251"/>
        <v>QF3 → XT3</v>
      </c>
      <c r="GD133">
        <f t="shared" si="252"/>
        <v>1</v>
      </c>
      <c r="GE133">
        <f t="shared" si="253"/>
        <v>0</v>
      </c>
      <c r="GF133">
        <f t="shared" si="254"/>
        <v>0</v>
      </c>
      <c r="GG133" t="str">
        <f t="shared" si="255"/>
        <v/>
      </c>
      <c r="GH133" t="str">
        <f t="shared" si="256"/>
        <v/>
      </c>
      <c r="GI133" t="str">
        <f t="shared" si="257"/>
        <v/>
      </c>
      <c r="GJ133" t="str">
        <f t="shared" si="258"/>
        <v/>
      </c>
      <c r="GK133">
        <f>IF(D133="","",IFERROR(VLOOKUP(D133,УГО_спр,2,FALSE),IFERROR(VLOOKUP(AT133,УГО_спр,2,FALSE),IFERROR(VLOOKUP(LEFT(AT133,2),УГО_спр,2,FALSE),""))))</f>
        <v>0</v>
      </c>
      <c r="GL133" t="str">
        <f>IF(D133="","",IF(OR(GK133="",GK133=0),"BOX",IFERROR(IF(VLOOKUP(GK133,УГО_блоки,3,FALSE)&amp;""&lt;&gt;"",VLOOKUP(GK133,УГО_блоки,3,FALSE),VLOOKUP(GK133,УГО_блоки,2,FALSE)),GK133)))</f>
        <v>BOX</v>
      </c>
      <c r="GM133">
        <f t="shared" si="259"/>
        <v>1</v>
      </c>
      <c r="GN133" t="str">
        <f>IF(EP133="","",IF(COUNTIF(EP$3:EP133,EP133)=1,MAX(GN$2:GN132)+1,""))</f>
        <v/>
      </c>
      <c r="GO133" t="str">
        <f>IF(AF133="","",IF(COUNTIF(AF$3:AF133,AF133)+COUNTIF(AG$2:AG132,AF133)+COUNTIF(AH$2:AH132,AF133)=1,MAX(GO$2:GQ132)+1,""))</f>
        <v/>
      </c>
      <c r="GP133" t="str">
        <f>IF(AG133="","",IF(COUNTIF(AF$3:AF133,AG133)+COUNTIF(AG$3:AG133,AG133)+COUNTIF(AH$2:AH132,AG133)=1,MAX(GO$2:GQ132,GO133)+1,""))</f>
        <v/>
      </c>
      <c r="GQ133" t="str">
        <f>IF(AH133="","",IF(COUNTIF(AF$3:AF133,AH133)+COUNTIF(AG$3:AG133,AH133)+COUNTIF(AH$3:AH133,AH133)=1,MAX(GO$2:GQ132,GO133,GP133)+1,""))</f>
        <v/>
      </c>
      <c r="GR133" t="str">
        <f t="shared" si="260"/>
        <v>3х1,5</v>
      </c>
      <c r="GS133" t="str">
        <f>IF(GR133="","",IF(COUNTIF(GR$3:GR133,GR133)=1,MAX(GS$2:GS132)+1,""))</f>
        <v/>
      </c>
      <c r="GT133" t="str">
        <f>IF(ES133="","",COUNTIF(ES$3:ES133,"?*"))</f>
        <v/>
      </c>
      <c r="GU133" t="str">
        <f>IF(OR(ES133="",EU133=""),"",IF(COUNTIFS(ES$3:ES133,"?*",EU$3:EU133,EU133)=1,MAX(GU$2:GU132)+1,""))</f>
        <v/>
      </c>
      <c r="GV133">
        <f t="shared" si="261"/>
        <v>0</v>
      </c>
      <c r="GW133">
        <f>IF(D133="","",COUNTIF(D$3:D133,"?*"))</f>
        <v>131</v>
      </c>
      <c r="GX133">
        <f>IF(EX133&lt;&gt;1,0,_xlfn.LET(_xlpm.k,MAX(IFERROR(--VLOOKUP(D133,УГО_спр,5,FALSE),0),IFERROR(--VLOOKUP(AT133,УГО_спр,5,FALSE),0),IFERROR(--VLOOKUP(LEFT(AT133,2),УГО_спр,5,FALSE),0)),IF(_xlpm.k&gt;0,_xlpm.k,IF(IFERROR(--LEFT(SUBSTITUTE(GR133,"x","х"),FIND("х",SUBSTITUTE(GR133,"x","х"))-1),3)&gt;3,Каталог!$S$9,1))))</f>
        <v>1</v>
      </c>
      <c r="GY133">
        <f t="shared" si="262"/>
        <v>0</v>
      </c>
    </row>
    <row r="134" spans="1:207" x14ac:dyDescent="0.3">
      <c r="A134" t="s">
        <v>756</v>
      </c>
      <c r="B134">
        <v>16</v>
      </c>
      <c r="C134" t="str">
        <f>IF(BD134="","",IF(BE134="вводной узел","узел ","")&amp;"л."&amp;(INT((BD134-1)/Столбцов_на_лист)+1)&amp;" / "&amp;(MOD(BD134-1,Столбцов_на_лист)+1))</f>
        <v>л.1 / 16</v>
      </c>
      <c r="D134" t="s">
        <v>1433</v>
      </c>
      <c r="E134" s="133" t="s">
        <v>1429</v>
      </c>
      <c r="G134">
        <v>0.29799999999999999</v>
      </c>
      <c r="H134">
        <v>1</v>
      </c>
      <c r="I134">
        <v>1</v>
      </c>
      <c r="J134">
        <v>230</v>
      </c>
      <c r="K134" t="s">
        <v>602</v>
      </c>
      <c r="L134">
        <v>0.5</v>
      </c>
      <c r="O134">
        <v>1</v>
      </c>
      <c r="P134">
        <v>24</v>
      </c>
      <c r="Q134">
        <v>12</v>
      </c>
      <c r="R134">
        <v>14</v>
      </c>
      <c r="T134">
        <v>1</v>
      </c>
      <c r="U134" t="s">
        <v>11</v>
      </c>
      <c r="V134">
        <v>3</v>
      </c>
      <c r="W134">
        <v>1.5</v>
      </c>
      <c r="Z134" t="s">
        <v>580</v>
      </c>
      <c r="AA134" t="s">
        <v>818</v>
      </c>
      <c r="AD134" t="s">
        <v>517</v>
      </c>
      <c r="AR134" t="str">
        <f t="shared" si="176"/>
        <v/>
      </c>
      <c r="AS134" cm="1">
        <f t="array" ref="AS134">ROW()-ROW(Линии[#Headers])</f>
        <v>132</v>
      </c>
      <c r="AT134" t="str">
        <f t="shared" si="177"/>
        <v>K</v>
      </c>
      <c r="AU134" t="str">
        <f t="shared" si="178"/>
        <v>1.005A</v>
      </c>
      <c r="AV134" t="str">
        <f t="shared" si="179"/>
        <v>1</v>
      </c>
      <c r="AW134" t="str">
        <f t="shared" si="180"/>
        <v>005A</v>
      </c>
      <c r="AX134" t="str">
        <f t="shared" si="181"/>
        <v>005A</v>
      </c>
      <c r="AY134" t="str">
        <f>IF(D134="","",IF(ISERROR(SEARCH(".",D134)),IFERROR(VLOOKUP(D134,Потребители_обозначение,2,FALSE)&amp;"",""),IFERROR(IF(VLOOKUP(AT134,Потребители_обозначение,4,FALSE)=1,VLOOKUP(AT134,Потребители_обозначение,2,FALSE)&amp;" "&amp;VLOOKUP(AV134,Этаж_обозначение,2,FALSE)&amp;" Пом. №"&amp;AX134,VLOOKUP(AT134,Потребители_обозначение,2,FALSE)&amp;" Шлейф №"&amp;AV134),IFERROR(VLOOKUP(D134,Потребители_обозначение,2,FALSE),""))))</f>
        <v>Внутренний блок кондиционирования Первый этаж Пом. №005A</v>
      </c>
      <c r="AZ134" t="str">
        <f t="shared" si="182"/>
        <v>Внутренний блок кондиционирования Технический этаж Пом. №001Т</v>
      </c>
      <c r="BA134" t="str">
        <f>IF(F134&lt;&gt;"",F134,IF(AND(D134&lt;&gt;"",D134&lt;&gt;A134,ISNUMBER(_xlfn.XMATCH(D134,Щиты[Щит]))),D134,""))</f>
        <v/>
      </c>
      <c r="BB134">
        <f>IFERROR(_xlfn.XMATCH(A134,Щиты[Щит]),0)</f>
        <v>7</v>
      </c>
      <c r="BC134">
        <f>IFERROR(N(_xlfn.XLOOKUP(A134,Щиты[Щит],Щиты[Мест под вводной узел])),15)</f>
        <v>12</v>
      </c>
      <c r="BD134">
        <f t="shared" si="183"/>
        <v>16</v>
      </c>
      <c r="BE134" t="str">
        <f t="shared" si="184"/>
        <v>линии</v>
      </c>
      <c r="BF134">
        <f>IF(D134="","",IF(BA134&lt;&gt;"",IFERROR(_xlfn.XLOOKUP(BA134,Щиты[Щит],Щиты[Руст, кВт]),0),N(G134)))</f>
        <v>0.29799999999999999</v>
      </c>
      <c r="BG134">
        <f>IF(J134&lt;&gt;"",J134,IF(D134="","",IFERROR(IF(VLOOKUP(AT134,Потребители_обозначение,8,FALSE)=0,"",VLOOKUP(AT134,Потребители_обозначение,8,FALSE)),"")))</f>
        <v>230</v>
      </c>
      <c r="BH134">
        <f>IF(I134&lt;&gt;"",I134,IF(D134="","",IFERROR(IF(VLOOKUP(AT134,Потребители_обозначение,9,FALSE)=0,"",VLOOKUP(AT134,Потребители_обозначение,9,FALSE)),"")))</f>
        <v>1</v>
      </c>
      <c r="BI134" t="str">
        <f>IF(U134&lt;&gt;"",U134,IF(D134="","",IFERROR(IF(VLOOKUP(AT134,Потребители_обозначение,6,FALSE)=0,"",VLOOKUP(AT134,Потребители_обозначение,6,FALSE)),"")))</f>
        <v>мс</v>
      </c>
      <c r="BJ134">
        <f>IF(V134&lt;&gt;"",V134,IF(D134="","",IFERROR(IF(VLOOKUP(AT134,Потребители_обозначение,7,FALSE)=0,"",VLOOKUP(AT134,Потребители_обозначение,7,FALSE)),"")))</f>
        <v>3</v>
      </c>
      <c r="BK134">
        <f>IF(W134&lt;&gt;"",W134,IF(D134="","",IFERROR(IF(VLOOKUP(AT134,Потребители_обозначение,10,FALSE)=0,"",VLOOKUP(AT134,Потребители_обозначение,10,FALSE)),"")))</f>
        <v>1.5</v>
      </c>
      <c r="BL134">
        <f>IFERROR(VLOOKUP(AT134,Потребители_обозначение,5,FALSE),0)</f>
        <v>1</v>
      </c>
      <c r="BM134" cm="1">
        <f t="array" ref="BM134">IF(D134="","",IF(BA134&lt;&gt;"",IFERROR(_xlfn.XLOOKUP(BA134,Щиты[Щит],Щиты[cos φ]),0.95),IF(ISNUMBER(M134),M134,IFERROR(IF(BL134=2,_xlfn.IFS(BH134=3,VLOOKUP(BF134,Справочная_двигатели,8,FALSE),BH134=1,VLOOKUP(BF134,Справочная_двигатели,10,TRUE)),IF(AND(Методика="нормы 2026",CN134="Сил"),0.8,0.95)),0.95))))</f>
        <v>0.95</v>
      </c>
      <c r="BN134" cm="1">
        <f t="array" ref="BN134">IF(D134="","",IF(BA134&lt;&gt;"",IFERROR(_xlfn.XLOOKUP(BA134,Щиты[Щит],Щиты[Iр, А]),""),IFERROR(_xlfn.IFS(BH134=1,BF134/((Uн_лин/SQRT(3))*BM134),BH134=3,BF134/(SQRT(3)*Uн_лин*BM134)),"")))</f>
        <v>1.3582924754092773</v>
      </c>
      <c r="BO134">
        <f>IF(D134="","",IF(N(X134)=0,IFERROR(VLOOKUP(BN134,Автомат_номиналы,2,TRUE),""),X134))</f>
        <v>6</v>
      </c>
      <c r="BP134">
        <f t="shared" si="185"/>
        <v>1</v>
      </c>
      <c r="BQ134">
        <f>IF(ISNUMBER(Y134),Y134,К_прокл)</f>
        <v>1</v>
      </c>
      <c r="BR134">
        <f t="shared" si="186"/>
        <v>2</v>
      </c>
      <c r="BS134" cm="1">
        <f t="array" ref="BS134">IF(D134="","",IF(N(BK134)&lt;&gt;0,BK134,IFERROR(_xlfn.LET(_xlpm.need,BO134/(BP134*BQ134),_xlpm.t,CHOOSE(BR134,Iдоп_1ж,Iдоп_2ж,Iдоп_3ж),_xlpm.k,_xlfn.XMATCH(_xlpm.need,_xlpm.t,1),IF(ISNA(_xlpm.k),"Не исп",INDEX(Iдоп_S,_xlpm.k))),"Не исп")))</f>
        <v>1.5</v>
      </c>
      <c r="BT134">
        <f>IFERROR(VLOOKUP(BS134,Кабель_сопротивление,3,FALSE),"")</f>
        <v>2.2499999999999999E-2</v>
      </c>
      <c r="BU134">
        <f>IFERROR(VLOOKUP(BS134,Кабель_сопротивление,2,FALSE),"")</f>
        <v>0.11</v>
      </c>
      <c r="BV134">
        <f t="shared" si="187"/>
        <v>24</v>
      </c>
      <c r="BW134">
        <f>IF(D134="","",IFERROR(IF(VLOOKUP(AT134,Потребители_обозначение,4,FALSE)=1,VLOOKUP(AT134,Потребители_обозначение,3,FALSE)*(H134*2-1)+BV134+VLOOKUP(AV134,Этаж_обозначение,3,FALSE)+VLOOKUP(AV134,Этаж_обозначение,4,FALSE),VLOOKUP(AT134,Потребители_обозначение,3,FALSE)*(H134*2-1)+BV134),BV134))</f>
        <v>26</v>
      </c>
      <c r="BX134">
        <f t="shared" si="188"/>
        <v>14</v>
      </c>
      <c r="BY134">
        <f t="shared" si="189"/>
        <v>0</v>
      </c>
      <c r="BZ134">
        <f t="shared" si="190"/>
        <v>2</v>
      </c>
      <c r="CA134">
        <f t="shared" si="191"/>
        <v>0.31</v>
      </c>
      <c r="CB134">
        <f t="shared" si="192"/>
        <v>1.0089032484956701</v>
      </c>
      <c r="CC134">
        <f>IFERROR(ROUNDUP(CB134/((Uн_лин/SQRT(3))*1000)*100,2),"")</f>
        <v>0.44</v>
      </c>
      <c r="CD134">
        <f>IF(ISNUMBER(CC134),CC134+IFERROR(_xlfn.XLOOKUP(A134,Щиты[Щит],Щиты[ΔU до шин, %]),0),"")</f>
        <v>1.46</v>
      </c>
      <c r="CE134">
        <f>IF(D134="","",IF(IFERROR(VLOOKUP(AT134,УГО_спр,2,FALSE),"")="Светильник",3,4)+IF(Методика="нормы 2026",MIN(0.5,MAX(0,N(BW134)-100)*0.005),0))</f>
        <v>4</v>
      </c>
      <c r="CF134" t="str">
        <f>IFERROR(VLOOKUP(BI134,Кабель_обозначение,2,FALSE),"")</f>
        <v>ВВГнг(А)-LS</v>
      </c>
      <c r="CG134" t="str">
        <f>IFERROR(IF(VLOOKUP(BI134,Кабель_обозначение,3,FALSE)=1,CF134&amp;" ("&amp;BJ134&amp;"х"&amp;BS134&amp;")",CF134),"")</f>
        <v>ВВГнг(А)-LS (3х1,5)</v>
      </c>
      <c r="CH134" t="str">
        <f t="shared" si="193"/>
        <v>ВВГнг(А)-LS (3х1,5)
L=26-0,44%</v>
      </c>
      <c r="CI134">
        <f>IFERROR(2*ρкз_Cu*BW134/BS134,"")</f>
        <v>0.91173333333333328</v>
      </c>
      <c r="CJ134">
        <f t="shared" si="194"/>
        <v>0.3033333333333334</v>
      </c>
      <c r="CK134" t="str">
        <f>IFERROR(IF(OR(D134="",NOT(ISNUMBER(BS134)),N(BW134)=0),"",_xlfn.XLOOKUP(A134,Щиты[Щит],Щиты[Zпетли на шинах, Ом])+CI134),"")</f>
        <v/>
      </c>
      <c r="CL134" t="str">
        <f>IF(ISNUMBER(CK134),c_min*(Uн_лин*1000/SQRT(3))/CK134,"")</f>
        <v/>
      </c>
      <c r="CM134" t="str">
        <f>IFERROR(IF(OR(D134="",NOT(ISNUMBER(BS134))),"",1.05*(Uн_лин*1000/SQRT(3))/(_xlfn.XLOOKUP(A134,Щиты[Щит],Щиты[Zmax на шинах, Ом])+CJ134)/1000),"")</f>
        <v/>
      </c>
      <c r="CN134" t="str">
        <f>IF(D134="","",IF(BA134&lt;&gt;"","Щит",IF(K134&lt;&gt;"",K134,IF(ISNUMBER(L134),"Сил",IF(IFERROR(_xlfn.XLOOKUP(AT134,Коды_код,Коды_группа)&amp;"","")="","Быт",_xlfn.XLOOKUP(AT134,Коды_код,Коды_группа)&amp;"")))))</f>
        <v>Сил</v>
      </c>
      <c r="CO134">
        <f>IF(CN134="Щит","щит",IF(CN134="","",IF(CN134="Быт",IFERROR(_xlfn.XLOOKUP(A134,Щиты[Щит],Щиты[Кс быт]),1),IF(CN134="Сил",IF(ISNUMBER(L134),L134,IF(Методика="нормы 2026",IFERROR(_xlfn.XLOOKUP(A134,Щиты[Щит],Щиты[Кс силовых (табл. 7.5)]),1),1)),IF(OR(CN134="Пост",CN134="Отоп"),1,IF(CN134="ВНГ",0.7,0))))))</f>
        <v>0.5</v>
      </c>
      <c r="CP134">
        <f t="shared" si="195"/>
        <v>1</v>
      </c>
      <c r="CQ134">
        <f t="shared" si="196"/>
        <v>0.29799999999999999</v>
      </c>
      <c r="CR134">
        <f t="shared" si="197"/>
        <v>0</v>
      </c>
      <c r="CS134">
        <f t="shared" si="198"/>
        <v>0.14899999999999999</v>
      </c>
      <c r="CT134">
        <f t="shared" si="199"/>
        <v>0</v>
      </c>
      <c r="CU134">
        <f t="shared" si="200"/>
        <v>0</v>
      </c>
      <c r="CV134">
        <f t="shared" si="201"/>
        <v>0</v>
      </c>
      <c r="CW134">
        <f t="shared" si="202"/>
        <v>0.29799999999999999</v>
      </c>
      <c r="CX134">
        <f t="shared" si="203"/>
        <v>0.28309999999999996</v>
      </c>
      <c r="CY134">
        <f t="shared" si="204"/>
        <v>1</v>
      </c>
      <c r="CZ134" t="str">
        <f t="shared" si="205"/>
        <v>L1</v>
      </c>
      <c r="DA134" cm="1">
        <f t="array" ref="DA134">IFERROR(IF(BL134=2,_xlfn.IFS(BH134=3,VLOOKUP(BF134,Справочная_двигатели,3,FALSE),BH134=1,VLOOKUP(BF134,Справочная_двигатели,5,TRUE)),0),0)</f>
        <v>0</v>
      </c>
      <c r="DB134">
        <f>IFERROR(IF(BL134=3,VLOOKUP(BF134,Справочная_ЛЭД,2,TRUE),0),0)</f>
        <v>0</v>
      </c>
      <c r="DC134">
        <f t="shared" si="206"/>
        <v>0</v>
      </c>
      <c r="DD134" t="str">
        <f t="shared" si="207"/>
        <v>L1</v>
      </c>
      <c r="DE134" t="str" cm="1">
        <f t="array" ref="DE134">IF(D134="","",IFERROR(INDEX({"I особая","I","II","III"},MATCH(TRIM(AA134&amp;""),{"I особая","I","II","III"},0)),"III"))</f>
        <v>II</v>
      </c>
      <c r="DF134" t="str">
        <f>IF(D134="","",IF(TRIM(AB134&amp;"")&lt;&gt;"",IF(LOWER(TRIM(AB134&amp;""))="да","да","нет"),IF(IFERROR(_xlfn.XLOOKUP(AT134,Коды_код,Коды_пожарная),"")="да","да","нет")))</f>
        <v>нет</v>
      </c>
      <c r="DG134" t="str">
        <f t="shared" si="208"/>
        <v/>
      </c>
      <c r="DH134" t="str">
        <f t="shared" si="209"/>
        <v>основная</v>
      </c>
      <c r="DI134">
        <f t="shared" si="210"/>
        <v>1</v>
      </c>
      <c r="DJ134" t="str" cm="1">
        <f t="array" ref="DJ134">IF(D134="","",_xlfn.LET(_xlpm.t,IFERROR(_xlfn.XLOOKUP(1,(Шины[Шина]=DH134)*(((Шины[Щит]=A134)+(Шины[Щит]=""))&gt;0),Шины[Тип]),"")&amp;"",IF(_xlpm.t&lt;&gt;"",_xlpm.t,IF(ISNUMBER(SEARCH("ИБП",DH134)),"ИБП",IF(ISNUMBER(SEARCH("ДГУ",DH134)),"ДГУ","Ввод "&amp;DI134)))))</f>
        <v>Ввод 1</v>
      </c>
      <c r="DK134" t="str">
        <f t="shared" si="211"/>
        <v>Ввод 1</v>
      </c>
      <c r="DL134" t="str">
        <f>IF(D134="","",IF(OR(DJ134="ИБП",DJ134="ДГУ"),"I особая",IF(DJ134="Одиночная","III",_xlfn.XLOOKUP(A134,Щиты[Щит],Щиты[Категория шины «Ввод»],"III"))))</f>
        <v>II</v>
      </c>
      <c r="DM134">
        <f>IF(D134="",0,IFERROR(MATCH(DE134,{"III","II","I","I особая"},0),1))</f>
        <v>2</v>
      </c>
      <c r="DN134">
        <f t="shared" si="212"/>
        <v>2</v>
      </c>
      <c r="DO134" t="str">
        <f>IF(D134="","",IF(DM134&gt;IFERROR(MATCH(DL134,{"III","II","I","I особая"},0),1),"НЕ ОБЕСПЕЧЕНА","ОК"))</f>
        <v>ОК</v>
      </c>
      <c r="DP134" t="str">
        <f>IF(A134="","",_xlfn.XLOOKUP(A134,Щиты[Щит],Щиты[Путь],""))</f>
        <v>|ГРЩ-ЖД|ЩОВ-2|</v>
      </c>
      <c r="DQ134" t="str">
        <f>IF(D134="","",IF(Z134&lt;&gt;"",Z134,IF(IFERROR(_xlfn.XLOOKUP(AT134,Коды_код,Коды_вид)&amp;"","")="","Прочее",_xlfn.XLOOKUP(AT134,Коды_код,Коды_вид)&amp;"")))</f>
        <v>Кондиционирование и увлажнение</v>
      </c>
      <c r="DR134">
        <f>IF(BD134="","",INT((BD134-1)/Столбцов_на_лист)+1)</f>
        <v>1</v>
      </c>
      <c r="DS134" t="str">
        <f t="shared" si="213"/>
        <v>ВВГнг(А)-LS (3х1,5) L=26-0,44%</v>
      </c>
      <c r="DT134">
        <f t="shared" si="214"/>
        <v>0.29799999999999999</v>
      </c>
      <c r="DU134">
        <f t="shared" si="215"/>
        <v>1.36</v>
      </c>
      <c r="DV134">
        <f t="shared" si="216"/>
        <v>1</v>
      </c>
      <c r="DW134">
        <f>IF(AT134="",0,_xlfn.LET(_xlpm.v,IFERROR(VLOOKUP(D134,УГО_спр,3,FALSE),IFERROR(VLOOKUP(AT134,УГО_спр,3,FALSE),IFERROR(VLOOKUP(LEFT(AT134,2),УГО_спр,3,FALSE),""))),IF(_xlpm.v="да",30,IF(ISNUMBER(_xlpm.v),_xlpm.v,0))))</f>
        <v>0</v>
      </c>
      <c r="DX134">
        <f t="shared" si="217"/>
        <v>0</v>
      </c>
      <c r="DY134">
        <f>IF(BD134="","",IF(AD134&lt;&gt;"",COUNTIFS(A$3:A134,A134,AD$3:AD134,"?*"),IF(OR(OR(AS134=1,A134&lt;&gt;A133),AL134="вручную"),"",IF(AS134=1,"",DZ133))))</f>
        <v>4</v>
      </c>
      <c r="DZ134">
        <f t="shared" si="218"/>
        <v>4</v>
      </c>
      <c r="EA134">
        <f>IF(D134="",0,MAX(IFERROR(--X134,0),IFERROR(--VLOOKUP(D134,УГО_спр,4,FALSE),IFERROR(--VLOOKUP(AT134,УГО_спр,4,FALSE),IFERROR(--VLOOKUP(LEFT(AT134,2),УГО_спр,4,FALSE),0)))))</f>
        <v>0</v>
      </c>
      <c r="EB134">
        <f>IF(D134="","",IFERROR(LOOKUP(INDEX(CHOOSE(BR134,Iдоп_1ж,Iдоп_2ж,Iдоп_3ж),MATCH(BS134,Iдоп_S,0))*BP134*BQ134,{6,10,16,20,25,32,40,50,63,80,100,125,160,200,250,315,400,500,630}),""))</f>
        <v>16</v>
      </c>
      <c r="EC134">
        <f>IF(AD134="","",SUMIFS(Линии[_Ток схемы],Линии[_гр.],DY134,Линии[Щит],A134,Линии[_в кабель выше],0))</f>
        <v>1.36</v>
      </c>
      <c r="ED134">
        <f>IF(AD134="","",IFERROR(VLOOKUP(EC134,Автомат_номиналы,2,TRUE),""))</f>
        <v>6</v>
      </c>
      <c r="EE134">
        <f>IF(AD134="","",MAX(N(ED134),_xlfn.MAXIFS(Линии[_мин. по типу],Линии[_гр.],DY134,Линии[Щит],A134)))</f>
        <v>6</v>
      </c>
      <c r="EF134">
        <f>IF(AD134="","",_xlfn.MINIFS(Линии[_макс. автомат по кабелю],Линии[_гр.],DY134,Линии[Щит],A134))</f>
        <v>16</v>
      </c>
      <c r="EG134">
        <f>IF(AD134="","",MAX(1,_xlfn.MAXIFS(Линии[_фаз],Линии[_гр.],DY134,Линии[Щит],A134)))</f>
        <v>1</v>
      </c>
      <c r="EH134">
        <f>IF(AD134="","",IF(AND(AD134&lt;&gt;"авто",AD134&lt;&gt;"+"),IF(ISNUMBER(SEARCH("мА",AD134)),IFERROR(--TRIM(RIGHT(SUBSTITUTE(LEFT(AD134,SEARCH("мА",AD134)-1)," ",REPT(" ",9)),6)),30),0),IF(AE134="нет",0,IF(ISNUMBER(AE134),AE134,IF(AE134="да",30,_xlfn.MINIFS(Линии[_дифзащита по коду, мА],Линии[_гр.],DY134,Линии[Щит],A134,Линии[_дифзащита по коду, мА],"&gt;0"))))))</f>
        <v>0</v>
      </c>
      <c r="EI134">
        <f t="shared" si="219"/>
        <v>0</v>
      </c>
      <c r="EJ134" t="str">
        <f t="shared" si="220"/>
        <v>QF4</v>
      </c>
      <c r="EK134" t="str">
        <f t="shared" si="221"/>
        <v>QF4</v>
      </c>
      <c r="EL134" t="str">
        <f t="shared" si="222"/>
        <v/>
      </c>
      <c r="EM134">
        <f t="shared" si="223"/>
        <v>0</v>
      </c>
      <c r="EN134">
        <f>IF(AD134="","",IF(EM134=1,MAX(EE134,Мин_автомат_БП),EE134))</f>
        <v>6</v>
      </c>
      <c r="EO134" t="str">
        <f t="shared" si="224"/>
        <v>1P</v>
      </c>
      <c r="EP134" t="str">
        <f t="shared" si="225"/>
        <v>1P С6А</v>
      </c>
      <c r="EQ134">
        <f t="shared" si="226"/>
        <v>6</v>
      </c>
      <c r="ER134" t="str">
        <f>IF(OR(AI134="",AI134="-"),"",IFERROR(VLOOKUP(AI134,Модули_спр,2,FALSE),"R"))</f>
        <v/>
      </c>
      <c r="ES134" t="str">
        <f>IF(ER134="","",ER134&amp;"."&amp;COUNTIFS(A$3:A134,A134,ER$3:ER134,ER134))</f>
        <v/>
      </c>
      <c r="ET134" t="str">
        <f t="shared" si="227"/>
        <v/>
      </c>
      <c r="EU134" t="str">
        <f t="shared" si="228"/>
        <v/>
      </c>
      <c r="EV134" t="str">
        <f t="shared" si="229"/>
        <v/>
      </c>
      <c r="EW134" t="str">
        <f t="shared" si="230"/>
        <v/>
      </c>
      <c r="EX134">
        <f t="shared" si="231"/>
        <v>1</v>
      </c>
      <c r="EY134" t="str">
        <f>IF(AK134="нет","",IF(AK134&lt;&gt;"",AK134,IF(EX134=1,"XT"&amp;COUNTIFS(A$3:A134,A134,EX$3:EX134,1),"")))</f>
        <v>XT4</v>
      </c>
      <c r="EZ134" t="str">
        <f t="shared" si="232"/>
        <v>QF4</v>
      </c>
      <c r="FA134" t="str">
        <f t="shared" si="233"/>
        <v/>
      </c>
      <c r="FB134" t="str">
        <f t="shared" si="234"/>
        <v>ok</v>
      </c>
      <c r="FC134" t="str">
        <f>IF(OR(EV134="",ET134=""),"",IF(EV134&gt;IFERROR(VLOOKUP(EU134,Модули_спр,3,FALSE),99),"ЛИШНИЙ КАНАЛ",IF(AND(AJ134&lt;&gt;"=",COUNTIFS(Линии[_модуль гр.],ET134,Линии[Канал (итог)],EV134,Линии[Канал],"&lt;&gt;=",Линии[Щит],A134)&gt;1),"ДУБЛЬ КАНАЛА","")))</f>
        <v/>
      </c>
      <c r="FD134">
        <f t="shared" si="235"/>
        <v>6</v>
      </c>
      <c r="FE134" t="str">
        <f t="shared" si="236"/>
        <v>1P С6А</v>
      </c>
      <c r="FF134">
        <f t="shared" si="237"/>
        <v>0</v>
      </c>
      <c r="FG134">
        <f t="shared" si="238"/>
        <v>0</v>
      </c>
      <c r="FH134" t="str">
        <f t="shared" si="239"/>
        <v/>
      </c>
      <c r="FI134">
        <f t="shared" si="240"/>
        <v>10</v>
      </c>
      <c r="FJ134" t="str">
        <f t="shared" si="241"/>
        <v/>
      </c>
      <c r="FK134" t="str">
        <f>IF(AND(D134="",EZ134=""),"",_xlfn.TEXTJOIN("; ",TRUE,IF(AND(D134&lt;&gt;"",DD134=""),"нет фазы",""),IF(AND(D134&lt;&gt;"",N(DT134)=0,CN134&lt;&gt;"Нет"),"нет мощности",""),IF(AND(EY134&lt;&gt;"",COUNTIFS(Линии[Щит],A134,Линии[Клемма (итог)],EY134)&gt;1),"дубль клеммы "&amp;EY134,""),IF(AND(FB134&lt;&gt;"",FB134&lt;&gt;"ok"),FB134,""),IF(FC134&lt;&gt;"",FC134,""),IF(AND(ISNUMBER(SEARCH("(5х",DS134)),N(DV134)=1),"5 жил на 1 фазе",""),IF(AND(AT134="R",AD134&lt;&gt;"",OR(N(EH134)=0,N(EH134)&gt;30)),"розетка без дифзащиты до 30 мА",""),IFERROR(IF(AND(ISNUMBER(CD134),CD134&gt;CE134),"потери "&amp;FIXED(CD134,1)&amp;" % &gt; "&amp;CE134&amp;" %",""),""),IFERROR(IF(LEFT(FJ134,4)="мало","Iкз мало — отключение &gt; 0,4 с",""),""),IF(AND(D134&lt;&gt;"",BD134=""),"не на схеме","")))</f>
        <v/>
      </c>
      <c r="FL134" t="str">
        <f>IF(AD134="","",_xlfn.LET(_xlpm.t,IFERROR(_xlfn.XLOOKUP(EP134,Каталог!$U$4:$U$500,Каталог!$G$4:$G$500),""),_xlpm.k,SEARCH("кА",_xlpm.t),IFERROR(--TRIM(RIGHT(SUBSTITUTE(MID(_xlpm.t,MAX(1,_xlpm.k-4),_xlpm.k-MAX(1,_xlpm.k-4))," ",REPT(" ",9)),5)),"")))</f>
        <v/>
      </c>
      <c r="FM134" t="str">
        <f>IF(OR(FL134="",AD134=""),"",IF(_xlfn.XLOOKUP(A134,Щиты[Щит],Щиты[Iкз max на шинах, кА],"")="","",IF(FL134&lt;_xlfn.XLOOKUP(A134,Щиты[Щит],Щиты[Iкз max на шинах, кА]),"Icu "&amp;FL134&amp;" кА &lt; Iкз max","ok")))</f>
        <v/>
      </c>
      <c r="FN134" t="str">
        <f t="shared" si="242"/>
        <v>QF4|XT4</v>
      </c>
      <c r="FO134" t="str">
        <f t="shared" si="243"/>
        <v>QF4|XT4|кабель ВВГнг(А)-LS (3х1,5) → Внутренний блок кондиционирования Технический этаж Пом. №001Т</v>
      </c>
      <c r="FP134" t="str" cm="1">
        <f t="array" ref="FP134">IF(FO134="","",_xlfn.LET(_xlpm.nd,_xlfn.TEXTSPLIT(FO134,"|"),IF(COLUMNS(_xlpm.nd)&gt;1,A134&amp;"¦"&amp;INDEX(_xlpm.nd,1)&amp;"¦"&amp;INDEX(_xlpm.nd,2),"")))</f>
        <v>ЩОВ-2¦QF4¦XT4</v>
      </c>
      <c r="FQ134" t="str">
        <f t="shared" si="244"/>
        <v>K.1.005A¦Внутренний блок кондиционирования Технический этаж Пом. №001Т</v>
      </c>
      <c r="FR134" t="str" cm="1">
        <f t="array" ref="FR134">IF(FO134="","",_xlfn.LET(_xlpm.nd,_xlfn.TEXTSPLIT(FO134,"|"),IF(COLUMNS(_xlpm.nd)&gt;2,A134&amp;"¦"&amp;INDEX(_xlpm.nd,2)&amp;"¦"&amp;INDEX(_xlpm.nd,3),"")))</f>
        <v>ЩОВ-2¦XT4¦кабель ВВГнг(А)-LS (3х1,5) → Внутренний блок кондиционирования Технический этаж Пом. №001Т</v>
      </c>
      <c r="FS134" t="str">
        <f t="shared" si="245"/>
        <v>K.1.005A¦Внутренний блок кондиционирования Технический этаж Пом. №001Т</v>
      </c>
      <c r="FT134" t="str" cm="1">
        <f t="array" ref="FT134">IF(FO134="","",_xlfn.LET(_xlpm.nd,_xlfn.TEXTSPLIT(FO134,"|"),IF(COLUMNS(_xlpm.nd)&gt;3,A134&amp;"¦"&amp;INDEX(_xlpm.nd,3)&amp;"¦"&amp;INDEX(_xlpm.nd,4),"")))</f>
        <v/>
      </c>
      <c r="FU134" t="str">
        <f t="shared" si="246"/>
        <v/>
      </c>
      <c r="FV134" t="str" cm="1">
        <f t="array" ref="FV134">IF(FO134="","",_xlfn.LET(_xlpm.nd,_xlfn.TEXTSPLIT(FO134,"|"),IF(COLUMNS(_xlpm.nd)&gt;4,A134&amp;"¦"&amp;INDEX(_xlpm.nd,4)&amp;"¦"&amp;INDEX(_xlpm.nd,5),"")))</f>
        <v/>
      </c>
      <c r="FW134" t="str">
        <f t="shared" si="247"/>
        <v/>
      </c>
      <c r="FX134" t="str" cm="1">
        <f t="array" ref="FX134">IF(FO134="","",_xlfn.LET(_xlpm.nd,_xlfn.TEXTSPLIT(FO134,"|"),IF(COLUMNS(_xlpm.nd)&gt;5,A134&amp;"¦"&amp;INDEX(_xlpm.nd,5)&amp;"¦"&amp;INDEX(_xlpm.nd,6),"")))</f>
        <v/>
      </c>
      <c r="FY134" t="str">
        <f t="shared" si="248"/>
        <v/>
      </c>
      <c r="FZ134" t="str" cm="1">
        <f t="array" ref="FZ134">IF(FO134="","",_xlfn.LET(_xlpm.nd,_xlfn.TEXTSPLIT(FO134,"|"),IF(COLUMNS(_xlpm.nd)&gt;6,A134&amp;"¦"&amp;INDEX(_xlpm.nd,6)&amp;"¦"&amp;INDEX(_xlpm.nd,7),"")))</f>
        <v/>
      </c>
      <c r="GA134" t="str">
        <f t="shared" si="249"/>
        <v/>
      </c>
      <c r="GB134" t="str">
        <f t="shared" si="250"/>
        <v/>
      </c>
      <c r="GC134" t="str">
        <f t="shared" si="251"/>
        <v>QF4 → XT4</v>
      </c>
      <c r="GD134">
        <f t="shared" si="252"/>
        <v>1</v>
      </c>
      <c r="GE134">
        <f t="shared" si="253"/>
        <v>0</v>
      </c>
      <c r="GF134">
        <f t="shared" si="254"/>
        <v>0</v>
      </c>
      <c r="GG134" t="str">
        <f t="shared" si="255"/>
        <v/>
      </c>
      <c r="GH134" t="str">
        <f t="shared" si="256"/>
        <v/>
      </c>
      <c r="GI134" t="str">
        <f t="shared" si="257"/>
        <v/>
      </c>
      <c r="GJ134" t="str">
        <f t="shared" si="258"/>
        <v/>
      </c>
      <c r="GK134">
        <f>IF(D134="","",IFERROR(VLOOKUP(D134,УГО_спр,2,FALSE),IFERROR(VLOOKUP(AT134,УГО_спр,2,FALSE),IFERROR(VLOOKUP(LEFT(AT134,2),УГО_спр,2,FALSE),""))))</f>
        <v>0</v>
      </c>
      <c r="GL134" t="str">
        <f>IF(D134="","",IF(OR(GK134="",GK134=0),"BOX",IFERROR(IF(VLOOKUP(GK134,УГО_блоки,3,FALSE)&amp;""&lt;&gt;"",VLOOKUP(GK134,УГО_блоки,3,FALSE),VLOOKUP(GK134,УГО_блоки,2,FALSE)),GK134)))</f>
        <v>BOX</v>
      </c>
      <c r="GM134">
        <f t="shared" si="259"/>
        <v>1</v>
      </c>
      <c r="GN134" t="str">
        <f>IF(EP134="","",IF(COUNTIF(EP$3:EP134,EP134)=1,MAX(GN$2:GN133)+1,""))</f>
        <v/>
      </c>
      <c r="GO134" t="str">
        <f>IF(AF134="","",IF(COUNTIF(AF$3:AF134,AF134)+COUNTIF(AG$2:AG133,AF134)+COUNTIF(AH$2:AH133,AF134)=1,MAX(GO$2:GQ133)+1,""))</f>
        <v/>
      </c>
      <c r="GP134" t="str">
        <f>IF(AG134="","",IF(COUNTIF(AF$3:AF134,AG134)+COUNTIF(AG$3:AG134,AG134)+COUNTIF(AH$2:AH133,AG134)=1,MAX(GO$2:GQ133,GO134)+1,""))</f>
        <v/>
      </c>
      <c r="GQ134" t="str">
        <f>IF(AH134="","",IF(COUNTIF(AF$3:AF134,AH134)+COUNTIF(AG$3:AG134,AH134)+COUNTIF(AH$3:AH134,AH134)=1,MAX(GO$2:GQ133,GO134,GP134)+1,""))</f>
        <v/>
      </c>
      <c r="GR134" t="str">
        <f t="shared" si="260"/>
        <v>3х1,5</v>
      </c>
      <c r="GS134" t="str">
        <f>IF(GR134="","",IF(COUNTIF(GR$3:GR134,GR134)=1,MAX(GS$2:GS133)+1,""))</f>
        <v/>
      </c>
      <c r="GT134" t="str">
        <f>IF(ES134="","",COUNTIF(ES$3:ES134,"?*"))</f>
        <v/>
      </c>
      <c r="GU134" t="str">
        <f>IF(OR(ES134="",EU134=""),"",IF(COUNTIFS(ES$3:ES134,"?*",EU$3:EU134,EU134)=1,MAX(GU$2:GU133)+1,""))</f>
        <v/>
      </c>
      <c r="GV134">
        <f t="shared" si="261"/>
        <v>0</v>
      </c>
      <c r="GW134">
        <f>IF(D134="","",COUNTIF(D$3:D134,"?*"))</f>
        <v>132</v>
      </c>
      <c r="GX134">
        <f>IF(EX134&lt;&gt;1,0,_xlfn.LET(_xlpm.k,MAX(IFERROR(--VLOOKUP(D134,УГО_спр,5,FALSE),0),IFERROR(--VLOOKUP(AT134,УГО_спр,5,FALSE),0),IFERROR(--VLOOKUP(LEFT(AT134,2),УГО_спр,5,FALSE),0)),IF(_xlpm.k&gt;0,_xlpm.k,IF(IFERROR(--LEFT(SUBSTITUTE(GR134,"x","х"),FIND("х",SUBSTITUTE(GR134,"x","х"))-1),3)&gt;3,Каталог!$S$9,1))))</f>
        <v>1</v>
      </c>
      <c r="GY134">
        <f t="shared" si="262"/>
        <v>0</v>
      </c>
    </row>
    <row r="135" spans="1:207" x14ac:dyDescent="0.3">
      <c r="A135" t="s">
        <v>756</v>
      </c>
      <c r="B135">
        <v>19</v>
      </c>
      <c r="C135" t="str">
        <f>IF(BD135="","",IF(BE135="вводной узел","узел ","")&amp;"л."&amp;(INT((BD135-1)/Столбцов_на_лист)+1)&amp;" / "&amp;(MOD(BD135-1,Столбцов_на_лист)+1))</f>
        <v>л.2 / 2</v>
      </c>
      <c r="D135" t="s">
        <v>1434</v>
      </c>
      <c r="E135" s="133" t="s">
        <v>1432</v>
      </c>
      <c r="G135">
        <v>0.104</v>
      </c>
      <c r="H135">
        <v>1</v>
      </c>
      <c r="I135">
        <v>1</v>
      </c>
      <c r="J135">
        <v>230</v>
      </c>
      <c r="K135" t="s">
        <v>602</v>
      </c>
      <c r="L135">
        <v>0.5</v>
      </c>
      <c r="O135">
        <v>2</v>
      </c>
      <c r="P135">
        <v>32</v>
      </c>
      <c r="Q135">
        <v>12</v>
      </c>
      <c r="R135">
        <v>22</v>
      </c>
      <c r="T135">
        <v>1</v>
      </c>
      <c r="U135" t="s">
        <v>11</v>
      </c>
      <c r="V135">
        <v>3</v>
      </c>
      <c r="W135">
        <v>1.5</v>
      </c>
      <c r="Z135" t="s">
        <v>580</v>
      </c>
      <c r="AA135" t="s">
        <v>818</v>
      </c>
      <c r="AD135" t="s">
        <v>517</v>
      </c>
      <c r="AK135" t="s">
        <v>488</v>
      </c>
      <c r="AR135" t="str">
        <f t="shared" si="176"/>
        <v/>
      </c>
      <c r="AS135" cm="1">
        <f t="array" ref="AS135">ROW()-ROW(Линии[#Headers])</f>
        <v>133</v>
      </c>
      <c r="AT135" t="str">
        <f t="shared" si="177"/>
        <v>K</v>
      </c>
      <c r="AU135" t="str">
        <f t="shared" si="178"/>
        <v>2.004A</v>
      </c>
      <c r="AV135" t="str">
        <f t="shared" si="179"/>
        <v>2</v>
      </c>
      <c r="AW135" t="str">
        <f t="shared" si="180"/>
        <v>004A</v>
      </c>
      <c r="AX135" t="str">
        <f t="shared" si="181"/>
        <v>004A</v>
      </c>
      <c r="AY135" t="str">
        <f>IF(D135="","",IF(ISERROR(SEARCH(".",D135)),IFERROR(VLOOKUP(D135,Потребители_обозначение,2,FALSE)&amp;"",""),IFERROR(IF(VLOOKUP(AT135,Потребители_обозначение,4,FALSE)=1,VLOOKUP(AT135,Потребители_обозначение,2,FALSE)&amp;" "&amp;VLOOKUP(AV135,Этаж_обозначение,2,FALSE)&amp;" Пом. №"&amp;AX135,VLOOKUP(AT135,Потребители_обозначение,2,FALSE)&amp;" Шлейф №"&amp;AV135),IFERROR(VLOOKUP(D135,Потребители_обозначение,2,FALSE),""))))</f>
        <v>Внутренний блок кондиционирования Второй этаж Пом. №004A</v>
      </c>
      <c r="AZ135" t="str">
        <f t="shared" si="182"/>
        <v>Внутренний блок кондиционирования Технический этаж Пом. №002Т</v>
      </c>
      <c r="BA135" t="str">
        <f>IF(F135&lt;&gt;"",F135,IF(AND(D135&lt;&gt;"",D135&lt;&gt;A135,ISNUMBER(_xlfn.XMATCH(D135,Щиты[Щит]))),D135,""))</f>
        <v/>
      </c>
      <c r="BB135">
        <f>IFERROR(_xlfn.XMATCH(A135,Щиты[Щит]),0)</f>
        <v>7</v>
      </c>
      <c r="BC135">
        <f>IFERROR(N(_xlfn.XLOOKUP(A135,Щиты[Щит],Щиты[Мест под вводной узел])),15)</f>
        <v>12</v>
      </c>
      <c r="BD135">
        <f t="shared" si="183"/>
        <v>19</v>
      </c>
      <c r="BE135" t="str">
        <f t="shared" si="184"/>
        <v>линии</v>
      </c>
      <c r="BF135">
        <f>IF(D135="","",IF(BA135&lt;&gt;"",IFERROR(_xlfn.XLOOKUP(BA135,Щиты[Щит],Щиты[Руст, кВт]),0),N(G135)))</f>
        <v>0.104</v>
      </c>
      <c r="BG135">
        <f>IF(J135&lt;&gt;"",J135,IF(D135="","",IFERROR(IF(VLOOKUP(AT135,Потребители_обозначение,8,FALSE)=0,"",VLOOKUP(AT135,Потребители_обозначение,8,FALSE)),"")))</f>
        <v>230</v>
      </c>
      <c r="BH135">
        <f>IF(I135&lt;&gt;"",I135,IF(D135="","",IFERROR(IF(VLOOKUP(AT135,Потребители_обозначение,9,FALSE)=0,"",VLOOKUP(AT135,Потребители_обозначение,9,FALSE)),"")))</f>
        <v>1</v>
      </c>
      <c r="BI135" t="str">
        <f>IF(U135&lt;&gt;"",U135,IF(D135="","",IFERROR(IF(VLOOKUP(AT135,Потребители_обозначение,6,FALSE)=0,"",VLOOKUP(AT135,Потребители_обозначение,6,FALSE)),"")))</f>
        <v>мс</v>
      </c>
      <c r="BJ135">
        <f>IF(V135&lt;&gt;"",V135,IF(D135="","",IFERROR(IF(VLOOKUP(AT135,Потребители_обозначение,7,FALSE)=0,"",VLOOKUP(AT135,Потребители_обозначение,7,FALSE)),"")))</f>
        <v>3</v>
      </c>
      <c r="BK135">
        <f>IF(W135&lt;&gt;"",W135,IF(D135="","",IFERROR(IF(VLOOKUP(AT135,Потребители_обозначение,10,FALSE)=0,"",VLOOKUP(AT135,Потребители_обозначение,10,FALSE)),"")))</f>
        <v>1.5</v>
      </c>
      <c r="BL135">
        <f>IFERROR(VLOOKUP(AT135,Потребители_обозначение,5,FALSE),0)</f>
        <v>1</v>
      </c>
      <c r="BM135" cm="1">
        <f t="array" ref="BM135">IF(D135="","",IF(BA135&lt;&gt;"",IFERROR(_xlfn.XLOOKUP(BA135,Щиты[Щит],Щиты[cos φ]),0.95),IF(ISNUMBER(M135),M135,IFERROR(IF(BL135=2,_xlfn.IFS(BH135=3,VLOOKUP(BF135,Справочная_двигатели,8,FALSE),BH135=1,VLOOKUP(BF135,Справочная_двигатели,10,TRUE)),IF(AND(Методика="нормы 2026",CN135="Сил"),0.8,0.95)),0.95))))</f>
        <v>0.95</v>
      </c>
      <c r="BN135" cm="1">
        <f t="array" ref="BN135">IF(D135="","",IF(BA135&lt;&gt;"",IFERROR(_xlfn.XLOOKUP(BA135,Щиты[Щит],Щиты[Iр, А]),""),IFERROR(_xlfn.IFS(BH135=1,BF135/((Uн_лин/SQRT(3))*BM135),BH135=3,BF135/(SQRT(3)*Uн_лин*BM135)),"")))</f>
        <v>0.47403495786095584</v>
      </c>
      <c r="BO135">
        <f>IF(D135="","",IF(N(X135)=0,IFERROR(VLOOKUP(BN135,Автомат_номиналы,2,TRUE),""),X135))</f>
        <v>6</v>
      </c>
      <c r="BP135">
        <f t="shared" si="185"/>
        <v>1</v>
      </c>
      <c r="BQ135">
        <f>IF(ISNUMBER(Y135),Y135,К_прокл)</f>
        <v>1</v>
      </c>
      <c r="BR135">
        <f t="shared" si="186"/>
        <v>2</v>
      </c>
      <c r="BS135" cm="1">
        <f t="array" ref="BS135">IF(D135="","",IF(N(BK135)&lt;&gt;0,BK135,IFERROR(_xlfn.LET(_xlpm.need,BO135/(BP135*BQ135),_xlpm.t,CHOOSE(BR135,Iдоп_1ж,Iдоп_2ж,Iдоп_3ж),_xlpm.k,_xlfn.XMATCH(_xlpm.need,_xlpm.t,1),IF(ISNA(_xlpm.k),"Не исп",INDEX(Iдоп_S,_xlpm.k))),"Не исп")))</f>
        <v>1.5</v>
      </c>
      <c r="BT135">
        <f>IFERROR(VLOOKUP(BS135,Кабель_сопротивление,3,FALSE),"")</f>
        <v>2.2499999999999999E-2</v>
      </c>
      <c r="BU135">
        <f>IFERROR(VLOOKUP(BS135,Кабель_сопротивление,2,FALSE),"")</f>
        <v>0.11</v>
      </c>
      <c r="BV135">
        <f t="shared" si="187"/>
        <v>32</v>
      </c>
      <c r="BW135">
        <f>IF(D135="","",IFERROR(IF(VLOOKUP(AT135,Потребители_обозначение,4,FALSE)=1,VLOOKUP(AT135,Потребители_обозначение,3,FALSE)*(H135*2-1)+BV135+VLOOKUP(AV135,Этаж_обозначение,3,FALSE)+VLOOKUP(AV135,Этаж_обозначение,4,FALSE),VLOOKUP(AT135,Потребители_обозначение,3,FALSE)*(H135*2-1)+BV135),BV135))</f>
        <v>34</v>
      </c>
      <c r="BX135">
        <f t="shared" si="188"/>
        <v>22</v>
      </c>
      <c r="BY135">
        <f t="shared" si="189"/>
        <v>0</v>
      </c>
      <c r="BZ135">
        <f t="shared" si="190"/>
        <v>2</v>
      </c>
      <c r="CA135">
        <f t="shared" si="191"/>
        <v>0.31</v>
      </c>
      <c r="CB135">
        <f t="shared" si="192"/>
        <v>0.46043906642755417</v>
      </c>
      <c r="CC135">
        <f>IFERROR(ROUNDUP(CB135/((Uн_лин/SQRT(3))*1000)*100,2),"")</f>
        <v>0.2</v>
      </c>
      <c r="CD135">
        <f>IF(ISNUMBER(CC135),CC135+IFERROR(_xlfn.XLOOKUP(A135,Щиты[Щит],Щиты[ΔU до шин, %]),0),"")</f>
        <v>1.22</v>
      </c>
      <c r="CE135">
        <f>IF(D135="","",IF(IFERROR(VLOOKUP(AT135,УГО_спр,2,FALSE),"")="Светильник",3,4)+IF(Методика="нормы 2026",MIN(0.5,MAX(0,N(BW135)-100)*0.005),0))</f>
        <v>4</v>
      </c>
      <c r="CF135" t="str">
        <f>IFERROR(VLOOKUP(BI135,Кабель_обозначение,2,FALSE),"")</f>
        <v>ВВГнг(А)-LS</v>
      </c>
      <c r="CG135" t="str">
        <f>IFERROR(IF(VLOOKUP(BI135,Кабель_обозначение,3,FALSE)=1,CF135&amp;" ("&amp;BJ135&amp;"х"&amp;BS135&amp;")",CF135),"")</f>
        <v>ВВГнг(А)-LS (3х1,5)</v>
      </c>
      <c r="CH135" t="str">
        <f t="shared" si="193"/>
        <v>ВВГнг(А)-LS (3х1,5)
L=34-0,2%</v>
      </c>
      <c r="CI135">
        <f>IFERROR(2*ρкз_Cu*BW135/BS135,"")</f>
        <v>1.1922666666666666</v>
      </c>
      <c r="CJ135">
        <f t="shared" si="194"/>
        <v>0.39666666666666672</v>
      </c>
      <c r="CK135" t="str">
        <f>IFERROR(IF(OR(D135="",NOT(ISNUMBER(BS135)),N(BW135)=0),"",_xlfn.XLOOKUP(A135,Щиты[Щит],Щиты[Zпетли на шинах, Ом])+CI135),"")</f>
        <v/>
      </c>
      <c r="CL135" t="str">
        <f>IF(ISNUMBER(CK135),c_min*(Uн_лин*1000/SQRT(3))/CK135,"")</f>
        <v/>
      </c>
      <c r="CM135" t="str">
        <f>IFERROR(IF(OR(D135="",NOT(ISNUMBER(BS135))),"",1.05*(Uн_лин*1000/SQRT(3))/(_xlfn.XLOOKUP(A135,Щиты[Щит],Щиты[Zmax на шинах, Ом])+CJ135)/1000),"")</f>
        <v/>
      </c>
      <c r="CN135" t="str">
        <f>IF(D135="","",IF(BA135&lt;&gt;"","Щит",IF(K135&lt;&gt;"",K135,IF(ISNUMBER(L135),"Сил",IF(IFERROR(_xlfn.XLOOKUP(AT135,Коды_код,Коды_группа)&amp;"","")="","Быт",_xlfn.XLOOKUP(AT135,Коды_код,Коды_группа)&amp;"")))))</f>
        <v>Сил</v>
      </c>
      <c r="CO135">
        <f>IF(CN135="Щит","щит",IF(CN135="","",IF(CN135="Быт",IFERROR(_xlfn.XLOOKUP(A135,Щиты[Щит],Щиты[Кс быт]),1),IF(CN135="Сил",IF(ISNUMBER(L135),L135,IF(Методика="нормы 2026",IFERROR(_xlfn.XLOOKUP(A135,Щиты[Щит],Щиты[Кс силовых (табл. 7.5)]),1),1)),IF(OR(CN135="Пост",CN135="Отоп"),1,IF(CN135="ВНГ",0.7,0))))))</f>
        <v>0.5</v>
      </c>
      <c r="CP135">
        <f t="shared" si="195"/>
        <v>1</v>
      </c>
      <c r="CQ135">
        <f t="shared" si="196"/>
        <v>0.104</v>
      </c>
      <c r="CR135">
        <f t="shared" si="197"/>
        <v>0</v>
      </c>
      <c r="CS135">
        <f t="shared" si="198"/>
        <v>5.1999999999999998E-2</v>
      </c>
      <c r="CT135">
        <f t="shared" si="199"/>
        <v>0</v>
      </c>
      <c r="CU135">
        <f t="shared" si="200"/>
        <v>0</v>
      </c>
      <c r="CV135">
        <f t="shared" si="201"/>
        <v>0</v>
      </c>
      <c r="CW135">
        <f t="shared" si="202"/>
        <v>0.104</v>
      </c>
      <c r="CX135">
        <f t="shared" si="203"/>
        <v>9.8799999999999985E-2</v>
      </c>
      <c r="CY135">
        <f t="shared" si="204"/>
        <v>2</v>
      </c>
      <c r="CZ135" t="str">
        <f t="shared" si="205"/>
        <v>L2</v>
      </c>
      <c r="DA135" cm="1">
        <f t="array" ref="DA135">IFERROR(IF(BL135=2,_xlfn.IFS(BH135=3,VLOOKUP(BF135,Справочная_двигатели,3,FALSE),BH135=1,VLOOKUP(BF135,Справочная_двигатели,5,TRUE)),0),0)</f>
        <v>0</v>
      </c>
      <c r="DB135">
        <f>IFERROR(IF(BL135=3,VLOOKUP(BF135,Справочная_ЛЭД,2,TRUE),0),0)</f>
        <v>0</v>
      </c>
      <c r="DC135">
        <f t="shared" si="206"/>
        <v>0</v>
      </c>
      <c r="DD135" t="str">
        <f t="shared" si="207"/>
        <v>L2</v>
      </c>
      <c r="DE135" t="str" cm="1">
        <f t="array" ref="DE135">IF(D135="","",IFERROR(INDEX({"I особая","I","II","III"},MATCH(TRIM(AA135&amp;""),{"I особая","I","II","III"},0)),"III"))</f>
        <v>II</v>
      </c>
      <c r="DF135" t="str">
        <f>IF(D135="","",IF(TRIM(AB135&amp;"")&lt;&gt;"",IF(LOWER(TRIM(AB135&amp;""))="да","да","нет"),IF(IFERROR(_xlfn.XLOOKUP(AT135,Коды_код,Коды_пожарная),"")="да","да","нет")))</f>
        <v>нет</v>
      </c>
      <c r="DG135" t="str">
        <f t="shared" si="208"/>
        <v/>
      </c>
      <c r="DH135" t="str">
        <f t="shared" si="209"/>
        <v>основная</v>
      </c>
      <c r="DI135">
        <f t="shared" si="210"/>
        <v>1</v>
      </c>
      <c r="DJ135" t="str" cm="1">
        <f t="array" ref="DJ135">IF(D135="","",_xlfn.LET(_xlpm.t,IFERROR(_xlfn.XLOOKUP(1,(Шины[Шина]=DH135)*(((Шины[Щит]=A135)+(Шины[Щит]=""))&gt;0),Шины[Тип]),"")&amp;"",IF(_xlpm.t&lt;&gt;"",_xlpm.t,IF(ISNUMBER(SEARCH("ИБП",DH135)),"ИБП",IF(ISNUMBER(SEARCH("ДГУ",DH135)),"ДГУ","Ввод "&amp;DI135)))))</f>
        <v>Ввод 1</v>
      </c>
      <c r="DK135" t="str">
        <f t="shared" si="211"/>
        <v>Ввод 1</v>
      </c>
      <c r="DL135" t="str">
        <f>IF(D135="","",IF(OR(DJ135="ИБП",DJ135="ДГУ"),"I особая",IF(DJ135="Одиночная","III",_xlfn.XLOOKUP(A135,Щиты[Щит],Щиты[Категория шины «Ввод»],"III"))))</f>
        <v>II</v>
      </c>
      <c r="DM135">
        <f>IF(D135="",0,IFERROR(MATCH(DE135,{"III","II","I","I особая"},0),1))</f>
        <v>2</v>
      </c>
      <c r="DN135">
        <f t="shared" si="212"/>
        <v>2</v>
      </c>
      <c r="DO135" t="str">
        <f>IF(D135="","",IF(DM135&gt;IFERROR(MATCH(DL135,{"III","II","I","I особая"},0),1),"НЕ ОБЕСПЕЧЕНА","ОК"))</f>
        <v>ОК</v>
      </c>
      <c r="DP135" t="str">
        <f>IF(A135="","",_xlfn.XLOOKUP(A135,Щиты[Щит],Щиты[Путь],""))</f>
        <v>|ГРЩ-ЖД|ЩОВ-2|</v>
      </c>
      <c r="DQ135" t="str">
        <f>IF(D135="","",IF(Z135&lt;&gt;"",Z135,IF(IFERROR(_xlfn.XLOOKUP(AT135,Коды_код,Коды_вид)&amp;"","")="","Прочее",_xlfn.XLOOKUP(AT135,Коды_код,Коды_вид)&amp;"")))</f>
        <v>Кондиционирование и увлажнение</v>
      </c>
      <c r="DR135">
        <f>IF(BD135="","",INT((BD135-1)/Столбцов_на_лист)+1)</f>
        <v>2</v>
      </c>
      <c r="DS135" t="str">
        <f t="shared" si="213"/>
        <v>ВВГнг(А)-LS (3х1,5) L=34-0,2%</v>
      </c>
      <c r="DT135">
        <f t="shared" si="214"/>
        <v>0.104</v>
      </c>
      <c r="DU135">
        <f t="shared" si="215"/>
        <v>0.48</v>
      </c>
      <c r="DV135">
        <f t="shared" si="216"/>
        <v>1</v>
      </c>
      <c r="DW135">
        <f>IF(AT135="",0,_xlfn.LET(_xlpm.v,IFERROR(VLOOKUP(D135,УГО_спр,3,FALSE),IFERROR(VLOOKUP(AT135,УГО_спр,3,FALSE),IFERROR(VLOOKUP(LEFT(AT135,2),УГО_спр,3,FALSE),""))),IF(_xlpm.v="да",30,IF(ISNUMBER(_xlpm.v),_xlpm.v,0))))</f>
        <v>0</v>
      </c>
      <c r="DX135">
        <f t="shared" si="217"/>
        <v>0</v>
      </c>
      <c r="DY135">
        <f>IF(BD135="","",IF(AD135&lt;&gt;"",COUNTIFS(A$3:A135,A135,AD$3:AD135,"?*"),IF(OR(OR(AS135=1,A135&lt;&gt;A134),AL135="вручную"),"",IF(AS135=1,"",DZ134))))</f>
        <v>5</v>
      </c>
      <c r="DZ135">
        <f t="shared" si="218"/>
        <v>5</v>
      </c>
      <c r="EA135">
        <f>IF(D135="",0,MAX(IFERROR(--X135,0),IFERROR(--VLOOKUP(D135,УГО_спр,4,FALSE),IFERROR(--VLOOKUP(AT135,УГО_спр,4,FALSE),IFERROR(--VLOOKUP(LEFT(AT135,2),УГО_спр,4,FALSE),0)))))</f>
        <v>0</v>
      </c>
      <c r="EB135">
        <f>IF(D135="","",IFERROR(LOOKUP(INDEX(CHOOSE(BR135,Iдоп_1ж,Iдоп_2ж,Iдоп_3ж),MATCH(BS135,Iдоп_S,0))*BP135*BQ135,{6,10,16,20,25,32,40,50,63,80,100,125,160,200,250,315,400,500,630}),""))</f>
        <v>16</v>
      </c>
      <c r="EC135">
        <f>IF(AD135="","",SUMIFS(Линии[_Ток схемы],Линии[_гр.],DY135,Линии[Щит],A135,Линии[_в кабель выше],0))</f>
        <v>0.48</v>
      </c>
      <c r="ED135">
        <f>IF(AD135="","",IFERROR(VLOOKUP(EC135,Автомат_номиналы,2,TRUE),""))</f>
        <v>6</v>
      </c>
      <c r="EE135">
        <f>IF(AD135="","",MAX(N(ED135),_xlfn.MAXIFS(Линии[_мин. по типу],Линии[_гр.],DY135,Линии[Щит],A135)))</f>
        <v>6</v>
      </c>
      <c r="EF135">
        <f>IF(AD135="","",_xlfn.MINIFS(Линии[_макс. автомат по кабелю],Линии[_гр.],DY135,Линии[Щит],A135))</f>
        <v>16</v>
      </c>
      <c r="EG135">
        <f>IF(AD135="","",MAX(1,_xlfn.MAXIFS(Линии[_фаз],Линии[_гр.],DY135,Линии[Щит],A135)))</f>
        <v>1</v>
      </c>
      <c r="EH135">
        <f>IF(AD135="","",IF(AND(AD135&lt;&gt;"авто",AD135&lt;&gt;"+"),IF(ISNUMBER(SEARCH("мА",AD135)),IFERROR(--TRIM(RIGHT(SUBSTITUTE(LEFT(AD135,SEARCH("мА",AD135)-1)," ",REPT(" ",9)),6)),30),0),IF(AE135="нет",0,IF(ISNUMBER(AE135),AE135,IF(AE135="да",30,_xlfn.MINIFS(Линии[_дифзащита по коду, мА],Линии[_гр.],DY135,Линии[Щит],A135,Линии[_дифзащита по коду, мА],"&gt;0"))))))</f>
        <v>0</v>
      </c>
      <c r="EI135">
        <f t="shared" si="219"/>
        <v>0</v>
      </c>
      <c r="EJ135" t="str">
        <f t="shared" si="220"/>
        <v>QF5</v>
      </c>
      <c r="EK135" t="str">
        <f t="shared" si="221"/>
        <v>QF5</v>
      </c>
      <c r="EL135" t="str">
        <f t="shared" si="222"/>
        <v/>
      </c>
      <c r="EM135">
        <f t="shared" si="223"/>
        <v>0</v>
      </c>
      <c r="EN135">
        <f>IF(AD135="","",IF(EM135=1,MAX(EE135,Мин_автомат_БП),EE135))</f>
        <v>6</v>
      </c>
      <c r="EO135" t="str">
        <f t="shared" si="224"/>
        <v>1P</v>
      </c>
      <c r="EP135" t="str">
        <f t="shared" si="225"/>
        <v>1P С6А</v>
      </c>
      <c r="EQ135">
        <f t="shared" si="226"/>
        <v>6</v>
      </c>
      <c r="ER135" t="str">
        <f>IF(OR(AI135="",AI135="-"),"",IFERROR(VLOOKUP(AI135,Модули_спр,2,FALSE),"R"))</f>
        <v/>
      </c>
      <c r="ES135" t="str">
        <f>IF(ER135="","",ER135&amp;"."&amp;COUNTIFS(A$3:A135,A135,ER$3:ER135,ER135))</f>
        <v/>
      </c>
      <c r="ET135" t="str">
        <f t="shared" si="227"/>
        <v/>
      </c>
      <c r="EU135" t="str">
        <f t="shared" si="228"/>
        <v/>
      </c>
      <c r="EV135" t="str">
        <f t="shared" si="229"/>
        <v/>
      </c>
      <c r="EW135" t="str">
        <f t="shared" si="230"/>
        <v/>
      </c>
      <c r="EX135">
        <f t="shared" si="231"/>
        <v>1</v>
      </c>
      <c r="EY135" t="str">
        <f>IF(AK135="нет","",IF(AK135&lt;&gt;"",AK135,IF(EX135=1,"XT"&amp;COUNTIFS(A$3:A135,A135,EX$3:EX135,1),"")))</f>
        <v/>
      </c>
      <c r="EZ135" t="str">
        <f t="shared" si="232"/>
        <v>QF5</v>
      </c>
      <c r="FA135" t="str">
        <f t="shared" si="233"/>
        <v/>
      </c>
      <c r="FB135" t="str">
        <f t="shared" si="234"/>
        <v>ok</v>
      </c>
      <c r="FC135" t="str">
        <f>IF(OR(EV135="",ET135=""),"",IF(EV135&gt;IFERROR(VLOOKUP(EU135,Модули_спр,3,FALSE),99),"ЛИШНИЙ КАНАЛ",IF(AND(AJ135&lt;&gt;"=",COUNTIFS(Линии[_модуль гр.],ET135,Линии[Канал (итог)],EV135,Линии[Канал],"&lt;&gt;=",Линии[Щит],A135)&gt;1),"ДУБЛЬ КАНАЛА","")))</f>
        <v/>
      </c>
      <c r="FD135">
        <f t="shared" si="235"/>
        <v>6</v>
      </c>
      <c r="FE135" t="str">
        <f t="shared" si="236"/>
        <v>1P С6А</v>
      </c>
      <c r="FF135">
        <f t="shared" si="237"/>
        <v>0</v>
      </c>
      <c r="FG135">
        <f t="shared" si="238"/>
        <v>0</v>
      </c>
      <c r="FH135" t="str">
        <f t="shared" si="239"/>
        <v/>
      </c>
      <c r="FI135">
        <f t="shared" si="240"/>
        <v>10</v>
      </c>
      <c r="FJ135" t="str">
        <f t="shared" si="241"/>
        <v/>
      </c>
      <c r="FK135" t="str">
        <f>IF(AND(D135="",EZ135=""),"",_xlfn.TEXTJOIN("; ",TRUE,IF(AND(D135&lt;&gt;"",DD135=""),"нет фазы",""),IF(AND(D135&lt;&gt;"",N(DT135)=0,CN135&lt;&gt;"Нет"),"нет мощности",""),IF(AND(EY135&lt;&gt;"",COUNTIFS(Линии[Щит],A135,Линии[Клемма (итог)],EY135)&gt;1),"дубль клеммы "&amp;EY135,""),IF(AND(FB135&lt;&gt;"",FB135&lt;&gt;"ok"),FB135,""),IF(FC135&lt;&gt;"",FC135,""),IF(AND(ISNUMBER(SEARCH("(5х",DS135)),N(DV135)=1),"5 жил на 1 фазе",""),IF(AND(AT135="R",AD135&lt;&gt;"",OR(N(EH135)=0,N(EH135)&gt;30)),"розетка без дифзащиты до 30 мА",""),IFERROR(IF(AND(ISNUMBER(CD135),CD135&gt;CE135),"потери "&amp;FIXED(CD135,1)&amp;" % &gt; "&amp;CE135&amp;" %",""),""),IFERROR(IF(LEFT(FJ135,4)="мало","Iкз мало — отключение &gt; 0,4 с",""),""),IF(AND(D135&lt;&gt;"",BD135=""),"не на схеме","")))</f>
        <v/>
      </c>
      <c r="FL135" t="str">
        <f>IF(AD135="","",_xlfn.LET(_xlpm.t,IFERROR(_xlfn.XLOOKUP(EP135,Каталог!$U$4:$U$500,Каталог!$G$4:$G$500),""),_xlpm.k,SEARCH("кА",_xlpm.t),IFERROR(--TRIM(RIGHT(SUBSTITUTE(MID(_xlpm.t,MAX(1,_xlpm.k-4),_xlpm.k-MAX(1,_xlpm.k-4))," ",REPT(" ",9)),5)),"")))</f>
        <v/>
      </c>
      <c r="FM135" t="str">
        <f>IF(OR(FL135="",AD135=""),"",IF(_xlfn.XLOOKUP(A135,Щиты[Щит],Щиты[Iкз max на шинах, кА],"")="","",IF(FL135&lt;_xlfn.XLOOKUP(A135,Щиты[Щит],Щиты[Iкз max на шинах, кА]),"Icu "&amp;FL135&amp;" кА &lt; Iкз max","ok")))</f>
        <v/>
      </c>
      <c r="FN135" t="str">
        <f t="shared" si="242"/>
        <v>QF5</v>
      </c>
      <c r="FO135" t="str">
        <f t="shared" si="243"/>
        <v>QF5|кабель ВВГнг(А)-LS (3х1,5) → Внутренний блок кондиционирования Технический этаж Пом. №002Т</v>
      </c>
      <c r="FP135" t="str" cm="1">
        <f t="array" ref="FP135">IF(FO135="","",_xlfn.LET(_xlpm.nd,_xlfn.TEXTSPLIT(FO135,"|"),IF(COLUMNS(_xlpm.nd)&gt;1,A135&amp;"¦"&amp;INDEX(_xlpm.nd,1)&amp;"¦"&amp;INDEX(_xlpm.nd,2),"")))</f>
        <v>ЩОВ-2¦QF5¦кабель ВВГнг(А)-LS (3х1,5) → Внутренний блок кондиционирования Технический этаж Пом. №002Т</v>
      </c>
      <c r="FQ135" t="str">
        <f t="shared" si="244"/>
        <v>K.2.004A¦Внутренний блок кондиционирования Технический этаж Пом. №002Т</v>
      </c>
      <c r="FR135" t="str" cm="1">
        <f t="array" ref="FR135">IF(FO135="","",_xlfn.LET(_xlpm.nd,_xlfn.TEXTSPLIT(FO135,"|"),IF(COLUMNS(_xlpm.nd)&gt;2,A135&amp;"¦"&amp;INDEX(_xlpm.nd,2)&amp;"¦"&amp;INDEX(_xlpm.nd,3),"")))</f>
        <v/>
      </c>
      <c r="FS135" t="str">
        <f t="shared" si="245"/>
        <v/>
      </c>
      <c r="FT135" t="str" cm="1">
        <f t="array" ref="FT135">IF(FO135="","",_xlfn.LET(_xlpm.nd,_xlfn.TEXTSPLIT(FO135,"|"),IF(COLUMNS(_xlpm.nd)&gt;3,A135&amp;"¦"&amp;INDEX(_xlpm.nd,3)&amp;"¦"&amp;INDEX(_xlpm.nd,4),"")))</f>
        <v/>
      </c>
      <c r="FU135" t="str">
        <f t="shared" si="246"/>
        <v/>
      </c>
      <c r="FV135" t="str" cm="1">
        <f t="array" ref="FV135">IF(FO135="","",_xlfn.LET(_xlpm.nd,_xlfn.TEXTSPLIT(FO135,"|"),IF(COLUMNS(_xlpm.nd)&gt;4,A135&amp;"¦"&amp;INDEX(_xlpm.nd,4)&amp;"¦"&amp;INDEX(_xlpm.nd,5),"")))</f>
        <v/>
      </c>
      <c r="FW135" t="str">
        <f t="shared" si="247"/>
        <v/>
      </c>
      <c r="FX135" t="str" cm="1">
        <f t="array" ref="FX135">IF(FO135="","",_xlfn.LET(_xlpm.nd,_xlfn.TEXTSPLIT(FO135,"|"),IF(COLUMNS(_xlpm.nd)&gt;5,A135&amp;"¦"&amp;INDEX(_xlpm.nd,5)&amp;"¦"&amp;INDEX(_xlpm.nd,6),"")))</f>
        <v/>
      </c>
      <c r="FY135" t="str">
        <f t="shared" si="248"/>
        <v/>
      </c>
      <c r="FZ135" t="str" cm="1">
        <f t="array" ref="FZ135">IF(FO135="","",_xlfn.LET(_xlpm.nd,_xlfn.TEXTSPLIT(FO135,"|"),IF(COLUMNS(_xlpm.nd)&gt;6,A135&amp;"¦"&amp;INDEX(_xlpm.nd,6)&amp;"¦"&amp;INDEX(_xlpm.nd,7),"")))</f>
        <v/>
      </c>
      <c r="GA135" t="str">
        <f t="shared" si="249"/>
        <v/>
      </c>
      <c r="GB135" t="str">
        <f t="shared" si="250"/>
        <v/>
      </c>
      <c r="GC135" t="str">
        <f t="shared" si="251"/>
        <v>QF5</v>
      </c>
      <c r="GD135">
        <f t="shared" si="252"/>
        <v>1</v>
      </c>
      <c r="GE135">
        <f t="shared" si="253"/>
        <v>0</v>
      </c>
      <c r="GF135">
        <f t="shared" si="254"/>
        <v>0</v>
      </c>
      <c r="GG135" t="str">
        <f t="shared" si="255"/>
        <v/>
      </c>
      <c r="GH135" t="str">
        <f t="shared" si="256"/>
        <v/>
      </c>
      <c r="GI135" t="str">
        <f t="shared" si="257"/>
        <v/>
      </c>
      <c r="GJ135" t="str">
        <f t="shared" si="258"/>
        <v/>
      </c>
      <c r="GK135">
        <f>IF(D135="","",IFERROR(VLOOKUP(D135,УГО_спр,2,FALSE),IFERROR(VLOOKUP(AT135,УГО_спр,2,FALSE),IFERROR(VLOOKUP(LEFT(AT135,2),УГО_спр,2,FALSE),""))))</f>
        <v>0</v>
      </c>
      <c r="GL135" t="str">
        <f>IF(D135="","",IF(OR(GK135="",GK135=0),"BOX",IFERROR(IF(VLOOKUP(GK135,УГО_блоки,3,FALSE)&amp;""&lt;&gt;"",VLOOKUP(GK135,УГО_блоки,3,FALSE),VLOOKUP(GK135,УГО_блоки,2,FALSE)),GK135)))</f>
        <v>BOX</v>
      </c>
      <c r="GM135">
        <f t="shared" si="259"/>
        <v>1</v>
      </c>
      <c r="GN135" t="str">
        <f>IF(EP135="","",IF(COUNTIF(EP$3:EP135,EP135)=1,MAX(GN$2:GN134)+1,""))</f>
        <v/>
      </c>
      <c r="GO135" t="str">
        <f>IF(AF135="","",IF(COUNTIF(AF$3:AF135,AF135)+COUNTIF(AG$2:AG134,AF135)+COUNTIF(AH$2:AH134,AF135)=1,MAX(GO$2:GQ134)+1,""))</f>
        <v/>
      </c>
      <c r="GP135" t="str">
        <f>IF(AG135="","",IF(COUNTIF(AF$3:AF135,AG135)+COUNTIF(AG$3:AG135,AG135)+COUNTIF(AH$2:AH134,AG135)=1,MAX(GO$2:GQ134,GO135)+1,""))</f>
        <v/>
      </c>
      <c r="GQ135" t="str">
        <f>IF(AH135="","",IF(COUNTIF(AF$3:AF135,AH135)+COUNTIF(AG$3:AG135,AH135)+COUNTIF(AH$3:AH135,AH135)=1,MAX(GO$2:GQ134,GO135,GP135)+1,""))</f>
        <v/>
      </c>
      <c r="GR135" t="str">
        <f t="shared" si="260"/>
        <v>3х1,5</v>
      </c>
      <c r="GS135" t="str">
        <f>IF(GR135="","",IF(COUNTIF(GR$3:GR135,GR135)=1,MAX(GS$2:GS134)+1,""))</f>
        <v/>
      </c>
      <c r="GT135" t="str">
        <f>IF(ES135="","",COUNTIF(ES$3:ES135,"?*"))</f>
        <v/>
      </c>
      <c r="GU135" t="str">
        <f>IF(OR(ES135="",EU135=""),"",IF(COUNTIFS(ES$3:ES135,"?*",EU$3:EU135,EU135)=1,MAX(GU$2:GU134)+1,""))</f>
        <v/>
      </c>
      <c r="GV135">
        <f t="shared" si="261"/>
        <v>0</v>
      </c>
      <c r="GW135">
        <f>IF(D135="","",COUNTIF(D$3:D135,"?*"))</f>
        <v>133</v>
      </c>
      <c r="GX135">
        <f>IF(EX135&lt;&gt;1,0,_xlfn.LET(_xlpm.k,MAX(IFERROR(--VLOOKUP(D135,УГО_спр,5,FALSE),0),IFERROR(--VLOOKUP(AT135,УГО_спр,5,FALSE),0),IFERROR(--VLOOKUP(LEFT(AT135,2),УГО_спр,5,FALSE),0)),IF(_xlpm.k&gt;0,_xlpm.k,IF(IFERROR(--LEFT(SUBSTITUTE(GR135,"x","х"),FIND("х",SUBSTITUTE(GR135,"x","х"))-1),3)&gt;3,Каталог!$S$9,1))))</f>
        <v>1</v>
      </c>
      <c r="GY135">
        <f t="shared" si="262"/>
        <v>0</v>
      </c>
    </row>
    <row r="136" spans="1:207" x14ac:dyDescent="0.3">
      <c r="A136" t="s">
        <v>756</v>
      </c>
      <c r="B136">
        <v>20</v>
      </c>
      <c r="C136" t="str">
        <f>IF(BD136="","",IF(BE136="вводной узел","узел ","")&amp;"л."&amp;(INT((BD136-1)/Столбцов_на_лист)+1)&amp;" / "&amp;(MOD(BD136-1,Столбцов_на_лист)+1))</f>
        <v>л.2 / 3</v>
      </c>
      <c r="D136" t="s">
        <v>1435</v>
      </c>
      <c r="E136" s="133" t="s">
        <v>1432</v>
      </c>
      <c r="G136">
        <v>0.16200000000000001</v>
      </c>
      <c r="H136">
        <v>1</v>
      </c>
      <c r="I136">
        <v>1</v>
      </c>
      <c r="J136">
        <v>230</v>
      </c>
      <c r="K136" t="s">
        <v>602</v>
      </c>
      <c r="L136">
        <v>0.5</v>
      </c>
      <c r="O136">
        <v>1</v>
      </c>
      <c r="P136">
        <v>32</v>
      </c>
      <c r="Q136">
        <v>12</v>
      </c>
      <c r="R136">
        <v>22</v>
      </c>
      <c r="T136">
        <v>1</v>
      </c>
      <c r="U136" t="s">
        <v>11</v>
      </c>
      <c r="V136">
        <v>3</v>
      </c>
      <c r="W136">
        <v>1.5</v>
      </c>
      <c r="Z136" t="s">
        <v>580</v>
      </c>
      <c r="AA136" t="s">
        <v>818</v>
      </c>
      <c r="AD136" t="s">
        <v>517</v>
      </c>
      <c r="AR136" t="str">
        <f t="shared" si="176"/>
        <v/>
      </c>
      <c r="AS136" cm="1">
        <f t="array" ref="AS136">ROW()-ROW(Линии[#Headers])</f>
        <v>134</v>
      </c>
      <c r="AT136" t="str">
        <f t="shared" si="177"/>
        <v>K</v>
      </c>
      <c r="AU136" t="str">
        <f t="shared" si="178"/>
        <v>2.005A</v>
      </c>
      <c r="AV136" t="str">
        <f t="shared" si="179"/>
        <v>2</v>
      </c>
      <c r="AW136" t="str">
        <f t="shared" si="180"/>
        <v>005A</v>
      </c>
      <c r="AX136" t="str">
        <f t="shared" si="181"/>
        <v>005A</v>
      </c>
      <c r="AY136" t="str">
        <f>IF(D136="","",IF(ISERROR(SEARCH(".",D136)),IFERROR(VLOOKUP(D136,Потребители_обозначение,2,FALSE)&amp;"",""),IFERROR(IF(VLOOKUP(AT136,Потребители_обозначение,4,FALSE)=1,VLOOKUP(AT136,Потребители_обозначение,2,FALSE)&amp;" "&amp;VLOOKUP(AV136,Этаж_обозначение,2,FALSE)&amp;" Пом. №"&amp;AX136,VLOOKUP(AT136,Потребители_обозначение,2,FALSE)&amp;" Шлейф №"&amp;AV136),IFERROR(VLOOKUP(D136,Потребители_обозначение,2,FALSE),""))))</f>
        <v>Внутренний блок кондиционирования Второй этаж Пом. №005A</v>
      </c>
      <c r="AZ136" t="str">
        <f t="shared" si="182"/>
        <v>Внутренний блок кондиционирования Технический этаж Пом. №002Т</v>
      </c>
      <c r="BA136" t="str">
        <f>IF(F136&lt;&gt;"",F136,IF(AND(D136&lt;&gt;"",D136&lt;&gt;A136,ISNUMBER(_xlfn.XMATCH(D136,Щиты[Щит]))),D136,""))</f>
        <v/>
      </c>
      <c r="BB136">
        <f>IFERROR(_xlfn.XMATCH(A136,Щиты[Щит]),0)</f>
        <v>7</v>
      </c>
      <c r="BC136">
        <f>IFERROR(N(_xlfn.XLOOKUP(A136,Щиты[Щит],Щиты[Мест под вводной узел])),15)</f>
        <v>12</v>
      </c>
      <c r="BD136">
        <f t="shared" si="183"/>
        <v>20</v>
      </c>
      <c r="BE136" t="str">
        <f t="shared" si="184"/>
        <v>линии</v>
      </c>
      <c r="BF136">
        <f>IF(D136="","",IF(BA136&lt;&gt;"",IFERROR(_xlfn.XLOOKUP(BA136,Щиты[Щит],Щиты[Руст, кВт]),0),N(G136)))</f>
        <v>0.16200000000000001</v>
      </c>
      <c r="BG136">
        <f>IF(J136&lt;&gt;"",J136,IF(D136="","",IFERROR(IF(VLOOKUP(AT136,Потребители_обозначение,8,FALSE)=0,"",VLOOKUP(AT136,Потребители_обозначение,8,FALSE)),"")))</f>
        <v>230</v>
      </c>
      <c r="BH136">
        <f>IF(I136&lt;&gt;"",I136,IF(D136="","",IFERROR(IF(VLOOKUP(AT136,Потребители_обозначение,9,FALSE)=0,"",VLOOKUP(AT136,Потребители_обозначение,9,FALSE)),"")))</f>
        <v>1</v>
      </c>
      <c r="BI136" t="str">
        <f>IF(U136&lt;&gt;"",U136,IF(D136="","",IFERROR(IF(VLOOKUP(AT136,Потребители_обозначение,6,FALSE)=0,"",VLOOKUP(AT136,Потребители_обозначение,6,FALSE)),"")))</f>
        <v>мс</v>
      </c>
      <c r="BJ136">
        <f>IF(V136&lt;&gt;"",V136,IF(D136="","",IFERROR(IF(VLOOKUP(AT136,Потребители_обозначение,7,FALSE)=0,"",VLOOKUP(AT136,Потребители_обозначение,7,FALSE)),"")))</f>
        <v>3</v>
      </c>
      <c r="BK136">
        <f>IF(W136&lt;&gt;"",W136,IF(D136="","",IFERROR(IF(VLOOKUP(AT136,Потребители_обозначение,10,FALSE)=0,"",VLOOKUP(AT136,Потребители_обозначение,10,FALSE)),"")))</f>
        <v>1.5</v>
      </c>
      <c r="BL136">
        <f>IFERROR(VLOOKUP(AT136,Потребители_обозначение,5,FALSE),0)</f>
        <v>1</v>
      </c>
      <c r="BM136" cm="1">
        <f t="array" ref="BM136">IF(D136="","",IF(BA136&lt;&gt;"",IFERROR(_xlfn.XLOOKUP(BA136,Щиты[Щит],Щиты[cos φ]),0.95),IF(ISNUMBER(M136),M136,IFERROR(IF(BL136=2,_xlfn.IFS(BH136=3,VLOOKUP(BF136,Справочная_двигатели,8,FALSE),BH136=1,VLOOKUP(BF136,Справочная_двигатели,10,TRUE)),IF(AND(Методика="нормы 2026",CN136="Сил"),0.8,0.95)),0.95))))</f>
        <v>0.95</v>
      </c>
      <c r="BN136" cm="1">
        <f t="array" ref="BN136">IF(D136="","",IF(BA136&lt;&gt;"",IFERROR(_xlfn.XLOOKUP(BA136,Щиты[Щит],Щиты[Iр, А]),""),IFERROR(_xlfn.IFS(BH136=1,BF136/((Uн_лин/SQRT(3))*BM136),BH136=3,BF136/(SQRT(3)*Uн_лин*BM136)),"")))</f>
        <v>0.73840060743725822</v>
      </c>
      <c r="BO136">
        <f>IF(D136="","",IF(N(X136)=0,IFERROR(VLOOKUP(BN136,Автомат_номиналы,2,TRUE),""),X136))</f>
        <v>6</v>
      </c>
      <c r="BP136">
        <f t="shared" si="185"/>
        <v>1</v>
      </c>
      <c r="BQ136">
        <f>IF(ISNUMBER(Y136),Y136,К_прокл)</f>
        <v>1</v>
      </c>
      <c r="BR136">
        <f t="shared" si="186"/>
        <v>2</v>
      </c>
      <c r="BS136" cm="1">
        <f t="array" ref="BS136">IF(D136="","",IF(N(BK136)&lt;&gt;0,BK136,IFERROR(_xlfn.LET(_xlpm.need,BO136/(BP136*BQ136),_xlpm.t,CHOOSE(BR136,Iдоп_1ж,Iдоп_2ж,Iдоп_3ж),_xlpm.k,_xlfn.XMATCH(_xlpm.need,_xlpm.t,1),IF(ISNA(_xlpm.k),"Не исп",INDEX(Iдоп_S,_xlpm.k))),"Не исп")))</f>
        <v>1.5</v>
      </c>
      <c r="BT136">
        <f>IFERROR(VLOOKUP(BS136,Кабель_сопротивление,3,FALSE),"")</f>
        <v>2.2499999999999999E-2</v>
      </c>
      <c r="BU136">
        <f>IFERROR(VLOOKUP(BS136,Кабель_сопротивление,2,FALSE),"")</f>
        <v>0.11</v>
      </c>
      <c r="BV136">
        <f t="shared" si="187"/>
        <v>32</v>
      </c>
      <c r="BW136">
        <f>IF(D136="","",IFERROR(IF(VLOOKUP(AT136,Потребители_обозначение,4,FALSE)=1,VLOOKUP(AT136,Потребители_обозначение,3,FALSE)*(H136*2-1)+BV136+VLOOKUP(AV136,Этаж_обозначение,3,FALSE)+VLOOKUP(AV136,Этаж_обозначение,4,FALSE),VLOOKUP(AT136,Потребители_обозначение,3,FALSE)*(H136*2-1)+BV136),BV136))</f>
        <v>34</v>
      </c>
      <c r="BX136">
        <f t="shared" si="188"/>
        <v>22</v>
      </c>
      <c r="BY136">
        <f t="shared" si="189"/>
        <v>0</v>
      </c>
      <c r="BZ136">
        <f t="shared" si="190"/>
        <v>2</v>
      </c>
      <c r="CA136">
        <f t="shared" si="191"/>
        <v>0.31</v>
      </c>
      <c r="CB136">
        <f t="shared" si="192"/>
        <v>0.71722239193522863</v>
      </c>
      <c r="CC136">
        <f>IFERROR(ROUNDUP(CB136/((Uн_лин/SQRT(3))*1000)*100,2),"")</f>
        <v>0.32</v>
      </c>
      <c r="CD136">
        <f>IF(ISNUMBER(CC136),CC136+IFERROR(_xlfn.XLOOKUP(A136,Щиты[Щит],Щиты[ΔU до шин, %]),0),"")</f>
        <v>1.34</v>
      </c>
      <c r="CE136">
        <f>IF(D136="","",IF(IFERROR(VLOOKUP(AT136,УГО_спр,2,FALSE),"")="Светильник",3,4)+IF(Методика="нормы 2026",MIN(0.5,MAX(0,N(BW136)-100)*0.005),0))</f>
        <v>4</v>
      </c>
      <c r="CF136" t="str">
        <f>IFERROR(VLOOKUP(BI136,Кабель_обозначение,2,FALSE),"")</f>
        <v>ВВГнг(А)-LS</v>
      </c>
      <c r="CG136" t="str">
        <f>IFERROR(IF(VLOOKUP(BI136,Кабель_обозначение,3,FALSE)=1,CF136&amp;" ("&amp;BJ136&amp;"х"&amp;BS136&amp;")",CF136),"")</f>
        <v>ВВГнг(А)-LS (3х1,5)</v>
      </c>
      <c r="CH136" t="str">
        <f t="shared" si="193"/>
        <v>ВВГнг(А)-LS (3х1,5)
L=34-0,32%</v>
      </c>
      <c r="CI136">
        <f>IFERROR(2*ρкз_Cu*BW136/BS136,"")</f>
        <v>1.1922666666666666</v>
      </c>
      <c r="CJ136">
        <f t="shared" si="194"/>
        <v>0.39666666666666672</v>
      </c>
      <c r="CK136" t="str">
        <f>IFERROR(IF(OR(D136="",NOT(ISNUMBER(BS136)),N(BW136)=0),"",_xlfn.XLOOKUP(A136,Щиты[Щит],Щиты[Zпетли на шинах, Ом])+CI136),"")</f>
        <v/>
      </c>
      <c r="CL136" t="str">
        <f>IF(ISNUMBER(CK136),c_min*(Uн_лин*1000/SQRT(3))/CK136,"")</f>
        <v/>
      </c>
      <c r="CM136" t="str">
        <f>IFERROR(IF(OR(D136="",NOT(ISNUMBER(BS136))),"",1.05*(Uн_лин*1000/SQRT(3))/(_xlfn.XLOOKUP(A136,Щиты[Щит],Щиты[Zmax на шинах, Ом])+CJ136)/1000),"")</f>
        <v/>
      </c>
      <c r="CN136" t="str">
        <f>IF(D136="","",IF(BA136&lt;&gt;"","Щит",IF(K136&lt;&gt;"",K136,IF(ISNUMBER(L136),"Сил",IF(IFERROR(_xlfn.XLOOKUP(AT136,Коды_код,Коды_группа)&amp;"","")="","Быт",_xlfn.XLOOKUP(AT136,Коды_код,Коды_группа)&amp;"")))))</f>
        <v>Сил</v>
      </c>
      <c r="CO136">
        <f>IF(CN136="Щит","щит",IF(CN136="","",IF(CN136="Быт",IFERROR(_xlfn.XLOOKUP(A136,Щиты[Щит],Щиты[Кс быт]),1),IF(CN136="Сил",IF(ISNUMBER(L136),L136,IF(Методика="нормы 2026",IFERROR(_xlfn.XLOOKUP(A136,Щиты[Щит],Щиты[Кс силовых (табл. 7.5)]),1),1)),IF(OR(CN136="Пост",CN136="Отоп"),1,IF(CN136="ВНГ",0.7,0))))))</f>
        <v>0.5</v>
      </c>
      <c r="CP136">
        <f t="shared" si="195"/>
        <v>1</v>
      </c>
      <c r="CQ136">
        <f t="shared" si="196"/>
        <v>0.16200000000000001</v>
      </c>
      <c r="CR136">
        <f t="shared" si="197"/>
        <v>0</v>
      </c>
      <c r="CS136">
        <f t="shared" si="198"/>
        <v>8.1000000000000003E-2</v>
      </c>
      <c r="CT136">
        <f t="shared" si="199"/>
        <v>0</v>
      </c>
      <c r="CU136">
        <f t="shared" si="200"/>
        <v>0</v>
      </c>
      <c r="CV136">
        <f t="shared" si="201"/>
        <v>0</v>
      </c>
      <c r="CW136">
        <f t="shared" si="202"/>
        <v>0.16200000000000001</v>
      </c>
      <c r="CX136">
        <f t="shared" si="203"/>
        <v>0.15390000000000001</v>
      </c>
      <c r="CY136">
        <f t="shared" si="204"/>
        <v>3</v>
      </c>
      <c r="CZ136" t="str">
        <f t="shared" si="205"/>
        <v>L3</v>
      </c>
      <c r="DA136" cm="1">
        <f t="array" ref="DA136">IFERROR(IF(BL136=2,_xlfn.IFS(BH136=3,VLOOKUP(BF136,Справочная_двигатели,3,FALSE),BH136=1,VLOOKUP(BF136,Справочная_двигатели,5,TRUE)),0),0)</f>
        <v>0</v>
      </c>
      <c r="DB136">
        <f>IFERROR(IF(BL136=3,VLOOKUP(BF136,Справочная_ЛЭД,2,TRUE),0),0)</f>
        <v>0</v>
      </c>
      <c r="DC136">
        <f t="shared" si="206"/>
        <v>0</v>
      </c>
      <c r="DD136" t="str">
        <f t="shared" si="207"/>
        <v>L1</v>
      </c>
      <c r="DE136" t="str" cm="1">
        <f t="array" ref="DE136">IF(D136="","",IFERROR(INDEX({"I особая","I","II","III"},MATCH(TRIM(AA136&amp;""),{"I особая","I","II","III"},0)),"III"))</f>
        <v>II</v>
      </c>
      <c r="DF136" t="str">
        <f>IF(D136="","",IF(TRIM(AB136&amp;"")&lt;&gt;"",IF(LOWER(TRIM(AB136&amp;""))="да","да","нет"),IF(IFERROR(_xlfn.XLOOKUP(AT136,Коды_код,Коды_пожарная),"")="да","да","нет")))</f>
        <v>нет</v>
      </c>
      <c r="DG136" t="str">
        <f t="shared" si="208"/>
        <v/>
      </c>
      <c r="DH136" t="str">
        <f t="shared" si="209"/>
        <v>основная</v>
      </c>
      <c r="DI136">
        <f t="shared" si="210"/>
        <v>1</v>
      </c>
      <c r="DJ136" t="str" cm="1">
        <f t="array" ref="DJ136">IF(D136="","",_xlfn.LET(_xlpm.t,IFERROR(_xlfn.XLOOKUP(1,(Шины[Шина]=DH136)*(((Шины[Щит]=A136)+(Шины[Щит]=""))&gt;0),Шины[Тип]),"")&amp;"",IF(_xlpm.t&lt;&gt;"",_xlpm.t,IF(ISNUMBER(SEARCH("ИБП",DH136)),"ИБП",IF(ISNUMBER(SEARCH("ДГУ",DH136)),"ДГУ","Ввод "&amp;DI136)))))</f>
        <v>Ввод 1</v>
      </c>
      <c r="DK136" t="str">
        <f t="shared" si="211"/>
        <v>Ввод 1</v>
      </c>
      <c r="DL136" t="str">
        <f>IF(D136="","",IF(OR(DJ136="ИБП",DJ136="ДГУ"),"I особая",IF(DJ136="Одиночная","III",_xlfn.XLOOKUP(A136,Щиты[Щит],Щиты[Категория шины «Ввод»],"III"))))</f>
        <v>II</v>
      </c>
      <c r="DM136">
        <f>IF(D136="",0,IFERROR(MATCH(DE136,{"III","II","I","I особая"},0),1))</f>
        <v>2</v>
      </c>
      <c r="DN136">
        <f t="shared" si="212"/>
        <v>2</v>
      </c>
      <c r="DO136" t="str">
        <f>IF(D136="","",IF(DM136&gt;IFERROR(MATCH(DL136,{"III","II","I","I особая"},0),1),"НЕ ОБЕСПЕЧЕНА","ОК"))</f>
        <v>ОК</v>
      </c>
      <c r="DP136" t="str">
        <f>IF(A136="","",_xlfn.XLOOKUP(A136,Щиты[Щит],Щиты[Путь],""))</f>
        <v>|ГРЩ-ЖД|ЩОВ-2|</v>
      </c>
      <c r="DQ136" t="str">
        <f>IF(D136="","",IF(Z136&lt;&gt;"",Z136,IF(IFERROR(_xlfn.XLOOKUP(AT136,Коды_код,Коды_вид)&amp;"","")="","Прочее",_xlfn.XLOOKUP(AT136,Коды_код,Коды_вид)&amp;"")))</f>
        <v>Кондиционирование и увлажнение</v>
      </c>
      <c r="DR136">
        <f>IF(BD136="","",INT((BD136-1)/Столбцов_на_лист)+1)</f>
        <v>2</v>
      </c>
      <c r="DS136" t="str">
        <f t="shared" si="213"/>
        <v>ВВГнг(А)-LS (3х1,5) L=34-0,32%</v>
      </c>
      <c r="DT136">
        <f t="shared" si="214"/>
        <v>0.16200000000000001</v>
      </c>
      <c r="DU136">
        <f t="shared" si="215"/>
        <v>0.74</v>
      </c>
      <c r="DV136">
        <f t="shared" si="216"/>
        <v>1</v>
      </c>
      <c r="DW136">
        <f>IF(AT136="",0,_xlfn.LET(_xlpm.v,IFERROR(VLOOKUP(D136,УГО_спр,3,FALSE),IFERROR(VLOOKUP(AT136,УГО_спр,3,FALSE),IFERROR(VLOOKUP(LEFT(AT136,2),УГО_спр,3,FALSE),""))),IF(_xlpm.v="да",30,IF(ISNUMBER(_xlpm.v),_xlpm.v,0))))</f>
        <v>0</v>
      </c>
      <c r="DX136">
        <f t="shared" si="217"/>
        <v>0</v>
      </c>
      <c r="DY136">
        <f>IF(BD136="","",IF(AD136&lt;&gt;"",COUNTIFS(A$3:A136,A136,AD$3:AD136,"?*"),IF(OR(OR(AS136=1,A136&lt;&gt;A135),AL136="вручную"),"",IF(AS136=1,"",DZ135))))</f>
        <v>6</v>
      </c>
      <c r="DZ136">
        <f t="shared" si="218"/>
        <v>6</v>
      </c>
      <c r="EA136">
        <f>IF(D136="",0,MAX(IFERROR(--X136,0),IFERROR(--VLOOKUP(D136,УГО_спр,4,FALSE),IFERROR(--VLOOKUP(AT136,УГО_спр,4,FALSE),IFERROR(--VLOOKUP(LEFT(AT136,2),УГО_спр,4,FALSE),0)))))</f>
        <v>0</v>
      </c>
      <c r="EB136">
        <f>IF(D136="","",IFERROR(LOOKUP(INDEX(CHOOSE(BR136,Iдоп_1ж,Iдоп_2ж,Iдоп_3ж),MATCH(BS136,Iдоп_S,0))*BP136*BQ136,{6,10,16,20,25,32,40,50,63,80,100,125,160,200,250,315,400,500,630}),""))</f>
        <v>16</v>
      </c>
      <c r="EC136">
        <f>IF(AD136="","",SUMIFS(Линии[_Ток схемы],Линии[_гр.],DY136,Линии[Щит],A136,Линии[_в кабель выше],0))</f>
        <v>0.74</v>
      </c>
      <c r="ED136">
        <f>IF(AD136="","",IFERROR(VLOOKUP(EC136,Автомат_номиналы,2,TRUE),""))</f>
        <v>6</v>
      </c>
      <c r="EE136">
        <f>IF(AD136="","",MAX(N(ED136),_xlfn.MAXIFS(Линии[_мин. по типу],Линии[_гр.],DY136,Линии[Щит],A136)))</f>
        <v>6</v>
      </c>
      <c r="EF136">
        <f>IF(AD136="","",_xlfn.MINIFS(Линии[_макс. автомат по кабелю],Линии[_гр.],DY136,Линии[Щит],A136))</f>
        <v>16</v>
      </c>
      <c r="EG136">
        <f>IF(AD136="","",MAX(1,_xlfn.MAXIFS(Линии[_фаз],Линии[_гр.],DY136,Линии[Щит],A136)))</f>
        <v>1</v>
      </c>
      <c r="EH136">
        <f>IF(AD136="","",IF(AND(AD136&lt;&gt;"авто",AD136&lt;&gt;"+"),IF(ISNUMBER(SEARCH("мА",AD136)),IFERROR(--TRIM(RIGHT(SUBSTITUTE(LEFT(AD136,SEARCH("мА",AD136)-1)," ",REPT(" ",9)),6)),30),0),IF(AE136="нет",0,IF(ISNUMBER(AE136),AE136,IF(AE136="да",30,_xlfn.MINIFS(Линии[_дифзащита по коду, мА],Линии[_гр.],DY136,Линии[Щит],A136,Линии[_дифзащита по коду, мА],"&gt;0"))))))</f>
        <v>0</v>
      </c>
      <c r="EI136">
        <f t="shared" si="219"/>
        <v>0</v>
      </c>
      <c r="EJ136" t="str">
        <f t="shared" si="220"/>
        <v>QF6</v>
      </c>
      <c r="EK136" t="str">
        <f t="shared" si="221"/>
        <v>QF6</v>
      </c>
      <c r="EL136" t="str">
        <f t="shared" si="222"/>
        <v/>
      </c>
      <c r="EM136">
        <f t="shared" si="223"/>
        <v>0</v>
      </c>
      <c r="EN136">
        <f>IF(AD136="","",IF(EM136=1,MAX(EE136,Мин_автомат_БП),EE136))</f>
        <v>6</v>
      </c>
      <c r="EO136" t="str">
        <f t="shared" si="224"/>
        <v>1P</v>
      </c>
      <c r="EP136" t="str">
        <f t="shared" si="225"/>
        <v>1P С6А</v>
      </c>
      <c r="EQ136">
        <f t="shared" si="226"/>
        <v>6</v>
      </c>
      <c r="ER136" t="str">
        <f>IF(OR(AI136="",AI136="-"),"",IFERROR(VLOOKUP(AI136,Модули_спр,2,FALSE),"R"))</f>
        <v/>
      </c>
      <c r="ES136" t="str">
        <f>IF(ER136="","",ER136&amp;"."&amp;COUNTIFS(A$3:A136,A136,ER$3:ER136,ER136))</f>
        <v/>
      </c>
      <c r="ET136" t="str">
        <f t="shared" si="227"/>
        <v/>
      </c>
      <c r="EU136" t="str">
        <f t="shared" si="228"/>
        <v/>
      </c>
      <c r="EV136" t="str">
        <f t="shared" si="229"/>
        <v/>
      </c>
      <c r="EW136" t="str">
        <f t="shared" si="230"/>
        <v/>
      </c>
      <c r="EX136">
        <f t="shared" si="231"/>
        <v>1</v>
      </c>
      <c r="EY136" t="str">
        <f>IF(AK136="нет","",IF(AK136&lt;&gt;"",AK136,IF(EX136=1,"XT"&amp;COUNTIFS(A$3:A136,A136,EX$3:EX136,1),"")))</f>
        <v>XT6</v>
      </c>
      <c r="EZ136" t="str">
        <f t="shared" si="232"/>
        <v>QF6</v>
      </c>
      <c r="FA136" t="str">
        <f t="shared" si="233"/>
        <v/>
      </c>
      <c r="FB136" t="str">
        <f t="shared" si="234"/>
        <v>ok</v>
      </c>
      <c r="FC136" t="str">
        <f>IF(OR(EV136="",ET136=""),"",IF(EV136&gt;IFERROR(VLOOKUP(EU136,Модули_спр,3,FALSE),99),"ЛИШНИЙ КАНАЛ",IF(AND(AJ136&lt;&gt;"=",COUNTIFS(Линии[_модуль гр.],ET136,Линии[Канал (итог)],EV136,Линии[Канал],"&lt;&gt;=",Линии[Щит],A136)&gt;1),"ДУБЛЬ КАНАЛА","")))</f>
        <v/>
      </c>
      <c r="FD136">
        <f t="shared" si="235"/>
        <v>6</v>
      </c>
      <c r="FE136" t="str">
        <f t="shared" si="236"/>
        <v>1P С6А</v>
      </c>
      <c r="FF136">
        <f t="shared" si="237"/>
        <v>0</v>
      </c>
      <c r="FG136">
        <f t="shared" si="238"/>
        <v>0</v>
      </c>
      <c r="FH136" t="str">
        <f t="shared" si="239"/>
        <v/>
      </c>
      <c r="FI136">
        <f t="shared" si="240"/>
        <v>10</v>
      </c>
      <c r="FJ136" t="str">
        <f t="shared" si="241"/>
        <v/>
      </c>
      <c r="FK136" t="str">
        <f>IF(AND(D136="",EZ136=""),"",_xlfn.TEXTJOIN("; ",TRUE,IF(AND(D136&lt;&gt;"",DD136=""),"нет фазы",""),IF(AND(D136&lt;&gt;"",N(DT136)=0,CN136&lt;&gt;"Нет"),"нет мощности",""),IF(AND(EY136&lt;&gt;"",COUNTIFS(Линии[Щит],A136,Линии[Клемма (итог)],EY136)&gt;1),"дубль клеммы "&amp;EY136,""),IF(AND(FB136&lt;&gt;"",FB136&lt;&gt;"ok"),FB136,""),IF(FC136&lt;&gt;"",FC136,""),IF(AND(ISNUMBER(SEARCH("(5х",DS136)),N(DV136)=1),"5 жил на 1 фазе",""),IF(AND(AT136="R",AD136&lt;&gt;"",OR(N(EH136)=0,N(EH136)&gt;30)),"розетка без дифзащиты до 30 мА",""),IFERROR(IF(AND(ISNUMBER(CD136),CD136&gt;CE136),"потери "&amp;FIXED(CD136,1)&amp;" % &gt; "&amp;CE136&amp;" %",""),""),IFERROR(IF(LEFT(FJ136,4)="мало","Iкз мало — отключение &gt; 0,4 с",""),""),IF(AND(D136&lt;&gt;"",BD136=""),"не на схеме","")))</f>
        <v/>
      </c>
      <c r="FL136" t="str">
        <f>IF(AD136="","",_xlfn.LET(_xlpm.t,IFERROR(_xlfn.XLOOKUP(EP136,Каталог!$U$4:$U$500,Каталог!$G$4:$G$500),""),_xlpm.k,SEARCH("кА",_xlpm.t),IFERROR(--TRIM(RIGHT(SUBSTITUTE(MID(_xlpm.t,MAX(1,_xlpm.k-4),_xlpm.k-MAX(1,_xlpm.k-4))," ",REPT(" ",9)),5)),"")))</f>
        <v/>
      </c>
      <c r="FM136" t="str">
        <f>IF(OR(FL136="",AD136=""),"",IF(_xlfn.XLOOKUP(A136,Щиты[Щит],Щиты[Iкз max на шинах, кА],"")="","",IF(FL136&lt;_xlfn.XLOOKUP(A136,Щиты[Щит],Щиты[Iкз max на шинах, кА]),"Icu "&amp;FL136&amp;" кА &lt; Iкз max","ok")))</f>
        <v/>
      </c>
      <c r="FN136" t="str">
        <f t="shared" si="242"/>
        <v>QF6|XT6</v>
      </c>
      <c r="FO136" t="str">
        <f t="shared" si="243"/>
        <v>QF6|XT6|кабель ВВГнг(А)-LS (3х1,5) → Внутренний блок кондиционирования Технический этаж Пом. №002Т</v>
      </c>
      <c r="FP136" t="str" cm="1">
        <f t="array" ref="FP136">IF(FO136="","",_xlfn.LET(_xlpm.nd,_xlfn.TEXTSPLIT(FO136,"|"),IF(COLUMNS(_xlpm.nd)&gt;1,A136&amp;"¦"&amp;INDEX(_xlpm.nd,1)&amp;"¦"&amp;INDEX(_xlpm.nd,2),"")))</f>
        <v>ЩОВ-2¦QF6¦XT6</v>
      </c>
      <c r="FQ136" t="str">
        <f t="shared" si="244"/>
        <v>K.2.005A¦Внутренний блок кондиционирования Технический этаж Пом. №002Т</v>
      </c>
      <c r="FR136" t="str" cm="1">
        <f t="array" ref="FR136">IF(FO136="","",_xlfn.LET(_xlpm.nd,_xlfn.TEXTSPLIT(FO136,"|"),IF(COLUMNS(_xlpm.nd)&gt;2,A136&amp;"¦"&amp;INDEX(_xlpm.nd,2)&amp;"¦"&amp;INDEX(_xlpm.nd,3),"")))</f>
        <v>ЩОВ-2¦XT6¦кабель ВВГнг(А)-LS (3х1,5) → Внутренний блок кондиционирования Технический этаж Пом. №002Т</v>
      </c>
      <c r="FS136" t="str">
        <f t="shared" si="245"/>
        <v>K.2.005A¦Внутренний блок кондиционирования Технический этаж Пом. №002Т</v>
      </c>
      <c r="FT136" t="str" cm="1">
        <f t="array" ref="FT136">IF(FO136="","",_xlfn.LET(_xlpm.nd,_xlfn.TEXTSPLIT(FO136,"|"),IF(COLUMNS(_xlpm.nd)&gt;3,A136&amp;"¦"&amp;INDEX(_xlpm.nd,3)&amp;"¦"&amp;INDEX(_xlpm.nd,4),"")))</f>
        <v/>
      </c>
      <c r="FU136" t="str">
        <f t="shared" si="246"/>
        <v/>
      </c>
      <c r="FV136" t="str" cm="1">
        <f t="array" ref="FV136">IF(FO136="","",_xlfn.LET(_xlpm.nd,_xlfn.TEXTSPLIT(FO136,"|"),IF(COLUMNS(_xlpm.nd)&gt;4,A136&amp;"¦"&amp;INDEX(_xlpm.nd,4)&amp;"¦"&amp;INDEX(_xlpm.nd,5),"")))</f>
        <v/>
      </c>
      <c r="FW136" t="str">
        <f t="shared" si="247"/>
        <v/>
      </c>
      <c r="FX136" t="str" cm="1">
        <f t="array" ref="FX136">IF(FO136="","",_xlfn.LET(_xlpm.nd,_xlfn.TEXTSPLIT(FO136,"|"),IF(COLUMNS(_xlpm.nd)&gt;5,A136&amp;"¦"&amp;INDEX(_xlpm.nd,5)&amp;"¦"&amp;INDEX(_xlpm.nd,6),"")))</f>
        <v/>
      </c>
      <c r="FY136" t="str">
        <f t="shared" si="248"/>
        <v/>
      </c>
      <c r="FZ136" t="str" cm="1">
        <f t="array" ref="FZ136">IF(FO136="","",_xlfn.LET(_xlpm.nd,_xlfn.TEXTSPLIT(FO136,"|"),IF(COLUMNS(_xlpm.nd)&gt;6,A136&amp;"¦"&amp;INDEX(_xlpm.nd,6)&amp;"¦"&amp;INDEX(_xlpm.nd,7),"")))</f>
        <v/>
      </c>
      <c r="GA136" t="str">
        <f t="shared" si="249"/>
        <v/>
      </c>
      <c r="GB136" t="str">
        <f t="shared" si="250"/>
        <v/>
      </c>
      <c r="GC136" t="str">
        <f t="shared" si="251"/>
        <v>QF6 → XT6</v>
      </c>
      <c r="GD136">
        <f t="shared" si="252"/>
        <v>1</v>
      </c>
      <c r="GE136">
        <f t="shared" si="253"/>
        <v>0</v>
      </c>
      <c r="GF136">
        <f t="shared" si="254"/>
        <v>0</v>
      </c>
      <c r="GG136" t="str">
        <f t="shared" si="255"/>
        <v/>
      </c>
      <c r="GH136" t="str">
        <f t="shared" si="256"/>
        <v/>
      </c>
      <c r="GI136" t="str">
        <f t="shared" si="257"/>
        <v/>
      </c>
      <c r="GJ136" t="str">
        <f t="shared" si="258"/>
        <v/>
      </c>
      <c r="GK136">
        <f>IF(D136="","",IFERROR(VLOOKUP(D136,УГО_спр,2,FALSE),IFERROR(VLOOKUP(AT136,УГО_спр,2,FALSE),IFERROR(VLOOKUP(LEFT(AT136,2),УГО_спр,2,FALSE),""))))</f>
        <v>0</v>
      </c>
      <c r="GL136" t="str">
        <f>IF(D136="","",IF(OR(GK136="",GK136=0),"BOX",IFERROR(IF(VLOOKUP(GK136,УГО_блоки,3,FALSE)&amp;""&lt;&gt;"",VLOOKUP(GK136,УГО_блоки,3,FALSE),VLOOKUP(GK136,УГО_блоки,2,FALSE)),GK136)))</f>
        <v>BOX</v>
      </c>
      <c r="GM136">
        <f t="shared" si="259"/>
        <v>1</v>
      </c>
      <c r="GN136" t="str">
        <f>IF(EP136="","",IF(COUNTIF(EP$3:EP136,EP136)=1,MAX(GN$2:GN135)+1,""))</f>
        <v/>
      </c>
      <c r="GO136" t="str">
        <f>IF(AF136="","",IF(COUNTIF(AF$3:AF136,AF136)+COUNTIF(AG$2:AG135,AF136)+COUNTIF(AH$2:AH135,AF136)=1,MAX(GO$2:GQ135)+1,""))</f>
        <v/>
      </c>
      <c r="GP136" t="str">
        <f>IF(AG136="","",IF(COUNTIF(AF$3:AF136,AG136)+COUNTIF(AG$3:AG136,AG136)+COUNTIF(AH$2:AH135,AG136)=1,MAX(GO$2:GQ135,GO136)+1,""))</f>
        <v/>
      </c>
      <c r="GQ136" t="str">
        <f>IF(AH136="","",IF(COUNTIF(AF$3:AF136,AH136)+COUNTIF(AG$3:AG136,AH136)+COUNTIF(AH$3:AH136,AH136)=1,MAX(GO$2:GQ135,GO136,GP136)+1,""))</f>
        <v/>
      </c>
      <c r="GR136" t="str">
        <f t="shared" si="260"/>
        <v>3х1,5</v>
      </c>
      <c r="GS136" t="str">
        <f>IF(GR136="","",IF(COUNTIF(GR$3:GR136,GR136)=1,MAX(GS$2:GS135)+1,""))</f>
        <v/>
      </c>
      <c r="GT136" t="str">
        <f>IF(ES136="","",COUNTIF(ES$3:ES136,"?*"))</f>
        <v/>
      </c>
      <c r="GU136" t="str">
        <f>IF(OR(ES136="",EU136=""),"",IF(COUNTIFS(ES$3:ES136,"?*",EU$3:EU136,EU136)=1,MAX(GU$2:GU135)+1,""))</f>
        <v/>
      </c>
      <c r="GV136">
        <f t="shared" si="261"/>
        <v>0</v>
      </c>
      <c r="GW136">
        <f>IF(D136="","",COUNTIF(D$3:D136,"?*"))</f>
        <v>134</v>
      </c>
      <c r="GX136">
        <f>IF(EX136&lt;&gt;1,0,_xlfn.LET(_xlpm.k,MAX(IFERROR(--VLOOKUP(D136,УГО_спр,5,FALSE),0),IFERROR(--VLOOKUP(AT136,УГО_спр,5,FALSE),0),IFERROR(--VLOOKUP(LEFT(AT136,2),УГО_спр,5,FALSE),0)),IF(_xlpm.k&gt;0,_xlpm.k,IF(IFERROR(--LEFT(SUBSTITUTE(GR136,"x","х"),FIND("х",SUBSTITUTE(GR136,"x","х"))-1),3)&gt;3,Каталог!$S$9,1))))</f>
        <v>1</v>
      </c>
      <c r="GY136">
        <f t="shared" si="262"/>
        <v>0</v>
      </c>
    </row>
    <row r="137" spans="1:207" x14ac:dyDescent="0.3">
      <c r="A137" t="s">
        <v>756</v>
      </c>
      <c r="B137">
        <v>21</v>
      </c>
      <c r="C137" t="str">
        <f>IF(BD137="","",IF(BE137="вводной узел","узел ","")&amp;"л."&amp;(INT((BD137-1)/Столбцов_на_лист)+1)&amp;" / "&amp;(MOD(BD137-1,Столбцов_на_лист)+1))</f>
        <v>л.2 / 4</v>
      </c>
      <c r="D137" t="s">
        <v>1436</v>
      </c>
      <c r="E137" s="133" t="s">
        <v>1432</v>
      </c>
      <c r="G137">
        <v>0.104</v>
      </c>
      <c r="H137">
        <v>1</v>
      </c>
      <c r="I137">
        <v>1</v>
      </c>
      <c r="J137">
        <v>230</v>
      </c>
      <c r="K137" t="s">
        <v>602</v>
      </c>
      <c r="L137">
        <v>0.5</v>
      </c>
      <c r="O137">
        <v>2</v>
      </c>
      <c r="P137">
        <v>21</v>
      </c>
      <c r="Q137">
        <v>10</v>
      </c>
      <c r="R137">
        <v>13</v>
      </c>
      <c r="T137">
        <v>1</v>
      </c>
      <c r="U137" t="s">
        <v>11</v>
      </c>
      <c r="V137">
        <v>3</v>
      </c>
      <c r="W137">
        <v>1.5</v>
      </c>
      <c r="Z137" t="s">
        <v>580</v>
      </c>
      <c r="AA137" t="s">
        <v>818</v>
      </c>
      <c r="AD137" t="s">
        <v>517</v>
      </c>
      <c r="AK137" t="s">
        <v>488</v>
      </c>
      <c r="AR137" t="str">
        <f t="shared" si="176"/>
        <v/>
      </c>
      <c r="AS137" cm="1">
        <f t="array" ref="AS137">ROW()-ROW(Линии[#Headers])</f>
        <v>135</v>
      </c>
      <c r="AT137" t="str">
        <f t="shared" si="177"/>
        <v>K</v>
      </c>
      <c r="AU137" t="str">
        <f t="shared" si="178"/>
        <v>2.008A</v>
      </c>
      <c r="AV137" t="str">
        <f t="shared" si="179"/>
        <v>2</v>
      </c>
      <c r="AW137" t="str">
        <f t="shared" si="180"/>
        <v>008A</v>
      </c>
      <c r="AX137" t="str">
        <f t="shared" si="181"/>
        <v>008A</v>
      </c>
      <c r="AY137" t="str">
        <f>IF(D137="","",IF(ISERROR(SEARCH(".",D137)),IFERROR(VLOOKUP(D137,Потребители_обозначение,2,FALSE)&amp;"",""),IFERROR(IF(VLOOKUP(AT137,Потребители_обозначение,4,FALSE)=1,VLOOKUP(AT137,Потребители_обозначение,2,FALSE)&amp;" "&amp;VLOOKUP(AV137,Этаж_обозначение,2,FALSE)&amp;" Пом. №"&amp;AX137,VLOOKUP(AT137,Потребители_обозначение,2,FALSE)&amp;" Шлейф №"&amp;AV137),IFERROR(VLOOKUP(D137,Потребители_обозначение,2,FALSE),""))))</f>
        <v>Внутренний блок кондиционирования Второй этаж Пом. №008A</v>
      </c>
      <c r="AZ137" t="str">
        <f t="shared" si="182"/>
        <v>Внутренний блок кондиционирования Технический этаж Пом. №002Т</v>
      </c>
      <c r="BA137" t="str">
        <f>IF(F137&lt;&gt;"",F137,IF(AND(D137&lt;&gt;"",D137&lt;&gt;A137,ISNUMBER(_xlfn.XMATCH(D137,Щиты[Щит]))),D137,""))</f>
        <v/>
      </c>
      <c r="BB137">
        <f>IFERROR(_xlfn.XMATCH(A137,Щиты[Щит]),0)</f>
        <v>7</v>
      </c>
      <c r="BC137">
        <f>IFERROR(N(_xlfn.XLOOKUP(A137,Щиты[Щит],Щиты[Мест под вводной узел])),15)</f>
        <v>12</v>
      </c>
      <c r="BD137">
        <f t="shared" si="183"/>
        <v>21</v>
      </c>
      <c r="BE137" t="str">
        <f t="shared" si="184"/>
        <v>линии</v>
      </c>
      <c r="BF137">
        <f>IF(D137="","",IF(BA137&lt;&gt;"",IFERROR(_xlfn.XLOOKUP(BA137,Щиты[Щит],Щиты[Руст, кВт]),0),N(G137)))</f>
        <v>0.104</v>
      </c>
      <c r="BG137">
        <f>IF(J137&lt;&gt;"",J137,IF(D137="","",IFERROR(IF(VLOOKUP(AT137,Потребители_обозначение,8,FALSE)=0,"",VLOOKUP(AT137,Потребители_обозначение,8,FALSE)),"")))</f>
        <v>230</v>
      </c>
      <c r="BH137">
        <f>IF(I137&lt;&gt;"",I137,IF(D137="","",IFERROR(IF(VLOOKUP(AT137,Потребители_обозначение,9,FALSE)=0,"",VLOOKUP(AT137,Потребители_обозначение,9,FALSE)),"")))</f>
        <v>1</v>
      </c>
      <c r="BI137" t="str">
        <f>IF(U137&lt;&gt;"",U137,IF(D137="","",IFERROR(IF(VLOOKUP(AT137,Потребители_обозначение,6,FALSE)=0,"",VLOOKUP(AT137,Потребители_обозначение,6,FALSE)),"")))</f>
        <v>мс</v>
      </c>
      <c r="BJ137">
        <f>IF(V137&lt;&gt;"",V137,IF(D137="","",IFERROR(IF(VLOOKUP(AT137,Потребители_обозначение,7,FALSE)=0,"",VLOOKUP(AT137,Потребители_обозначение,7,FALSE)),"")))</f>
        <v>3</v>
      </c>
      <c r="BK137">
        <f>IF(W137&lt;&gt;"",W137,IF(D137="","",IFERROR(IF(VLOOKUP(AT137,Потребители_обозначение,10,FALSE)=0,"",VLOOKUP(AT137,Потребители_обозначение,10,FALSE)),"")))</f>
        <v>1.5</v>
      </c>
      <c r="BL137">
        <f>IFERROR(VLOOKUP(AT137,Потребители_обозначение,5,FALSE),0)</f>
        <v>1</v>
      </c>
      <c r="BM137" cm="1">
        <f t="array" ref="BM137">IF(D137="","",IF(BA137&lt;&gt;"",IFERROR(_xlfn.XLOOKUP(BA137,Щиты[Щит],Щиты[cos φ]),0.95),IF(ISNUMBER(M137),M137,IFERROR(IF(BL137=2,_xlfn.IFS(BH137=3,VLOOKUP(BF137,Справочная_двигатели,8,FALSE),BH137=1,VLOOKUP(BF137,Справочная_двигатели,10,TRUE)),IF(AND(Методика="нормы 2026",CN137="Сил"),0.8,0.95)),0.95))))</f>
        <v>0.95</v>
      </c>
      <c r="BN137" cm="1">
        <f t="array" ref="BN137">IF(D137="","",IF(BA137&lt;&gt;"",IFERROR(_xlfn.XLOOKUP(BA137,Щиты[Щит],Щиты[Iр, А]),""),IFERROR(_xlfn.IFS(BH137=1,BF137/((Uн_лин/SQRT(3))*BM137),BH137=3,BF137/(SQRT(3)*Uн_лин*BM137)),"")))</f>
        <v>0.47403495786095584</v>
      </c>
      <c r="BO137">
        <f>IF(D137="","",IF(N(X137)=0,IFERROR(VLOOKUP(BN137,Автомат_номиналы,2,TRUE),""),X137))</f>
        <v>6</v>
      </c>
      <c r="BP137">
        <f t="shared" si="185"/>
        <v>1</v>
      </c>
      <c r="BQ137">
        <f>IF(ISNUMBER(Y137),Y137,К_прокл)</f>
        <v>1</v>
      </c>
      <c r="BR137">
        <f t="shared" si="186"/>
        <v>2</v>
      </c>
      <c r="BS137" cm="1">
        <f t="array" ref="BS137">IF(D137="","",IF(N(BK137)&lt;&gt;0,BK137,IFERROR(_xlfn.LET(_xlpm.need,BO137/(BP137*BQ137),_xlpm.t,CHOOSE(BR137,Iдоп_1ж,Iдоп_2ж,Iдоп_3ж),_xlpm.k,_xlfn.XMATCH(_xlpm.need,_xlpm.t,1),IF(ISNA(_xlpm.k),"Не исп",INDEX(Iдоп_S,_xlpm.k))),"Не исп")))</f>
        <v>1.5</v>
      </c>
      <c r="BT137">
        <f>IFERROR(VLOOKUP(BS137,Кабель_сопротивление,3,FALSE),"")</f>
        <v>2.2499999999999999E-2</v>
      </c>
      <c r="BU137">
        <f>IFERROR(VLOOKUP(BS137,Кабель_сопротивление,2,FALSE),"")</f>
        <v>0.11</v>
      </c>
      <c r="BV137">
        <f t="shared" si="187"/>
        <v>21</v>
      </c>
      <c r="BW137">
        <f>IF(D137="","",IFERROR(IF(VLOOKUP(AT137,Потребители_обозначение,4,FALSE)=1,VLOOKUP(AT137,Потребители_обозначение,3,FALSE)*(H137*2-1)+BV137+VLOOKUP(AV137,Этаж_обозначение,3,FALSE)+VLOOKUP(AV137,Этаж_обозначение,4,FALSE),VLOOKUP(AT137,Потребители_обозначение,3,FALSE)*(H137*2-1)+BV137),BV137))</f>
        <v>23</v>
      </c>
      <c r="BX137">
        <f t="shared" si="188"/>
        <v>13</v>
      </c>
      <c r="BY137">
        <f t="shared" si="189"/>
        <v>0</v>
      </c>
      <c r="BZ137">
        <f t="shared" si="190"/>
        <v>2</v>
      </c>
      <c r="CA137">
        <f t="shared" si="191"/>
        <v>0.31</v>
      </c>
      <c r="CB137">
        <f t="shared" si="192"/>
        <v>0.31147348611275727</v>
      </c>
      <c r="CC137">
        <f>IFERROR(ROUNDUP(CB137/((Uн_лин/SQRT(3))*1000)*100,2),"")</f>
        <v>0.14000000000000001</v>
      </c>
      <c r="CD137">
        <f>IF(ISNUMBER(CC137),CC137+IFERROR(_xlfn.XLOOKUP(A137,Щиты[Щит],Щиты[ΔU до шин, %]),0),"")</f>
        <v>1.1600000000000001</v>
      </c>
      <c r="CE137">
        <f>IF(D137="","",IF(IFERROR(VLOOKUP(AT137,УГО_спр,2,FALSE),"")="Светильник",3,4)+IF(Методика="нормы 2026",MIN(0.5,MAX(0,N(BW137)-100)*0.005),0))</f>
        <v>4</v>
      </c>
      <c r="CF137" t="str">
        <f>IFERROR(VLOOKUP(BI137,Кабель_обозначение,2,FALSE),"")</f>
        <v>ВВГнг(А)-LS</v>
      </c>
      <c r="CG137" t="str">
        <f>IFERROR(IF(VLOOKUP(BI137,Кабель_обозначение,3,FALSE)=1,CF137&amp;" ("&amp;BJ137&amp;"х"&amp;BS137&amp;")",CF137),"")</f>
        <v>ВВГнг(А)-LS (3х1,5)</v>
      </c>
      <c r="CH137" t="str">
        <f t="shared" si="193"/>
        <v>ВВГнг(А)-LS (3х1,5)
L=23-0,14%</v>
      </c>
      <c r="CI137">
        <f>IFERROR(2*ρкз_Cu*BW137/BS137,"")</f>
        <v>0.80653333333333332</v>
      </c>
      <c r="CJ137">
        <f t="shared" si="194"/>
        <v>0.26833333333333337</v>
      </c>
      <c r="CK137" t="str">
        <f>IFERROR(IF(OR(D137="",NOT(ISNUMBER(BS137)),N(BW137)=0),"",_xlfn.XLOOKUP(A137,Щиты[Щит],Щиты[Zпетли на шинах, Ом])+CI137),"")</f>
        <v/>
      </c>
      <c r="CL137" t="str">
        <f>IF(ISNUMBER(CK137),c_min*(Uн_лин*1000/SQRT(3))/CK137,"")</f>
        <v/>
      </c>
      <c r="CM137" t="str">
        <f>IFERROR(IF(OR(D137="",NOT(ISNUMBER(BS137))),"",1.05*(Uн_лин*1000/SQRT(3))/(_xlfn.XLOOKUP(A137,Щиты[Щит],Щиты[Zmax на шинах, Ом])+CJ137)/1000),"")</f>
        <v/>
      </c>
      <c r="CN137" t="str">
        <f>IF(D137="","",IF(BA137&lt;&gt;"","Щит",IF(K137&lt;&gt;"",K137,IF(ISNUMBER(L137),"Сил",IF(IFERROR(_xlfn.XLOOKUP(AT137,Коды_код,Коды_группа)&amp;"","")="","Быт",_xlfn.XLOOKUP(AT137,Коды_код,Коды_группа)&amp;"")))))</f>
        <v>Сил</v>
      </c>
      <c r="CO137">
        <f>IF(CN137="Щит","щит",IF(CN137="","",IF(CN137="Быт",IFERROR(_xlfn.XLOOKUP(A137,Щиты[Щит],Щиты[Кс быт]),1),IF(CN137="Сил",IF(ISNUMBER(L137),L137,IF(Методика="нормы 2026",IFERROR(_xlfn.XLOOKUP(A137,Щиты[Щит],Щиты[Кс силовых (табл. 7.5)]),1),1)),IF(OR(CN137="Пост",CN137="Отоп"),1,IF(CN137="ВНГ",0.7,0))))))</f>
        <v>0.5</v>
      </c>
      <c r="CP137">
        <f t="shared" si="195"/>
        <v>1</v>
      </c>
      <c r="CQ137">
        <f t="shared" si="196"/>
        <v>0.104</v>
      </c>
      <c r="CR137">
        <f t="shared" si="197"/>
        <v>0</v>
      </c>
      <c r="CS137">
        <f t="shared" si="198"/>
        <v>5.1999999999999998E-2</v>
      </c>
      <c r="CT137">
        <f t="shared" si="199"/>
        <v>0</v>
      </c>
      <c r="CU137">
        <f t="shared" si="200"/>
        <v>0</v>
      </c>
      <c r="CV137">
        <f t="shared" si="201"/>
        <v>0</v>
      </c>
      <c r="CW137">
        <f t="shared" si="202"/>
        <v>0.104</v>
      </c>
      <c r="CX137">
        <f t="shared" si="203"/>
        <v>9.8799999999999985E-2</v>
      </c>
      <c r="CY137">
        <f t="shared" si="204"/>
        <v>1</v>
      </c>
      <c r="CZ137" t="str">
        <f t="shared" si="205"/>
        <v>L1</v>
      </c>
      <c r="DA137" cm="1">
        <f t="array" ref="DA137">IFERROR(IF(BL137=2,_xlfn.IFS(BH137=3,VLOOKUP(BF137,Справочная_двигатели,3,FALSE),BH137=1,VLOOKUP(BF137,Справочная_двигатели,5,TRUE)),0),0)</f>
        <v>0</v>
      </c>
      <c r="DB137">
        <f>IFERROR(IF(BL137=3,VLOOKUP(BF137,Справочная_ЛЭД,2,TRUE),0),0)</f>
        <v>0</v>
      </c>
      <c r="DC137">
        <f t="shared" si="206"/>
        <v>0</v>
      </c>
      <c r="DD137" t="str">
        <f t="shared" si="207"/>
        <v>L2</v>
      </c>
      <c r="DE137" t="str" cm="1">
        <f t="array" ref="DE137">IF(D137="","",IFERROR(INDEX({"I особая","I","II","III"},MATCH(TRIM(AA137&amp;""),{"I особая","I","II","III"},0)),"III"))</f>
        <v>II</v>
      </c>
      <c r="DF137" t="str">
        <f>IF(D137="","",IF(TRIM(AB137&amp;"")&lt;&gt;"",IF(LOWER(TRIM(AB137&amp;""))="да","да","нет"),IF(IFERROR(_xlfn.XLOOKUP(AT137,Коды_код,Коды_пожарная),"")="да","да","нет")))</f>
        <v>нет</v>
      </c>
      <c r="DG137" t="str">
        <f t="shared" si="208"/>
        <v/>
      </c>
      <c r="DH137" t="str">
        <f t="shared" si="209"/>
        <v>основная</v>
      </c>
      <c r="DI137">
        <f t="shared" si="210"/>
        <v>1</v>
      </c>
      <c r="DJ137" t="str" cm="1">
        <f t="array" ref="DJ137">IF(D137="","",_xlfn.LET(_xlpm.t,IFERROR(_xlfn.XLOOKUP(1,(Шины[Шина]=DH137)*(((Шины[Щит]=A137)+(Шины[Щит]=""))&gt;0),Шины[Тип]),"")&amp;"",IF(_xlpm.t&lt;&gt;"",_xlpm.t,IF(ISNUMBER(SEARCH("ИБП",DH137)),"ИБП",IF(ISNUMBER(SEARCH("ДГУ",DH137)),"ДГУ","Ввод "&amp;DI137)))))</f>
        <v>Ввод 1</v>
      </c>
      <c r="DK137" t="str">
        <f t="shared" si="211"/>
        <v>Ввод 1</v>
      </c>
      <c r="DL137" t="str">
        <f>IF(D137="","",IF(OR(DJ137="ИБП",DJ137="ДГУ"),"I особая",IF(DJ137="Одиночная","III",_xlfn.XLOOKUP(A137,Щиты[Щит],Щиты[Категория шины «Ввод»],"III"))))</f>
        <v>II</v>
      </c>
      <c r="DM137">
        <f>IF(D137="",0,IFERROR(MATCH(DE137,{"III","II","I","I особая"},0),1))</f>
        <v>2</v>
      </c>
      <c r="DN137">
        <f t="shared" si="212"/>
        <v>2</v>
      </c>
      <c r="DO137" t="str">
        <f>IF(D137="","",IF(DM137&gt;IFERROR(MATCH(DL137,{"III","II","I","I особая"},0),1),"НЕ ОБЕСПЕЧЕНА","ОК"))</f>
        <v>ОК</v>
      </c>
      <c r="DP137" t="str">
        <f>IF(A137="","",_xlfn.XLOOKUP(A137,Щиты[Щит],Щиты[Путь],""))</f>
        <v>|ГРЩ-ЖД|ЩОВ-2|</v>
      </c>
      <c r="DQ137" t="str">
        <f>IF(D137="","",IF(Z137&lt;&gt;"",Z137,IF(IFERROR(_xlfn.XLOOKUP(AT137,Коды_код,Коды_вид)&amp;"","")="","Прочее",_xlfn.XLOOKUP(AT137,Коды_код,Коды_вид)&amp;"")))</f>
        <v>Кондиционирование и увлажнение</v>
      </c>
      <c r="DR137">
        <f>IF(BD137="","",INT((BD137-1)/Столбцов_на_лист)+1)</f>
        <v>2</v>
      </c>
      <c r="DS137" t="str">
        <f t="shared" si="213"/>
        <v>ВВГнг(А)-LS (3х1,5) L=23-0,14%</v>
      </c>
      <c r="DT137">
        <f t="shared" si="214"/>
        <v>0.104</v>
      </c>
      <c r="DU137">
        <f t="shared" si="215"/>
        <v>0.48</v>
      </c>
      <c r="DV137">
        <f t="shared" si="216"/>
        <v>1</v>
      </c>
      <c r="DW137">
        <f>IF(AT137="",0,_xlfn.LET(_xlpm.v,IFERROR(VLOOKUP(D137,УГО_спр,3,FALSE),IFERROR(VLOOKUP(AT137,УГО_спр,3,FALSE),IFERROR(VLOOKUP(LEFT(AT137,2),УГО_спр,3,FALSE),""))),IF(_xlpm.v="да",30,IF(ISNUMBER(_xlpm.v),_xlpm.v,0))))</f>
        <v>0</v>
      </c>
      <c r="DX137">
        <f t="shared" si="217"/>
        <v>0</v>
      </c>
      <c r="DY137">
        <f>IF(BD137="","",IF(AD137&lt;&gt;"",COUNTIFS(A$3:A137,A137,AD$3:AD137,"?*"),IF(OR(OR(AS137=1,A137&lt;&gt;A136),AL137="вручную"),"",IF(AS137=1,"",DZ136))))</f>
        <v>7</v>
      </c>
      <c r="DZ137">
        <f t="shared" si="218"/>
        <v>7</v>
      </c>
      <c r="EA137">
        <f>IF(D137="",0,MAX(IFERROR(--X137,0),IFERROR(--VLOOKUP(D137,УГО_спр,4,FALSE),IFERROR(--VLOOKUP(AT137,УГО_спр,4,FALSE),IFERROR(--VLOOKUP(LEFT(AT137,2),УГО_спр,4,FALSE),0)))))</f>
        <v>0</v>
      </c>
      <c r="EB137">
        <f>IF(D137="","",IFERROR(LOOKUP(INDEX(CHOOSE(BR137,Iдоп_1ж,Iдоп_2ж,Iдоп_3ж),MATCH(BS137,Iдоп_S,0))*BP137*BQ137,{6,10,16,20,25,32,40,50,63,80,100,125,160,200,250,315,400,500,630}),""))</f>
        <v>16</v>
      </c>
      <c r="EC137">
        <f>IF(AD137="","",SUMIFS(Линии[_Ток схемы],Линии[_гр.],DY137,Линии[Щит],A137,Линии[_в кабель выше],0))</f>
        <v>0.48</v>
      </c>
      <c r="ED137">
        <f>IF(AD137="","",IFERROR(VLOOKUP(EC137,Автомат_номиналы,2,TRUE),""))</f>
        <v>6</v>
      </c>
      <c r="EE137">
        <f>IF(AD137="","",MAX(N(ED137),_xlfn.MAXIFS(Линии[_мин. по типу],Линии[_гр.],DY137,Линии[Щит],A137)))</f>
        <v>6</v>
      </c>
      <c r="EF137">
        <f>IF(AD137="","",_xlfn.MINIFS(Линии[_макс. автомат по кабелю],Линии[_гр.],DY137,Линии[Щит],A137))</f>
        <v>16</v>
      </c>
      <c r="EG137">
        <f>IF(AD137="","",MAX(1,_xlfn.MAXIFS(Линии[_фаз],Линии[_гр.],DY137,Линии[Щит],A137)))</f>
        <v>1</v>
      </c>
      <c r="EH137">
        <f>IF(AD137="","",IF(AND(AD137&lt;&gt;"авто",AD137&lt;&gt;"+"),IF(ISNUMBER(SEARCH("мА",AD137)),IFERROR(--TRIM(RIGHT(SUBSTITUTE(LEFT(AD137,SEARCH("мА",AD137)-1)," ",REPT(" ",9)),6)),30),0),IF(AE137="нет",0,IF(ISNUMBER(AE137),AE137,IF(AE137="да",30,_xlfn.MINIFS(Линии[_дифзащита по коду, мА],Линии[_гр.],DY137,Линии[Щит],A137,Линии[_дифзащита по коду, мА],"&gt;0"))))))</f>
        <v>0</v>
      </c>
      <c r="EI137">
        <f t="shared" si="219"/>
        <v>0</v>
      </c>
      <c r="EJ137" t="str">
        <f t="shared" si="220"/>
        <v>QF7</v>
      </c>
      <c r="EK137" t="str">
        <f t="shared" si="221"/>
        <v>QF7</v>
      </c>
      <c r="EL137" t="str">
        <f t="shared" si="222"/>
        <v/>
      </c>
      <c r="EM137">
        <f t="shared" si="223"/>
        <v>0</v>
      </c>
      <c r="EN137">
        <f>IF(AD137="","",IF(EM137=1,MAX(EE137,Мин_автомат_БП),EE137))</f>
        <v>6</v>
      </c>
      <c r="EO137" t="str">
        <f t="shared" si="224"/>
        <v>1P</v>
      </c>
      <c r="EP137" t="str">
        <f t="shared" si="225"/>
        <v>1P С6А</v>
      </c>
      <c r="EQ137">
        <f t="shared" si="226"/>
        <v>6</v>
      </c>
      <c r="ER137" t="str">
        <f>IF(OR(AI137="",AI137="-"),"",IFERROR(VLOOKUP(AI137,Модули_спр,2,FALSE),"R"))</f>
        <v/>
      </c>
      <c r="ES137" t="str">
        <f>IF(ER137="","",ER137&amp;"."&amp;COUNTIFS(A$3:A137,A137,ER$3:ER137,ER137))</f>
        <v/>
      </c>
      <c r="ET137" t="str">
        <f t="shared" si="227"/>
        <v/>
      </c>
      <c r="EU137" t="str">
        <f t="shared" si="228"/>
        <v/>
      </c>
      <c r="EV137" t="str">
        <f t="shared" si="229"/>
        <v/>
      </c>
      <c r="EW137" t="str">
        <f t="shared" si="230"/>
        <v/>
      </c>
      <c r="EX137">
        <f t="shared" si="231"/>
        <v>1</v>
      </c>
      <c r="EY137" t="str">
        <f>IF(AK137="нет","",IF(AK137&lt;&gt;"",AK137,IF(EX137=1,"XT"&amp;COUNTIFS(A$3:A137,A137,EX$3:EX137,1),"")))</f>
        <v/>
      </c>
      <c r="EZ137" t="str">
        <f t="shared" si="232"/>
        <v>QF7</v>
      </c>
      <c r="FA137" t="str">
        <f t="shared" si="233"/>
        <v/>
      </c>
      <c r="FB137" t="str">
        <f t="shared" si="234"/>
        <v>ok</v>
      </c>
      <c r="FC137" t="str">
        <f>IF(OR(EV137="",ET137=""),"",IF(EV137&gt;IFERROR(VLOOKUP(EU137,Модули_спр,3,FALSE),99),"ЛИШНИЙ КАНАЛ",IF(AND(AJ137&lt;&gt;"=",COUNTIFS(Линии[_модуль гр.],ET137,Линии[Канал (итог)],EV137,Линии[Канал],"&lt;&gt;=",Линии[Щит],A137)&gt;1),"ДУБЛЬ КАНАЛА","")))</f>
        <v/>
      </c>
      <c r="FD137">
        <f t="shared" si="235"/>
        <v>6</v>
      </c>
      <c r="FE137" t="str">
        <f t="shared" si="236"/>
        <v>1P С6А</v>
      </c>
      <c r="FF137">
        <f t="shared" si="237"/>
        <v>0</v>
      </c>
      <c r="FG137">
        <f t="shared" si="238"/>
        <v>0</v>
      </c>
      <c r="FH137" t="str">
        <f t="shared" si="239"/>
        <v/>
      </c>
      <c r="FI137">
        <f t="shared" si="240"/>
        <v>10</v>
      </c>
      <c r="FJ137" t="str">
        <f t="shared" si="241"/>
        <v/>
      </c>
      <c r="FK137" t="str">
        <f>IF(AND(D137="",EZ137=""),"",_xlfn.TEXTJOIN("; ",TRUE,IF(AND(D137&lt;&gt;"",DD137=""),"нет фазы",""),IF(AND(D137&lt;&gt;"",N(DT137)=0,CN137&lt;&gt;"Нет"),"нет мощности",""),IF(AND(EY137&lt;&gt;"",COUNTIFS(Линии[Щит],A137,Линии[Клемма (итог)],EY137)&gt;1),"дубль клеммы "&amp;EY137,""),IF(AND(FB137&lt;&gt;"",FB137&lt;&gt;"ok"),FB137,""),IF(FC137&lt;&gt;"",FC137,""),IF(AND(ISNUMBER(SEARCH("(5х",DS137)),N(DV137)=1),"5 жил на 1 фазе",""),IF(AND(AT137="R",AD137&lt;&gt;"",OR(N(EH137)=0,N(EH137)&gt;30)),"розетка без дифзащиты до 30 мА",""),IFERROR(IF(AND(ISNUMBER(CD137),CD137&gt;CE137),"потери "&amp;FIXED(CD137,1)&amp;" % &gt; "&amp;CE137&amp;" %",""),""),IFERROR(IF(LEFT(FJ137,4)="мало","Iкз мало — отключение &gt; 0,4 с",""),""),IF(AND(D137&lt;&gt;"",BD137=""),"не на схеме","")))</f>
        <v/>
      </c>
      <c r="FL137" t="str">
        <f>IF(AD137="","",_xlfn.LET(_xlpm.t,IFERROR(_xlfn.XLOOKUP(EP137,Каталог!$U$4:$U$500,Каталог!$G$4:$G$500),""),_xlpm.k,SEARCH("кА",_xlpm.t),IFERROR(--TRIM(RIGHT(SUBSTITUTE(MID(_xlpm.t,MAX(1,_xlpm.k-4),_xlpm.k-MAX(1,_xlpm.k-4))," ",REPT(" ",9)),5)),"")))</f>
        <v/>
      </c>
      <c r="FM137" t="str">
        <f>IF(OR(FL137="",AD137=""),"",IF(_xlfn.XLOOKUP(A137,Щиты[Щит],Щиты[Iкз max на шинах, кА],"")="","",IF(FL137&lt;_xlfn.XLOOKUP(A137,Щиты[Щит],Щиты[Iкз max на шинах, кА]),"Icu "&amp;FL137&amp;" кА &lt; Iкз max","ok")))</f>
        <v/>
      </c>
      <c r="FN137" t="str">
        <f t="shared" si="242"/>
        <v>QF7</v>
      </c>
      <c r="FO137" t="str">
        <f t="shared" si="243"/>
        <v>QF7|кабель ВВГнг(А)-LS (3х1,5) → Внутренний блок кондиционирования Технический этаж Пом. №002Т</v>
      </c>
      <c r="FP137" t="str" cm="1">
        <f t="array" ref="FP137">IF(FO137="","",_xlfn.LET(_xlpm.nd,_xlfn.TEXTSPLIT(FO137,"|"),IF(COLUMNS(_xlpm.nd)&gt;1,A137&amp;"¦"&amp;INDEX(_xlpm.nd,1)&amp;"¦"&amp;INDEX(_xlpm.nd,2),"")))</f>
        <v>ЩОВ-2¦QF7¦кабель ВВГнг(А)-LS (3х1,5) → Внутренний блок кондиционирования Технический этаж Пом. №002Т</v>
      </c>
      <c r="FQ137" t="str">
        <f t="shared" si="244"/>
        <v>K.2.008A¦Внутренний блок кондиционирования Технический этаж Пом. №002Т</v>
      </c>
      <c r="FR137" t="str" cm="1">
        <f t="array" ref="FR137">IF(FO137="","",_xlfn.LET(_xlpm.nd,_xlfn.TEXTSPLIT(FO137,"|"),IF(COLUMNS(_xlpm.nd)&gt;2,A137&amp;"¦"&amp;INDEX(_xlpm.nd,2)&amp;"¦"&amp;INDEX(_xlpm.nd,3),"")))</f>
        <v/>
      </c>
      <c r="FS137" t="str">
        <f t="shared" si="245"/>
        <v/>
      </c>
      <c r="FT137" t="str" cm="1">
        <f t="array" ref="FT137">IF(FO137="","",_xlfn.LET(_xlpm.nd,_xlfn.TEXTSPLIT(FO137,"|"),IF(COLUMNS(_xlpm.nd)&gt;3,A137&amp;"¦"&amp;INDEX(_xlpm.nd,3)&amp;"¦"&amp;INDEX(_xlpm.nd,4),"")))</f>
        <v/>
      </c>
      <c r="FU137" t="str">
        <f t="shared" si="246"/>
        <v/>
      </c>
      <c r="FV137" t="str" cm="1">
        <f t="array" ref="FV137">IF(FO137="","",_xlfn.LET(_xlpm.nd,_xlfn.TEXTSPLIT(FO137,"|"),IF(COLUMNS(_xlpm.nd)&gt;4,A137&amp;"¦"&amp;INDEX(_xlpm.nd,4)&amp;"¦"&amp;INDEX(_xlpm.nd,5),"")))</f>
        <v/>
      </c>
      <c r="FW137" t="str">
        <f t="shared" si="247"/>
        <v/>
      </c>
      <c r="FX137" t="str" cm="1">
        <f t="array" ref="FX137">IF(FO137="","",_xlfn.LET(_xlpm.nd,_xlfn.TEXTSPLIT(FO137,"|"),IF(COLUMNS(_xlpm.nd)&gt;5,A137&amp;"¦"&amp;INDEX(_xlpm.nd,5)&amp;"¦"&amp;INDEX(_xlpm.nd,6),"")))</f>
        <v/>
      </c>
      <c r="FY137" t="str">
        <f t="shared" si="248"/>
        <v/>
      </c>
      <c r="FZ137" t="str" cm="1">
        <f t="array" ref="FZ137">IF(FO137="","",_xlfn.LET(_xlpm.nd,_xlfn.TEXTSPLIT(FO137,"|"),IF(COLUMNS(_xlpm.nd)&gt;6,A137&amp;"¦"&amp;INDEX(_xlpm.nd,6)&amp;"¦"&amp;INDEX(_xlpm.nd,7),"")))</f>
        <v/>
      </c>
      <c r="GA137" t="str">
        <f t="shared" si="249"/>
        <v/>
      </c>
      <c r="GB137" t="str">
        <f t="shared" si="250"/>
        <v/>
      </c>
      <c r="GC137" t="str">
        <f t="shared" si="251"/>
        <v>QF7</v>
      </c>
      <c r="GD137">
        <f t="shared" si="252"/>
        <v>1</v>
      </c>
      <c r="GE137">
        <f t="shared" si="253"/>
        <v>0</v>
      </c>
      <c r="GF137">
        <f t="shared" si="254"/>
        <v>0</v>
      </c>
      <c r="GG137" t="str">
        <f t="shared" si="255"/>
        <v/>
      </c>
      <c r="GH137" t="str">
        <f t="shared" si="256"/>
        <v/>
      </c>
      <c r="GI137" t="str">
        <f t="shared" si="257"/>
        <v/>
      </c>
      <c r="GJ137" t="str">
        <f t="shared" si="258"/>
        <v/>
      </c>
      <c r="GK137">
        <f>IF(D137="","",IFERROR(VLOOKUP(D137,УГО_спр,2,FALSE),IFERROR(VLOOKUP(AT137,УГО_спр,2,FALSE),IFERROR(VLOOKUP(LEFT(AT137,2),УГО_спр,2,FALSE),""))))</f>
        <v>0</v>
      </c>
      <c r="GL137" t="str">
        <f>IF(D137="","",IF(OR(GK137="",GK137=0),"BOX",IFERROR(IF(VLOOKUP(GK137,УГО_блоки,3,FALSE)&amp;""&lt;&gt;"",VLOOKUP(GK137,УГО_блоки,3,FALSE),VLOOKUP(GK137,УГО_блоки,2,FALSE)),GK137)))</f>
        <v>BOX</v>
      </c>
      <c r="GM137">
        <f t="shared" si="259"/>
        <v>1</v>
      </c>
      <c r="GN137" t="str">
        <f>IF(EP137="","",IF(COUNTIF(EP$3:EP137,EP137)=1,MAX(GN$2:GN136)+1,""))</f>
        <v/>
      </c>
      <c r="GO137" t="str">
        <f>IF(AF137="","",IF(COUNTIF(AF$3:AF137,AF137)+COUNTIF(AG$2:AG136,AF137)+COUNTIF(AH$2:AH136,AF137)=1,MAX(GO$2:GQ136)+1,""))</f>
        <v/>
      </c>
      <c r="GP137" t="str">
        <f>IF(AG137="","",IF(COUNTIF(AF$3:AF137,AG137)+COUNTIF(AG$3:AG137,AG137)+COUNTIF(AH$2:AH136,AG137)=1,MAX(GO$2:GQ136,GO137)+1,""))</f>
        <v/>
      </c>
      <c r="GQ137" t="str">
        <f>IF(AH137="","",IF(COUNTIF(AF$3:AF137,AH137)+COUNTIF(AG$3:AG137,AH137)+COUNTIF(AH$3:AH137,AH137)=1,MAX(GO$2:GQ136,GO137,GP137)+1,""))</f>
        <v/>
      </c>
      <c r="GR137" t="str">
        <f t="shared" si="260"/>
        <v>3х1,5</v>
      </c>
      <c r="GS137" t="str">
        <f>IF(GR137="","",IF(COUNTIF(GR$3:GR137,GR137)=1,MAX(GS$2:GS136)+1,""))</f>
        <v/>
      </c>
      <c r="GT137" t="str">
        <f>IF(ES137="","",COUNTIF(ES$3:ES137,"?*"))</f>
        <v/>
      </c>
      <c r="GU137" t="str">
        <f>IF(OR(ES137="",EU137=""),"",IF(COUNTIFS(ES$3:ES137,"?*",EU$3:EU137,EU137)=1,MAX(GU$2:GU136)+1,""))</f>
        <v/>
      </c>
      <c r="GV137">
        <f t="shared" si="261"/>
        <v>0</v>
      </c>
      <c r="GW137">
        <f>IF(D137="","",COUNTIF(D$3:D137,"?*"))</f>
        <v>135</v>
      </c>
      <c r="GX137">
        <f>IF(EX137&lt;&gt;1,0,_xlfn.LET(_xlpm.k,MAX(IFERROR(--VLOOKUP(D137,УГО_спр,5,FALSE),0),IFERROR(--VLOOKUP(AT137,УГО_спр,5,FALSE),0),IFERROR(--VLOOKUP(LEFT(AT137,2),УГО_спр,5,FALSE),0)),IF(_xlpm.k&gt;0,_xlpm.k,IF(IFERROR(--LEFT(SUBSTITUTE(GR137,"x","х"),FIND("х",SUBSTITUTE(GR137,"x","х"))-1),3)&gt;3,Каталог!$S$9,1))))</f>
        <v>1</v>
      </c>
      <c r="GY137">
        <f t="shared" si="262"/>
        <v>0</v>
      </c>
    </row>
    <row r="138" spans="1:207" x14ac:dyDescent="0.3">
      <c r="A138" t="s">
        <v>756</v>
      </c>
      <c r="B138">
        <v>22</v>
      </c>
      <c r="C138" t="str">
        <f>IF(BD138="","",IF(BE138="вводной узел","узел ","")&amp;"л."&amp;(INT((BD138-1)/Столбцов_на_лист)+1)&amp;" / "&amp;(MOD(BD138-1,Столбцов_на_лист)+1))</f>
        <v>л.2 / 5</v>
      </c>
      <c r="D138" t="s">
        <v>1437</v>
      </c>
      <c r="E138" s="133" t="s">
        <v>1432</v>
      </c>
      <c r="G138">
        <v>0.16200000000000001</v>
      </c>
      <c r="H138">
        <v>1</v>
      </c>
      <c r="I138">
        <v>1</v>
      </c>
      <c r="J138">
        <v>230</v>
      </c>
      <c r="K138" t="s">
        <v>602</v>
      </c>
      <c r="L138">
        <v>0.5</v>
      </c>
      <c r="O138">
        <v>1</v>
      </c>
      <c r="P138">
        <v>20</v>
      </c>
      <c r="Q138">
        <v>10</v>
      </c>
      <c r="R138">
        <v>12</v>
      </c>
      <c r="T138">
        <v>1</v>
      </c>
      <c r="U138" t="s">
        <v>11</v>
      </c>
      <c r="V138">
        <v>3</v>
      </c>
      <c r="W138">
        <v>1.5</v>
      </c>
      <c r="Z138" t="s">
        <v>580</v>
      </c>
      <c r="AA138" t="s">
        <v>818</v>
      </c>
      <c r="AD138" t="s">
        <v>517</v>
      </c>
      <c r="AK138" t="s">
        <v>488</v>
      </c>
      <c r="AR138" t="str">
        <f t="shared" si="176"/>
        <v/>
      </c>
      <c r="AS138" cm="1">
        <f t="array" ref="AS138">ROW()-ROW(Линии[#Headers])</f>
        <v>136</v>
      </c>
      <c r="AT138" t="str">
        <f t="shared" si="177"/>
        <v>K</v>
      </c>
      <c r="AU138" t="str">
        <f t="shared" si="178"/>
        <v>2.009A</v>
      </c>
      <c r="AV138" t="str">
        <f t="shared" si="179"/>
        <v>2</v>
      </c>
      <c r="AW138" t="str">
        <f t="shared" si="180"/>
        <v>009A</v>
      </c>
      <c r="AX138" t="str">
        <f t="shared" si="181"/>
        <v>009A</v>
      </c>
      <c r="AY138" t="str">
        <f>IF(D138="","",IF(ISERROR(SEARCH(".",D138)),IFERROR(VLOOKUP(D138,Потребители_обозначение,2,FALSE)&amp;"",""),IFERROR(IF(VLOOKUP(AT138,Потребители_обозначение,4,FALSE)=1,VLOOKUP(AT138,Потребители_обозначение,2,FALSE)&amp;" "&amp;VLOOKUP(AV138,Этаж_обозначение,2,FALSE)&amp;" Пом. №"&amp;AX138,VLOOKUP(AT138,Потребители_обозначение,2,FALSE)&amp;" Шлейф №"&amp;AV138),IFERROR(VLOOKUP(D138,Потребители_обозначение,2,FALSE),""))))</f>
        <v>Внутренний блок кондиционирования Второй этаж Пом. №009A</v>
      </c>
      <c r="AZ138" t="str">
        <f t="shared" si="182"/>
        <v>Внутренний блок кондиционирования Технический этаж Пом. №002Т</v>
      </c>
      <c r="BA138" t="str">
        <f>IF(F138&lt;&gt;"",F138,IF(AND(D138&lt;&gt;"",D138&lt;&gt;A138,ISNUMBER(_xlfn.XMATCH(D138,Щиты[Щит]))),D138,""))</f>
        <v/>
      </c>
      <c r="BB138">
        <f>IFERROR(_xlfn.XMATCH(A138,Щиты[Щит]),0)</f>
        <v>7</v>
      </c>
      <c r="BC138">
        <f>IFERROR(N(_xlfn.XLOOKUP(A138,Щиты[Щит],Щиты[Мест под вводной узел])),15)</f>
        <v>12</v>
      </c>
      <c r="BD138">
        <f t="shared" si="183"/>
        <v>22</v>
      </c>
      <c r="BE138" t="str">
        <f t="shared" si="184"/>
        <v>линии</v>
      </c>
      <c r="BF138">
        <f>IF(D138="","",IF(BA138&lt;&gt;"",IFERROR(_xlfn.XLOOKUP(BA138,Щиты[Щит],Щиты[Руст, кВт]),0),N(G138)))</f>
        <v>0.16200000000000001</v>
      </c>
      <c r="BG138">
        <f>IF(J138&lt;&gt;"",J138,IF(D138="","",IFERROR(IF(VLOOKUP(AT138,Потребители_обозначение,8,FALSE)=0,"",VLOOKUP(AT138,Потребители_обозначение,8,FALSE)),"")))</f>
        <v>230</v>
      </c>
      <c r="BH138">
        <f>IF(I138&lt;&gt;"",I138,IF(D138="","",IFERROR(IF(VLOOKUP(AT138,Потребители_обозначение,9,FALSE)=0,"",VLOOKUP(AT138,Потребители_обозначение,9,FALSE)),"")))</f>
        <v>1</v>
      </c>
      <c r="BI138" t="str">
        <f>IF(U138&lt;&gt;"",U138,IF(D138="","",IFERROR(IF(VLOOKUP(AT138,Потребители_обозначение,6,FALSE)=0,"",VLOOKUP(AT138,Потребители_обозначение,6,FALSE)),"")))</f>
        <v>мс</v>
      </c>
      <c r="BJ138">
        <f>IF(V138&lt;&gt;"",V138,IF(D138="","",IFERROR(IF(VLOOKUP(AT138,Потребители_обозначение,7,FALSE)=0,"",VLOOKUP(AT138,Потребители_обозначение,7,FALSE)),"")))</f>
        <v>3</v>
      </c>
      <c r="BK138">
        <f>IF(W138&lt;&gt;"",W138,IF(D138="","",IFERROR(IF(VLOOKUP(AT138,Потребители_обозначение,10,FALSE)=0,"",VLOOKUP(AT138,Потребители_обозначение,10,FALSE)),"")))</f>
        <v>1.5</v>
      </c>
      <c r="BL138">
        <f>IFERROR(VLOOKUP(AT138,Потребители_обозначение,5,FALSE),0)</f>
        <v>1</v>
      </c>
      <c r="BM138" cm="1">
        <f t="array" ref="BM138">IF(D138="","",IF(BA138&lt;&gt;"",IFERROR(_xlfn.XLOOKUP(BA138,Щиты[Щит],Щиты[cos φ]),0.95),IF(ISNUMBER(M138),M138,IFERROR(IF(BL138=2,_xlfn.IFS(BH138=3,VLOOKUP(BF138,Справочная_двигатели,8,FALSE),BH138=1,VLOOKUP(BF138,Справочная_двигатели,10,TRUE)),IF(AND(Методика="нормы 2026",CN138="Сил"),0.8,0.95)),0.95))))</f>
        <v>0.95</v>
      </c>
      <c r="BN138" cm="1">
        <f t="array" ref="BN138">IF(D138="","",IF(BA138&lt;&gt;"",IFERROR(_xlfn.XLOOKUP(BA138,Щиты[Щит],Щиты[Iр, А]),""),IFERROR(_xlfn.IFS(BH138=1,BF138/((Uн_лин/SQRT(3))*BM138),BH138=3,BF138/(SQRT(3)*Uн_лин*BM138)),"")))</f>
        <v>0.73840060743725822</v>
      </c>
      <c r="BO138">
        <f>IF(D138="","",IF(N(X138)=0,IFERROR(VLOOKUP(BN138,Автомат_номиналы,2,TRUE),""),X138))</f>
        <v>6</v>
      </c>
      <c r="BP138">
        <f t="shared" si="185"/>
        <v>1</v>
      </c>
      <c r="BQ138">
        <f>IF(ISNUMBER(Y138),Y138,К_прокл)</f>
        <v>1</v>
      </c>
      <c r="BR138">
        <f t="shared" si="186"/>
        <v>2</v>
      </c>
      <c r="BS138" cm="1">
        <f t="array" ref="BS138">IF(D138="","",IF(N(BK138)&lt;&gt;0,BK138,IFERROR(_xlfn.LET(_xlpm.need,BO138/(BP138*BQ138),_xlpm.t,CHOOSE(BR138,Iдоп_1ж,Iдоп_2ж,Iдоп_3ж),_xlpm.k,_xlfn.XMATCH(_xlpm.need,_xlpm.t,1),IF(ISNA(_xlpm.k),"Не исп",INDEX(Iдоп_S,_xlpm.k))),"Не исп")))</f>
        <v>1.5</v>
      </c>
      <c r="BT138">
        <f>IFERROR(VLOOKUP(BS138,Кабель_сопротивление,3,FALSE),"")</f>
        <v>2.2499999999999999E-2</v>
      </c>
      <c r="BU138">
        <f>IFERROR(VLOOKUP(BS138,Кабель_сопротивление,2,FALSE),"")</f>
        <v>0.11</v>
      </c>
      <c r="BV138">
        <f t="shared" si="187"/>
        <v>20</v>
      </c>
      <c r="BW138">
        <f>IF(D138="","",IFERROR(IF(VLOOKUP(AT138,Потребители_обозначение,4,FALSE)=1,VLOOKUP(AT138,Потребители_обозначение,3,FALSE)*(H138*2-1)+BV138+VLOOKUP(AV138,Этаж_обозначение,3,FALSE)+VLOOKUP(AV138,Этаж_обозначение,4,FALSE),VLOOKUP(AT138,Потребители_обозначение,3,FALSE)*(H138*2-1)+BV138),BV138))</f>
        <v>22</v>
      </c>
      <c r="BX138">
        <f t="shared" si="188"/>
        <v>12</v>
      </c>
      <c r="BY138">
        <f t="shared" si="189"/>
        <v>0</v>
      </c>
      <c r="BZ138">
        <f t="shared" si="190"/>
        <v>2</v>
      </c>
      <c r="CA138">
        <f t="shared" si="191"/>
        <v>0.31</v>
      </c>
      <c r="CB138">
        <f t="shared" si="192"/>
        <v>0.46408507713455971</v>
      </c>
      <c r="CC138">
        <f>IFERROR(ROUNDUP(CB138/((Uн_лин/SQRT(3))*1000)*100,2),"")</f>
        <v>0.21000000000000002</v>
      </c>
      <c r="CD138">
        <f>IF(ISNUMBER(CC138),CC138+IFERROR(_xlfn.XLOOKUP(A138,Щиты[Щит],Щиты[ΔU до шин, %]),0),"")</f>
        <v>1.23</v>
      </c>
      <c r="CE138">
        <f>IF(D138="","",IF(IFERROR(VLOOKUP(AT138,УГО_спр,2,FALSE),"")="Светильник",3,4)+IF(Методика="нормы 2026",MIN(0.5,MAX(0,N(BW138)-100)*0.005),0))</f>
        <v>4</v>
      </c>
      <c r="CF138" t="str">
        <f>IFERROR(VLOOKUP(BI138,Кабель_обозначение,2,FALSE),"")</f>
        <v>ВВГнг(А)-LS</v>
      </c>
      <c r="CG138" t="str">
        <f>IFERROR(IF(VLOOKUP(BI138,Кабель_обозначение,3,FALSE)=1,CF138&amp;" ("&amp;BJ138&amp;"х"&amp;BS138&amp;")",CF138),"")</f>
        <v>ВВГнг(А)-LS (3х1,5)</v>
      </c>
      <c r="CH138" t="str">
        <f t="shared" si="193"/>
        <v>ВВГнг(А)-LS (3х1,5)
L=22-0,21%</v>
      </c>
      <c r="CI138">
        <f>IFERROR(2*ρкз_Cu*BW138/BS138,"")</f>
        <v>0.77146666666666663</v>
      </c>
      <c r="CJ138">
        <f t="shared" si="194"/>
        <v>0.25666666666666665</v>
      </c>
      <c r="CK138" t="str">
        <f>IFERROR(IF(OR(D138="",NOT(ISNUMBER(BS138)),N(BW138)=0),"",_xlfn.XLOOKUP(A138,Щиты[Щит],Щиты[Zпетли на шинах, Ом])+CI138),"")</f>
        <v/>
      </c>
      <c r="CL138" t="str">
        <f>IF(ISNUMBER(CK138),c_min*(Uн_лин*1000/SQRT(3))/CK138,"")</f>
        <v/>
      </c>
      <c r="CM138" t="str">
        <f>IFERROR(IF(OR(D138="",NOT(ISNUMBER(BS138))),"",1.05*(Uн_лин*1000/SQRT(3))/(_xlfn.XLOOKUP(A138,Щиты[Щит],Щиты[Zmax на шинах, Ом])+CJ138)/1000),"")</f>
        <v/>
      </c>
      <c r="CN138" t="str">
        <f>IF(D138="","",IF(BA138&lt;&gt;"","Щит",IF(K138&lt;&gt;"",K138,IF(ISNUMBER(L138),"Сил",IF(IFERROR(_xlfn.XLOOKUP(AT138,Коды_код,Коды_группа)&amp;"","")="","Быт",_xlfn.XLOOKUP(AT138,Коды_код,Коды_группа)&amp;"")))))</f>
        <v>Сил</v>
      </c>
      <c r="CO138">
        <f>IF(CN138="Щит","щит",IF(CN138="","",IF(CN138="Быт",IFERROR(_xlfn.XLOOKUP(A138,Щиты[Щит],Щиты[Кс быт]),1),IF(CN138="Сил",IF(ISNUMBER(L138),L138,IF(Методика="нормы 2026",IFERROR(_xlfn.XLOOKUP(A138,Щиты[Щит],Щиты[Кс силовых (табл. 7.5)]),1),1)),IF(OR(CN138="Пост",CN138="Отоп"),1,IF(CN138="ВНГ",0.7,0))))))</f>
        <v>0.5</v>
      </c>
      <c r="CP138">
        <f t="shared" si="195"/>
        <v>1</v>
      </c>
      <c r="CQ138">
        <f t="shared" si="196"/>
        <v>0.16200000000000001</v>
      </c>
      <c r="CR138">
        <f t="shared" si="197"/>
        <v>0</v>
      </c>
      <c r="CS138">
        <f t="shared" si="198"/>
        <v>8.1000000000000003E-2</v>
      </c>
      <c r="CT138">
        <f t="shared" si="199"/>
        <v>0</v>
      </c>
      <c r="CU138">
        <f t="shared" si="200"/>
        <v>0</v>
      </c>
      <c r="CV138">
        <f t="shared" si="201"/>
        <v>0</v>
      </c>
      <c r="CW138">
        <f t="shared" si="202"/>
        <v>0.16200000000000001</v>
      </c>
      <c r="CX138">
        <f t="shared" si="203"/>
        <v>0.15390000000000001</v>
      </c>
      <c r="CY138">
        <f t="shared" si="204"/>
        <v>2</v>
      </c>
      <c r="CZ138" t="str">
        <f t="shared" si="205"/>
        <v>L2</v>
      </c>
      <c r="DA138" cm="1">
        <f t="array" ref="DA138">IFERROR(IF(BL138=2,_xlfn.IFS(BH138=3,VLOOKUP(BF138,Справочная_двигатели,3,FALSE),BH138=1,VLOOKUP(BF138,Справочная_двигатели,5,TRUE)),0),0)</f>
        <v>0</v>
      </c>
      <c r="DB138">
        <f>IFERROR(IF(BL138=3,VLOOKUP(BF138,Справочная_ЛЭД,2,TRUE),0),0)</f>
        <v>0</v>
      </c>
      <c r="DC138">
        <f t="shared" si="206"/>
        <v>0</v>
      </c>
      <c r="DD138" t="str">
        <f t="shared" si="207"/>
        <v>L1</v>
      </c>
      <c r="DE138" t="str" cm="1">
        <f t="array" ref="DE138">IF(D138="","",IFERROR(INDEX({"I особая","I","II","III"},MATCH(TRIM(AA138&amp;""),{"I особая","I","II","III"},0)),"III"))</f>
        <v>II</v>
      </c>
      <c r="DF138" t="str">
        <f>IF(D138="","",IF(TRIM(AB138&amp;"")&lt;&gt;"",IF(LOWER(TRIM(AB138&amp;""))="да","да","нет"),IF(IFERROR(_xlfn.XLOOKUP(AT138,Коды_код,Коды_пожарная),"")="да","да","нет")))</f>
        <v>нет</v>
      </c>
      <c r="DG138" t="str">
        <f t="shared" si="208"/>
        <v/>
      </c>
      <c r="DH138" t="str">
        <f t="shared" si="209"/>
        <v>основная</v>
      </c>
      <c r="DI138">
        <f t="shared" si="210"/>
        <v>1</v>
      </c>
      <c r="DJ138" t="str" cm="1">
        <f t="array" ref="DJ138">IF(D138="","",_xlfn.LET(_xlpm.t,IFERROR(_xlfn.XLOOKUP(1,(Шины[Шина]=DH138)*(((Шины[Щит]=A138)+(Шины[Щит]=""))&gt;0),Шины[Тип]),"")&amp;"",IF(_xlpm.t&lt;&gt;"",_xlpm.t,IF(ISNUMBER(SEARCH("ИБП",DH138)),"ИБП",IF(ISNUMBER(SEARCH("ДГУ",DH138)),"ДГУ","Ввод "&amp;DI138)))))</f>
        <v>Ввод 1</v>
      </c>
      <c r="DK138" t="str">
        <f t="shared" si="211"/>
        <v>Ввод 1</v>
      </c>
      <c r="DL138" t="str">
        <f>IF(D138="","",IF(OR(DJ138="ИБП",DJ138="ДГУ"),"I особая",IF(DJ138="Одиночная","III",_xlfn.XLOOKUP(A138,Щиты[Щит],Щиты[Категория шины «Ввод»],"III"))))</f>
        <v>II</v>
      </c>
      <c r="DM138">
        <f>IF(D138="",0,IFERROR(MATCH(DE138,{"III","II","I","I особая"},0),1))</f>
        <v>2</v>
      </c>
      <c r="DN138">
        <f t="shared" si="212"/>
        <v>2</v>
      </c>
      <c r="DO138" t="str">
        <f>IF(D138="","",IF(DM138&gt;IFERROR(MATCH(DL138,{"III","II","I","I особая"},0),1),"НЕ ОБЕСПЕЧЕНА","ОК"))</f>
        <v>ОК</v>
      </c>
      <c r="DP138" t="str">
        <f>IF(A138="","",_xlfn.XLOOKUP(A138,Щиты[Щит],Щиты[Путь],""))</f>
        <v>|ГРЩ-ЖД|ЩОВ-2|</v>
      </c>
      <c r="DQ138" t="str">
        <f>IF(D138="","",IF(Z138&lt;&gt;"",Z138,IF(IFERROR(_xlfn.XLOOKUP(AT138,Коды_код,Коды_вид)&amp;"","")="","Прочее",_xlfn.XLOOKUP(AT138,Коды_код,Коды_вид)&amp;"")))</f>
        <v>Кондиционирование и увлажнение</v>
      </c>
      <c r="DR138">
        <f>IF(BD138="","",INT((BD138-1)/Столбцов_на_лист)+1)</f>
        <v>2</v>
      </c>
      <c r="DS138" t="str">
        <f t="shared" si="213"/>
        <v>ВВГнг(А)-LS (3х1,5) L=22-0,21%</v>
      </c>
      <c r="DT138">
        <f t="shared" si="214"/>
        <v>0.16200000000000001</v>
      </c>
      <c r="DU138">
        <f t="shared" si="215"/>
        <v>0.74</v>
      </c>
      <c r="DV138">
        <f t="shared" si="216"/>
        <v>1</v>
      </c>
      <c r="DW138">
        <f>IF(AT138="",0,_xlfn.LET(_xlpm.v,IFERROR(VLOOKUP(D138,УГО_спр,3,FALSE),IFERROR(VLOOKUP(AT138,УГО_спр,3,FALSE),IFERROR(VLOOKUP(LEFT(AT138,2),УГО_спр,3,FALSE),""))),IF(_xlpm.v="да",30,IF(ISNUMBER(_xlpm.v),_xlpm.v,0))))</f>
        <v>0</v>
      </c>
      <c r="DX138">
        <f t="shared" si="217"/>
        <v>0</v>
      </c>
      <c r="DY138">
        <f>IF(BD138="","",IF(AD138&lt;&gt;"",COUNTIFS(A$3:A138,A138,AD$3:AD138,"?*"),IF(OR(OR(AS138=1,A138&lt;&gt;A137),AL138="вручную"),"",IF(AS138=1,"",DZ137))))</f>
        <v>8</v>
      </c>
      <c r="DZ138">
        <f t="shared" si="218"/>
        <v>8</v>
      </c>
      <c r="EA138">
        <f>IF(D138="",0,MAX(IFERROR(--X138,0),IFERROR(--VLOOKUP(D138,УГО_спр,4,FALSE),IFERROR(--VLOOKUP(AT138,УГО_спр,4,FALSE),IFERROR(--VLOOKUP(LEFT(AT138,2),УГО_спр,4,FALSE),0)))))</f>
        <v>0</v>
      </c>
      <c r="EB138">
        <f>IF(D138="","",IFERROR(LOOKUP(INDEX(CHOOSE(BR138,Iдоп_1ж,Iдоп_2ж,Iдоп_3ж),MATCH(BS138,Iдоп_S,0))*BP138*BQ138,{6,10,16,20,25,32,40,50,63,80,100,125,160,200,250,315,400,500,630}),""))</f>
        <v>16</v>
      </c>
      <c r="EC138">
        <f>IF(AD138="","",SUMIFS(Линии[_Ток схемы],Линии[_гр.],DY138,Линии[Щит],A138,Линии[_в кабель выше],0))</f>
        <v>0.74</v>
      </c>
      <c r="ED138">
        <f>IF(AD138="","",IFERROR(VLOOKUP(EC138,Автомат_номиналы,2,TRUE),""))</f>
        <v>6</v>
      </c>
      <c r="EE138">
        <f>IF(AD138="","",MAX(N(ED138),_xlfn.MAXIFS(Линии[_мин. по типу],Линии[_гр.],DY138,Линии[Щит],A138)))</f>
        <v>6</v>
      </c>
      <c r="EF138">
        <f>IF(AD138="","",_xlfn.MINIFS(Линии[_макс. автомат по кабелю],Линии[_гр.],DY138,Линии[Щит],A138))</f>
        <v>16</v>
      </c>
      <c r="EG138">
        <f>IF(AD138="","",MAX(1,_xlfn.MAXIFS(Линии[_фаз],Линии[_гр.],DY138,Линии[Щит],A138)))</f>
        <v>1</v>
      </c>
      <c r="EH138">
        <f>IF(AD138="","",IF(AND(AD138&lt;&gt;"авто",AD138&lt;&gt;"+"),IF(ISNUMBER(SEARCH("мА",AD138)),IFERROR(--TRIM(RIGHT(SUBSTITUTE(LEFT(AD138,SEARCH("мА",AD138)-1)," ",REPT(" ",9)),6)),30),0),IF(AE138="нет",0,IF(ISNUMBER(AE138),AE138,IF(AE138="да",30,_xlfn.MINIFS(Линии[_дифзащита по коду, мА],Линии[_гр.],DY138,Линии[Щит],A138,Линии[_дифзащита по коду, мА],"&gt;0"))))))</f>
        <v>0</v>
      </c>
      <c r="EI138">
        <f t="shared" si="219"/>
        <v>0</v>
      </c>
      <c r="EJ138" t="str">
        <f t="shared" si="220"/>
        <v>QF8</v>
      </c>
      <c r="EK138" t="str">
        <f t="shared" si="221"/>
        <v>QF8</v>
      </c>
      <c r="EL138" t="str">
        <f t="shared" si="222"/>
        <v/>
      </c>
      <c r="EM138">
        <f t="shared" si="223"/>
        <v>0</v>
      </c>
      <c r="EN138">
        <f>IF(AD138="","",IF(EM138=1,MAX(EE138,Мин_автомат_БП),EE138))</f>
        <v>6</v>
      </c>
      <c r="EO138" t="str">
        <f t="shared" si="224"/>
        <v>1P</v>
      </c>
      <c r="EP138" t="str">
        <f t="shared" si="225"/>
        <v>1P С6А</v>
      </c>
      <c r="EQ138">
        <f t="shared" si="226"/>
        <v>6</v>
      </c>
      <c r="ER138" t="str">
        <f>IF(OR(AI138="",AI138="-"),"",IFERROR(VLOOKUP(AI138,Модули_спр,2,FALSE),"R"))</f>
        <v/>
      </c>
      <c r="ES138" t="str">
        <f>IF(ER138="","",ER138&amp;"."&amp;COUNTIFS(A$3:A138,A138,ER$3:ER138,ER138))</f>
        <v/>
      </c>
      <c r="ET138" t="str">
        <f t="shared" si="227"/>
        <v/>
      </c>
      <c r="EU138" t="str">
        <f t="shared" si="228"/>
        <v/>
      </c>
      <c r="EV138" t="str">
        <f t="shared" si="229"/>
        <v/>
      </c>
      <c r="EW138" t="str">
        <f t="shared" si="230"/>
        <v/>
      </c>
      <c r="EX138">
        <f t="shared" si="231"/>
        <v>1</v>
      </c>
      <c r="EY138" t="str">
        <f>IF(AK138="нет","",IF(AK138&lt;&gt;"",AK138,IF(EX138=1,"XT"&amp;COUNTIFS(A$3:A138,A138,EX$3:EX138,1),"")))</f>
        <v/>
      </c>
      <c r="EZ138" t="str">
        <f t="shared" si="232"/>
        <v>QF8</v>
      </c>
      <c r="FA138" t="str">
        <f t="shared" si="233"/>
        <v/>
      </c>
      <c r="FB138" t="str">
        <f t="shared" si="234"/>
        <v>ok</v>
      </c>
      <c r="FC138" t="str">
        <f>IF(OR(EV138="",ET138=""),"",IF(EV138&gt;IFERROR(VLOOKUP(EU138,Модули_спр,3,FALSE),99),"ЛИШНИЙ КАНАЛ",IF(AND(AJ138&lt;&gt;"=",COUNTIFS(Линии[_модуль гр.],ET138,Линии[Канал (итог)],EV138,Линии[Канал],"&lt;&gt;=",Линии[Щит],A138)&gt;1),"ДУБЛЬ КАНАЛА","")))</f>
        <v/>
      </c>
      <c r="FD138">
        <f t="shared" si="235"/>
        <v>6</v>
      </c>
      <c r="FE138" t="str">
        <f t="shared" si="236"/>
        <v>1P С6А</v>
      </c>
      <c r="FF138">
        <f t="shared" si="237"/>
        <v>0</v>
      </c>
      <c r="FG138">
        <f t="shared" si="238"/>
        <v>0</v>
      </c>
      <c r="FH138" t="str">
        <f t="shared" si="239"/>
        <v/>
      </c>
      <c r="FI138">
        <f t="shared" si="240"/>
        <v>10</v>
      </c>
      <c r="FJ138" t="str">
        <f t="shared" si="241"/>
        <v/>
      </c>
      <c r="FK138" t="str">
        <f>IF(AND(D138="",EZ138=""),"",_xlfn.TEXTJOIN("; ",TRUE,IF(AND(D138&lt;&gt;"",DD138=""),"нет фазы",""),IF(AND(D138&lt;&gt;"",N(DT138)=0,CN138&lt;&gt;"Нет"),"нет мощности",""),IF(AND(EY138&lt;&gt;"",COUNTIFS(Линии[Щит],A138,Линии[Клемма (итог)],EY138)&gt;1),"дубль клеммы "&amp;EY138,""),IF(AND(FB138&lt;&gt;"",FB138&lt;&gt;"ok"),FB138,""),IF(FC138&lt;&gt;"",FC138,""),IF(AND(ISNUMBER(SEARCH("(5х",DS138)),N(DV138)=1),"5 жил на 1 фазе",""),IF(AND(AT138="R",AD138&lt;&gt;"",OR(N(EH138)=0,N(EH138)&gt;30)),"розетка без дифзащиты до 30 мА",""),IFERROR(IF(AND(ISNUMBER(CD138),CD138&gt;CE138),"потери "&amp;FIXED(CD138,1)&amp;" % &gt; "&amp;CE138&amp;" %",""),""),IFERROR(IF(LEFT(FJ138,4)="мало","Iкз мало — отключение &gt; 0,4 с",""),""),IF(AND(D138&lt;&gt;"",BD138=""),"не на схеме","")))</f>
        <v/>
      </c>
      <c r="FL138" t="str">
        <f>IF(AD138="","",_xlfn.LET(_xlpm.t,IFERROR(_xlfn.XLOOKUP(EP138,Каталог!$U$4:$U$500,Каталог!$G$4:$G$500),""),_xlpm.k,SEARCH("кА",_xlpm.t),IFERROR(--TRIM(RIGHT(SUBSTITUTE(MID(_xlpm.t,MAX(1,_xlpm.k-4),_xlpm.k-MAX(1,_xlpm.k-4))," ",REPT(" ",9)),5)),"")))</f>
        <v/>
      </c>
      <c r="FM138" t="str">
        <f>IF(OR(FL138="",AD138=""),"",IF(_xlfn.XLOOKUP(A138,Щиты[Щит],Щиты[Iкз max на шинах, кА],"")="","",IF(FL138&lt;_xlfn.XLOOKUP(A138,Щиты[Щит],Щиты[Iкз max на шинах, кА]),"Icu "&amp;FL138&amp;" кА &lt; Iкз max","ok")))</f>
        <v/>
      </c>
      <c r="FN138" t="str">
        <f t="shared" si="242"/>
        <v>QF8</v>
      </c>
      <c r="FO138" t="str">
        <f t="shared" si="243"/>
        <v>QF8|кабель ВВГнг(А)-LS (3х1,5) → Внутренний блок кондиционирования Технический этаж Пом. №002Т</v>
      </c>
      <c r="FP138" t="str" cm="1">
        <f t="array" ref="FP138">IF(FO138="","",_xlfn.LET(_xlpm.nd,_xlfn.TEXTSPLIT(FO138,"|"),IF(COLUMNS(_xlpm.nd)&gt;1,A138&amp;"¦"&amp;INDEX(_xlpm.nd,1)&amp;"¦"&amp;INDEX(_xlpm.nd,2),"")))</f>
        <v>ЩОВ-2¦QF8¦кабель ВВГнг(А)-LS (3х1,5) → Внутренний блок кондиционирования Технический этаж Пом. №002Т</v>
      </c>
      <c r="FQ138" t="str">
        <f t="shared" si="244"/>
        <v>K.2.009A¦Внутренний блок кондиционирования Технический этаж Пом. №002Т</v>
      </c>
      <c r="FR138" t="str" cm="1">
        <f t="array" ref="FR138">IF(FO138="","",_xlfn.LET(_xlpm.nd,_xlfn.TEXTSPLIT(FO138,"|"),IF(COLUMNS(_xlpm.nd)&gt;2,A138&amp;"¦"&amp;INDEX(_xlpm.nd,2)&amp;"¦"&amp;INDEX(_xlpm.nd,3),"")))</f>
        <v/>
      </c>
      <c r="FS138" t="str">
        <f t="shared" si="245"/>
        <v/>
      </c>
      <c r="FT138" t="str" cm="1">
        <f t="array" ref="FT138">IF(FO138="","",_xlfn.LET(_xlpm.nd,_xlfn.TEXTSPLIT(FO138,"|"),IF(COLUMNS(_xlpm.nd)&gt;3,A138&amp;"¦"&amp;INDEX(_xlpm.nd,3)&amp;"¦"&amp;INDEX(_xlpm.nd,4),"")))</f>
        <v/>
      </c>
      <c r="FU138" t="str">
        <f t="shared" si="246"/>
        <v/>
      </c>
      <c r="FV138" t="str" cm="1">
        <f t="array" ref="FV138">IF(FO138="","",_xlfn.LET(_xlpm.nd,_xlfn.TEXTSPLIT(FO138,"|"),IF(COLUMNS(_xlpm.nd)&gt;4,A138&amp;"¦"&amp;INDEX(_xlpm.nd,4)&amp;"¦"&amp;INDEX(_xlpm.nd,5),"")))</f>
        <v/>
      </c>
      <c r="FW138" t="str">
        <f t="shared" si="247"/>
        <v/>
      </c>
      <c r="FX138" t="str" cm="1">
        <f t="array" ref="FX138">IF(FO138="","",_xlfn.LET(_xlpm.nd,_xlfn.TEXTSPLIT(FO138,"|"),IF(COLUMNS(_xlpm.nd)&gt;5,A138&amp;"¦"&amp;INDEX(_xlpm.nd,5)&amp;"¦"&amp;INDEX(_xlpm.nd,6),"")))</f>
        <v/>
      </c>
      <c r="FY138" t="str">
        <f t="shared" si="248"/>
        <v/>
      </c>
      <c r="FZ138" t="str" cm="1">
        <f t="array" ref="FZ138">IF(FO138="","",_xlfn.LET(_xlpm.nd,_xlfn.TEXTSPLIT(FO138,"|"),IF(COLUMNS(_xlpm.nd)&gt;6,A138&amp;"¦"&amp;INDEX(_xlpm.nd,6)&amp;"¦"&amp;INDEX(_xlpm.nd,7),"")))</f>
        <v/>
      </c>
      <c r="GA138" t="str">
        <f t="shared" si="249"/>
        <v/>
      </c>
      <c r="GB138" t="str">
        <f t="shared" si="250"/>
        <v/>
      </c>
      <c r="GC138" t="str">
        <f t="shared" si="251"/>
        <v>QF8</v>
      </c>
      <c r="GD138">
        <f t="shared" si="252"/>
        <v>1</v>
      </c>
      <c r="GE138">
        <f t="shared" si="253"/>
        <v>0</v>
      </c>
      <c r="GF138">
        <f t="shared" si="254"/>
        <v>0</v>
      </c>
      <c r="GG138" t="str">
        <f t="shared" si="255"/>
        <v/>
      </c>
      <c r="GH138" t="str">
        <f t="shared" si="256"/>
        <v/>
      </c>
      <c r="GI138" t="str">
        <f t="shared" si="257"/>
        <v/>
      </c>
      <c r="GJ138" t="str">
        <f t="shared" si="258"/>
        <v/>
      </c>
      <c r="GK138">
        <f>IF(D138="","",IFERROR(VLOOKUP(D138,УГО_спр,2,FALSE),IFERROR(VLOOKUP(AT138,УГО_спр,2,FALSE),IFERROR(VLOOKUP(LEFT(AT138,2),УГО_спр,2,FALSE),""))))</f>
        <v>0</v>
      </c>
      <c r="GL138" t="str">
        <f>IF(D138="","",IF(OR(GK138="",GK138=0),"BOX",IFERROR(IF(VLOOKUP(GK138,УГО_блоки,3,FALSE)&amp;""&lt;&gt;"",VLOOKUP(GK138,УГО_блоки,3,FALSE),VLOOKUP(GK138,УГО_блоки,2,FALSE)),GK138)))</f>
        <v>BOX</v>
      </c>
      <c r="GM138">
        <f t="shared" si="259"/>
        <v>1</v>
      </c>
      <c r="GN138" t="str">
        <f>IF(EP138="","",IF(COUNTIF(EP$3:EP138,EP138)=1,MAX(GN$2:GN137)+1,""))</f>
        <v/>
      </c>
      <c r="GO138" t="str">
        <f>IF(AF138="","",IF(COUNTIF(AF$3:AF138,AF138)+COUNTIF(AG$2:AG137,AF138)+COUNTIF(AH$2:AH137,AF138)=1,MAX(GO$2:GQ137)+1,""))</f>
        <v/>
      </c>
      <c r="GP138" t="str">
        <f>IF(AG138="","",IF(COUNTIF(AF$3:AF138,AG138)+COUNTIF(AG$3:AG138,AG138)+COUNTIF(AH$2:AH137,AG138)=1,MAX(GO$2:GQ137,GO138)+1,""))</f>
        <v/>
      </c>
      <c r="GQ138" t="str">
        <f>IF(AH138="","",IF(COUNTIF(AF$3:AF138,AH138)+COUNTIF(AG$3:AG138,AH138)+COUNTIF(AH$3:AH138,AH138)=1,MAX(GO$2:GQ137,GO138,GP138)+1,""))</f>
        <v/>
      </c>
      <c r="GR138" t="str">
        <f t="shared" si="260"/>
        <v>3х1,5</v>
      </c>
      <c r="GS138" t="str">
        <f>IF(GR138="","",IF(COUNTIF(GR$3:GR138,GR138)=1,MAX(GS$2:GS137)+1,""))</f>
        <v/>
      </c>
      <c r="GT138" t="str">
        <f>IF(ES138="","",COUNTIF(ES$3:ES138,"?*"))</f>
        <v/>
      </c>
      <c r="GU138" t="str">
        <f>IF(OR(ES138="",EU138=""),"",IF(COUNTIFS(ES$3:ES138,"?*",EU$3:EU138,EU138)=1,MAX(GU$2:GU137)+1,""))</f>
        <v/>
      </c>
      <c r="GV138">
        <f t="shared" si="261"/>
        <v>0</v>
      </c>
      <c r="GW138">
        <f>IF(D138="","",COUNTIF(D$3:D138,"?*"))</f>
        <v>136</v>
      </c>
      <c r="GX138">
        <f>IF(EX138&lt;&gt;1,0,_xlfn.LET(_xlpm.k,MAX(IFERROR(--VLOOKUP(D138,УГО_спр,5,FALSE),0),IFERROR(--VLOOKUP(AT138,УГО_спр,5,FALSE),0),IFERROR(--VLOOKUP(LEFT(AT138,2),УГО_спр,5,FALSE),0)),IF(_xlpm.k&gt;0,_xlpm.k,IF(IFERROR(--LEFT(SUBSTITUTE(GR138,"x","х"),FIND("х",SUBSTITUTE(GR138,"x","х"))-1),3)&gt;3,Каталог!$S$9,1))))</f>
        <v>1</v>
      </c>
      <c r="GY138">
        <f t="shared" si="262"/>
        <v>0</v>
      </c>
    </row>
    <row r="139" spans="1:207" x14ac:dyDescent="0.3">
      <c r="A139" t="s">
        <v>756</v>
      </c>
      <c r="B139">
        <v>23</v>
      </c>
      <c r="C139" t="str">
        <f>IF(BD139="","",IF(BE139="вводной узел","узел ","")&amp;"л."&amp;(INT((BD139-1)/Столбцов_на_лист)+1)&amp;" / "&amp;(MOD(BD139-1,Столбцов_на_лист)+1))</f>
        <v>л.2 / 6</v>
      </c>
      <c r="D139" t="s">
        <v>1438</v>
      </c>
      <c r="E139" s="133" t="s">
        <v>1432</v>
      </c>
      <c r="G139">
        <v>0.222</v>
      </c>
      <c r="H139">
        <v>1</v>
      </c>
      <c r="I139">
        <v>1</v>
      </c>
      <c r="J139">
        <v>230</v>
      </c>
      <c r="K139" t="s">
        <v>602</v>
      </c>
      <c r="L139">
        <v>0.5</v>
      </c>
      <c r="O139">
        <v>1</v>
      </c>
      <c r="P139">
        <v>17</v>
      </c>
      <c r="Q139">
        <v>10</v>
      </c>
      <c r="R139">
        <v>9</v>
      </c>
      <c r="T139">
        <v>1</v>
      </c>
      <c r="U139" t="s">
        <v>11</v>
      </c>
      <c r="V139">
        <v>3</v>
      </c>
      <c r="W139">
        <v>1.5</v>
      </c>
      <c r="Z139" t="s">
        <v>580</v>
      </c>
      <c r="AA139" t="s">
        <v>818</v>
      </c>
      <c r="AD139" t="s">
        <v>517</v>
      </c>
      <c r="AK139" t="s">
        <v>488</v>
      </c>
      <c r="AR139" t="str">
        <f t="shared" si="176"/>
        <v/>
      </c>
      <c r="AS139" cm="1">
        <f t="array" ref="AS139">ROW()-ROW(Линии[#Headers])</f>
        <v>137</v>
      </c>
      <c r="AT139" t="str">
        <f t="shared" si="177"/>
        <v>K</v>
      </c>
      <c r="AU139" t="str">
        <f t="shared" si="178"/>
        <v>2.014A</v>
      </c>
      <c r="AV139" t="str">
        <f t="shared" si="179"/>
        <v>2</v>
      </c>
      <c r="AW139" t="str">
        <f t="shared" si="180"/>
        <v>014A</v>
      </c>
      <c r="AX139" t="str">
        <f t="shared" si="181"/>
        <v>014A</v>
      </c>
      <c r="AY139" t="str">
        <f>IF(D139="","",IF(ISERROR(SEARCH(".",D139)),IFERROR(VLOOKUP(D139,Потребители_обозначение,2,FALSE)&amp;"",""),IFERROR(IF(VLOOKUP(AT139,Потребители_обозначение,4,FALSE)=1,VLOOKUP(AT139,Потребители_обозначение,2,FALSE)&amp;" "&amp;VLOOKUP(AV139,Этаж_обозначение,2,FALSE)&amp;" Пом. №"&amp;AX139,VLOOKUP(AT139,Потребители_обозначение,2,FALSE)&amp;" Шлейф №"&amp;AV139),IFERROR(VLOOKUP(D139,Потребители_обозначение,2,FALSE),""))))</f>
        <v>Внутренний блок кондиционирования Второй этаж Пом. №014A</v>
      </c>
      <c r="AZ139" t="str">
        <f t="shared" si="182"/>
        <v>Внутренний блок кондиционирования Технический этаж Пом. №002Т</v>
      </c>
      <c r="BA139" t="str">
        <f>IF(F139&lt;&gt;"",F139,IF(AND(D139&lt;&gt;"",D139&lt;&gt;A139,ISNUMBER(_xlfn.XMATCH(D139,Щиты[Щит]))),D139,""))</f>
        <v/>
      </c>
      <c r="BB139">
        <f>IFERROR(_xlfn.XMATCH(A139,Щиты[Щит]),0)</f>
        <v>7</v>
      </c>
      <c r="BC139">
        <f>IFERROR(N(_xlfn.XLOOKUP(A139,Щиты[Щит],Щиты[Мест под вводной узел])),15)</f>
        <v>12</v>
      </c>
      <c r="BD139">
        <f t="shared" si="183"/>
        <v>23</v>
      </c>
      <c r="BE139" t="str">
        <f t="shared" si="184"/>
        <v>линии</v>
      </c>
      <c r="BF139">
        <f>IF(D139="","",IF(BA139&lt;&gt;"",IFERROR(_xlfn.XLOOKUP(BA139,Щиты[Щит],Щиты[Руст, кВт]),0),N(G139)))</f>
        <v>0.222</v>
      </c>
      <c r="BG139">
        <f>IF(J139&lt;&gt;"",J139,IF(D139="","",IFERROR(IF(VLOOKUP(AT139,Потребители_обозначение,8,FALSE)=0,"",VLOOKUP(AT139,Потребители_обозначение,8,FALSE)),"")))</f>
        <v>230</v>
      </c>
      <c r="BH139">
        <f>IF(I139&lt;&gt;"",I139,IF(D139="","",IFERROR(IF(VLOOKUP(AT139,Потребители_обозначение,9,FALSE)=0,"",VLOOKUP(AT139,Потребители_обозначение,9,FALSE)),"")))</f>
        <v>1</v>
      </c>
      <c r="BI139" t="str">
        <f>IF(U139&lt;&gt;"",U139,IF(D139="","",IFERROR(IF(VLOOKUP(AT139,Потребители_обозначение,6,FALSE)=0,"",VLOOKUP(AT139,Потребители_обозначение,6,FALSE)),"")))</f>
        <v>мс</v>
      </c>
      <c r="BJ139">
        <f>IF(V139&lt;&gt;"",V139,IF(D139="","",IFERROR(IF(VLOOKUP(AT139,Потребители_обозначение,7,FALSE)=0,"",VLOOKUP(AT139,Потребители_обозначение,7,FALSE)),"")))</f>
        <v>3</v>
      </c>
      <c r="BK139">
        <f>IF(W139&lt;&gt;"",W139,IF(D139="","",IFERROR(IF(VLOOKUP(AT139,Потребители_обозначение,10,FALSE)=0,"",VLOOKUP(AT139,Потребители_обозначение,10,FALSE)),"")))</f>
        <v>1.5</v>
      </c>
      <c r="BL139">
        <f>IFERROR(VLOOKUP(AT139,Потребители_обозначение,5,FALSE),0)</f>
        <v>1</v>
      </c>
      <c r="BM139" cm="1">
        <f t="array" ref="BM139">IF(D139="","",IF(BA139&lt;&gt;"",IFERROR(_xlfn.XLOOKUP(BA139,Щиты[Щит],Щиты[cos φ]),0.95),IF(ISNUMBER(M139),M139,IFERROR(IF(BL139=2,_xlfn.IFS(BH139=3,VLOOKUP(BF139,Справочная_двигатели,8,FALSE),BH139=1,VLOOKUP(BF139,Справочная_двигатели,10,TRUE)),IF(AND(Методика="нормы 2026",CN139="Сил"),0.8,0.95)),0.95))))</f>
        <v>0.95</v>
      </c>
      <c r="BN139" cm="1">
        <f t="array" ref="BN139">IF(D139="","",IF(BA139&lt;&gt;"",IFERROR(_xlfn.XLOOKUP(BA139,Щиты[Щит],Щиты[Iр, А]),""),IFERROR(_xlfn.IFS(BH139=1,BF139/((Uн_лин/SQRT(3))*BM139),BH139=3,BF139/(SQRT(3)*Uн_лин*BM139)),"")))</f>
        <v>1.011882313895502</v>
      </c>
      <c r="BO139">
        <f>IF(D139="","",IF(N(X139)=0,IFERROR(VLOOKUP(BN139,Автомат_номиналы,2,TRUE),""),X139))</f>
        <v>6</v>
      </c>
      <c r="BP139">
        <f t="shared" si="185"/>
        <v>1</v>
      </c>
      <c r="BQ139">
        <f>IF(ISNUMBER(Y139),Y139,К_прокл)</f>
        <v>1</v>
      </c>
      <c r="BR139">
        <f t="shared" si="186"/>
        <v>2</v>
      </c>
      <c r="BS139" cm="1">
        <f t="array" ref="BS139">IF(D139="","",IF(N(BK139)&lt;&gt;0,BK139,IFERROR(_xlfn.LET(_xlpm.need,BO139/(BP139*BQ139),_xlpm.t,CHOOSE(BR139,Iдоп_1ж,Iдоп_2ж,Iдоп_3ж),_xlpm.k,_xlfn.XMATCH(_xlpm.need,_xlpm.t,1),IF(ISNA(_xlpm.k),"Не исп",INDEX(Iдоп_S,_xlpm.k))),"Не исп")))</f>
        <v>1.5</v>
      </c>
      <c r="BT139">
        <f>IFERROR(VLOOKUP(BS139,Кабель_сопротивление,3,FALSE),"")</f>
        <v>2.2499999999999999E-2</v>
      </c>
      <c r="BU139">
        <f>IFERROR(VLOOKUP(BS139,Кабель_сопротивление,2,FALSE),"")</f>
        <v>0.11</v>
      </c>
      <c r="BV139">
        <f t="shared" si="187"/>
        <v>17</v>
      </c>
      <c r="BW139">
        <f>IF(D139="","",IFERROR(IF(VLOOKUP(AT139,Потребители_обозначение,4,FALSE)=1,VLOOKUP(AT139,Потребители_обозначение,3,FALSE)*(H139*2-1)+BV139+VLOOKUP(AV139,Этаж_обозначение,3,FALSE)+VLOOKUP(AV139,Этаж_обозначение,4,FALSE),VLOOKUP(AT139,Потребители_обозначение,3,FALSE)*(H139*2-1)+BV139),BV139))</f>
        <v>19</v>
      </c>
      <c r="BX139">
        <f t="shared" si="188"/>
        <v>9</v>
      </c>
      <c r="BY139">
        <f t="shared" si="189"/>
        <v>0</v>
      </c>
      <c r="BZ139">
        <f t="shared" si="190"/>
        <v>2</v>
      </c>
      <c r="CA139">
        <f t="shared" si="191"/>
        <v>0.31</v>
      </c>
      <c r="CB139">
        <f t="shared" si="192"/>
        <v>0.54924547007676006</v>
      </c>
      <c r="CC139">
        <f>IFERROR(ROUNDUP(CB139/((Uн_лин/SQRT(3))*1000)*100,2),"")</f>
        <v>0.24000000000000002</v>
      </c>
      <c r="CD139">
        <f>IF(ISNUMBER(CC139),CC139+IFERROR(_xlfn.XLOOKUP(A139,Щиты[Щит],Щиты[ΔU до шин, %]),0),"")</f>
        <v>1.26</v>
      </c>
      <c r="CE139">
        <f>IF(D139="","",IF(IFERROR(VLOOKUP(AT139,УГО_спр,2,FALSE),"")="Светильник",3,4)+IF(Методика="нормы 2026",MIN(0.5,MAX(0,N(BW139)-100)*0.005),0))</f>
        <v>4</v>
      </c>
      <c r="CF139" t="str">
        <f>IFERROR(VLOOKUP(BI139,Кабель_обозначение,2,FALSE),"")</f>
        <v>ВВГнг(А)-LS</v>
      </c>
      <c r="CG139" t="str">
        <f>IFERROR(IF(VLOOKUP(BI139,Кабель_обозначение,3,FALSE)=1,CF139&amp;" ("&amp;BJ139&amp;"х"&amp;BS139&amp;")",CF139),"")</f>
        <v>ВВГнг(А)-LS (3х1,5)</v>
      </c>
      <c r="CH139" t="str">
        <f t="shared" si="193"/>
        <v>ВВГнг(А)-LS (3х1,5)
L=19-0,24%</v>
      </c>
      <c r="CI139">
        <f>IFERROR(2*ρкз_Cu*BW139/BS139,"")</f>
        <v>0.66626666666666667</v>
      </c>
      <c r="CJ139">
        <f t="shared" si="194"/>
        <v>0.22166666666666668</v>
      </c>
      <c r="CK139" t="str">
        <f>IFERROR(IF(OR(D139="",NOT(ISNUMBER(BS139)),N(BW139)=0),"",_xlfn.XLOOKUP(A139,Щиты[Щит],Щиты[Zпетли на шинах, Ом])+CI139),"")</f>
        <v/>
      </c>
      <c r="CL139" t="str">
        <f>IF(ISNUMBER(CK139),c_min*(Uн_лин*1000/SQRT(3))/CK139,"")</f>
        <v/>
      </c>
      <c r="CM139" t="str">
        <f>IFERROR(IF(OR(D139="",NOT(ISNUMBER(BS139))),"",1.05*(Uн_лин*1000/SQRT(3))/(_xlfn.XLOOKUP(A139,Щиты[Щит],Щиты[Zmax на шинах, Ом])+CJ139)/1000),"")</f>
        <v/>
      </c>
      <c r="CN139" t="str">
        <f>IF(D139="","",IF(BA139&lt;&gt;"","Щит",IF(K139&lt;&gt;"",K139,IF(ISNUMBER(L139),"Сил",IF(IFERROR(_xlfn.XLOOKUP(AT139,Коды_код,Коды_группа)&amp;"","")="","Быт",_xlfn.XLOOKUP(AT139,Коды_код,Коды_группа)&amp;"")))))</f>
        <v>Сил</v>
      </c>
      <c r="CO139">
        <f>IF(CN139="Щит","щит",IF(CN139="","",IF(CN139="Быт",IFERROR(_xlfn.XLOOKUP(A139,Щиты[Щит],Щиты[Кс быт]),1),IF(CN139="Сил",IF(ISNUMBER(L139),L139,IF(Методика="нормы 2026",IFERROR(_xlfn.XLOOKUP(A139,Щиты[Щит],Щиты[Кс силовых (табл. 7.5)]),1),1)),IF(OR(CN139="Пост",CN139="Отоп"),1,IF(CN139="ВНГ",0.7,0))))))</f>
        <v>0.5</v>
      </c>
      <c r="CP139">
        <f t="shared" si="195"/>
        <v>1</v>
      </c>
      <c r="CQ139">
        <f t="shared" si="196"/>
        <v>0.222</v>
      </c>
      <c r="CR139">
        <f t="shared" si="197"/>
        <v>0</v>
      </c>
      <c r="CS139">
        <f t="shared" si="198"/>
        <v>0.111</v>
      </c>
      <c r="CT139">
        <f t="shared" si="199"/>
        <v>0</v>
      </c>
      <c r="CU139">
        <f t="shared" si="200"/>
        <v>0</v>
      </c>
      <c r="CV139">
        <f t="shared" si="201"/>
        <v>0</v>
      </c>
      <c r="CW139">
        <f t="shared" si="202"/>
        <v>0.222</v>
      </c>
      <c r="CX139">
        <f t="shared" si="203"/>
        <v>0.2109</v>
      </c>
      <c r="CY139">
        <f t="shared" si="204"/>
        <v>3</v>
      </c>
      <c r="CZ139" t="str">
        <f t="shared" si="205"/>
        <v>L3</v>
      </c>
      <c r="DA139" cm="1">
        <f t="array" ref="DA139">IFERROR(IF(BL139=2,_xlfn.IFS(BH139=3,VLOOKUP(BF139,Справочная_двигатели,3,FALSE),BH139=1,VLOOKUP(BF139,Справочная_двигатели,5,TRUE)),0),0)</f>
        <v>0</v>
      </c>
      <c r="DB139">
        <f>IFERROR(IF(BL139=3,VLOOKUP(BF139,Справочная_ЛЭД,2,TRUE),0),0)</f>
        <v>0</v>
      </c>
      <c r="DC139">
        <f t="shared" si="206"/>
        <v>0</v>
      </c>
      <c r="DD139" t="str">
        <f t="shared" si="207"/>
        <v>L1</v>
      </c>
      <c r="DE139" t="str" cm="1">
        <f t="array" ref="DE139">IF(D139="","",IFERROR(INDEX({"I особая","I","II","III"},MATCH(TRIM(AA139&amp;""),{"I особая","I","II","III"},0)),"III"))</f>
        <v>II</v>
      </c>
      <c r="DF139" t="str">
        <f>IF(D139="","",IF(TRIM(AB139&amp;"")&lt;&gt;"",IF(LOWER(TRIM(AB139&amp;""))="да","да","нет"),IF(IFERROR(_xlfn.XLOOKUP(AT139,Коды_код,Коды_пожарная),"")="да","да","нет")))</f>
        <v>нет</v>
      </c>
      <c r="DG139" t="str">
        <f t="shared" si="208"/>
        <v/>
      </c>
      <c r="DH139" t="str">
        <f t="shared" si="209"/>
        <v>основная</v>
      </c>
      <c r="DI139">
        <f t="shared" si="210"/>
        <v>1</v>
      </c>
      <c r="DJ139" t="str" cm="1">
        <f t="array" ref="DJ139">IF(D139="","",_xlfn.LET(_xlpm.t,IFERROR(_xlfn.XLOOKUP(1,(Шины[Шина]=DH139)*(((Шины[Щит]=A139)+(Шины[Щит]=""))&gt;0),Шины[Тип]),"")&amp;"",IF(_xlpm.t&lt;&gt;"",_xlpm.t,IF(ISNUMBER(SEARCH("ИБП",DH139)),"ИБП",IF(ISNUMBER(SEARCH("ДГУ",DH139)),"ДГУ","Ввод "&amp;DI139)))))</f>
        <v>Ввод 1</v>
      </c>
      <c r="DK139" t="str">
        <f t="shared" si="211"/>
        <v>Ввод 1</v>
      </c>
      <c r="DL139" t="str">
        <f>IF(D139="","",IF(OR(DJ139="ИБП",DJ139="ДГУ"),"I особая",IF(DJ139="Одиночная","III",_xlfn.XLOOKUP(A139,Щиты[Щит],Щиты[Категория шины «Ввод»],"III"))))</f>
        <v>II</v>
      </c>
      <c r="DM139">
        <f>IF(D139="",0,IFERROR(MATCH(DE139,{"III","II","I","I особая"},0),1))</f>
        <v>2</v>
      </c>
      <c r="DN139">
        <f t="shared" si="212"/>
        <v>2</v>
      </c>
      <c r="DO139" t="str">
        <f>IF(D139="","",IF(DM139&gt;IFERROR(MATCH(DL139,{"III","II","I","I особая"},0),1),"НЕ ОБЕСПЕЧЕНА","ОК"))</f>
        <v>ОК</v>
      </c>
      <c r="DP139" t="str">
        <f>IF(A139="","",_xlfn.XLOOKUP(A139,Щиты[Щит],Щиты[Путь],""))</f>
        <v>|ГРЩ-ЖД|ЩОВ-2|</v>
      </c>
      <c r="DQ139" t="str">
        <f>IF(D139="","",IF(Z139&lt;&gt;"",Z139,IF(IFERROR(_xlfn.XLOOKUP(AT139,Коды_код,Коды_вид)&amp;"","")="","Прочее",_xlfn.XLOOKUP(AT139,Коды_код,Коды_вид)&amp;"")))</f>
        <v>Кондиционирование и увлажнение</v>
      </c>
      <c r="DR139">
        <f>IF(BD139="","",INT((BD139-1)/Столбцов_на_лист)+1)</f>
        <v>2</v>
      </c>
      <c r="DS139" t="str">
        <f t="shared" si="213"/>
        <v>ВВГнг(А)-LS (3х1,5) L=19-0,24%</v>
      </c>
      <c r="DT139">
        <f t="shared" si="214"/>
        <v>0.222</v>
      </c>
      <c r="DU139">
        <f t="shared" si="215"/>
        <v>1.02</v>
      </c>
      <c r="DV139">
        <f t="shared" si="216"/>
        <v>1</v>
      </c>
      <c r="DW139">
        <f>IF(AT139="",0,_xlfn.LET(_xlpm.v,IFERROR(VLOOKUP(D139,УГО_спр,3,FALSE),IFERROR(VLOOKUP(AT139,УГО_спр,3,FALSE),IFERROR(VLOOKUP(LEFT(AT139,2),УГО_спр,3,FALSE),""))),IF(_xlpm.v="да",30,IF(ISNUMBER(_xlpm.v),_xlpm.v,0))))</f>
        <v>0</v>
      </c>
      <c r="DX139">
        <f t="shared" si="217"/>
        <v>0</v>
      </c>
      <c r="DY139">
        <f>IF(BD139="","",IF(AD139&lt;&gt;"",COUNTIFS(A$3:A139,A139,AD$3:AD139,"?*"),IF(OR(OR(AS139=1,A139&lt;&gt;A138),AL139="вручную"),"",IF(AS139=1,"",DZ138))))</f>
        <v>9</v>
      </c>
      <c r="DZ139">
        <f t="shared" si="218"/>
        <v>9</v>
      </c>
      <c r="EA139">
        <f>IF(D139="",0,MAX(IFERROR(--X139,0),IFERROR(--VLOOKUP(D139,УГО_спр,4,FALSE),IFERROR(--VLOOKUP(AT139,УГО_спр,4,FALSE),IFERROR(--VLOOKUP(LEFT(AT139,2),УГО_спр,4,FALSE),0)))))</f>
        <v>0</v>
      </c>
      <c r="EB139">
        <f>IF(D139="","",IFERROR(LOOKUP(INDEX(CHOOSE(BR139,Iдоп_1ж,Iдоп_2ж,Iдоп_3ж),MATCH(BS139,Iдоп_S,0))*BP139*BQ139,{6,10,16,20,25,32,40,50,63,80,100,125,160,200,250,315,400,500,630}),""))</f>
        <v>16</v>
      </c>
      <c r="EC139">
        <f>IF(AD139="","",SUMIFS(Линии[_Ток схемы],Линии[_гр.],DY139,Линии[Щит],A139,Линии[_в кабель выше],0))</f>
        <v>1.02</v>
      </c>
      <c r="ED139">
        <f>IF(AD139="","",IFERROR(VLOOKUP(EC139,Автомат_номиналы,2,TRUE),""))</f>
        <v>6</v>
      </c>
      <c r="EE139">
        <f>IF(AD139="","",MAX(N(ED139),_xlfn.MAXIFS(Линии[_мин. по типу],Линии[_гр.],DY139,Линии[Щит],A139)))</f>
        <v>6</v>
      </c>
      <c r="EF139">
        <f>IF(AD139="","",_xlfn.MINIFS(Линии[_макс. автомат по кабелю],Линии[_гр.],DY139,Линии[Щит],A139))</f>
        <v>16</v>
      </c>
      <c r="EG139">
        <f>IF(AD139="","",MAX(1,_xlfn.MAXIFS(Линии[_фаз],Линии[_гр.],DY139,Линии[Щит],A139)))</f>
        <v>1</v>
      </c>
      <c r="EH139">
        <f>IF(AD139="","",IF(AND(AD139&lt;&gt;"авто",AD139&lt;&gt;"+"),IF(ISNUMBER(SEARCH("мА",AD139)),IFERROR(--TRIM(RIGHT(SUBSTITUTE(LEFT(AD139,SEARCH("мА",AD139)-1)," ",REPT(" ",9)),6)),30),0),IF(AE139="нет",0,IF(ISNUMBER(AE139),AE139,IF(AE139="да",30,_xlfn.MINIFS(Линии[_дифзащита по коду, мА],Линии[_гр.],DY139,Линии[Щит],A139,Линии[_дифзащита по коду, мА],"&gt;0"))))))</f>
        <v>0</v>
      </c>
      <c r="EI139">
        <f t="shared" si="219"/>
        <v>0</v>
      </c>
      <c r="EJ139" t="str">
        <f t="shared" si="220"/>
        <v>QF9</v>
      </c>
      <c r="EK139" t="str">
        <f t="shared" si="221"/>
        <v>QF9</v>
      </c>
      <c r="EL139" t="str">
        <f t="shared" si="222"/>
        <v/>
      </c>
      <c r="EM139">
        <f t="shared" si="223"/>
        <v>0</v>
      </c>
      <c r="EN139">
        <f>IF(AD139="","",IF(EM139=1,MAX(EE139,Мин_автомат_БП),EE139))</f>
        <v>6</v>
      </c>
      <c r="EO139" t="str">
        <f t="shared" si="224"/>
        <v>1P</v>
      </c>
      <c r="EP139" t="str">
        <f t="shared" si="225"/>
        <v>1P С6А</v>
      </c>
      <c r="EQ139">
        <f t="shared" si="226"/>
        <v>6</v>
      </c>
      <c r="ER139" t="str">
        <f>IF(OR(AI139="",AI139="-"),"",IFERROR(VLOOKUP(AI139,Модули_спр,2,FALSE),"R"))</f>
        <v/>
      </c>
      <c r="ES139" t="str">
        <f>IF(ER139="","",ER139&amp;"."&amp;COUNTIFS(A$3:A139,A139,ER$3:ER139,ER139))</f>
        <v/>
      </c>
      <c r="ET139" t="str">
        <f t="shared" si="227"/>
        <v/>
      </c>
      <c r="EU139" t="str">
        <f t="shared" si="228"/>
        <v/>
      </c>
      <c r="EV139" t="str">
        <f t="shared" si="229"/>
        <v/>
      </c>
      <c r="EW139" t="str">
        <f t="shared" si="230"/>
        <v/>
      </c>
      <c r="EX139">
        <f t="shared" si="231"/>
        <v>1</v>
      </c>
      <c r="EY139" t="str">
        <f>IF(AK139="нет","",IF(AK139&lt;&gt;"",AK139,IF(EX139=1,"XT"&amp;COUNTIFS(A$3:A139,A139,EX$3:EX139,1),"")))</f>
        <v/>
      </c>
      <c r="EZ139" t="str">
        <f t="shared" si="232"/>
        <v>QF9</v>
      </c>
      <c r="FA139" t="str">
        <f t="shared" si="233"/>
        <v/>
      </c>
      <c r="FB139" t="str">
        <f t="shared" si="234"/>
        <v>ok</v>
      </c>
      <c r="FC139" t="str">
        <f>IF(OR(EV139="",ET139=""),"",IF(EV139&gt;IFERROR(VLOOKUP(EU139,Модули_спр,3,FALSE),99),"ЛИШНИЙ КАНАЛ",IF(AND(AJ139&lt;&gt;"=",COUNTIFS(Линии[_модуль гр.],ET139,Линии[Канал (итог)],EV139,Линии[Канал],"&lt;&gt;=",Линии[Щит],A139)&gt;1),"ДУБЛЬ КАНАЛА","")))</f>
        <v/>
      </c>
      <c r="FD139">
        <f t="shared" si="235"/>
        <v>6</v>
      </c>
      <c r="FE139" t="str">
        <f t="shared" si="236"/>
        <v>1P С6А</v>
      </c>
      <c r="FF139">
        <f t="shared" si="237"/>
        <v>0</v>
      </c>
      <c r="FG139">
        <f t="shared" si="238"/>
        <v>0</v>
      </c>
      <c r="FH139" t="str">
        <f t="shared" si="239"/>
        <v/>
      </c>
      <c r="FI139">
        <f t="shared" si="240"/>
        <v>10</v>
      </c>
      <c r="FJ139" t="str">
        <f t="shared" si="241"/>
        <v/>
      </c>
      <c r="FK139" t="str">
        <f>IF(AND(D139="",EZ139=""),"",_xlfn.TEXTJOIN("; ",TRUE,IF(AND(D139&lt;&gt;"",DD139=""),"нет фазы",""),IF(AND(D139&lt;&gt;"",N(DT139)=0,CN139&lt;&gt;"Нет"),"нет мощности",""),IF(AND(EY139&lt;&gt;"",COUNTIFS(Линии[Щит],A139,Линии[Клемма (итог)],EY139)&gt;1),"дубль клеммы "&amp;EY139,""),IF(AND(FB139&lt;&gt;"",FB139&lt;&gt;"ok"),FB139,""),IF(FC139&lt;&gt;"",FC139,""),IF(AND(ISNUMBER(SEARCH("(5х",DS139)),N(DV139)=1),"5 жил на 1 фазе",""),IF(AND(AT139="R",AD139&lt;&gt;"",OR(N(EH139)=0,N(EH139)&gt;30)),"розетка без дифзащиты до 30 мА",""),IFERROR(IF(AND(ISNUMBER(CD139),CD139&gt;CE139),"потери "&amp;FIXED(CD139,1)&amp;" % &gt; "&amp;CE139&amp;" %",""),""),IFERROR(IF(LEFT(FJ139,4)="мало","Iкз мало — отключение &gt; 0,4 с",""),""),IF(AND(D139&lt;&gt;"",BD139=""),"не на схеме","")))</f>
        <v/>
      </c>
      <c r="FL139" t="str">
        <f>IF(AD139="","",_xlfn.LET(_xlpm.t,IFERROR(_xlfn.XLOOKUP(EP139,Каталог!$U$4:$U$500,Каталог!$G$4:$G$500),""),_xlpm.k,SEARCH("кА",_xlpm.t),IFERROR(--TRIM(RIGHT(SUBSTITUTE(MID(_xlpm.t,MAX(1,_xlpm.k-4),_xlpm.k-MAX(1,_xlpm.k-4))," ",REPT(" ",9)),5)),"")))</f>
        <v/>
      </c>
      <c r="FM139" t="str">
        <f>IF(OR(FL139="",AD139=""),"",IF(_xlfn.XLOOKUP(A139,Щиты[Щит],Щиты[Iкз max на шинах, кА],"")="","",IF(FL139&lt;_xlfn.XLOOKUP(A139,Щиты[Щит],Щиты[Iкз max на шинах, кА]),"Icu "&amp;FL139&amp;" кА &lt; Iкз max","ok")))</f>
        <v/>
      </c>
      <c r="FN139" t="str">
        <f t="shared" si="242"/>
        <v>QF9</v>
      </c>
      <c r="FO139" t="str">
        <f t="shared" si="243"/>
        <v>QF9|кабель ВВГнг(А)-LS (3х1,5) → Внутренний блок кондиционирования Технический этаж Пом. №002Т</v>
      </c>
      <c r="FP139" t="str" cm="1">
        <f t="array" ref="FP139">IF(FO139="","",_xlfn.LET(_xlpm.nd,_xlfn.TEXTSPLIT(FO139,"|"),IF(COLUMNS(_xlpm.nd)&gt;1,A139&amp;"¦"&amp;INDEX(_xlpm.nd,1)&amp;"¦"&amp;INDEX(_xlpm.nd,2),"")))</f>
        <v>ЩОВ-2¦QF9¦кабель ВВГнг(А)-LS (3х1,5) → Внутренний блок кондиционирования Технический этаж Пом. №002Т</v>
      </c>
      <c r="FQ139" t="str">
        <f t="shared" si="244"/>
        <v>K.2.014A¦Внутренний блок кондиционирования Технический этаж Пом. №002Т</v>
      </c>
      <c r="FR139" t="str" cm="1">
        <f t="array" ref="FR139">IF(FO139="","",_xlfn.LET(_xlpm.nd,_xlfn.TEXTSPLIT(FO139,"|"),IF(COLUMNS(_xlpm.nd)&gt;2,A139&amp;"¦"&amp;INDEX(_xlpm.nd,2)&amp;"¦"&amp;INDEX(_xlpm.nd,3),"")))</f>
        <v/>
      </c>
      <c r="FS139" t="str">
        <f t="shared" si="245"/>
        <v/>
      </c>
      <c r="FT139" t="str" cm="1">
        <f t="array" ref="FT139">IF(FO139="","",_xlfn.LET(_xlpm.nd,_xlfn.TEXTSPLIT(FO139,"|"),IF(COLUMNS(_xlpm.nd)&gt;3,A139&amp;"¦"&amp;INDEX(_xlpm.nd,3)&amp;"¦"&amp;INDEX(_xlpm.nd,4),"")))</f>
        <v/>
      </c>
      <c r="FU139" t="str">
        <f t="shared" si="246"/>
        <v/>
      </c>
      <c r="FV139" t="str" cm="1">
        <f t="array" ref="FV139">IF(FO139="","",_xlfn.LET(_xlpm.nd,_xlfn.TEXTSPLIT(FO139,"|"),IF(COLUMNS(_xlpm.nd)&gt;4,A139&amp;"¦"&amp;INDEX(_xlpm.nd,4)&amp;"¦"&amp;INDEX(_xlpm.nd,5),"")))</f>
        <v/>
      </c>
      <c r="FW139" t="str">
        <f t="shared" si="247"/>
        <v/>
      </c>
      <c r="FX139" t="str" cm="1">
        <f t="array" ref="FX139">IF(FO139="","",_xlfn.LET(_xlpm.nd,_xlfn.TEXTSPLIT(FO139,"|"),IF(COLUMNS(_xlpm.nd)&gt;5,A139&amp;"¦"&amp;INDEX(_xlpm.nd,5)&amp;"¦"&amp;INDEX(_xlpm.nd,6),"")))</f>
        <v/>
      </c>
      <c r="FY139" t="str">
        <f t="shared" si="248"/>
        <v/>
      </c>
      <c r="FZ139" t="str" cm="1">
        <f t="array" ref="FZ139">IF(FO139="","",_xlfn.LET(_xlpm.nd,_xlfn.TEXTSPLIT(FO139,"|"),IF(COLUMNS(_xlpm.nd)&gt;6,A139&amp;"¦"&amp;INDEX(_xlpm.nd,6)&amp;"¦"&amp;INDEX(_xlpm.nd,7),"")))</f>
        <v/>
      </c>
      <c r="GA139" t="str">
        <f t="shared" si="249"/>
        <v/>
      </c>
      <c r="GB139" t="str">
        <f t="shared" si="250"/>
        <v/>
      </c>
      <c r="GC139" t="str">
        <f t="shared" si="251"/>
        <v>QF9</v>
      </c>
      <c r="GD139">
        <f t="shared" si="252"/>
        <v>1</v>
      </c>
      <c r="GE139">
        <f t="shared" si="253"/>
        <v>0</v>
      </c>
      <c r="GF139">
        <f t="shared" si="254"/>
        <v>0</v>
      </c>
      <c r="GG139" t="str">
        <f t="shared" si="255"/>
        <v/>
      </c>
      <c r="GH139" t="str">
        <f t="shared" si="256"/>
        <v/>
      </c>
      <c r="GI139" t="str">
        <f t="shared" si="257"/>
        <v/>
      </c>
      <c r="GJ139" t="str">
        <f t="shared" si="258"/>
        <v/>
      </c>
      <c r="GK139">
        <f>IF(D139="","",IFERROR(VLOOKUP(D139,УГО_спр,2,FALSE),IFERROR(VLOOKUP(AT139,УГО_спр,2,FALSE),IFERROR(VLOOKUP(LEFT(AT139,2),УГО_спр,2,FALSE),""))))</f>
        <v>0</v>
      </c>
      <c r="GL139" t="str">
        <f>IF(D139="","",IF(OR(GK139="",GK139=0),"BOX",IFERROR(IF(VLOOKUP(GK139,УГО_блоки,3,FALSE)&amp;""&lt;&gt;"",VLOOKUP(GK139,УГО_блоки,3,FALSE),VLOOKUP(GK139,УГО_блоки,2,FALSE)),GK139)))</f>
        <v>BOX</v>
      </c>
      <c r="GM139">
        <f t="shared" si="259"/>
        <v>1</v>
      </c>
      <c r="GN139" t="str">
        <f>IF(EP139="","",IF(COUNTIF(EP$3:EP139,EP139)=1,MAX(GN$2:GN138)+1,""))</f>
        <v/>
      </c>
      <c r="GO139" t="str">
        <f>IF(AF139="","",IF(COUNTIF(AF$3:AF139,AF139)+COUNTIF(AG$2:AG138,AF139)+COUNTIF(AH$2:AH138,AF139)=1,MAX(GO$2:GQ138)+1,""))</f>
        <v/>
      </c>
      <c r="GP139" t="str">
        <f>IF(AG139="","",IF(COUNTIF(AF$3:AF139,AG139)+COUNTIF(AG$3:AG139,AG139)+COUNTIF(AH$2:AH138,AG139)=1,MAX(GO$2:GQ138,GO139)+1,""))</f>
        <v/>
      </c>
      <c r="GQ139" t="str">
        <f>IF(AH139="","",IF(COUNTIF(AF$3:AF139,AH139)+COUNTIF(AG$3:AG139,AH139)+COUNTIF(AH$3:AH139,AH139)=1,MAX(GO$2:GQ138,GO139,GP139)+1,""))</f>
        <v/>
      </c>
      <c r="GR139" t="str">
        <f t="shared" si="260"/>
        <v>3х1,5</v>
      </c>
      <c r="GS139" t="str">
        <f>IF(GR139="","",IF(COUNTIF(GR$3:GR139,GR139)=1,MAX(GS$2:GS138)+1,""))</f>
        <v/>
      </c>
      <c r="GT139" t="str">
        <f>IF(ES139="","",COUNTIF(ES$3:ES139,"?*"))</f>
        <v/>
      </c>
      <c r="GU139" t="str">
        <f>IF(OR(ES139="",EU139=""),"",IF(COUNTIFS(ES$3:ES139,"?*",EU$3:EU139,EU139)=1,MAX(GU$2:GU138)+1,""))</f>
        <v/>
      </c>
      <c r="GV139">
        <f t="shared" si="261"/>
        <v>0</v>
      </c>
      <c r="GW139">
        <f>IF(D139="","",COUNTIF(D$3:D139,"?*"))</f>
        <v>137</v>
      </c>
      <c r="GX139">
        <f>IF(EX139&lt;&gt;1,0,_xlfn.LET(_xlpm.k,MAX(IFERROR(--VLOOKUP(D139,УГО_спр,5,FALSE),0),IFERROR(--VLOOKUP(AT139,УГО_спр,5,FALSE),0),IFERROR(--VLOOKUP(LEFT(AT139,2),УГО_спр,5,FALSE),0)),IF(_xlpm.k&gt;0,_xlpm.k,IF(IFERROR(--LEFT(SUBSTITUTE(GR139,"x","х"),FIND("х",SUBSTITUTE(GR139,"x","х"))-1),3)&gt;3,Каталог!$S$9,1))))</f>
        <v>1</v>
      </c>
      <c r="GY139">
        <f t="shared" si="262"/>
        <v>0</v>
      </c>
    </row>
    <row r="140" spans="1:207" x14ac:dyDescent="0.3">
      <c r="A140" t="s">
        <v>756</v>
      </c>
      <c r="B140">
        <v>24</v>
      </c>
      <c r="C140" t="str">
        <f>IF(BD140="","",IF(BE140="вводной узел","узел ","")&amp;"л."&amp;(INT((BD140-1)/Столбцов_на_лист)+1)&amp;" / "&amp;(MOD(BD140-1,Столбцов_на_лист)+1))</f>
        <v>л.2 / 7</v>
      </c>
      <c r="D140" t="s">
        <v>1439</v>
      </c>
      <c r="E140" s="133" t="s">
        <v>1440</v>
      </c>
      <c r="G140">
        <v>0.104</v>
      </c>
      <c r="H140">
        <v>1</v>
      </c>
      <c r="I140">
        <v>1</v>
      </c>
      <c r="J140">
        <v>230</v>
      </c>
      <c r="K140" t="s">
        <v>602</v>
      </c>
      <c r="L140">
        <v>0.5</v>
      </c>
      <c r="O140">
        <v>2</v>
      </c>
      <c r="P140">
        <v>33</v>
      </c>
      <c r="Q140">
        <v>4</v>
      </c>
      <c r="R140">
        <v>31</v>
      </c>
      <c r="T140">
        <v>1</v>
      </c>
      <c r="U140" t="s">
        <v>11</v>
      </c>
      <c r="V140">
        <v>3</v>
      </c>
      <c r="W140">
        <v>1.5</v>
      </c>
      <c r="Z140" t="s">
        <v>580</v>
      </c>
      <c r="AA140" t="s">
        <v>818</v>
      </c>
      <c r="AD140" t="s">
        <v>517</v>
      </c>
      <c r="AK140" t="s">
        <v>488</v>
      </c>
      <c r="AR140" t="str">
        <f t="shared" si="176"/>
        <v/>
      </c>
      <c r="AS140" cm="1">
        <f t="array" ref="AS140">ROW()-ROW(Линии[#Headers])</f>
        <v>138</v>
      </c>
      <c r="AT140" t="str">
        <f t="shared" si="177"/>
        <v>K</v>
      </c>
      <c r="AU140" t="str">
        <f t="shared" si="178"/>
        <v>2.016A</v>
      </c>
      <c r="AV140" t="str">
        <f t="shared" si="179"/>
        <v>2</v>
      </c>
      <c r="AW140" t="str">
        <f t="shared" si="180"/>
        <v>016A</v>
      </c>
      <c r="AX140" t="str">
        <f t="shared" si="181"/>
        <v>016A</v>
      </c>
      <c r="AY140" t="str">
        <f>IF(D140="","",IF(ISERROR(SEARCH(".",D140)),IFERROR(VLOOKUP(D140,Потребители_обозначение,2,FALSE)&amp;"",""),IFERROR(IF(VLOOKUP(AT140,Потребители_обозначение,4,FALSE)=1,VLOOKUP(AT140,Потребители_обозначение,2,FALSE)&amp;" "&amp;VLOOKUP(AV140,Этаж_обозначение,2,FALSE)&amp;" Пом. №"&amp;AX140,VLOOKUP(AT140,Потребители_обозначение,2,FALSE)&amp;" Шлейф №"&amp;AV140),IFERROR(VLOOKUP(D140,Потребители_обозначение,2,FALSE),""))))</f>
        <v>Внутренний блок кондиционирования Второй этаж Пом. №016A</v>
      </c>
      <c r="AZ140" t="str">
        <f t="shared" si="182"/>
        <v>Внутренний блок кондиционирования Технический этаж Пом. №001Б</v>
      </c>
      <c r="BA140" t="str">
        <f>IF(F140&lt;&gt;"",F140,IF(AND(D140&lt;&gt;"",D140&lt;&gt;A140,ISNUMBER(_xlfn.XMATCH(D140,Щиты[Щит]))),D140,""))</f>
        <v/>
      </c>
      <c r="BB140">
        <f>IFERROR(_xlfn.XMATCH(A140,Щиты[Щит]),0)</f>
        <v>7</v>
      </c>
      <c r="BC140">
        <f>IFERROR(N(_xlfn.XLOOKUP(A140,Щиты[Щит],Щиты[Мест под вводной узел])),15)</f>
        <v>12</v>
      </c>
      <c r="BD140">
        <f t="shared" si="183"/>
        <v>24</v>
      </c>
      <c r="BE140" t="str">
        <f t="shared" si="184"/>
        <v>линии</v>
      </c>
      <c r="BF140">
        <f>IF(D140="","",IF(BA140&lt;&gt;"",IFERROR(_xlfn.XLOOKUP(BA140,Щиты[Щит],Щиты[Руст, кВт]),0),N(G140)))</f>
        <v>0.104</v>
      </c>
      <c r="BG140">
        <f>IF(J140&lt;&gt;"",J140,IF(D140="","",IFERROR(IF(VLOOKUP(AT140,Потребители_обозначение,8,FALSE)=0,"",VLOOKUP(AT140,Потребители_обозначение,8,FALSE)),"")))</f>
        <v>230</v>
      </c>
      <c r="BH140">
        <f>IF(I140&lt;&gt;"",I140,IF(D140="","",IFERROR(IF(VLOOKUP(AT140,Потребители_обозначение,9,FALSE)=0,"",VLOOKUP(AT140,Потребители_обозначение,9,FALSE)),"")))</f>
        <v>1</v>
      </c>
      <c r="BI140" t="str">
        <f>IF(U140&lt;&gt;"",U140,IF(D140="","",IFERROR(IF(VLOOKUP(AT140,Потребители_обозначение,6,FALSE)=0,"",VLOOKUP(AT140,Потребители_обозначение,6,FALSE)),"")))</f>
        <v>мс</v>
      </c>
      <c r="BJ140">
        <f>IF(V140&lt;&gt;"",V140,IF(D140="","",IFERROR(IF(VLOOKUP(AT140,Потребители_обозначение,7,FALSE)=0,"",VLOOKUP(AT140,Потребители_обозначение,7,FALSE)),"")))</f>
        <v>3</v>
      </c>
      <c r="BK140">
        <f>IF(W140&lt;&gt;"",W140,IF(D140="","",IFERROR(IF(VLOOKUP(AT140,Потребители_обозначение,10,FALSE)=0,"",VLOOKUP(AT140,Потребители_обозначение,10,FALSE)),"")))</f>
        <v>1.5</v>
      </c>
      <c r="BL140">
        <f>IFERROR(VLOOKUP(AT140,Потребители_обозначение,5,FALSE),0)</f>
        <v>1</v>
      </c>
      <c r="BM140" cm="1">
        <f t="array" ref="BM140">IF(D140="","",IF(BA140&lt;&gt;"",IFERROR(_xlfn.XLOOKUP(BA140,Щиты[Щит],Щиты[cos φ]),0.95),IF(ISNUMBER(M140),M140,IFERROR(IF(BL140=2,_xlfn.IFS(BH140=3,VLOOKUP(BF140,Справочная_двигатели,8,FALSE),BH140=1,VLOOKUP(BF140,Справочная_двигатели,10,TRUE)),IF(AND(Методика="нормы 2026",CN140="Сил"),0.8,0.95)),0.95))))</f>
        <v>0.95</v>
      </c>
      <c r="BN140" cm="1">
        <f t="array" ref="BN140">IF(D140="","",IF(BA140&lt;&gt;"",IFERROR(_xlfn.XLOOKUP(BA140,Щиты[Щит],Щиты[Iр, А]),""),IFERROR(_xlfn.IFS(BH140=1,BF140/((Uн_лин/SQRT(3))*BM140),BH140=3,BF140/(SQRT(3)*Uн_лин*BM140)),"")))</f>
        <v>0.47403495786095584</v>
      </c>
      <c r="BO140">
        <f>IF(D140="","",IF(N(X140)=0,IFERROR(VLOOKUP(BN140,Автомат_номиналы,2,TRUE),""),X140))</f>
        <v>6</v>
      </c>
      <c r="BP140">
        <f t="shared" si="185"/>
        <v>1</v>
      </c>
      <c r="BQ140">
        <f>IF(ISNUMBER(Y140),Y140,К_прокл)</f>
        <v>1</v>
      </c>
      <c r="BR140">
        <f t="shared" si="186"/>
        <v>2</v>
      </c>
      <c r="BS140" cm="1">
        <f t="array" ref="BS140">IF(D140="","",IF(N(BK140)&lt;&gt;0,BK140,IFERROR(_xlfn.LET(_xlpm.need,BO140/(BP140*BQ140),_xlpm.t,CHOOSE(BR140,Iдоп_1ж,Iдоп_2ж,Iдоп_3ж),_xlpm.k,_xlfn.XMATCH(_xlpm.need,_xlpm.t,1),IF(ISNA(_xlpm.k),"Не исп",INDEX(Iдоп_S,_xlpm.k))),"Не исп")))</f>
        <v>1.5</v>
      </c>
      <c r="BT140">
        <f>IFERROR(VLOOKUP(BS140,Кабель_сопротивление,3,FALSE),"")</f>
        <v>2.2499999999999999E-2</v>
      </c>
      <c r="BU140">
        <f>IFERROR(VLOOKUP(BS140,Кабель_сопротивление,2,FALSE),"")</f>
        <v>0.11</v>
      </c>
      <c r="BV140">
        <f t="shared" si="187"/>
        <v>33</v>
      </c>
      <c r="BW140">
        <f>IF(D140="","",IFERROR(IF(VLOOKUP(AT140,Потребители_обозначение,4,FALSE)=1,VLOOKUP(AT140,Потребители_обозначение,3,FALSE)*(H140*2-1)+BV140+VLOOKUP(AV140,Этаж_обозначение,3,FALSE)+VLOOKUP(AV140,Этаж_обозначение,4,FALSE),VLOOKUP(AT140,Потребители_обозначение,3,FALSE)*(H140*2-1)+BV140),BV140))</f>
        <v>35</v>
      </c>
      <c r="BX140">
        <f t="shared" si="188"/>
        <v>31</v>
      </c>
      <c r="BY140">
        <f t="shared" si="189"/>
        <v>0</v>
      </c>
      <c r="BZ140">
        <f t="shared" si="190"/>
        <v>2</v>
      </c>
      <c r="CA140">
        <f t="shared" si="191"/>
        <v>0.31</v>
      </c>
      <c r="CB140">
        <f t="shared" si="192"/>
        <v>0.47398139191071753</v>
      </c>
      <c r="CC140">
        <f>IFERROR(ROUNDUP(CB140/((Uн_лин/SQRT(3))*1000)*100,2),"")</f>
        <v>0.21000000000000002</v>
      </c>
      <c r="CD140">
        <f>IF(ISNUMBER(CC140),CC140+IFERROR(_xlfn.XLOOKUP(A140,Щиты[Щит],Щиты[ΔU до шин, %]),0),"")</f>
        <v>1.23</v>
      </c>
      <c r="CE140">
        <f>IF(D140="","",IF(IFERROR(VLOOKUP(AT140,УГО_спр,2,FALSE),"")="Светильник",3,4)+IF(Методика="нормы 2026",MIN(0.5,MAX(0,N(BW140)-100)*0.005),0))</f>
        <v>4</v>
      </c>
      <c r="CF140" t="str">
        <f>IFERROR(VLOOKUP(BI140,Кабель_обозначение,2,FALSE),"")</f>
        <v>ВВГнг(А)-LS</v>
      </c>
      <c r="CG140" t="str">
        <f>IFERROR(IF(VLOOKUP(BI140,Кабель_обозначение,3,FALSE)=1,CF140&amp;" ("&amp;BJ140&amp;"х"&amp;BS140&amp;")",CF140),"")</f>
        <v>ВВГнг(А)-LS (3х1,5)</v>
      </c>
      <c r="CH140" t="str">
        <f t="shared" si="193"/>
        <v>ВВГнг(А)-LS (3х1,5)
L=35-0,21%</v>
      </c>
      <c r="CI140">
        <f>IFERROR(2*ρкз_Cu*BW140/BS140,"")</f>
        <v>1.2273333333333334</v>
      </c>
      <c r="CJ140">
        <f t="shared" si="194"/>
        <v>0.40833333333333338</v>
      </c>
      <c r="CK140" t="str">
        <f>IFERROR(IF(OR(D140="",NOT(ISNUMBER(BS140)),N(BW140)=0),"",_xlfn.XLOOKUP(A140,Щиты[Щит],Щиты[Zпетли на шинах, Ом])+CI140),"")</f>
        <v/>
      </c>
      <c r="CL140" t="str">
        <f>IF(ISNUMBER(CK140),c_min*(Uн_лин*1000/SQRT(3))/CK140,"")</f>
        <v/>
      </c>
      <c r="CM140" t="str">
        <f>IFERROR(IF(OR(D140="",NOT(ISNUMBER(BS140))),"",1.05*(Uн_лин*1000/SQRT(3))/(_xlfn.XLOOKUP(A140,Щиты[Щит],Щиты[Zmax на шинах, Ом])+CJ140)/1000),"")</f>
        <v/>
      </c>
      <c r="CN140" t="str">
        <f>IF(D140="","",IF(BA140&lt;&gt;"","Щит",IF(K140&lt;&gt;"",K140,IF(ISNUMBER(L140),"Сил",IF(IFERROR(_xlfn.XLOOKUP(AT140,Коды_код,Коды_группа)&amp;"","")="","Быт",_xlfn.XLOOKUP(AT140,Коды_код,Коды_группа)&amp;"")))))</f>
        <v>Сил</v>
      </c>
      <c r="CO140">
        <f>IF(CN140="Щит","щит",IF(CN140="","",IF(CN140="Быт",IFERROR(_xlfn.XLOOKUP(A140,Щиты[Щит],Щиты[Кс быт]),1),IF(CN140="Сил",IF(ISNUMBER(L140),L140,IF(Методика="нормы 2026",IFERROR(_xlfn.XLOOKUP(A140,Щиты[Щит],Щиты[Кс силовых (табл. 7.5)]),1),1)),IF(OR(CN140="Пост",CN140="Отоп"),1,IF(CN140="ВНГ",0.7,0))))))</f>
        <v>0.5</v>
      </c>
      <c r="CP140">
        <f t="shared" si="195"/>
        <v>1</v>
      </c>
      <c r="CQ140">
        <f t="shared" si="196"/>
        <v>0.104</v>
      </c>
      <c r="CR140">
        <f t="shared" si="197"/>
        <v>0</v>
      </c>
      <c r="CS140">
        <f t="shared" si="198"/>
        <v>5.1999999999999998E-2</v>
      </c>
      <c r="CT140">
        <f t="shared" si="199"/>
        <v>0</v>
      </c>
      <c r="CU140">
        <f t="shared" si="200"/>
        <v>0</v>
      </c>
      <c r="CV140">
        <f t="shared" si="201"/>
        <v>0</v>
      </c>
      <c r="CW140">
        <f t="shared" si="202"/>
        <v>0.104</v>
      </c>
      <c r="CX140">
        <f t="shared" si="203"/>
        <v>9.8799999999999985E-2</v>
      </c>
      <c r="CY140">
        <f t="shared" si="204"/>
        <v>1</v>
      </c>
      <c r="CZ140" t="str">
        <f t="shared" si="205"/>
        <v>L1</v>
      </c>
      <c r="DA140" cm="1">
        <f t="array" ref="DA140">IFERROR(IF(BL140=2,_xlfn.IFS(BH140=3,VLOOKUP(BF140,Справочная_двигатели,3,FALSE),BH140=1,VLOOKUP(BF140,Справочная_двигатели,5,TRUE)),0),0)</f>
        <v>0</v>
      </c>
      <c r="DB140">
        <f>IFERROR(IF(BL140=3,VLOOKUP(BF140,Справочная_ЛЭД,2,TRUE),0),0)</f>
        <v>0</v>
      </c>
      <c r="DC140">
        <f t="shared" si="206"/>
        <v>0</v>
      </c>
      <c r="DD140" t="str">
        <f t="shared" si="207"/>
        <v>L2</v>
      </c>
      <c r="DE140" t="str" cm="1">
        <f t="array" ref="DE140">IF(D140="","",IFERROR(INDEX({"I особая","I","II","III"},MATCH(TRIM(AA140&amp;""),{"I особая","I","II","III"},0)),"III"))</f>
        <v>II</v>
      </c>
      <c r="DF140" t="str">
        <f>IF(D140="","",IF(TRIM(AB140&amp;"")&lt;&gt;"",IF(LOWER(TRIM(AB140&amp;""))="да","да","нет"),IF(IFERROR(_xlfn.XLOOKUP(AT140,Коды_код,Коды_пожарная),"")="да","да","нет")))</f>
        <v>нет</v>
      </c>
      <c r="DG140" t="str">
        <f t="shared" si="208"/>
        <v/>
      </c>
      <c r="DH140" t="str">
        <f t="shared" si="209"/>
        <v>основная</v>
      </c>
      <c r="DI140">
        <f t="shared" si="210"/>
        <v>1</v>
      </c>
      <c r="DJ140" t="str" cm="1">
        <f t="array" ref="DJ140">IF(D140="","",_xlfn.LET(_xlpm.t,IFERROR(_xlfn.XLOOKUP(1,(Шины[Шина]=DH140)*(((Шины[Щит]=A140)+(Шины[Щит]=""))&gt;0),Шины[Тип]),"")&amp;"",IF(_xlpm.t&lt;&gt;"",_xlpm.t,IF(ISNUMBER(SEARCH("ИБП",DH140)),"ИБП",IF(ISNUMBER(SEARCH("ДГУ",DH140)),"ДГУ","Ввод "&amp;DI140)))))</f>
        <v>Ввод 1</v>
      </c>
      <c r="DK140" t="str">
        <f t="shared" si="211"/>
        <v>Ввод 1</v>
      </c>
      <c r="DL140" t="str">
        <f>IF(D140="","",IF(OR(DJ140="ИБП",DJ140="ДГУ"),"I особая",IF(DJ140="Одиночная","III",_xlfn.XLOOKUP(A140,Щиты[Щит],Щиты[Категория шины «Ввод»],"III"))))</f>
        <v>II</v>
      </c>
      <c r="DM140">
        <f>IF(D140="",0,IFERROR(MATCH(DE140,{"III","II","I","I особая"},0),1))</f>
        <v>2</v>
      </c>
      <c r="DN140">
        <f t="shared" si="212"/>
        <v>2</v>
      </c>
      <c r="DO140" t="str">
        <f>IF(D140="","",IF(DM140&gt;IFERROR(MATCH(DL140,{"III","II","I","I особая"},0),1),"НЕ ОБЕСПЕЧЕНА","ОК"))</f>
        <v>ОК</v>
      </c>
      <c r="DP140" t="str">
        <f>IF(A140="","",_xlfn.XLOOKUP(A140,Щиты[Щит],Щиты[Путь],""))</f>
        <v>|ГРЩ-ЖД|ЩОВ-2|</v>
      </c>
      <c r="DQ140" t="str">
        <f>IF(D140="","",IF(Z140&lt;&gt;"",Z140,IF(IFERROR(_xlfn.XLOOKUP(AT140,Коды_код,Коды_вид)&amp;"","")="","Прочее",_xlfn.XLOOKUP(AT140,Коды_код,Коды_вид)&amp;"")))</f>
        <v>Кондиционирование и увлажнение</v>
      </c>
      <c r="DR140">
        <f>IF(BD140="","",INT((BD140-1)/Столбцов_на_лист)+1)</f>
        <v>2</v>
      </c>
      <c r="DS140" t="str">
        <f t="shared" si="213"/>
        <v>ВВГнг(А)-LS (3х1,5) L=35-0,21%</v>
      </c>
      <c r="DT140">
        <f t="shared" si="214"/>
        <v>0.104</v>
      </c>
      <c r="DU140">
        <f t="shared" si="215"/>
        <v>0.48</v>
      </c>
      <c r="DV140">
        <f t="shared" si="216"/>
        <v>1</v>
      </c>
      <c r="DW140">
        <f>IF(AT140="",0,_xlfn.LET(_xlpm.v,IFERROR(VLOOKUP(D140,УГО_спр,3,FALSE),IFERROR(VLOOKUP(AT140,УГО_спр,3,FALSE),IFERROR(VLOOKUP(LEFT(AT140,2),УГО_спр,3,FALSE),""))),IF(_xlpm.v="да",30,IF(ISNUMBER(_xlpm.v),_xlpm.v,0))))</f>
        <v>0</v>
      </c>
      <c r="DX140">
        <f t="shared" si="217"/>
        <v>0</v>
      </c>
      <c r="DY140">
        <f>IF(BD140="","",IF(AD140&lt;&gt;"",COUNTIFS(A$3:A140,A140,AD$3:AD140,"?*"),IF(OR(OR(AS140=1,A140&lt;&gt;A139),AL140="вручную"),"",IF(AS140=1,"",DZ139))))</f>
        <v>10</v>
      </c>
      <c r="DZ140">
        <f t="shared" si="218"/>
        <v>10</v>
      </c>
      <c r="EA140">
        <f>IF(D140="",0,MAX(IFERROR(--X140,0),IFERROR(--VLOOKUP(D140,УГО_спр,4,FALSE),IFERROR(--VLOOKUP(AT140,УГО_спр,4,FALSE),IFERROR(--VLOOKUP(LEFT(AT140,2),УГО_спр,4,FALSE),0)))))</f>
        <v>0</v>
      </c>
      <c r="EB140">
        <f>IF(D140="","",IFERROR(LOOKUP(INDEX(CHOOSE(BR140,Iдоп_1ж,Iдоп_2ж,Iдоп_3ж),MATCH(BS140,Iдоп_S,0))*BP140*BQ140,{6,10,16,20,25,32,40,50,63,80,100,125,160,200,250,315,400,500,630}),""))</f>
        <v>16</v>
      </c>
      <c r="EC140">
        <f>IF(AD140="","",SUMIFS(Линии[_Ток схемы],Линии[_гр.],DY140,Линии[Щит],A140,Линии[_в кабель выше],0))</f>
        <v>0.48</v>
      </c>
      <c r="ED140">
        <f>IF(AD140="","",IFERROR(VLOOKUP(EC140,Автомат_номиналы,2,TRUE),""))</f>
        <v>6</v>
      </c>
      <c r="EE140">
        <f>IF(AD140="","",MAX(N(ED140),_xlfn.MAXIFS(Линии[_мин. по типу],Линии[_гр.],DY140,Линии[Щит],A140)))</f>
        <v>6</v>
      </c>
      <c r="EF140">
        <f>IF(AD140="","",_xlfn.MINIFS(Линии[_макс. автомат по кабелю],Линии[_гр.],DY140,Линии[Щит],A140))</f>
        <v>16</v>
      </c>
      <c r="EG140">
        <f>IF(AD140="","",MAX(1,_xlfn.MAXIFS(Линии[_фаз],Линии[_гр.],DY140,Линии[Щит],A140)))</f>
        <v>1</v>
      </c>
      <c r="EH140">
        <f>IF(AD140="","",IF(AND(AD140&lt;&gt;"авто",AD140&lt;&gt;"+"),IF(ISNUMBER(SEARCH("мА",AD140)),IFERROR(--TRIM(RIGHT(SUBSTITUTE(LEFT(AD140,SEARCH("мА",AD140)-1)," ",REPT(" ",9)),6)),30),0),IF(AE140="нет",0,IF(ISNUMBER(AE140),AE140,IF(AE140="да",30,_xlfn.MINIFS(Линии[_дифзащита по коду, мА],Линии[_гр.],DY140,Линии[Щит],A140,Линии[_дифзащита по коду, мА],"&gt;0"))))))</f>
        <v>0</v>
      </c>
      <c r="EI140">
        <f t="shared" si="219"/>
        <v>0</v>
      </c>
      <c r="EJ140" t="str">
        <f t="shared" si="220"/>
        <v>QF10</v>
      </c>
      <c r="EK140" t="str">
        <f t="shared" si="221"/>
        <v>QF10</v>
      </c>
      <c r="EL140" t="str">
        <f t="shared" si="222"/>
        <v/>
      </c>
      <c r="EM140">
        <f t="shared" si="223"/>
        <v>0</v>
      </c>
      <c r="EN140">
        <f>IF(AD140="","",IF(EM140=1,MAX(EE140,Мин_автомат_БП),EE140))</f>
        <v>6</v>
      </c>
      <c r="EO140" t="str">
        <f t="shared" si="224"/>
        <v>1P</v>
      </c>
      <c r="EP140" t="str">
        <f t="shared" si="225"/>
        <v>1P С6А</v>
      </c>
      <c r="EQ140">
        <f t="shared" si="226"/>
        <v>6</v>
      </c>
      <c r="ER140" t="str">
        <f>IF(OR(AI140="",AI140="-"),"",IFERROR(VLOOKUP(AI140,Модули_спр,2,FALSE),"R"))</f>
        <v/>
      </c>
      <c r="ES140" t="str">
        <f>IF(ER140="","",ER140&amp;"."&amp;COUNTIFS(A$3:A140,A140,ER$3:ER140,ER140))</f>
        <v/>
      </c>
      <c r="ET140" t="str">
        <f t="shared" si="227"/>
        <v/>
      </c>
      <c r="EU140" t="str">
        <f t="shared" si="228"/>
        <v/>
      </c>
      <c r="EV140" t="str">
        <f t="shared" si="229"/>
        <v/>
      </c>
      <c r="EW140" t="str">
        <f t="shared" si="230"/>
        <v/>
      </c>
      <c r="EX140">
        <f t="shared" si="231"/>
        <v>1</v>
      </c>
      <c r="EY140" t="str">
        <f>IF(AK140="нет","",IF(AK140&lt;&gt;"",AK140,IF(EX140=1,"XT"&amp;COUNTIFS(A$3:A140,A140,EX$3:EX140,1),"")))</f>
        <v/>
      </c>
      <c r="EZ140" t="str">
        <f t="shared" si="232"/>
        <v>QF10</v>
      </c>
      <c r="FA140" t="str">
        <f t="shared" si="233"/>
        <v/>
      </c>
      <c r="FB140" t="str">
        <f t="shared" si="234"/>
        <v>ok</v>
      </c>
      <c r="FC140" t="str">
        <f>IF(OR(EV140="",ET140=""),"",IF(EV140&gt;IFERROR(VLOOKUP(EU140,Модули_спр,3,FALSE),99),"ЛИШНИЙ КАНАЛ",IF(AND(AJ140&lt;&gt;"=",COUNTIFS(Линии[_модуль гр.],ET140,Линии[Канал (итог)],EV140,Линии[Канал],"&lt;&gt;=",Линии[Щит],A140)&gt;1),"ДУБЛЬ КАНАЛА","")))</f>
        <v/>
      </c>
      <c r="FD140">
        <f t="shared" si="235"/>
        <v>6</v>
      </c>
      <c r="FE140" t="str">
        <f t="shared" si="236"/>
        <v>1P С6А</v>
      </c>
      <c r="FF140">
        <f t="shared" si="237"/>
        <v>0</v>
      </c>
      <c r="FG140">
        <f t="shared" si="238"/>
        <v>0</v>
      </c>
      <c r="FH140" t="str">
        <f t="shared" si="239"/>
        <v/>
      </c>
      <c r="FI140">
        <f t="shared" si="240"/>
        <v>10</v>
      </c>
      <c r="FJ140" t="str">
        <f t="shared" si="241"/>
        <v/>
      </c>
      <c r="FK140" t="str">
        <f>IF(AND(D140="",EZ140=""),"",_xlfn.TEXTJOIN("; ",TRUE,IF(AND(D140&lt;&gt;"",DD140=""),"нет фазы",""),IF(AND(D140&lt;&gt;"",N(DT140)=0,CN140&lt;&gt;"Нет"),"нет мощности",""),IF(AND(EY140&lt;&gt;"",COUNTIFS(Линии[Щит],A140,Линии[Клемма (итог)],EY140)&gt;1),"дубль клеммы "&amp;EY140,""),IF(AND(FB140&lt;&gt;"",FB140&lt;&gt;"ok"),FB140,""),IF(FC140&lt;&gt;"",FC140,""),IF(AND(ISNUMBER(SEARCH("(5х",DS140)),N(DV140)=1),"5 жил на 1 фазе",""),IF(AND(AT140="R",AD140&lt;&gt;"",OR(N(EH140)=0,N(EH140)&gt;30)),"розетка без дифзащиты до 30 мА",""),IFERROR(IF(AND(ISNUMBER(CD140),CD140&gt;CE140),"потери "&amp;FIXED(CD140,1)&amp;" % &gt; "&amp;CE140&amp;" %",""),""),IFERROR(IF(LEFT(FJ140,4)="мало","Iкз мало — отключение &gt; 0,4 с",""),""),IF(AND(D140&lt;&gt;"",BD140=""),"не на схеме","")))</f>
        <v/>
      </c>
      <c r="FL140" t="str">
        <f>IF(AD140="","",_xlfn.LET(_xlpm.t,IFERROR(_xlfn.XLOOKUP(EP140,Каталог!$U$4:$U$500,Каталог!$G$4:$G$500),""),_xlpm.k,SEARCH("кА",_xlpm.t),IFERROR(--TRIM(RIGHT(SUBSTITUTE(MID(_xlpm.t,MAX(1,_xlpm.k-4),_xlpm.k-MAX(1,_xlpm.k-4))," ",REPT(" ",9)),5)),"")))</f>
        <v/>
      </c>
      <c r="FM140" t="str">
        <f>IF(OR(FL140="",AD140=""),"",IF(_xlfn.XLOOKUP(A140,Щиты[Щит],Щиты[Iкз max на шинах, кА],"")="","",IF(FL140&lt;_xlfn.XLOOKUP(A140,Щиты[Щит],Щиты[Iкз max на шинах, кА]),"Icu "&amp;FL140&amp;" кА &lt; Iкз max","ok")))</f>
        <v/>
      </c>
      <c r="FN140" t="str">
        <f t="shared" si="242"/>
        <v>QF10</v>
      </c>
      <c r="FO140" t="str">
        <f t="shared" si="243"/>
        <v>QF10|кабель ВВГнг(А)-LS (3х1,5) → Внутренний блок кондиционирования Технический этаж Пом. №001Б</v>
      </c>
      <c r="FP140" t="str" cm="1">
        <f t="array" ref="FP140">IF(FO140="","",_xlfn.LET(_xlpm.nd,_xlfn.TEXTSPLIT(FO140,"|"),IF(COLUMNS(_xlpm.nd)&gt;1,A140&amp;"¦"&amp;INDEX(_xlpm.nd,1)&amp;"¦"&amp;INDEX(_xlpm.nd,2),"")))</f>
        <v>ЩОВ-2¦QF10¦кабель ВВГнг(А)-LS (3х1,5) → Внутренний блок кондиционирования Технический этаж Пом. №001Б</v>
      </c>
      <c r="FQ140" t="str">
        <f t="shared" si="244"/>
        <v>K.2.016A¦Внутренний блок кондиционирования Технический этаж Пом. №001Б</v>
      </c>
      <c r="FR140" t="str" cm="1">
        <f t="array" ref="FR140">IF(FO140="","",_xlfn.LET(_xlpm.nd,_xlfn.TEXTSPLIT(FO140,"|"),IF(COLUMNS(_xlpm.nd)&gt;2,A140&amp;"¦"&amp;INDEX(_xlpm.nd,2)&amp;"¦"&amp;INDEX(_xlpm.nd,3),"")))</f>
        <v/>
      </c>
      <c r="FS140" t="str">
        <f t="shared" si="245"/>
        <v/>
      </c>
      <c r="FT140" t="str" cm="1">
        <f t="array" ref="FT140">IF(FO140="","",_xlfn.LET(_xlpm.nd,_xlfn.TEXTSPLIT(FO140,"|"),IF(COLUMNS(_xlpm.nd)&gt;3,A140&amp;"¦"&amp;INDEX(_xlpm.nd,3)&amp;"¦"&amp;INDEX(_xlpm.nd,4),"")))</f>
        <v/>
      </c>
      <c r="FU140" t="str">
        <f t="shared" si="246"/>
        <v/>
      </c>
      <c r="FV140" t="str" cm="1">
        <f t="array" ref="FV140">IF(FO140="","",_xlfn.LET(_xlpm.nd,_xlfn.TEXTSPLIT(FO140,"|"),IF(COLUMNS(_xlpm.nd)&gt;4,A140&amp;"¦"&amp;INDEX(_xlpm.nd,4)&amp;"¦"&amp;INDEX(_xlpm.nd,5),"")))</f>
        <v/>
      </c>
      <c r="FW140" t="str">
        <f t="shared" si="247"/>
        <v/>
      </c>
      <c r="FX140" t="str" cm="1">
        <f t="array" ref="FX140">IF(FO140="","",_xlfn.LET(_xlpm.nd,_xlfn.TEXTSPLIT(FO140,"|"),IF(COLUMNS(_xlpm.nd)&gt;5,A140&amp;"¦"&amp;INDEX(_xlpm.nd,5)&amp;"¦"&amp;INDEX(_xlpm.nd,6),"")))</f>
        <v/>
      </c>
      <c r="FY140" t="str">
        <f t="shared" si="248"/>
        <v/>
      </c>
      <c r="FZ140" t="str" cm="1">
        <f t="array" ref="FZ140">IF(FO140="","",_xlfn.LET(_xlpm.nd,_xlfn.TEXTSPLIT(FO140,"|"),IF(COLUMNS(_xlpm.nd)&gt;6,A140&amp;"¦"&amp;INDEX(_xlpm.nd,6)&amp;"¦"&amp;INDEX(_xlpm.nd,7),"")))</f>
        <v/>
      </c>
      <c r="GA140" t="str">
        <f t="shared" si="249"/>
        <v/>
      </c>
      <c r="GB140" t="str">
        <f t="shared" si="250"/>
        <v/>
      </c>
      <c r="GC140" t="str">
        <f t="shared" si="251"/>
        <v>QF10</v>
      </c>
      <c r="GD140">
        <f t="shared" si="252"/>
        <v>1</v>
      </c>
      <c r="GE140">
        <f t="shared" si="253"/>
        <v>0</v>
      </c>
      <c r="GF140">
        <f t="shared" si="254"/>
        <v>0</v>
      </c>
      <c r="GG140" t="str">
        <f t="shared" si="255"/>
        <v/>
      </c>
      <c r="GH140" t="str">
        <f t="shared" si="256"/>
        <v/>
      </c>
      <c r="GI140" t="str">
        <f t="shared" si="257"/>
        <v/>
      </c>
      <c r="GJ140" t="str">
        <f t="shared" si="258"/>
        <v/>
      </c>
      <c r="GK140">
        <f>IF(D140="","",IFERROR(VLOOKUP(D140,УГО_спр,2,FALSE),IFERROR(VLOOKUP(AT140,УГО_спр,2,FALSE),IFERROR(VLOOKUP(LEFT(AT140,2),УГО_спр,2,FALSE),""))))</f>
        <v>0</v>
      </c>
      <c r="GL140" t="str">
        <f>IF(D140="","",IF(OR(GK140="",GK140=0),"BOX",IFERROR(IF(VLOOKUP(GK140,УГО_блоки,3,FALSE)&amp;""&lt;&gt;"",VLOOKUP(GK140,УГО_блоки,3,FALSE),VLOOKUP(GK140,УГО_блоки,2,FALSE)),GK140)))</f>
        <v>BOX</v>
      </c>
      <c r="GM140">
        <f t="shared" si="259"/>
        <v>1</v>
      </c>
      <c r="GN140" t="str">
        <f>IF(EP140="","",IF(COUNTIF(EP$3:EP140,EP140)=1,MAX(GN$2:GN139)+1,""))</f>
        <v/>
      </c>
      <c r="GO140" t="str">
        <f>IF(AF140="","",IF(COUNTIF(AF$3:AF140,AF140)+COUNTIF(AG$2:AG139,AF140)+COUNTIF(AH$2:AH139,AF140)=1,MAX(GO$2:GQ139)+1,""))</f>
        <v/>
      </c>
      <c r="GP140" t="str">
        <f>IF(AG140="","",IF(COUNTIF(AF$3:AF140,AG140)+COUNTIF(AG$3:AG140,AG140)+COUNTIF(AH$2:AH139,AG140)=1,MAX(GO$2:GQ139,GO140)+1,""))</f>
        <v/>
      </c>
      <c r="GQ140" t="str">
        <f>IF(AH140="","",IF(COUNTIF(AF$3:AF140,AH140)+COUNTIF(AG$3:AG140,AH140)+COUNTIF(AH$3:AH140,AH140)=1,MAX(GO$2:GQ139,GO140,GP140)+1,""))</f>
        <v/>
      </c>
      <c r="GR140" t="str">
        <f t="shared" si="260"/>
        <v>3х1,5</v>
      </c>
      <c r="GS140" t="str">
        <f>IF(GR140="","",IF(COUNTIF(GR$3:GR140,GR140)=1,MAX(GS$2:GS139)+1,""))</f>
        <v/>
      </c>
      <c r="GT140" t="str">
        <f>IF(ES140="","",COUNTIF(ES$3:ES140,"?*"))</f>
        <v/>
      </c>
      <c r="GU140" t="str">
        <f>IF(OR(ES140="",EU140=""),"",IF(COUNTIFS(ES$3:ES140,"?*",EU$3:EU140,EU140)=1,MAX(GU$2:GU139)+1,""))</f>
        <v/>
      </c>
      <c r="GV140">
        <f t="shared" si="261"/>
        <v>0</v>
      </c>
      <c r="GW140">
        <f>IF(D140="","",COUNTIF(D$3:D140,"?*"))</f>
        <v>138</v>
      </c>
      <c r="GX140">
        <f>IF(EX140&lt;&gt;1,0,_xlfn.LET(_xlpm.k,MAX(IFERROR(--VLOOKUP(D140,УГО_спр,5,FALSE),0),IFERROR(--VLOOKUP(AT140,УГО_спр,5,FALSE),0),IFERROR(--VLOOKUP(LEFT(AT140,2),УГО_спр,5,FALSE),0)),IF(_xlpm.k&gt;0,_xlpm.k,IF(IFERROR(--LEFT(SUBSTITUTE(GR140,"x","х"),FIND("х",SUBSTITUTE(GR140,"x","х"))-1),3)&gt;3,Каталог!$S$9,1))))</f>
        <v>1</v>
      </c>
      <c r="GY140">
        <f t="shared" si="262"/>
        <v>0</v>
      </c>
    </row>
    <row r="141" spans="1:207" x14ac:dyDescent="0.3">
      <c r="A141" t="s">
        <v>756</v>
      </c>
      <c r="B141">
        <v>25</v>
      </c>
      <c r="C141" t="str">
        <f>IF(BD141="","",IF(BE141="вводной узел","узел ","")&amp;"л."&amp;(INT((BD141-1)/Столбцов_на_лист)+1)&amp;" / "&amp;(MOD(BD141-1,Столбцов_на_лист)+1))</f>
        <v>л.2 / 8</v>
      </c>
      <c r="D141" t="s">
        <v>1441</v>
      </c>
      <c r="E141" s="133" t="s">
        <v>1442</v>
      </c>
      <c r="G141">
        <v>0.16200000000000001</v>
      </c>
      <c r="H141">
        <v>1</v>
      </c>
      <c r="I141">
        <v>1</v>
      </c>
      <c r="J141">
        <v>230</v>
      </c>
      <c r="K141" t="s">
        <v>602</v>
      </c>
      <c r="L141">
        <v>0.5</v>
      </c>
      <c r="O141">
        <v>1</v>
      </c>
      <c r="P141">
        <v>30</v>
      </c>
      <c r="Q141">
        <v>4</v>
      </c>
      <c r="R141">
        <v>28</v>
      </c>
      <c r="T141">
        <v>1</v>
      </c>
      <c r="U141" t="s">
        <v>11</v>
      </c>
      <c r="V141">
        <v>3</v>
      </c>
      <c r="W141">
        <v>1.5</v>
      </c>
      <c r="Z141" t="s">
        <v>580</v>
      </c>
      <c r="AA141" t="s">
        <v>818</v>
      </c>
      <c r="AD141" t="s">
        <v>517</v>
      </c>
      <c r="AK141" t="s">
        <v>488</v>
      </c>
      <c r="AR141" t="str">
        <f t="shared" si="176"/>
        <v/>
      </c>
      <c r="AS141" cm="1">
        <f t="array" ref="AS141">ROW()-ROW(Линии[#Headers])</f>
        <v>139</v>
      </c>
      <c r="AT141" t="str">
        <f t="shared" si="177"/>
        <v>K</v>
      </c>
      <c r="AU141" t="str">
        <f t="shared" si="178"/>
        <v>2.019A</v>
      </c>
      <c r="AV141" t="str">
        <f t="shared" si="179"/>
        <v>2</v>
      </c>
      <c r="AW141" t="str">
        <f t="shared" si="180"/>
        <v>019A</v>
      </c>
      <c r="AX141" t="str">
        <f t="shared" si="181"/>
        <v>019A</v>
      </c>
      <c r="AY141" t="str">
        <f>IF(D141="","",IF(ISERROR(SEARCH(".",D141)),IFERROR(VLOOKUP(D141,Потребители_обозначение,2,FALSE)&amp;"",""),IFERROR(IF(VLOOKUP(AT141,Потребители_обозначение,4,FALSE)=1,VLOOKUP(AT141,Потребители_обозначение,2,FALSE)&amp;" "&amp;VLOOKUP(AV141,Этаж_обозначение,2,FALSE)&amp;" Пом. №"&amp;AX141,VLOOKUP(AT141,Потребители_обозначение,2,FALSE)&amp;" Шлейф №"&amp;AV141),IFERROR(VLOOKUP(D141,Потребители_обозначение,2,FALSE),""))))</f>
        <v>Внутренний блок кондиционирования Второй этаж Пом. №019A</v>
      </c>
      <c r="AZ141" t="str">
        <f t="shared" si="182"/>
        <v>Внутренний блок кондиционирования Технический этаж Пом. №003Т</v>
      </c>
      <c r="BA141" t="str">
        <f>IF(F141&lt;&gt;"",F141,IF(AND(D141&lt;&gt;"",D141&lt;&gt;A141,ISNUMBER(_xlfn.XMATCH(D141,Щиты[Щит]))),D141,""))</f>
        <v/>
      </c>
      <c r="BB141">
        <f>IFERROR(_xlfn.XMATCH(A141,Щиты[Щит]),0)</f>
        <v>7</v>
      </c>
      <c r="BC141">
        <f>IFERROR(N(_xlfn.XLOOKUP(A141,Щиты[Щит],Щиты[Мест под вводной узел])),15)</f>
        <v>12</v>
      </c>
      <c r="BD141">
        <f t="shared" si="183"/>
        <v>25</v>
      </c>
      <c r="BE141" t="str">
        <f t="shared" si="184"/>
        <v>линии</v>
      </c>
      <c r="BF141">
        <f>IF(D141="","",IF(BA141&lt;&gt;"",IFERROR(_xlfn.XLOOKUP(BA141,Щиты[Щит],Щиты[Руст, кВт]),0),N(G141)))</f>
        <v>0.16200000000000001</v>
      </c>
      <c r="BG141">
        <f>IF(J141&lt;&gt;"",J141,IF(D141="","",IFERROR(IF(VLOOKUP(AT141,Потребители_обозначение,8,FALSE)=0,"",VLOOKUP(AT141,Потребители_обозначение,8,FALSE)),"")))</f>
        <v>230</v>
      </c>
      <c r="BH141">
        <f>IF(I141&lt;&gt;"",I141,IF(D141="","",IFERROR(IF(VLOOKUP(AT141,Потребители_обозначение,9,FALSE)=0,"",VLOOKUP(AT141,Потребители_обозначение,9,FALSE)),"")))</f>
        <v>1</v>
      </c>
      <c r="BI141" t="str">
        <f>IF(U141&lt;&gt;"",U141,IF(D141="","",IFERROR(IF(VLOOKUP(AT141,Потребители_обозначение,6,FALSE)=0,"",VLOOKUP(AT141,Потребители_обозначение,6,FALSE)),"")))</f>
        <v>мс</v>
      </c>
      <c r="BJ141">
        <f>IF(V141&lt;&gt;"",V141,IF(D141="","",IFERROR(IF(VLOOKUP(AT141,Потребители_обозначение,7,FALSE)=0,"",VLOOKUP(AT141,Потребители_обозначение,7,FALSE)),"")))</f>
        <v>3</v>
      </c>
      <c r="BK141">
        <f>IF(W141&lt;&gt;"",W141,IF(D141="","",IFERROR(IF(VLOOKUP(AT141,Потребители_обозначение,10,FALSE)=0,"",VLOOKUP(AT141,Потребители_обозначение,10,FALSE)),"")))</f>
        <v>1.5</v>
      </c>
      <c r="BL141">
        <f>IFERROR(VLOOKUP(AT141,Потребители_обозначение,5,FALSE),0)</f>
        <v>1</v>
      </c>
      <c r="BM141" cm="1">
        <f t="array" ref="BM141">IF(D141="","",IF(BA141&lt;&gt;"",IFERROR(_xlfn.XLOOKUP(BA141,Щиты[Щит],Щиты[cos φ]),0.95),IF(ISNUMBER(M141),M141,IFERROR(IF(BL141=2,_xlfn.IFS(BH141=3,VLOOKUP(BF141,Справочная_двигатели,8,FALSE),BH141=1,VLOOKUP(BF141,Справочная_двигатели,10,TRUE)),IF(AND(Методика="нормы 2026",CN141="Сил"),0.8,0.95)),0.95))))</f>
        <v>0.95</v>
      </c>
      <c r="BN141" cm="1">
        <f t="array" ref="BN141">IF(D141="","",IF(BA141&lt;&gt;"",IFERROR(_xlfn.XLOOKUP(BA141,Щиты[Щит],Щиты[Iр, А]),""),IFERROR(_xlfn.IFS(BH141=1,BF141/((Uн_лин/SQRT(3))*BM141),BH141=3,BF141/(SQRT(3)*Uн_лин*BM141)),"")))</f>
        <v>0.73840060743725822</v>
      </c>
      <c r="BO141">
        <f>IF(D141="","",IF(N(X141)=0,IFERROR(VLOOKUP(BN141,Автомат_номиналы,2,TRUE),""),X141))</f>
        <v>6</v>
      </c>
      <c r="BP141">
        <f t="shared" si="185"/>
        <v>1</v>
      </c>
      <c r="BQ141">
        <f>IF(ISNUMBER(Y141),Y141,К_прокл)</f>
        <v>1</v>
      </c>
      <c r="BR141">
        <f t="shared" si="186"/>
        <v>2</v>
      </c>
      <c r="BS141" cm="1">
        <f t="array" ref="BS141">IF(D141="","",IF(N(BK141)&lt;&gt;0,BK141,IFERROR(_xlfn.LET(_xlpm.need,BO141/(BP141*BQ141),_xlpm.t,CHOOSE(BR141,Iдоп_1ж,Iдоп_2ж,Iдоп_3ж),_xlpm.k,_xlfn.XMATCH(_xlpm.need,_xlpm.t,1),IF(ISNA(_xlpm.k),"Не исп",INDEX(Iдоп_S,_xlpm.k))),"Не исп")))</f>
        <v>1.5</v>
      </c>
      <c r="BT141">
        <f>IFERROR(VLOOKUP(BS141,Кабель_сопротивление,3,FALSE),"")</f>
        <v>2.2499999999999999E-2</v>
      </c>
      <c r="BU141">
        <f>IFERROR(VLOOKUP(BS141,Кабель_сопротивление,2,FALSE),"")</f>
        <v>0.11</v>
      </c>
      <c r="BV141">
        <f t="shared" si="187"/>
        <v>30</v>
      </c>
      <c r="BW141">
        <f>IF(D141="","",IFERROR(IF(VLOOKUP(AT141,Потребители_обозначение,4,FALSE)=1,VLOOKUP(AT141,Потребители_обозначение,3,FALSE)*(H141*2-1)+BV141+VLOOKUP(AV141,Этаж_обозначение,3,FALSE)+VLOOKUP(AV141,Этаж_обозначение,4,FALSE),VLOOKUP(AT141,Потребители_обозначение,3,FALSE)*(H141*2-1)+BV141),BV141))</f>
        <v>32</v>
      </c>
      <c r="BX141">
        <f t="shared" si="188"/>
        <v>28</v>
      </c>
      <c r="BY141">
        <f t="shared" si="189"/>
        <v>0</v>
      </c>
      <c r="BZ141">
        <f t="shared" si="190"/>
        <v>2</v>
      </c>
      <c r="CA141">
        <f t="shared" si="191"/>
        <v>0.31</v>
      </c>
      <c r="CB141">
        <f t="shared" si="192"/>
        <v>0.6750328394684505</v>
      </c>
      <c r="CC141">
        <f>IFERROR(ROUNDUP(CB141/((Uн_лин/SQRT(3))*1000)*100,2),"")</f>
        <v>0.3</v>
      </c>
      <c r="CD141">
        <f>IF(ISNUMBER(CC141),CC141+IFERROR(_xlfn.XLOOKUP(A141,Щиты[Щит],Щиты[ΔU до шин, %]),0),"")</f>
        <v>1.32</v>
      </c>
      <c r="CE141">
        <f>IF(D141="","",IF(IFERROR(VLOOKUP(AT141,УГО_спр,2,FALSE),"")="Светильник",3,4)+IF(Методика="нормы 2026",MIN(0.5,MAX(0,N(BW141)-100)*0.005),0))</f>
        <v>4</v>
      </c>
      <c r="CF141" t="str">
        <f>IFERROR(VLOOKUP(BI141,Кабель_обозначение,2,FALSE),"")</f>
        <v>ВВГнг(А)-LS</v>
      </c>
      <c r="CG141" t="str">
        <f>IFERROR(IF(VLOOKUP(BI141,Кабель_обозначение,3,FALSE)=1,CF141&amp;" ("&amp;BJ141&amp;"х"&amp;BS141&amp;")",CF141),"")</f>
        <v>ВВГнг(А)-LS (3х1,5)</v>
      </c>
      <c r="CH141" t="str">
        <f t="shared" si="193"/>
        <v>ВВГнг(А)-LS (3х1,5)
L=32-0,3%</v>
      </c>
      <c r="CI141">
        <f>IFERROR(2*ρкз_Cu*BW141/BS141,"")</f>
        <v>1.1221333333333334</v>
      </c>
      <c r="CJ141">
        <f t="shared" si="194"/>
        <v>0.37333333333333335</v>
      </c>
      <c r="CK141" t="str">
        <f>IFERROR(IF(OR(D141="",NOT(ISNUMBER(BS141)),N(BW141)=0),"",_xlfn.XLOOKUP(A141,Щиты[Щит],Щиты[Zпетли на шинах, Ом])+CI141),"")</f>
        <v/>
      </c>
      <c r="CL141" t="str">
        <f>IF(ISNUMBER(CK141),c_min*(Uн_лин*1000/SQRT(3))/CK141,"")</f>
        <v/>
      </c>
      <c r="CM141" t="str">
        <f>IFERROR(IF(OR(D141="",NOT(ISNUMBER(BS141))),"",1.05*(Uн_лин*1000/SQRT(3))/(_xlfn.XLOOKUP(A141,Щиты[Щит],Щиты[Zmax на шинах, Ом])+CJ141)/1000),"")</f>
        <v/>
      </c>
      <c r="CN141" t="str">
        <f>IF(D141="","",IF(BA141&lt;&gt;"","Щит",IF(K141&lt;&gt;"",K141,IF(ISNUMBER(L141),"Сил",IF(IFERROR(_xlfn.XLOOKUP(AT141,Коды_код,Коды_группа)&amp;"","")="","Быт",_xlfn.XLOOKUP(AT141,Коды_код,Коды_группа)&amp;"")))))</f>
        <v>Сил</v>
      </c>
      <c r="CO141">
        <f>IF(CN141="Щит","щит",IF(CN141="","",IF(CN141="Быт",IFERROR(_xlfn.XLOOKUP(A141,Щиты[Щит],Щиты[Кс быт]),1),IF(CN141="Сил",IF(ISNUMBER(L141),L141,IF(Методика="нормы 2026",IFERROR(_xlfn.XLOOKUP(A141,Щиты[Щит],Щиты[Кс силовых (табл. 7.5)]),1),1)),IF(OR(CN141="Пост",CN141="Отоп"),1,IF(CN141="ВНГ",0.7,0))))))</f>
        <v>0.5</v>
      </c>
      <c r="CP141">
        <f t="shared" si="195"/>
        <v>1</v>
      </c>
      <c r="CQ141">
        <f t="shared" si="196"/>
        <v>0.16200000000000001</v>
      </c>
      <c r="CR141">
        <f t="shared" si="197"/>
        <v>0</v>
      </c>
      <c r="CS141">
        <f t="shared" si="198"/>
        <v>8.1000000000000003E-2</v>
      </c>
      <c r="CT141">
        <f t="shared" si="199"/>
        <v>0</v>
      </c>
      <c r="CU141">
        <f t="shared" si="200"/>
        <v>0</v>
      </c>
      <c r="CV141">
        <f t="shared" si="201"/>
        <v>0</v>
      </c>
      <c r="CW141">
        <f t="shared" si="202"/>
        <v>0.16200000000000001</v>
      </c>
      <c r="CX141">
        <f t="shared" si="203"/>
        <v>0.15390000000000001</v>
      </c>
      <c r="CY141">
        <f t="shared" si="204"/>
        <v>2</v>
      </c>
      <c r="CZ141" t="str">
        <f t="shared" si="205"/>
        <v>L2</v>
      </c>
      <c r="DA141" cm="1">
        <f t="array" ref="DA141">IFERROR(IF(BL141=2,_xlfn.IFS(BH141=3,VLOOKUP(BF141,Справочная_двигатели,3,FALSE),BH141=1,VLOOKUP(BF141,Справочная_двигатели,5,TRUE)),0),0)</f>
        <v>0</v>
      </c>
      <c r="DB141">
        <f>IFERROR(IF(BL141=3,VLOOKUP(BF141,Справочная_ЛЭД,2,TRUE),0),0)</f>
        <v>0</v>
      </c>
      <c r="DC141">
        <f t="shared" si="206"/>
        <v>0</v>
      </c>
      <c r="DD141" t="str">
        <f t="shared" si="207"/>
        <v>L1</v>
      </c>
      <c r="DE141" t="str" cm="1">
        <f t="array" ref="DE141">IF(D141="","",IFERROR(INDEX({"I особая","I","II","III"},MATCH(TRIM(AA141&amp;""),{"I особая","I","II","III"},0)),"III"))</f>
        <v>II</v>
      </c>
      <c r="DF141" t="str">
        <f>IF(D141="","",IF(TRIM(AB141&amp;"")&lt;&gt;"",IF(LOWER(TRIM(AB141&amp;""))="да","да","нет"),IF(IFERROR(_xlfn.XLOOKUP(AT141,Коды_код,Коды_пожарная),"")="да","да","нет")))</f>
        <v>нет</v>
      </c>
      <c r="DG141" t="str">
        <f t="shared" si="208"/>
        <v/>
      </c>
      <c r="DH141" t="str">
        <f t="shared" si="209"/>
        <v>основная</v>
      </c>
      <c r="DI141">
        <f t="shared" si="210"/>
        <v>1</v>
      </c>
      <c r="DJ141" t="str" cm="1">
        <f t="array" ref="DJ141">IF(D141="","",_xlfn.LET(_xlpm.t,IFERROR(_xlfn.XLOOKUP(1,(Шины[Шина]=DH141)*(((Шины[Щит]=A141)+(Шины[Щит]=""))&gt;0),Шины[Тип]),"")&amp;"",IF(_xlpm.t&lt;&gt;"",_xlpm.t,IF(ISNUMBER(SEARCH("ИБП",DH141)),"ИБП",IF(ISNUMBER(SEARCH("ДГУ",DH141)),"ДГУ","Ввод "&amp;DI141)))))</f>
        <v>Ввод 1</v>
      </c>
      <c r="DK141" t="str">
        <f t="shared" si="211"/>
        <v>Ввод 1</v>
      </c>
      <c r="DL141" t="str">
        <f>IF(D141="","",IF(OR(DJ141="ИБП",DJ141="ДГУ"),"I особая",IF(DJ141="Одиночная","III",_xlfn.XLOOKUP(A141,Щиты[Щит],Щиты[Категория шины «Ввод»],"III"))))</f>
        <v>II</v>
      </c>
      <c r="DM141">
        <f>IF(D141="",0,IFERROR(MATCH(DE141,{"III","II","I","I особая"},0),1))</f>
        <v>2</v>
      </c>
      <c r="DN141">
        <f t="shared" si="212"/>
        <v>2</v>
      </c>
      <c r="DO141" t="str">
        <f>IF(D141="","",IF(DM141&gt;IFERROR(MATCH(DL141,{"III","II","I","I особая"},0),1),"НЕ ОБЕСПЕЧЕНА","ОК"))</f>
        <v>ОК</v>
      </c>
      <c r="DP141" t="str">
        <f>IF(A141="","",_xlfn.XLOOKUP(A141,Щиты[Щит],Щиты[Путь],""))</f>
        <v>|ГРЩ-ЖД|ЩОВ-2|</v>
      </c>
      <c r="DQ141" t="str">
        <f>IF(D141="","",IF(Z141&lt;&gt;"",Z141,IF(IFERROR(_xlfn.XLOOKUP(AT141,Коды_код,Коды_вид)&amp;"","")="","Прочее",_xlfn.XLOOKUP(AT141,Коды_код,Коды_вид)&amp;"")))</f>
        <v>Кондиционирование и увлажнение</v>
      </c>
      <c r="DR141">
        <f>IF(BD141="","",INT((BD141-1)/Столбцов_на_лист)+1)</f>
        <v>2</v>
      </c>
      <c r="DS141" t="str">
        <f t="shared" si="213"/>
        <v>ВВГнг(А)-LS (3х1,5) L=32-0,3%</v>
      </c>
      <c r="DT141">
        <f t="shared" si="214"/>
        <v>0.16200000000000001</v>
      </c>
      <c r="DU141">
        <f t="shared" si="215"/>
        <v>0.74</v>
      </c>
      <c r="DV141">
        <f t="shared" si="216"/>
        <v>1</v>
      </c>
      <c r="DW141">
        <f>IF(AT141="",0,_xlfn.LET(_xlpm.v,IFERROR(VLOOKUP(D141,УГО_спр,3,FALSE),IFERROR(VLOOKUP(AT141,УГО_спр,3,FALSE),IFERROR(VLOOKUP(LEFT(AT141,2),УГО_спр,3,FALSE),""))),IF(_xlpm.v="да",30,IF(ISNUMBER(_xlpm.v),_xlpm.v,0))))</f>
        <v>0</v>
      </c>
      <c r="DX141">
        <f t="shared" si="217"/>
        <v>0</v>
      </c>
      <c r="DY141">
        <f>IF(BD141="","",IF(AD141&lt;&gt;"",COUNTIFS(A$3:A141,A141,AD$3:AD141,"?*"),IF(OR(OR(AS141=1,A141&lt;&gt;A140),AL141="вручную"),"",IF(AS141=1,"",DZ140))))</f>
        <v>11</v>
      </c>
      <c r="DZ141">
        <f t="shared" si="218"/>
        <v>11</v>
      </c>
      <c r="EA141">
        <f>IF(D141="",0,MAX(IFERROR(--X141,0),IFERROR(--VLOOKUP(D141,УГО_спр,4,FALSE),IFERROR(--VLOOKUP(AT141,УГО_спр,4,FALSE),IFERROR(--VLOOKUP(LEFT(AT141,2),УГО_спр,4,FALSE),0)))))</f>
        <v>0</v>
      </c>
      <c r="EB141">
        <f>IF(D141="","",IFERROR(LOOKUP(INDEX(CHOOSE(BR141,Iдоп_1ж,Iдоп_2ж,Iдоп_3ж),MATCH(BS141,Iдоп_S,0))*BP141*BQ141,{6,10,16,20,25,32,40,50,63,80,100,125,160,200,250,315,400,500,630}),""))</f>
        <v>16</v>
      </c>
      <c r="EC141">
        <f>IF(AD141="","",SUMIFS(Линии[_Ток схемы],Линии[_гр.],DY141,Линии[Щит],A141,Линии[_в кабель выше],0))</f>
        <v>0.74</v>
      </c>
      <c r="ED141">
        <f>IF(AD141="","",IFERROR(VLOOKUP(EC141,Автомат_номиналы,2,TRUE),""))</f>
        <v>6</v>
      </c>
      <c r="EE141">
        <f>IF(AD141="","",MAX(N(ED141),_xlfn.MAXIFS(Линии[_мин. по типу],Линии[_гр.],DY141,Линии[Щит],A141)))</f>
        <v>6</v>
      </c>
      <c r="EF141">
        <f>IF(AD141="","",_xlfn.MINIFS(Линии[_макс. автомат по кабелю],Линии[_гр.],DY141,Линии[Щит],A141))</f>
        <v>16</v>
      </c>
      <c r="EG141">
        <f>IF(AD141="","",MAX(1,_xlfn.MAXIFS(Линии[_фаз],Линии[_гр.],DY141,Линии[Щит],A141)))</f>
        <v>1</v>
      </c>
      <c r="EH141">
        <f>IF(AD141="","",IF(AND(AD141&lt;&gt;"авто",AD141&lt;&gt;"+"),IF(ISNUMBER(SEARCH("мА",AD141)),IFERROR(--TRIM(RIGHT(SUBSTITUTE(LEFT(AD141,SEARCH("мА",AD141)-1)," ",REPT(" ",9)),6)),30),0),IF(AE141="нет",0,IF(ISNUMBER(AE141),AE141,IF(AE141="да",30,_xlfn.MINIFS(Линии[_дифзащита по коду, мА],Линии[_гр.],DY141,Линии[Щит],A141,Линии[_дифзащита по коду, мА],"&gt;0"))))))</f>
        <v>0</v>
      </c>
      <c r="EI141">
        <f t="shared" si="219"/>
        <v>0</v>
      </c>
      <c r="EJ141" t="str">
        <f t="shared" si="220"/>
        <v>QF11</v>
      </c>
      <c r="EK141" t="str">
        <f t="shared" si="221"/>
        <v>QF11</v>
      </c>
      <c r="EL141" t="str">
        <f t="shared" si="222"/>
        <v/>
      </c>
      <c r="EM141">
        <f t="shared" si="223"/>
        <v>0</v>
      </c>
      <c r="EN141">
        <f>IF(AD141="","",IF(EM141=1,MAX(EE141,Мин_автомат_БП),EE141))</f>
        <v>6</v>
      </c>
      <c r="EO141" t="str">
        <f t="shared" si="224"/>
        <v>1P</v>
      </c>
      <c r="EP141" t="str">
        <f t="shared" si="225"/>
        <v>1P С6А</v>
      </c>
      <c r="EQ141">
        <f t="shared" si="226"/>
        <v>6</v>
      </c>
      <c r="ER141" t="str">
        <f>IF(OR(AI141="",AI141="-"),"",IFERROR(VLOOKUP(AI141,Модули_спр,2,FALSE),"R"))</f>
        <v/>
      </c>
      <c r="ES141" t="str">
        <f>IF(ER141="","",ER141&amp;"."&amp;COUNTIFS(A$3:A141,A141,ER$3:ER141,ER141))</f>
        <v/>
      </c>
      <c r="ET141" t="str">
        <f t="shared" si="227"/>
        <v/>
      </c>
      <c r="EU141" t="str">
        <f t="shared" si="228"/>
        <v/>
      </c>
      <c r="EV141" t="str">
        <f t="shared" si="229"/>
        <v/>
      </c>
      <c r="EW141" t="str">
        <f t="shared" si="230"/>
        <v/>
      </c>
      <c r="EX141">
        <f t="shared" si="231"/>
        <v>1</v>
      </c>
      <c r="EY141" t="str">
        <f>IF(AK141="нет","",IF(AK141&lt;&gt;"",AK141,IF(EX141=1,"XT"&amp;COUNTIFS(A$3:A141,A141,EX$3:EX141,1),"")))</f>
        <v/>
      </c>
      <c r="EZ141" t="str">
        <f t="shared" si="232"/>
        <v>QF11</v>
      </c>
      <c r="FA141" t="str">
        <f t="shared" si="233"/>
        <v/>
      </c>
      <c r="FB141" t="str">
        <f t="shared" si="234"/>
        <v>ok</v>
      </c>
      <c r="FC141" t="str">
        <f>IF(OR(EV141="",ET141=""),"",IF(EV141&gt;IFERROR(VLOOKUP(EU141,Модули_спр,3,FALSE),99),"ЛИШНИЙ КАНАЛ",IF(AND(AJ141&lt;&gt;"=",COUNTIFS(Линии[_модуль гр.],ET141,Линии[Канал (итог)],EV141,Линии[Канал],"&lt;&gt;=",Линии[Щит],A141)&gt;1),"ДУБЛЬ КАНАЛА","")))</f>
        <v/>
      </c>
      <c r="FD141">
        <f t="shared" si="235"/>
        <v>6</v>
      </c>
      <c r="FE141" t="str">
        <f t="shared" si="236"/>
        <v>1P С6А</v>
      </c>
      <c r="FF141">
        <f t="shared" si="237"/>
        <v>0</v>
      </c>
      <c r="FG141">
        <f t="shared" si="238"/>
        <v>0</v>
      </c>
      <c r="FH141" t="str">
        <f t="shared" si="239"/>
        <v/>
      </c>
      <c r="FI141">
        <f t="shared" si="240"/>
        <v>10</v>
      </c>
      <c r="FJ141" t="str">
        <f t="shared" si="241"/>
        <v/>
      </c>
      <c r="FK141" t="str">
        <f>IF(AND(D141="",EZ141=""),"",_xlfn.TEXTJOIN("; ",TRUE,IF(AND(D141&lt;&gt;"",DD141=""),"нет фазы",""),IF(AND(D141&lt;&gt;"",N(DT141)=0,CN141&lt;&gt;"Нет"),"нет мощности",""),IF(AND(EY141&lt;&gt;"",COUNTIFS(Линии[Щит],A141,Линии[Клемма (итог)],EY141)&gt;1),"дубль клеммы "&amp;EY141,""),IF(AND(FB141&lt;&gt;"",FB141&lt;&gt;"ok"),FB141,""),IF(FC141&lt;&gt;"",FC141,""),IF(AND(ISNUMBER(SEARCH("(5х",DS141)),N(DV141)=1),"5 жил на 1 фазе",""),IF(AND(AT141="R",AD141&lt;&gt;"",OR(N(EH141)=0,N(EH141)&gt;30)),"розетка без дифзащиты до 30 мА",""),IFERROR(IF(AND(ISNUMBER(CD141),CD141&gt;CE141),"потери "&amp;FIXED(CD141,1)&amp;" % &gt; "&amp;CE141&amp;" %",""),""),IFERROR(IF(LEFT(FJ141,4)="мало","Iкз мало — отключение &gt; 0,4 с",""),""),IF(AND(D141&lt;&gt;"",BD141=""),"не на схеме","")))</f>
        <v/>
      </c>
      <c r="FL141" t="str">
        <f>IF(AD141="","",_xlfn.LET(_xlpm.t,IFERROR(_xlfn.XLOOKUP(EP141,Каталог!$U$4:$U$500,Каталог!$G$4:$G$500),""),_xlpm.k,SEARCH("кА",_xlpm.t),IFERROR(--TRIM(RIGHT(SUBSTITUTE(MID(_xlpm.t,MAX(1,_xlpm.k-4),_xlpm.k-MAX(1,_xlpm.k-4))," ",REPT(" ",9)),5)),"")))</f>
        <v/>
      </c>
      <c r="FM141" t="str">
        <f>IF(OR(FL141="",AD141=""),"",IF(_xlfn.XLOOKUP(A141,Щиты[Щит],Щиты[Iкз max на шинах, кА],"")="","",IF(FL141&lt;_xlfn.XLOOKUP(A141,Щиты[Щит],Щиты[Iкз max на шинах, кА]),"Icu "&amp;FL141&amp;" кА &lt; Iкз max","ok")))</f>
        <v/>
      </c>
      <c r="FN141" t="str">
        <f t="shared" si="242"/>
        <v>QF11</v>
      </c>
      <c r="FO141" t="str">
        <f t="shared" si="243"/>
        <v>QF11|кабель ВВГнг(А)-LS (3х1,5) → Внутренний блок кондиционирования Технический этаж Пом. №003Т</v>
      </c>
      <c r="FP141" t="str" cm="1">
        <f t="array" ref="FP141">IF(FO141="","",_xlfn.LET(_xlpm.nd,_xlfn.TEXTSPLIT(FO141,"|"),IF(COLUMNS(_xlpm.nd)&gt;1,A141&amp;"¦"&amp;INDEX(_xlpm.nd,1)&amp;"¦"&amp;INDEX(_xlpm.nd,2),"")))</f>
        <v>ЩОВ-2¦QF11¦кабель ВВГнг(А)-LS (3х1,5) → Внутренний блок кондиционирования Технический этаж Пом. №003Т</v>
      </c>
      <c r="FQ141" t="str">
        <f t="shared" si="244"/>
        <v>K.2.019A¦Внутренний блок кондиционирования Технический этаж Пом. №003Т</v>
      </c>
      <c r="FR141" t="str" cm="1">
        <f t="array" ref="FR141">IF(FO141="","",_xlfn.LET(_xlpm.nd,_xlfn.TEXTSPLIT(FO141,"|"),IF(COLUMNS(_xlpm.nd)&gt;2,A141&amp;"¦"&amp;INDEX(_xlpm.nd,2)&amp;"¦"&amp;INDEX(_xlpm.nd,3),"")))</f>
        <v/>
      </c>
      <c r="FS141" t="str">
        <f t="shared" si="245"/>
        <v/>
      </c>
      <c r="FT141" t="str" cm="1">
        <f t="array" ref="FT141">IF(FO141="","",_xlfn.LET(_xlpm.nd,_xlfn.TEXTSPLIT(FO141,"|"),IF(COLUMNS(_xlpm.nd)&gt;3,A141&amp;"¦"&amp;INDEX(_xlpm.nd,3)&amp;"¦"&amp;INDEX(_xlpm.nd,4),"")))</f>
        <v/>
      </c>
      <c r="FU141" t="str">
        <f t="shared" si="246"/>
        <v/>
      </c>
      <c r="FV141" t="str" cm="1">
        <f t="array" ref="FV141">IF(FO141="","",_xlfn.LET(_xlpm.nd,_xlfn.TEXTSPLIT(FO141,"|"),IF(COLUMNS(_xlpm.nd)&gt;4,A141&amp;"¦"&amp;INDEX(_xlpm.nd,4)&amp;"¦"&amp;INDEX(_xlpm.nd,5),"")))</f>
        <v/>
      </c>
      <c r="FW141" t="str">
        <f t="shared" si="247"/>
        <v/>
      </c>
      <c r="FX141" t="str" cm="1">
        <f t="array" ref="FX141">IF(FO141="","",_xlfn.LET(_xlpm.nd,_xlfn.TEXTSPLIT(FO141,"|"),IF(COLUMNS(_xlpm.nd)&gt;5,A141&amp;"¦"&amp;INDEX(_xlpm.nd,5)&amp;"¦"&amp;INDEX(_xlpm.nd,6),"")))</f>
        <v/>
      </c>
      <c r="FY141" t="str">
        <f t="shared" si="248"/>
        <v/>
      </c>
      <c r="FZ141" t="str" cm="1">
        <f t="array" ref="FZ141">IF(FO141="","",_xlfn.LET(_xlpm.nd,_xlfn.TEXTSPLIT(FO141,"|"),IF(COLUMNS(_xlpm.nd)&gt;6,A141&amp;"¦"&amp;INDEX(_xlpm.nd,6)&amp;"¦"&amp;INDEX(_xlpm.nd,7),"")))</f>
        <v/>
      </c>
      <c r="GA141" t="str">
        <f t="shared" si="249"/>
        <v/>
      </c>
      <c r="GB141" t="str">
        <f t="shared" si="250"/>
        <v/>
      </c>
      <c r="GC141" t="str">
        <f t="shared" si="251"/>
        <v>QF11</v>
      </c>
      <c r="GD141">
        <f t="shared" si="252"/>
        <v>1</v>
      </c>
      <c r="GE141">
        <f t="shared" si="253"/>
        <v>0</v>
      </c>
      <c r="GF141">
        <f t="shared" si="254"/>
        <v>0</v>
      </c>
      <c r="GG141" t="str">
        <f t="shared" si="255"/>
        <v/>
      </c>
      <c r="GH141" t="str">
        <f t="shared" si="256"/>
        <v/>
      </c>
      <c r="GI141" t="str">
        <f t="shared" si="257"/>
        <v/>
      </c>
      <c r="GJ141" t="str">
        <f t="shared" si="258"/>
        <v/>
      </c>
      <c r="GK141">
        <f>IF(D141="","",IFERROR(VLOOKUP(D141,УГО_спр,2,FALSE),IFERROR(VLOOKUP(AT141,УГО_спр,2,FALSE),IFERROR(VLOOKUP(LEFT(AT141,2),УГО_спр,2,FALSE),""))))</f>
        <v>0</v>
      </c>
      <c r="GL141" t="str">
        <f>IF(D141="","",IF(OR(GK141="",GK141=0),"BOX",IFERROR(IF(VLOOKUP(GK141,УГО_блоки,3,FALSE)&amp;""&lt;&gt;"",VLOOKUP(GK141,УГО_блоки,3,FALSE),VLOOKUP(GK141,УГО_блоки,2,FALSE)),GK141)))</f>
        <v>BOX</v>
      </c>
      <c r="GM141">
        <f t="shared" si="259"/>
        <v>1</v>
      </c>
      <c r="GN141" t="str">
        <f>IF(EP141="","",IF(COUNTIF(EP$3:EP141,EP141)=1,MAX(GN$2:GN140)+1,""))</f>
        <v/>
      </c>
      <c r="GO141" t="str">
        <f>IF(AF141="","",IF(COUNTIF(AF$3:AF141,AF141)+COUNTIF(AG$2:AG140,AF141)+COUNTIF(AH$2:AH140,AF141)=1,MAX(GO$2:GQ140)+1,""))</f>
        <v/>
      </c>
      <c r="GP141" t="str">
        <f>IF(AG141="","",IF(COUNTIF(AF$3:AF141,AG141)+COUNTIF(AG$3:AG141,AG141)+COUNTIF(AH$2:AH140,AG141)=1,MAX(GO$2:GQ140,GO141)+1,""))</f>
        <v/>
      </c>
      <c r="GQ141" t="str">
        <f>IF(AH141="","",IF(COUNTIF(AF$3:AF141,AH141)+COUNTIF(AG$3:AG141,AH141)+COUNTIF(AH$3:AH141,AH141)=1,MAX(GO$2:GQ140,GO141,GP141)+1,""))</f>
        <v/>
      </c>
      <c r="GR141" t="str">
        <f t="shared" si="260"/>
        <v>3х1,5</v>
      </c>
      <c r="GS141" t="str">
        <f>IF(GR141="","",IF(COUNTIF(GR$3:GR141,GR141)=1,MAX(GS$2:GS140)+1,""))</f>
        <v/>
      </c>
      <c r="GT141" t="str">
        <f>IF(ES141="","",COUNTIF(ES$3:ES141,"?*"))</f>
        <v/>
      </c>
      <c r="GU141" t="str">
        <f>IF(OR(ES141="",EU141=""),"",IF(COUNTIFS(ES$3:ES141,"?*",EU$3:EU141,EU141)=1,MAX(GU$2:GU140)+1,""))</f>
        <v/>
      </c>
      <c r="GV141">
        <f t="shared" si="261"/>
        <v>0</v>
      </c>
      <c r="GW141">
        <f>IF(D141="","",COUNTIF(D$3:D141,"?*"))</f>
        <v>139</v>
      </c>
      <c r="GX141">
        <f>IF(EX141&lt;&gt;1,0,_xlfn.LET(_xlpm.k,MAX(IFERROR(--VLOOKUP(D141,УГО_спр,5,FALSE),0),IFERROR(--VLOOKUP(AT141,УГО_спр,5,FALSE),0),IFERROR(--VLOOKUP(LEFT(AT141,2),УГО_спр,5,FALSE),0)),IF(_xlpm.k&gt;0,_xlpm.k,IF(IFERROR(--LEFT(SUBSTITUTE(GR141,"x","х"),FIND("х",SUBSTITUTE(GR141,"x","х"))-1),3)&gt;3,Каталог!$S$9,1))))</f>
        <v>1</v>
      </c>
      <c r="GY141">
        <f t="shared" si="262"/>
        <v>0</v>
      </c>
    </row>
    <row r="142" spans="1:207" x14ac:dyDescent="0.3">
      <c r="A142" t="s">
        <v>756</v>
      </c>
      <c r="B142">
        <v>26</v>
      </c>
      <c r="C142" t="str">
        <f>IF(BD142="","",IF(BE142="вводной узел","узел ","")&amp;"л."&amp;(INT((BD142-1)/Столбцов_на_лист)+1)&amp;" / "&amp;(MOD(BD142-1,Столбцов_на_лист)+1))</f>
        <v>л.2 / 9</v>
      </c>
      <c r="D142" t="s">
        <v>1443</v>
      </c>
      <c r="E142" s="133" t="s">
        <v>1442</v>
      </c>
      <c r="G142">
        <v>2.7E-2</v>
      </c>
      <c r="H142">
        <v>1</v>
      </c>
      <c r="I142">
        <v>1</v>
      </c>
      <c r="J142">
        <v>230</v>
      </c>
      <c r="K142" t="s">
        <v>602</v>
      </c>
      <c r="L142">
        <v>0.5</v>
      </c>
      <c r="O142">
        <v>1</v>
      </c>
      <c r="P142">
        <v>33</v>
      </c>
      <c r="Q142">
        <v>4</v>
      </c>
      <c r="R142">
        <v>31</v>
      </c>
      <c r="T142">
        <v>1</v>
      </c>
      <c r="U142" t="s">
        <v>11</v>
      </c>
      <c r="V142">
        <v>3</v>
      </c>
      <c r="W142">
        <v>1.5</v>
      </c>
      <c r="Z142" t="s">
        <v>580</v>
      </c>
      <c r="AA142" t="s">
        <v>818</v>
      </c>
      <c r="AD142" t="s">
        <v>517</v>
      </c>
      <c r="AK142" t="s">
        <v>488</v>
      </c>
      <c r="AR142" t="str">
        <f t="shared" si="176"/>
        <v/>
      </c>
      <c r="AS142" cm="1">
        <f t="array" ref="AS142">ROW()-ROW(Линии[#Headers])</f>
        <v>140</v>
      </c>
      <c r="AT142" t="str">
        <f t="shared" si="177"/>
        <v>K</v>
      </c>
      <c r="AU142" t="str">
        <f t="shared" si="178"/>
        <v>3.002Б</v>
      </c>
      <c r="AV142" t="str">
        <f t="shared" si="179"/>
        <v>3</v>
      </c>
      <c r="AW142" t="str">
        <f t="shared" si="180"/>
        <v>002Б</v>
      </c>
      <c r="AX142" t="str">
        <f t="shared" si="181"/>
        <v>002Б</v>
      </c>
      <c r="AY142" t="str">
        <f>IF(D142="","",IF(ISERROR(SEARCH(".",D142)),IFERROR(VLOOKUP(D142,Потребители_обозначение,2,FALSE)&amp;"",""),IFERROR(IF(VLOOKUP(AT142,Потребители_обозначение,4,FALSE)=1,VLOOKUP(AT142,Потребители_обозначение,2,FALSE)&amp;" "&amp;VLOOKUP(AV142,Этаж_обозначение,2,FALSE)&amp;" Пом. №"&amp;AX142,VLOOKUP(AT142,Потребители_обозначение,2,FALSE)&amp;" Шлейф №"&amp;AV142),IFERROR(VLOOKUP(D142,Потребители_обозначение,2,FALSE),""))))</f>
        <v>Внутренний блок кондиционирования Третий этаж Пом. №002Б</v>
      </c>
      <c r="AZ142" t="str">
        <f t="shared" si="182"/>
        <v>Внутренний блок кондиционирования Технический этаж Пом. №003Т</v>
      </c>
      <c r="BA142" t="str">
        <f>IF(F142&lt;&gt;"",F142,IF(AND(D142&lt;&gt;"",D142&lt;&gt;A142,ISNUMBER(_xlfn.XMATCH(D142,Щиты[Щит]))),D142,""))</f>
        <v/>
      </c>
      <c r="BB142">
        <f>IFERROR(_xlfn.XMATCH(A142,Щиты[Щит]),0)</f>
        <v>7</v>
      </c>
      <c r="BC142">
        <f>IFERROR(N(_xlfn.XLOOKUP(A142,Щиты[Щит],Щиты[Мест под вводной узел])),15)</f>
        <v>12</v>
      </c>
      <c r="BD142">
        <f t="shared" si="183"/>
        <v>26</v>
      </c>
      <c r="BE142" t="str">
        <f t="shared" si="184"/>
        <v>линии</v>
      </c>
      <c r="BF142">
        <f>IF(D142="","",IF(BA142&lt;&gt;"",IFERROR(_xlfn.XLOOKUP(BA142,Щиты[Щит],Щиты[Руст, кВт]),0),N(G142)))</f>
        <v>2.7E-2</v>
      </c>
      <c r="BG142">
        <f>IF(J142&lt;&gt;"",J142,IF(D142="","",IFERROR(IF(VLOOKUP(AT142,Потребители_обозначение,8,FALSE)=0,"",VLOOKUP(AT142,Потребители_обозначение,8,FALSE)),"")))</f>
        <v>230</v>
      </c>
      <c r="BH142">
        <f>IF(I142&lt;&gt;"",I142,IF(D142="","",IFERROR(IF(VLOOKUP(AT142,Потребители_обозначение,9,FALSE)=0,"",VLOOKUP(AT142,Потребители_обозначение,9,FALSE)),"")))</f>
        <v>1</v>
      </c>
      <c r="BI142" t="str">
        <f>IF(U142&lt;&gt;"",U142,IF(D142="","",IFERROR(IF(VLOOKUP(AT142,Потребители_обозначение,6,FALSE)=0,"",VLOOKUP(AT142,Потребители_обозначение,6,FALSE)),"")))</f>
        <v>мс</v>
      </c>
      <c r="BJ142">
        <f>IF(V142&lt;&gt;"",V142,IF(D142="","",IFERROR(IF(VLOOKUP(AT142,Потребители_обозначение,7,FALSE)=0,"",VLOOKUP(AT142,Потребители_обозначение,7,FALSE)),"")))</f>
        <v>3</v>
      </c>
      <c r="BK142">
        <f>IF(W142&lt;&gt;"",W142,IF(D142="","",IFERROR(IF(VLOOKUP(AT142,Потребители_обозначение,10,FALSE)=0,"",VLOOKUP(AT142,Потребители_обозначение,10,FALSE)),"")))</f>
        <v>1.5</v>
      </c>
      <c r="BL142">
        <f>IFERROR(VLOOKUP(AT142,Потребители_обозначение,5,FALSE),0)</f>
        <v>1</v>
      </c>
      <c r="BM142" cm="1">
        <f t="array" ref="BM142">IF(D142="","",IF(BA142&lt;&gt;"",IFERROR(_xlfn.XLOOKUP(BA142,Щиты[Щит],Щиты[cos φ]),0.95),IF(ISNUMBER(M142),M142,IFERROR(IF(BL142=2,_xlfn.IFS(BH142=3,VLOOKUP(BF142,Справочная_двигатели,8,FALSE),BH142=1,VLOOKUP(BF142,Справочная_двигатели,10,TRUE)),IF(AND(Методика="нормы 2026",CN142="Сил"),0.8,0.95)),0.95))))</f>
        <v>0.95</v>
      </c>
      <c r="BN142" cm="1">
        <f t="array" ref="BN142">IF(D142="","",IF(BA142&lt;&gt;"",IFERROR(_xlfn.XLOOKUP(BA142,Щиты[Щит],Щиты[Iр, А]),""),IFERROR(_xlfn.IFS(BH142=1,BF142/((Uн_лин/SQRT(3))*BM142),BH142=3,BF142/(SQRT(3)*Uн_лин*BM142)),"")))</f>
        <v>0.1230667679062097</v>
      </c>
      <c r="BO142">
        <f>IF(D142="","",IF(N(X142)=0,IFERROR(VLOOKUP(BN142,Автомат_номиналы,2,TRUE),""),X142))</f>
        <v>6</v>
      </c>
      <c r="BP142">
        <f t="shared" si="185"/>
        <v>1</v>
      </c>
      <c r="BQ142">
        <f>IF(ISNUMBER(Y142),Y142,К_прокл)</f>
        <v>1</v>
      </c>
      <c r="BR142">
        <f t="shared" si="186"/>
        <v>2</v>
      </c>
      <c r="BS142" cm="1">
        <f t="array" ref="BS142">IF(D142="","",IF(N(BK142)&lt;&gt;0,BK142,IFERROR(_xlfn.LET(_xlpm.need,BO142/(BP142*BQ142),_xlpm.t,CHOOSE(BR142,Iдоп_1ж,Iдоп_2ж,Iдоп_3ж),_xlpm.k,_xlfn.XMATCH(_xlpm.need,_xlpm.t,1),IF(ISNA(_xlpm.k),"Не исп",INDEX(Iдоп_S,_xlpm.k))),"Не исп")))</f>
        <v>1.5</v>
      </c>
      <c r="BT142">
        <f>IFERROR(VLOOKUP(BS142,Кабель_сопротивление,3,FALSE),"")</f>
        <v>2.2499999999999999E-2</v>
      </c>
      <c r="BU142">
        <f>IFERROR(VLOOKUP(BS142,Кабель_сопротивление,2,FALSE),"")</f>
        <v>0.11</v>
      </c>
      <c r="BV142">
        <f t="shared" si="187"/>
        <v>33</v>
      </c>
      <c r="BW142">
        <f>IF(D142="","",IFERROR(IF(VLOOKUP(AT142,Потребители_обозначение,4,FALSE)=1,VLOOKUP(AT142,Потребители_обозначение,3,FALSE)*(H142*2-1)+BV142+VLOOKUP(AV142,Этаж_обозначение,3,FALSE)+VLOOKUP(AV142,Этаж_обозначение,4,FALSE),VLOOKUP(AT142,Потребители_обозначение,3,FALSE)*(H142*2-1)+BV142),BV142))</f>
        <v>35</v>
      </c>
      <c r="BX142">
        <f t="shared" si="188"/>
        <v>31</v>
      </c>
      <c r="BY142">
        <f t="shared" si="189"/>
        <v>0</v>
      </c>
      <c r="BZ142">
        <f t="shared" si="190"/>
        <v>2</v>
      </c>
      <c r="CA142">
        <f t="shared" si="191"/>
        <v>0.31</v>
      </c>
      <c r="CB142">
        <f t="shared" si="192"/>
        <v>0.1230528613614363</v>
      </c>
      <c r="CC142">
        <f>IFERROR(ROUNDUP(CB142/((Uн_лин/SQRT(3))*1000)*100,2),"")</f>
        <v>6.0000000000000005E-2</v>
      </c>
      <c r="CD142">
        <f>IF(ISNUMBER(CC142),CC142+IFERROR(_xlfn.XLOOKUP(A142,Щиты[Щит],Щиты[ΔU до шин, %]),0),"")</f>
        <v>1.08</v>
      </c>
      <c r="CE142">
        <f>IF(D142="","",IF(IFERROR(VLOOKUP(AT142,УГО_спр,2,FALSE),"")="Светильник",3,4)+IF(Методика="нормы 2026",MIN(0.5,MAX(0,N(BW142)-100)*0.005),0))</f>
        <v>4</v>
      </c>
      <c r="CF142" t="str">
        <f>IFERROR(VLOOKUP(BI142,Кабель_обозначение,2,FALSE),"")</f>
        <v>ВВГнг(А)-LS</v>
      </c>
      <c r="CG142" t="str">
        <f>IFERROR(IF(VLOOKUP(BI142,Кабель_обозначение,3,FALSE)=1,CF142&amp;" ("&amp;BJ142&amp;"х"&amp;BS142&amp;")",CF142),"")</f>
        <v>ВВГнг(А)-LS (3х1,5)</v>
      </c>
      <c r="CH142" t="str">
        <f t="shared" si="193"/>
        <v>ВВГнг(А)-LS (3х1,5)
L=35-0,06%</v>
      </c>
      <c r="CI142">
        <f>IFERROR(2*ρкз_Cu*BW142/BS142,"")</f>
        <v>1.2273333333333334</v>
      </c>
      <c r="CJ142">
        <f t="shared" si="194"/>
        <v>0.40833333333333338</v>
      </c>
      <c r="CK142" t="str">
        <f>IFERROR(IF(OR(D142="",NOT(ISNUMBER(BS142)),N(BW142)=0),"",_xlfn.XLOOKUP(A142,Щиты[Щит],Щиты[Zпетли на шинах, Ом])+CI142),"")</f>
        <v/>
      </c>
      <c r="CL142" t="str">
        <f>IF(ISNUMBER(CK142),c_min*(Uн_лин*1000/SQRT(3))/CK142,"")</f>
        <v/>
      </c>
      <c r="CM142" t="str">
        <f>IFERROR(IF(OR(D142="",NOT(ISNUMBER(BS142))),"",1.05*(Uн_лин*1000/SQRT(3))/(_xlfn.XLOOKUP(A142,Щиты[Щит],Щиты[Zmax на шинах, Ом])+CJ142)/1000),"")</f>
        <v/>
      </c>
      <c r="CN142" t="str">
        <f>IF(D142="","",IF(BA142&lt;&gt;"","Щит",IF(K142&lt;&gt;"",K142,IF(ISNUMBER(L142),"Сил",IF(IFERROR(_xlfn.XLOOKUP(AT142,Коды_код,Коды_группа)&amp;"","")="","Быт",_xlfn.XLOOKUP(AT142,Коды_код,Коды_группа)&amp;"")))))</f>
        <v>Сил</v>
      </c>
      <c r="CO142">
        <f>IF(CN142="Щит","щит",IF(CN142="","",IF(CN142="Быт",IFERROR(_xlfn.XLOOKUP(A142,Щиты[Щит],Щиты[Кс быт]),1),IF(CN142="Сил",IF(ISNUMBER(L142),L142,IF(Методика="нормы 2026",IFERROR(_xlfn.XLOOKUP(A142,Щиты[Щит],Щиты[Кс силовых (табл. 7.5)]),1),1)),IF(OR(CN142="Пост",CN142="Отоп"),1,IF(CN142="ВНГ",0.7,0))))))</f>
        <v>0.5</v>
      </c>
      <c r="CP142">
        <f t="shared" si="195"/>
        <v>1</v>
      </c>
      <c r="CQ142">
        <f t="shared" si="196"/>
        <v>2.7E-2</v>
      </c>
      <c r="CR142">
        <f t="shared" si="197"/>
        <v>0</v>
      </c>
      <c r="CS142">
        <f t="shared" si="198"/>
        <v>1.35E-2</v>
      </c>
      <c r="CT142">
        <f t="shared" si="199"/>
        <v>0</v>
      </c>
      <c r="CU142">
        <f t="shared" si="200"/>
        <v>0</v>
      </c>
      <c r="CV142">
        <f t="shared" si="201"/>
        <v>0</v>
      </c>
      <c r="CW142">
        <f t="shared" si="202"/>
        <v>2.7E-2</v>
      </c>
      <c r="CX142">
        <f t="shared" si="203"/>
        <v>2.5649999999999999E-2</v>
      </c>
      <c r="CY142">
        <f t="shared" si="204"/>
        <v>3</v>
      </c>
      <c r="CZ142" t="str">
        <f t="shared" si="205"/>
        <v>L3</v>
      </c>
      <c r="DA142" cm="1">
        <f t="array" ref="DA142">IFERROR(IF(BL142=2,_xlfn.IFS(BH142=3,VLOOKUP(BF142,Справочная_двигатели,3,FALSE),BH142=1,VLOOKUP(BF142,Справочная_двигатели,5,TRUE)),0),0)</f>
        <v>0</v>
      </c>
      <c r="DB142">
        <f>IFERROR(IF(BL142=3,VLOOKUP(BF142,Справочная_ЛЭД,2,TRUE),0),0)</f>
        <v>0</v>
      </c>
      <c r="DC142">
        <f t="shared" si="206"/>
        <v>0</v>
      </c>
      <c r="DD142" t="str">
        <f t="shared" si="207"/>
        <v>L1</v>
      </c>
      <c r="DE142" t="str" cm="1">
        <f t="array" ref="DE142">IF(D142="","",IFERROR(INDEX({"I особая","I","II","III"},MATCH(TRIM(AA142&amp;""),{"I особая","I","II","III"},0)),"III"))</f>
        <v>II</v>
      </c>
      <c r="DF142" t="str">
        <f>IF(D142="","",IF(TRIM(AB142&amp;"")&lt;&gt;"",IF(LOWER(TRIM(AB142&amp;""))="да","да","нет"),IF(IFERROR(_xlfn.XLOOKUP(AT142,Коды_код,Коды_пожарная),"")="да","да","нет")))</f>
        <v>нет</v>
      </c>
      <c r="DG142" t="str">
        <f t="shared" si="208"/>
        <v/>
      </c>
      <c r="DH142" t="str">
        <f t="shared" si="209"/>
        <v>основная</v>
      </c>
      <c r="DI142">
        <f t="shared" si="210"/>
        <v>1</v>
      </c>
      <c r="DJ142" t="str" cm="1">
        <f t="array" ref="DJ142">IF(D142="","",_xlfn.LET(_xlpm.t,IFERROR(_xlfn.XLOOKUP(1,(Шины[Шина]=DH142)*(((Шины[Щит]=A142)+(Шины[Щит]=""))&gt;0),Шины[Тип]),"")&amp;"",IF(_xlpm.t&lt;&gt;"",_xlpm.t,IF(ISNUMBER(SEARCH("ИБП",DH142)),"ИБП",IF(ISNUMBER(SEARCH("ДГУ",DH142)),"ДГУ","Ввод "&amp;DI142)))))</f>
        <v>Ввод 1</v>
      </c>
      <c r="DK142" t="str">
        <f t="shared" si="211"/>
        <v>Ввод 1</v>
      </c>
      <c r="DL142" t="str">
        <f>IF(D142="","",IF(OR(DJ142="ИБП",DJ142="ДГУ"),"I особая",IF(DJ142="Одиночная","III",_xlfn.XLOOKUP(A142,Щиты[Щит],Щиты[Категория шины «Ввод»],"III"))))</f>
        <v>II</v>
      </c>
      <c r="DM142">
        <f>IF(D142="",0,IFERROR(MATCH(DE142,{"III","II","I","I особая"},0),1))</f>
        <v>2</v>
      </c>
      <c r="DN142">
        <f t="shared" si="212"/>
        <v>2</v>
      </c>
      <c r="DO142" t="str">
        <f>IF(D142="","",IF(DM142&gt;IFERROR(MATCH(DL142,{"III","II","I","I особая"},0),1),"НЕ ОБЕСПЕЧЕНА","ОК"))</f>
        <v>ОК</v>
      </c>
      <c r="DP142" t="str">
        <f>IF(A142="","",_xlfn.XLOOKUP(A142,Щиты[Щит],Щиты[Путь],""))</f>
        <v>|ГРЩ-ЖД|ЩОВ-2|</v>
      </c>
      <c r="DQ142" t="str">
        <f>IF(D142="","",IF(Z142&lt;&gt;"",Z142,IF(IFERROR(_xlfn.XLOOKUP(AT142,Коды_код,Коды_вид)&amp;"","")="","Прочее",_xlfn.XLOOKUP(AT142,Коды_код,Коды_вид)&amp;"")))</f>
        <v>Кондиционирование и увлажнение</v>
      </c>
      <c r="DR142">
        <f>IF(BD142="","",INT((BD142-1)/Столбцов_на_лист)+1)</f>
        <v>2</v>
      </c>
      <c r="DS142" t="str">
        <f t="shared" si="213"/>
        <v>ВВГнг(А)-LS (3х1,5) L=35-0,06%</v>
      </c>
      <c r="DT142">
        <f t="shared" si="214"/>
        <v>2.7E-2</v>
      </c>
      <c r="DU142">
        <f t="shared" si="215"/>
        <v>0.13</v>
      </c>
      <c r="DV142">
        <f t="shared" si="216"/>
        <v>1</v>
      </c>
      <c r="DW142">
        <f>IF(AT142="",0,_xlfn.LET(_xlpm.v,IFERROR(VLOOKUP(D142,УГО_спр,3,FALSE),IFERROR(VLOOKUP(AT142,УГО_спр,3,FALSE),IFERROR(VLOOKUP(LEFT(AT142,2),УГО_спр,3,FALSE),""))),IF(_xlpm.v="да",30,IF(ISNUMBER(_xlpm.v),_xlpm.v,0))))</f>
        <v>0</v>
      </c>
      <c r="DX142">
        <f t="shared" si="217"/>
        <v>0</v>
      </c>
      <c r="DY142">
        <f>IF(BD142="","",IF(AD142&lt;&gt;"",COUNTIFS(A$3:A142,A142,AD$3:AD142,"?*"),IF(OR(OR(AS142=1,A142&lt;&gt;A141),AL142="вручную"),"",IF(AS142=1,"",DZ141))))</f>
        <v>12</v>
      </c>
      <c r="DZ142">
        <f t="shared" si="218"/>
        <v>12</v>
      </c>
      <c r="EA142">
        <f>IF(D142="",0,MAX(IFERROR(--X142,0),IFERROR(--VLOOKUP(D142,УГО_спр,4,FALSE),IFERROR(--VLOOKUP(AT142,УГО_спр,4,FALSE),IFERROR(--VLOOKUP(LEFT(AT142,2),УГО_спр,4,FALSE),0)))))</f>
        <v>0</v>
      </c>
      <c r="EB142">
        <f>IF(D142="","",IFERROR(LOOKUP(INDEX(CHOOSE(BR142,Iдоп_1ж,Iдоп_2ж,Iдоп_3ж),MATCH(BS142,Iдоп_S,0))*BP142*BQ142,{6,10,16,20,25,32,40,50,63,80,100,125,160,200,250,315,400,500,630}),""))</f>
        <v>16</v>
      </c>
      <c r="EC142">
        <f>IF(AD142="","",SUMIFS(Линии[_Ток схемы],Линии[_гр.],DY142,Линии[Щит],A142,Линии[_в кабель выше],0))</f>
        <v>0.13</v>
      </c>
      <c r="ED142">
        <f>IF(AD142="","",IFERROR(VLOOKUP(EC142,Автомат_номиналы,2,TRUE),""))</f>
        <v>6</v>
      </c>
      <c r="EE142">
        <f>IF(AD142="","",MAX(N(ED142),_xlfn.MAXIFS(Линии[_мин. по типу],Линии[_гр.],DY142,Линии[Щит],A142)))</f>
        <v>6</v>
      </c>
      <c r="EF142">
        <f>IF(AD142="","",_xlfn.MINIFS(Линии[_макс. автомат по кабелю],Линии[_гр.],DY142,Линии[Щит],A142))</f>
        <v>16</v>
      </c>
      <c r="EG142">
        <f>IF(AD142="","",MAX(1,_xlfn.MAXIFS(Линии[_фаз],Линии[_гр.],DY142,Линии[Щит],A142)))</f>
        <v>1</v>
      </c>
      <c r="EH142">
        <f>IF(AD142="","",IF(AND(AD142&lt;&gt;"авто",AD142&lt;&gt;"+"),IF(ISNUMBER(SEARCH("мА",AD142)),IFERROR(--TRIM(RIGHT(SUBSTITUTE(LEFT(AD142,SEARCH("мА",AD142)-1)," ",REPT(" ",9)),6)),30),0),IF(AE142="нет",0,IF(ISNUMBER(AE142),AE142,IF(AE142="да",30,_xlfn.MINIFS(Линии[_дифзащита по коду, мА],Линии[_гр.],DY142,Линии[Щит],A142,Линии[_дифзащита по коду, мА],"&gt;0"))))))</f>
        <v>0</v>
      </c>
      <c r="EI142">
        <f t="shared" si="219"/>
        <v>0</v>
      </c>
      <c r="EJ142" t="str">
        <f t="shared" si="220"/>
        <v>QF12</v>
      </c>
      <c r="EK142" t="str">
        <f t="shared" si="221"/>
        <v>QF12</v>
      </c>
      <c r="EL142" t="str">
        <f t="shared" si="222"/>
        <v/>
      </c>
      <c r="EM142">
        <f t="shared" si="223"/>
        <v>0</v>
      </c>
      <c r="EN142">
        <f>IF(AD142="","",IF(EM142=1,MAX(EE142,Мин_автомат_БП),EE142))</f>
        <v>6</v>
      </c>
      <c r="EO142" t="str">
        <f t="shared" si="224"/>
        <v>1P</v>
      </c>
      <c r="EP142" t="str">
        <f t="shared" si="225"/>
        <v>1P С6А</v>
      </c>
      <c r="EQ142">
        <f t="shared" si="226"/>
        <v>6</v>
      </c>
      <c r="ER142" t="str">
        <f>IF(OR(AI142="",AI142="-"),"",IFERROR(VLOOKUP(AI142,Модули_спр,2,FALSE),"R"))</f>
        <v/>
      </c>
      <c r="ES142" t="str">
        <f>IF(ER142="","",ER142&amp;"."&amp;COUNTIFS(A$3:A142,A142,ER$3:ER142,ER142))</f>
        <v/>
      </c>
      <c r="ET142" t="str">
        <f t="shared" si="227"/>
        <v/>
      </c>
      <c r="EU142" t="str">
        <f t="shared" si="228"/>
        <v/>
      </c>
      <c r="EV142" t="str">
        <f t="shared" si="229"/>
        <v/>
      </c>
      <c r="EW142" t="str">
        <f t="shared" si="230"/>
        <v/>
      </c>
      <c r="EX142">
        <f t="shared" si="231"/>
        <v>1</v>
      </c>
      <c r="EY142" t="str">
        <f>IF(AK142="нет","",IF(AK142&lt;&gt;"",AK142,IF(EX142=1,"XT"&amp;COUNTIFS(A$3:A142,A142,EX$3:EX142,1),"")))</f>
        <v/>
      </c>
      <c r="EZ142" t="str">
        <f t="shared" si="232"/>
        <v>QF12</v>
      </c>
      <c r="FA142" t="str">
        <f t="shared" si="233"/>
        <v/>
      </c>
      <c r="FB142" t="str">
        <f t="shared" si="234"/>
        <v>ok</v>
      </c>
      <c r="FC142" t="str">
        <f>IF(OR(EV142="",ET142=""),"",IF(EV142&gt;IFERROR(VLOOKUP(EU142,Модули_спр,3,FALSE),99),"ЛИШНИЙ КАНАЛ",IF(AND(AJ142&lt;&gt;"=",COUNTIFS(Линии[_модуль гр.],ET142,Линии[Канал (итог)],EV142,Линии[Канал],"&lt;&gt;=",Линии[Щит],A142)&gt;1),"ДУБЛЬ КАНАЛА","")))</f>
        <v/>
      </c>
      <c r="FD142">
        <f t="shared" si="235"/>
        <v>6</v>
      </c>
      <c r="FE142" t="str">
        <f t="shared" si="236"/>
        <v>1P С6А</v>
      </c>
      <c r="FF142">
        <f t="shared" si="237"/>
        <v>0</v>
      </c>
      <c r="FG142">
        <f t="shared" si="238"/>
        <v>0</v>
      </c>
      <c r="FH142" t="str">
        <f t="shared" si="239"/>
        <v/>
      </c>
      <c r="FI142">
        <f t="shared" si="240"/>
        <v>10</v>
      </c>
      <c r="FJ142" t="str">
        <f t="shared" si="241"/>
        <v/>
      </c>
      <c r="FK142" t="str">
        <f>IF(AND(D142="",EZ142=""),"",_xlfn.TEXTJOIN("; ",TRUE,IF(AND(D142&lt;&gt;"",DD142=""),"нет фазы",""),IF(AND(D142&lt;&gt;"",N(DT142)=0,CN142&lt;&gt;"Нет"),"нет мощности",""),IF(AND(EY142&lt;&gt;"",COUNTIFS(Линии[Щит],A142,Линии[Клемма (итог)],EY142)&gt;1),"дубль клеммы "&amp;EY142,""),IF(AND(FB142&lt;&gt;"",FB142&lt;&gt;"ok"),FB142,""),IF(FC142&lt;&gt;"",FC142,""),IF(AND(ISNUMBER(SEARCH("(5х",DS142)),N(DV142)=1),"5 жил на 1 фазе",""),IF(AND(AT142="R",AD142&lt;&gt;"",OR(N(EH142)=0,N(EH142)&gt;30)),"розетка без дифзащиты до 30 мА",""),IFERROR(IF(AND(ISNUMBER(CD142),CD142&gt;CE142),"потери "&amp;FIXED(CD142,1)&amp;" % &gt; "&amp;CE142&amp;" %",""),""),IFERROR(IF(LEFT(FJ142,4)="мало","Iкз мало — отключение &gt; 0,4 с",""),""),IF(AND(D142&lt;&gt;"",BD142=""),"не на схеме","")))</f>
        <v/>
      </c>
      <c r="FL142" t="str">
        <f>IF(AD142="","",_xlfn.LET(_xlpm.t,IFERROR(_xlfn.XLOOKUP(EP142,Каталог!$U$4:$U$500,Каталог!$G$4:$G$500),""),_xlpm.k,SEARCH("кА",_xlpm.t),IFERROR(--TRIM(RIGHT(SUBSTITUTE(MID(_xlpm.t,MAX(1,_xlpm.k-4),_xlpm.k-MAX(1,_xlpm.k-4))," ",REPT(" ",9)),5)),"")))</f>
        <v/>
      </c>
      <c r="FM142" t="str">
        <f>IF(OR(FL142="",AD142=""),"",IF(_xlfn.XLOOKUP(A142,Щиты[Щит],Щиты[Iкз max на шинах, кА],"")="","",IF(FL142&lt;_xlfn.XLOOKUP(A142,Щиты[Щит],Щиты[Iкз max на шинах, кА]),"Icu "&amp;FL142&amp;" кА &lt; Iкз max","ok")))</f>
        <v/>
      </c>
      <c r="FN142" t="str">
        <f t="shared" si="242"/>
        <v>QF12</v>
      </c>
      <c r="FO142" t="str">
        <f t="shared" si="243"/>
        <v>QF12|кабель ВВГнг(А)-LS (3х1,5) → Внутренний блок кондиционирования Технический этаж Пом. №003Т</v>
      </c>
      <c r="FP142" t="str" cm="1">
        <f t="array" ref="FP142">IF(FO142="","",_xlfn.LET(_xlpm.nd,_xlfn.TEXTSPLIT(FO142,"|"),IF(COLUMNS(_xlpm.nd)&gt;1,A142&amp;"¦"&amp;INDEX(_xlpm.nd,1)&amp;"¦"&amp;INDEX(_xlpm.nd,2),"")))</f>
        <v>ЩОВ-2¦QF12¦кабель ВВГнг(А)-LS (3х1,5) → Внутренний блок кондиционирования Технический этаж Пом. №003Т</v>
      </c>
      <c r="FQ142" t="str">
        <f t="shared" si="244"/>
        <v>K.3.002Б¦Внутренний блок кондиционирования Технический этаж Пом. №003Т</v>
      </c>
      <c r="FR142" t="str" cm="1">
        <f t="array" ref="FR142">IF(FO142="","",_xlfn.LET(_xlpm.nd,_xlfn.TEXTSPLIT(FO142,"|"),IF(COLUMNS(_xlpm.nd)&gt;2,A142&amp;"¦"&amp;INDEX(_xlpm.nd,2)&amp;"¦"&amp;INDEX(_xlpm.nd,3),"")))</f>
        <v/>
      </c>
      <c r="FS142" t="str">
        <f t="shared" si="245"/>
        <v/>
      </c>
      <c r="FT142" t="str" cm="1">
        <f t="array" ref="FT142">IF(FO142="","",_xlfn.LET(_xlpm.nd,_xlfn.TEXTSPLIT(FO142,"|"),IF(COLUMNS(_xlpm.nd)&gt;3,A142&amp;"¦"&amp;INDEX(_xlpm.nd,3)&amp;"¦"&amp;INDEX(_xlpm.nd,4),"")))</f>
        <v/>
      </c>
      <c r="FU142" t="str">
        <f t="shared" si="246"/>
        <v/>
      </c>
      <c r="FV142" t="str" cm="1">
        <f t="array" ref="FV142">IF(FO142="","",_xlfn.LET(_xlpm.nd,_xlfn.TEXTSPLIT(FO142,"|"),IF(COLUMNS(_xlpm.nd)&gt;4,A142&amp;"¦"&amp;INDEX(_xlpm.nd,4)&amp;"¦"&amp;INDEX(_xlpm.nd,5),"")))</f>
        <v/>
      </c>
      <c r="FW142" t="str">
        <f t="shared" si="247"/>
        <v/>
      </c>
      <c r="FX142" t="str" cm="1">
        <f t="array" ref="FX142">IF(FO142="","",_xlfn.LET(_xlpm.nd,_xlfn.TEXTSPLIT(FO142,"|"),IF(COLUMNS(_xlpm.nd)&gt;5,A142&amp;"¦"&amp;INDEX(_xlpm.nd,5)&amp;"¦"&amp;INDEX(_xlpm.nd,6),"")))</f>
        <v/>
      </c>
      <c r="FY142" t="str">
        <f t="shared" si="248"/>
        <v/>
      </c>
      <c r="FZ142" t="str" cm="1">
        <f t="array" ref="FZ142">IF(FO142="","",_xlfn.LET(_xlpm.nd,_xlfn.TEXTSPLIT(FO142,"|"),IF(COLUMNS(_xlpm.nd)&gt;6,A142&amp;"¦"&amp;INDEX(_xlpm.nd,6)&amp;"¦"&amp;INDEX(_xlpm.nd,7),"")))</f>
        <v/>
      </c>
      <c r="GA142" t="str">
        <f t="shared" si="249"/>
        <v/>
      </c>
      <c r="GB142" t="str">
        <f t="shared" si="250"/>
        <v/>
      </c>
      <c r="GC142" t="str">
        <f t="shared" si="251"/>
        <v>QF12</v>
      </c>
      <c r="GD142">
        <f t="shared" si="252"/>
        <v>1</v>
      </c>
      <c r="GE142">
        <f t="shared" si="253"/>
        <v>0</v>
      </c>
      <c r="GF142">
        <f t="shared" si="254"/>
        <v>0</v>
      </c>
      <c r="GG142" t="str">
        <f t="shared" si="255"/>
        <v/>
      </c>
      <c r="GH142" t="str">
        <f t="shared" si="256"/>
        <v/>
      </c>
      <c r="GI142" t="str">
        <f t="shared" si="257"/>
        <v/>
      </c>
      <c r="GJ142" t="str">
        <f t="shared" si="258"/>
        <v/>
      </c>
      <c r="GK142">
        <f>IF(D142="","",IFERROR(VLOOKUP(D142,УГО_спр,2,FALSE),IFERROR(VLOOKUP(AT142,УГО_спр,2,FALSE),IFERROR(VLOOKUP(LEFT(AT142,2),УГО_спр,2,FALSE),""))))</f>
        <v>0</v>
      </c>
      <c r="GL142" t="str">
        <f>IF(D142="","",IF(OR(GK142="",GK142=0),"BOX",IFERROR(IF(VLOOKUP(GK142,УГО_блоки,3,FALSE)&amp;""&lt;&gt;"",VLOOKUP(GK142,УГО_блоки,3,FALSE),VLOOKUP(GK142,УГО_блоки,2,FALSE)),GK142)))</f>
        <v>BOX</v>
      </c>
      <c r="GM142">
        <f t="shared" si="259"/>
        <v>1</v>
      </c>
      <c r="GN142" t="str">
        <f>IF(EP142="","",IF(COUNTIF(EP$3:EP142,EP142)=1,MAX(GN$2:GN141)+1,""))</f>
        <v/>
      </c>
      <c r="GO142" t="str">
        <f>IF(AF142="","",IF(COUNTIF(AF$3:AF142,AF142)+COUNTIF(AG$2:AG141,AF142)+COUNTIF(AH$2:AH141,AF142)=1,MAX(GO$2:GQ141)+1,""))</f>
        <v/>
      </c>
      <c r="GP142" t="str">
        <f>IF(AG142="","",IF(COUNTIF(AF$3:AF142,AG142)+COUNTIF(AG$3:AG142,AG142)+COUNTIF(AH$2:AH141,AG142)=1,MAX(GO$2:GQ141,GO142)+1,""))</f>
        <v/>
      </c>
      <c r="GQ142" t="str">
        <f>IF(AH142="","",IF(COUNTIF(AF$3:AF142,AH142)+COUNTIF(AG$3:AG142,AH142)+COUNTIF(AH$3:AH142,AH142)=1,MAX(GO$2:GQ141,GO142,GP142)+1,""))</f>
        <v/>
      </c>
      <c r="GR142" t="str">
        <f t="shared" si="260"/>
        <v>3х1,5</v>
      </c>
      <c r="GS142" t="str">
        <f>IF(GR142="","",IF(COUNTIF(GR$3:GR142,GR142)=1,MAX(GS$2:GS141)+1,""))</f>
        <v/>
      </c>
      <c r="GT142" t="str">
        <f>IF(ES142="","",COUNTIF(ES$3:ES142,"?*"))</f>
        <v/>
      </c>
      <c r="GU142" t="str">
        <f>IF(OR(ES142="",EU142=""),"",IF(COUNTIFS(ES$3:ES142,"?*",EU$3:EU142,EU142)=1,MAX(GU$2:GU141)+1,""))</f>
        <v/>
      </c>
      <c r="GV142">
        <f t="shared" si="261"/>
        <v>0</v>
      </c>
      <c r="GW142">
        <f>IF(D142="","",COUNTIF(D$3:D142,"?*"))</f>
        <v>140</v>
      </c>
      <c r="GX142">
        <f>IF(EX142&lt;&gt;1,0,_xlfn.LET(_xlpm.k,MAX(IFERROR(--VLOOKUP(D142,УГО_спр,5,FALSE),0),IFERROR(--VLOOKUP(AT142,УГО_спр,5,FALSE),0),IFERROR(--VLOOKUP(LEFT(AT142,2),УГО_спр,5,FALSE),0)),IF(_xlpm.k&gt;0,_xlpm.k,IF(IFERROR(--LEFT(SUBSTITUTE(GR142,"x","х"),FIND("х",SUBSTITUTE(GR142,"x","х"))-1),3)&gt;3,Каталог!$S$9,1))))</f>
        <v>1</v>
      </c>
      <c r="GY142">
        <f t="shared" si="262"/>
        <v>0</v>
      </c>
    </row>
    <row r="143" spans="1:207" x14ac:dyDescent="0.3">
      <c r="A143" t="s">
        <v>756</v>
      </c>
      <c r="B143">
        <v>27</v>
      </c>
      <c r="C143" t="str">
        <f>IF(BD143="","",IF(BE143="вводной узел","узел ","")&amp;"л."&amp;(INT((BD143-1)/Столбцов_на_лист)+1)&amp;" / "&amp;(MOD(BD143-1,Столбцов_на_лист)+1))</f>
        <v>л.2 / 10</v>
      </c>
      <c r="D143" t="s">
        <v>1444</v>
      </c>
      <c r="E143" s="133" t="s">
        <v>1445</v>
      </c>
      <c r="G143">
        <v>0.04</v>
      </c>
      <c r="H143">
        <v>1</v>
      </c>
      <c r="I143">
        <v>1</v>
      </c>
      <c r="J143">
        <v>230</v>
      </c>
      <c r="K143" t="s">
        <v>602</v>
      </c>
      <c r="L143">
        <v>0.5</v>
      </c>
      <c r="O143">
        <v>2</v>
      </c>
      <c r="P143">
        <v>28</v>
      </c>
      <c r="Q143">
        <v>4</v>
      </c>
      <c r="R143">
        <v>26</v>
      </c>
      <c r="T143">
        <v>1</v>
      </c>
      <c r="U143" t="s">
        <v>11</v>
      </c>
      <c r="V143">
        <v>3</v>
      </c>
      <c r="W143">
        <v>1.5</v>
      </c>
      <c r="Z143" t="s">
        <v>580</v>
      </c>
      <c r="AA143" t="s">
        <v>818</v>
      </c>
      <c r="AD143" t="s">
        <v>517</v>
      </c>
      <c r="AK143" t="s">
        <v>488</v>
      </c>
      <c r="AR143" t="str">
        <f t="shared" si="176"/>
        <v/>
      </c>
      <c r="AS143" cm="1">
        <f t="array" ref="AS143">ROW()-ROW(Линии[#Headers])</f>
        <v>141</v>
      </c>
      <c r="AT143" t="str">
        <f t="shared" si="177"/>
        <v>K</v>
      </c>
      <c r="AU143" t="str">
        <f t="shared" si="178"/>
        <v>3.004T.1</v>
      </c>
      <c r="AV143" t="str">
        <f t="shared" si="179"/>
        <v>3</v>
      </c>
      <c r="AW143" t="str">
        <f t="shared" si="180"/>
        <v>004T.1</v>
      </c>
      <c r="AX143" t="str">
        <f t="shared" si="181"/>
        <v>004T</v>
      </c>
      <c r="AY143" t="str">
        <f>IF(D143="","",IF(ISERROR(SEARCH(".",D143)),IFERROR(VLOOKUP(D143,Потребители_обозначение,2,FALSE)&amp;"",""),IFERROR(IF(VLOOKUP(AT143,Потребители_обозначение,4,FALSE)=1,VLOOKUP(AT143,Потребители_обозначение,2,FALSE)&amp;" "&amp;VLOOKUP(AV143,Этаж_обозначение,2,FALSE)&amp;" Пом. №"&amp;AX143,VLOOKUP(AT143,Потребители_обозначение,2,FALSE)&amp;" Шлейф №"&amp;AV143),IFERROR(VLOOKUP(D143,Потребители_обозначение,2,FALSE),""))))</f>
        <v>Внутренний блок кондиционирования Третий этаж Пом. №004T</v>
      </c>
      <c r="AZ143" t="str">
        <f t="shared" si="182"/>
        <v>Внутренний блок кондиционирования Технический этаж Пом. №004Т</v>
      </c>
      <c r="BA143" t="str">
        <f>IF(F143&lt;&gt;"",F143,IF(AND(D143&lt;&gt;"",D143&lt;&gt;A143,ISNUMBER(_xlfn.XMATCH(D143,Щиты[Щит]))),D143,""))</f>
        <v/>
      </c>
      <c r="BB143">
        <f>IFERROR(_xlfn.XMATCH(A143,Щиты[Щит]),0)</f>
        <v>7</v>
      </c>
      <c r="BC143">
        <f>IFERROR(N(_xlfn.XLOOKUP(A143,Щиты[Щит],Щиты[Мест под вводной узел])),15)</f>
        <v>12</v>
      </c>
      <c r="BD143">
        <f t="shared" si="183"/>
        <v>27</v>
      </c>
      <c r="BE143" t="str">
        <f t="shared" si="184"/>
        <v>линии</v>
      </c>
      <c r="BF143">
        <f>IF(D143="","",IF(BA143&lt;&gt;"",IFERROR(_xlfn.XLOOKUP(BA143,Щиты[Щит],Щиты[Руст, кВт]),0),N(G143)))</f>
        <v>0.04</v>
      </c>
      <c r="BG143">
        <f>IF(J143&lt;&gt;"",J143,IF(D143="","",IFERROR(IF(VLOOKUP(AT143,Потребители_обозначение,8,FALSE)=0,"",VLOOKUP(AT143,Потребители_обозначение,8,FALSE)),"")))</f>
        <v>230</v>
      </c>
      <c r="BH143">
        <f>IF(I143&lt;&gt;"",I143,IF(D143="","",IFERROR(IF(VLOOKUP(AT143,Потребители_обозначение,9,FALSE)=0,"",VLOOKUP(AT143,Потребители_обозначение,9,FALSE)),"")))</f>
        <v>1</v>
      </c>
      <c r="BI143" t="str">
        <f>IF(U143&lt;&gt;"",U143,IF(D143="","",IFERROR(IF(VLOOKUP(AT143,Потребители_обозначение,6,FALSE)=0,"",VLOOKUP(AT143,Потребители_обозначение,6,FALSE)),"")))</f>
        <v>мс</v>
      </c>
      <c r="BJ143">
        <f>IF(V143&lt;&gt;"",V143,IF(D143="","",IFERROR(IF(VLOOKUP(AT143,Потребители_обозначение,7,FALSE)=0,"",VLOOKUP(AT143,Потребители_обозначение,7,FALSE)),"")))</f>
        <v>3</v>
      </c>
      <c r="BK143">
        <f>IF(W143&lt;&gt;"",W143,IF(D143="","",IFERROR(IF(VLOOKUP(AT143,Потребители_обозначение,10,FALSE)=0,"",VLOOKUP(AT143,Потребители_обозначение,10,FALSE)),"")))</f>
        <v>1.5</v>
      </c>
      <c r="BL143">
        <f>IFERROR(VLOOKUP(AT143,Потребители_обозначение,5,FALSE),0)</f>
        <v>1</v>
      </c>
      <c r="BM143" cm="1">
        <f t="array" ref="BM143">IF(D143="","",IF(BA143&lt;&gt;"",IFERROR(_xlfn.XLOOKUP(BA143,Щиты[Щит],Щиты[cos φ]),0.95),IF(ISNUMBER(M143),M143,IFERROR(IF(BL143=2,_xlfn.IFS(BH143=3,VLOOKUP(BF143,Справочная_двигатели,8,FALSE),BH143=1,VLOOKUP(BF143,Справочная_двигатели,10,TRUE)),IF(AND(Методика="нормы 2026",CN143="Сил"),0.8,0.95)),0.95))))</f>
        <v>0.95</v>
      </c>
      <c r="BN143" cm="1">
        <f t="array" ref="BN143">IF(D143="","",IF(BA143&lt;&gt;"",IFERROR(_xlfn.XLOOKUP(BA143,Щиты[Щит],Щиты[Iр, А]),""),IFERROR(_xlfn.IFS(BH143=1,BF143/((Uн_лин/SQRT(3))*BM143),BH143=3,BF143/(SQRT(3)*Uн_лин*BM143)),"")))</f>
        <v>0.18232113763882918</v>
      </c>
      <c r="BO143">
        <f>IF(D143="","",IF(N(X143)=0,IFERROR(VLOOKUP(BN143,Автомат_номиналы,2,TRUE),""),X143))</f>
        <v>6</v>
      </c>
      <c r="BP143">
        <f t="shared" si="185"/>
        <v>1</v>
      </c>
      <c r="BQ143">
        <f>IF(ISNUMBER(Y143),Y143,К_прокл)</f>
        <v>1</v>
      </c>
      <c r="BR143">
        <f t="shared" si="186"/>
        <v>2</v>
      </c>
      <c r="BS143" cm="1">
        <f t="array" ref="BS143">IF(D143="","",IF(N(BK143)&lt;&gt;0,BK143,IFERROR(_xlfn.LET(_xlpm.need,BO143/(BP143*BQ143),_xlpm.t,CHOOSE(BR143,Iдоп_1ж,Iдоп_2ж,Iдоп_3ж),_xlpm.k,_xlfn.XMATCH(_xlpm.need,_xlpm.t,1),IF(ISNA(_xlpm.k),"Не исп",INDEX(Iдоп_S,_xlpm.k))),"Не исп")))</f>
        <v>1.5</v>
      </c>
      <c r="BT143">
        <f>IFERROR(VLOOKUP(BS143,Кабель_сопротивление,3,FALSE),"")</f>
        <v>2.2499999999999999E-2</v>
      </c>
      <c r="BU143">
        <f>IFERROR(VLOOKUP(BS143,Кабель_сопротивление,2,FALSE),"")</f>
        <v>0.11</v>
      </c>
      <c r="BV143">
        <f t="shared" si="187"/>
        <v>28</v>
      </c>
      <c r="BW143">
        <f>IF(D143="","",IFERROR(IF(VLOOKUP(AT143,Потребители_обозначение,4,FALSE)=1,VLOOKUP(AT143,Потребители_обозначение,3,FALSE)*(H143*2-1)+BV143+VLOOKUP(AV143,Этаж_обозначение,3,FALSE)+VLOOKUP(AV143,Этаж_обозначение,4,FALSE),VLOOKUP(AT143,Потребители_обозначение,3,FALSE)*(H143*2-1)+BV143),BV143))</f>
        <v>30</v>
      </c>
      <c r="BX143">
        <f t="shared" si="188"/>
        <v>26</v>
      </c>
      <c r="BY143">
        <f t="shared" si="189"/>
        <v>0</v>
      </c>
      <c r="BZ143">
        <f t="shared" si="190"/>
        <v>2</v>
      </c>
      <c r="CA143">
        <f t="shared" si="191"/>
        <v>0.31</v>
      </c>
      <c r="CB143">
        <f t="shared" si="192"/>
        <v>0.15625760172880795</v>
      </c>
      <c r="CC143">
        <f>IFERROR(ROUNDUP(CB143/((Uн_лин/SQRT(3))*1000)*100,2),"")</f>
        <v>6.9999999999999993E-2</v>
      </c>
      <c r="CD143">
        <f>IF(ISNUMBER(CC143),CC143+IFERROR(_xlfn.XLOOKUP(A143,Щиты[Щит],Щиты[ΔU до шин, %]),0),"")</f>
        <v>1.0900000000000001</v>
      </c>
      <c r="CE143">
        <f>IF(D143="","",IF(IFERROR(VLOOKUP(AT143,УГО_спр,2,FALSE),"")="Светильник",3,4)+IF(Методика="нормы 2026",MIN(0.5,MAX(0,N(BW143)-100)*0.005),0))</f>
        <v>4</v>
      </c>
      <c r="CF143" t="str">
        <f>IFERROR(VLOOKUP(BI143,Кабель_обозначение,2,FALSE),"")</f>
        <v>ВВГнг(А)-LS</v>
      </c>
      <c r="CG143" t="str">
        <f>IFERROR(IF(VLOOKUP(BI143,Кабель_обозначение,3,FALSE)=1,CF143&amp;" ("&amp;BJ143&amp;"х"&amp;BS143&amp;")",CF143),"")</f>
        <v>ВВГнг(А)-LS (3х1,5)</v>
      </c>
      <c r="CH143" t="str">
        <f t="shared" si="193"/>
        <v>ВВГнг(А)-LS (3х1,5)
L=30-0,07%</v>
      </c>
      <c r="CI143">
        <f>IFERROR(2*ρкз_Cu*BW143/BS143,"")</f>
        <v>1.052</v>
      </c>
      <c r="CJ143">
        <f t="shared" si="194"/>
        <v>0.35000000000000003</v>
      </c>
      <c r="CK143" t="str">
        <f>IFERROR(IF(OR(D143="",NOT(ISNUMBER(BS143)),N(BW143)=0),"",_xlfn.XLOOKUP(A143,Щиты[Щит],Щиты[Zпетли на шинах, Ом])+CI143),"")</f>
        <v/>
      </c>
      <c r="CL143" t="str">
        <f>IF(ISNUMBER(CK143),c_min*(Uн_лин*1000/SQRT(3))/CK143,"")</f>
        <v/>
      </c>
      <c r="CM143" t="str">
        <f>IFERROR(IF(OR(D143="",NOT(ISNUMBER(BS143))),"",1.05*(Uн_лин*1000/SQRT(3))/(_xlfn.XLOOKUP(A143,Щиты[Щит],Щиты[Zmax на шинах, Ом])+CJ143)/1000),"")</f>
        <v/>
      </c>
      <c r="CN143" t="str">
        <f>IF(D143="","",IF(BA143&lt;&gt;"","Щит",IF(K143&lt;&gt;"",K143,IF(ISNUMBER(L143),"Сил",IF(IFERROR(_xlfn.XLOOKUP(AT143,Коды_код,Коды_группа)&amp;"","")="","Быт",_xlfn.XLOOKUP(AT143,Коды_код,Коды_группа)&amp;"")))))</f>
        <v>Сил</v>
      </c>
      <c r="CO143">
        <f>IF(CN143="Щит","щит",IF(CN143="","",IF(CN143="Быт",IFERROR(_xlfn.XLOOKUP(A143,Щиты[Щит],Щиты[Кс быт]),1),IF(CN143="Сил",IF(ISNUMBER(L143),L143,IF(Методика="нормы 2026",IFERROR(_xlfn.XLOOKUP(A143,Щиты[Щит],Щиты[Кс силовых (табл. 7.5)]),1),1)),IF(OR(CN143="Пост",CN143="Отоп"),1,IF(CN143="ВНГ",0.7,0))))))</f>
        <v>0.5</v>
      </c>
      <c r="CP143">
        <f t="shared" si="195"/>
        <v>1</v>
      </c>
      <c r="CQ143">
        <f t="shared" si="196"/>
        <v>0.04</v>
      </c>
      <c r="CR143">
        <f t="shared" si="197"/>
        <v>0</v>
      </c>
      <c r="CS143">
        <f t="shared" si="198"/>
        <v>0.02</v>
      </c>
      <c r="CT143">
        <f t="shared" si="199"/>
        <v>0</v>
      </c>
      <c r="CU143">
        <f t="shared" si="200"/>
        <v>0</v>
      </c>
      <c r="CV143">
        <f t="shared" si="201"/>
        <v>0</v>
      </c>
      <c r="CW143">
        <f t="shared" si="202"/>
        <v>0.04</v>
      </c>
      <c r="CX143">
        <f t="shared" si="203"/>
        <v>3.7999999999999999E-2</v>
      </c>
      <c r="CY143">
        <f t="shared" si="204"/>
        <v>1</v>
      </c>
      <c r="CZ143" t="str">
        <f t="shared" si="205"/>
        <v>L1</v>
      </c>
      <c r="DA143" cm="1">
        <f t="array" ref="DA143">IFERROR(IF(BL143=2,_xlfn.IFS(BH143=3,VLOOKUP(BF143,Справочная_двигатели,3,FALSE),BH143=1,VLOOKUP(BF143,Справочная_двигатели,5,TRUE)),0),0)</f>
        <v>0</v>
      </c>
      <c r="DB143">
        <f>IFERROR(IF(BL143=3,VLOOKUP(BF143,Справочная_ЛЭД,2,TRUE),0),0)</f>
        <v>0</v>
      </c>
      <c r="DC143">
        <f t="shared" si="206"/>
        <v>0</v>
      </c>
      <c r="DD143" t="str">
        <f t="shared" si="207"/>
        <v>L2</v>
      </c>
      <c r="DE143" t="str" cm="1">
        <f t="array" ref="DE143">IF(D143="","",IFERROR(INDEX({"I особая","I","II","III"},MATCH(TRIM(AA143&amp;""),{"I особая","I","II","III"},0)),"III"))</f>
        <v>II</v>
      </c>
      <c r="DF143" t="str">
        <f>IF(D143="","",IF(TRIM(AB143&amp;"")&lt;&gt;"",IF(LOWER(TRIM(AB143&amp;""))="да","да","нет"),IF(IFERROR(_xlfn.XLOOKUP(AT143,Коды_код,Коды_пожарная),"")="да","да","нет")))</f>
        <v>нет</v>
      </c>
      <c r="DG143" t="str">
        <f t="shared" si="208"/>
        <v/>
      </c>
      <c r="DH143" t="str">
        <f t="shared" si="209"/>
        <v>основная</v>
      </c>
      <c r="DI143">
        <f t="shared" si="210"/>
        <v>1</v>
      </c>
      <c r="DJ143" t="str" cm="1">
        <f t="array" ref="DJ143">IF(D143="","",_xlfn.LET(_xlpm.t,IFERROR(_xlfn.XLOOKUP(1,(Шины[Шина]=DH143)*(((Шины[Щит]=A143)+(Шины[Щит]=""))&gt;0),Шины[Тип]),"")&amp;"",IF(_xlpm.t&lt;&gt;"",_xlpm.t,IF(ISNUMBER(SEARCH("ИБП",DH143)),"ИБП",IF(ISNUMBER(SEARCH("ДГУ",DH143)),"ДГУ","Ввод "&amp;DI143)))))</f>
        <v>Ввод 1</v>
      </c>
      <c r="DK143" t="str">
        <f t="shared" si="211"/>
        <v>Ввод 1</v>
      </c>
      <c r="DL143" t="str">
        <f>IF(D143="","",IF(OR(DJ143="ИБП",DJ143="ДГУ"),"I особая",IF(DJ143="Одиночная","III",_xlfn.XLOOKUP(A143,Щиты[Щит],Щиты[Категория шины «Ввод»],"III"))))</f>
        <v>II</v>
      </c>
      <c r="DM143">
        <f>IF(D143="",0,IFERROR(MATCH(DE143,{"III","II","I","I особая"},0),1))</f>
        <v>2</v>
      </c>
      <c r="DN143">
        <f t="shared" si="212"/>
        <v>2</v>
      </c>
      <c r="DO143" t="str">
        <f>IF(D143="","",IF(DM143&gt;IFERROR(MATCH(DL143,{"III","II","I","I особая"},0),1),"НЕ ОБЕСПЕЧЕНА","ОК"))</f>
        <v>ОК</v>
      </c>
      <c r="DP143" t="str">
        <f>IF(A143="","",_xlfn.XLOOKUP(A143,Щиты[Щит],Щиты[Путь],""))</f>
        <v>|ГРЩ-ЖД|ЩОВ-2|</v>
      </c>
      <c r="DQ143" t="str">
        <f>IF(D143="","",IF(Z143&lt;&gt;"",Z143,IF(IFERROR(_xlfn.XLOOKUP(AT143,Коды_код,Коды_вид)&amp;"","")="","Прочее",_xlfn.XLOOKUP(AT143,Коды_код,Коды_вид)&amp;"")))</f>
        <v>Кондиционирование и увлажнение</v>
      </c>
      <c r="DR143">
        <f>IF(BD143="","",INT((BD143-1)/Столбцов_на_лист)+1)</f>
        <v>2</v>
      </c>
      <c r="DS143" t="str">
        <f t="shared" si="213"/>
        <v>ВВГнг(А)-LS (3х1,5) L=30-0,07%</v>
      </c>
      <c r="DT143">
        <f t="shared" si="214"/>
        <v>0.04</v>
      </c>
      <c r="DU143">
        <f t="shared" si="215"/>
        <v>0.19</v>
      </c>
      <c r="DV143">
        <f t="shared" si="216"/>
        <v>1</v>
      </c>
      <c r="DW143">
        <f>IF(AT143="",0,_xlfn.LET(_xlpm.v,IFERROR(VLOOKUP(D143,УГО_спр,3,FALSE),IFERROR(VLOOKUP(AT143,УГО_спр,3,FALSE),IFERROR(VLOOKUP(LEFT(AT143,2),УГО_спр,3,FALSE),""))),IF(_xlpm.v="да",30,IF(ISNUMBER(_xlpm.v),_xlpm.v,0))))</f>
        <v>0</v>
      </c>
      <c r="DX143">
        <f t="shared" si="217"/>
        <v>0</v>
      </c>
      <c r="DY143">
        <f>IF(BD143="","",IF(AD143&lt;&gt;"",COUNTIFS(A$3:A143,A143,AD$3:AD143,"?*"),IF(OR(OR(AS143=1,A143&lt;&gt;A142),AL143="вручную"),"",IF(AS143=1,"",DZ142))))</f>
        <v>13</v>
      </c>
      <c r="DZ143">
        <f t="shared" si="218"/>
        <v>13</v>
      </c>
      <c r="EA143">
        <f>IF(D143="",0,MAX(IFERROR(--X143,0),IFERROR(--VLOOKUP(D143,УГО_спр,4,FALSE),IFERROR(--VLOOKUP(AT143,УГО_спр,4,FALSE),IFERROR(--VLOOKUP(LEFT(AT143,2),УГО_спр,4,FALSE),0)))))</f>
        <v>0</v>
      </c>
      <c r="EB143">
        <f>IF(D143="","",IFERROR(LOOKUP(INDEX(CHOOSE(BR143,Iдоп_1ж,Iдоп_2ж,Iдоп_3ж),MATCH(BS143,Iдоп_S,0))*BP143*BQ143,{6,10,16,20,25,32,40,50,63,80,100,125,160,200,250,315,400,500,630}),""))</f>
        <v>16</v>
      </c>
      <c r="EC143">
        <f>IF(AD143="","",SUMIFS(Линии[_Ток схемы],Линии[_гр.],DY143,Линии[Щит],A143,Линии[_в кабель выше],0))</f>
        <v>0.19</v>
      </c>
      <c r="ED143">
        <f>IF(AD143="","",IFERROR(VLOOKUP(EC143,Автомат_номиналы,2,TRUE),""))</f>
        <v>6</v>
      </c>
      <c r="EE143">
        <f>IF(AD143="","",MAX(N(ED143),_xlfn.MAXIFS(Линии[_мин. по типу],Линии[_гр.],DY143,Линии[Щит],A143)))</f>
        <v>6</v>
      </c>
      <c r="EF143">
        <f>IF(AD143="","",_xlfn.MINIFS(Линии[_макс. автомат по кабелю],Линии[_гр.],DY143,Линии[Щит],A143))</f>
        <v>16</v>
      </c>
      <c r="EG143">
        <f>IF(AD143="","",MAX(1,_xlfn.MAXIFS(Линии[_фаз],Линии[_гр.],DY143,Линии[Щит],A143)))</f>
        <v>1</v>
      </c>
      <c r="EH143">
        <f>IF(AD143="","",IF(AND(AD143&lt;&gt;"авто",AD143&lt;&gt;"+"),IF(ISNUMBER(SEARCH("мА",AD143)),IFERROR(--TRIM(RIGHT(SUBSTITUTE(LEFT(AD143,SEARCH("мА",AD143)-1)," ",REPT(" ",9)),6)),30),0),IF(AE143="нет",0,IF(ISNUMBER(AE143),AE143,IF(AE143="да",30,_xlfn.MINIFS(Линии[_дифзащита по коду, мА],Линии[_гр.],DY143,Линии[Щит],A143,Линии[_дифзащита по коду, мА],"&gt;0"))))))</f>
        <v>0</v>
      </c>
      <c r="EI143">
        <f t="shared" si="219"/>
        <v>0</v>
      </c>
      <c r="EJ143" t="str">
        <f t="shared" si="220"/>
        <v>QF13</v>
      </c>
      <c r="EK143" t="str">
        <f t="shared" si="221"/>
        <v>QF13</v>
      </c>
      <c r="EL143" t="str">
        <f t="shared" si="222"/>
        <v/>
      </c>
      <c r="EM143">
        <f t="shared" si="223"/>
        <v>0</v>
      </c>
      <c r="EN143">
        <f>IF(AD143="","",IF(EM143=1,MAX(EE143,Мин_автомат_БП),EE143))</f>
        <v>6</v>
      </c>
      <c r="EO143" t="str">
        <f t="shared" si="224"/>
        <v>1P</v>
      </c>
      <c r="EP143" t="str">
        <f t="shared" si="225"/>
        <v>1P С6А</v>
      </c>
      <c r="EQ143">
        <f t="shared" si="226"/>
        <v>6</v>
      </c>
      <c r="ER143" t="str">
        <f>IF(OR(AI143="",AI143="-"),"",IFERROR(VLOOKUP(AI143,Модули_спр,2,FALSE),"R"))</f>
        <v/>
      </c>
      <c r="ES143" t="str">
        <f>IF(ER143="","",ER143&amp;"."&amp;COUNTIFS(A$3:A143,A143,ER$3:ER143,ER143))</f>
        <v/>
      </c>
      <c r="ET143" t="str">
        <f t="shared" si="227"/>
        <v/>
      </c>
      <c r="EU143" t="str">
        <f t="shared" si="228"/>
        <v/>
      </c>
      <c r="EV143" t="str">
        <f t="shared" si="229"/>
        <v/>
      </c>
      <c r="EW143" t="str">
        <f t="shared" si="230"/>
        <v/>
      </c>
      <c r="EX143">
        <f t="shared" si="231"/>
        <v>1</v>
      </c>
      <c r="EY143" t="str">
        <f>IF(AK143="нет","",IF(AK143&lt;&gt;"",AK143,IF(EX143=1,"XT"&amp;COUNTIFS(A$3:A143,A143,EX$3:EX143,1),"")))</f>
        <v/>
      </c>
      <c r="EZ143" t="str">
        <f t="shared" si="232"/>
        <v>QF13</v>
      </c>
      <c r="FA143" t="str">
        <f t="shared" si="233"/>
        <v/>
      </c>
      <c r="FB143" t="str">
        <f t="shared" si="234"/>
        <v>ok</v>
      </c>
      <c r="FC143" t="str">
        <f>IF(OR(EV143="",ET143=""),"",IF(EV143&gt;IFERROR(VLOOKUP(EU143,Модули_спр,3,FALSE),99),"ЛИШНИЙ КАНАЛ",IF(AND(AJ143&lt;&gt;"=",COUNTIFS(Линии[_модуль гр.],ET143,Линии[Канал (итог)],EV143,Линии[Канал],"&lt;&gt;=",Линии[Щит],A143)&gt;1),"ДУБЛЬ КАНАЛА","")))</f>
        <v/>
      </c>
      <c r="FD143">
        <f t="shared" si="235"/>
        <v>6</v>
      </c>
      <c r="FE143" t="str">
        <f t="shared" si="236"/>
        <v>1P С6А</v>
      </c>
      <c r="FF143">
        <f t="shared" si="237"/>
        <v>0</v>
      </c>
      <c r="FG143">
        <f t="shared" si="238"/>
        <v>0</v>
      </c>
      <c r="FH143" t="str">
        <f t="shared" si="239"/>
        <v/>
      </c>
      <c r="FI143">
        <f t="shared" si="240"/>
        <v>10</v>
      </c>
      <c r="FJ143" t="str">
        <f t="shared" si="241"/>
        <v/>
      </c>
      <c r="FK143" t="str">
        <f>IF(AND(D143="",EZ143=""),"",_xlfn.TEXTJOIN("; ",TRUE,IF(AND(D143&lt;&gt;"",DD143=""),"нет фазы",""),IF(AND(D143&lt;&gt;"",N(DT143)=0,CN143&lt;&gt;"Нет"),"нет мощности",""),IF(AND(EY143&lt;&gt;"",COUNTIFS(Линии[Щит],A143,Линии[Клемма (итог)],EY143)&gt;1),"дубль клеммы "&amp;EY143,""),IF(AND(FB143&lt;&gt;"",FB143&lt;&gt;"ok"),FB143,""),IF(FC143&lt;&gt;"",FC143,""),IF(AND(ISNUMBER(SEARCH("(5х",DS143)),N(DV143)=1),"5 жил на 1 фазе",""),IF(AND(AT143="R",AD143&lt;&gt;"",OR(N(EH143)=0,N(EH143)&gt;30)),"розетка без дифзащиты до 30 мА",""),IFERROR(IF(AND(ISNUMBER(CD143),CD143&gt;CE143),"потери "&amp;FIXED(CD143,1)&amp;" % &gt; "&amp;CE143&amp;" %",""),""),IFERROR(IF(LEFT(FJ143,4)="мало","Iкз мало — отключение &gt; 0,4 с",""),""),IF(AND(D143&lt;&gt;"",BD143=""),"не на схеме","")))</f>
        <v/>
      </c>
      <c r="FL143" t="str">
        <f>IF(AD143="","",_xlfn.LET(_xlpm.t,IFERROR(_xlfn.XLOOKUP(EP143,Каталог!$U$4:$U$500,Каталог!$G$4:$G$500),""),_xlpm.k,SEARCH("кА",_xlpm.t),IFERROR(--TRIM(RIGHT(SUBSTITUTE(MID(_xlpm.t,MAX(1,_xlpm.k-4),_xlpm.k-MAX(1,_xlpm.k-4))," ",REPT(" ",9)),5)),"")))</f>
        <v/>
      </c>
      <c r="FM143" t="str">
        <f>IF(OR(FL143="",AD143=""),"",IF(_xlfn.XLOOKUP(A143,Щиты[Щит],Щиты[Iкз max на шинах, кА],"")="","",IF(FL143&lt;_xlfn.XLOOKUP(A143,Щиты[Щит],Щиты[Iкз max на шинах, кА]),"Icu "&amp;FL143&amp;" кА &lt; Iкз max","ok")))</f>
        <v/>
      </c>
      <c r="FN143" t="str">
        <f t="shared" si="242"/>
        <v>QF13</v>
      </c>
      <c r="FO143" t="str">
        <f t="shared" si="243"/>
        <v>QF13|кабель ВВГнг(А)-LS (3х1,5) → Внутренний блок кондиционирования Технический этаж Пом. №004Т</v>
      </c>
      <c r="FP143" t="str" cm="1">
        <f t="array" ref="FP143">IF(FO143="","",_xlfn.LET(_xlpm.nd,_xlfn.TEXTSPLIT(FO143,"|"),IF(COLUMNS(_xlpm.nd)&gt;1,A143&amp;"¦"&amp;INDEX(_xlpm.nd,1)&amp;"¦"&amp;INDEX(_xlpm.nd,2),"")))</f>
        <v>ЩОВ-2¦QF13¦кабель ВВГнг(А)-LS (3х1,5) → Внутренний блок кондиционирования Технический этаж Пом. №004Т</v>
      </c>
      <c r="FQ143" t="str">
        <f t="shared" si="244"/>
        <v>K.3.004T.1¦Внутренний блок кондиционирования Технический этаж Пом. №004Т</v>
      </c>
      <c r="FR143" t="str" cm="1">
        <f t="array" ref="FR143">IF(FO143="","",_xlfn.LET(_xlpm.nd,_xlfn.TEXTSPLIT(FO143,"|"),IF(COLUMNS(_xlpm.nd)&gt;2,A143&amp;"¦"&amp;INDEX(_xlpm.nd,2)&amp;"¦"&amp;INDEX(_xlpm.nd,3),"")))</f>
        <v/>
      </c>
      <c r="FS143" t="str">
        <f t="shared" si="245"/>
        <v/>
      </c>
      <c r="FT143" t="str" cm="1">
        <f t="array" ref="FT143">IF(FO143="","",_xlfn.LET(_xlpm.nd,_xlfn.TEXTSPLIT(FO143,"|"),IF(COLUMNS(_xlpm.nd)&gt;3,A143&amp;"¦"&amp;INDEX(_xlpm.nd,3)&amp;"¦"&amp;INDEX(_xlpm.nd,4),"")))</f>
        <v/>
      </c>
      <c r="FU143" t="str">
        <f t="shared" si="246"/>
        <v/>
      </c>
      <c r="FV143" t="str" cm="1">
        <f t="array" ref="FV143">IF(FO143="","",_xlfn.LET(_xlpm.nd,_xlfn.TEXTSPLIT(FO143,"|"),IF(COLUMNS(_xlpm.nd)&gt;4,A143&amp;"¦"&amp;INDEX(_xlpm.nd,4)&amp;"¦"&amp;INDEX(_xlpm.nd,5),"")))</f>
        <v/>
      </c>
      <c r="FW143" t="str">
        <f t="shared" si="247"/>
        <v/>
      </c>
      <c r="FX143" t="str" cm="1">
        <f t="array" ref="FX143">IF(FO143="","",_xlfn.LET(_xlpm.nd,_xlfn.TEXTSPLIT(FO143,"|"),IF(COLUMNS(_xlpm.nd)&gt;5,A143&amp;"¦"&amp;INDEX(_xlpm.nd,5)&amp;"¦"&amp;INDEX(_xlpm.nd,6),"")))</f>
        <v/>
      </c>
      <c r="FY143" t="str">
        <f t="shared" si="248"/>
        <v/>
      </c>
      <c r="FZ143" t="str" cm="1">
        <f t="array" ref="FZ143">IF(FO143="","",_xlfn.LET(_xlpm.nd,_xlfn.TEXTSPLIT(FO143,"|"),IF(COLUMNS(_xlpm.nd)&gt;6,A143&amp;"¦"&amp;INDEX(_xlpm.nd,6)&amp;"¦"&amp;INDEX(_xlpm.nd,7),"")))</f>
        <v/>
      </c>
      <c r="GA143" t="str">
        <f t="shared" si="249"/>
        <v/>
      </c>
      <c r="GB143" t="str">
        <f t="shared" si="250"/>
        <v/>
      </c>
      <c r="GC143" t="str">
        <f t="shared" si="251"/>
        <v>QF13</v>
      </c>
      <c r="GD143">
        <f t="shared" si="252"/>
        <v>1</v>
      </c>
      <c r="GE143">
        <f t="shared" si="253"/>
        <v>0</v>
      </c>
      <c r="GF143">
        <f t="shared" si="254"/>
        <v>0</v>
      </c>
      <c r="GG143" t="str">
        <f t="shared" si="255"/>
        <v/>
      </c>
      <c r="GH143" t="str">
        <f t="shared" si="256"/>
        <v/>
      </c>
      <c r="GI143" t="str">
        <f t="shared" si="257"/>
        <v/>
      </c>
      <c r="GJ143" t="str">
        <f t="shared" si="258"/>
        <v/>
      </c>
      <c r="GK143">
        <f>IF(D143="","",IFERROR(VLOOKUP(D143,УГО_спр,2,FALSE),IFERROR(VLOOKUP(AT143,УГО_спр,2,FALSE),IFERROR(VLOOKUP(LEFT(AT143,2),УГО_спр,2,FALSE),""))))</f>
        <v>0</v>
      </c>
      <c r="GL143" t="str">
        <f>IF(D143="","",IF(OR(GK143="",GK143=0),"BOX",IFERROR(IF(VLOOKUP(GK143,УГО_блоки,3,FALSE)&amp;""&lt;&gt;"",VLOOKUP(GK143,УГО_блоки,3,FALSE),VLOOKUP(GK143,УГО_блоки,2,FALSE)),GK143)))</f>
        <v>BOX</v>
      </c>
      <c r="GM143">
        <f t="shared" si="259"/>
        <v>1</v>
      </c>
      <c r="GN143" t="str">
        <f>IF(EP143="","",IF(COUNTIF(EP$3:EP143,EP143)=1,MAX(GN$2:GN142)+1,""))</f>
        <v/>
      </c>
      <c r="GO143" t="str">
        <f>IF(AF143="","",IF(COUNTIF(AF$3:AF143,AF143)+COUNTIF(AG$2:AG142,AF143)+COUNTIF(AH$2:AH142,AF143)=1,MAX(GO$2:GQ142)+1,""))</f>
        <v/>
      </c>
      <c r="GP143" t="str">
        <f>IF(AG143="","",IF(COUNTIF(AF$3:AF143,AG143)+COUNTIF(AG$3:AG143,AG143)+COUNTIF(AH$2:AH142,AG143)=1,MAX(GO$2:GQ142,GO143)+1,""))</f>
        <v/>
      </c>
      <c r="GQ143" t="str">
        <f>IF(AH143="","",IF(COUNTIF(AF$3:AF143,AH143)+COUNTIF(AG$3:AG143,AH143)+COUNTIF(AH$3:AH143,AH143)=1,MAX(GO$2:GQ142,GO143,GP143)+1,""))</f>
        <v/>
      </c>
      <c r="GR143" t="str">
        <f t="shared" si="260"/>
        <v>3х1,5</v>
      </c>
      <c r="GS143" t="str">
        <f>IF(GR143="","",IF(COUNTIF(GR$3:GR143,GR143)=1,MAX(GS$2:GS142)+1,""))</f>
        <v/>
      </c>
      <c r="GT143" t="str">
        <f>IF(ES143="","",COUNTIF(ES$3:ES143,"?*"))</f>
        <v/>
      </c>
      <c r="GU143" t="str">
        <f>IF(OR(ES143="",EU143=""),"",IF(COUNTIFS(ES$3:ES143,"?*",EU$3:EU143,EU143)=1,MAX(GU$2:GU142)+1,""))</f>
        <v/>
      </c>
      <c r="GV143">
        <f t="shared" si="261"/>
        <v>0</v>
      </c>
      <c r="GW143">
        <f>IF(D143="","",COUNTIF(D$3:D143,"?*"))</f>
        <v>141</v>
      </c>
      <c r="GX143">
        <f>IF(EX143&lt;&gt;1,0,_xlfn.LET(_xlpm.k,MAX(IFERROR(--VLOOKUP(D143,УГО_спр,5,FALSE),0),IFERROR(--VLOOKUP(AT143,УГО_спр,5,FALSE),0),IFERROR(--VLOOKUP(LEFT(AT143,2),УГО_спр,5,FALSE),0)),IF(_xlpm.k&gt;0,_xlpm.k,IF(IFERROR(--LEFT(SUBSTITUTE(GR143,"x","х"),FIND("х",SUBSTITUTE(GR143,"x","х"))-1),3)&gt;3,Каталог!$S$9,1))))</f>
        <v>1</v>
      </c>
      <c r="GY143">
        <f t="shared" si="262"/>
        <v>0</v>
      </c>
    </row>
    <row r="144" spans="1:207" x14ac:dyDescent="0.3">
      <c r="A144" t="s">
        <v>756</v>
      </c>
      <c r="B144">
        <v>28</v>
      </c>
      <c r="C144" t="str">
        <f>IF(BD144="","",IF(BE144="вводной узел","узел ","")&amp;"л."&amp;(INT((BD144-1)/Столбцов_на_лист)+1)&amp;" / "&amp;(MOD(BD144-1,Столбцов_на_лист)+1))</f>
        <v>л.2 / 11</v>
      </c>
      <c r="D144" t="s">
        <v>1446</v>
      </c>
      <c r="E144" s="133" t="s">
        <v>1445</v>
      </c>
      <c r="G144">
        <v>0.04</v>
      </c>
      <c r="H144">
        <v>1</v>
      </c>
      <c r="I144">
        <v>1</v>
      </c>
      <c r="J144">
        <v>230</v>
      </c>
      <c r="K144" t="s">
        <v>602</v>
      </c>
      <c r="L144">
        <v>0.5</v>
      </c>
      <c r="O144">
        <v>1</v>
      </c>
      <c r="P144">
        <v>27</v>
      </c>
      <c r="Q144">
        <v>4</v>
      </c>
      <c r="R144">
        <v>25</v>
      </c>
      <c r="T144">
        <v>1</v>
      </c>
      <c r="U144" t="s">
        <v>11</v>
      </c>
      <c r="V144">
        <v>3</v>
      </c>
      <c r="W144">
        <v>1.5</v>
      </c>
      <c r="Z144" t="s">
        <v>580</v>
      </c>
      <c r="AA144" t="s">
        <v>818</v>
      </c>
      <c r="AD144" t="s">
        <v>517</v>
      </c>
      <c r="AK144" t="s">
        <v>488</v>
      </c>
      <c r="AR144" t="str">
        <f t="shared" si="176"/>
        <v/>
      </c>
      <c r="AS144" cm="1">
        <f t="array" ref="AS144">ROW()-ROW(Линии[#Headers])</f>
        <v>142</v>
      </c>
      <c r="AT144" t="str">
        <f t="shared" si="177"/>
        <v>K</v>
      </c>
      <c r="AU144" t="str">
        <f t="shared" si="178"/>
        <v>3.004T.2</v>
      </c>
      <c r="AV144" t="str">
        <f t="shared" si="179"/>
        <v>3</v>
      </c>
      <c r="AW144" t="str">
        <f t="shared" si="180"/>
        <v>004T.2</v>
      </c>
      <c r="AX144" t="str">
        <f t="shared" si="181"/>
        <v>004T</v>
      </c>
      <c r="AY144" t="str">
        <f>IF(D144="","",IF(ISERROR(SEARCH(".",D144)),IFERROR(VLOOKUP(D144,Потребители_обозначение,2,FALSE)&amp;"",""),IFERROR(IF(VLOOKUP(AT144,Потребители_обозначение,4,FALSE)=1,VLOOKUP(AT144,Потребители_обозначение,2,FALSE)&amp;" "&amp;VLOOKUP(AV144,Этаж_обозначение,2,FALSE)&amp;" Пом. №"&amp;AX144,VLOOKUP(AT144,Потребители_обозначение,2,FALSE)&amp;" Шлейф №"&amp;AV144),IFERROR(VLOOKUP(D144,Потребители_обозначение,2,FALSE),""))))</f>
        <v>Внутренний блок кондиционирования Третий этаж Пом. №004T</v>
      </c>
      <c r="AZ144" t="str">
        <f t="shared" si="182"/>
        <v>Внутренний блок кондиционирования Технический этаж Пом. №004Т</v>
      </c>
      <c r="BA144" t="str">
        <f>IF(F144&lt;&gt;"",F144,IF(AND(D144&lt;&gt;"",D144&lt;&gt;A144,ISNUMBER(_xlfn.XMATCH(D144,Щиты[Щит]))),D144,""))</f>
        <v/>
      </c>
      <c r="BB144">
        <f>IFERROR(_xlfn.XMATCH(A144,Щиты[Щит]),0)</f>
        <v>7</v>
      </c>
      <c r="BC144">
        <f>IFERROR(N(_xlfn.XLOOKUP(A144,Щиты[Щит],Щиты[Мест под вводной узел])),15)</f>
        <v>12</v>
      </c>
      <c r="BD144">
        <f t="shared" si="183"/>
        <v>28</v>
      </c>
      <c r="BE144" t="str">
        <f t="shared" si="184"/>
        <v>линии</v>
      </c>
      <c r="BF144">
        <f>IF(D144="","",IF(BA144&lt;&gt;"",IFERROR(_xlfn.XLOOKUP(BA144,Щиты[Щит],Щиты[Руст, кВт]),0),N(G144)))</f>
        <v>0.04</v>
      </c>
      <c r="BG144">
        <f>IF(J144&lt;&gt;"",J144,IF(D144="","",IFERROR(IF(VLOOKUP(AT144,Потребители_обозначение,8,FALSE)=0,"",VLOOKUP(AT144,Потребители_обозначение,8,FALSE)),"")))</f>
        <v>230</v>
      </c>
      <c r="BH144">
        <f>IF(I144&lt;&gt;"",I144,IF(D144="","",IFERROR(IF(VLOOKUP(AT144,Потребители_обозначение,9,FALSE)=0,"",VLOOKUP(AT144,Потребители_обозначение,9,FALSE)),"")))</f>
        <v>1</v>
      </c>
      <c r="BI144" t="str">
        <f>IF(U144&lt;&gt;"",U144,IF(D144="","",IFERROR(IF(VLOOKUP(AT144,Потребители_обозначение,6,FALSE)=0,"",VLOOKUP(AT144,Потребители_обозначение,6,FALSE)),"")))</f>
        <v>мс</v>
      </c>
      <c r="BJ144">
        <f>IF(V144&lt;&gt;"",V144,IF(D144="","",IFERROR(IF(VLOOKUP(AT144,Потребители_обозначение,7,FALSE)=0,"",VLOOKUP(AT144,Потребители_обозначение,7,FALSE)),"")))</f>
        <v>3</v>
      </c>
      <c r="BK144">
        <f>IF(W144&lt;&gt;"",W144,IF(D144="","",IFERROR(IF(VLOOKUP(AT144,Потребители_обозначение,10,FALSE)=0,"",VLOOKUP(AT144,Потребители_обозначение,10,FALSE)),"")))</f>
        <v>1.5</v>
      </c>
      <c r="BL144">
        <f>IFERROR(VLOOKUP(AT144,Потребители_обозначение,5,FALSE),0)</f>
        <v>1</v>
      </c>
      <c r="BM144" cm="1">
        <f t="array" ref="BM144">IF(D144="","",IF(BA144&lt;&gt;"",IFERROR(_xlfn.XLOOKUP(BA144,Щиты[Щит],Щиты[cos φ]),0.95),IF(ISNUMBER(M144),M144,IFERROR(IF(BL144=2,_xlfn.IFS(BH144=3,VLOOKUP(BF144,Справочная_двигатели,8,FALSE),BH144=1,VLOOKUP(BF144,Справочная_двигатели,10,TRUE)),IF(AND(Методика="нормы 2026",CN144="Сил"),0.8,0.95)),0.95))))</f>
        <v>0.95</v>
      </c>
      <c r="BN144" cm="1">
        <f t="array" ref="BN144">IF(D144="","",IF(BA144&lt;&gt;"",IFERROR(_xlfn.XLOOKUP(BA144,Щиты[Щит],Щиты[Iр, А]),""),IFERROR(_xlfn.IFS(BH144=1,BF144/((Uн_лин/SQRT(3))*BM144),BH144=3,BF144/(SQRT(3)*Uн_лин*BM144)),"")))</f>
        <v>0.18232113763882918</v>
      </c>
      <c r="BO144">
        <f>IF(D144="","",IF(N(X144)=0,IFERROR(VLOOKUP(BN144,Автомат_номиналы,2,TRUE),""),X144))</f>
        <v>6</v>
      </c>
      <c r="BP144">
        <f t="shared" si="185"/>
        <v>1</v>
      </c>
      <c r="BQ144">
        <f>IF(ISNUMBER(Y144),Y144,К_прокл)</f>
        <v>1</v>
      </c>
      <c r="BR144">
        <f t="shared" si="186"/>
        <v>2</v>
      </c>
      <c r="BS144" cm="1">
        <f t="array" ref="BS144">IF(D144="","",IF(N(BK144)&lt;&gt;0,BK144,IFERROR(_xlfn.LET(_xlpm.need,BO144/(BP144*BQ144),_xlpm.t,CHOOSE(BR144,Iдоп_1ж,Iдоп_2ж,Iдоп_3ж),_xlpm.k,_xlfn.XMATCH(_xlpm.need,_xlpm.t,1),IF(ISNA(_xlpm.k),"Не исп",INDEX(Iдоп_S,_xlpm.k))),"Не исп")))</f>
        <v>1.5</v>
      </c>
      <c r="BT144">
        <f>IFERROR(VLOOKUP(BS144,Кабель_сопротивление,3,FALSE),"")</f>
        <v>2.2499999999999999E-2</v>
      </c>
      <c r="BU144">
        <f>IFERROR(VLOOKUP(BS144,Кабель_сопротивление,2,FALSE),"")</f>
        <v>0.11</v>
      </c>
      <c r="BV144">
        <f t="shared" si="187"/>
        <v>27</v>
      </c>
      <c r="BW144">
        <f>IF(D144="","",IFERROR(IF(VLOOKUP(AT144,Потребители_обозначение,4,FALSE)=1,VLOOKUP(AT144,Потребители_обозначение,3,FALSE)*(H144*2-1)+BV144+VLOOKUP(AV144,Этаж_обозначение,3,FALSE)+VLOOKUP(AV144,Этаж_обозначение,4,FALSE),VLOOKUP(AT144,Потребители_обозначение,3,FALSE)*(H144*2-1)+BV144),BV144))</f>
        <v>29</v>
      </c>
      <c r="BX144">
        <f t="shared" si="188"/>
        <v>25</v>
      </c>
      <c r="BY144">
        <f t="shared" si="189"/>
        <v>0</v>
      </c>
      <c r="BZ144">
        <f t="shared" si="190"/>
        <v>2</v>
      </c>
      <c r="CA144">
        <f t="shared" si="191"/>
        <v>0.31</v>
      </c>
      <c r="CB144">
        <f t="shared" si="192"/>
        <v>0.1510490150045144</v>
      </c>
      <c r="CC144">
        <f>IFERROR(ROUNDUP(CB144/((Uн_лин/SQRT(3))*1000)*100,2),"")</f>
        <v>6.9999999999999993E-2</v>
      </c>
      <c r="CD144">
        <f>IF(ISNUMBER(CC144),CC144+IFERROR(_xlfn.XLOOKUP(A144,Щиты[Щит],Щиты[ΔU до шин, %]),0),"")</f>
        <v>1.0900000000000001</v>
      </c>
      <c r="CE144">
        <f>IF(D144="","",IF(IFERROR(VLOOKUP(AT144,УГО_спр,2,FALSE),"")="Светильник",3,4)+IF(Методика="нормы 2026",MIN(0.5,MAX(0,N(BW144)-100)*0.005),0))</f>
        <v>4</v>
      </c>
      <c r="CF144" t="str">
        <f>IFERROR(VLOOKUP(BI144,Кабель_обозначение,2,FALSE),"")</f>
        <v>ВВГнг(А)-LS</v>
      </c>
      <c r="CG144" t="str">
        <f>IFERROR(IF(VLOOKUP(BI144,Кабель_обозначение,3,FALSE)=1,CF144&amp;" ("&amp;BJ144&amp;"х"&amp;BS144&amp;")",CF144),"")</f>
        <v>ВВГнг(А)-LS (3х1,5)</v>
      </c>
      <c r="CH144" t="str">
        <f t="shared" si="193"/>
        <v>ВВГнг(А)-LS (3х1,5)
L=29-0,07%</v>
      </c>
      <c r="CI144">
        <f>IFERROR(2*ρкз_Cu*BW144/BS144,"")</f>
        <v>1.0169333333333335</v>
      </c>
      <c r="CJ144">
        <f t="shared" si="194"/>
        <v>0.33833333333333337</v>
      </c>
      <c r="CK144" t="str">
        <f>IFERROR(IF(OR(D144="",NOT(ISNUMBER(BS144)),N(BW144)=0),"",_xlfn.XLOOKUP(A144,Щиты[Щит],Щиты[Zпетли на шинах, Ом])+CI144),"")</f>
        <v/>
      </c>
      <c r="CL144" t="str">
        <f>IF(ISNUMBER(CK144),c_min*(Uн_лин*1000/SQRT(3))/CK144,"")</f>
        <v/>
      </c>
      <c r="CM144" t="str">
        <f>IFERROR(IF(OR(D144="",NOT(ISNUMBER(BS144))),"",1.05*(Uн_лин*1000/SQRT(3))/(_xlfn.XLOOKUP(A144,Щиты[Щит],Щиты[Zmax на шинах, Ом])+CJ144)/1000),"")</f>
        <v/>
      </c>
      <c r="CN144" t="str">
        <f>IF(D144="","",IF(BA144&lt;&gt;"","Щит",IF(K144&lt;&gt;"",K144,IF(ISNUMBER(L144),"Сил",IF(IFERROR(_xlfn.XLOOKUP(AT144,Коды_код,Коды_группа)&amp;"","")="","Быт",_xlfn.XLOOKUP(AT144,Коды_код,Коды_группа)&amp;"")))))</f>
        <v>Сил</v>
      </c>
      <c r="CO144">
        <f>IF(CN144="Щит","щит",IF(CN144="","",IF(CN144="Быт",IFERROR(_xlfn.XLOOKUP(A144,Щиты[Щит],Щиты[Кс быт]),1),IF(CN144="Сил",IF(ISNUMBER(L144),L144,IF(Методика="нормы 2026",IFERROR(_xlfn.XLOOKUP(A144,Щиты[Щит],Щиты[Кс силовых (табл. 7.5)]),1),1)),IF(OR(CN144="Пост",CN144="Отоп"),1,IF(CN144="ВНГ",0.7,0))))))</f>
        <v>0.5</v>
      </c>
      <c r="CP144">
        <f t="shared" si="195"/>
        <v>1</v>
      </c>
      <c r="CQ144">
        <f t="shared" si="196"/>
        <v>0.04</v>
      </c>
      <c r="CR144">
        <f t="shared" si="197"/>
        <v>0</v>
      </c>
      <c r="CS144">
        <f t="shared" si="198"/>
        <v>0.02</v>
      </c>
      <c r="CT144">
        <f t="shared" si="199"/>
        <v>0</v>
      </c>
      <c r="CU144">
        <f t="shared" si="200"/>
        <v>0</v>
      </c>
      <c r="CV144">
        <f t="shared" si="201"/>
        <v>0</v>
      </c>
      <c r="CW144">
        <f t="shared" si="202"/>
        <v>0.04</v>
      </c>
      <c r="CX144">
        <f t="shared" si="203"/>
        <v>3.7999999999999999E-2</v>
      </c>
      <c r="CY144">
        <f t="shared" si="204"/>
        <v>2</v>
      </c>
      <c r="CZ144" t="str">
        <f t="shared" si="205"/>
        <v>L2</v>
      </c>
      <c r="DA144" cm="1">
        <f t="array" ref="DA144">IFERROR(IF(BL144=2,_xlfn.IFS(BH144=3,VLOOKUP(BF144,Справочная_двигатели,3,FALSE),BH144=1,VLOOKUP(BF144,Справочная_двигатели,5,TRUE)),0),0)</f>
        <v>0</v>
      </c>
      <c r="DB144">
        <f>IFERROR(IF(BL144=3,VLOOKUP(BF144,Справочная_ЛЭД,2,TRUE),0),0)</f>
        <v>0</v>
      </c>
      <c r="DC144">
        <f t="shared" si="206"/>
        <v>0</v>
      </c>
      <c r="DD144" t="str">
        <f t="shared" si="207"/>
        <v>L1</v>
      </c>
      <c r="DE144" t="str" cm="1">
        <f t="array" ref="DE144">IF(D144="","",IFERROR(INDEX({"I особая","I","II","III"},MATCH(TRIM(AA144&amp;""),{"I особая","I","II","III"},0)),"III"))</f>
        <v>II</v>
      </c>
      <c r="DF144" t="str">
        <f>IF(D144="","",IF(TRIM(AB144&amp;"")&lt;&gt;"",IF(LOWER(TRIM(AB144&amp;""))="да","да","нет"),IF(IFERROR(_xlfn.XLOOKUP(AT144,Коды_код,Коды_пожарная),"")="да","да","нет")))</f>
        <v>нет</v>
      </c>
      <c r="DG144" t="str">
        <f t="shared" si="208"/>
        <v/>
      </c>
      <c r="DH144" t="str">
        <f t="shared" si="209"/>
        <v>основная</v>
      </c>
      <c r="DI144">
        <f t="shared" si="210"/>
        <v>1</v>
      </c>
      <c r="DJ144" t="str" cm="1">
        <f t="array" ref="DJ144">IF(D144="","",_xlfn.LET(_xlpm.t,IFERROR(_xlfn.XLOOKUP(1,(Шины[Шина]=DH144)*(((Шины[Щит]=A144)+(Шины[Щит]=""))&gt;0),Шины[Тип]),"")&amp;"",IF(_xlpm.t&lt;&gt;"",_xlpm.t,IF(ISNUMBER(SEARCH("ИБП",DH144)),"ИБП",IF(ISNUMBER(SEARCH("ДГУ",DH144)),"ДГУ","Ввод "&amp;DI144)))))</f>
        <v>Ввод 1</v>
      </c>
      <c r="DK144" t="str">
        <f t="shared" si="211"/>
        <v>Ввод 1</v>
      </c>
      <c r="DL144" t="str">
        <f>IF(D144="","",IF(OR(DJ144="ИБП",DJ144="ДГУ"),"I особая",IF(DJ144="Одиночная","III",_xlfn.XLOOKUP(A144,Щиты[Щит],Щиты[Категория шины «Ввод»],"III"))))</f>
        <v>II</v>
      </c>
      <c r="DM144">
        <f>IF(D144="",0,IFERROR(MATCH(DE144,{"III","II","I","I особая"},0),1))</f>
        <v>2</v>
      </c>
      <c r="DN144">
        <f t="shared" si="212"/>
        <v>2</v>
      </c>
      <c r="DO144" t="str">
        <f>IF(D144="","",IF(DM144&gt;IFERROR(MATCH(DL144,{"III","II","I","I особая"},0),1),"НЕ ОБЕСПЕЧЕНА","ОК"))</f>
        <v>ОК</v>
      </c>
      <c r="DP144" t="str">
        <f>IF(A144="","",_xlfn.XLOOKUP(A144,Щиты[Щит],Щиты[Путь],""))</f>
        <v>|ГРЩ-ЖД|ЩОВ-2|</v>
      </c>
      <c r="DQ144" t="str">
        <f>IF(D144="","",IF(Z144&lt;&gt;"",Z144,IF(IFERROR(_xlfn.XLOOKUP(AT144,Коды_код,Коды_вид)&amp;"","")="","Прочее",_xlfn.XLOOKUP(AT144,Коды_код,Коды_вид)&amp;"")))</f>
        <v>Кондиционирование и увлажнение</v>
      </c>
      <c r="DR144">
        <f>IF(BD144="","",INT((BD144-1)/Столбцов_на_лист)+1)</f>
        <v>2</v>
      </c>
      <c r="DS144" t="str">
        <f t="shared" si="213"/>
        <v>ВВГнг(А)-LS (3х1,5) L=29-0,07%</v>
      </c>
      <c r="DT144">
        <f t="shared" si="214"/>
        <v>0.04</v>
      </c>
      <c r="DU144">
        <f t="shared" si="215"/>
        <v>0.19</v>
      </c>
      <c r="DV144">
        <f t="shared" si="216"/>
        <v>1</v>
      </c>
      <c r="DW144">
        <f>IF(AT144="",0,_xlfn.LET(_xlpm.v,IFERROR(VLOOKUP(D144,УГО_спр,3,FALSE),IFERROR(VLOOKUP(AT144,УГО_спр,3,FALSE),IFERROR(VLOOKUP(LEFT(AT144,2),УГО_спр,3,FALSE),""))),IF(_xlpm.v="да",30,IF(ISNUMBER(_xlpm.v),_xlpm.v,0))))</f>
        <v>0</v>
      </c>
      <c r="DX144">
        <f t="shared" si="217"/>
        <v>0</v>
      </c>
      <c r="DY144">
        <f>IF(BD144="","",IF(AD144&lt;&gt;"",COUNTIFS(A$3:A144,A144,AD$3:AD144,"?*"),IF(OR(OR(AS144=1,A144&lt;&gt;A143),AL144="вручную"),"",IF(AS144=1,"",DZ143))))</f>
        <v>14</v>
      </c>
      <c r="DZ144">
        <f t="shared" si="218"/>
        <v>14</v>
      </c>
      <c r="EA144">
        <f>IF(D144="",0,MAX(IFERROR(--X144,0),IFERROR(--VLOOKUP(D144,УГО_спр,4,FALSE),IFERROR(--VLOOKUP(AT144,УГО_спр,4,FALSE),IFERROR(--VLOOKUP(LEFT(AT144,2),УГО_спр,4,FALSE),0)))))</f>
        <v>0</v>
      </c>
      <c r="EB144">
        <f>IF(D144="","",IFERROR(LOOKUP(INDEX(CHOOSE(BR144,Iдоп_1ж,Iдоп_2ж,Iдоп_3ж),MATCH(BS144,Iдоп_S,0))*BP144*BQ144,{6,10,16,20,25,32,40,50,63,80,100,125,160,200,250,315,400,500,630}),""))</f>
        <v>16</v>
      </c>
      <c r="EC144">
        <f>IF(AD144="","",SUMIFS(Линии[_Ток схемы],Линии[_гр.],DY144,Линии[Щит],A144,Линии[_в кабель выше],0))</f>
        <v>0.19</v>
      </c>
      <c r="ED144">
        <f>IF(AD144="","",IFERROR(VLOOKUP(EC144,Автомат_номиналы,2,TRUE),""))</f>
        <v>6</v>
      </c>
      <c r="EE144">
        <f>IF(AD144="","",MAX(N(ED144),_xlfn.MAXIFS(Линии[_мин. по типу],Линии[_гр.],DY144,Линии[Щит],A144)))</f>
        <v>6</v>
      </c>
      <c r="EF144">
        <f>IF(AD144="","",_xlfn.MINIFS(Линии[_макс. автомат по кабелю],Линии[_гр.],DY144,Линии[Щит],A144))</f>
        <v>16</v>
      </c>
      <c r="EG144">
        <f>IF(AD144="","",MAX(1,_xlfn.MAXIFS(Линии[_фаз],Линии[_гр.],DY144,Линии[Щит],A144)))</f>
        <v>1</v>
      </c>
      <c r="EH144">
        <f>IF(AD144="","",IF(AND(AD144&lt;&gt;"авто",AD144&lt;&gt;"+"),IF(ISNUMBER(SEARCH("мА",AD144)),IFERROR(--TRIM(RIGHT(SUBSTITUTE(LEFT(AD144,SEARCH("мА",AD144)-1)," ",REPT(" ",9)),6)),30),0),IF(AE144="нет",0,IF(ISNUMBER(AE144),AE144,IF(AE144="да",30,_xlfn.MINIFS(Линии[_дифзащита по коду, мА],Линии[_гр.],DY144,Линии[Щит],A144,Линии[_дифзащита по коду, мА],"&gt;0"))))))</f>
        <v>0</v>
      </c>
      <c r="EI144">
        <f t="shared" si="219"/>
        <v>0</v>
      </c>
      <c r="EJ144" t="str">
        <f t="shared" si="220"/>
        <v>QF14</v>
      </c>
      <c r="EK144" t="str">
        <f t="shared" si="221"/>
        <v>QF14</v>
      </c>
      <c r="EL144" t="str">
        <f t="shared" si="222"/>
        <v/>
      </c>
      <c r="EM144">
        <f t="shared" si="223"/>
        <v>0</v>
      </c>
      <c r="EN144">
        <f>IF(AD144="","",IF(EM144=1,MAX(EE144,Мин_автомат_БП),EE144))</f>
        <v>6</v>
      </c>
      <c r="EO144" t="str">
        <f t="shared" si="224"/>
        <v>1P</v>
      </c>
      <c r="EP144" t="str">
        <f t="shared" si="225"/>
        <v>1P С6А</v>
      </c>
      <c r="EQ144">
        <f t="shared" si="226"/>
        <v>6</v>
      </c>
      <c r="ER144" t="str">
        <f>IF(OR(AI144="",AI144="-"),"",IFERROR(VLOOKUP(AI144,Модули_спр,2,FALSE),"R"))</f>
        <v/>
      </c>
      <c r="ES144" t="str">
        <f>IF(ER144="","",ER144&amp;"."&amp;COUNTIFS(A$3:A144,A144,ER$3:ER144,ER144))</f>
        <v/>
      </c>
      <c r="ET144" t="str">
        <f t="shared" si="227"/>
        <v/>
      </c>
      <c r="EU144" t="str">
        <f t="shared" si="228"/>
        <v/>
      </c>
      <c r="EV144" t="str">
        <f t="shared" si="229"/>
        <v/>
      </c>
      <c r="EW144" t="str">
        <f t="shared" si="230"/>
        <v/>
      </c>
      <c r="EX144">
        <f t="shared" si="231"/>
        <v>1</v>
      </c>
      <c r="EY144" t="str">
        <f>IF(AK144="нет","",IF(AK144&lt;&gt;"",AK144,IF(EX144=1,"XT"&amp;COUNTIFS(A$3:A144,A144,EX$3:EX144,1),"")))</f>
        <v/>
      </c>
      <c r="EZ144" t="str">
        <f t="shared" si="232"/>
        <v>QF14</v>
      </c>
      <c r="FA144" t="str">
        <f t="shared" si="233"/>
        <v/>
      </c>
      <c r="FB144" t="str">
        <f t="shared" si="234"/>
        <v>ok</v>
      </c>
      <c r="FC144" t="str">
        <f>IF(OR(EV144="",ET144=""),"",IF(EV144&gt;IFERROR(VLOOKUP(EU144,Модули_спр,3,FALSE),99),"ЛИШНИЙ КАНАЛ",IF(AND(AJ144&lt;&gt;"=",COUNTIFS(Линии[_модуль гр.],ET144,Линии[Канал (итог)],EV144,Линии[Канал],"&lt;&gt;=",Линии[Щит],A144)&gt;1),"ДУБЛЬ КАНАЛА","")))</f>
        <v/>
      </c>
      <c r="FD144">
        <f t="shared" si="235"/>
        <v>6</v>
      </c>
      <c r="FE144" t="str">
        <f t="shared" si="236"/>
        <v>1P С6А</v>
      </c>
      <c r="FF144">
        <f t="shared" si="237"/>
        <v>0</v>
      </c>
      <c r="FG144">
        <f t="shared" si="238"/>
        <v>0</v>
      </c>
      <c r="FH144" t="str">
        <f t="shared" si="239"/>
        <v/>
      </c>
      <c r="FI144">
        <f t="shared" si="240"/>
        <v>10</v>
      </c>
      <c r="FJ144" t="str">
        <f t="shared" si="241"/>
        <v/>
      </c>
      <c r="FK144" t="str">
        <f>IF(AND(D144="",EZ144=""),"",_xlfn.TEXTJOIN("; ",TRUE,IF(AND(D144&lt;&gt;"",DD144=""),"нет фазы",""),IF(AND(D144&lt;&gt;"",N(DT144)=0,CN144&lt;&gt;"Нет"),"нет мощности",""),IF(AND(EY144&lt;&gt;"",COUNTIFS(Линии[Щит],A144,Линии[Клемма (итог)],EY144)&gt;1),"дубль клеммы "&amp;EY144,""),IF(AND(FB144&lt;&gt;"",FB144&lt;&gt;"ok"),FB144,""),IF(FC144&lt;&gt;"",FC144,""),IF(AND(ISNUMBER(SEARCH("(5х",DS144)),N(DV144)=1),"5 жил на 1 фазе",""),IF(AND(AT144="R",AD144&lt;&gt;"",OR(N(EH144)=0,N(EH144)&gt;30)),"розетка без дифзащиты до 30 мА",""),IFERROR(IF(AND(ISNUMBER(CD144),CD144&gt;CE144),"потери "&amp;FIXED(CD144,1)&amp;" % &gt; "&amp;CE144&amp;" %",""),""),IFERROR(IF(LEFT(FJ144,4)="мало","Iкз мало — отключение &gt; 0,4 с",""),""),IF(AND(D144&lt;&gt;"",BD144=""),"не на схеме","")))</f>
        <v/>
      </c>
      <c r="FL144" t="str">
        <f>IF(AD144="","",_xlfn.LET(_xlpm.t,IFERROR(_xlfn.XLOOKUP(EP144,Каталог!$U$4:$U$500,Каталог!$G$4:$G$500),""),_xlpm.k,SEARCH("кА",_xlpm.t),IFERROR(--TRIM(RIGHT(SUBSTITUTE(MID(_xlpm.t,MAX(1,_xlpm.k-4),_xlpm.k-MAX(1,_xlpm.k-4))," ",REPT(" ",9)),5)),"")))</f>
        <v/>
      </c>
      <c r="FM144" t="str">
        <f>IF(OR(FL144="",AD144=""),"",IF(_xlfn.XLOOKUP(A144,Щиты[Щит],Щиты[Iкз max на шинах, кА],"")="","",IF(FL144&lt;_xlfn.XLOOKUP(A144,Щиты[Щит],Щиты[Iкз max на шинах, кА]),"Icu "&amp;FL144&amp;" кА &lt; Iкз max","ok")))</f>
        <v/>
      </c>
      <c r="FN144" t="str">
        <f t="shared" si="242"/>
        <v>QF14</v>
      </c>
      <c r="FO144" t="str">
        <f t="shared" si="243"/>
        <v>QF14|кабель ВВГнг(А)-LS (3х1,5) → Внутренний блок кондиционирования Технический этаж Пом. №004Т</v>
      </c>
      <c r="FP144" t="str" cm="1">
        <f t="array" ref="FP144">IF(FO144="","",_xlfn.LET(_xlpm.nd,_xlfn.TEXTSPLIT(FO144,"|"),IF(COLUMNS(_xlpm.nd)&gt;1,A144&amp;"¦"&amp;INDEX(_xlpm.nd,1)&amp;"¦"&amp;INDEX(_xlpm.nd,2),"")))</f>
        <v>ЩОВ-2¦QF14¦кабель ВВГнг(А)-LS (3х1,5) → Внутренний блок кондиционирования Технический этаж Пом. №004Т</v>
      </c>
      <c r="FQ144" t="str">
        <f t="shared" si="244"/>
        <v>K.3.004T.2¦Внутренний блок кондиционирования Технический этаж Пом. №004Т</v>
      </c>
      <c r="FR144" t="str" cm="1">
        <f t="array" ref="FR144">IF(FO144="","",_xlfn.LET(_xlpm.nd,_xlfn.TEXTSPLIT(FO144,"|"),IF(COLUMNS(_xlpm.nd)&gt;2,A144&amp;"¦"&amp;INDEX(_xlpm.nd,2)&amp;"¦"&amp;INDEX(_xlpm.nd,3),"")))</f>
        <v/>
      </c>
      <c r="FS144" t="str">
        <f t="shared" si="245"/>
        <v/>
      </c>
      <c r="FT144" t="str" cm="1">
        <f t="array" ref="FT144">IF(FO144="","",_xlfn.LET(_xlpm.nd,_xlfn.TEXTSPLIT(FO144,"|"),IF(COLUMNS(_xlpm.nd)&gt;3,A144&amp;"¦"&amp;INDEX(_xlpm.nd,3)&amp;"¦"&amp;INDEX(_xlpm.nd,4),"")))</f>
        <v/>
      </c>
      <c r="FU144" t="str">
        <f t="shared" si="246"/>
        <v/>
      </c>
      <c r="FV144" t="str" cm="1">
        <f t="array" ref="FV144">IF(FO144="","",_xlfn.LET(_xlpm.nd,_xlfn.TEXTSPLIT(FO144,"|"),IF(COLUMNS(_xlpm.nd)&gt;4,A144&amp;"¦"&amp;INDEX(_xlpm.nd,4)&amp;"¦"&amp;INDEX(_xlpm.nd,5),"")))</f>
        <v/>
      </c>
      <c r="FW144" t="str">
        <f t="shared" si="247"/>
        <v/>
      </c>
      <c r="FX144" t="str" cm="1">
        <f t="array" ref="FX144">IF(FO144="","",_xlfn.LET(_xlpm.nd,_xlfn.TEXTSPLIT(FO144,"|"),IF(COLUMNS(_xlpm.nd)&gt;5,A144&amp;"¦"&amp;INDEX(_xlpm.nd,5)&amp;"¦"&amp;INDEX(_xlpm.nd,6),"")))</f>
        <v/>
      </c>
      <c r="FY144" t="str">
        <f t="shared" si="248"/>
        <v/>
      </c>
      <c r="FZ144" t="str" cm="1">
        <f t="array" ref="FZ144">IF(FO144="","",_xlfn.LET(_xlpm.nd,_xlfn.TEXTSPLIT(FO144,"|"),IF(COLUMNS(_xlpm.nd)&gt;6,A144&amp;"¦"&amp;INDEX(_xlpm.nd,6)&amp;"¦"&amp;INDEX(_xlpm.nd,7),"")))</f>
        <v/>
      </c>
      <c r="GA144" t="str">
        <f t="shared" si="249"/>
        <v/>
      </c>
      <c r="GB144" t="str">
        <f t="shared" si="250"/>
        <v/>
      </c>
      <c r="GC144" t="str">
        <f t="shared" si="251"/>
        <v>QF14</v>
      </c>
      <c r="GD144">
        <f t="shared" si="252"/>
        <v>1</v>
      </c>
      <c r="GE144">
        <f t="shared" si="253"/>
        <v>0</v>
      </c>
      <c r="GF144">
        <f t="shared" si="254"/>
        <v>0</v>
      </c>
      <c r="GG144" t="str">
        <f t="shared" si="255"/>
        <v/>
      </c>
      <c r="GH144" t="str">
        <f t="shared" si="256"/>
        <v/>
      </c>
      <c r="GI144" t="str">
        <f t="shared" si="257"/>
        <v/>
      </c>
      <c r="GJ144" t="str">
        <f t="shared" si="258"/>
        <v/>
      </c>
      <c r="GK144">
        <f>IF(D144="","",IFERROR(VLOOKUP(D144,УГО_спр,2,FALSE),IFERROR(VLOOKUP(AT144,УГО_спр,2,FALSE),IFERROR(VLOOKUP(LEFT(AT144,2),УГО_спр,2,FALSE),""))))</f>
        <v>0</v>
      </c>
      <c r="GL144" t="str">
        <f>IF(D144="","",IF(OR(GK144="",GK144=0),"BOX",IFERROR(IF(VLOOKUP(GK144,УГО_блоки,3,FALSE)&amp;""&lt;&gt;"",VLOOKUP(GK144,УГО_блоки,3,FALSE),VLOOKUP(GK144,УГО_блоки,2,FALSE)),GK144)))</f>
        <v>BOX</v>
      </c>
      <c r="GM144">
        <f t="shared" si="259"/>
        <v>1</v>
      </c>
      <c r="GN144" t="str">
        <f>IF(EP144="","",IF(COUNTIF(EP$3:EP144,EP144)=1,MAX(GN$2:GN143)+1,""))</f>
        <v/>
      </c>
      <c r="GO144" t="str">
        <f>IF(AF144="","",IF(COUNTIF(AF$3:AF144,AF144)+COUNTIF(AG$2:AG143,AF144)+COUNTIF(AH$2:AH143,AF144)=1,MAX(GO$2:GQ143)+1,""))</f>
        <v/>
      </c>
      <c r="GP144" t="str">
        <f>IF(AG144="","",IF(COUNTIF(AF$3:AF144,AG144)+COUNTIF(AG$3:AG144,AG144)+COUNTIF(AH$2:AH143,AG144)=1,MAX(GO$2:GQ143,GO144)+1,""))</f>
        <v/>
      </c>
      <c r="GQ144" t="str">
        <f>IF(AH144="","",IF(COUNTIF(AF$3:AF144,AH144)+COUNTIF(AG$3:AG144,AH144)+COUNTIF(AH$3:AH144,AH144)=1,MAX(GO$2:GQ143,GO144,GP144)+1,""))</f>
        <v/>
      </c>
      <c r="GR144" t="str">
        <f t="shared" si="260"/>
        <v>3х1,5</v>
      </c>
      <c r="GS144" t="str">
        <f>IF(GR144="","",IF(COUNTIF(GR$3:GR144,GR144)=1,MAX(GS$2:GS143)+1,""))</f>
        <v/>
      </c>
      <c r="GT144" t="str">
        <f>IF(ES144="","",COUNTIF(ES$3:ES144,"?*"))</f>
        <v/>
      </c>
      <c r="GU144" t="str">
        <f>IF(OR(ES144="",EU144=""),"",IF(COUNTIFS(ES$3:ES144,"?*",EU$3:EU144,EU144)=1,MAX(GU$2:GU143)+1,""))</f>
        <v/>
      </c>
      <c r="GV144">
        <f t="shared" si="261"/>
        <v>0</v>
      </c>
      <c r="GW144">
        <f>IF(D144="","",COUNTIF(D$3:D144,"?*"))</f>
        <v>142</v>
      </c>
      <c r="GX144">
        <f>IF(EX144&lt;&gt;1,0,_xlfn.LET(_xlpm.k,MAX(IFERROR(--VLOOKUP(D144,УГО_спр,5,FALSE),0),IFERROR(--VLOOKUP(AT144,УГО_спр,5,FALSE),0),IFERROR(--VLOOKUP(LEFT(AT144,2),УГО_спр,5,FALSE),0)),IF(_xlpm.k&gt;0,_xlpm.k,IF(IFERROR(--LEFT(SUBSTITUTE(GR144,"x","х"),FIND("х",SUBSTITUTE(GR144,"x","х"))-1),3)&gt;3,Каталог!$S$9,1))))</f>
        <v>1</v>
      </c>
      <c r="GY144">
        <f t="shared" si="262"/>
        <v>0</v>
      </c>
    </row>
    <row r="145" spans="1:207" x14ac:dyDescent="0.3">
      <c r="A145" t="s">
        <v>756</v>
      </c>
      <c r="B145">
        <v>29</v>
      </c>
      <c r="C145" t="str">
        <f>IF(BD145="","",IF(BE145="вводной узел","узел ","")&amp;"л."&amp;(INT((BD145-1)/Столбцов_на_лист)+1)&amp;" / "&amp;(MOD(BD145-1,Столбцов_на_лист)+1))</f>
        <v>л.2 / 12</v>
      </c>
      <c r="D145" t="s">
        <v>1447</v>
      </c>
      <c r="E145" s="133" t="s">
        <v>1448</v>
      </c>
      <c r="G145">
        <v>0.27</v>
      </c>
      <c r="H145">
        <v>1</v>
      </c>
      <c r="I145">
        <v>1</v>
      </c>
      <c r="J145">
        <v>230</v>
      </c>
      <c r="K145" t="s">
        <v>602</v>
      </c>
      <c r="L145">
        <v>0.5</v>
      </c>
      <c r="O145">
        <v>1</v>
      </c>
      <c r="P145">
        <v>13</v>
      </c>
      <c r="Q145">
        <v>4</v>
      </c>
      <c r="R145">
        <v>13</v>
      </c>
      <c r="T145">
        <v>1</v>
      </c>
      <c r="U145" t="s">
        <v>11</v>
      </c>
      <c r="V145">
        <v>3</v>
      </c>
      <c r="W145">
        <v>1.5</v>
      </c>
      <c r="Z145" t="s">
        <v>584</v>
      </c>
      <c r="AA145" t="s">
        <v>818</v>
      </c>
      <c r="AD145" t="s">
        <v>517</v>
      </c>
      <c r="AK145" t="s">
        <v>488</v>
      </c>
      <c r="AR145" t="str">
        <f t="shared" si="176"/>
        <v/>
      </c>
      <c r="AS145" cm="1">
        <f t="array" ref="AS145">ROW()-ROW(Линии[#Headers])</f>
        <v>143</v>
      </c>
      <c r="AT145" t="str">
        <f t="shared" si="177"/>
        <v>В</v>
      </c>
      <c r="AU145" t="str">
        <f t="shared" si="178"/>
        <v>1</v>
      </c>
      <c r="AV145" t="str">
        <f t="shared" si="179"/>
        <v>1</v>
      </c>
      <c r="AW145" t="str">
        <f t="shared" si="180"/>
        <v/>
      </c>
      <c r="AX145" t="str">
        <f t="shared" si="181"/>
        <v/>
      </c>
      <c r="AY145" t="str">
        <f>IF(D145="","",IF(ISERROR(SEARCH(".",D145)),IFERROR(VLOOKUP(D145,Потребители_обозначение,2,FALSE)&amp;"",""),IFERROR(IF(VLOOKUP(AT145,Потребители_обозначение,4,FALSE)=1,VLOOKUP(AT145,Потребители_обозначение,2,FALSE)&amp;" "&amp;VLOOKUP(AV145,Этаж_обозначение,2,FALSE)&amp;" Пом. №"&amp;AX145,VLOOKUP(AT145,Потребители_обозначение,2,FALSE)&amp;" Шлейф №"&amp;AV145),IFERROR(VLOOKUP(D145,Потребители_обозначение,2,FALSE),""))))</f>
        <v>Вытяжная установка Шлейф №1</v>
      </c>
      <c r="AZ145" t="str">
        <f t="shared" si="182"/>
        <v>Вытяжная установка Технический этаж Пом. №001Т</v>
      </c>
      <c r="BA145" t="str">
        <f>IF(F145&lt;&gt;"",F145,IF(AND(D145&lt;&gt;"",D145&lt;&gt;A145,ISNUMBER(_xlfn.XMATCH(D145,Щиты[Щит]))),D145,""))</f>
        <v/>
      </c>
      <c r="BB145">
        <f>IFERROR(_xlfn.XMATCH(A145,Щиты[Щит]),0)</f>
        <v>7</v>
      </c>
      <c r="BC145">
        <f>IFERROR(N(_xlfn.XLOOKUP(A145,Щиты[Щит],Щиты[Мест под вводной узел])),15)</f>
        <v>12</v>
      </c>
      <c r="BD145">
        <f t="shared" si="183"/>
        <v>29</v>
      </c>
      <c r="BE145" t="str">
        <f t="shared" si="184"/>
        <v>линии</v>
      </c>
      <c r="BF145">
        <f>IF(D145="","",IF(BA145&lt;&gt;"",IFERROR(_xlfn.XLOOKUP(BA145,Щиты[Щит],Щиты[Руст, кВт]),0),N(G145)))</f>
        <v>0.27</v>
      </c>
      <c r="BG145">
        <f>IF(J145&lt;&gt;"",J145,IF(D145="","",IFERROR(IF(VLOOKUP(AT145,Потребители_обозначение,8,FALSE)=0,"",VLOOKUP(AT145,Потребители_обозначение,8,FALSE)),"")))</f>
        <v>230</v>
      </c>
      <c r="BH145">
        <f>IF(I145&lt;&gt;"",I145,IF(D145="","",IFERROR(IF(VLOOKUP(AT145,Потребители_обозначение,9,FALSE)=0,"",VLOOKUP(AT145,Потребители_обозначение,9,FALSE)),"")))</f>
        <v>1</v>
      </c>
      <c r="BI145" t="str">
        <f>IF(U145&lt;&gt;"",U145,IF(D145="","",IFERROR(IF(VLOOKUP(AT145,Потребители_обозначение,6,FALSE)=0,"",VLOOKUP(AT145,Потребители_обозначение,6,FALSE)),"")))</f>
        <v>мс</v>
      </c>
      <c r="BJ145">
        <f>IF(V145&lt;&gt;"",V145,IF(D145="","",IFERROR(IF(VLOOKUP(AT145,Потребители_обозначение,7,FALSE)=0,"",VLOOKUP(AT145,Потребители_обозначение,7,FALSE)),"")))</f>
        <v>3</v>
      </c>
      <c r="BK145">
        <f>IF(W145&lt;&gt;"",W145,IF(D145="","",IFERROR(IF(VLOOKUP(AT145,Потребители_обозначение,10,FALSE)=0,"",VLOOKUP(AT145,Потребители_обозначение,10,FALSE)),"")))</f>
        <v>1.5</v>
      </c>
      <c r="BL145">
        <f>IFERROR(VLOOKUP(AT145,Потребители_обозначение,5,FALSE),0)</f>
        <v>1</v>
      </c>
      <c r="BM145" cm="1">
        <f t="array" ref="BM145">IF(D145="","",IF(BA145&lt;&gt;"",IFERROR(_xlfn.XLOOKUP(BA145,Щиты[Щит],Щиты[cos φ]),0.95),IF(ISNUMBER(M145),M145,IFERROR(IF(BL145=2,_xlfn.IFS(BH145=3,VLOOKUP(BF145,Справочная_двигатели,8,FALSE),BH145=1,VLOOKUP(BF145,Справочная_двигатели,10,TRUE)),IF(AND(Методика="нормы 2026",CN145="Сил"),0.8,0.95)),0.95))))</f>
        <v>0.95</v>
      </c>
      <c r="BN145" cm="1">
        <f t="array" ref="BN145">IF(D145="","",IF(BA145&lt;&gt;"",IFERROR(_xlfn.XLOOKUP(BA145,Щиты[Щит],Щиты[Iр, А]),""),IFERROR(_xlfn.IFS(BH145=1,BF145/((Uн_лин/SQRT(3))*BM145),BH145=3,BF145/(SQRT(3)*Uн_лин*BM145)),"")))</f>
        <v>1.230667679062097</v>
      </c>
      <c r="BO145">
        <f>IF(D145="","",IF(N(X145)=0,IFERROR(VLOOKUP(BN145,Автомат_номиналы,2,TRUE),""),X145))</f>
        <v>6</v>
      </c>
      <c r="BP145">
        <f t="shared" si="185"/>
        <v>1</v>
      </c>
      <c r="BQ145">
        <f>IF(ISNUMBER(Y145),Y145,К_прокл)</f>
        <v>1</v>
      </c>
      <c r="BR145">
        <f t="shared" si="186"/>
        <v>2</v>
      </c>
      <c r="BS145" cm="1">
        <f t="array" ref="BS145">IF(D145="","",IF(N(BK145)&lt;&gt;0,BK145,IFERROR(_xlfn.LET(_xlpm.need,BO145/(BP145*BQ145),_xlpm.t,CHOOSE(BR145,Iдоп_1ж,Iдоп_2ж,Iдоп_3ж),_xlpm.k,_xlfn.XMATCH(_xlpm.need,_xlpm.t,1),IF(ISNA(_xlpm.k),"Не исп",INDEX(Iдоп_S,_xlpm.k))),"Не исп")))</f>
        <v>1.5</v>
      </c>
      <c r="BT145">
        <f>IFERROR(VLOOKUP(BS145,Кабель_сопротивление,3,FALSE),"")</f>
        <v>2.2499999999999999E-2</v>
      </c>
      <c r="BU145">
        <f>IFERROR(VLOOKUP(BS145,Кабель_сопротивление,2,FALSE),"")</f>
        <v>0.11</v>
      </c>
      <c r="BV145">
        <f t="shared" si="187"/>
        <v>13</v>
      </c>
      <c r="BW145">
        <f>IF(D145="","",IFERROR(IF(VLOOKUP(AT145,Потребители_обозначение,4,FALSE)=1,VLOOKUP(AT145,Потребители_обозначение,3,FALSE)*(H145*2-1)+BV145+VLOOKUP(AV145,Этаж_обозначение,3,FALSE)+VLOOKUP(AV145,Этаж_обозначение,4,FALSE),VLOOKUP(AT145,Потребители_обозначение,3,FALSE)*(H145*2-1)+BV145),BV145))</f>
        <v>17</v>
      </c>
      <c r="BX145">
        <f t="shared" si="188"/>
        <v>13</v>
      </c>
      <c r="BY145">
        <f t="shared" si="189"/>
        <v>0</v>
      </c>
      <c r="BZ145">
        <f t="shared" si="190"/>
        <v>2</v>
      </c>
      <c r="CA145">
        <f t="shared" si="191"/>
        <v>0.31</v>
      </c>
      <c r="CB145">
        <f t="shared" si="192"/>
        <v>0.59768532661269047</v>
      </c>
      <c r="CC145">
        <f>IFERROR(ROUNDUP(CB145/((Uн_лин/SQRT(3))*1000)*100,2),"")</f>
        <v>0.26</v>
      </c>
      <c r="CD145">
        <f>IF(ISNUMBER(CC145),CC145+IFERROR(_xlfn.XLOOKUP(A145,Щиты[Щит],Щиты[ΔU до шин, %]),0),"")</f>
        <v>1.28</v>
      </c>
      <c r="CE145">
        <f>IF(D145="","",IF(IFERROR(VLOOKUP(AT145,УГО_спр,2,FALSE),"")="Светильник",3,4)+IF(Методика="нормы 2026",MIN(0.5,MAX(0,N(BW145)-100)*0.005),0))</f>
        <v>4</v>
      </c>
      <c r="CF145" t="str">
        <f>IFERROR(VLOOKUP(BI145,Кабель_обозначение,2,FALSE),"")</f>
        <v>ВВГнг(А)-LS</v>
      </c>
      <c r="CG145" t="str">
        <f>IFERROR(IF(VLOOKUP(BI145,Кабель_обозначение,3,FALSE)=1,CF145&amp;" ("&amp;BJ145&amp;"х"&amp;BS145&amp;")",CF145),"")</f>
        <v>ВВГнг(А)-LS (3х1,5)</v>
      </c>
      <c r="CH145" t="str">
        <f t="shared" si="193"/>
        <v>ВВГнг(А)-LS (3х1,5)
L=17-0,26%</v>
      </c>
      <c r="CI145">
        <f>IFERROR(2*ρкз_Cu*BW145/BS145,"")</f>
        <v>0.59613333333333329</v>
      </c>
      <c r="CJ145">
        <f t="shared" si="194"/>
        <v>0.19833333333333336</v>
      </c>
      <c r="CK145" t="str">
        <f>IFERROR(IF(OR(D145="",NOT(ISNUMBER(BS145)),N(BW145)=0),"",_xlfn.XLOOKUP(A145,Щиты[Щит],Щиты[Zпетли на шинах, Ом])+CI145),"")</f>
        <v/>
      </c>
      <c r="CL145" t="str">
        <f>IF(ISNUMBER(CK145),c_min*(Uн_лин*1000/SQRT(3))/CK145,"")</f>
        <v/>
      </c>
      <c r="CM145" t="str">
        <f>IFERROR(IF(OR(D145="",NOT(ISNUMBER(BS145))),"",1.05*(Uн_лин*1000/SQRT(3))/(_xlfn.XLOOKUP(A145,Щиты[Щит],Щиты[Zmax на шинах, Ом])+CJ145)/1000),"")</f>
        <v/>
      </c>
      <c r="CN145" t="str">
        <f>IF(D145="","",IF(BA145&lt;&gt;"","Щит",IF(K145&lt;&gt;"",K145,IF(ISNUMBER(L145),"Сил",IF(IFERROR(_xlfn.XLOOKUP(AT145,Коды_код,Коды_группа)&amp;"","")="","Быт",_xlfn.XLOOKUP(AT145,Коды_код,Коды_группа)&amp;"")))))</f>
        <v>Сил</v>
      </c>
      <c r="CO145">
        <f>IF(CN145="Щит","щит",IF(CN145="","",IF(CN145="Быт",IFERROR(_xlfn.XLOOKUP(A145,Щиты[Щит],Щиты[Кс быт]),1),IF(CN145="Сил",IF(ISNUMBER(L145),L145,IF(Методика="нормы 2026",IFERROR(_xlfn.XLOOKUP(A145,Щиты[Щит],Щиты[Кс силовых (табл. 7.5)]),1),1)),IF(OR(CN145="Пост",CN145="Отоп"),1,IF(CN145="ВНГ",0.7,0))))))</f>
        <v>0.5</v>
      </c>
      <c r="CP145">
        <f t="shared" si="195"/>
        <v>1</v>
      </c>
      <c r="CQ145">
        <f t="shared" si="196"/>
        <v>0.27</v>
      </c>
      <c r="CR145">
        <f t="shared" si="197"/>
        <v>0</v>
      </c>
      <c r="CS145">
        <f t="shared" si="198"/>
        <v>0.13500000000000001</v>
      </c>
      <c r="CT145">
        <f t="shared" si="199"/>
        <v>0</v>
      </c>
      <c r="CU145">
        <f t="shared" si="200"/>
        <v>0</v>
      </c>
      <c r="CV145">
        <f t="shared" si="201"/>
        <v>0</v>
      </c>
      <c r="CW145">
        <f t="shared" si="202"/>
        <v>0.27</v>
      </c>
      <c r="CX145">
        <f t="shared" si="203"/>
        <v>0.25650000000000001</v>
      </c>
      <c r="CY145">
        <f t="shared" si="204"/>
        <v>3</v>
      </c>
      <c r="CZ145" t="str">
        <f t="shared" si="205"/>
        <v>L3</v>
      </c>
      <c r="DA145" cm="1">
        <f t="array" ref="DA145">IFERROR(IF(BL145=2,_xlfn.IFS(BH145=3,VLOOKUP(BF145,Справочная_двигатели,3,FALSE),BH145=1,VLOOKUP(BF145,Справочная_двигатели,5,TRUE)),0),0)</f>
        <v>0</v>
      </c>
      <c r="DB145">
        <f>IFERROR(IF(BL145=3,VLOOKUP(BF145,Справочная_ЛЭД,2,TRUE),0),0)</f>
        <v>0</v>
      </c>
      <c r="DC145">
        <f t="shared" si="206"/>
        <v>0</v>
      </c>
      <c r="DD145" t="str">
        <f t="shared" si="207"/>
        <v>L1</v>
      </c>
      <c r="DE145" t="str" cm="1">
        <f t="array" ref="DE145">IF(D145="","",IFERROR(INDEX({"I особая","I","II","III"},MATCH(TRIM(AA145&amp;""),{"I особая","I","II","III"},0)),"III"))</f>
        <v>II</v>
      </c>
      <c r="DF145" t="str">
        <f>IF(D145="","",IF(TRIM(AB145&amp;"")&lt;&gt;"",IF(LOWER(TRIM(AB145&amp;""))="да","да","нет"),IF(IFERROR(_xlfn.XLOOKUP(AT145,Коды_код,Коды_пожарная),"")="да","да","нет")))</f>
        <v>нет</v>
      </c>
      <c r="DG145" t="str">
        <f t="shared" si="208"/>
        <v/>
      </c>
      <c r="DH145" t="str">
        <f t="shared" si="209"/>
        <v>основная</v>
      </c>
      <c r="DI145">
        <f t="shared" si="210"/>
        <v>1</v>
      </c>
      <c r="DJ145" t="str" cm="1">
        <f t="array" ref="DJ145">IF(D145="","",_xlfn.LET(_xlpm.t,IFERROR(_xlfn.XLOOKUP(1,(Шины[Шина]=DH145)*(((Шины[Щит]=A145)+(Шины[Щит]=""))&gt;0),Шины[Тип]),"")&amp;"",IF(_xlpm.t&lt;&gt;"",_xlpm.t,IF(ISNUMBER(SEARCH("ИБП",DH145)),"ИБП",IF(ISNUMBER(SEARCH("ДГУ",DH145)),"ДГУ","Ввод "&amp;DI145)))))</f>
        <v>Ввод 1</v>
      </c>
      <c r="DK145" t="str">
        <f t="shared" si="211"/>
        <v>Ввод 1</v>
      </c>
      <c r="DL145" t="str">
        <f>IF(D145="","",IF(OR(DJ145="ИБП",DJ145="ДГУ"),"I особая",IF(DJ145="Одиночная","III",_xlfn.XLOOKUP(A145,Щиты[Щит],Щиты[Категория шины «Ввод»],"III"))))</f>
        <v>II</v>
      </c>
      <c r="DM145">
        <f>IF(D145="",0,IFERROR(MATCH(DE145,{"III","II","I","I особая"},0),1))</f>
        <v>2</v>
      </c>
      <c r="DN145">
        <f t="shared" si="212"/>
        <v>2</v>
      </c>
      <c r="DO145" t="str">
        <f>IF(D145="","",IF(DM145&gt;IFERROR(MATCH(DL145,{"III","II","I","I особая"},0),1),"НЕ ОБЕСПЕЧЕНА","ОК"))</f>
        <v>ОК</v>
      </c>
      <c r="DP145" t="str">
        <f>IF(A145="","",_xlfn.XLOOKUP(A145,Щиты[Щит],Щиты[Путь],""))</f>
        <v>|ГРЩ-ЖД|ЩОВ-2|</v>
      </c>
      <c r="DQ145" t="str">
        <f>IF(D145="","",IF(Z145&lt;&gt;"",Z145,IF(IFERROR(_xlfn.XLOOKUP(AT145,Коды_код,Коды_вид)&amp;"","")="","Прочее",_xlfn.XLOOKUP(AT145,Коды_код,Коды_вид)&amp;"")))</f>
        <v>Вентиляция</v>
      </c>
      <c r="DR145">
        <f>IF(BD145="","",INT((BD145-1)/Столбцов_на_лист)+1)</f>
        <v>2</v>
      </c>
      <c r="DS145" t="str">
        <f t="shared" si="213"/>
        <v>ВВГнг(А)-LS (3х1,5) L=17-0,26%</v>
      </c>
      <c r="DT145">
        <f t="shared" si="214"/>
        <v>0.27</v>
      </c>
      <c r="DU145">
        <f t="shared" si="215"/>
        <v>1.24</v>
      </c>
      <c r="DV145">
        <f t="shared" si="216"/>
        <v>1</v>
      </c>
      <c r="DW145">
        <f>IF(AT145="",0,_xlfn.LET(_xlpm.v,IFERROR(VLOOKUP(D145,УГО_спр,3,FALSE),IFERROR(VLOOKUP(AT145,УГО_спр,3,FALSE),IFERROR(VLOOKUP(LEFT(AT145,2),УГО_спр,3,FALSE),""))),IF(_xlpm.v="да",30,IF(ISNUMBER(_xlpm.v),_xlpm.v,0))))</f>
        <v>0</v>
      </c>
      <c r="DX145">
        <f t="shared" si="217"/>
        <v>0</v>
      </c>
      <c r="DY145">
        <f>IF(BD145="","",IF(AD145&lt;&gt;"",COUNTIFS(A$3:A145,A145,AD$3:AD145,"?*"),IF(OR(OR(AS145=1,A145&lt;&gt;A144),AL145="вручную"),"",IF(AS145=1,"",DZ144))))</f>
        <v>15</v>
      </c>
      <c r="DZ145">
        <f t="shared" si="218"/>
        <v>15</v>
      </c>
      <c r="EA145">
        <f>IF(D145="",0,MAX(IFERROR(--X145,0),IFERROR(--VLOOKUP(D145,УГО_спр,4,FALSE),IFERROR(--VLOOKUP(AT145,УГО_спр,4,FALSE),IFERROR(--VLOOKUP(LEFT(AT145,2),УГО_спр,4,FALSE),0)))))</f>
        <v>0</v>
      </c>
      <c r="EB145">
        <f>IF(D145="","",IFERROR(LOOKUP(INDEX(CHOOSE(BR145,Iдоп_1ж,Iдоп_2ж,Iдоп_3ж),MATCH(BS145,Iдоп_S,0))*BP145*BQ145,{6,10,16,20,25,32,40,50,63,80,100,125,160,200,250,315,400,500,630}),""))</f>
        <v>16</v>
      </c>
      <c r="EC145">
        <f>IF(AD145="","",SUMIFS(Линии[_Ток схемы],Линии[_гр.],DY145,Линии[Щит],A145,Линии[_в кабель выше],0))</f>
        <v>1.24</v>
      </c>
      <c r="ED145">
        <f>IF(AD145="","",IFERROR(VLOOKUP(EC145,Автомат_номиналы,2,TRUE),""))</f>
        <v>6</v>
      </c>
      <c r="EE145">
        <f>IF(AD145="","",MAX(N(ED145),_xlfn.MAXIFS(Линии[_мин. по типу],Линии[_гр.],DY145,Линии[Щит],A145)))</f>
        <v>6</v>
      </c>
      <c r="EF145">
        <f>IF(AD145="","",_xlfn.MINIFS(Линии[_макс. автомат по кабелю],Линии[_гр.],DY145,Линии[Щит],A145))</f>
        <v>16</v>
      </c>
      <c r="EG145">
        <f>IF(AD145="","",MAX(1,_xlfn.MAXIFS(Линии[_фаз],Линии[_гр.],DY145,Линии[Щит],A145)))</f>
        <v>1</v>
      </c>
      <c r="EH145">
        <f>IF(AD145="","",IF(AND(AD145&lt;&gt;"авто",AD145&lt;&gt;"+"),IF(ISNUMBER(SEARCH("мА",AD145)),IFERROR(--TRIM(RIGHT(SUBSTITUTE(LEFT(AD145,SEARCH("мА",AD145)-1)," ",REPT(" ",9)),6)),30),0),IF(AE145="нет",0,IF(ISNUMBER(AE145),AE145,IF(AE145="да",30,_xlfn.MINIFS(Линии[_дифзащита по коду, мА],Линии[_гр.],DY145,Линии[Щит],A145,Линии[_дифзащита по коду, мА],"&gt;0"))))))</f>
        <v>0</v>
      </c>
      <c r="EI145">
        <f t="shared" si="219"/>
        <v>0</v>
      </c>
      <c r="EJ145" t="str">
        <f t="shared" si="220"/>
        <v>QF15</v>
      </c>
      <c r="EK145" t="str">
        <f t="shared" si="221"/>
        <v>QF15</v>
      </c>
      <c r="EL145" t="str">
        <f t="shared" si="222"/>
        <v/>
      </c>
      <c r="EM145">
        <f t="shared" si="223"/>
        <v>0</v>
      </c>
      <c r="EN145">
        <f>IF(AD145="","",IF(EM145=1,MAX(EE145,Мин_автомат_БП),EE145))</f>
        <v>6</v>
      </c>
      <c r="EO145" t="str">
        <f t="shared" si="224"/>
        <v>1P</v>
      </c>
      <c r="EP145" t="str">
        <f t="shared" si="225"/>
        <v>1P С6А</v>
      </c>
      <c r="EQ145">
        <f t="shared" si="226"/>
        <v>6</v>
      </c>
      <c r="ER145" t="str">
        <f>IF(OR(AI145="",AI145="-"),"",IFERROR(VLOOKUP(AI145,Модули_спр,2,FALSE),"R"))</f>
        <v/>
      </c>
      <c r="ES145" t="str">
        <f>IF(ER145="","",ER145&amp;"."&amp;COUNTIFS(A$3:A145,A145,ER$3:ER145,ER145))</f>
        <v/>
      </c>
      <c r="ET145" t="str">
        <f t="shared" si="227"/>
        <v/>
      </c>
      <c r="EU145" t="str">
        <f t="shared" si="228"/>
        <v/>
      </c>
      <c r="EV145" t="str">
        <f t="shared" si="229"/>
        <v/>
      </c>
      <c r="EW145" t="str">
        <f t="shared" si="230"/>
        <v/>
      </c>
      <c r="EX145">
        <f t="shared" si="231"/>
        <v>1</v>
      </c>
      <c r="EY145" t="str">
        <f>IF(AK145="нет","",IF(AK145&lt;&gt;"",AK145,IF(EX145=1,"XT"&amp;COUNTIFS(A$3:A145,A145,EX$3:EX145,1),"")))</f>
        <v/>
      </c>
      <c r="EZ145" t="str">
        <f t="shared" si="232"/>
        <v>QF15</v>
      </c>
      <c r="FA145" t="str">
        <f t="shared" si="233"/>
        <v/>
      </c>
      <c r="FB145" t="str">
        <f t="shared" si="234"/>
        <v>ok</v>
      </c>
      <c r="FC145" t="str">
        <f>IF(OR(EV145="",ET145=""),"",IF(EV145&gt;IFERROR(VLOOKUP(EU145,Модули_спр,3,FALSE),99),"ЛИШНИЙ КАНАЛ",IF(AND(AJ145&lt;&gt;"=",COUNTIFS(Линии[_модуль гр.],ET145,Линии[Канал (итог)],EV145,Линии[Канал],"&lt;&gt;=",Линии[Щит],A145)&gt;1),"ДУБЛЬ КАНАЛА","")))</f>
        <v/>
      </c>
      <c r="FD145">
        <f t="shared" si="235"/>
        <v>6</v>
      </c>
      <c r="FE145" t="str">
        <f t="shared" si="236"/>
        <v>1P С6А</v>
      </c>
      <c r="FF145">
        <f t="shared" si="237"/>
        <v>0</v>
      </c>
      <c r="FG145">
        <f t="shared" si="238"/>
        <v>0</v>
      </c>
      <c r="FH145" t="str">
        <f t="shared" si="239"/>
        <v/>
      </c>
      <c r="FI145">
        <f t="shared" si="240"/>
        <v>10</v>
      </c>
      <c r="FJ145" t="str">
        <f t="shared" si="241"/>
        <v/>
      </c>
      <c r="FK145" t="str">
        <f>IF(AND(D145="",EZ145=""),"",_xlfn.TEXTJOIN("; ",TRUE,IF(AND(D145&lt;&gt;"",DD145=""),"нет фазы",""),IF(AND(D145&lt;&gt;"",N(DT145)=0,CN145&lt;&gt;"Нет"),"нет мощности",""),IF(AND(EY145&lt;&gt;"",COUNTIFS(Линии[Щит],A145,Линии[Клемма (итог)],EY145)&gt;1),"дубль клеммы "&amp;EY145,""),IF(AND(FB145&lt;&gt;"",FB145&lt;&gt;"ok"),FB145,""),IF(FC145&lt;&gt;"",FC145,""),IF(AND(ISNUMBER(SEARCH("(5х",DS145)),N(DV145)=1),"5 жил на 1 фазе",""),IF(AND(AT145="R",AD145&lt;&gt;"",OR(N(EH145)=0,N(EH145)&gt;30)),"розетка без дифзащиты до 30 мА",""),IFERROR(IF(AND(ISNUMBER(CD145),CD145&gt;CE145),"потери "&amp;FIXED(CD145,1)&amp;" % &gt; "&amp;CE145&amp;" %",""),""),IFERROR(IF(LEFT(FJ145,4)="мало","Iкз мало — отключение &gt; 0,4 с",""),""),IF(AND(D145&lt;&gt;"",BD145=""),"не на схеме","")))</f>
        <v/>
      </c>
      <c r="FL145" t="str">
        <f>IF(AD145="","",_xlfn.LET(_xlpm.t,IFERROR(_xlfn.XLOOKUP(EP145,Каталог!$U$4:$U$500,Каталог!$G$4:$G$500),""),_xlpm.k,SEARCH("кА",_xlpm.t),IFERROR(--TRIM(RIGHT(SUBSTITUTE(MID(_xlpm.t,MAX(1,_xlpm.k-4),_xlpm.k-MAX(1,_xlpm.k-4))," ",REPT(" ",9)),5)),"")))</f>
        <v/>
      </c>
      <c r="FM145" t="str">
        <f>IF(OR(FL145="",AD145=""),"",IF(_xlfn.XLOOKUP(A145,Щиты[Щит],Щиты[Iкз max на шинах, кА],"")="","",IF(FL145&lt;_xlfn.XLOOKUP(A145,Щиты[Щит],Щиты[Iкз max на шинах, кА]),"Icu "&amp;FL145&amp;" кА &lt; Iкз max","ok")))</f>
        <v/>
      </c>
      <c r="FN145" t="str">
        <f t="shared" si="242"/>
        <v>QF15</v>
      </c>
      <c r="FO145" t="str">
        <f t="shared" si="243"/>
        <v>QF15|кабель ВВГнг(А)-LS (3х1,5) → Вытяжная установка Технический этаж Пом. №001Т</v>
      </c>
      <c r="FP145" t="str" cm="1">
        <f t="array" ref="FP145">IF(FO145="","",_xlfn.LET(_xlpm.nd,_xlfn.TEXTSPLIT(FO145,"|"),IF(COLUMNS(_xlpm.nd)&gt;1,A145&amp;"¦"&amp;INDEX(_xlpm.nd,1)&amp;"¦"&amp;INDEX(_xlpm.nd,2),"")))</f>
        <v>ЩОВ-2¦QF15¦кабель ВВГнг(А)-LS (3х1,5) → Вытяжная установка Технический этаж Пом. №001Т</v>
      </c>
      <c r="FQ145" t="str">
        <f t="shared" si="244"/>
        <v>В.1¦Вытяжная установка Технический этаж Пом. №001Т</v>
      </c>
      <c r="FR145" t="str" cm="1">
        <f t="array" ref="FR145">IF(FO145="","",_xlfn.LET(_xlpm.nd,_xlfn.TEXTSPLIT(FO145,"|"),IF(COLUMNS(_xlpm.nd)&gt;2,A145&amp;"¦"&amp;INDEX(_xlpm.nd,2)&amp;"¦"&amp;INDEX(_xlpm.nd,3),"")))</f>
        <v/>
      </c>
      <c r="FS145" t="str">
        <f t="shared" si="245"/>
        <v/>
      </c>
      <c r="FT145" t="str" cm="1">
        <f t="array" ref="FT145">IF(FO145="","",_xlfn.LET(_xlpm.nd,_xlfn.TEXTSPLIT(FO145,"|"),IF(COLUMNS(_xlpm.nd)&gt;3,A145&amp;"¦"&amp;INDEX(_xlpm.nd,3)&amp;"¦"&amp;INDEX(_xlpm.nd,4),"")))</f>
        <v/>
      </c>
      <c r="FU145" t="str">
        <f t="shared" si="246"/>
        <v/>
      </c>
      <c r="FV145" t="str" cm="1">
        <f t="array" ref="FV145">IF(FO145="","",_xlfn.LET(_xlpm.nd,_xlfn.TEXTSPLIT(FO145,"|"),IF(COLUMNS(_xlpm.nd)&gt;4,A145&amp;"¦"&amp;INDEX(_xlpm.nd,4)&amp;"¦"&amp;INDEX(_xlpm.nd,5),"")))</f>
        <v/>
      </c>
      <c r="FW145" t="str">
        <f t="shared" si="247"/>
        <v/>
      </c>
      <c r="FX145" t="str" cm="1">
        <f t="array" ref="FX145">IF(FO145="","",_xlfn.LET(_xlpm.nd,_xlfn.TEXTSPLIT(FO145,"|"),IF(COLUMNS(_xlpm.nd)&gt;5,A145&amp;"¦"&amp;INDEX(_xlpm.nd,5)&amp;"¦"&amp;INDEX(_xlpm.nd,6),"")))</f>
        <v/>
      </c>
      <c r="FY145" t="str">
        <f t="shared" si="248"/>
        <v/>
      </c>
      <c r="FZ145" t="str" cm="1">
        <f t="array" ref="FZ145">IF(FO145="","",_xlfn.LET(_xlpm.nd,_xlfn.TEXTSPLIT(FO145,"|"),IF(COLUMNS(_xlpm.nd)&gt;6,A145&amp;"¦"&amp;INDEX(_xlpm.nd,6)&amp;"¦"&amp;INDEX(_xlpm.nd,7),"")))</f>
        <v/>
      </c>
      <c r="GA145" t="str">
        <f t="shared" si="249"/>
        <v/>
      </c>
      <c r="GB145" t="str">
        <f t="shared" si="250"/>
        <v/>
      </c>
      <c r="GC145" t="str">
        <f t="shared" si="251"/>
        <v>QF15</v>
      </c>
      <c r="GD145">
        <f t="shared" si="252"/>
        <v>1</v>
      </c>
      <c r="GE145">
        <f t="shared" si="253"/>
        <v>0</v>
      </c>
      <c r="GF145">
        <f t="shared" si="254"/>
        <v>0</v>
      </c>
      <c r="GG145" t="str">
        <f t="shared" si="255"/>
        <v/>
      </c>
      <c r="GH145" t="str">
        <f t="shared" si="256"/>
        <v/>
      </c>
      <c r="GI145" t="str">
        <f t="shared" si="257"/>
        <v/>
      </c>
      <c r="GJ145" t="str">
        <f t="shared" si="258"/>
        <v/>
      </c>
      <c r="GK145" t="str">
        <f>IF(D145="","",IFERROR(VLOOKUP(D145,УГО_спр,2,FALSE),IFERROR(VLOOKUP(AT145,УГО_спр,2,FALSE),IFERROR(VLOOKUP(LEFT(AT145,2),УГО_спр,2,FALSE),""))))</f>
        <v>Привод (двигатель)</v>
      </c>
      <c r="GL145" t="str">
        <f>IF(D145="","",IF(OR(GK145="",GK145=0),"BOX",IFERROR(IF(VLOOKUP(GK145,УГО_блоки,3,FALSE)&amp;""&lt;&gt;"",VLOOKUP(GK145,УГО_блоки,3,FALSE),VLOOKUP(GK145,УГО_блоки,2,FALSE)),GK145)))</f>
        <v>MOTOR</v>
      </c>
      <c r="GM145">
        <f t="shared" si="259"/>
        <v>1</v>
      </c>
      <c r="GN145" t="str">
        <f>IF(EP145="","",IF(COUNTIF(EP$3:EP145,EP145)=1,MAX(GN$2:GN144)+1,""))</f>
        <v/>
      </c>
      <c r="GO145" t="str">
        <f>IF(AF145="","",IF(COUNTIF(AF$3:AF145,AF145)+COUNTIF(AG$2:AG144,AF145)+COUNTIF(AH$2:AH144,AF145)=1,MAX(GO$2:GQ144)+1,""))</f>
        <v/>
      </c>
      <c r="GP145" t="str">
        <f>IF(AG145="","",IF(COUNTIF(AF$3:AF145,AG145)+COUNTIF(AG$3:AG145,AG145)+COUNTIF(AH$2:AH144,AG145)=1,MAX(GO$2:GQ144,GO145)+1,""))</f>
        <v/>
      </c>
      <c r="GQ145" t="str">
        <f>IF(AH145="","",IF(COUNTIF(AF$3:AF145,AH145)+COUNTIF(AG$3:AG145,AH145)+COUNTIF(AH$3:AH145,AH145)=1,MAX(GO$2:GQ144,GO145,GP145)+1,""))</f>
        <v/>
      </c>
      <c r="GR145" t="str">
        <f t="shared" si="260"/>
        <v>3х1,5</v>
      </c>
      <c r="GS145" t="str">
        <f>IF(GR145="","",IF(COUNTIF(GR$3:GR145,GR145)=1,MAX(GS$2:GS144)+1,""))</f>
        <v/>
      </c>
      <c r="GT145" t="str">
        <f>IF(ES145="","",COUNTIF(ES$3:ES145,"?*"))</f>
        <v/>
      </c>
      <c r="GU145" t="str">
        <f>IF(OR(ES145="",EU145=""),"",IF(COUNTIFS(ES$3:ES145,"?*",EU$3:EU145,EU145)=1,MAX(GU$2:GU144)+1,""))</f>
        <v/>
      </c>
      <c r="GV145">
        <f t="shared" si="261"/>
        <v>0</v>
      </c>
      <c r="GW145">
        <f>IF(D145="","",COUNTIF(D$3:D145,"?*"))</f>
        <v>143</v>
      </c>
      <c r="GX145">
        <f>IF(EX145&lt;&gt;1,0,_xlfn.LET(_xlpm.k,MAX(IFERROR(--VLOOKUP(D145,УГО_спр,5,FALSE),0),IFERROR(--VLOOKUP(AT145,УГО_спр,5,FALSE),0),IFERROR(--VLOOKUP(LEFT(AT145,2),УГО_спр,5,FALSE),0)),IF(_xlpm.k&gt;0,_xlpm.k,IF(IFERROR(--LEFT(SUBSTITUTE(GR145,"x","х"),FIND("х",SUBSTITUTE(GR145,"x","х"))-1),3)&gt;3,Каталог!$S$9,1))))</f>
        <v>1</v>
      </c>
      <c r="GY145">
        <f t="shared" si="262"/>
        <v>0</v>
      </c>
    </row>
    <row r="146" spans="1:207" x14ac:dyDescent="0.3">
      <c r="A146" t="s">
        <v>756</v>
      </c>
      <c r="B146">
        <v>30</v>
      </c>
      <c r="C146" t="str">
        <f>IF(BD146="","",IF(BE146="вводной узел","узел ","")&amp;"л."&amp;(INT((BD146-1)/Столбцов_на_лист)+1)&amp;" / "&amp;(MOD(BD146-1,Столбцов_на_лист)+1))</f>
        <v>л.2 / 13</v>
      </c>
      <c r="D146" t="s">
        <v>1449</v>
      </c>
      <c r="E146" s="133" t="s">
        <v>1448</v>
      </c>
      <c r="G146">
        <v>0.27</v>
      </c>
      <c r="H146">
        <v>1</v>
      </c>
      <c r="I146">
        <v>1</v>
      </c>
      <c r="J146">
        <v>230</v>
      </c>
      <c r="K146" t="s">
        <v>602</v>
      </c>
      <c r="L146">
        <v>0.5</v>
      </c>
      <c r="O146">
        <v>2</v>
      </c>
      <c r="P146">
        <v>16</v>
      </c>
      <c r="Q146">
        <v>4</v>
      </c>
      <c r="R146">
        <v>16</v>
      </c>
      <c r="T146">
        <v>1</v>
      </c>
      <c r="U146" t="s">
        <v>11</v>
      </c>
      <c r="V146">
        <v>3</v>
      </c>
      <c r="W146">
        <v>1.5</v>
      </c>
      <c r="Z146" t="s">
        <v>584</v>
      </c>
      <c r="AA146" t="s">
        <v>818</v>
      </c>
      <c r="AD146" t="s">
        <v>517</v>
      </c>
      <c r="AK146" t="s">
        <v>488</v>
      </c>
      <c r="AR146" t="str">
        <f t="shared" si="176"/>
        <v/>
      </c>
      <c r="AS146" cm="1">
        <f t="array" ref="AS146">ROW()-ROW(Линии[#Headers])</f>
        <v>144</v>
      </c>
      <c r="AT146" t="str">
        <f t="shared" si="177"/>
        <v>В</v>
      </c>
      <c r="AU146" t="str">
        <f t="shared" si="178"/>
        <v>22</v>
      </c>
      <c r="AV146" t="str">
        <f t="shared" si="179"/>
        <v>22</v>
      </c>
      <c r="AW146" t="str">
        <f t="shared" si="180"/>
        <v/>
      </c>
      <c r="AX146" t="str">
        <f t="shared" si="181"/>
        <v/>
      </c>
      <c r="AY146" t="str">
        <f>IF(D146="","",IF(ISERROR(SEARCH(".",D146)),IFERROR(VLOOKUP(D146,Потребители_обозначение,2,FALSE)&amp;"",""),IFERROR(IF(VLOOKUP(AT146,Потребители_обозначение,4,FALSE)=1,VLOOKUP(AT146,Потребители_обозначение,2,FALSE)&amp;" "&amp;VLOOKUP(AV146,Этаж_обозначение,2,FALSE)&amp;" Пом. №"&amp;AX146,VLOOKUP(AT146,Потребители_обозначение,2,FALSE)&amp;" Шлейф №"&amp;AV146),IFERROR(VLOOKUP(D146,Потребители_обозначение,2,FALSE),""))))</f>
        <v>Вытяжная установка Шлейф №22</v>
      </c>
      <c r="AZ146" t="str">
        <f t="shared" si="182"/>
        <v>Вытяжная установка Технический этаж Пом. №001Т</v>
      </c>
      <c r="BA146" t="str">
        <f>IF(F146&lt;&gt;"",F146,IF(AND(D146&lt;&gt;"",D146&lt;&gt;A146,ISNUMBER(_xlfn.XMATCH(D146,Щиты[Щит]))),D146,""))</f>
        <v/>
      </c>
      <c r="BB146">
        <f>IFERROR(_xlfn.XMATCH(A146,Щиты[Щит]),0)</f>
        <v>7</v>
      </c>
      <c r="BC146">
        <f>IFERROR(N(_xlfn.XLOOKUP(A146,Щиты[Щит],Щиты[Мест под вводной узел])),15)</f>
        <v>12</v>
      </c>
      <c r="BD146">
        <f t="shared" si="183"/>
        <v>30</v>
      </c>
      <c r="BE146" t="str">
        <f t="shared" si="184"/>
        <v>линии</v>
      </c>
      <c r="BF146">
        <f>IF(D146="","",IF(BA146&lt;&gt;"",IFERROR(_xlfn.XLOOKUP(BA146,Щиты[Щит],Щиты[Руст, кВт]),0),N(G146)))</f>
        <v>0.27</v>
      </c>
      <c r="BG146">
        <f>IF(J146&lt;&gt;"",J146,IF(D146="","",IFERROR(IF(VLOOKUP(AT146,Потребители_обозначение,8,FALSE)=0,"",VLOOKUP(AT146,Потребители_обозначение,8,FALSE)),"")))</f>
        <v>230</v>
      </c>
      <c r="BH146">
        <f>IF(I146&lt;&gt;"",I146,IF(D146="","",IFERROR(IF(VLOOKUP(AT146,Потребители_обозначение,9,FALSE)=0,"",VLOOKUP(AT146,Потребители_обозначение,9,FALSE)),"")))</f>
        <v>1</v>
      </c>
      <c r="BI146" t="str">
        <f>IF(U146&lt;&gt;"",U146,IF(D146="","",IFERROR(IF(VLOOKUP(AT146,Потребители_обозначение,6,FALSE)=0,"",VLOOKUP(AT146,Потребители_обозначение,6,FALSE)),"")))</f>
        <v>мс</v>
      </c>
      <c r="BJ146">
        <f>IF(V146&lt;&gt;"",V146,IF(D146="","",IFERROR(IF(VLOOKUP(AT146,Потребители_обозначение,7,FALSE)=0,"",VLOOKUP(AT146,Потребители_обозначение,7,FALSE)),"")))</f>
        <v>3</v>
      </c>
      <c r="BK146">
        <f>IF(W146&lt;&gt;"",W146,IF(D146="","",IFERROR(IF(VLOOKUP(AT146,Потребители_обозначение,10,FALSE)=0,"",VLOOKUP(AT146,Потребители_обозначение,10,FALSE)),"")))</f>
        <v>1.5</v>
      </c>
      <c r="BL146">
        <f>IFERROR(VLOOKUP(AT146,Потребители_обозначение,5,FALSE),0)</f>
        <v>1</v>
      </c>
      <c r="BM146" cm="1">
        <f t="array" ref="BM146">IF(D146="","",IF(BA146&lt;&gt;"",IFERROR(_xlfn.XLOOKUP(BA146,Щиты[Щит],Щиты[cos φ]),0.95),IF(ISNUMBER(M146),M146,IFERROR(IF(BL146=2,_xlfn.IFS(BH146=3,VLOOKUP(BF146,Справочная_двигатели,8,FALSE),BH146=1,VLOOKUP(BF146,Справочная_двигатели,10,TRUE)),IF(AND(Методика="нормы 2026",CN146="Сил"),0.8,0.95)),0.95))))</f>
        <v>0.95</v>
      </c>
      <c r="BN146" cm="1">
        <f t="array" ref="BN146">IF(D146="","",IF(BA146&lt;&gt;"",IFERROR(_xlfn.XLOOKUP(BA146,Щиты[Щит],Щиты[Iр, А]),""),IFERROR(_xlfn.IFS(BH146=1,BF146/((Uн_лин/SQRT(3))*BM146),BH146=3,BF146/(SQRT(3)*Uн_лин*BM146)),"")))</f>
        <v>1.230667679062097</v>
      </c>
      <c r="BO146">
        <f>IF(D146="","",IF(N(X146)=0,IFERROR(VLOOKUP(BN146,Автомат_номиналы,2,TRUE),""),X146))</f>
        <v>6</v>
      </c>
      <c r="BP146">
        <f t="shared" si="185"/>
        <v>1</v>
      </c>
      <c r="BQ146">
        <f>IF(ISNUMBER(Y146),Y146,К_прокл)</f>
        <v>1</v>
      </c>
      <c r="BR146">
        <f t="shared" si="186"/>
        <v>2</v>
      </c>
      <c r="BS146" cm="1">
        <f t="array" ref="BS146">IF(D146="","",IF(N(BK146)&lt;&gt;0,BK146,IFERROR(_xlfn.LET(_xlpm.need,BO146/(BP146*BQ146),_xlpm.t,CHOOSE(BR146,Iдоп_1ж,Iдоп_2ж,Iдоп_3ж),_xlpm.k,_xlfn.XMATCH(_xlpm.need,_xlpm.t,1),IF(ISNA(_xlpm.k),"Не исп",INDEX(Iдоп_S,_xlpm.k))),"Не исп")))</f>
        <v>1.5</v>
      </c>
      <c r="BT146">
        <f>IFERROR(VLOOKUP(BS146,Кабель_сопротивление,3,FALSE),"")</f>
        <v>2.2499999999999999E-2</v>
      </c>
      <c r="BU146">
        <f>IFERROR(VLOOKUP(BS146,Кабель_сопротивление,2,FALSE),"")</f>
        <v>0.11</v>
      </c>
      <c r="BV146">
        <f t="shared" si="187"/>
        <v>16</v>
      </c>
      <c r="BW146">
        <f>IF(D146="","",IFERROR(IF(VLOOKUP(AT146,Потребители_обозначение,4,FALSE)=1,VLOOKUP(AT146,Потребители_обозначение,3,FALSE)*(H146*2-1)+BV146+VLOOKUP(AV146,Этаж_обозначение,3,FALSE)+VLOOKUP(AV146,Этаж_обозначение,4,FALSE),VLOOKUP(AT146,Потребители_обозначение,3,FALSE)*(H146*2-1)+BV146),BV146))</f>
        <v>20</v>
      </c>
      <c r="BX146">
        <f t="shared" si="188"/>
        <v>16</v>
      </c>
      <c r="BY146">
        <f t="shared" si="189"/>
        <v>0</v>
      </c>
      <c r="BZ146">
        <f t="shared" si="190"/>
        <v>2</v>
      </c>
      <c r="CA146">
        <f t="shared" si="191"/>
        <v>0.31</v>
      </c>
      <c r="CB146">
        <f t="shared" si="192"/>
        <v>0.70315920777963592</v>
      </c>
      <c r="CC146">
        <f>IFERROR(ROUNDUP(CB146/((Uн_лин/SQRT(3))*1000)*100,2),"")</f>
        <v>0.31</v>
      </c>
      <c r="CD146">
        <f>IF(ISNUMBER(CC146),CC146+IFERROR(_xlfn.XLOOKUP(A146,Щиты[Щит],Щиты[ΔU до шин, %]),0),"")</f>
        <v>1.33</v>
      </c>
      <c r="CE146">
        <f>IF(D146="","",IF(IFERROR(VLOOKUP(AT146,УГО_спр,2,FALSE),"")="Светильник",3,4)+IF(Методика="нормы 2026",MIN(0.5,MAX(0,N(BW146)-100)*0.005),0))</f>
        <v>4</v>
      </c>
      <c r="CF146" t="str">
        <f>IFERROR(VLOOKUP(BI146,Кабель_обозначение,2,FALSE),"")</f>
        <v>ВВГнг(А)-LS</v>
      </c>
      <c r="CG146" t="str">
        <f>IFERROR(IF(VLOOKUP(BI146,Кабель_обозначение,3,FALSE)=1,CF146&amp;" ("&amp;BJ146&amp;"х"&amp;BS146&amp;")",CF146),"")</f>
        <v>ВВГнг(А)-LS (3х1,5)</v>
      </c>
      <c r="CH146" t="str">
        <f t="shared" si="193"/>
        <v>ВВГнг(А)-LS (3х1,5)
L=20-0,31%</v>
      </c>
      <c r="CI146">
        <f>IFERROR(2*ρкз_Cu*BW146/BS146,"")</f>
        <v>0.70133333333333336</v>
      </c>
      <c r="CJ146">
        <f t="shared" si="194"/>
        <v>0.23333333333333336</v>
      </c>
      <c r="CK146" t="str">
        <f>IFERROR(IF(OR(D146="",NOT(ISNUMBER(BS146)),N(BW146)=0),"",_xlfn.XLOOKUP(A146,Щиты[Щит],Щиты[Zпетли на шинах, Ом])+CI146),"")</f>
        <v/>
      </c>
      <c r="CL146" t="str">
        <f>IF(ISNUMBER(CK146),c_min*(Uн_лин*1000/SQRT(3))/CK146,"")</f>
        <v/>
      </c>
      <c r="CM146" t="str">
        <f>IFERROR(IF(OR(D146="",NOT(ISNUMBER(BS146))),"",1.05*(Uн_лин*1000/SQRT(3))/(_xlfn.XLOOKUP(A146,Щиты[Щит],Щиты[Zmax на шинах, Ом])+CJ146)/1000),"")</f>
        <v/>
      </c>
      <c r="CN146" t="str">
        <f>IF(D146="","",IF(BA146&lt;&gt;"","Щит",IF(K146&lt;&gt;"",K146,IF(ISNUMBER(L146),"Сил",IF(IFERROR(_xlfn.XLOOKUP(AT146,Коды_код,Коды_группа)&amp;"","")="","Быт",_xlfn.XLOOKUP(AT146,Коды_код,Коды_группа)&amp;"")))))</f>
        <v>Сил</v>
      </c>
      <c r="CO146">
        <f>IF(CN146="Щит","щит",IF(CN146="","",IF(CN146="Быт",IFERROR(_xlfn.XLOOKUP(A146,Щиты[Щит],Щиты[Кс быт]),1),IF(CN146="Сил",IF(ISNUMBER(L146),L146,IF(Методика="нормы 2026",IFERROR(_xlfn.XLOOKUP(A146,Щиты[Щит],Щиты[Кс силовых (табл. 7.5)]),1),1)),IF(OR(CN146="Пост",CN146="Отоп"),1,IF(CN146="ВНГ",0.7,0))))))</f>
        <v>0.5</v>
      </c>
      <c r="CP146">
        <f t="shared" si="195"/>
        <v>1</v>
      </c>
      <c r="CQ146">
        <f t="shared" si="196"/>
        <v>0.27</v>
      </c>
      <c r="CR146">
        <f t="shared" si="197"/>
        <v>0</v>
      </c>
      <c r="CS146">
        <f t="shared" si="198"/>
        <v>0.13500000000000001</v>
      </c>
      <c r="CT146">
        <f t="shared" si="199"/>
        <v>0</v>
      </c>
      <c r="CU146">
        <f t="shared" si="200"/>
        <v>0</v>
      </c>
      <c r="CV146">
        <f t="shared" si="201"/>
        <v>0</v>
      </c>
      <c r="CW146">
        <f t="shared" si="202"/>
        <v>0.27</v>
      </c>
      <c r="CX146">
        <f t="shared" si="203"/>
        <v>0.25650000000000001</v>
      </c>
      <c r="CY146">
        <f t="shared" si="204"/>
        <v>1</v>
      </c>
      <c r="CZ146" t="str">
        <f t="shared" si="205"/>
        <v>L1</v>
      </c>
      <c r="DA146" cm="1">
        <f t="array" ref="DA146">IFERROR(IF(BL146=2,_xlfn.IFS(BH146=3,VLOOKUP(BF146,Справочная_двигатели,3,FALSE),BH146=1,VLOOKUP(BF146,Справочная_двигатели,5,TRUE)),0),0)</f>
        <v>0</v>
      </c>
      <c r="DB146">
        <f>IFERROR(IF(BL146=3,VLOOKUP(BF146,Справочная_ЛЭД,2,TRUE),0),0)</f>
        <v>0</v>
      </c>
      <c r="DC146">
        <f t="shared" si="206"/>
        <v>0</v>
      </c>
      <c r="DD146" t="str">
        <f t="shared" si="207"/>
        <v>L2</v>
      </c>
      <c r="DE146" t="str" cm="1">
        <f t="array" ref="DE146">IF(D146="","",IFERROR(INDEX({"I особая","I","II","III"},MATCH(TRIM(AA146&amp;""),{"I особая","I","II","III"},0)),"III"))</f>
        <v>II</v>
      </c>
      <c r="DF146" t="str">
        <f>IF(D146="","",IF(TRIM(AB146&amp;"")&lt;&gt;"",IF(LOWER(TRIM(AB146&amp;""))="да","да","нет"),IF(IFERROR(_xlfn.XLOOKUP(AT146,Коды_код,Коды_пожарная),"")="да","да","нет")))</f>
        <v>нет</v>
      </c>
      <c r="DG146" t="str">
        <f t="shared" si="208"/>
        <v/>
      </c>
      <c r="DH146" t="str">
        <f t="shared" si="209"/>
        <v>основная</v>
      </c>
      <c r="DI146">
        <f t="shared" si="210"/>
        <v>1</v>
      </c>
      <c r="DJ146" t="str" cm="1">
        <f t="array" ref="DJ146">IF(D146="","",_xlfn.LET(_xlpm.t,IFERROR(_xlfn.XLOOKUP(1,(Шины[Шина]=DH146)*(((Шины[Щит]=A146)+(Шины[Щит]=""))&gt;0),Шины[Тип]),"")&amp;"",IF(_xlpm.t&lt;&gt;"",_xlpm.t,IF(ISNUMBER(SEARCH("ИБП",DH146)),"ИБП",IF(ISNUMBER(SEARCH("ДГУ",DH146)),"ДГУ","Ввод "&amp;DI146)))))</f>
        <v>Ввод 1</v>
      </c>
      <c r="DK146" t="str">
        <f t="shared" si="211"/>
        <v>Ввод 1</v>
      </c>
      <c r="DL146" t="str">
        <f>IF(D146="","",IF(OR(DJ146="ИБП",DJ146="ДГУ"),"I особая",IF(DJ146="Одиночная","III",_xlfn.XLOOKUP(A146,Щиты[Щит],Щиты[Категория шины «Ввод»],"III"))))</f>
        <v>II</v>
      </c>
      <c r="DM146">
        <f>IF(D146="",0,IFERROR(MATCH(DE146,{"III","II","I","I особая"},0),1))</f>
        <v>2</v>
      </c>
      <c r="DN146">
        <f t="shared" si="212"/>
        <v>2</v>
      </c>
      <c r="DO146" t="str">
        <f>IF(D146="","",IF(DM146&gt;IFERROR(MATCH(DL146,{"III","II","I","I особая"},0),1),"НЕ ОБЕСПЕЧЕНА","ОК"))</f>
        <v>ОК</v>
      </c>
      <c r="DP146" t="str">
        <f>IF(A146="","",_xlfn.XLOOKUP(A146,Щиты[Щит],Щиты[Путь],""))</f>
        <v>|ГРЩ-ЖД|ЩОВ-2|</v>
      </c>
      <c r="DQ146" t="str">
        <f>IF(D146="","",IF(Z146&lt;&gt;"",Z146,IF(IFERROR(_xlfn.XLOOKUP(AT146,Коды_код,Коды_вид)&amp;"","")="","Прочее",_xlfn.XLOOKUP(AT146,Коды_код,Коды_вид)&amp;"")))</f>
        <v>Вентиляция</v>
      </c>
      <c r="DR146">
        <f>IF(BD146="","",INT((BD146-1)/Столбцов_на_лист)+1)</f>
        <v>2</v>
      </c>
      <c r="DS146" t="str">
        <f t="shared" si="213"/>
        <v>ВВГнг(А)-LS (3х1,5) L=20-0,31%</v>
      </c>
      <c r="DT146">
        <f t="shared" si="214"/>
        <v>0.27</v>
      </c>
      <c r="DU146">
        <f t="shared" si="215"/>
        <v>1.24</v>
      </c>
      <c r="DV146">
        <f t="shared" si="216"/>
        <v>1</v>
      </c>
      <c r="DW146">
        <f>IF(AT146="",0,_xlfn.LET(_xlpm.v,IFERROR(VLOOKUP(D146,УГО_спр,3,FALSE),IFERROR(VLOOKUP(AT146,УГО_спр,3,FALSE),IFERROR(VLOOKUP(LEFT(AT146,2),УГО_спр,3,FALSE),""))),IF(_xlpm.v="да",30,IF(ISNUMBER(_xlpm.v),_xlpm.v,0))))</f>
        <v>0</v>
      </c>
      <c r="DX146">
        <f t="shared" si="217"/>
        <v>0</v>
      </c>
      <c r="DY146">
        <f>IF(BD146="","",IF(AD146&lt;&gt;"",COUNTIFS(A$3:A146,A146,AD$3:AD146,"?*"),IF(OR(OR(AS146=1,A146&lt;&gt;A145),AL146="вручную"),"",IF(AS146=1,"",DZ145))))</f>
        <v>16</v>
      </c>
      <c r="DZ146">
        <f t="shared" si="218"/>
        <v>16</v>
      </c>
      <c r="EA146">
        <f>IF(D146="",0,MAX(IFERROR(--X146,0),IFERROR(--VLOOKUP(D146,УГО_спр,4,FALSE),IFERROR(--VLOOKUP(AT146,УГО_спр,4,FALSE),IFERROR(--VLOOKUP(LEFT(AT146,2),УГО_спр,4,FALSE),0)))))</f>
        <v>0</v>
      </c>
      <c r="EB146">
        <f>IF(D146="","",IFERROR(LOOKUP(INDEX(CHOOSE(BR146,Iдоп_1ж,Iдоп_2ж,Iдоп_3ж),MATCH(BS146,Iдоп_S,0))*BP146*BQ146,{6,10,16,20,25,32,40,50,63,80,100,125,160,200,250,315,400,500,630}),""))</f>
        <v>16</v>
      </c>
      <c r="EC146">
        <f>IF(AD146="","",SUMIFS(Линии[_Ток схемы],Линии[_гр.],DY146,Линии[Щит],A146,Линии[_в кабель выше],0))</f>
        <v>1.24</v>
      </c>
      <c r="ED146">
        <f>IF(AD146="","",IFERROR(VLOOKUP(EC146,Автомат_номиналы,2,TRUE),""))</f>
        <v>6</v>
      </c>
      <c r="EE146">
        <f>IF(AD146="","",MAX(N(ED146),_xlfn.MAXIFS(Линии[_мин. по типу],Линии[_гр.],DY146,Линии[Щит],A146)))</f>
        <v>6</v>
      </c>
      <c r="EF146">
        <f>IF(AD146="","",_xlfn.MINIFS(Линии[_макс. автомат по кабелю],Линии[_гр.],DY146,Линии[Щит],A146))</f>
        <v>16</v>
      </c>
      <c r="EG146">
        <f>IF(AD146="","",MAX(1,_xlfn.MAXIFS(Линии[_фаз],Линии[_гр.],DY146,Линии[Щит],A146)))</f>
        <v>1</v>
      </c>
      <c r="EH146">
        <f>IF(AD146="","",IF(AND(AD146&lt;&gt;"авто",AD146&lt;&gt;"+"),IF(ISNUMBER(SEARCH("мА",AD146)),IFERROR(--TRIM(RIGHT(SUBSTITUTE(LEFT(AD146,SEARCH("мА",AD146)-1)," ",REPT(" ",9)),6)),30),0),IF(AE146="нет",0,IF(ISNUMBER(AE146),AE146,IF(AE146="да",30,_xlfn.MINIFS(Линии[_дифзащита по коду, мА],Линии[_гр.],DY146,Линии[Щит],A146,Линии[_дифзащита по коду, мА],"&gt;0"))))))</f>
        <v>0</v>
      </c>
      <c r="EI146">
        <f t="shared" si="219"/>
        <v>0</v>
      </c>
      <c r="EJ146" t="str">
        <f t="shared" si="220"/>
        <v>QF16</v>
      </c>
      <c r="EK146" t="str">
        <f t="shared" si="221"/>
        <v>QF16</v>
      </c>
      <c r="EL146" t="str">
        <f t="shared" si="222"/>
        <v/>
      </c>
      <c r="EM146">
        <f t="shared" si="223"/>
        <v>0</v>
      </c>
      <c r="EN146">
        <f>IF(AD146="","",IF(EM146=1,MAX(EE146,Мин_автомат_БП),EE146))</f>
        <v>6</v>
      </c>
      <c r="EO146" t="str">
        <f t="shared" si="224"/>
        <v>1P</v>
      </c>
      <c r="EP146" t="str">
        <f t="shared" si="225"/>
        <v>1P С6А</v>
      </c>
      <c r="EQ146">
        <f t="shared" si="226"/>
        <v>6</v>
      </c>
      <c r="ER146" t="str">
        <f>IF(OR(AI146="",AI146="-"),"",IFERROR(VLOOKUP(AI146,Модули_спр,2,FALSE),"R"))</f>
        <v/>
      </c>
      <c r="ES146" t="str">
        <f>IF(ER146="","",ER146&amp;"."&amp;COUNTIFS(A$3:A146,A146,ER$3:ER146,ER146))</f>
        <v/>
      </c>
      <c r="ET146" t="str">
        <f t="shared" si="227"/>
        <v/>
      </c>
      <c r="EU146" t="str">
        <f t="shared" si="228"/>
        <v/>
      </c>
      <c r="EV146" t="str">
        <f t="shared" si="229"/>
        <v/>
      </c>
      <c r="EW146" t="str">
        <f t="shared" si="230"/>
        <v/>
      </c>
      <c r="EX146">
        <f t="shared" si="231"/>
        <v>1</v>
      </c>
      <c r="EY146" t="str">
        <f>IF(AK146="нет","",IF(AK146&lt;&gt;"",AK146,IF(EX146=1,"XT"&amp;COUNTIFS(A$3:A146,A146,EX$3:EX146,1),"")))</f>
        <v/>
      </c>
      <c r="EZ146" t="str">
        <f t="shared" si="232"/>
        <v>QF16</v>
      </c>
      <c r="FA146" t="str">
        <f t="shared" si="233"/>
        <v/>
      </c>
      <c r="FB146" t="str">
        <f t="shared" si="234"/>
        <v>ok</v>
      </c>
      <c r="FC146" t="str">
        <f>IF(OR(EV146="",ET146=""),"",IF(EV146&gt;IFERROR(VLOOKUP(EU146,Модули_спр,3,FALSE),99),"ЛИШНИЙ КАНАЛ",IF(AND(AJ146&lt;&gt;"=",COUNTIFS(Линии[_модуль гр.],ET146,Линии[Канал (итог)],EV146,Линии[Канал],"&lt;&gt;=",Линии[Щит],A146)&gt;1),"ДУБЛЬ КАНАЛА","")))</f>
        <v/>
      </c>
      <c r="FD146">
        <f t="shared" si="235"/>
        <v>6</v>
      </c>
      <c r="FE146" t="str">
        <f t="shared" si="236"/>
        <v>1P С6А</v>
      </c>
      <c r="FF146">
        <f t="shared" si="237"/>
        <v>0</v>
      </c>
      <c r="FG146">
        <f t="shared" si="238"/>
        <v>0</v>
      </c>
      <c r="FH146" t="str">
        <f t="shared" si="239"/>
        <v/>
      </c>
      <c r="FI146">
        <f t="shared" si="240"/>
        <v>10</v>
      </c>
      <c r="FJ146" t="str">
        <f t="shared" si="241"/>
        <v/>
      </c>
      <c r="FK146" t="str">
        <f>IF(AND(D146="",EZ146=""),"",_xlfn.TEXTJOIN("; ",TRUE,IF(AND(D146&lt;&gt;"",DD146=""),"нет фазы",""),IF(AND(D146&lt;&gt;"",N(DT146)=0,CN146&lt;&gt;"Нет"),"нет мощности",""),IF(AND(EY146&lt;&gt;"",COUNTIFS(Линии[Щит],A146,Линии[Клемма (итог)],EY146)&gt;1),"дубль клеммы "&amp;EY146,""),IF(AND(FB146&lt;&gt;"",FB146&lt;&gt;"ok"),FB146,""),IF(FC146&lt;&gt;"",FC146,""),IF(AND(ISNUMBER(SEARCH("(5х",DS146)),N(DV146)=1),"5 жил на 1 фазе",""),IF(AND(AT146="R",AD146&lt;&gt;"",OR(N(EH146)=0,N(EH146)&gt;30)),"розетка без дифзащиты до 30 мА",""),IFERROR(IF(AND(ISNUMBER(CD146),CD146&gt;CE146),"потери "&amp;FIXED(CD146,1)&amp;" % &gt; "&amp;CE146&amp;" %",""),""),IFERROR(IF(LEFT(FJ146,4)="мало","Iкз мало — отключение &gt; 0,4 с",""),""),IF(AND(D146&lt;&gt;"",BD146=""),"не на схеме","")))</f>
        <v/>
      </c>
      <c r="FL146" t="str">
        <f>IF(AD146="","",_xlfn.LET(_xlpm.t,IFERROR(_xlfn.XLOOKUP(EP146,Каталог!$U$4:$U$500,Каталог!$G$4:$G$500),""),_xlpm.k,SEARCH("кА",_xlpm.t),IFERROR(--TRIM(RIGHT(SUBSTITUTE(MID(_xlpm.t,MAX(1,_xlpm.k-4),_xlpm.k-MAX(1,_xlpm.k-4))," ",REPT(" ",9)),5)),"")))</f>
        <v/>
      </c>
      <c r="FM146" t="str">
        <f>IF(OR(FL146="",AD146=""),"",IF(_xlfn.XLOOKUP(A146,Щиты[Щит],Щиты[Iкз max на шинах, кА],"")="","",IF(FL146&lt;_xlfn.XLOOKUP(A146,Щиты[Щит],Щиты[Iкз max на шинах, кА]),"Icu "&amp;FL146&amp;" кА &lt; Iкз max","ok")))</f>
        <v/>
      </c>
      <c r="FN146" t="str">
        <f t="shared" si="242"/>
        <v>QF16</v>
      </c>
      <c r="FO146" t="str">
        <f t="shared" si="243"/>
        <v>QF16|кабель ВВГнг(А)-LS (3х1,5) → Вытяжная установка Технический этаж Пом. №001Т</v>
      </c>
      <c r="FP146" t="str" cm="1">
        <f t="array" ref="FP146">IF(FO146="","",_xlfn.LET(_xlpm.nd,_xlfn.TEXTSPLIT(FO146,"|"),IF(COLUMNS(_xlpm.nd)&gt;1,A146&amp;"¦"&amp;INDEX(_xlpm.nd,1)&amp;"¦"&amp;INDEX(_xlpm.nd,2),"")))</f>
        <v>ЩОВ-2¦QF16¦кабель ВВГнг(А)-LS (3х1,5) → Вытяжная установка Технический этаж Пом. №001Т</v>
      </c>
      <c r="FQ146" t="str">
        <f t="shared" si="244"/>
        <v>В.22¦Вытяжная установка Технический этаж Пом. №001Т</v>
      </c>
      <c r="FR146" t="str" cm="1">
        <f t="array" ref="FR146">IF(FO146="","",_xlfn.LET(_xlpm.nd,_xlfn.TEXTSPLIT(FO146,"|"),IF(COLUMNS(_xlpm.nd)&gt;2,A146&amp;"¦"&amp;INDEX(_xlpm.nd,2)&amp;"¦"&amp;INDEX(_xlpm.nd,3),"")))</f>
        <v/>
      </c>
      <c r="FS146" t="str">
        <f t="shared" si="245"/>
        <v/>
      </c>
      <c r="FT146" t="str" cm="1">
        <f t="array" ref="FT146">IF(FO146="","",_xlfn.LET(_xlpm.nd,_xlfn.TEXTSPLIT(FO146,"|"),IF(COLUMNS(_xlpm.nd)&gt;3,A146&amp;"¦"&amp;INDEX(_xlpm.nd,3)&amp;"¦"&amp;INDEX(_xlpm.nd,4),"")))</f>
        <v/>
      </c>
      <c r="FU146" t="str">
        <f t="shared" si="246"/>
        <v/>
      </c>
      <c r="FV146" t="str" cm="1">
        <f t="array" ref="FV146">IF(FO146="","",_xlfn.LET(_xlpm.nd,_xlfn.TEXTSPLIT(FO146,"|"),IF(COLUMNS(_xlpm.nd)&gt;4,A146&amp;"¦"&amp;INDEX(_xlpm.nd,4)&amp;"¦"&amp;INDEX(_xlpm.nd,5),"")))</f>
        <v/>
      </c>
      <c r="FW146" t="str">
        <f t="shared" si="247"/>
        <v/>
      </c>
      <c r="FX146" t="str" cm="1">
        <f t="array" ref="FX146">IF(FO146="","",_xlfn.LET(_xlpm.nd,_xlfn.TEXTSPLIT(FO146,"|"),IF(COLUMNS(_xlpm.nd)&gt;5,A146&amp;"¦"&amp;INDEX(_xlpm.nd,5)&amp;"¦"&amp;INDEX(_xlpm.nd,6),"")))</f>
        <v/>
      </c>
      <c r="FY146" t="str">
        <f t="shared" si="248"/>
        <v/>
      </c>
      <c r="FZ146" t="str" cm="1">
        <f t="array" ref="FZ146">IF(FO146="","",_xlfn.LET(_xlpm.nd,_xlfn.TEXTSPLIT(FO146,"|"),IF(COLUMNS(_xlpm.nd)&gt;6,A146&amp;"¦"&amp;INDEX(_xlpm.nd,6)&amp;"¦"&amp;INDEX(_xlpm.nd,7),"")))</f>
        <v/>
      </c>
      <c r="GA146" t="str">
        <f t="shared" si="249"/>
        <v/>
      </c>
      <c r="GB146" t="str">
        <f t="shared" si="250"/>
        <v/>
      </c>
      <c r="GC146" t="str">
        <f t="shared" si="251"/>
        <v>QF16</v>
      </c>
      <c r="GD146">
        <f t="shared" si="252"/>
        <v>1</v>
      </c>
      <c r="GE146">
        <f t="shared" si="253"/>
        <v>0</v>
      </c>
      <c r="GF146">
        <f t="shared" si="254"/>
        <v>0</v>
      </c>
      <c r="GG146" t="str">
        <f t="shared" si="255"/>
        <v/>
      </c>
      <c r="GH146" t="str">
        <f t="shared" si="256"/>
        <v/>
      </c>
      <c r="GI146" t="str">
        <f t="shared" si="257"/>
        <v/>
      </c>
      <c r="GJ146" t="str">
        <f t="shared" si="258"/>
        <v/>
      </c>
      <c r="GK146" t="str">
        <f>IF(D146="","",IFERROR(VLOOKUP(D146,УГО_спр,2,FALSE),IFERROR(VLOOKUP(AT146,УГО_спр,2,FALSE),IFERROR(VLOOKUP(LEFT(AT146,2),УГО_спр,2,FALSE),""))))</f>
        <v>Привод (двигатель)</v>
      </c>
      <c r="GL146" t="str">
        <f>IF(D146="","",IF(OR(GK146="",GK146=0),"BOX",IFERROR(IF(VLOOKUP(GK146,УГО_блоки,3,FALSE)&amp;""&lt;&gt;"",VLOOKUP(GK146,УГО_блоки,3,FALSE),VLOOKUP(GK146,УГО_блоки,2,FALSE)),GK146)))</f>
        <v>MOTOR</v>
      </c>
      <c r="GM146">
        <f t="shared" si="259"/>
        <v>1</v>
      </c>
      <c r="GN146" t="str">
        <f>IF(EP146="","",IF(COUNTIF(EP$3:EP146,EP146)=1,MAX(GN$2:GN145)+1,""))</f>
        <v/>
      </c>
      <c r="GO146" t="str">
        <f>IF(AF146="","",IF(COUNTIF(AF$3:AF146,AF146)+COUNTIF(AG$2:AG145,AF146)+COUNTIF(AH$2:AH145,AF146)=1,MAX(GO$2:GQ145)+1,""))</f>
        <v/>
      </c>
      <c r="GP146" t="str">
        <f>IF(AG146="","",IF(COUNTIF(AF$3:AF146,AG146)+COUNTIF(AG$3:AG146,AG146)+COUNTIF(AH$2:AH145,AG146)=1,MAX(GO$2:GQ145,GO146)+1,""))</f>
        <v/>
      </c>
      <c r="GQ146" t="str">
        <f>IF(AH146="","",IF(COUNTIF(AF$3:AF146,AH146)+COUNTIF(AG$3:AG146,AH146)+COUNTIF(AH$3:AH146,AH146)=1,MAX(GO$2:GQ145,GO146,GP146)+1,""))</f>
        <v/>
      </c>
      <c r="GR146" t="str">
        <f t="shared" si="260"/>
        <v>3х1,5</v>
      </c>
      <c r="GS146" t="str">
        <f>IF(GR146="","",IF(COUNTIF(GR$3:GR146,GR146)=1,MAX(GS$2:GS145)+1,""))</f>
        <v/>
      </c>
      <c r="GT146" t="str">
        <f>IF(ES146="","",COUNTIF(ES$3:ES146,"?*"))</f>
        <v/>
      </c>
      <c r="GU146" t="str">
        <f>IF(OR(ES146="",EU146=""),"",IF(COUNTIFS(ES$3:ES146,"?*",EU$3:EU146,EU146)=1,MAX(GU$2:GU145)+1,""))</f>
        <v/>
      </c>
      <c r="GV146">
        <f t="shared" si="261"/>
        <v>0</v>
      </c>
      <c r="GW146">
        <f>IF(D146="","",COUNTIF(D$3:D146,"?*"))</f>
        <v>144</v>
      </c>
      <c r="GX146">
        <f>IF(EX146&lt;&gt;1,0,_xlfn.LET(_xlpm.k,MAX(IFERROR(--VLOOKUP(D146,УГО_спр,5,FALSE),0),IFERROR(--VLOOKUP(AT146,УГО_спр,5,FALSE),0),IFERROR(--VLOOKUP(LEFT(AT146,2),УГО_спр,5,FALSE),0)),IF(_xlpm.k&gt;0,_xlpm.k,IF(IFERROR(--LEFT(SUBSTITUTE(GR146,"x","х"),FIND("х",SUBSTITUTE(GR146,"x","х"))-1),3)&gt;3,Каталог!$S$9,1))))</f>
        <v>1</v>
      </c>
      <c r="GY146">
        <f t="shared" si="262"/>
        <v>0</v>
      </c>
    </row>
    <row r="147" spans="1:207" x14ac:dyDescent="0.3">
      <c r="A147" t="s">
        <v>756</v>
      </c>
      <c r="B147">
        <v>31</v>
      </c>
      <c r="C147" t="str">
        <f>IF(BD147="","",IF(BE147="вводной узел","узел ","")&amp;"л."&amp;(INT((BD147-1)/Столбцов_на_лист)+1)&amp;" / "&amp;(MOD(BD147-1,Столбцов_на_лист)+1))</f>
        <v>л.2 / 14</v>
      </c>
      <c r="D147" t="s">
        <v>1450</v>
      </c>
      <c r="E147" s="133" t="s">
        <v>1448</v>
      </c>
      <c r="G147">
        <v>0.27</v>
      </c>
      <c r="H147">
        <v>1</v>
      </c>
      <c r="I147">
        <v>1</v>
      </c>
      <c r="J147">
        <v>230</v>
      </c>
      <c r="K147" t="s">
        <v>602</v>
      </c>
      <c r="L147">
        <v>0.5</v>
      </c>
      <c r="O147">
        <v>1</v>
      </c>
      <c r="P147">
        <v>30</v>
      </c>
      <c r="Q147">
        <v>4</v>
      </c>
      <c r="R147">
        <v>30</v>
      </c>
      <c r="T147">
        <v>1</v>
      </c>
      <c r="U147" t="s">
        <v>11</v>
      </c>
      <c r="V147">
        <v>3</v>
      </c>
      <c r="W147">
        <v>1.5</v>
      </c>
      <c r="Z147" t="s">
        <v>584</v>
      </c>
      <c r="AA147" t="s">
        <v>818</v>
      </c>
      <c r="AD147" t="s">
        <v>517</v>
      </c>
      <c r="AK147" t="s">
        <v>488</v>
      </c>
      <c r="AR147" t="str">
        <f t="shared" si="176"/>
        <v/>
      </c>
      <c r="AS147" cm="1">
        <f t="array" ref="AS147">ROW()-ROW(Линии[#Headers])</f>
        <v>145</v>
      </c>
      <c r="AT147" t="str">
        <f t="shared" si="177"/>
        <v>В</v>
      </c>
      <c r="AU147" t="str">
        <f t="shared" si="178"/>
        <v>23</v>
      </c>
      <c r="AV147" t="str">
        <f t="shared" si="179"/>
        <v>23</v>
      </c>
      <c r="AW147" t="str">
        <f t="shared" si="180"/>
        <v/>
      </c>
      <c r="AX147" t="str">
        <f t="shared" si="181"/>
        <v/>
      </c>
      <c r="AY147" t="str">
        <f>IF(D147="","",IF(ISERROR(SEARCH(".",D147)),IFERROR(VLOOKUP(D147,Потребители_обозначение,2,FALSE)&amp;"",""),IFERROR(IF(VLOOKUP(AT147,Потребители_обозначение,4,FALSE)=1,VLOOKUP(AT147,Потребители_обозначение,2,FALSE)&amp;" "&amp;VLOOKUP(AV147,Этаж_обозначение,2,FALSE)&amp;" Пом. №"&amp;AX147,VLOOKUP(AT147,Потребители_обозначение,2,FALSE)&amp;" Шлейф №"&amp;AV147),IFERROR(VLOOKUP(D147,Потребители_обозначение,2,FALSE),""))))</f>
        <v>Вытяжная установка Шлейф №23</v>
      </c>
      <c r="AZ147" t="str">
        <f t="shared" si="182"/>
        <v>Вытяжная установка Технический этаж Пом. №001Т</v>
      </c>
      <c r="BA147" t="str">
        <f>IF(F147&lt;&gt;"",F147,IF(AND(D147&lt;&gt;"",D147&lt;&gt;A147,ISNUMBER(_xlfn.XMATCH(D147,Щиты[Щит]))),D147,""))</f>
        <v/>
      </c>
      <c r="BB147">
        <f>IFERROR(_xlfn.XMATCH(A147,Щиты[Щит]),0)</f>
        <v>7</v>
      </c>
      <c r="BC147">
        <f>IFERROR(N(_xlfn.XLOOKUP(A147,Щиты[Щит],Щиты[Мест под вводной узел])),15)</f>
        <v>12</v>
      </c>
      <c r="BD147">
        <f t="shared" si="183"/>
        <v>31</v>
      </c>
      <c r="BE147" t="str">
        <f t="shared" si="184"/>
        <v>линии</v>
      </c>
      <c r="BF147">
        <f>IF(D147="","",IF(BA147&lt;&gt;"",IFERROR(_xlfn.XLOOKUP(BA147,Щиты[Щит],Щиты[Руст, кВт]),0),N(G147)))</f>
        <v>0.27</v>
      </c>
      <c r="BG147">
        <f>IF(J147&lt;&gt;"",J147,IF(D147="","",IFERROR(IF(VLOOKUP(AT147,Потребители_обозначение,8,FALSE)=0,"",VLOOKUP(AT147,Потребители_обозначение,8,FALSE)),"")))</f>
        <v>230</v>
      </c>
      <c r="BH147">
        <f>IF(I147&lt;&gt;"",I147,IF(D147="","",IFERROR(IF(VLOOKUP(AT147,Потребители_обозначение,9,FALSE)=0,"",VLOOKUP(AT147,Потребители_обозначение,9,FALSE)),"")))</f>
        <v>1</v>
      </c>
      <c r="BI147" t="str">
        <f>IF(U147&lt;&gt;"",U147,IF(D147="","",IFERROR(IF(VLOOKUP(AT147,Потребители_обозначение,6,FALSE)=0,"",VLOOKUP(AT147,Потребители_обозначение,6,FALSE)),"")))</f>
        <v>мс</v>
      </c>
      <c r="BJ147">
        <f>IF(V147&lt;&gt;"",V147,IF(D147="","",IFERROR(IF(VLOOKUP(AT147,Потребители_обозначение,7,FALSE)=0,"",VLOOKUP(AT147,Потребители_обозначение,7,FALSE)),"")))</f>
        <v>3</v>
      </c>
      <c r="BK147">
        <f>IF(W147&lt;&gt;"",W147,IF(D147="","",IFERROR(IF(VLOOKUP(AT147,Потребители_обозначение,10,FALSE)=0,"",VLOOKUP(AT147,Потребители_обозначение,10,FALSE)),"")))</f>
        <v>1.5</v>
      </c>
      <c r="BL147">
        <f>IFERROR(VLOOKUP(AT147,Потребители_обозначение,5,FALSE),0)</f>
        <v>1</v>
      </c>
      <c r="BM147" cm="1">
        <f t="array" ref="BM147">IF(D147="","",IF(BA147&lt;&gt;"",IFERROR(_xlfn.XLOOKUP(BA147,Щиты[Щит],Щиты[cos φ]),0.95),IF(ISNUMBER(M147),M147,IFERROR(IF(BL147=2,_xlfn.IFS(BH147=3,VLOOKUP(BF147,Справочная_двигатели,8,FALSE),BH147=1,VLOOKUP(BF147,Справочная_двигатели,10,TRUE)),IF(AND(Методика="нормы 2026",CN147="Сил"),0.8,0.95)),0.95))))</f>
        <v>0.95</v>
      </c>
      <c r="BN147" cm="1">
        <f t="array" ref="BN147">IF(D147="","",IF(BA147&lt;&gt;"",IFERROR(_xlfn.XLOOKUP(BA147,Щиты[Щит],Щиты[Iр, А]),""),IFERROR(_xlfn.IFS(BH147=1,BF147/((Uн_лин/SQRT(3))*BM147),BH147=3,BF147/(SQRT(3)*Uн_лин*BM147)),"")))</f>
        <v>1.230667679062097</v>
      </c>
      <c r="BO147">
        <f>IF(D147="","",IF(N(X147)=0,IFERROR(VLOOKUP(BN147,Автомат_номиналы,2,TRUE),""),X147))</f>
        <v>6</v>
      </c>
      <c r="BP147">
        <f t="shared" si="185"/>
        <v>1</v>
      </c>
      <c r="BQ147">
        <f>IF(ISNUMBER(Y147),Y147,К_прокл)</f>
        <v>1</v>
      </c>
      <c r="BR147">
        <f t="shared" si="186"/>
        <v>2</v>
      </c>
      <c r="BS147" cm="1">
        <f t="array" ref="BS147">IF(D147="","",IF(N(BK147)&lt;&gt;0,BK147,IFERROR(_xlfn.LET(_xlpm.need,BO147/(BP147*BQ147),_xlpm.t,CHOOSE(BR147,Iдоп_1ж,Iдоп_2ж,Iдоп_3ж),_xlpm.k,_xlfn.XMATCH(_xlpm.need,_xlpm.t,1),IF(ISNA(_xlpm.k),"Не исп",INDEX(Iдоп_S,_xlpm.k))),"Не исп")))</f>
        <v>1.5</v>
      </c>
      <c r="BT147">
        <f>IFERROR(VLOOKUP(BS147,Кабель_сопротивление,3,FALSE),"")</f>
        <v>2.2499999999999999E-2</v>
      </c>
      <c r="BU147">
        <f>IFERROR(VLOOKUP(BS147,Кабель_сопротивление,2,FALSE),"")</f>
        <v>0.11</v>
      </c>
      <c r="BV147">
        <f t="shared" si="187"/>
        <v>30</v>
      </c>
      <c r="BW147">
        <f>IF(D147="","",IFERROR(IF(VLOOKUP(AT147,Потребители_обозначение,4,FALSE)=1,VLOOKUP(AT147,Потребители_обозначение,3,FALSE)*(H147*2-1)+BV147+VLOOKUP(AV147,Этаж_обозначение,3,FALSE)+VLOOKUP(AV147,Этаж_обозначение,4,FALSE),VLOOKUP(AT147,Потребители_обозначение,3,FALSE)*(H147*2-1)+BV147),BV147))</f>
        <v>34</v>
      </c>
      <c r="BX147">
        <f t="shared" si="188"/>
        <v>30</v>
      </c>
      <c r="BY147">
        <f t="shared" si="189"/>
        <v>0</v>
      </c>
      <c r="BZ147">
        <f t="shared" si="190"/>
        <v>2</v>
      </c>
      <c r="CA147">
        <f t="shared" si="191"/>
        <v>0.31</v>
      </c>
      <c r="CB147">
        <f t="shared" si="192"/>
        <v>1.1953706532253809</v>
      </c>
      <c r="CC147">
        <f>IFERROR(ROUNDUP(CB147/((Uн_лин/SQRT(3))*1000)*100,2),"")</f>
        <v>0.52</v>
      </c>
      <c r="CD147">
        <f>IF(ISNUMBER(CC147),CC147+IFERROR(_xlfn.XLOOKUP(A147,Щиты[Щит],Щиты[ΔU до шин, %]),0),"")</f>
        <v>1.54</v>
      </c>
      <c r="CE147">
        <f>IF(D147="","",IF(IFERROR(VLOOKUP(AT147,УГО_спр,2,FALSE),"")="Светильник",3,4)+IF(Методика="нормы 2026",MIN(0.5,MAX(0,N(BW147)-100)*0.005),0))</f>
        <v>4</v>
      </c>
      <c r="CF147" t="str">
        <f>IFERROR(VLOOKUP(BI147,Кабель_обозначение,2,FALSE),"")</f>
        <v>ВВГнг(А)-LS</v>
      </c>
      <c r="CG147" t="str">
        <f>IFERROR(IF(VLOOKUP(BI147,Кабель_обозначение,3,FALSE)=1,CF147&amp;" ("&amp;BJ147&amp;"х"&amp;BS147&amp;")",CF147),"")</f>
        <v>ВВГнг(А)-LS (3х1,5)</v>
      </c>
      <c r="CH147" t="str">
        <f t="shared" si="193"/>
        <v>ВВГнг(А)-LS (3х1,5)
L=34-0,52%</v>
      </c>
      <c r="CI147">
        <f>IFERROR(2*ρкз_Cu*BW147/BS147,"")</f>
        <v>1.1922666666666666</v>
      </c>
      <c r="CJ147">
        <f t="shared" si="194"/>
        <v>0.39666666666666672</v>
      </c>
      <c r="CK147" t="str">
        <f>IFERROR(IF(OR(D147="",NOT(ISNUMBER(BS147)),N(BW147)=0),"",_xlfn.XLOOKUP(A147,Щиты[Щит],Щиты[Zпетли на шинах, Ом])+CI147),"")</f>
        <v/>
      </c>
      <c r="CL147" t="str">
        <f>IF(ISNUMBER(CK147),c_min*(Uн_лин*1000/SQRT(3))/CK147,"")</f>
        <v/>
      </c>
      <c r="CM147" t="str">
        <f>IFERROR(IF(OR(D147="",NOT(ISNUMBER(BS147))),"",1.05*(Uн_лин*1000/SQRT(3))/(_xlfn.XLOOKUP(A147,Щиты[Щит],Щиты[Zmax на шинах, Ом])+CJ147)/1000),"")</f>
        <v/>
      </c>
      <c r="CN147" t="str">
        <f>IF(D147="","",IF(BA147&lt;&gt;"","Щит",IF(K147&lt;&gt;"",K147,IF(ISNUMBER(L147),"Сил",IF(IFERROR(_xlfn.XLOOKUP(AT147,Коды_код,Коды_группа)&amp;"","")="","Быт",_xlfn.XLOOKUP(AT147,Коды_код,Коды_группа)&amp;"")))))</f>
        <v>Сил</v>
      </c>
      <c r="CO147">
        <f>IF(CN147="Щит","щит",IF(CN147="","",IF(CN147="Быт",IFERROR(_xlfn.XLOOKUP(A147,Щиты[Щит],Щиты[Кс быт]),1),IF(CN147="Сил",IF(ISNUMBER(L147),L147,IF(Методика="нормы 2026",IFERROR(_xlfn.XLOOKUP(A147,Щиты[Щит],Щиты[Кс силовых (табл. 7.5)]),1),1)),IF(OR(CN147="Пост",CN147="Отоп"),1,IF(CN147="ВНГ",0.7,0))))))</f>
        <v>0.5</v>
      </c>
      <c r="CP147">
        <f t="shared" si="195"/>
        <v>1</v>
      </c>
      <c r="CQ147">
        <f t="shared" si="196"/>
        <v>0.27</v>
      </c>
      <c r="CR147">
        <f t="shared" si="197"/>
        <v>0</v>
      </c>
      <c r="CS147">
        <f t="shared" si="198"/>
        <v>0.13500000000000001</v>
      </c>
      <c r="CT147">
        <f t="shared" si="199"/>
        <v>0</v>
      </c>
      <c r="CU147">
        <f t="shared" si="200"/>
        <v>0</v>
      </c>
      <c r="CV147">
        <f t="shared" si="201"/>
        <v>0</v>
      </c>
      <c r="CW147">
        <f t="shared" si="202"/>
        <v>0.27</v>
      </c>
      <c r="CX147">
        <f t="shared" si="203"/>
        <v>0.25650000000000001</v>
      </c>
      <c r="CY147">
        <f t="shared" si="204"/>
        <v>2</v>
      </c>
      <c r="CZ147" t="str">
        <f t="shared" si="205"/>
        <v>L2</v>
      </c>
      <c r="DA147" cm="1">
        <f t="array" ref="DA147">IFERROR(IF(BL147=2,_xlfn.IFS(BH147=3,VLOOKUP(BF147,Справочная_двигатели,3,FALSE),BH147=1,VLOOKUP(BF147,Справочная_двигатели,5,TRUE)),0),0)</f>
        <v>0</v>
      </c>
      <c r="DB147">
        <f>IFERROR(IF(BL147=3,VLOOKUP(BF147,Справочная_ЛЭД,2,TRUE),0),0)</f>
        <v>0</v>
      </c>
      <c r="DC147">
        <f t="shared" si="206"/>
        <v>0</v>
      </c>
      <c r="DD147" t="str">
        <f t="shared" si="207"/>
        <v>L1</v>
      </c>
      <c r="DE147" t="str" cm="1">
        <f t="array" ref="DE147">IF(D147="","",IFERROR(INDEX({"I особая","I","II","III"},MATCH(TRIM(AA147&amp;""),{"I особая","I","II","III"},0)),"III"))</f>
        <v>II</v>
      </c>
      <c r="DF147" t="str">
        <f>IF(D147="","",IF(TRIM(AB147&amp;"")&lt;&gt;"",IF(LOWER(TRIM(AB147&amp;""))="да","да","нет"),IF(IFERROR(_xlfn.XLOOKUP(AT147,Коды_код,Коды_пожарная),"")="да","да","нет")))</f>
        <v>нет</v>
      </c>
      <c r="DG147" t="str">
        <f t="shared" si="208"/>
        <v/>
      </c>
      <c r="DH147" t="str">
        <f t="shared" si="209"/>
        <v>основная</v>
      </c>
      <c r="DI147">
        <f t="shared" si="210"/>
        <v>1</v>
      </c>
      <c r="DJ147" t="str" cm="1">
        <f t="array" ref="DJ147">IF(D147="","",_xlfn.LET(_xlpm.t,IFERROR(_xlfn.XLOOKUP(1,(Шины[Шина]=DH147)*(((Шины[Щит]=A147)+(Шины[Щит]=""))&gt;0),Шины[Тип]),"")&amp;"",IF(_xlpm.t&lt;&gt;"",_xlpm.t,IF(ISNUMBER(SEARCH("ИБП",DH147)),"ИБП",IF(ISNUMBER(SEARCH("ДГУ",DH147)),"ДГУ","Ввод "&amp;DI147)))))</f>
        <v>Ввод 1</v>
      </c>
      <c r="DK147" t="str">
        <f t="shared" si="211"/>
        <v>Ввод 1</v>
      </c>
      <c r="DL147" t="str">
        <f>IF(D147="","",IF(OR(DJ147="ИБП",DJ147="ДГУ"),"I особая",IF(DJ147="Одиночная","III",_xlfn.XLOOKUP(A147,Щиты[Щит],Щиты[Категория шины «Ввод»],"III"))))</f>
        <v>II</v>
      </c>
      <c r="DM147">
        <f>IF(D147="",0,IFERROR(MATCH(DE147,{"III","II","I","I особая"},0),1))</f>
        <v>2</v>
      </c>
      <c r="DN147">
        <f t="shared" si="212"/>
        <v>2</v>
      </c>
      <c r="DO147" t="str">
        <f>IF(D147="","",IF(DM147&gt;IFERROR(MATCH(DL147,{"III","II","I","I особая"},0),1),"НЕ ОБЕСПЕЧЕНА","ОК"))</f>
        <v>ОК</v>
      </c>
      <c r="DP147" t="str">
        <f>IF(A147="","",_xlfn.XLOOKUP(A147,Щиты[Щит],Щиты[Путь],""))</f>
        <v>|ГРЩ-ЖД|ЩОВ-2|</v>
      </c>
      <c r="DQ147" t="str">
        <f>IF(D147="","",IF(Z147&lt;&gt;"",Z147,IF(IFERROR(_xlfn.XLOOKUP(AT147,Коды_код,Коды_вид)&amp;"","")="","Прочее",_xlfn.XLOOKUP(AT147,Коды_код,Коды_вид)&amp;"")))</f>
        <v>Вентиляция</v>
      </c>
      <c r="DR147">
        <f>IF(BD147="","",INT((BD147-1)/Столбцов_на_лист)+1)</f>
        <v>2</v>
      </c>
      <c r="DS147" t="str">
        <f t="shared" si="213"/>
        <v>ВВГнг(А)-LS (3х1,5) L=34-0,52%</v>
      </c>
      <c r="DT147">
        <f t="shared" si="214"/>
        <v>0.27</v>
      </c>
      <c r="DU147">
        <f t="shared" si="215"/>
        <v>1.24</v>
      </c>
      <c r="DV147">
        <f t="shared" si="216"/>
        <v>1</v>
      </c>
      <c r="DW147">
        <f>IF(AT147="",0,_xlfn.LET(_xlpm.v,IFERROR(VLOOKUP(D147,УГО_спр,3,FALSE),IFERROR(VLOOKUP(AT147,УГО_спр,3,FALSE),IFERROR(VLOOKUP(LEFT(AT147,2),УГО_спр,3,FALSE),""))),IF(_xlpm.v="да",30,IF(ISNUMBER(_xlpm.v),_xlpm.v,0))))</f>
        <v>0</v>
      </c>
      <c r="DX147">
        <f t="shared" si="217"/>
        <v>0</v>
      </c>
      <c r="DY147">
        <f>IF(BD147="","",IF(AD147&lt;&gt;"",COUNTIFS(A$3:A147,A147,AD$3:AD147,"?*"),IF(OR(OR(AS147=1,A147&lt;&gt;A146),AL147="вручную"),"",IF(AS147=1,"",DZ146))))</f>
        <v>17</v>
      </c>
      <c r="DZ147">
        <f t="shared" si="218"/>
        <v>17</v>
      </c>
      <c r="EA147">
        <f>IF(D147="",0,MAX(IFERROR(--X147,0),IFERROR(--VLOOKUP(D147,УГО_спр,4,FALSE),IFERROR(--VLOOKUP(AT147,УГО_спр,4,FALSE),IFERROR(--VLOOKUP(LEFT(AT147,2),УГО_спр,4,FALSE),0)))))</f>
        <v>0</v>
      </c>
      <c r="EB147">
        <f>IF(D147="","",IFERROR(LOOKUP(INDEX(CHOOSE(BR147,Iдоп_1ж,Iдоп_2ж,Iдоп_3ж),MATCH(BS147,Iдоп_S,0))*BP147*BQ147,{6,10,16,20,25,32,40,50,63,80,100,125,160,200,250,315,400,500,630}),""))</f>
        <v>16</v>
      </c>
      <c r="EC147">
        <f>IF(AD147="","",SUMIFS(Линии[_Ток схемы],Линии[_гр.],DY147,Линии[Щит],A147,Линии[_в кабель выше],0))</f>
        <v>1.24</v>
      </c>
      <c r="ED147">
        <f>IF(AD147="","",IFERROR(VLOOKUP(EC147,Автомат_номиналы,2,TRUE),""))</f>
        <v>6</v>
      </c>
      <c r="EE147">
        <f>IF(AD147="","",MAX(N(ED147),_xlfn.MAXIFS(Линии[_мин. по типу],Линии[_гр.],DY147,Линии[Щит],A147)))</f>
        <v>6</v>
      </c>
      <c r="EF147">
        <f>IF(AD147="","",_xlfn.MINIFS(Линии[_макс. автомат по кабелю],Линии[_гр.],DY147,Линии[Щит],A147))</f>
        <v>16</v>
      </c>
      <c r="EG147">
        <f>IF(AD147="","",MAX(1,_xlfn.MAXIFS(Линии[_фаз],Линии[_гр.],DY147,Линии[Щит],A147)))</f>
        <v>1</v>
      </c>
      <c r="EH147">
        <f>IF(AD147="","",IF(AND(AD147&lt;&gt;"авто",AD147&lt;&gt;"+"),IF(ISNUMBER(SEARCH("мА",AD147)),IFERROR(--TRIM(RIGHT(SUBSTITUTE(LEFT(AD147,SEARCH("мА",AD147)-1)," ",REPT(" ",9)),6)),30),0),IF(AE147="нет",0,IF(ISNUMBER(AE147),AE147,IF(AE147="да",30,_xlfn.MINIFS(Линии[_дифзащита по коду, мА],Линии[_гр.],DY147,Линии[Щит],A147,Линии[_дифзащита по коду, мА],"&gt;0"))))))</f>
        <v>0</v>
      </c>
      <c r="EI147">
        <f t="shared" si="219"/>
        <v>0</v>
      </c>
      <c r="EJ147" t="str">
        <f t="shared" si="220"/>
        <v>QF17</v>
      </c>
      <c r="EK147" t="str">
        <f t="shared" si="221"/>
        <v>QF17</v>
      </c>
      <c r="EL147" t="str">
        <f t="shared" si="222"/>
        <v/>
      </c>
      <c r="EM147">
        <f t="shared" si="223"/>
        <v>0</v>
      </c>
      <c r="EN147">
        <f>IF(AD147="","",IF(EM147=1,MAX(EE147,Мин_автомат_БП),EE147))</f>
        <v>6</v>
      </c>
      <c r="EO147" t="str">
        <f t="shared" si="224"/>
        <v>1P</v>
      </c>
      <c r="EP147" t="str">
        <f t="shared" si="225"/>
        <v>1P С6А</v>
      </c>
      <c r="EQ147">
        <f t="shared" si="226"/>
        <v>6</v>
      </c>
      <c r="ER147" t="str">
        <f>IF(OR(AI147="",AI147="-"),"",IFERROR(VLOOKUP(AI147,Модули_спр,2,FALSE),"R"))</f>
        <v/>
      </c>
      <c r="ES147" t="str">
        <f>IF(ER147="","",ER147&amp;"."&amp;COUNTIFS(A$3:A147,A147,ER$3:ER147,ER147))</f>
        <v/>
      </c>
      <c r="ET147" t="str">
        <f t="shared" si="227"/>
        <v/>
      </c>
      <c r="EU147" t="str">
        <f t="shared" si="228"/>
        <v/>
      </c>
      <c r="EV147" t="str">
        <f t="shared" si="229"/>
        <v/>
      </c>
      <c r="EW147" t="str">
        <f t="shared" si="230"/>
        <v/>
      </c>
      <c r="EX147">
        <f t="shared" si="231"/>
        <v>1</v>
      </c>
      <c r="EY147" t="str">
        <f>IF(AK147="нет","",IF(AK147&lt;&gt;"",AK147,IF(EX147=1,"XT"&amp;COUNTIFS(A$3:A147,A147,EX$3:EX147,1),"")))</f>
        <v/>
      </c>
      <c r="EZ147" t="str">
        <f t="shared" si="232"/>
        <v>QF17</v>
      </c>
      <c r="FA147" t="str">
        <f t="shared" si="233"/>
        <v/>
      </c>
      <c r="FB147" t="str">
        <f t="shared" si="234"/>
        <v>ok</v>
      </c>
      <c r="FC147" t="str">
        <f>IF(OR(EV147="",ET147=""),"",IF(EV147&gt;IFERROR(VLOOKUP(EU147,Модули_спр,3,FALSE),99),"ЛИШНИЙ КАНАЛ",IF(AND(AJ147&lt;&gt;"=",COUNTIFS(Линии[_модуль гр.],ET147,Линии[Канал (итог)],EV147,Линии[Канал],"&lt;&gt;=",Линии[Щит],A147)&gt;1),"ДУБЛЬ КАНАЛА","")))</f>
        <v/>
      </c>
      <c r="FD147">
        <f t="shared" si="235"/>
        <v>6</v>
      </c>
      <c r="FE147" t="str">
        <f t="shared" si="236"/>
        <v>1P С6А</v>
      </c>
      <c r="FF147">
        <f t="shared" si="237"/>
        <v>0</v>
      </c>
      <c r="FG147">
        <f t="shared" si="238"/>
        <v>0</v>
      </c>
      <c r="FH147" t="str">
        <f t="shared" si="239"/>
        <v/>
      </c>
      <c r="FI147">
        <f t="shared" si="240"/>
        <v>10</v>
      </c>
      <c r="FJ147" t="str">
        <f t="shared" si="241"/>
        <v/>
      </c>
      <c r="FK147" t="str">
        <f>IF(AND(D147="",EZ147=""),"",_xlfn.TEXTJOIN("; ",TRUE,IF(AND(D147&lt;&gt;"",DD147=""),"нет фазы",""),IF(AND(D147&lt;&gt;"",N(DT147)=0,CN147&lt;&gt;"Нет"),"нет мощности",""),IF(AND(EY147&lt;&gt;"",COUNTIFS(Линии[Щит],A147,Линии[Клемма (итог)],EY147)&gt;1),"дубль клеммы "&amp;EY147,""),IF(AND(FB147&lt;&gt;"",FB147&lt;&gt;"ok"),FB147,""),IF(FC147&lt;&gt;"",FC147,""),IF(AND(ISNUMBER(SEARCH("(5х",DS147)),N(DV147)=1),"5 жил на 1 фазе",""),IF(AND(AT147="R",AD147&lt;&gt;"",OR(N(EH147)=0,N(EH147)&gt;30)),"розетка без дифзащиты до 30 мА",""),IFERROR(IF(AND(ISNUMBER(CD147),CD147&gt;CE147),"потери "&amp;FIXED(CD147,1)&amp;" % &gt; "&amp;CE147&amp;" %",""),""),IFERROR(IF(LEFT(FJ147,4)="мало","Iкз мало — отключение &gt; 0,4 с",""),""),IF(AND(D147&lt;&gt;"",BD147=""),"не на схеме","")))</f>
        <v/>
      </c>
      <c r="FL147" t="str">
        <f>IF(AD147="","",_xlfn.LET(_xlpm.t,IFERROR(_xlfn.XLOOKUP(EP147,Каталог!$U$4:$U$500,Каталог!$G$4:$G$500),""),_xlpm.k,SEARCH("кА",_xlpm.t),IFERROR(--TRIM(RIGHT(SUBSTITUTE(MID(_xlpm.t,MAX(1,_xlpm.k-4),_xlpm.k-MAX(1,_xlpm.k-4))," ",REPT(" ",9)),5)),"")))</f>
        <v/>
      </c>
      <c r="FM147" t="str">
        <f>IF(OR(FL147="",AD147=""),"",IF(_xlfn.XLOOKUP(A147,Щиты[Щит],Щиты[Iкз max на шинах, кА],"")="","",IF(FL147&lt;_xlfn.XLOOKUP(A147,Щиты[Щит],Щиты[Iкз max на шинах, кА]),"Icu "&amp;FL147&amp;" кА &lt; Iкз max","ok")))</f>
        <v/>
      </c>
      <c r="FN147" t="str">
        <f t="shared" si="242"/>
        <v>QF17</v>
      </c>
      <c r="FO147" t="str">
        <f t="shared" si="243"/>
        <v>QF17|кабель ВВГнг(А)-LS (3х1,5) → Вытяжная установка Технический этаж Пом. №001Т</v>
      </c>
      <c r="FP147" t="str" cm="1">
        <f t="array" ref="FP147">IF(FO147="","",_xlfn.LET(_xlpm.nd,_xlfn.TEXTSPLIT(FO147,"|"),IF(COLUMNS(_xlpm.nd)&gt;1,A147&amp;"¦"&amp;INDEX(_xlpm.nd,1)&amp;"¦"&amp;INDEX(_xlpm.nd,2),"")))</f>
        <v>ЩОВ-2¦QF17¦кабель ВВГнг(А)-LS (3х1,5) → Вытяжная установка Технический этаж Пом. №001Т</v>
      </c>
      <c r="FQ147" t="str">
        <f t="shared" si="244"/>
        <v>В.23¦Вытяжная установка Технический этаж Пом. №001Т</v>
      </c>
      <c r="FR147" t="str" cm="1">
        <f t="array" ref="FR147">IF(FO147="","",_xlfn.LET(_xlpm.nd,_xlfn.TEXTSPLIT(FO147,"|"),IF(COLUMNS(_xlpm.nd)&gt;2,A147&amp;"¦"&amp;INDEX(_xlpm.nd,2)&amp;"¦"&amp;INDEX(_xlpm.nd,3),"")))</f>
        <v/>
      </c>
      <c r="FS147" t="str">
        <f t="shared" si="245"/>
        <v/>
      </c>
      <c r="FT147" t="str" cm="1">
        <f t="array" ref="FT147">IF(FO147="","",_xlfn.LET(_xlpm.nd,_xlfn.TEXTSPLIT(FO147,"|"),IF(COLUMNS(_xlpm.nd)&gt;3,A147&amp;"¦"&amp;INDEX(_xlpm.nd,3)&amp;"¦"&amp;INDEX(_xlpm.nd,4),"")))</f>
        <v/>
      </c>
      <c r="FU147" t="str">
        <f t="shared" si="246"/>
        <v/>
      </c>
      <c r="FV147" t="str" cm="1">
        <f t="array" ref="FV147">IF(FO147="","",_xlfn.LET(_xlpm.nd,_xlfn.TEXTSPLIT(FO147,"|"),IF(COLUMNS(_xlpm.nd)&gt;4,A147&amp;"¦"&amp;INDEX(_xlpm.nd,4)&amp;"¦"&amp;INDEX(_xlpm.nd,5),"")))</f>
        <v/>
      </c>
      <c r="FW147" t="str">
        <f t="shared" si="247"/>
        <v/>
      </c>
      <c r="FX147" t="str" cm="1">
        <f t="array" ref="FX147">IF(FO147="","",_xlfn.LET(_xlpm.nd,_xlfn.TEXTSPLIT(FO147,"|"),IF(COLUMNS(_xlpm.nd)&gt;5,A147&amp;"¦"&amp;INDEX(_xlpm.nd,5)&amp;"¦"&amp;INDEX(_xlpm.nd,6),"")))</f>
        <v/>
      </c>
      <c r="FY147" t="str">
        <f t="shared" si="248"/>
        <v/>
      </c>
      <c r="FZ147" t="str" cm="1">
        <f t="array" ref="FZ147">IF(FO147="","",_xlfn.LET(_xlpm.nd,_xlfn.TEXTSPLIT(FO147,"|"),IF(COLUMNS(_xlpm.nd)&gt;6,A147&amp;"¦"&amp;INDEX(_xlpm.nd,6)&amp;"¦"&amp;INDEX(_xlpm.nd,7),"")))</f>
        <v/>
      </c>
      <c r="GA147" t="str">
        <f t="shared" si="249"/>
        <v/>
      </c>
      <c r="GB147" t="str">
        <f t="shared" si="250"/>
        <v/>
      </c>
      <c r="GC147" t="str">
        <f t="shared" si="251"/>
        <v>QF17</v>
      </c>
      <c r="GD147">
        <f t="shared" si="252"/>
        <v>1</v>
      </c>
      <c r="GE147">
        <f t="shared" si="253"/>
        <v>0</v>
      </c>
      <c r="GF147">
        <f t="shared" si="254"/>
        <v>0</v>
      </c>
      <c r="GG147" t="str">
        <f t="shared" si="255"/>
        <v/>
      </c>
      <c r="GH147" t="str">
        <f t="shared" si="256"/>
        <v/>
      </c>
      <c r="GI147" t="str">
        <f t="shared" si="257"/>
        <v/>
      </c>
      <c r="GJ147" t="str">
        <f t="shared" si="258"/>
        <v/>
      </c>
      <c r="GK147" t="str">
        <f>IF(D147="","",IFERROR(VLOOKUP(D147,УГО_спр,2,FALSE),IFERROR(VLOOKUP(AT147,УГО_спр,2,FALSE),IFERROR(VLOOKUP(LEFT(AT147,2),УГО_спр,2,FALSE),""))))</f>
        <v>Привод (двигатель)</v>
      </c>
      <c r="GL147" t="str">
        <f>IF(D147="","",IF(OR(GK147="",GK147=0),"BOX",IFERROR(IF(VLOOKUP(GK147,УГО_блоки,3,FALSE)&amp;""&lt;&gt;"",VLOOKUP(GK147,УГО_блоки,3,FALSE),VLOOKUP(GK147,УГО_блоки,2,FALSE)),GK147)))</f>
        <v>MOTOR</v>
      </c>
      <c r="GM147">
        <f t="shared" si="259"/>
        <v>1</v>
      </c>
      <c r="GN147" t="str">
        <f>IF(EP147="","",IF(COUNTIF(EP$3:EP147,EP147)=1,MAX(GN$2:GN146)+1,""))</f>
        <v/>
      </c>
      <c r="GO147" t="str">
        <f>IF(AF147="","",IF(COUNTIF(AF$3:AF147,AF147)+COUNTIF(AG$2:AG146,AF147)+COUNTIF(AH$2:AH146,AF147)=1,MAX(GO$2:GQ146)+1,""))</f>
        <v/>
      </c>
      <c r="GP147" t="str">
        <f>IF(AG147="","",IF(COUNTIF(AF$3:AF147,AG147)+COUNTIF(AG$3:AG147,AG147)+COUNTIF(AH$2:AH146,AG147)=1,MAX(GO$2:GQ146,GO147)+1,""))</f>
        <v/>
      </c>
      <c r="GQ147" t="str">
        <f>IF(AH147="","",IF(COUNTIF(AF$3:AF147,AH147)+COUNTIF(AG$3:AG147,AH147)+COUNTIF(AH$3:AH147,AH147)=1,MAX(GO$2:GQ146,GO147,GP147)+1,""))</f>
        <v/>
      </c>
      <c r="GR147" t="str">
        <f t="shared" si="260"/>
        <v>3х1,5</v>
      </c>
      <c r="GS147" t="str">
        <f>IF(GR147="","",IF(COUNTIF(GR$3:GR147,GR147)=1,MAX(GS$2:GS146)+1,""))</f>
        <v/>
      </c>
      <c r="GT147" t="str">
        <f>IF(ES147="","",COUNTIF(ES$3:ES147,"?*"))</f>
        <v/>
      </c>
      <c r="GU147" t="str">
        <f>IF(OR(ES147="",EU147=""),"",IF(COUNTIFS(ES$3:ES147,"?*",EU$3:EU147,EU147)=1,MAX(GU$2:GU146)+1,""))</f>
        <v/>
      </c>
      <c r="GV147">
        <f t="shared" si="261"/>
        <v>0</v>
      </c>
      <c r="GW147">
        <f>IF(D147="","",COUNTIF(D$3:D147,"?*"))</f>
        <v>145</v>
      </c>
      <c r="GX147">
        <f>IF(EX147&lt;&gt;1,0,_xlfn.LET(_xlpm.k,MAX(IFERROR(--VLOOKUP(D147,УГО_спр,5,FALSE),0),IFERROR(--VLOOKUP(AT147,УГО_спр,5,FALSE),0),IFERROR(--VLOOKUP(LEFT(AT147,2),УГО_спр,5,FALSE),0)),IF(_xlpm.k&gt;0,_xlpm.k,IF(IFERROR(--LEFT(SUBSTITUTE(GR147,"x","х"),FIND("х",SUBSTITUTE(GR147,"x","х"))-1),3)&gt;3,Каталог!$S$9,1))))</f>
        <v>1</v>
      </c>
      <c r="GY147">
        <f t="shared" si="262"/>
        <v>0</v>
      </c>
    </row>
    <row r="148" spans="1:207" x14ac:dyDescent="0.3">
      <c r="A148" t="s">
        <v>756</v>
      </c>
      <c r="B148">
        <v>32</v>
      </c>
      <c r="C148" t="str">
        <f>IF(BD148="","",IF(BE148="вводной узел","узел ","")&amp;"л."&amp;(INT((BD148-1)/Столбцов_на_лист)+1)&amp;" / "&amp;(MOD(BD148-1,Столбцов_на_лист)+1))</f>
        <v>л.2 / 15</v>
      </c>
      <c r="D148" t="s">
        <v>1451</v>
      </c>
      <c r="E148" s="133" t="s">
        <v>1448</v>
      </c>
      <c r="G148">
        <v>0.27</v>
      </c>
      <c r="H148">
        <v>1</v>
      </c>
      <c r="I148">
        <v>1</v>
      </c>
      <c r="J148">
        <v>230</v>
      </c>
      <c r="K148" t="s">
        <v>602</v>
      </c>
      <c r="L148">
        <v>0.5</v>
      </c>
      <c r="O148">
        <v>1</v>
      </c>
      <c r="P148">
        <v>13</v>
      </c>
      <c r="Q148">
        <v>4</v>
      </c>
      <c r="R148">
        <v>13</v>
      </c>
      <c r="T148">
        <v>1</v>
      </c>
      <c r="U148" t="s">
        <v>11</v>
      </c>
      <c r="V148">
        <v>3</v>
      </c>
      <c r="W148">
        <v>1.5</v>
      </c>
      <c r="Z148" t="s">
        <v>584</v>
      </c>
      <c r="AA148" t="s">
        <v>818</v>
      </c>
      <c r="AD148" t="s">
        <v>517</v>
      </c>
      <c r="AK148" t="s">
        <v>488</v>
      </c>
      <c r="AR148" t="str">
        <f t="shared" si="176"/>
        <v/>
      </c>
      <c r="AS148" cm="1">
        <f t="array" ref="AS148">ROW()-ROW(Линии[#Headers])</f>
        <v>146</v>
      </c>
      <c r="AT148" t="str">
        <f t="shared" si="177"/>
        <v>В</v>
      </c>
      <c r="AU148" t="str">
        <f t="shared" si="178"/>
        <v>8</v>
      </c>
      <c r="AV148" t="str">
        <f t="shared" si="179"/>
        <v>8</v>
      </c>
      <c r="AW148" t="str">
        <f t="shared" si="180"/>
        <v/>
      </c>
      <c r="AX148" t="str">
        <f t="shared" si="181"/>
        <v/>
      </c>
      <c r="AY148" t="str">
        <f>IF(D148="","",IF(ISERROR(SEARCH(".",D148)),IFERROR(VLOOKUP(D148,Потребители_обозначение,2,FALSE)&amp;"",""),IFERROR(IF(VLOOKUP(AT148,Потребители_обозначение,4,FALSE)=1,VLOOKUP(AT148,Потребители_обозначение,2,FALSE)&amp;" "&amp;VLOOKUP(AV148,Этаж_обозначение,2,FALSE)&amp;" Пом. №"&amp;AX148,VLOOKUP(AT148,Потребители_обозначение,2,FALSE)&amp;" Шлейф №"&amp;AV148),IFERROR(VLOOKUP(D148,Потребители_обозначение,2,FALSE),""))))</f>
        <v>Вытяжная установка Шлейф №8</v>
      </c>
      <c r="AZ148" t="str">
        <f t="shared" si="182"/>
        <v>Вытяжная установка Технический этаж Пом. №001Т</v>
      </c>
      <c r="BA148" t="str">
        <f>IF(F148&lt;&gt;"",F148,IF(AND(D148&lt;&gt;"",D148&lt;&gt;A148,ISNUMBER(_xlfn.XMATCH(D148,Щиты[Щит]))),D148,""))</f>
        <v/>
      </c>
      <c r="BB148">
        <f>IFERROR(_xlfn.XMATCH(A148,Щиты[Щит]),0)</f>
        <v>7</v>
      </c>
      <c r="BC148">
        <f>IFERROR(N(_xlfn.XLOOKUP(A148,Щиты[Щит],Щиты[Мест под вводной узел])),15)</f>
        <v>12</v>
      </c>
      <c r="BD148">
        <f t="shared" si="183"/>
        <v>32</v>
      </c>
      <c r="BE148" t="str">
        <f t="shared" si="184"/>
        <v>линии</v>
      </c>
      <c r="BF148">
        <f>IF(D148="","",IF(BA148&lt;&gt;"",IFERROR(_xlfn.XLOOKUP(BA148,Щиты[Щит],Щиты[Руст, кВт]),0),N(G148)))</f>
        <v>0.27</v>
      </c>
      <c r="BG148">
        <f>IF(J148&lt;&gt;"",J148,IF(D148="","",IFERROR(IF(VLOOKUP(AT148,Потребители_обозначение,8,FALSE)=0,"",VLOOKUP(AT148,Потребители_обозначение,8,FALSE)),"")))</f>
        <v>230</v>
      </c>
      <c r="BH148">
        <f>IF(I148&lt;&gt;"",I148,IF(D148="","",IFERROR(IF(VLOOKUP(AT148,Потребители_обозначение,9,FALSE)=0,"",VLOOKUP(AT148,Потребители_обозначение,9,FALSE)),"")))</f>
        <v>1</v>
      </c>
      <c r="BI148" t="str">
        <f>IF(U148&lt;&gt;"",U148,IF(D148="","",IFERROR(IF(VLOOKUP(AT148,Потребители_обозначение,6,FALSE)=0,"",VLOOKUP(AT148,Потребители_обозначение,6,FALSE)),"")))</f>
        <v>мс</v>
      </c>
      <c r="BJ148">
        <f>IF(V148&lt;&gt;"",V148,IF(D148="","",IFERROR(IF(VLOOKUP(AT148,Потребители_обозначение,7,FALSE)=0,"",VLOOKUP(AT148,Потребители_обозначение,7,FALSE)),"")))</f>
        <v>3</v>
      </c>
      <c r="BK148">
        <f>IF(W148&lt;&gt;"",W148,IF(D148="","",IFERROR(IF(VLOOKUP(AT148,Потребители_обозначение,10,FALSE)=0,"",VLOOKUP(AT148,Потребители_обозначение,10,FALSE)),"")))</f>
        <v>1.5</v>
      </c>
      <c r="BL148">
        <f>IFERROR(VLOOKUP(AT148,Потребители_обозначение,5,FALSE),0)</f>
        <v>1</v>
      </c>
      <c r="BM148" cm="1">
        <f t="array" ref="BM148">IF(D148="","",IF(BA148&lt;&gt;"",IFERROR(_xlfn.XLOOKUP(BA148,Щиты[Щит],Щиты[cos φ]),0.95),IF(ISNUMBER(M148),M148,IFERROR(IF(BL148=2,_xlfn.IFS(BH148=3,VLOOKUP(BF148,Справочная_двигатели,8,FALSE),BH148=1,VLOOKUP(BF148,Справочная_двигатели,10,TRUE)),IF(AND(Методика="нормы 2026",CN148="Сил"),0.8,0.95)),0.95))))</f>
        <v>0.95</v>
      </c>
      <c r="BN148" cm="1">
        <f t="array" ref="BN148">IF(D148="","",IF(BA148&lt;&gt;"",IFERROR(_xlfn.XLOOKUP(BA148,Щиты[Щит],Щиты[Iр, А]),""),IFERROR(_xlfn.IFS(BH148=1,BF148/((Uн_лин/SQRT(3))*BM148),BH148=3,BF148/(SQRT(3)*Uн_лин*BM148)),"")))</f>
        <v>1.230667679062097</v>
      </c>
      <c r="BO148">
        <f>IF(D148="","",IF(N(X148)=0,IFERROR(VLOOKUP(BN148,Автомат_номиналы,2,TRUE),""),X148))</f>
        <v>6</v>
      </c>
      <c r="BP148">
        <f t="shared" si="185"/>
        <v>1</v>
      </c>
      <c r="BQ148">
        <f>IF(ISNUMBER(Y148),Y148,К_прокл)</f>
        <v>1</v>
      </c>
      <c r="BR148">
        <f t="shared" si="186"/>
        <v>2</v>
      </c>
      <c r="BS148" cm="1">
        <f t="array" ref="BS148">IF(D148="","",IF(N(BK148)&lt;&gt;0,BK148,IFERROR(_xlfn.LET(_xlpm.need,BO148/(BP148*BQ148),_xlpm.t,CHOOSE(BR148,Iдоп_1ж,Iдоп_2ж,Iдоп_3ж),_xlpm.k,_xlfn.XMATCH(_xlpm.need,_xlpm.t,1),IF(ISNA(_xlpm.k),"Не исп",INDEX(Iдоп_S,_xlpm.k))),"Не исп")))</f>
        <v>1.5</v>
      </c>
      <c r="BT148">
        <f>IFERROR(VLOOKUP(BS148,Кабель_сопротивление,3,FALSE),"")</f>
        <v>2.2499999999999999E-2</v>
      </c>
      <c r="BU148">
        <f>IFERROR(VLOOKUP(BS148,Кабель_сопротивление,2,FALSE),"")</f>
        <v>0.11</v>
      </c>
      <c r="BV148">
        <f t="shared" si="187"/>
        <v>13</v>
      </c>
      <c r="BW148">
        <f>IF(D148="","",IFERROR(IF(VLOOKUP(AT148,Потребители_обозначение,4,FALSE)=1,VLOOKUP(AT148,Потребители_обозначение,3,FALSE)*(H148*2-1)+BV148+VLOOKUP(AV148,Этаж_обозначение,3,FALSE)+VLOOKUP(AV148,Этаж_обозначение,4,FALSE),VLOOKUP(AT148,Потребители_обозначение,3,FALSE)*(H148*2-1)+BV148),BV148))</f>
        <v>17</v>
      </c>
      <c r="BX148">
        <f t="shared" si="188"/>
        <v>13</v>
      </c>
      <c r="BY148">
        <f t="shared" si="189"/>
        <v>0</v>
      </c>
      <c r="BZ148">
        <f t="shared" si="190"/>
        <v>2</v>
      </c>
      <c r="CA148">
        <f t="shared" si="191"/>
        <v>0.31</v>
      </c>
      <c r="CB148">
        <f t="shared" si="192"/>
        <v>0.59768532661269047</v>
      </c>
      <c r="CC148">
        <f>IFERROR(ROUNDUP(CB148/((Uн_лин/SQRT(3))*1000)*100,2),"")</f>
        <v>0.26</v>
      </c>
      <c r="CD148">
        <f>IF(ISNUMBER(CC148),CC148+IFERROR(_xlfn.XLOOKUP(A148,Щиты[Щит],Щиты[ΔU до шин, %]),0),"")</f>
        <v>1.28</v>
      </c>
      <c r="CE148">
        <f>IF(D148="","",IF(IFERROR(VLOOKUP(AT148,УГО_спр,2,FALSE),"")="Светильник",3,4)+IF(Методика="нормы 2026",MIN(0.5,MAX(0,N(BW148)-100)*0.005),0))</f>
        <v>4</v>
      </c>
      <c r="CF148" t="str">
        <f>IFERROR(VLOOKUP(BI148,Кабель_обозначение,2,FALSE),"")</f>
        <v>ВВГнг(А)-LS</v>
      </c>
      <c r="CG148" t="str">
        <f>IFERROR(IF(VLOOKUP(BI148,Кабель_обозначение,3,FALSE)=1,CF148&amp;" ("&amp;BJ148&amp;"х"&amp;BS148&amp;")",CF148),"")</f>
        <v>ВВГнг(А)-LS (3х1,5)</v>
      </c>
      <c r="CH148" t="str">
        <f t="shared" si="193"/>
        <v>ВВГнг(А)-LS (3х1,5)
L=17-0,26%</v>
      </c>
      <c r="CI148">
        <f>IFERROR(2*ρкз_Cu*BW148/BS148,"")</f>
        <v>0.59613333333333329</v>
      </c>
      <c r="CJ148">
        <f t="shared" si="194"/>
        <v>0.19833333333333336</v>
      </c>
      <c r="CK148" t="str">
        <f>IFERROR(IF(OR(D148="",NOT(ISNUMBER(BS148)),N(BW148)=0),"",_xlfn.XLOOKUP(A148,Щиты[Щит],Щиты[Zпетли на шинах, Ом])+CI148),"")</f>
        <v/>
      </c>
      <c r="CL148" t="str">
        <f>IF(ISNUMBER(CK148),c_min*(Uн_лин*1000/SQRT(3))/CK148,"")</f>
        <v/>
      </c>
      <c r="CM148" t="str">
        <f>IFERROR(IF(OR(D148="",NOT(ISNUMBER(BS148))),"",1.05*(Uн_лин*1000/SQRT(3))/(_xlfn.XLOOKUP(A148,Щиты[Щит],Щиты[Zmax на шинах, Ом])+CJ148)/1000),"")</f>
        <v/>
      </c>
      <c r="CN148" t="str">
        <f>IF(D148="","",IF(BA148&lt;&gt;"","Щит",IF(K148&lt;&gt;"",K148,IF(ISNUMBER(L148),"Сил",IF(IFERROR(_xlfn.XLOOKUP(AT148,Коды_код,Коды_группа)&amp;"","")="","Быт",_xlfn.XLOOKUP(AT148,Коды_код,Коды_группа)&amp;"")))))</f>
        <v>Сил</v>
      </c>
      <c r="CO148">
        <f>IF(CN148="Щит","щит",IF(CN148="","",IF(CN148="Быт",IFERROR(_xlfn.XLOOKUP(A148,Щиты[Щит],Щиты[Кс быт]),1),IF(CN148="Сил",IF(ISNUMBER(L148),L148,IF(Методика="нормы 2026",IFERROR(_xlfn.XLOOKUP(A148,Щиты[Щит],Щиты[Кс силовых (табл. 7.5)]),1),1)),IF(OR(CN148="Пост",CN148="Отоп"),1,IF(CN148="ВНГ",0.7,0))))))</f>
        <v>0.5</v>
      </c>
      <c r="CP148">
        <f t="shared" si="195"/>
        <v>1</v>
      </c>
      <c r="CQ148">
        <f t="shared" si="196"/>
        <v>0.27</v>
      </c>
      <c r="CR148">
        <f t="shared" si="197"/>
        <v>0</v>
      </c>
      <c r="CS148">
        <f t="shared" si="198"/>
        <v>0.13500000000000001</v>
      </c>
      <c r="CT148">
        <f t="shared" si="199"/>
        <v>0</v>
      </c>
      <c r="CU148">
        <f t="shared" si="200"/>
        <v>0</v>
      </c>
      <c r="CV148">
        <f t="shared" si="201"/>
        <v>0</v>
      </c>
      <c r="CW148">
        <f t="shared" si="202"/>
        <v>0.27</v>
      </c>
      <c r="CX148">
        <f t="shared" si="203"/>
        <v>0.25650000000000001</v>
      </c>
      <c r="CY148">
        <f t="shared" si="204"/>
        <v>3</v>
      </c>
      <c r="CZ148" t="str">
        <f t="shared" si="205"/>
        <v>L3</v>
      </c>
      <c r="DA148" cm="1">
        <f t="array" ref="DA148">IFERROR(IF(BL148=2,_xlfn.IFS(BH148=3,VLOOKUP(BF148,Справочная_двигатели,3,FALSE),BH148=1,VLOOKUP(BF148,Справочная_двигатели,5,TRUE)),0),0)</f>
        <v>0</v>
      </c>
      <c r="DB148">
        <f>IFERROR(IF(BL148=3,VLOOKUP(BF148,Справочная_ЛЭД,2,TRUE),0),0)</f>
        <v>0</v>
      </c>
      <c r="DC148">
        <f t="shared" si="206"/>
        <v>0</v>
      </c>
      <c r="DD148" t="str">
        <f t="shared" si="207"/>
        <v>L1</v>
      </c>
      <c r="DE148" t="str" cm="1">
        <f t="array" ref="DE148">IF(D148="","",IFERROR(INDEX({"I особая","I","II","III"},MATCH(TRIM(AA148&amp;""),{"I особая","I","II","III"},0)),"III"))</f>
        <v>II</v>
      </c>
      <c r="DF148" t="str">
        <f>IF(D148="","",IF(TRIM(AB148&amp;"")&lt;&gt;"",IF(LOWER(TRIM(AB148&amp;""))="да","да","нет"),IF(IFERROR(_xlfn.XLOOKUP(AT148,Коды_код,Коды_пожарная),"")="да","да","нет")))</f>
        <v>нет</v>
      </c>
      <c r="DG148" t="str">
        <f t="shared" si="208"/>
        <v/>
      </c>
      <c r="DH148" t="str">
        <f t="shared" si="209"/>
        <v>основная</v>
      </c>
      <c r="DI148">
        <f t="shared" si="210"/>
        <v>1</v>
      </c>
      <c r="DJ148" t="str" cm="1">
        <f t="array" ref="DJ148">IF(D148="","",_xlfn.LET(_xlpm.t,IFERROR(_xlfn.XLOOKUP(1,(Шины[Шина]=DH148)*(((Шины[Щит]=A148)+(Шины[Щит]=""))&gt;0),Шины[Тип]),"")&amp;"",IF(_xlpm.t&lt;&gt;"",_xlpm.t,IF(ISNUMBER(SEARCH("ИБП",DH148)),"ИБП",IF(ISNUMBER(SEARCH("ДГУ",DH148)),"ДГУ","Ввод "&amp;DI148)))))</f>
        <v>Ввод 1</v>
      </c>
      <c r="DK148" t="str">
        <f t="shared" si="211"/>
        <v>Ввод 1</v>
      </c>
      <c r="DL148" t="str">
        <f>IF(D148="","",IF(OR(DJ148="ИБП",DJ148="ДГУ"),"I особая",IF(DJ148="Одиночная","III",_xlfn.XLOOKUP(A148,Щиты[Щит],Щиты[Категория шины «Ввод»],"III"))))</f>
        <v>II</v>
      </c>
      <c r="DM148">
        <f>IF(D148="",0,IFERROR(MATCH(DE148,{"III","II","I","I особая"},0),1))</f>
        <v>2</v>
      </c>
      <c r="DN148">
        <f t="shared" si="212"/>
        <v>2</v>
      </c>
      <c r="DO148" t="str">
        <f>IF(D148="","",IF(DM148&gt;IFERROR(MATCH(DL148,{"III","II","I","I особая"},0),1),"НЕ ОБЕСПЕЧЕНА","ОК"))</f>
        <v>ОК</v>
      </c>
      <c r="DP148" t="str">
        <f>IF(A148="","",_xlfn.XLOOKUP(A148,Щиты[Щит],Щиты[Путь],""))</f>
        <v>|ГРЩ-ЖД|ЩОВ-2|</v>
      </c>
      <c r="DQ148" t="str">
        <f>IF(D148="","",IF(Z148&lt;&gt;"",Z148,IF(IFERROR(_xlfn.XLOOKUP(AT148,Коды_код,Коды_вид)&amp;"","")="","Прочее",_xlfn.XLOOKUP(AT148,Коды_код,Коды_вид)&amp;"")))</f>
        <v>Вентиляция</v>
      </c>
      <c r="DR148">
        <f>IF(BD148="","",INT((BD148-1)/Столбцов_на_лист)+1)</f>
        <v>2</v>
      </c>
      <c r="DS148" t="str">
        <f t="shared" si="213"/>
        <v>ВВГнг(А)-LS (3х1,5) L=17-0,26%</v>
      </c>
      <c r="DT148">
        <f t="shared" si="214"/>
        <v>0.27</v>
      </c>
      <c r="DU148">
        <f t="shared" si="215"/>
        <v>1.24</v>
      </c>
      <c r="DV148">
        <f t="shared" si="216"/>
        <v>1</v>
      </c>
      <c r="DW148">
        <f>IF(AT148="",0,_xlfn.LET(_xlpm.v,IFERROR(VLOOKUP(D148,УГО_спр,3,FALSE),IFERROR(VLOOKUP(AT148,УГО_спр,3,FALSE),IFERROR(VLOOKUP(LEFT(AT148,2),УГО_спр,3,FALSE),""))),IF(_xlpm.v="да",30,IF(ISNUMBER(_xlpm.v),_xlpm.v,0))))</f>
        <v>0</v>
      </c>
      <c r="DX148">
        <f t="shared" si="217"/>
        <v>0</v>
      </c>
      <c r="DY148">
        <f>IF(BD148="","",IF(AD148&lt;&gt;"",COUNTIFS(A$3:A148,A148,AD$3:AD148,"?*"),IF(OR(OR(AS148=1,A148&lt;&gt;A147),AL148="вручную"),"",IF(AS148=1,"",DZ147))))</f>
        <v>18</v>
      </c>
      <c r="DZ148">
        <f t="shared" si="218"/>
        <v>18</v>
      </c>
      <c r="EA148">
        <f>IF(D148="",0,MAX(IFERROR(--X148,0),IFERROR(--VLOOKUP(D148,УГО_спр,4,FALSE),IFERROR(--VLOOKUP(AT148,УГО_спр,4,FALSE),IFERROR(--VLOOKUP(LEFT(AT148,2),УГО_спр,4,FALSE),0)))))</f>
        <v>0</v>
      </c>
      <c r="EB148">
        <f>IF(D148="","",IFERROR(LOOKUP(INDEX(CHOOSE(BR148,Iдоп_1ж,Iдоп_2ж,Iдоп_3ж),MATCH(BS148,Iдоп_S,0))*BP148*BQ148,{6,10,16,20,25,32,40,50,63,80,100,125,160,200,250,315,400,500,630}),""))</f>
        <v>16</v>
      </c>
      <c r="EC148">
        <f>IF(AD148="","",SUMIFS(Линии[_Ток схемы],Линии[_гр.],DY148,Линии[Щит],A148,Линии[_в кабель выше],0))</f>
        <v>1.24</v>
      </c>
      <c r="ED148">
        <f>IF(AD148="","",IFERROR(VLOOKUP(EC148,Автомат_номиналы,2,TRUE),""))</f>
        <v>6</v>
      </c>
      <c r="EE148">
        <f>IF(AD148="","",MAX(N(ED148),_xlfn.MAXIFS(Линии[_мин. по типу],Линии[_гр.],DY148,Линии[Щит],A148)))</f>
        <v>6</v>
      </c>
      <c r="EF148">
        <f>IF(AD148="","",_xlfn.MINIFS(Линии[_макс. автомат по кабелю],Линии[_гр.],DY148,Линии[Щит],A148))</f>
        <v>16</v>
      </c>
      <c r="EG148">
        <f>IF(AD148="","",MAX(1,_xlfn.MAXIFS(Линии[_фаз],Линии[_гр.],DY148,Линии[Щит],A148)))</f>
        <v>1</v>
      </c>
      <c r="EH148">
        <f>IF(AD148="","",IF(AND(AD148&lt;&gt;"авто",AD148&lt;&gt;"+"),IF(ISNUMBER(SEARCH("мА",AD148)),IFERROR(--TRIM(RIGHT(SUBSTITUTE(LEFT(AD148,SEARCH("мА",AD148)-1)," ",REPT(" ",9)),6)),30),0),IF(AE148="нет",0,IF(ISNUMBER(AE148),AE148,IF(AE148="да",30,_xlfn.MINIFS(Линии[_дифзащита по коду, мА],Линии[_гр.],DY148,Линии[Щит],A148,Линии[_дифзащита по коду, мА],"&gt;0"))))))</f>
        <v>0</v>
      </c>
      <c r="EI148">
        <f t="shared" si="219"/>
        <v>0</v>
      </c>
      <c r="EJ148" t="str">
        <f t="shared" si="220"/>
        <v>QF18</v>
      </c>
      <c r="EK148" t="str">
        <f t="shared" si="221"/>
        <v>QF18</v>
      </c>
      <c r="EL148" t="str">
        <f t="shared" si="222"/>
        <v/>
      </c>
      <c r="EM148">
        <f t="shared" si="223"/>
        <v>0</v>
      </c>
      <c r="EN148">
        <f>IF(AD148="","",IF(EM148=1,MAX(EE148,Мин_автомат_БП),EE148))</f>
        <v>6</v>
      </c>
      <c r="EO148" t="str">
        <f t="shared" si="224"/>
        <v>1P</v>
      </c>
      <c r="EP148" t="str">
        <f t="shared" si="225"/>
        <v>1P С6А</v>
      </c>
      <c r="EQ148">
        <f t="shared" si="226"/>
        <v>6</v>
      </c>
      <c r="ER148" t="str">
        <f>IF(OR(AI148="",AI148="-"),"",IFERROR(VLOOKUP(AI148,Модули_спр,2,FALSE),"R"))</f>
        <v/>
      </c>
      <c r="ES148" t="str">
        <f>IF(ER148="","",ER148&amp;"."&amp;COUNTIFS(A$3:A148,A148,ER$3:ER148,ER148))</f>
        <v/>
      </c>
      <c r="ET148" t="str">
        <f t="shared" si="227"/>
        <v/>
      </c>
      <c r="EU148" t="str">
        <f t="shared" si="228"/>
        <v/>
      </c>
      <c r="EV148" t="str">
        <f t="shared" si="229"/>
        <v/>
      </c>
      <c r="EW148" t="str">
        <f t="shared" si="230"/>
        <v/>
      </c>
      <c r="EX148">
        <f t="shared" si="231"/>
        <v>1</v>
      </c>
      <c r="EY148" t="str">
        <f>IF(AK148="нет","",IF(AK148&lt;&gt;"",AK148,IF(EX148=1,"XT"&amp;COUNTIFS(A$3:A148,A148,EX$3:EX148,1),"")))</f>
        <v/>
      </c>
      <c r="EZ148" t="str">
        <f t="shared" si="232"/>
        <v>QF18</v>
      </c>
      <c r="FA148" t="str">
        <f t="shared" si="233"/>
        <v/>
      </c>
      <c r="FB148" t="str">
        <f t="shared" si="234"/>
        <v>ok</v>
      </c>
      <c r="FC148" t="str">
        <f>IF(OR(EV148="",ET148=""),"",IF(EV148&gt;IFERROR(VLOOKUP(EU148,Модули_спр,3,FALSE),99),"ЛИШНИЙ КАНАЛ",IF(AND(AJ148&lt;&gt;"=",COUNTIFS(Линии[_модуль гр.],ET148,Линии[Канал (итог)],EV148,Линии[Канал],"&lt;&gt;=",Линии[Щит],A148)&gt;1),"ДУБЛЬ КАНАЛА","")))</f>
        <v/>
      </c>
      <c r="FD148">
        <f t="shared" si="235"/>
        <v>6</v>
      </c>
      <c r="FE148" t="str">
        <f t="shared" si="236"/>
        <v>1P С6А</v>
      </c>
      <c r="FF148">
        <f t="shared" si="237"/>
        <v>0</v>
      </c>
      <c r="FG148">
        <f t="shared" si="238"/>
        <v>0</v>
      </c>
      <c r="FH148" t="str">
        <f t="shared" si="239"/>
        <v/>
      </c>
      <c r="FI148">
        <f t="shared" si="240"/>
        <v>10</v>
      </c>
      <c r="FJ148" t="str">
        <f t="shared" si="241"/>
        <v/>
      </c>
      <c r="FK148" t="str">
        <f>IF(AND(D148="",EZ148=""),"",_xlfn.TEXTJOIN("; ",TRUE,IF(AND(D148&lt;&gt;"",DD148=""),"нет фазы",""),IF(AND(D148&lt;&gt;"",N(DT148)=0,CN148&lt;&gt;"Нет"),"нет мощности",""),IF(AND(EY148&lt;&gt;"",COUNTIFS(Линии[Щит],A148,Линии[Клемма (итог)],EY148)&gt;1),"дубль клеммы "&amp;EY148,""),IF(AND(FB148&lt;&gt;"",FB148&lt;&gt;"ok"),FB148,""),IF(FC148&lt;&gt;"",FC148,""),IF(AND(ISNUMBER(SEARCH("(5х",DS148)),N(DV148)=1),"5 жил на 1 фазе",""),IF(AND(AT148="R",AD148&lt;&gt;"",OR(N(EH148)=0,N(EH148)&gt;30)),"розетка без дифзащиты до 30 мА",""),IFERROR(IF(AND(ISNUMBER(CD148),CD148&gt;CE148),"потери "&amp;FIXED(CD148,1)&amp;" % &gt; "&amp;CE148&amp;" %",""),""),IFERROR(IF(LEFT(FJ148,4)="мало","Iкз мало — отключение &gt; 0,4 с",""),""),IF(AND(D148&lt;&gt;"",BD148=""),"не на схеме","")))</f>
        <v/>
      </c>
      <c r="FL148" t="str">
        <f>IF(AD148="","",_xlfn.LET(_xlpm.t,IFERROR(_xlfn.XLOOKUP(EP148,Каталог!$U$4:$U$500,Каталог!$G$4:$G$500),""),_xlpm.k,SEARCH("кА",_xlpm.t),IFERROR(--TRIM(RIGHT(SUBSTITUTE(MID(_xlpm.t,MAX(1,_xlpm.k-4),_xlpm.k-MAX(1,_xlpm.k-4))," ",REPT(" ",9)),5)),"")))</f>
        <v/>
      </c>
      <c r="FM148" t="str">
        <f>IF(OR(FL148="",AD148=""),"",IF(_xlfn.XLOOKUP(A148,Щиты[Щит],Щиты[Iкз max на шинах, кА],"")="","",IF(FL148&lt;_xlfn.XLOOKUP(A148,Щиты[Щит],Щиты[Iкз max на шинах, кА]),"Icu "&amp;FL148&amp;" кА &lt; Iкз max","ok")))</f>
        <v/>
      </c>
      <c r="FN148" t="str">
        <f t="shared" si="242"/>
        <v>QF18</v>
      </c>
      <c r="FO148" t="str">
        <f t="shared" si="243"/>
        <v>QF18|кабель ВВГнг(А)-LS (3х1,5) → Вытяжная установка Технический этаж Пом. №001Т</v>
      </c>
      <c r="FP148" t="str" cm="1">
        <f t="array" ref="FP148">IF(FO148="","",_xlfn.LET(_xlpm.nd,_xlfn.TEXTSPLIT(FO148,"|"),IF(COLUMNS(_xlpm.nd)&gt;1,A148&amp;"¦"&amp;INDEX(_xlpm.nd,1)&amp;"¦"&amp;INDEX(_xlpm.nd,2),"")))</f>
        <v>ЩОВ-2¦QF18¦кабель ВВГнг(А)-LS (3х1,5) → Вытяжная установка Технический этаж Пом. №001Т</v>
      </c>
      <c r="FQ148" t="str">
        <f t="shared" si="244"/>
        <v>В.8¦Вытяжная установка Технический этаж Пом. №001Т</v>
      </c>
      <c r="FR148" t="str" cm="1">
        <f t="array" ref="FR148">IF(FO148="","",_xlfn.LET(_xlpm.nd,_xlfn.TEXTSPLIT(FO148,"|"),IF(COLUMNS(_xlpm.nd)&gt;2,A148&amp;"¦"&amp;INDEX(_xlpm.nd,2)&amp;"¦"&amp;INDEX(_xlpm.nd,3),"")))</f>
        <v/>
      </c>
      <c r="FS148" t="str">
        <f t="shared" si="245"/>
        <v/>
      </c>
      <c r="FT148" t="str" cm="1">
        <f t="array" ref="FT148">IF(FO148="","",_xlfn.LET(_xlpm.nd,_xlfn.TEXTSPLIT(FO148,"|"),IF(COLUMNS(_xlpm.nd)&gt;3,A148&amp;"¦"&amp;INDEX(_xlpm.nd,3)&amp;"¦"&amp;INDEX(_xlpm.nd,4),"")))</f>
        <v/>
      </c>
      <c r="FU148" t="str">
        <f t="shared" si="246"/>
        <v/>
      </c>
      <c r="FV148" t="str" cm="1">
        <f t="array" ref="FV148">IF(FO148="","",_xlfn.LET(_xlpm.nd,_xlfn.TEXTSPLIT(FO148,"|"),IF(COLUMNS(_xlpm.nd)&gt;4,A148&amp;"¦"&amp;INDEX(_xlpm.nd,4)&amp;"¦"&amp;INDEX(_xlpm.nd,5),"")))</f>
        <v/>
      </c>
      <c r="FW148" t="str">
        <f t="shared" si="247"/>
        <v/>
      </c>
      <c r="FX148" t="str" cm="1">
        <f t="array" ref="FX148">IF(FO148="","",_xlfn.LET(_xlpm.nd,_xlfn.TEXTSPLIT(FO148,"|"),IF(COLUMNS(_xlpm.nd)&gt;5,A148&amp;"¦"&amp;INDEX(_xlpm.nd,5)&amp;"¦"&amp;INDEX(_xlpm.nd,6),"")))</f>
        <v/>
      </c>
      <c r="FY148" t="str">
        <f t="shared" si="248"/>
        <v/>
      </c>
      <c r="FZ148" t="str" cm="1">
        <f t="array" ref="FZ148">IF(FO148="","",_xlfn.LET(_xlpm.nd,_xlfn.TEXTSPLIT(FO148,"|"),IF(COLUMNS(_xlpm.nd)&gt;6,A148&amp;"¦"&amp;INDEX(_xlpm.nd,6)&amp;"¦"&amp;INDEX(_xlpm.nd,7),"")))</f>
        <v/>
      </c>
      <c r="GA148" t="str">
        <f t="shared" si="249"/>
        <v/>
      </c>
      <c r="GB148" t="str">
        <f t="shared" si="250"/>
        <v/>
      </c>
      <c r="GC148" t="str">
        <f t="shared" si="251"/>
        <v>QF18</v>
      </c>
      <c r="GD148">
        <f t="shared" si="252"/>
        <v>1</v>
      </c>
      <c r="GE148">
        <f t="shared" si="253"/>
        <v>0</v>
      </c>
      <c r="GF148">
        <f t="shared" si="254"/>
        <v>0</v>
      </c>
      <c r="GG148" t="str">
        <f t="shared" si="255"/>
        <v/>
      </c>
      <c r="GH148" t="str">
        <f t="shared" si="256"/>
        <v/>
      </c>
      <c r="GI148" t="str">
        <f t="shared" si="257"/>
        <v/>
      </c>
      <c r="GJ148" t="str">
        <f t="shared" si="258"/>
        <v/>
      </c>
      <c r="GK148" t="str">
        <f>IF(D148="","",IFERROR(VLOOKUP(D148,УГО_спр,2,FALSE),IFERROR(VLOOKUP(AT148,УГО_спр,2,FALSE),IFERROR(VLOOKUP(LEFT(AT148,2),УГО_спр,2,FALSE),""))))</f>
        <v>Привод (двигатель)</v>
      </c>
      <c r="GL148" t="str">
        <f>IF(D148="","",IF(OR(GK148="",GK148=0),"BOX",IFERROR(IF(VLOOKUP(GK148,УГО_блоки,3,FALSE)&amp;""&lt;&gt;"",VLOOKUP(GK148,УГО_блоки,3,FALSE),VLOOKUP(GK148,УГО_блоки,2,FALSE)),GK148)))</f>
        <v>MOTOR</v>
      </c>
      <c r="GM148">
        <f t="shared" si="259"/>
        <v>1</v>
      </c>
      <c r="GN148" t="str">
        <f>IF(EP148="","",IF(COUNTIF(EP$3:EP148,EP148)=1,MAX(GN$2:GN147)+1,""))</f>
        <v/>
      </c>
      <c r="GO148" t="str">
        <f>IF(AF148="","",IF(COUNTIF(AF$3:AF148,AF148)+COUNTIF(AG$2:AG147,AF148)+COUNTIF(AH$2:AH147,AF148)=1,MAX(GO$2:GQ147)+1,""))</f>
        <v/>
      </c>
      <c r="GP148" t="str">
        <f>IF(AG148="","",IF(COUNTIF(AF$3:AF148,AG148)+COUNTIF(AG$3:AG148,AG148)+COUNTIF(AH$2:AH147,AG148)=1,MAX(GO$2:GQ147,GO148)+1,""))</f>
        <v/>
      </c>
      <c r="GQ148" t="str">
        <f>IF(AH148="","",IF(COUNTIF(AF$3:AF148,AH148)+COUNTIF(AG$3:AG148,AH148)+COUNTIF(AH$3:AH148,AH148)=1,MAX(GO$2:GQ147,GO148,GP148)+1,""))</f>
        <v/>
      </c>
      <c r="GR148" t="str">
        <f t="shared" si="260"/>
        <v>3х1,5</v>
      </c>
      <c r="GS148" t="str">
        <f>IF(GR148="","",IF(COUNTIF(GR$3:GR148,GR148)=1,MAX(GS$2:GS147)+1,""))</f>
        <v/>
      </c>
      <c r="GT148" t="str">
        <f>IF(ES148="","",COUNTIF(ES$3:ES148,"?*"))</f>
        <v/>
      </c>
      <c r="GU148" t="str">
        <f>IF(OR(ES148="",EU148=""),"",IF(COUNTIFS(ES$3:ES148,"?*",EU$3:EU148,EU148)=1,MAX(GU$2:GU147)+1,""))</f>
        <v/>
      </c>
      <c r="GV148">
        <f t="shared" si="261"/>
        <v>0</v>
      </c>
      <c r="GW148">
        <f>IF(D148="","",COUNTIF(D$3:D148,"?*"))</f>
        <v>146</v>
      </c>
      <c r="GX148">
        <f>IF(EX148&lt;&gt;1,0,_xlfn.LET(_xlpm.k,MAX(IFERROR(--VLOOKUP(D148,УГО_спр,5,FALSE),0),IFERROR(--VLOOKUP(AT148,УГО_спр,5,FALSE),0),IFERROR(--VLOOKUP(LEFT(AT148,2),УГО_спр,5,FALSE),0)),IF(_xlpm.k&gt;0,_xlpm.k,IF(IFERROR(--LEFT(SUBSTITUTE(GR148,"x","х"),FIND("х",SUBSTITUTE(GR148,"x","х"))-1),3)&gt;3,Каталог!$S$9,1))))</f>
        <v>1</v>
      </c>
      <c r="GY148">
        <f t="shared" si="262"/>
        <v>0</v>
      </c>
    </row>
    <row r="149" spans="1:207" x14ac:dyDescent="0.3">
      <c r="A149" t="s">
        <v>756</v>
      </c>
      <c r="B149">
        <v>33</v>
      </c>
      <c r="C149" t="str">
        <f>IF(BD149="","",IF(BE149="вводной узел","узел ","")&amp;"л."&amp;(INT((BD149-1)/Столбцов_на_лист)+1)&amp;" / "&amp;(MOD(BD149-1,Столбцов_на_лист)+1))</f>
        <v>л.2 / 16</v>
      </c>
      <c r="D149" t="s">
        <v>1452</v>
      </c>
      <c r="E149" s="133" t="s">
        <v>1453</v>
      </c>
      <c r="G149">
        <v>0.12</v>
      </c>
      <c r="H149">
        <v>1</v>
      </c>
      <c r="I149">
        <v>1</v>
      </c>
      <c r="J149">
        <v>230</v>
      </c>
      <c r="K149" t="s">
        <v>602</v>
      </c>
      <c r="L149">
        <v>0.5</v>
      </c>
      <c r="O149">
        <v>2</v>
      </c>
      <c r="P149">
        <v>19</v>
      </c>
      <c r="Q149">
        <v>6</v>
      </c>
      <c r="R149">
        <v>17</v>
      </c>
      <c r="T149">
        <v>1</v>
      </c>
      <c r="U149" t="s">
        <v>11</v>
      </c>
      <c r="V149">
        <v>3</v>
      </c>
      <c r="W149">
        <v>2.5</v>
      </c>
      <c r="Z149" t="s">
        <v>584</v>
      </c>
      <c r="AA149" t="s">
        <v>818</v>
      </c>
      <c r="AD149" t="s">
        <v>517</v>
      </c>
      <c r="AK149" t="s">
        <v>488</v>
      </c>
      <c r="AR149" t="str">
        <f t="shared" si="176"/>
        <v/>
      </c>
      <c r="AS149" cm="1">
        <f t="array" ref="AS149">ROW()-ROW(Линии[#Headers])</f>
        <v>147</v>
      </c>
      <c r="AT149" t="str">
        <f t="shared" si="177"/>
        <v>П</v>
      </c>
      <c r="AU149" t="str">
        <f t="shared" si="178"/>
        <v>3</v>
      </c>
      <c r="AV149" t="str">
        <f t="shared" si="179"/>
        <v>3</v>
      </c>
      <c r="AW149" t="str">
        <f t="shared" si="180"/>
        <v/>
      </c>
      <c r="AX149" t="str">
        <f t="shared" si="181"/>
        <v/>
      </c>
      <c r="AY149" t="str">
        <f>IF(D149="","",IF(ISERROR(SEARCH(".",D149)),IFERROR(VLOOKUP(D149,Потребители_обозначение,2,FALSE)&amp;"",""),IFERROR(IF(VLOOKUP(AT149,Потребители_обозначение,4,FALSE)=1,VLOOKUP(AT149,Потребители_обозначение,2,FALSE)&amp;" "&amp;VLOOKUP(AV149,Этаж_обозначение,2,FALSE)&amp;" Пом. №"&amp;AX149,VLOOKUP(AT149,Потребители_обозначение,2,FALSE)&amp;" Шлейф №"&amp;AV149),IFERROR(VLOOKUP(D149,Потребители_обозначение,2,FALSE),""))))</f>
        <v>Приточная установка Шлейф №3</v>
      </c>
      <c r="AZ149" t="str">
        <f t="shared" si="182"/>
        <v>Приточная установка Технический этаж Пом. №001Т</v>
      </c>
      <c r="BA149" t="str">
        <f>IF(F149&lt;&gt;"",F149,IF(AND(D149&lt;&gt;"",D149&lt;&gt;A149,ISNUMBER(_xlfn.XMATCH(D149,Щиты[Щит]))),D149,""))</f>
        <v/>
      </c>
      <c r="BB149">
        <f>IFERROR(_xlfn.XMATCH(A149,Щиты[Щит]),0)</f>
        <v>7</v>
      </c>
      <c r="BC149">
        <f>IFERROR(N(_xlfn.XLOOKUP(A149,Щиты[Щит],Щиты[Мест под вводной узел])),15)</f>
        <v>12</v>
      </c>
      <c r="BD149">
        <f t="shared" si="183"/>
        <v>33</v>
      </c>
      <c r="BE149" t="str">
        <f t="shared" si="184"/>
        <v>линии</v>
      </c>
      <c r="BF149">
        <f>IF(D149="","",IF(BA149&lt;&gt;"",IFERROR(_xlfn.XLOOKUP(BA149,Щиты[Щит],Щиты[Руст, кВт]),0),N(G149)))</f>
        <v>0.12</v>
      </c>
      <c r="BG149">
        <f>IF(J149&lt;&gt;"",J149,IF(D149="","",IFERROR(IF(VLOOKUP(AT149,Потребители_обозначение,8,FALSE)=0,"",VLOOKUP(AT149,Потребители_обозначение,8,FALSE)),"")))</f>
        <v>230</v>
      </c>
      <c r="BH149">
        <f>IF(I149&lt;&gt;"",I149,IF(D149="","",IFERROR(IF(VLOOKUP(AT149,Потребители_обозначение,9,FALSE)=0,"",VLOOKUP(AT149,Потребители_обозначение,9,FALSE)),"")))</f>
        <v>1</v>
      </c>
      <c r="BI149" t="str">
        <f>IF(U149&lt;&gt;"",U149,IF(D149="","",IFERROR(IF(VLOOKUP(AT149,Потребители_обозначение,6,FALSE)=0,"",VLOOKUP(AT149,Потребители_обозначение,6,FALSE)),"")))</f>
        <v>мс</v>
      </c>
      <c r="BJ149">
        <f>IF(V149&lt;&gt;"",V149,IF(D149="","",IFERROR(IF(VLOOKUP(AT149,Потребители_обозначение,7,FALSE)=0,"",VLOOKUP(AT149,Потребители_обозначение,7,FALSE)),"")))</f>
        <v>3</v>
      </c>
      <c r="BK149">
        <f>IF(W149&lt;&gt;"",W149,IF(D149="","",IFERROR(IF(VLOOKUP(AT149,Потребители_обозначение,10,FALSE)=0,"",VLOOKUP(AT149,Потребители_обозначение,10,FALSE)),"")))</f>
        <v>2.5</v>
      </c>
      <c r="BL149">
        <f>IFERROR(VLOOKUP(AT149,Потребители_обозначение,5,FALSE),0)</f>
        <v>1</v>
      </c>
      <c r="BM149" cm="1">
        <f t="array" ref="BM149">IF(D149="","",IF(BA149&lt;&gt;"",IFERROR(_xlfn.XLOOKUP(BA149,Щиты[Щит],Щиты[cos φ]),0.95),IF(ISNUMBER(M149),M149,IFERROR(IF(BL149=2,_xlfn.IFS(BH149=3,VLOOKUP(BF149,Справочная_двигатели,8,FALSE),BH149=1,VLOOKUP(BF149,Справочная_двигатели,10,TRUE)),IF(AND(Методика="нормы 2026",CN149="Сил"),0.8,0.95)),0.95))))</f>
        <v>0.95</v>
      </c>
      <c r="BN149" cm="1">
        <f t="array" ref="BN149">IF(D149="","",IF(BA149&lt;&gt;"",IFERROR(_xlfn.XLOOKUP(BA149,Щиты[Щит],Щиты[Iр, А]),""),IFERROR(_xlfn.IFS(BH149=1,BF149/((Uн_лин/SQRT(3))*BM149),BH149=3,BF149/(SQRT(3)*Uн_лин*BM149)),"")))</f>
        <v>0.54696341291648753</v>
      </c>
      <c r="BO149">
        <f>IF(D149="","",IF(N(X149)=0,IFERROR(VLOOKUP(BN149,Автомат_номиналы,2,TRUE),""),X149))</f>
        <v>6</v>
      </c>
      <c r="BP149">
        <f t="shared" si="185"/>
        <v>1</v>
      </c>
      <c r="BQ149">
        <f>IF(ISNUMBER(Y149),Y149,К_прокл)</f>
        <v>1</v>
      </c>
      <c r="BR149">
        <f t="shared" si="186"/>
        <v>2</v>
      </c>
      <c r="BS149" cm="1">
        <f t="array" ref="BS149">IF(D149="","",IF(N(BK149)&lt;&gt;0,BK149,IFERROR(_xlfn.LET(_xlpm.need,BO149/(BP149*BQ149),_xlpm.t,CHOOSE(BR149,Iдоп_1ж,Iдоп_2ж,Iдоп_3ж),_xlpm.k,_xlfn.XMATCH(_xlpm.need,_xlpm.t,1),IF(ISNA(_xlpm.k),"Не исп",INDEX(Iдоп_S,_xlpm.k))),"Не исп")))</f>
        <v>2.5</v>
      </c>
      <c r="BT149">
        <f>IFERROR(VLOOKUP(BS149,Кабель_сопротивление,3,FALSE),"")</f>
        <v>2.2499999999999999E-2</v>
      </c>
      <c r="BU149">
        <f>IFERROR(VLOOKUP(BS149,Кабель_сопротивление,2,FALSE),"")</f>
        <v>0.1</v>
      </c>
      <c r="BV149">
        <f t="shared" si="187"/>
        <v>19</v>
      </c>
      <c r="BW149">
        <f>IF(D149="","",IFERROR(IF(VLOOKUP(AT149,Потребители_обозначение,4,FALSE)=1,VLOOKUP(AT149,Потребители_обозначение,3,FALSE)*(H149*2-1)+BV149+VLOOKUP(AV149,Этаж_обозначение,3,FALSE)+VLOOKUP(AV149,Этаж_обозначение,4,FALSE),VLOOKUP(AT149,Потребители_обозначение,3,FALSE)*(H149*2-1)+BV149),BV149))</f>
        <v>23</v>
      </c>
      <c r="BX149">
        <f t="shared" si="188"/>
        <v>17</v>
      </c>
      <c r="BY149">
        <f t="shared" si="189"/>
        <v>0</v>
      </c>
      <c r="BZ149">
        <f t="shared" si="190"/>
        <v>2</v>
      </c>
      <c r="CA149">
        <f t="shared" si="191"/>
        <v>0.31</v>
      </c>
      <c r="CB149">
        <f t="shared" si="192"/>
        <v>0.21590068012687344</v>
      </c>
      <c r="CC149">
        <f>IFERROR(ROUNDUP(CB149/((Uн_лин/SQRT(3))*1000)*100,2),"")</f>
        <v>9.9999999999999992E-2</v>
      </c>
      <c r="CD149">
        <f>IF(ISNUMBER(CC149),CC149+IFERROR(_xlfn.XLOOKUP(A149,Щиты[Щит],Щиты[ΔU до шин, %]),0),"")</f>
        <v>1.1200000000000001</v>
      </c>
      <c r="CE149">
        <f>IF(D149="","",IF(IFERROR(VLOOKUP(AT149,УГО_спр,2,FALSE),"")="Светильник",3,4)+IF(Методика="нормы 2026",MIN(0.5,MAX(0,N(BW149)-100)*0.005),0))</f>
        <v>4</v>
      </c>
      <c r="CF149" t="str">
        <f>IFERROR(VLOOKUP(BI149,Кабель_обозначение,2,FALSE),"")</f>
        <v>ВВГнг(А)-LS</v>
      </c>
      <c r="CG149" t="str">
        <f>IFERROR(IF(VLOOKUP(BI149,Кабель_обозначение,3,FALSE)=1,CF149&amp;" ("&amp;BJ149&amp;"х"&amp;BS149&amp;")",CF149),"")</f>
        <v>ВВГнг(А)-LS (3х2,5)</v>
      </c>
      <c r="CH149" t="str">
        <f t="shared" si="193"/>
        <v>ВВГнг(А)-LS (3х2,5)
L=23-0,1%</v>
      </c>
      <c r="CI149">
        <f>IFERROR(2*ρкз_Cu*BW149/BS149,"")</f>
        <v>0.48392000000000002</v>
      </c>
      <c r="CJ149">
        <f t="shared" si="194"/>
        <v>0.161</v>
      </c>
      <c r="CK149" t="str">
        <f>IFERROR(IF(OR(D149="",NOT(ISNUMBER(BS149)),N(BW149)=0),"",_xlfn.XLOOKUP(A149,Щиты[Щит],Щиты[Zпетли на шинах, Ом])+CI149),"")</f>
        <v/>
      </c>
      <c r="CL149" t="str">
        <f>IF(ISNUMBER(CK149),c_min*(Uн_лин*1000/SQRT(3))/CK149,"")</f>
        <v/>
      </c>
      <c r="CM149" t="str">
        <f>IFERROR(IF(OR(D149="",NOT(ISNUMBER(BS149))),"",1.05*(Uн_лин*1000/SQRT(3))/(_xlfn.XLOOKUP(A149,Щиты[Щит],Щиты[Zmax на шинах, Ом])+CJ149)/1000),"")</f>
        <v/>
      </c>
      <c r="CN149" t="str">
        <f>IF(D149="","",IF(BA149&lt;&gt;"","Щит",IF(K149&lt;&gt;"",K149,IF(ISNUMBER(L149),"Сил",IF(IFERROR(_xlfn.XLOOKUP(AT149,Коды_код,Коды_группа)&amp;"","")="","Быт",_xlfn.XLOOKUP(AT149,Коды_код,Коды_группа)&amp;"")))))</f>
        <v>Сил</v>
      </c>
      <c r="CO149">
        <f>IF(CN149="Щит","щит",IF(CN149="","",IF(CN149="Быт",IFERROR(_xlfn.XLOOKUP(A149,Щиты[Щит],Щиты[Кс быт]),1),IF(CN149="Сил",IF(ISNUMBER(L149),L149,IF(Методика="нормы 2026",IFERROR(_xlfn.XLOOKUP(A149,Щиты[Щит],Щиты[Кс силовых (табл. 7.5)]),1),1)),IF(OR(CN149="Пост",CN149="Отоп"),1,IF(CN149="ВНГ",0.7,0))))))</f>
        <v>0.5</v>
      </c>
      <c r="CP149">
        <f t="shared" si="195"/>
        <v>1</v>
      </c>
      <c r="CQ149">
        <f t="shared" si="196"/>
        <v>0.12</v>
      </c>
      <c r="CR149">
        <f t="shared" si="197"/>
        <v>0</v>
      </c>
      <c r="CS149">
        <f t="shared" si="198"/>
        <v>0.06</v>
      </c>
      <c r="CT149">
        <f t="shared" si="199"/>
        <v>0</v>
      </c>
      <c r="CU149">
        <f t="shared" si="200"/>
        <v>0</v>
      </c>
      <c r="CV149">
        <f t="shared" si="201"/>
        <v>0</v>
      </c>
      <c r="CW149">
        <f t="shared" si="202"/>
        <v>0.12</v>
      </c>
      <c r="CX149">
        <f t="shared" si="203"/>
        <v>0.11399999999999999</v>
      </c>
      <c r="CY149">
        <f t="shared" si="204"/>
        <v>1</v>
      </c>
      <c r="CZ149" t="str">
        <f t="shared" si="205"/>
        <v>L1</v>
      </c>
      <c r="DA149" cm="1">
        <f t="array" ref="DA149">IFERROR(IF(BL149=2,_xlfn.IFS(BH149=3,VLOOKUP(BF149,Справочная_двигатели,3,FALSE),BH149=1,VLOOKUP(BF149,Справочная_двигатели,5,TRUE)),0),0)</f>
        <v>0</v>
      </c>
      <c r="DB149">
        <f>IFERROR(IF(BL149=3,VLOOKUP(BF149,Справочная_ЛЭД,2,TRUE),0),0)</f>
        <v>0</v>
      </c>
      <c r="DC149">
        <f t="shared" si="206"/>
        <v>0</v>
      </c>
      <c r="DD149" t="str">
        <f t="shared" si="207"/>
        <v>L2</v>
      </c>
      <c r="DE149" t="str" cm="1">
        <f t="array" ref="DE149">IF(D149="","",IFERROR(INDEX({"I особая","I","II","III"},MATCH(TRIM(AA149&amp;""),{"I особая","I","II","III"},0)),"III"))</f>
        <v>II</v>
      </c>
      <c r="DF149" t="str">
        <f>IF(D149="","",IF(TRIM(AB149&amp;"")&lt;&gt;"",IF(LOWER(TRIM(AB149&amp;""))="да","да","нет"),IF(IFERROR(_xlfn.XLOOKUP(AT149,Коды_код,Коды_пожарная),"")="да","да","нет")))</f>
        <v>нет</v>
      </c>
      <c r="DG149" t="str">
        <f t="shared" si="208"/>
        <v/>
      </c>
      <c r="DH149" t="str">
        <f t="shared" si="209"/>
        <v>основная</v>
      </c>
      <c r="DI149">
        <f t="shared" si="210"/>
        <v>1</v>
      </c>
      <c r="DJ149" t="str" cm="1">
        <f t="array" ref="DJ149">IF(D149="","",_xlfn.LET(_xlpm.t,IFERROR(_xlfn.XLOOKUP(1,(Шины[Шина]=DH149)*(((Шины[Щит]=A149)+(Шины[Щит]=""))&gt;0),Шины[Тип]),"")&amp;"",IF(_xlpm.t&lt;&gt;"",_xlpm.t,IF(ISNUMBER(SEARCH("ИБП",DH149)),"ИБП",IF(ISNUMBER(SEARCH("ДГУ",DH149)),"ДГУ","Ввод "&amp;DI149)))))</f>
        <v>Ввод 1</v>
      </c>
      <c r="DK149" t="str">
        <f t="shared" si="211"/>
        <v>Ввод 1</v>
      </c>
      <c r="DL149" t="str">
        <f>IF(D149="","",IF(OR(DJ149="ИБП",DJ149="ДГУ"),"I особая",IF(DJ149="Одиночная","III",_xlfn.XLOOKUP(A149,Щиты[Щит],Щиты[Категория шины «Ввод»],"III"))))</f>
        <v>II</v>
      </c>
      <c r="DM149">
        <f>IF(D149="",0,IFERROR(MATCH(DE149,{"III","II","I","I особая"},0),1))</f>
        <v>2</v>
      </c>
      <c r="DN149">
        <f t="shared" si="212"/>
        <v>2</v>
      </c>
      <c r="DO149" t="str">
        <f>IF(D149="","",IF(DM149&gt;IFERROR(MATCH(DL149,{"III","II","I","I особая"},0),1),"НЕ ОБЕСПЕЧЕНА","ОК"))</f>
        <v>ОК</v>
      </c>
      <c r="DP149" t="str">
        <f>IF(A149="","",_xlfn.XLOOKUP(A149,Щиты[Щит],Щиты[Путь],""))</f>
        <v>|ГРЩ-ЖД|ЩОВ-2|</v>
      </c>
      <c r="DQ149" t="str">
        <f>IF(D149="","",IF(Z149&lt;&gt;"",Z149,IF(IFERROR(_xlfn.XLOOKUP(AT149,Коды_код,Коды_вид)&amp;"","")="","Прочее",_xlfn.XLOOKUP(AT149,Коды_код,Коды_вид)&amp;"")))</f>
        <v>Вентиляция</v>
      </c>
      <c r="DR149">
        <f>IF(BD149="","",INT((BD149-1)/Столбцов_на_лист)+1)</f>
        <v>2</v>
      </c>
      <c r="DS149" t="str">
        <f t="shared" si="213"/>
        <v>ВВГнг(А)-LS (3х2,5) L=23-0,1%</v>
      </c>
      <c r="DT149">
        <f t="shared" si="214"/>
        <v>0.12</v>
      </c>
      <c r="DU149">
        <f t="shared" si="215"/>
        <v>0.55000000000000004</v>
      </c>
      <c r="DV149">
        <f t="shared" si="216"/>
        <v>1</v>
      </c>
      <c r="DW149">
        <f>IF(AT149="",0,_xlfn.LET(_xlpm.v,IFERROR(VLOOKUP(D149,УГО_спр,3,FALSE),IFERROR(VLOOKUP(AT149,УГО_спр,3,FALSE),IFERROR(VLOOKUP(LEFT(AT149,2),УГО_спр,3,FALSE),""))),IF(_xlpm.v="да",30,IF(ISNUMBER(_xlpm.v),_xlpm.v,0))))</f>
        <v>0</v>
      </c>
      <c r="DX149">
        <f t="shared" si="217"/>
        <v>0</v>
      </c>
      <c r="DY149">
        <f>IF(BD149="","",IF(AD149&lt;&gt;"",COUNTIFS(A$3:A149,A149,AD$3:AD149,"?*"),IF(OR(OR(AS149=1,A149&lt;&gt;A148),AL149="вручную"),"",IF(AS149=1,"",DZ148))))</f>
        <v>19</v>
      </c>
      <c r="DZ149">
        <f t="shared" si="218"/>
        <v>19</v>
      </c>
      <c r="EA149">
        <f>IF(D149="",0,MAX(IFERROR(--X149,0),IFERROR(--VLOOKUP(D149,УГО_спр,4,FALSE),IFERROR(--VLOOKUP(AT149,УГО_спр,4,FALSE),IFERROR(--VLOOKUP(LEFT(AT149,2),УГО_спр,4,FALSE),0)))))</f>
        <v>0</v>
      </c>
      <c r="EB149">
        <f>IF(D149="","",IFERROR(LOOKUP(INDEX(CHOOSE(BR149,Iдоп_1ж,Iдоп_2ж,Iдоп_3ж),MATCH(BS149,Iдоп_S,0))*BP149*BQ149,{6,10,16,20,25,32,40,50,63,80,100,125,160,200,250,315,400,500,630}),""))</f>
        <v>25</v>
      </c>
      <c r="EC149">
        <f>IF(AD149="","",SUMIFS(Линии[_Ток схемы],Линии[_гр.],DY149,Линии[Щит],A149,Линии[_в кабель выше],0))</f>
        <v>0.55000000000000004</v>
      </c>
      <c r="ED149">
        <f>IF(AD149="","",IFERROR(VLOOKUP(EC149,Автомат_номиналы,2,TRUE),""))</f>
        <v>6</v>
      </c>
      <c r="EE149">
        <f>IF(AD149="","",MAX(N(ED149),_xlfn.MAXIFS(Линии[_мин. по типу],Линии[_гр.],DY149,Линии[Щит],A149)))</f>
        <v>6</v>
      </c>
      <c r="EF149">
        <f>IF(AD149="","",_xlfn.MINIFS(Линии[_макс. автомат по кабелю],Линии[_гр.],DY149,Линии[Щит],A149))</f>
        <v>25</v>
      </c>
      <c r="EG149">
        <f>IF(AD149="","",MAX(1,_xlfn.MAXIFS(Линии[_фаз],Линии[_гр.],DY149,Линии[Щит],A149)))</f>
        <v>1</v>
      </c>
      <c r="EH149">
        <f>IF(AD149="","",IF(AND(AD149&lt;&gt;"авто",AD149&lt;&gt;"+"),IF(ISNUMBER(SEARCH("мА",AD149)),IFERROR(--TRIM(RIGHT(SUBSTITUTE(LEFT(AD149,SEARCH("мА",AD149)-1)," ",REPT(" ",9)),6)),30),0),IF(AE149="нет",0,IF(ISNUMBER(AE149),AE149,IF(AE149="да",30,_xlfn.MINIFS(Линии[_дифзащита по коду, мА],Линии[_гр.],DY149,Линии[Щит],A149,Линии[_дифзащита по коду, мА],"&gt;0"))))))</f>
        <v>0</v>
      </c>
      <c r="EI149">
        <f t="shared" si="219"/>
        <v>0</v>
      </c>
      <c r="EJ149" t="str">
        <f t="shared" si="220"/>
        <v>QF19</v>
      </c>
      <c r="EK149" t="str">
        <f t="shared" si="221"/>
        <v>QF19</v>
      </c>
      <c r="EL149" t="str">
        <f t="shared" si="222"/>
        <v/>
      </c>
      <c r="EM149">
        <f t="shared" si="223"/>
        <v>0</v>
      </c>
      <c r="EN149">
        <f>IF(AD149="","",IF(EM149=1,MAX(EE149,Мин_автомат_БП),EE149))</f>
        <v>6</v>
      </c>
      <c r="EO149" t="str">
        <f t="shared" si="224"/>
        <v>1P</v>
      </c>
      <c r="EP149" t="str">
        <f t="shared" si="225"/>
        <v>1P С6А</v>
      </c>
      <c r="EQ149">
        <f t="shared" si="226"/>
        <v>6</v>
      </c>
      <c r="ER149" t="str">
        <f>IF(OR(AI149="",AI149="-"),"",IFERROR(VLOOKUP(AI149,Модули_спр,2,FALSE),"R"))</f>
        <v/>
      </c>
      <c r="ES149" t="str">
        <f>IF(ER149="","",ER149&amp;"."&amp;COUNTIFS(A$3:A149,A149,ER$3:ER149,ER149))</f>
        <v/>
      </c>
      <c r="ET149" t="str">
        <f t="shared" si="227"/>
        <v/>
      </c>
      <c r="EU149" t="str">
        <f t="shared" si="228"/>
        <v/>
      </c>
      <c r="EV149" t="str">
        <f t="shared" si="229"/>
        <v/>
      </c>
      <c r="EW149" t="str">
        <f t="shared" si="230"/>
        <v/>
      </c>
      <c r="EX149">
        <f t="shared" si="231"/>
        <v>1</v>
      </c>
      <c r="EY149" t="str">
        <f>IF(AK149="нет","",IF(AK149&lt;&gt;"",AK149,IF(EX149=1,"XT"&amp;COUNTIFS(A$3:A149,A149,EX$3:EX149,1),"")))</f>
        <v/>
      </c>
      <c r="EZ149" t="str">
        <f t="shared" si="232"/>
        <v>QF19</v>
      </c>
      <c r="FA149" t="str">
        <f t="shared" si="233"/>
        <v/>
      </c>
      <c r="FB149" t="str">
        <f t="shared" si="234"/>
        <v>ok</v>
      </c>
      <c r="FC149" t="str">
        <f>IF(OR(EV149="",ET149=""),"",IF(EV149&gt;IFERROR(VLOOKUP(EU149,Модули_спр,3,FALSE),99),"ЛИШНИЙ КАНАЛ",IF(AND(AJ149&lt;&gt;"=",COUNTIFS(Линии[_модуль гр.],ET149,Линии[Канал (итог)],EV149,Линии[Канал],"&lt;&gt;=",Линии[Щит],A149)&gt;1),"ДУБЛЬ КАНАЛА","")))</f>
        <v/>
      </c>
      <c r="FD149">
        <f t="shared" si="235"/>
        <v>6</v>
      </c>
      <c r="FE149" t="str">
        <f t="shared" si="236"/>
        <v>1P С6А</v>
      </c>
      <c r="FF149">
        <f t="shared" si="237"/>
        <v>0</v>
      </c>
      <c r="FG149">
        <f t="shared" si="238"/>
        <v>0</v>
      </c>
      <c r="FH149" t="str">
        <f t="shared" si="239"/>
        <v/>
      </c>
      <c r="FI149">
        <f t="shared" si="240"/>
        <v>10</v>
      </c>
      <c r="FJ149" t="str">
        <f t="shared" si="241"/>
        <v/>
      </c>
      <c r="FK149" t="str">
        <f>IF(AND(D149="",EZ149=""),"",_xlfn.TEXTJOIN("; ",TRUE,IF(AND(D149&lt;&gt;"",DD149=""),"нет фазы",""),IF(AND(D149&lt;&gt;"",N(DT149)=0,CN149&lt;&gt;"Нет"),"нет мощности",""),IF(AND(EY149&lt;&gt;"",COUNTIFS(Линии[Щит],A149,Линии[Клемма (итог)],EY149)&gt;1),"дубль клеммы "&amp;EY149,""),IF(AND(FB149&lt;&gt;"",FB149&lt;&gt;"ok"),FB149,""),IF(FC149&lt;&gt;"",FC149,""),IF(AND(ISNUMBER(SEARCH("(5х",DS149)),N(DV149)=1),"5 жил на 1 фазе",""),IF(AND(AT149="R",AD149&lt;&gt;"",OR(N(EH149)=0,N(EH149)&gt;30)),"розетка без дифзащиты до 30 мА",""),IFERROR(IF(AND(ISNUMBER(CD149),CD149&gt;CE149),"потери "&amp;FIXED(CD149,1)&amp;" % &gt; "&amp;CE149&amp;" %",""),""),IFERROR(IF(LEFT(FJ149,4)="мало","Iкз мало — отключение &gt; 0,4 с",""),""),IF(AND(D149&lt;&gt;"",BD149=""),"не на схеме","")))</f>
        <v/>
      </c>
      <c r="FL149" t="str">
        <f>IF(AD149="","",_xlfn.LET(_xlpm.t,IFERROR(_xlfn.XLOOKUP(EP149,Каталог!$U$4:$U$500,Каталог!$G$4:$G$500),""),_xlpm.k,SEARCH("кА",_xlpm.t),IFERROR(--TRIM(RIGHT(SUBSTITUTE(MID(_xlpm.t,MAX(1,_xlpm.k-4),_xlpm.k-MAX(1,_xlpm.k-4))," ",REPT(" ",9)),5)),"")))</f>
        <v/>
      </c>
      <c r="FM149" t="str">
        <f>IF(OR(FL149="",AD149=""),"",IF(_xlfn.XLOOKUP(A149,Щиты[Щит],Щиты[Iкз max на шинах, кА],"")="","",IF(FL149&lt;_xlfn.XLOOKUP(A149,Щиты[Щит],Щиты[Iкз max на шинах, кА]),"Icu "&amp;FL149&amp;" кА &lt; Iкз max","ok")))</f>
        <v/>
      </c>
      <c r="FN149" t="str">
        <f t="shared" si="242"/>
        <v>QF19</v>
      </c>
      <c r="FO149" t="str">
        <f t="shared" si="243"/>
        <v>QF19|кабель ВВГнг(А)-LS (3х2,5) → Приточная установка Технический этаж Пом. №001Т</v>
      </c>
      <c r="FP149" t="str" cm="1">
        <f t="array" ref="FP149">IF(FO149="","",_xlfn.LET(_xlpm.nd,_xlfn.TEXTSPLIT(FO149,"|"),IF(COLUMNS(_xlpm.nd)&gt;1,A149&amp;"¦"&amp;INDEX(_xlpm.nd,1)&amp;"¦"&amp;INDEX(_xlpm.nd,2),"")))</f>
        <v>ЩОВ-2¦QF19¦кабель ВВГнг(А)-LS (3х2,5) → Приточная установка Технический этаж Пом. №001Т</v>
      </c>
      <c r="FQ149" t="str">
        <f t="shared" si="244"/>
        <v>П.3¦Приточная установка Технический этаж Пом. №001Т</v>
      </c>
      <c r="FR149" t="str" cm="1">
        <f t="array" ref="FR149">IF(FO149="","",_xlfn.LET(_xlpm.nd,_xlfn.TEXTSPLIT(FO149,"|"),IF(COLUMNS(_xlpm.nd)&gt;2,A149&amp;"¦"&amp;INDEX(_xlpm.nd,2)&amp;"¦"&amp;INDEX(_xlpm.nd,3),"")))</f>
        <v/>
      </c>
      <c r="FS149" t="str">
        <f t="shared" si="245"/>
        <v/>
      </c>
      <c r="FT149" t="str" cm="1">
        <f t="array" ref="FT149">IF(FO149="","",_xlfn.LET(_xlpm.nd,_xlfn.TEXTSPLIT(FO149,"|"),IF(COLUMNS(_xlpm.nd)&gt;3,A149&amp;"¦"&amp;INDEX(_xlpm.nd,3)&amp;"¦"&amp;INDEX(_xlpm.nd,4),"")))</f>
        <v/>
      </c>
      <c r="FU149" t="str">
        <f t="shared" si="246"/>
        <v/>
      </c>
      <c r="FV149" t="str" cm="1">
        <f t="array" ref="FV149">IF(FO149="","",_xlfn.LET(_xlpm.nd,_xlfn.TEXTSPLIT(FO149,"|"),IF(COLUMNS(_xlpm.nd)&gt;4,A149&amp;"¦"&amp;INDEX(_xlpm.nd,4)&amp;"¦"&amp;INDEX(_xlpm.nd,5),"")))</f>
        <v/>
      </c>
      <c r="FW149" t="str">
        <f t="shared" si="247"/>
        <v/>
      </c>
      <c r="FX149" t="str" cm="1">
        <f t="array" ref="FX149">IF(FO149="","",_xlfn.LET(_xlpm.nd,_xlfn.TEXTSPLIT(FO149,"|"),IF(COLUMNS(_xlpm.nd)&gt;5,A149&amp;"¦"&amp;INDEX(_xlpm.nd,5)&amp;"¦"&amp;INDEX(_xlpm.nd,6),"")))</f>
        <v/>
      </c>
      <c r="FY149" t="str">
        <f t="shared" si="248"/>
        <v/>
      </c>
      <c r="FZ149" t="str" cm="1">
        <f t="array" ref="FZ149">IF(FO149="","",_xlfn.LET(_xlpm.nd,_xlfn.TEXTSPLIT(FO149,"|"),IF(COLUMNS(_xlpm.nd)&gt;6,A149&amp;"¦"&amp;INDEX(_xlpm.nd,6)&amp;"¦"&amp;INDEX(_xlpm.nd,7),"")))</f>
        <v/>
      </c>
      <c r="GA149" t="str">
        <f t="shared" si="249"/>
        <v/>
      </c>
      <c r="GB149" t="str">
        <f t="shared" si="250"/>
        <v/>
      </c>
      <c r="GC149" t="str">
        <f t="shared" si="251"/>
        <v>QF19</v>
      </c>
      <c r="GD149">
        <f t="shared" si="252"/>
        <v>1</v>
      </c>
      <c r="GE149">
        <f t="shared" si="253"/>
        <v>0</v>
      </c>
      <c r="GF149">
        <f t="shared" si="254"/>
        <v>0</v>
      </c>
      <c r="GG149" t="str">
        <f t="shared" si="255"/>
        <v/>
      </c>
      <c r="GH149" t="str">
        <f t="shared" si="256"/>
        <v/>
      </c>
      <c r="GI149" t="str">
        <f t="shared" si="257"/>
        <v/>
      </c>
      <c r="GJ149" t="str">
        <f t="shared" si="258"/>
        <v/>
      </c>
      <c r="GK149" t="str">
        <f>IF(D149="","",IFERROR(VLOOKUP(D149,УГО_спр,2,FALSE),IFERROR(VLOOKUP(AT149,УГО_спр,2,FALSE),IFERROR(VLOOKUP(LEFT(AT149,2),УГО_спр,2,FALSE),""))))</f>
        <v>Привод (двигатель)</v>
      </c>
      <c r="GL149" t="str">
        <f>IF(D149="","",IF(OR(GK149="",GK149=0),"BOX",IFERROR(IF(VLOOKUP(GK149,УГО_блоки,3,FALSE)&amp;""&lt;&gt;"",VLOOKUP(GK149,УГО_блоки,3,FALSE),VLOOKUP(GK149,УГО_блоки,2,FALSE)),GK149)))</f>
        <v>MOTOR</v>
      </c>
      <c r="GM149">
        <f t="shared" si="259"/>
        <v>1</v>
      </c>
      <c r="GN149" t="str">
        <f>IF(EP149="","",IF(COUNTIF(EP$3:EP149,EP149)=1,MAX(GN$2:GN148)+1,""))</f>
        <v/>
      </c>
      <c r="GO149" t="str">
        <f>IF(AF149="","",IF(COUNTIF(AF$3:AF149,AF149)+COUNTIF(AG$2:AG148,AF149)+COUNTIF(AH$2:AH148,AF149)=1,MAX(GO$2:GQ148)+1,""))</f>
        <v/>
      </c>
      <c r="GP149" t="str">
        <f>IF(AG149="","",IF(COUNTIF(AF$3:AF149,AG149)+COUNTIF(AG$3:AG149,AG149)+COUNTIF(AH$2:AH148,AG149)=1,MAX(GO$2:GQ148,GO149)+1,""))</f>
        <v/>
      </c>
      <c r="GQ149" t="str">
        <f>IF(AH149="","",IF(COUNTIF(AF$3:AF149,AH149)+COUNTIF(AG$3:AG149,AH149)+COUNTIF(AH$3:AH149,AH149)=1,MAX(GO$2:GQ148,GO149,GP149)+1,""))</f>
        <v/>
      </c>
      <c r="GR149" t="str">
        <f t="shared" si="260"/>
        <v>3х2,5</v>
      </c>
      <c r="GS149" t="str">
        <f>IF(GR149="","",IF(COUNTIF(GR$3:GR149,GR149)=1,MAX(GS$2:GS148)+1,""))</f>
        <v/>
      </c>
      <c r="GT149" t="str">
        <f>IF(ES149="","",COUNTIF(ES$3:ES149,"?*"))</f>
        <v/>
      </c>
      <c r="GU149" t="str">
        <f>IF(OR(ES149="",EU149=""),"",IF(COUNTIFS(ES$3:ES149,"?*",EU$3:EU149,EU149)=1,MAX(GU$2:GU148)+1,""))</f>
        <v/>
      </c>
      <c r="GV149">
        <f t="shared" si="261"/>
        <v>0</v>
      </c>
      <c r="GW149">
        <f>IF(D149="","",COUNTIF(D$3:D149,"?*"))</f>
        <v>147</v>
      </c>
      <c r="GX149">
        <f>IF(EX149&lt;&gt;1,0,_xlfn.LET(_xlpm.k,MAX(IFERROR(--VLOOKUP(D149,УГО_спр,5,FALSE),0),IFERROR(--VLOOKUP(AT149,УГО_спр,5,FALSE),0),IFERROR(--VLOOKUP(LEFT(AT149,2),УГО_спр,5,FALSE),0)),IF(_xlpm.k&gt;0,_xlpm.k,IF(IFERROR(--LEFT(SUBSTITUTE(GR149,"x","х"),FIND("х",SUBSTITUTE(GR149,"x","х"))-1),3)&gt;3,Каталог!$S$9,1))))</f>
        <v>1</v>
      </c>
      <c r="GY149">
        <f t="shared" si="262"/>
        <v>0</v>
      </c>
    </row>
    <row r="150" spans="1:207" x14ac:dyDescent="0.3">
      <c r="A150" t="s">
        <v>756</v>
      </c>
      <c r="B150">
        <v>36</v>
      </c>
      <c r="C150" t="str">
        <f>IF(BD150="","",IF(BE150="вводной узел","узел ","")&amp;"л."&amp;(INT((BD150-1)/Столбцов_на_лист)+1)&amp;" / "&amp;(MOD(BD150-1,Столбцов_на_лист)+1))</f>
        <v>л.3 / 2</v>
      </c>
      <c r="D150" t="s">
        <v>1454</v>
      </c>
      <c r="E150" s="133" t="s">
        <v>1453</v>
      </c>
      <c r="G150">
        <v>0.27</v>
      </c>
      <c r="H150">
        <v>1</v>
      </c>
      <c r="I150">
        <v>1</v>
      </c>
      <c r="J150">
        <v>230</v>
      </c>
      <c r="K150" t="s">
        <v>602</v>
      </c>
      <c r="L150">
        <v>0.5</v>
      </c>
      <c r="O150">
        <v>2</v>
      </c>
      <c r="P150">
        <v>31</v>
      </c>
      <c r="Q150">
        <v>4</v>
      </c>
      <c r="R150">
        <v>31</v>
      </c>
      <c r="T150">
        <v>1</v>
      </c>
      <c r="U150" t="s">
        <v>11</v>
      </c>
      <c r="V150">
        <v>3</v>
      </c>
      <c r="W150">
        <v>2.5</v>
      </c>
      <c r="Z150" t="s">
        <v>584</v>
      </c>
      <c r="AA150" t="s">
        <v>818</v>
      </c>
      <c r="AD150" t="s">
        <v>517</v>
      </c>
      <c r="AR150" t="str">
        <f t="shared" si="176"/>
        <v/>
      </c>
      <c r="AS150" cm="1">
        <f t="array" ref="AS150">ROW()-ROW(Линии[#Headers])</f>
        <v>148</v>
      </c>
      <c r="AT150" t="str">
        <f t="shared" si="177"/>
        <v>П</v>
      </c>
      <c r="AU150" t="str">
        <f t="shared" si="178"/>
        <v>5</v>
      </c>
      <c r="AV150" t="str">
        <f t="shared" si="179"/>
        <v>5</v>
      </c>
      <c r="AW150" t="str">
        <f t="shared" si="180"/>
        <v/>
      </c>
      <c r="AX150" t="str">
        <f t="shared" si="181"/>
        <v/>
      </c>
      <c r="AY150" t="str">
        <f>IF(D150="","",IF(ISERROR(SEARCH(".",D150)),IFERROR(VLOOKUP(D150,Потребители_обозначение,2,FALSE)&amp;"",""),IFERROR(IF(VLOOKUP(AT150,Потребители_обозначение,4,FALSE)=1,VLOOKUP(AT150,Потребители_обозначение,2,FALSE)&amp;" "&amp;VLOOKUP(AV150,Этаж_обозначение,2,FALSE)&amp;" Пом. №"&amp;AX150,VLOOKUP(AT150,Потребители_обозначение,2,FALSE)&amp;" Шлейф №"&amp;AV150),IFERROR(VLOOKUP(D150,Потребители_обозначение,2,FALSE),""))))</f>
        <v>Приточная установка Шлейф №5</v>
      </c>
      <c r="AZ150" t="str">
        <f t="shared" si="182"/>
        <v>Приточная установка Технический этаж Пом. №001Т</v>
      </c>
      <c r="BA150" t="str">
        <f>IF(F150&lt;&gt;"",F150,IF(AND(D150&lt;&gt;"",D150&lt;&gt;A150,ISNUMBER(_xlfn.XMATCH(D150,Щиты[Щит]))),D150,""))</f>
        <v/>
      </c>
      <c r="BB150">
        <f>IFERROR(_xlfn.XMATCH(A150,Щиты[Щит]),0)</f>
        <v>7</v>
      </c>
      <c r="BC150">
        <f>IFERROR(N(_xlfn.XLOOKUP(A150,Щиты[Щит],Щиты[Мест под вводной узел])),15)</f>
        <v>12</v>
      </c>
      <c r="BD150">
        <f t="shared" si="183"/>
        <v>36</v>
      </c>
      <c r="BE150" t="str">
        <f t="shared" si="184"/>
        <v>линии</v>
      </c>
      <c r="BF150">
        <f>IF(D150="","",IF(BA150&lt;&gt;"",IFERROR(_xlfn.XLOOKUP(BA150,Щиты[Щит],Щиты[Руст, кВт]),0),N(G150)))</f>
        <v>0.27</v>
      </c>
      <c r="BG150">
        <f>IF(J150&lt;&gt;"",J150,IF(D150="","",IFERROR(IF(VLOOKUP(AT150,Потребители_обозначение,8,FALSE)=0,"",VLOOKUP(AT150,Потребители_обозначение,8,FALSE)),"")))</f>
        <v>230</v>
      </c>
      <c r="BH150">
        <f>IF(I150&lt;&gt;"",I150,IF(D150="","",IFERROR(IF(VLOOKUP(AT150,Потребители_обозначение,9,FALSE)=0,"",VLOOKUP(AT150,Потребители_обозначение,9,FALSE)),"")))</f>
        <v>1</v>
      </c>
      <c r="BI150" t="str">
        <f>IF(U150&lt;&gt;"",U150,IF(D150="","",IFERROR(IF(VLOOKUP(AT150,Потребители_обозначение,6,FALSE)=0,"",VLOOKUP(AT150,Потребители_обозначение,6,FALSE)),"")))</f>
        <v>мс</v>
      </c>
      <c r="BJ150">
        <f>IF(V150&lt;&gt;"",V150,IF(D150="","",IFERROR(IF(VLOOKUP(AT150,Потребители_обозначение,7,FALSE)=0,"",VLOOKUP(AT150,Потребители_обозначение,7,FALSE)),"")))</f>
        <v>3</v>
      </c>
      <c r="BK150">
        <f>IF(W150&lt;&gt;"",W150,IF(D150="","",IFERROR(IF(VLOOKUP(AT150,Потребители_обозначение,10,FALSE)=0,"",VLOOKUP(AT150,Потребители_обозначение,10,FALSE)),"")))</f>
        <v>2.5</v>
      </c>
      <c r="BL150">
        <f>IFERROR(VLOOKUP(AT150,Потребители_обозначение,5,FALSE),0)</f>
        <v>1</v>
      </c>
      <c r="BM150" cm="1">
        <f t="array" ref="BM150">IF(D150="","",IF(BA150&lt;&gt;"",IFERROR(_xlfn.XLOOKUP(BA150,Щиты[Щит],Щиты[cos φ]),0.95),IF(ISNUMBER(M150),M150,IFERROR(IF(BL150=2,_xlfn.IFS(BH150=3,VLOOKUP(BF150,Справочная_двигатели,8,FALSE),BH150=1,VLOOKUP(BF150,Справочная_двигатели,10,TRUE)),IF(AND(Методика="нормы 2026",CN150="Сил"),0.8,0.95)),0.95))))</f>
        <v>0.95</v>
      </c>
      <c r="BN150" cm="1">
        <f t="array" ref="BN150">IF(D150="","",IF(BA150&lt;&gt;"",IFERROR(_xlfn.XLOOKUP(BA150,Щиты[Щит],Щиты[Iр, А]),""),IFERROR(_xlfn.IFS(BH150=1,BF150/((Uн_лин/SQRT(3))*BM150),BH150=3,BF150/(SQRT(3)*Uн_лин*BM150)),"")))</f>
        <v>1.230667679062097</v>
      </c>
      <c r="BO150">
        <f>IF(D150="","",IF(N(X150)=0,IFERROR(VLOOKUP(BN150,Автомат_номиналы,2,TRUE),""),X150))</f>
        <v>6</v>
      </c>
      <c r="BP150">
        <f t="shared" si="185"/>
        <v>1</v>
      </c>
      <c r="BQ150">
        <f>IF(ISNUMBER(Y150),Y150,К_прокл)</f>
        <v>1</v>
      </c>
      <c r="BR150">
        <f t="shared" si="186"/>
        <v>2</v>
      </c>
      <c r="BS150" cm="1">
        <f t="array" ref="BS150">IF(D150="","",IF(N(BK150)&lt;&gt;0,BK150,IFERROR(_xlfn.LET(_xlpm.need,BO150/(BP150*BQ150),_xlpm.t,CHOOSE(BR150,Iдоп_1ж,Iдоп_2ж,Iдоп_3ж),_xlpm.k,_xlfn.XMATCH(_xlpm.need,_xlpm.t,1),IF(ISNA(_xlpm.k),"Не исп",INDEX(Iдоп_S,_xlpm.k))),"Не исп")))</f>
        <v>2.5</v>
      </c>
      <c r="BT150">
        <f>IFERROR(VLOOKUP(BS150,Кабель_сопротивление,3,FALSE),"")</f>
        <v>2.2499999999999999E-2</v>
      </c>
      <c r="BU150">
        <f>IFERROR(VLOOKUP(BS150,Кабель_сопротивление,2,FALSE),"")</f>
        <v>0.1</v>
      </c>
      <c r="BV150">
        <f t="shared" si="187"/>
        <v>31</v>
      </c>
      <c r="BW150">
        <f>IF(D150="","",IFERROR(IF(VLOOKUP(AT150,Потребители_обозначение,4,FALSE)=1,VLOOKUP(AT150,Потребители_обозначение,3,FALSE)*(H150*2-1)+BV150+VLOOKUP(AV150,Этаж_обозначение,3,FALSE)+VLOOKUP(AV150,Этаж_обозначение,4,FALSE),VLOOKUP(AT150,Потребители_обозначение,3,FALSE)*(H150*2-1)+BV150),BV150))</f>
        <v>35</v>
      </c>
      <c r="BX150">
        <f t="shared" si="188"/>
        <v>31</v>
      </c>
      <c r="BY150">
        <f t="shared" si="189"/>
        <v>0</v>
      </c>
      <c r="BZ150">
        <f t="shared" si="190"/>
        <v>2</v>
      </c>
      <c r="CA150">
        <f t="shared" si="191"/>
        <v>0.31</v>
      </c>
      <c r="CB150">
        <f t="shared" si="192"/>
        <v>0.73922515478222972</v>
      </c>
      <c r="CC150">
        <f>IFERROR(ROUNDUP(CB150/((Uн_лин/SQRT(3))*1000)*100,2),"")</f>
        <v>0.33</v>
      </c>
      <c r="CD150">
        <f>IF(ISNUMBER(CC150),CC150+IFERROR(_xlfn.XLOOKUP(A150,Щиты[Щит],Щиты[ΔU до шин, %]),0),"")</f>
        <v>1.35</v>
      </c>
      <c r="CE150">
        <f>IF(D150="","",IF(IFERROR(VLOOKUP(AT150,УГО_спр,2,FALSE),"")="Светильник",3,4)+IF(Методика="нормы 2026",MIN(0.5,MAX(0,N(BW150)-100)*0.005),0))</f>
        <v>4</v>
      </c>
      <c r="CF150" t="str">
        <f>IFERROR(VLOOKUP(BI150,Кабель_обозначение,2,FALSE),"")</f>
        <v>ВВГнг(А)-LS</v>
      </c>
      <c r="CG150" t="str">
        <f>IFERROR(IF(VLOOKUP(BI150,Кабель_обозначение,3,FALSE)=1,CF150&amp;" ("&amp;BJ150&amp;"х"&amp;BS150&amp;")",CF150),"")</f>
        <v>ВВГнг(А)-LS (3х2,5)</v>
      </c>
      <c r="CH150" t="str">
        <f t="shared" si="193"/>
        <v>ВВГнг(А)-LS (3х2,5)
L=35-0,33%</v>
      </c>
      <c r="CI150">
        <f>IFERROR(2*ρкз_Cu*BW150/BS150,"")</f>
        <v>0.73639999999999994</v>
      </c>
      <c r="CJ150">
        <f t="shared" si="194"/>
        <v>0.24500000000000002</v>
      </c>
      <c r="CK150" t="str">
        <f>IFERROR(IF(OR(D150="",NOT(ISNUMBER(BS150)),N(BW150)=0),"",_xlfn.XLOOKUP(A150,Щиты[Щит],Щиты[Zпетли на шинах, Ом])+CI150),"")</f>
        <v/>
      </c>
      <c r="CL150" t="str">
        <f>IF(ISNUMBER(CK150),c_min*(Uн_лин*1000/SQRT(3))/CK150,"")</f>
        <v/>
      </c>
      <c r="CM150" t="str">
        <f>IFERROR(IF(OR(D150="",NOT(ISNUMBER(BS150))),"",1.05*(Uн_лин*1000/SQRT(3))/(_xlfn.XLOOKUP(A150,Щиты[Щит],Щиты[Zmax на шинах, Ом])+CJ150)/1000),"")</f>
        <v/>
      </c>
      <c r="CN150" t="str">
        <f>IF(D150="","",IF(BA150&lt;&gt;"","Щит",IF(K150&lt;&gt;"",K150,IF(ISNUMBER(L150),"Сил",IF(IFERROR(_xlfn.XLOOKUP(AT150,Коды_код,Коды_группа)&amp;"","")="","Быт",_xlfn.XLOOKUP(AT150,Коды_код,Коды_группа)&amp;"")))))</f>
        <v>Сил</v>
      </c>
      <c r="CO150">
        <f>IF(CN150="Щит","щит",IF(CN150="","",IF(CN150="Быт",IFERROR(_xlfn.XLOOKUP(A150,Щиты[Щит],Щиты[Кс быт]),1),IF(CN150="Сил",IF(ISNUMBER(L150),L150,IF(Методика="нормы 2026",IFERROR(_xlfn.XLOOKUP(A150,Щиты[Щит],Щиты[Кс силовых (табл. 7.5)]),1),1)),IF(OR(CN150="Пост",CN150="Отоп"),1,IF(CN150="ВНГ",0.7,0))))))</f>
        <v>0.5</v>
      </c>
      <c r="CP150">
        <f t="shared" si="195"/>
        <v>1</v>
      </c>
      <c r="CQ150">
        <f t="shared" si="196"/>
        <v>0.27</v>
      </c>
      <c r="CR150">
        <f t="shared" si="197"/>
        <v>0</v>
      </c>
      <c r="CS150">
        <f t="shared" si="198"/>
        <v>0.13500000000000001</v>
      </c>
      <c r="CT150">
        <f t="shared" si="199"/>
        <v>0</v>
      </c>
      <c r="CU150">
        <f t="shared" si="200"/>
        <v>0</v>
      </c>
      <c r="CV150">
        <f t="shared" si="201"/>
        <v>0</v>
      </c>
      <c r="CW150">
        <f t="shared" si="202"/>
        <v>0.27</v>
      </c>
      <c r="CX150">
        <f t="shared" si="203"/>
        <v>0.25650000000000001</v>
      </c>
      <c r="CY150">
        <f t="shared" si="204"/>
        <v>2</v>
      </c>
      <c r="CZ150" t="str">
        <f t="shared" si="205"/>
        <v>L2</v>
      </c>
      <c r="DA150" cm="1">
        <f t="array" ref="DA150">IFERROR(IF(BL150=2,_xlfn.IFS(BH150=3,VLOOKUP(BF150,Справочная_двигатели,3,FALSE),BH150=1,VLOOKUP(BF150,Справочная_двигатели,5,TRUE)),0),0)</f>
        <v>0</v>
      </c>
      <c r="DB150">
        <f>IFERROR(IF(BL150=3,VLOOKUP(BF150,Справочная_ЛЭД,2,TRUE),0),0)</f>
        <v>0</v>
      </c>
      <c r="DC150">
        <f t="shared" si="206"/>
        <v>0</v>
      </c>
      <c r="DD150" t="str">
        <f t="shared" si="207"/>
        <v>L2</v>
      </c>
      <c r="DE150" t="str" cm="1">
        <f t="array" ref="DE150">IF(D150="","",IFERROR(INDEX({"I особая","I","II","III"},MATCH(TRIM(AA150&amp;""),{"I особая","I","II","III"},0)),"III"))</f>
        <v>II</v>
      </c>
      <c r="DF150" t="str">
        <f>IF(D150="","",IF(TRIM(AB150&amp;"")&lt;&gt;"",IF(LOWER(TRIM(AB150&amp;""))="да","да","нет"),IF(IFERROR(_xlfn.XLOOKUP(AT150,Коды_код,Коды_пожарная),"")="да","да","нет")))</f>
        <v>нет</v>
      </c>
      <c r="DG150" t="str">
        <f t="shared" si="208"/>
        <v/>
      </c>
      <c r="DH150" t="str">
        <f t="shared" si="209"/>
        <v>основная</v>
      </c>
      <c r="DI150">
        <f t="shared" si="210"/>
        <v>1</v>
      </c>
      <c r="DJ150" t="str" cm="1">
        <f t="array" ref="DJ150">IF(D150="","",_xlfn.LET(_xlpm.t,IFERROR(_xlfn.XLOOKUP(1,(Шины[Шина]=DH150)*(((Шины[Щит]=A150)+(Шины[Щит]=""))&gt;0),Шины[Тип]),"")&amp;"",IF(_xlpm.t&lt;&gt;"",_xlpm.t,IF(ISNUMBER(SEARCH("ИБП",DH150)),"ИБП",IF(ISNUMBER(SEARCH("ДГУ",DH150)),"ДГУ","Ввод "&amp;DI150)))))</f>
        <v>Ввод 1</v>
      </c>
      <c r="DK150" t="str">
        <f t="shared" si="211"/>
        <v>Ввод 1</v>
      </c>
      <c r="DL150" t="str">
        <f>IF(D150="","",IF(OR(DJ150="ИБП",DJ150="ДГУ"),"I особая",IF(DJ150="Одиночная","III",_xlfn.XLOOKUP(A150,Щиты[Щит],Щиты[Категория шины «Ввод»],"III"))))</f>
        <v>II</v>
      </c>
      <c r="DM150">
        <f>IF(D150="",0,IFERROR(MATCH(DE150,{"III","II","I","I особая"},0),1))</f>
        <v>2</v>
      </c>
      <c r="DN150">
        <f t="shared" si="212"/>
        <v>2</v>
      </c>
      <c r="DO150" t="str">
        <f>IF(D150="","",IF(DM150&gt;IFERROR(MATCH(DL150,{"III","II","I","I особая"},0),1),"НЕ ОБЕСПЕЧЕНА","ОК"))</f>
        <v>ОК</v>
      </c>
      <c r="DP150" t="str">
        <f>IF(A150="","",_xlfn.XLOOKUP(A150,Щиты[Щит],Щиты[Путь],""))</f>
        <v>|ГРЩ-ЖД|ЩОВ-2|</v>
      </c>
      <c r="DQ150" t="str">
        <f>IF(D150="","",IF(Z150&lt;&gt;"",Z150,IF(IFERROR(_xlfn.XLOOKUP(AT150,Коды_код,Коды_вид)&amp;"","")="","Прочее",_xlfn.XLOOKUP(AT150,Коды_код,Коды_вид)&amp;"")))</f>
        <v>Вентиляция</v>
      </c>
      <c r="DR150">
        <f>IF(BD150="","",INT((BD150-1)/Столбцов_на_лист)+1)</f>
        <v>3</v>
      </c>
      <c r="DS150" t="str">
        <f t="shared" si="213"/>
        <v>ВВГнг(А)-LS (3х2,5) L=35-0,33%</v>
      </c>
      <c r="DT150">
        <f t="shared" si="214"/>
        <v>0.27</v>
      </c>
      <c r="DU150">
        <f t="shared" si="215"/>
        <v>1.24</v>
      </c>
      <c r="DV150">
        <f t="shared" si="216"/>
        <v>1</v>
      </c>
      <c r="DW150">
        <f>IF(AT150="",0,_xlfn.LET(_xlpm.v,IFERROR(VLOOKUP(D150,УГО_спр,3,FALSE),IFERROR(VLOOKUP(AT150,УГО_спр,3,FALSE),IFERROR(VLOOKUP(LEFT(AT150,2),УГО_спр,3,FALSE),""))),IF(_xlpm.v="да",30,IF(ISNUMBER(_xlpm.v),_xlpm.v,0))))</f>
        <v>0</v>
      </c>
      <c r="DX150">
        <f t="shared" si="217"/>
        <v>0</v>
      </c>
      <c r="DY150">
        <f>IF(BD150="","",IF(AD150&lt;&gt;"",COUNTIFS(A$3:A150,A150,AD$3:AD150,"?*"),IF(OR(OR(AS150=1,A150&lt;&gt;A149),AL150="вручную"),"",IF(AS150=1,"",DZ149))))</f>
        <v>20</v>
      </c>
      <c r="DZ150">
        <f t="shared" si="218"/>
        <v>20</v>
      </c>
      <c r="EA150">
        <f>IF(D150="",0,MAX(IFERROR(--X150,0),IFERROR(--VLOOKUP(D150,УГО_спр,4,FALSE),IFERROR(--VLOOKUP(AT150,УГО_спр,4,FALSE),IFERROR(--VLOOKUP(LEFT(AT150,2),УГО_спр,4,FALSE),0)))))</f>
        <v>0</v>
      </c>
      <c r="EB150">
        <f>IF(D150="","",IFERROR(LOOKUP(INDEX(CHOOSE(BR150,Iдоп_1ж,Iдоп_2ж,Iдоп_3ж),MATCH(BS150,Iдоп_S,0))*BP150*BQ150,{6,10,16,20,25,32,40,50,63,80,100,125,160,200,250,315,400,500,630}),""))</f>
        <v>25</v>
      </c>
      <c r="EC150">
        <f>IF(AD150="","",SUMIFS(Линии[_Ток схемы],Линии[_гр.],DY150,Линии[Щит],A150,Линии[_в кабель выше],0))</f>
        <v>1.24</v>
      </c>
      <c r="ED150">
        <f>IF(AD150="","",IFERROR(VLOOKUP(EC150,Автомат_номиналы,2,TRUE),""))</f>
        <v>6</v>
      </c>
      <c r="EE150">
        <f>IF(AD150="","",MAX(N(ED150),_xlfn.MAXIFS(Линии[_мин. по типу],Линии[_гр.],DY150,Линии[Щит],A150)))</f>
        <v>6</v>
      </c>
      <c r="EF150">
        <f>IF(AD150="","",_xlfn.MINIFS(Линии[_макс. автомат по кабелю],Линии[_гр.],DY150,Линии[Щит],A150))</f>
        <v>25</v>
      </c>
      <c r="EG150">
        <f>IF(AD150="","",MAX(1,_xlfn.MAXIFS(Линии[_фаз],Линии[_гр.],DY150,Линии[Щит],A150)))</f>
        <v>1</v>
      </c>
      <c r="EH150">
        <f>IF(AD150="","",IF(AND(AD150&lt;&gt;"авто",AD150&lt;&gt;"+"),IF(ISNUMBER(SEARCH("мА",AD150)),IFERROR(--TRIM(RIGHT(SUBSTITUTE(LEFT(AD150,SEARCH("мА",AD150)-1)," ",REPT(" ",9)),6)),30),0),IF(AE150="нет",0,IF(ISNUMBER(AE150),AE150,IF(AE150="да",30,_xlfn.MINIFS(Линии[_дифзащита по коду, мА],Линии[_гр.],DY150,Линии[Щит],A150,Линии[_дифзащита по коду, мА],"&gt;0"))))))</f>
        <v>0</v>
      </c>
      <c r="EI150">
        <f t="shared" si="219"/>
        <v>0</v>
      </c>
      <c r="EJ150" t="str">
        <f t="shared" si="220"/>
        <v>QF20</v>
      </c>
      <c r="EK150" t="str">
        <f t="shared" si="221"/>
        <v>QF20</v>
      </c>
      <c r="EL150" t="str">
        <f t="shared" si="222"/>
        <v/>
      </c>
      <c r="EM150">
        <f t="shared" si="223"/>
        <v>0</v>
      </c>
      <c r="EN150">
        <f>IF(AD150="","",IF(EM150=1,MAX(EE150,Мин_автомат_БП),EE150))</f>
        <v>6</v>
      </c>
      <c r="EO150" t="str">
        <f t="shared" si="224"/>
        <v>1P</v>
      </c>
      <c r="EP150" t="str">
        <f t="shared" si="225"/>
        <v>1P С6А</v>
      </c>
      <c r="EQ150">
        <f t="shared" si="226"/>
        <v>6</v>
      </c>
      <c r="ER150" t="str">
        <f>IF(OR(AI150="",AI150="-"),"",IFERROR(VLOOKUP(AI150,Модули_спр,2,FALSE),"R"))</f>
        <v/>
      </c>
      <c r="ES150" t="str">
        <f>IF(ER150="","",ER150&amp;"."&amp;COUNTIFS(A$3:A150,A150,ER$3:ER150,ER150))</f>
        <v/>
      </c>
      <c r="ET150" t="str">
        <f t="shared" si="227"/>
        <v/>
      </c>
      <c r="EU150" t="str">
        <f t="shared" si="228"/>
        <v/>
      </c>
      <c r="EV150" t="str">
        <f t="shared" si="229"/>
        <v/>
      </c>
      <c r="EW150" t="str">
        <f t="shared" si="230"/>
        <v/>
      </c>
      <c r="EX150">
        <f t="shared" si="231"/>
        <v>1</v>
      </c>
      <c r="EY150" t="str">
        <f>IF(AK150="нет","",IF(AK150&lt;&gt;"",AK150,IF(EX150=1,"XT"&amp;COUNTIFS(A$3:A150,A150,EX$3:EX150,1),"")))</f>
        <v>XT20</v>
      </c>
      <c r="EZ150" t="str">
        <f t="shared" si="232"/>
        <v>QF20</v>
      </c>
      <c r="FA150" t="str">
        <f t="shared" si="233"/>
        <v/>
      </c>
      <c r="FB150" t="str">
        <f t="shared" si="234"/>
        <v>ok</v>
      </c>
      <c r="FC150" t="str">
        <f>IF(OR(EV150="",ET150=""),"",IF(EV150&gt;IFERROR(VLOOKUP(EU150,Модули_спр,3,FALSE),99),"ЛИШНИЙ КАНАЛ",IF(AND(AJ150&lt;&gt;"=",COUNTIFS(Линии[_модуль гр.],ET150,Линии[Канал (итог)],EV150,Линии[Канал],"&lt;&gt;=",Линии[Щит],A150)&gt;1),"ДУБЛЬ КАНАЛА","")))</f>
        <v/>
      </c>
      <c r="FD150">
        <f t="shared" si="235"/>
        <v>6</v>
      </c>
      <c r="FE150" t="str">
        <f t="shared" si="236"/>
        <v>1P С6А</v>
      </c>
      <c r="FF150">
        <f t="shared" si="237"/>
        <v>0</v>
      </c>
      <c r="FG150">
        <f t="shared" si="238"/>
        <v>0</v>
      </c>
      <c r="FH150" t="str">
        <f t="shared" si="239"/>
        <v/>
      </c>
      <c r="FI150">
        <f t="shared" si="240"/>
        <v>10</v>
      </c>
      <c r="FJ150" t="str">
        <f t="shared" si="241"/>
        <v/>
      </c>
      <c r="FK150" t="str">
        <f>IF(AND(D150="",EZ150=""),"",_xlfn.TEXTJOIN("; ",TRUE,IF(AND(D150&lt;&gt;"",DD150=""),"нет фазы",""),IF(AND(D150&lt;&gt;"",N(DT150)=0,CN150&lt;&gt;"Нет"),"нет мощности",""),IF(AND(EY150&lt;&gt;"",COUNTIFS(Линии[Щит],A150,Линии[Клемма (итог)],EY150)&gt;1),"дубль клеммы "&amp;EY150,""),IF(AND(FB150&lt;&gt;"",FB150&lt;&gt;"ok"),FB150,""),IF(FC150&lt;&gt;"",FC150,""),IF(AND(ISNUMBER(SEARCH("(5х",DS150)),N(DV150)=1),"5 жил на 1 фазе",""),IF(AND(AT150="R",AD150&lt;&gt;"",OR(N(EH150)=0,N(EH150)&gt;30)),"розетка без дифзащиты до 30 мА",""),IFERROR(IF(AND(ISNUMBER(CD150),CD150&gt;CE150),"потери "&amp;FIXED(CD150,1)&amp;" % &gt; "&amp;CE150&amp;" %",""),""),IFERROR(IF(LEFT(FJ150,4)="мало","Iкз мало — отключение &gt; 0,4 с",""),""),IF(AND(D150&lt;&gt;"",BD150=""),"не на схеме","")))</f>
        <v/>
      </c>
      <c r="FL150" t="str">
        <f>IF(AD150="","",_xlfn.LET(_xlpm.t,IFERROR(_xlfn.XLOOKUP(EP150,Каталог!$U$4:$U$500,Каталог!$G$4:$G$500),""),_xlpm.k,SEARCH("кА",_xlpm.t),IFERROR(--TRIM(RIGHT(SUBSTITUTE(MID(_xlpm.t,MAX(1,_xlpm.k-4),_xlpm.k-MAX(1,_xlpm.k-4))," ",REPT(" ",9)),5)),"")))</f>
        <v/>
      </c>
      <c r="FM150" t="str">
        <f>IF(OR(FL150="",AD150=""),"",IF(_xlfn.XLOOKUP(A150,Щиты[Щит],Щиты[Iкз max на шинах, кА],"")="","",IF(FL150&lt;_xlfn.XLOOKUP(A150,Щиты[Щит],Щиты[Iкз max на шинах, кА]),"Icu "&amp;FL150&amp;" кА &lt; Iкз max","ok")))</f>
        <v/>
      </c>
      <c r="FN150" t="str">
        <f t="shared" si="242"/>
        <v>QF20|XT20</v>
      </c>
      <c r="FO150" t="str">
        <f t="shared" si="243"/>
        <v>QF20|XT20|кабель ВВГнг(А)-LS (3х2,5) → Приточная установка Технический этаж Пом. №001Т</v>
      </c>
      <c r="FP150" t="str" cm="1">
        <f t="array" ref="FP150">IF(FO150="","",_xlfn.LET(_xlpm.nd,_xlfn.TEXTSPLIT(FO150,"|"),IF(COLUMNS(_xlpm.nd)&gt;1,A150&amp;"¦"&amp;INDEX(_xlpm.nd,1)&amp;"¦"&amp;INDEX(_xlpm.nd,2),"")))</f>
        <v>ЩОВ-2¦QF20¦XT20</v>
      </c>
      <c r="FQ150" t="str">
        <f t="shared" si="244"/>
        <v>П.5¦Приточная установка Технический этаж Пом. №001Т</v>
      </c>
      <c r="FR150" t="str" cm="1">
        <f t="array" ref="FR150">IF(FO150="","",_xlfn.LET(_xlpm.nd,_xlfn.TEXTSPLIT(FO150,"|"),IF(COLUMNS(_xlpm.nd)&gt;2,A150&amp;"¦"&amp;INDEX(_xlpm.nd,2)&amp;"¦"&amp;INDEX(_xlpm.nd,3),"")))</f>
        <v>ЩОВ-2¦XT20¦кабель ВВГнг(А)-LS (3х2,5) → Приточная установка Технический этаж Пом. №001Т</v>
      </c>
      <c r="FS150" t="str">
        <f t="shared" si="245"/>
        <v>П.5¦Приточная установка Технический этаж Пом. №001Т</v>
      </c>
      <c r="FT150" t="str" cm="1">
        <f t="array" ref="FT150">IF(FO150="","",_xlfn.LET(_xlpm.nd,_xlfn.TEXTSPLIT(FO150,"|"),IF(COLUMNS(_xlpm.nd)&gt;3,A150&amp;"¦"&amp;INDEX(_xlpm.nd,3)&amp;"¦"&amp;INDEX(_xlpm.nd,4),"")))</f>
        <v/>
      </c>
      <c r="FU150" t="str">
        <f t="shared" si="246"/>
        <v/>
      </c>
      <c r="FV150" t="str" cm="1">
        <f t="array" ref="FV150">IF(FO150="","",_xlfn.LET(_xlpm.nd,_xlfn.TEXTSPLIT(FO150,"|"),IF(COLUMNS(_xlpm.nd)&gt;4,A150&amp;"¦"&amp;INDEX(_xlpm.nd,4)&amp;"¦"&amp;INDEX(_xlpm.nd,5),"")))</f>
        <v/>
      </c>
      <c r="FW150" t="str">
        <f t="shared" si="247"/>
        <v/>
      </c>
      <c r="FX150" t="str" cm="1">
        <f t="array" ref="FX150">IF(FO150="","",_xlfn.LET(_xlpm.nd,_xlfn.TEXTSPLIT(FO150,"|"),IF(COLUMNS(_xlpm.nd)&gt;5,A150&amp;"¦"&amp;INDEX(_xlpm.nd,5)&amp;"¦"&amp;INDEX(_xlpm.nd,6),"")))</f>
        <v/>
      </c>
      <c r="FY150" t="str">
        <f t="shared" si="248"/>
        <v/>
      </c>
      <c r="FZ150" t="str" cm="1">
        <f t="array" ref="FZ150">IF(FO150="","",_xlfn.LET(_xlpm.nd,_xlfn.TEXTSPLIT(FO150,"|"),IF(COLUMNS(_xlpm.nd)&gt;6,A150&amp;"¦"&amp;INDEX(_xlpm.nd,6)&amp;"¦"&amp;INDEX(_xlpm.nd,7),"")))</f>
        <v/>
      </c>
      <c r="GA150" t="str">
        <f t="shared" si="249"/>
        <v/>
      </c>
      <c r="GB150" t="str">
        <f t="shared" si="250"/>
        <v/>
      </c>
      <c r="GC150" t="str">
        <f t="shared" si="251"/>
        <v>QF20 → XT20</v>
      </c>
      <c r="GD150">
        <f t="shared" si="252"/>
        <v>1</v>
      </c>
      <c r="GE150">
        <f t="shared" si="253"/>
        <v>0</v>
      </c>
      <c r="GF150">
        <f t="shared" si="254"/>
        <v>0</v>
      </c>
      <c r="GG150" t="str">
        <f t="shared" si="255"/>
        <v/>
      </c>
      <c r="GH150" t="str">
        <f t="shared" si="256"/>
        <v/>
      </c>
      <c r="GI150" t="str">
        <f t="shared" si="257"/>
        <v/>
      </c>
      <c r="GJ150" t="str">
        <f t="shared" si="258"/>
        <v/>
      </c>
      <c r="GK150" t="str">
        <f>IF(D150="","",IFERROR(VLOOKUP(D150,УГО_спр,2,FALSE),IFERROR(VLOOKUP(AT150,УГО_спр,2,FALSE),IFERROR(VLOOKUP(LEFT(AT150,2),УГО_спр,2,FALSE),""))))</f>
        <v>Привод (двигатель)</v>
      </c>
      <c r="GL150" t="str">
        <f>IF(D150="","",IF(OR(GK150="",GK150=0),"BOX",IFERROR(IF(VLOOKUP(GK150,УГО_блоки,3,FALSE)&amp;""&lt;&gt;"",VLOOKUP(GK150,УГО_блоки,3,FALSE),VLOOKUP(GK150,УГО_блоки,2,FALSE)),GK150)))</f>
        <v>MOTOR</v>
      </c>
      <c r="GM150">
        <f t="shared" si="259"/>
        <v>1</v>
      </c>
      <c r="GN150" t="str">
        <f>IF(EP150="","",IF(COUNTIF(EP$3:EP150,EP150)=1,MAX(GN$2:GN149)+1,""))</f>
        <v/>
      </c>
      <c r="GO150" t="str">
        <f>IF(AF150="","",IF(COUNTIF(AF$3:AF150,AF150)+COUNTIF(AG$2:AG149,AF150)+COUNTIF(AH$2:AH149,AF150)=1,MAX(GO$2:GQ149)+1,""))</f>
        <v/>
      </c>
      <c r="GP150" t="str">
        <f>IF(AG150="","",IF(COUNTIF(AF$3:AF150,AG150)+COUNTIF(AG$3:AG150,AG150)+COUNTIF(AH$2:AH149,AG150)=1,MAX(GO$2:GQ149,GO150)+1,""))</f>
        <v/>
      </c>
      <c r="GQ150" t="str">
        <f>IF(AH150="","",IF(COUNTIF(AF$3:AF150,AH150)+COUNTIF(AG$3:AG150,AH150)+COUNTIF(AH$3:AH150,AH150)=1,MAX(GO$2:GQ149,GO150,GP150)+1,""))</f>
        <v/>
      </c>
      <c r="GR150" t="str">
        <f t="shared" si="260"/>
        <v>3х2,5</v>
      </c>
      <c r="GS150" t="str">
        <f>IF(GR150="","",IF(COUNTIF(GR$3:GR150,GR150)=1,MAX(GS$2:GS149)+1,""))</f>
        <v/>
      </c>
      <c r="GT150" t="str">
        <f>IF(ES150="","",COUNTIF(ES$3:ES150,"?*"))</f>
        <v/>
      </c>
      <c r="GU150" t="str">
        <f>IF(OR(ES150="",EU150=""),"",IF(COUNTIFS(ES$3:ES150,"?*",EU$3:EU150,EU150)=1,MAX(GU$2:GU149)+1,""))</f>
        <v/>
      </c>
      <c r="GV150">
        <f t="shared" si="261"/>
        <v>0</v>
      </c>
      <c r="GW150">
        <f>IF(D150="","",COUNTIF(D$3:D150,"?*"))</f>
        <v>148</v>
      </c>
      <c r="GX150">
        <f>IF(EX150&lt;&gt;1,0,_xlfn.LET(_xlpm.k,MAX(IFERROR(--VLOOKUP(D150,УГО_спр,5,FALSE),0),IFERROR(--VLOOKUP(AT150,УГО_спр,5,FALSE),0),IFERROR(--VLOOKUP(LEFT(AT150,2),УГО_спр,5,FALSE),0)),IF(_xlpm.k&gt;0,_xlpm.k,IF(IFERROR(--LEFT(SUBSTITUTE(GR150,"x","х"),FIND("х",SUBSTITUTE(GR150,"x","х"))-1),3)&gt;3,Каталог!$S$9,1))))</f>
        <v>1</v>
      </c>
      <c r="GY150">
        <f t="shared" si="262"/>
        <v>0</v>
      </c>
    </row>
    <row r="151" spans="1:207" x14ac:dyDescent="0.3">
      <c r="A151" t="s">
        <v>756</v>
      </c>
      <c r="B151">
        <v>37</v>
      </c>
      <c r="C151" t="str">
        <f>IF(BD151="","",IF(BE151="вводной узел","узел ","")&amp;"л."&amp;(INT((BD151-1)/Столбцов_на_лист)+1)&amp;" / "&amp;(MOD(BD151-1,Столбцов_на_лист)+1))</f>
        <v>л.3 / 3</v>
      </c>
      <c r="D151" t="s">
        <v>1455</v>
      </c>
      <c r="E151" s="133" t="s">
        <v>1456</v>
      </c>
      <c r="G151">
        <v>3.8</v>
      </c>
      <c r="H151">
        <v>1</v>
      </c>
      <c r="I151">
        <v>1</v>
      </c>
      <c r="J151">
        <v>230</v>
      </c>
      <c r="K151" t="s">
        <v>602</v>
      </c>
      <c r="L151">
        <v>0.5</v>
      </c>
      <c r="O151">
        <v>3</v>
      </c>
      <c r="P151">
        <v>30</v>
      </c>
      <c r="Q151">
        <v>4</v>
      </c>
      <c r="R151">
        <v>30</v>
      </c>
      <c r="T151">
        <v>1</v>
      </c>
      <c r="U151" t="s">
        <v>11</v>
      </c>
      <c r="V151">
        <v>3</v>
      </c>
      <c r="W151">
        <v>4</v>
      </c>
      <c r="Z151" t="s">
        <v>584</v>
      </c>
      <c r="AA151" t="s">
        <v>818</v>
      </c>
      <c r="AD151" t="s">
        <v>517</v>
      </c>
      <c r="AR151" t="str">
        <f t="shared" si="176"/>
        <v/>
      </c>
      <c r="AS151" cm="1">
        <f t="array" ref="AS151">ROW()-ROW(Линии[#Headers])</f>
        <v>149</v>
      </c>
      <c r="AT151" t="str">
        <f t="shared" si="177"/>
        <v>ПВ</v>
      </c>
      <c r="AU151" t="str">
        <f t="shared" si="178"/>
        <v>5</v>
      </c>
      <c r="AV151" t="str">
        <f t="shared" si="179"/>
        <v>5</v>
      </c>
      <c r="AW151" t="str">
        <f t="shared" si="180"/>
        <v/>
      </c>
      <c r="AX151" t="str">
        <f t="shared" si="181"/>
        <v/>
      </c>
      <c r="AY151" t="str">
        <f>IF(D151="","",IF(ISERROR(SEARCH(".",D151)),IFERROR(VLOOKUP(D151,Потребители_обозначение,2,FALSE)&amp;"",""),IFERROR(IF(VLOOKUP(AT151,Потребители_обозначение,4,FALSE)=1,VLOOKUP(AT151,Потребители_обозначение,2,FALSE)&amp;" "&amp;VLOOKUP(AV151,Этаж_обозначение,2,FALSE)&amp;" Пом. №"&amp;AX151,VLOOKUP(AT151,Потребители_обозначение,2,FALSE)&amp;" Шлейф №"&amp;AV151),IFERROR(VLOOKUP(D151,Потребители_обозначение,2,FALSE),""))))</f>
        <v>Приточно-вытяжная установка Шлейф №5</v>
      </c>
      <c r="AZ151" t="str">
        <f t="shared" si="182"/>
        <v>Приточно-вытяжная установка Технический этаж Пом. №001Т</v>
      </c>
      <c r="BA151" t="str">
        <f>IF(F151&lt;&gt;"",F151,IF(AND(D151&lt;&gt;"",D151&lt;&gt;A151,ISNUMBER(_xlfn.XMATCH(D151,Щиты[Щит]))),D151,""))</f>
        <v/>
      </c>
      <c r="BB151">
        <f>IFERROR(_xlfn.XMATCH(A151,Щиты[Щит]),0)</f>
        <v>7</v>
      </c>
      <c r="BC151">
        <f>IFERROR(N(_xlfn.XLOOKUP(A151,Щиты[Щит],Щиты[Мест под вводной узел])),15)</f>
        <v>12</v>
      </c>
      <c r="BD151">
        <f t="shared" si="183"/>
        <v>37</v>
      </c>
      <c r="BE151" t="str">
        <f t="shared" si="184"/>
        <v>линии</v>
      </c>
      <c r="BF151">
        <f>IF(D151="","",IF(BA151&lt;&gt;"",IFERROR(_xlfn.XLOOKUP(BA151,Щиты[Щит],Щиты[Руст, кВт]),0),N(G151)))</f>
        <v>3.8</v>
      </c>
      <c r="BG151">
        <f>IF(J151&lt;&gt;"",J151,IF(D151="","",IFERROR(IF(VLOOKUP(AT151,Потребители_обозначение,8,FALSE)=0,"",VLOOKUP(AT151,Потребители_обозначение,8,FALSE)),"")))</f>
        <v>230</v>
      </c>
      <c r="BH151">
        <f>IF(I151&lt;&gt;"",I151,IF(D151="","",IFERROR(IF(VLOOKUP(AT151,Потребители_обозначение,9,FALSE)=0,"",VLOOKUP(AT151,Потребители_обозначение,9,FALSE)),"")))</f>
        <v>1</v>
      </c>
      <c r="BI151" t="str">
        <f>IF(U151&lt;&gt;"",U151,IF(D151="","",IFERROR(IF(VLOOKUP(AT151,Потребители_обозначение,6,FALSE)=0,"",VLOOKUP(AT151,Потребители_обозначение,6,FALSE)),"")))</f>
        <v>мс</v>
      </c>
      <c r="BJ151">
        <f>IF(V151&lt;&gt;"",V151,IF(D151="","",IFERROR(IF(VLOOKUP(AT151,Потребители_обозначение,7,FALSE)=0,"",VLOOKUP(AT151,Потребители_обозначение,7,FALSE)),"")))</f>
        <v>3</v>
      </c>
      <c r="BK151">
        <f>IF(W151&lt;&gt;"",W151,IF(D151="","",IFERROR(IF(VLOOKUP(AT151,Потребители_обозначение,10,FALSE)=0,"",VLOOKUP(AT151,Потребители_обозначение,10,FALSE)),"")))</f>
        <v>4</v>
      </c>
      <c r="BL151">
        <f>IFERROR(VLOOKUP(AT151,Потребители_обозначение,5,FALSE),0)</f>
        <v>1</v>
      </c>
      <c r="BM151" cm="1">
        <f t="array" ref="BM151">IF(D151="","",IF(BA151&lt;&gt;"",IFERROR(_xlfn.XLOOKUP(BA151,Щиты[Щит],Щиты[cos φ]),0.95),IF(ISNUMBER(M151),M151,IFERROR(IF(BL151=2,_xlfn.IFS(BH151=3,VLOOKUP(BF151,Справочная_двигатели,8,FALSE),BH151=1,VLOOKUP(BF151,Справочная_двигатели,10,TRUE)),IF(AND(Методика="нормы 2026",CN151="Сил"),0.8,0.95)),0.95))))</f>
        <v>0.95</v>
      </c>
      <c r="BN151" cm="1">
        <f t="array" ref="BN151">IF(D151="","",IF(BA151&lt;&gt;"",IFERROR(_xlfn.XLOOKUP(BA151,Щиты[Щит],Щиты[Iр, А]),""),IFERROR(_xlfn.IFS(BH151=1,BF151/((Uн_лин/SQRT(3))*BM151),BH151=3,BF151/(SQRT(3)*Uн_лин*BM151)),"")))</f>
        <v>17.320508075688771</v>
      </c>
      <c r="BO151">
        <f>IF(D151="","",IF(N(X151)=0,IFERROR(VLOOKUP(BN151,Автомат_номиналы,2,TRUE),""),X151))</f>
        <v>20</v>
      </c>
      <c r="BP151">
        <f t="shared" si="185"/>
        <v>1</v>
      </c>
      <c r="BQ151">
        <f>IF(ISNUMBER(Y151),Y151,К_прокл)</f>
        <v>1</v>
      </c>
      <c r="BR151">
        <f t="shared" si="186"/>
        <v>2</v>
      </c>
      <c r="BS151" cm="1">
        <f t="array" ref="BS151">IF(D151="","",IF(N(BK151)&lt;&gt;0,BK151,IFERROR(_xlfn.LET(_xlpm.need,BO151/(BP151*BQ151),_xlpm.t,CHOOSE(BR151,Iдоп_1ж,Iдоп_2ж,Iдоп_3ж),_xlpm.k,_xlfn.XMATCH(_xlpm.need,_xlpm.t,1),IF(ISNA(_xlpm.k),"Не исп",INDEX(Iдоп_S,_xlpm.k))),"Не исп")))</f>
        <v>4</v>
      </c>
      <c r="BT151">
        <f>IFERROR(VLOOKUP(BS151,Кабель_сопротивление,3,FALSE),"")</f>
        <v>2.2499999999999999E-2</v>
      </c>
      <c r="BU151">
        <f>IFERROR(VLOOKUP(BS151,Кабель_сопротивление,2,FALSE),"")</f>
        <v>9.5000000000000001E-2</v>
      </c>
      <c r="BV151">
        <f t="shared" si="187"/>
        <v>30</v>
      </c>
      <c r="BW151">
        <f>IF(D151="","",IFERROR(IF(VLOOKUP(AT151,Потребители_обозначение,4,FALSE)=1,VLOOKUP(AT151,Потребители_обозначение,3,FALSE)*(H151*2-1)+BV151+VLOOKUP(AV151,Этаж_обозначение,3,FALSE)+VLOOKUP(AV151,Этаж_обозначение,4,FALSE),VLOOKUP(AT151,Потребители_обозначение,3,FALSE)*(H151*2-1)+BV151),BV151))</f>
        <v>34</v>
      </c>
      <c r="BX151">
        <f t="shared" si="188"/>
        <v>30</v>
      </c>
      <c r="BY151">
        <f t="shared" si="189"/>
        <v>0</v>
      </c>
      <c r="BZ151">
        <f t="shared" si="190"/>
        <v>2</v>
      </c>
      <c r="CA151">
        <f t="shared" si="191"/>
        <v>0.31</v>
      </c>
      <c r="CB151">
        <f t="shared" si="192"/>
        <v>6.3285256714757816</v>
      </c>
      <c r="CC151">
        <f>IFERROR(ROUNDUP(CB151/((Uн_лин/SQRT(3))*1000)*100,2),"")</f>
        <v>2.75</v>
      </c>
      <c r="CD151">
        <f>IF(ISNUMBER(CC151),CC151+IFERROR(_xlfn.XLOOKUP(A151,Щиты[Щит],Щиты[ΔU до шин, %]),0),"")</f>
        <v>3.77</v>
      </c>
      <c r="CE151">
        <f>IF(D151="","",IF(IFERROR(VLOOKUP(AT151,УГО_спр,2,FALSE),"")="Светильник",3,4)+IF(Методика="нормы 2026",MIN(0.5,MAX(0,N(BW151)-100)*0.005),0))</f>
        <v>4</v>
      </c>
      <c r="CF151" t="str">
        <f>IFERROR(VLOOKUP(BI151,Кабель_обозначение,2,FALSE),"")</f>
        <v>ВВГнг(А)-LS</v>
      </c>
      <c r="CG151" t="str">
        <f>IFERROR(IF(VLOOKUP(BI151,Кабель_обозначение,3,FALSE)=1,CF151&amp;" ("&amp;BJ151&amp;"х"&amp;BS151&amp;")",CF151),"")</f>
        <v>ВВГнг(А)-LS (3х4)</v>
      </c>
      <c r="CH151" t="str">
        <f t="shared" si="193"/>
        <v>ВВГнг(А)-LS (3х4)
L=34-2,75%</v>
      </c>
      <c r="CI151">
        <f>IFERROR(2*ρкз_Cu*BW151/BS151,"")</f>
        <v>0.4471</v>
      </c>
      <c r="CJ151">
        <f t="shared" si="194"/>
        <v>0.14875000000000002</v>
      </c>
      <c r="CK151" t="str">
        <f>IFERROR(IF(OR(D151="",NOT(ISNUMBER(BS151)),N(BW151)=0),"",_xlfn.XLOOKUP(A151,Щиты[Щит],Щиты[Zпетли на шинах, Ом])+CI151),"")</f>
        <v/>
      </c>
      <c r="CL151" t="str">
        <f>IF(ISNUMBER(CK151),c_min*(Uн_лин*1000/SQRT(3))/CK151,"")</f>
        <v/>
      </c>
      <c r="CM151" t="str">
        <f>IFERROR(IF(OR(D151="",NOT(ISNUMBER(BS151))),"",1.05*(Uн_лин*1000/SQRT(3))/(_xlfn.XLOOKUP(A151,Щиты[Щит],Щиты[Zmax на шинах, Ом])+CJ151)/1000),"")</f>
        <v/>
      </c>
      <c r="CN151" t="str">
        <f>IF(D151="","",IF(BA151&lt;&gt;"","Щит",IF(K151&lt;&gt;"",K151,IF(ISNUMBER(L151),"Сил",IF(IFERROR(_xlfn.XLOOKUP(AT151,Коды_код,Коды_группа)&amp;"","")="","Быт",_xlfn.XLOOKUP(AT151,Коды_код,Коды_группа)&amp;"")))))</f>
        <v>Сил</v>
      </c>
      <c r="CO151">
        <f>IF(CN151="Щит","щит",IF(CN151="","",IF(CN151="Быт",IFERROR(_xlfn.XLOOKUP(A151,Щиты[Щит],Щиты[Кс быт]),1),IF(CN151="Сил",IF(ISNUMBER(L151),L151,IF(Методика="нормы 2026",IFERROR(_xlfn.XLOOKUP(A151,Щиты[Щит],Щиты[Кс силовых (табл. 7.5)]),1),1)),IF(OR(CN151="Пост",CN151="Отоп"),1,IF(CN151="ВНГ",0.7,0))))))</f>
        <v>0.5</v>
      </c>
      <c r="CP151">
        <f t="shared" si="195"/>
        <v>1</v>
      </c>
      <c r="CQ151">
        <f t="shared" si="196"/>
        <v>3.8</v>
      </c>
      <c r="CR151">
        <f t="shared" si="197"/>
        <v>0</v>
      </c>
      <c r="CS151">
        <f t="shared" si="198"/>
        <v>1.9</v>
      </c>
      <c r="CT151">
        <f t="shared" si="199"/>
        <v>0</v>
      </c>
      <c r="CU151">
        <f t="shared" si="200"/>
        <v>0</v>
      </c>
      <c r="CV151">
        <f t="shared" si="201"/>
        <v>0</v>
      </c>
      <c r="CW151">
        <f t="shared" si="202"/>
        <v>3.8</v>
      </c>
      <c r="CX151">
        <f t="shared" si="203"/>
        <v>3.61</v>
      </c>
      <c r="CY151">
        <f t="shared" si="204"/>
        <v>3</v>
      </c>
      <c r="CZ151" t="str">
        <f t="shared" si="205"/>
        <v>L3</v>
      </c>
      <c r="DA151" cm="1">
        <f t="array" ref="DA151">IFERROR(IF(BL151=2,_xlfn.IFS(BH151=3,VLOOKUP(BF151,Справочная_двигатели,3,FALSE),BH151=1,VLOOKUP(BF151,Справочная_двигатели,5,TRUE)),0),0)</f>
        <v>0</v>
      </c>
      <c r="DB151">
        <f>IFERROR(IF(BL151=3,VLOOKUP(BF151,Справочная_ЛЭД,2,TRUE),0),0)</f>
        <v>0</v>
      </c>
      <c r="DC151">
        <f t="shared" si="206"/>
        <v>0</v>
      </c>
      <c r="DD151" t="str">
        <f t="shared" si="207"/>
        <v>L3</v>
      </c>
      <c r="DE151" t="str" cm="1">
        <f t="array" ref="DE151">IF(D151="","",IFERROR(INDEX({"I особая","I","II","III"},MATCH(TRIM(AA151&amp;""),{"I особая","I","II","III"},0)),"III"))</f>
        <v>II</v>
      </c>
      <c r="DF151" t="str">
        <f>IF(D151="","",IF(TRIM(AB151&amp;"")&lt;&gt;"",IF(LOWER(TRIM(AB151&amp;""))="да","да","нет"),IF(IFERROR(_xlfn.XLOOKUP(AT151,Коды_код,Коды_пожарная),"")="да","да","нет")))</f>
        <v>нет</v>
      </c>
      <c r="DG151" t="str">
        <f t="shared" si="208"/>
        <v/>
      </c>
      <c r="DH151" t="str">
        <f t="shared" si="209"/>
        <v>основная</v>
      </c>
      <c r="DI151">
        <f t="shared" si="210"/>
        <v>1</v>
      </c>
      <c r="DJ151" t="str" cm="1">
        <f t="array" ref="DJ151">IF(D151="","",_xlfn.LET(_xlpm.t,IFERROR(_xlfn.XLOOKUP(1,(Шины[Шина]=DH151)*(((Шины[Щит]=A151)+(Шины[Щит]=""))&gt;0),Шины[Тип]),"")&amp;"",IF(_xlpm.t&lt;&gt;"",_xlpm.t,IF(ISNUMBER(SEARCH("ИБП",DH151)),"ИБП",IF(ISNUMBER(SEARCH("ДГУ",DH151)),"ДГУ","Ввод "&amp;DI151)))))</f>
        <v>Ввод 1</v>
      </c>
      <c r="DK151" t="str">
        <f t="shared" si="211"/>
        <v>Ввод 1</v>
      </c>
      <c r="DL151" t="str">
        <f>IF(D151="","",IF(OR(DJ151="ИБП",DJ151="ДГУ"),"I особая",IF(DJ151="Одиночная","III",_xlfn.XLOOKUP(A151,Щиты[Щит],Щиты[Категория шины «Ввод»],"III"))))</f>
        <v>II</v>
      </c>
      <c r="DM151">
        <f>IF(D151="",0,IFERROR(MATCH(DE151,{"III","II","I","I особая"},0),1))</f>
        <v>2</v>
      </c>
      <c r="DN151">
        <f t="shared" si="212"/>
        <v>2</v>
      </c>
      <c r="DO151" t="str">
        <f>IF(D151="","",IF(DM151&gt;IFERROR(MATCH(DL151,{"III","II","I","I особая"},0),1),"НЕ ОБЕСПЕЧЕНА","ОК"))</f>
        <v>ОК</v>
      </c>
      <c r="DP151" t="str">
        <f>IF(A151="","",_xlfn.XLOOKUP(A151,Щиты[Щит],Щиты[Путь],""))</f>
        <v>|ГРЩ-ЖД|ЩОВ-2|</v>
      </c>
      <c r="DQ151" t="str">
        <f>IF(D151="","",IF(Z151&lt;&gt;"",Z151,IF(IFERROR(_xlfn.XLOOKUP(AT151,Коды_код,Коды_вид)&amp;"","")="","Прочее",_xlfn.XLOOKUP(AT151,Коды_код,Коды_вид)&amp;"")))</f>
        <v>Вентиляция</v>
      </c>
      <c r="DR151">
        <f>IF(BD151="","",INT((BD151-1)/Столбцов_на_лист)+1)</f>
        <v>3</v>
      </c>
      <c r="DS151" t="str">
        <f t="shared" si="213"/>
        <v>ВВГнг(А)-LS (3х4) L=34-2,75%</v>
      </c>
      <c r="DT151">
        <f t="shared" si="214"/>
        <v>3.8</v>
      </c>
      <c r="DU151">
        <f t="shared" si="215"/>
        <v>17.330000000000002</v>
      </c>
      <c r="DV151">
        <f t="shared" si="216"/>
        <v>1</v>
      </c>
      <c r="DW151">
        <f>IF(AT151="",0,_xlfn.LET(_xlpm.v,IFERROR(VLOOKUP(D151,УГО_спр,3,FALSE),IFERROR(VLOOKUP(AT151,УГО_спр,3,FALSE),IFERROR(VLOOKUP(LEFT(AT151,2),УГО_спр,3,FALSE),""))),IF(_xlpm.v="да",30,IF(ISNUMBER(_xlpm.v),_xlpm.v,0))))</f>
        <v>0</v>
      </c>
      <c r="DX151">
        <f t="shared" si="217"/>
        <v>0</v>
      </c>
      <c r="DY151">
        <f>IF(BD151="","",IF(AD151&lt;&gt;"",COUNTIFS(A$3:A151,A151,AD$3:AD151,"?*"),IF(OR(OR(AS151=1,A151&lt;&gt;A150),AL151="вручную"),"",IF(AS151=1,"",DZ150))))</f>
        <v>21</v>
      </c>
      <c r="DZ151">
        <f t="shared" si="218"/>
        <v>21</v>
      </c>
      <c r="EA151">
        <f>IF(D151="",0,MAX(IFERROR(--X151,0),IFERROR(--VLOOKUP(D151,УГО_спр,4,FALSE),IFERROR(--VLOOKUP(AT151,УГО_спр,4,FALSE),IFERROR(--VLOOKUP(LEFT(AT151,2),УГО_спр,4,FALSE),0)))))</f>
        <v>0</v>
      </c>
      <c r="EB151">
        <f>IF(D151="","",IFERROR(LOOKUP(INDEX(CHOOSE(BR151,Iдоп_1ж,Iдоп_2ж,Iдоп_3ж),MATCH(BS151,Iдоп_S,0))*BP151*BQ151,{6,10,16,20,25,32,40,50,63,80,100,125,160,200,250,315,400,500,630}),""))</f>
        <v>32</v>
      </c>
      <c r="EC151">
        <f>IF(AD151="","",SUMIFS(Линии[_Ток схемы],Линии[_гр.],DY151,Линии[Щит],A151,Линии[_в кабель выше],0))</f>
        <v>17.330000000000002</v>
      </c>
      <c r="ED151">
        <f>IF(AD151="","",IFERROR(VLOOKUP(EC151,Автомат_номиналы,2,TRUE),""))</f>
        <v>20</v>
      </c>
      <c r="EE151">
        <f>IF(AD151="","",MAX(N(ED151),_xlfn.MAXIFS(Линии[_мин. по типу],Линии[_гр.],DY151,Линии[Щит],A151)))</f>
        <v>20</v>
      </c>
      <c r="EF151">
        <f>IF(AD151="","",_xlfn.MINIFS(Линии[_макс. автомат по кабелю],Линии[_гр.],DY151,Линии[Щит],A151))</f>
        <v>32</v>
      </c>
      <c r="EG151">
        <f>IF(AD151="","",MAX(1,_xlfn.MAXIFS(Линии[_фаз],Линии[_гр.],DY151,Линии[Щит],A151)))</f>
        <v>1</v>
      </c>
      <c r="EH151">
        <f>IF(AD151="","",IF(AND(AD151&lt;&gt;"авто",AD151&lt;&gt;"+"),IF(ISNUMBER(SEARCH("мА",AD151)),IFERROR(--TRIM(RIGHT(SUBSTITUTE(LEFT(AD151,SEARCH("мА",AD151)-1)," ",REPT(" ",9)),6)),30),0),IF(AE151="нет",0,IF(ISNUMBER(AE151),AE151,IF(AE151="да",30,_xlfn.MINIFS(Линии[_дифзащита по коду, мА],Линии[_гр.],DY151,Линии[Щит],A151,Линии[_дифзащита по коду, мА],"&gt;0"))))))</f>
        <v>0</v>
      </c>
      <c r="EI151">
        <f t="shared" si="219"/>
        <v>0</v>
      </c>
      <c r="EJ151" t="str">
        <f t="shared" si="220"/>
        <v>QF21</v>
      </c>
      <c r="EK151" t="str">
        <f t="shared" si="221"/>
        <v>QF21</v>
      </c>
      <c r="EL151" t="str">
        <f t="shared" si="222"/>
        <v/>
      </c>
      <c r="EM151">
        <f t="shared" si="223"/>
        <v>0</v>
      </c>
      <c r="EN151">
        <f>IF(AD151="","",IF(EM151=1,MAX(EE151,Мин_автомат_БП),EE151))</f>
        <v>20</v>
      </c>
      <c r="EO151" t="str">
        <f t="shared" si="224"/>
        <v>1P</v>
      </c>
      <c r="EP151" t="str">
        <f t="shared" si="225"/>
        <v>1P С20А</v>
      </c>
      <c r="EQ151">
        <f t="shared" si="226"/>
        <v>20</v>
      </c>
      <c r="ER151" t="str">
        <f>IF(OR(AI151="",AI151="-"),"",IFERROR(VLOOKUP(AI151,Модули_спр,2,FALSE),"R"))</f>
        <v/>
      </c>
      <c r="ES151" t="str">
        <f>IF(ER151="","",ER151&amp;"."&amp;COUNTIFS(A$3:A151,A151,ER$3:ER151,ER151))</f>
        <v/>
      </c>
      <c r="ET151" t="str">
        <f t="shared" si="227"/>
        <v/>
      </c>
      <c r="EU151" t="str">
        <f t="shared" si="228"/>
        <v/>
      </c>
      <c r="EV151" t="str">
        <f t="shared" si="229"/>
        <v/>
      </c>
      <c r="EW151" t="str">
        <f t="shared" si="230"/>
        <v/>
      </c>
      <c r="EX151">
        <f t="shared" si="231"/>
        <v>1</v>
      </c>
      <c r="EY151" t="str">
        <f>IF(AK151="нет","",IF(AK151&lt;&gt;"",AK151,IF(EX151=1,"XT"&amp;COUNTIFS(A$3:A151,A151,EX$3:EX151,1),"")))</f>
        <v>XT21</v>
      </c>
      <c r="EZ151" t="str">
        <f t="shared" si="232"/>
        <v>QF21</v>
      </c>
      <c r="FA151" t="str">
        <f t="shared" si="233"/>
        <v/>
      </c>
      <c r="FB151" t="str">
        <f t="shared" si="234"/>
        <v>ok</v>
      </c>
      <c r="FC151" t="str">
        <f>IF(OR(EV151="",ET151=""),"",IF(EV151&gt;IFERROR(VLOOKUP(EU151,Модули_спр,3,FALSE),99),"ЛИШНИЙ КАНАЛ",IF(AND(AJ151&lt;&gt;"=",COUNTIFS(Линии[_модуль гр.],ET151,Линии[Канал (итог)],EV151,Линии[Канал],"&lt;&gt;=",Линии[Щит],A151)&gt;1),"ДУБЛЬ КАНАЛА","")))</f>
        <v/>
      </c>
      <c r="FD151">
        <f t="shared" si="235"/>
        <v>20</v>
      </c>
      <c r="FE151" t="str">
        <f t="shared" si="236"/>
        <v>1P С20А</v>
      </c>
      <c r="FF151">
        <f t="shared" si="237"/>
        <v>0</v>
      </c>
      <c r="FG151">
        <f t="shared" si="238"/>
        <v>0</v>
      </c>
      <c r="FH151" t="str">
        <f t="shared" si="239"/>
        <v/>
      </c>
      <c r="FI151">
        <f t="shared" si="240"/>
        <v>10</v>
      </c>
      <c r="FJ151" t="str">
        <f t="shared" si="241"/>
        <v/>
      </c>
      <c r="FK151" t="str">
        <f>IF(AND(D151="",EZ151=""),"",_xlfn.TEXTJOIN("; ",TRUE,IF(AND(D151&lt;&gt;"",DD151=""),"нет фазы",""),IF(AND(D151&lt;&gt;"",N(DT151)=0,CN151&lt;&gt;"Нет"),"нет мощности",""),IF(AND(EY151&lt;&gt;"",COUNTIFS(Линии[Щит],A151,Линии[Клемма (итог)],EY151)&gt;1),"дубль клеммы "&amp;EY151,""),IF(AND(FB151&lt;&gt;"",FB151&lt;&gt;"ok"),FB151,""),IF(FC151&lt;&gt;"",FC151,""),IF(AND(ISNUMBER(SEARCH("(5х",DS151)),N(DV151)=1),"5 жил на 1 фазе",""),IF(AND(AT151="R",AD151&lt;&gt;"",OR(N(EH151)=0,N(EH151)&gt;30)),"розетка без дифзащиты до 30 мА",""),IFERROR(IF(AND(ISNUMBER(CD151),CD151&gt;CE151),"потери "&amp;FIXED(CD151,1)&amp;" % &gt; "&amp;CE151&amp;" %",""),""),IFERROR(IF(LEFT(FJ151,4)="мало","Iкз мало — отключение &gt; 0,4 с",""),""),IF(AND(D151&lt;&gt;"",BD151=""),"не на схеме","")))</f>
        <v/>
      </c>
      <c r="FL151" t="str">
        <f>IF(AD151="","",_xlfn.LET(_xlpm.t,IFERROR(_xlfn.XLOOKUP(EP151,Каталог!$U$4:$U$500,Каталог!$G$4:$G$500),""),_xlpm.k,SEARCH("кА",_xlpm.t),IFERROR(--TRIM(RIGHT(SUBSTITUTE(MID(_xlpm.t,MAX(1,_xlpm.k-4),_xlpm.k-MAX(1,_xlpm.k-4))," ",REPT(" ",9)),5)),"")))</f>
        <v/>
      </c>
      <c r="FM151" t="str">
        <f>IF(OR(FL151="",AD151=""),"",IF(_xlfn.XLOOKUP(A151,Щиты[Щит],Щиты[Iкз max на шинах, кА],"")="","",IF(FL151&lt;_xlfn.XLOOKUP(A151,Щиты[Щит],Щиты[Iкз max на шинах, кА]),"Icu "&amp;FL151&amp;" кА &lt; Iкз max","ok")))</f>
        <v/>
      </c>
      <c r="FN151" t="str">
        <f t="shared" si="242"/>
        <v>QF21|XT21</v>
      </c>
      <c r="FO151" t="str">
        <f t="shared" si="243"/>
        <v>QF21|XT21|кабель ВВГнг(А)-LS (3х4) → Приточно-вытяжная установка Технический этаж Пом. №001Т</v>
      </c>
      <c r="FP151" t="str" cm="1">
        <f t="array" ref="FP151">IF(FO151="","",_xlfn.LET(_xlpm.nd,_xlfn.TEXTSPLIT(FO151,"|"),IF(COLUMNS(_xlpm.nd)&gt;1,A151&amp;"¦"&amp;INDEX(_xlpm.nd,1)&amp;"¦"&amp;INDEX(_xlpm.nd,2),"")))</f>
        <v>ЩОВ-2¦QF21¦XT21</v>
      </c>
      <c r="FQ151" t="str">
        <f t="shared" si="244"/>
        <v>ПВ.5¦Приточно-вытяжная установка Технический этаж Пом. №001Т</v>
      </c>
      <c r="FR151" t="str" cm="1">
        <f t="array" ref="FR151">IF(FO151="","",_xlfn.LET(_xlpm.nd,_xlfn.TEXTSPLIT(FO151,"|"),IF(COLUMNS(_xlpm.nd)&gt;2,A151&amp;"¦"&amp;INDEX(_xlpm.nd,2)&amp;"¦"&amp;INDEX(_xlpm.nd,3),"")))</f>
        <v>ЩОВ-2¦XT21¦кабель ВВГнг(А)-LS (3х4) → Приточно-вытяжная установка Технический этаж Пом. №001Т</v>
      </c>
      <c r="FS151" t="str">
        <f t="shared" si="245"/>
        <v>ПВ.5¦Приточно-вытяжная установка Технический этаж Пом. №001Т</v>
      </c>
      <c r="FT151" t="str" cm="1">
        <f t="array" ref="FT151">IF(FO151="","",_xlfn.LET(_xlpm.nd,_xlfn.TEXTSPLIT(FO151,"|"),IF(COLUMNS(_xlpm.nd)&gt;3,A151&amp;"¦"&amp;INDEX(_xlpm.nd,3)&amp;"¦"&amp;INDEX(_xlpm.nd,4),"")))</f>
        <v/>
      </c>
      <c r="FU151" t="str">
        <f t="shared" si="246"/>
        <v/>
      </c>
      <c r="FV151" t="str" cm="1">
        <f t="array" ref="FV151">IF(FO151="","",_xlfn.LET(_xlpm.nd,_xlfn.TEXTSPLIT(FO151,"|"),IF(COLUMNS(_xlpm.nd)&gt;4,A151&amp;"¦"&amp;INDEX(_xlpm.nd,4)&amp;"¦"&amp;INDEX(_xlpm.nd,5),"")))</f>
        <v/>
      </c>
      <c r="FW151" t="str">
        <f t="shared" si="247"/>
        <v/>
      </c>
      <c r="FX151" t="str" cm="1">
        <f t="array" ref="FX151">IF(FO151="","",_xlfn.LET(_xlpm.nd,_xlfn.TEXTSPLIT(FO151,"|"),IF(COLUMNS(_xlpm.nd)&gt;5,A151&amp;"¦"&amp;INDEX(_xlpm.nd,5)&amp;"¦"&amp;INDEX(_xlpm.nd,6),"")))</f>
        <v/>
      </c>
      <c r="FY151" t="str">
        <f t="shared" si="248"/>
        <v/>
      </c>
      <c r="FZ151" t="str" cm="1">
        <f t="array" ref="FZ151">IF(FO151="","",_xlfn.LET(_xlpm.nd,_xlfn.TEXTSPLIT(FO151,"|"),IF(COLUMNS(_xlpm.nd)&gt;6,A151&amp;"¦"&amp;INDEX(_xlpm.nd,6)&amp;"¦"&amp;INDEX(_xlpm.nd,7),"")))</f>
        <v/>
      </c>
      <c r="GA151" t="str">
        <f t="shared" si="249"/>
        <v/>
      </c>
      <c r="GB151" t="str">
        <f t="shared" si="250"/>
        <v/>
      </c>
      <c r="GC151" t="str">
        <f t="shared" si="251"/>
        <v>QF21 → XT21</v>
      </c>
      <c r="GD151">
        <f t="shared" si="252"/>
        <v>1</v>
      </c>
      <c r="GE151">
        <f t="shared" si="253"/>
        <v>0</v>
      </c>
      <c r="GF151">
        <f t="shared" si="254"/>
        <v>0</v>
      </c>
      <c r="GG151" t="str">
        <f t="shared" si="255"/>
        <v/>
      </c>
      <c r="GH151" t="str">
        <f t="shared" si="256"/>
        <v/>
      </c>
      <c r="GI151" t="str">
        <f t="shared" si="257"/>
        <v/>
      </c>
      <c r="GJ151" t="str">
        <f t="shared" si="258"/>
        <v/>
      </c>
      <c r="GK151" t="str">
        <f>IF(D151="","",IFERROR(VLOOKUP(D151,УГО_спр,2,FALSE),IFERROR(VLOOKUP(AT151,УГО_спр,2,FALSE),IFERROR(VLOOKUP(LEFT(AT151,2),УГО_спр,2,FALSE),""))))</f>
        <v>Привод (двигатель)</v>
      </c>
      <c r="GL151" t="str">
        <f>IF(D151="","",IF(OR(GK151="",GK151=0),"BOX",IFERROR(IF(VLOOKUP(GK151,УГО_блоки,3,FALSE)&amp;""&lt;&gt;"",VLOOKUP(GK151,УГО_блоки,3,FALSE),VLOOKUP(GK151,УГО_блоки,2,FALSE)),GK151)))</f>
        <v>MOTOR</v>
      </c>
      <c r="GM151">
        <f t="shared" si="259"/>
        <v>1</v>
      </c>
      <c r="GN151">
        <f>IF(EP151="","",IF(COUNTIF(EP$3:EP151,EP151)=1,MAX(GN$2:GN150)+1,""))</f>
        <v>8</v>
      </c>
      <c r="GO151" t="str">
        <f>IF(AF151="","",IF(COUNTIF(AF$3:AF151,AF151)+COUNTIF(AG$2:AG150,AF151)+COUNTIF(AH$2:AH150,AF151)=1,MAX(GO$2:GQ150)+1,""))</f>
        <v/>
      </c>
      <c r="GP151" t="str">
        <f>IF(AG151="","",IF(COUNTIF(AF$3:AF151,AG151)+COUNTIF(AG$3:AG151,AG151)+COUNTIF(AH$2:AH150,AG151)=1,MAX(GO$2:GQ150,GO151)+1,""))</f>
        <v/>
      </c>
      <c r="GQ151" t="str">
        <f>IF(AH151="","",IF(COUNTIF(AF$3:AF151,AH151)+COUNTIF(AG$3:AG151,AH151)+COUNTIF(AH$3:AH151,AH151)=1,MAX(GO$2:GQ150,GO151,GP151)+1,""))</f>
        <v/>
      </c>
      <c r="GR151" t="str">
        <f t="shared" si="260"/>
        <v>3х4</v>
      </c>
      <c r="GS151" t="str">
        <f>IF(GR151="","",IF(COUNTIF(GR$3:GR151,GR151)=1,MAX(GS$2:GS150)+1,""))</f>
        <v/>
      </c>
      <c r="GT151" t="str">
        <f>IF(ES151="","",COUNTIF(ES$3:ES151,"?*"))</f>
        <v/>
      </c>
      <c r="GU151" t="str">
        <f>IF(OR(ES151="",EU151=""),"",IF(COUNTIFS(ES$3:ES151,"?*",EU$3:EU151,EU151)=1,MAX(GU$2:GU150)+1,""))</f>
        <v/>
      </c>
      <c r="GV151">
        <f t="shared" si="261"/>
        <v>0</v>
      </c>
      <c r="GW151">
        <f>IF(D151="","",COUNTIF(D$3:D151,"?*"))</f>
        <v>149</v>
      </c>
      <c r="GX151">
        <f>IF(EX151&lt;&gt;1,0,_xlfn.LET(_xlpm.k,MAX(IFERROR(--VLOOKUP(D151,УГО_спр,5,FALSE),0),IFERROR(--VLOOKUP(AT151,УГО_спр,5,FALSE),0),IFERROR(--VLOOKUP(LEFT(AT151,2),УГО_спр,5,FALSE),0)),IF(_xlpm.k&gt;0,_xlpm.k,IF(IFERROR(--LEFT(SUBSTITUTE(GR151,"x","х"),FIND("х",SUBSTITUTE(GR151,"x","х"))-1),3)&gt;3,Каталог!$S$9,1))))</f>
        <v>1</v>
      </c>
      <c r="GY151">
        <f t="shared" si="262"/>
        <v>0</v>
      </c>
    </row>
    <row r="152" spans="1:207" x14ac:dyDescent="0.3">
      <c r="A152" t="s">
        <v>756</v>
      </c>
      <c r="B152">
        <v>38</v>
      </c>
      <c r="C152" t="str">
        <f>IF(BD152="","",IF(BE152="вводной узел","узел ","")&amp;"л."&amp;(INT((BD152-1)/Столбцов_на_лист)+1)&amp;" / "&amp;(MOD(BD152-1,Столбцов_на_лист)+1))</f>
        <v>л.3 / 4</v>
      </c>
      <c r="D152" t="s">
        <v>1457</v>
      </c>
      <c r="E152" s="133" t="s">
        <v>1456</v>
      </c>
      <c r="G152">
        <v>1.3</v>
      </c>
      <c r="H152">
        <v>1</v>
      </c>
      <c r="I152">
        <v>1</v>
      </c>
      <c r="J152">
        <v>230</v>
      </c>
      <c r="K152" t="s">
        <v>602</v>
      </c>
      <c r="L152">
        <v>0.5</v>
      </c>
      <c r="O152">
        <v>1</v>
      </c>
      <c r="P152">
        <v>26</v>
      </c>
      <c r="Q152">
        <v>6</v>
      </c>
      <c r="R152">
        <v>24</v>
      </c>
      <c r="T152">
        <v>1</v>
      </c>
      <c r="U152" t="s">
        <v>11</v>
      </c>
      <c r="V152">
        <v>3</v>
      </c>
      <c r="W152">
        <v>2.5</v>
      </c>
      <c r="Z152" t="s">
        <v>584</v>
      </c>
      <c r="AA152" t="s">
        <v>818</v>
      </c>
      <c r="AD152" t="s">
        <v>517</v>
      </c>
      <c r="AK152" t="s">
        <v>488</v>
      </c>
      <c r="AR152" t="str">
        <f t="shared" si="176"/>
        <v/>
      </c>
      <c r="AS152" cm="1">
        <f t="array" ref="AS152">ROW()-ROW(Линии[#Headers])</f>
        <v>150</v>
      </c>
      <c r="AT152" t="str">
        <f t="shared" si="177"/>
        <v>ПВ</v>
      </c>
      <c r="AU152" t="str">
        <f t="shared" si="178"/>
        <v>7</v>
      </c>
      <c r="AV152" t="str">
        <f t="shared" si="179"/>
        <v>7</v>
      </c>
      <c r="AW152" t="str">
        <f t="shared" si="180"/>
        <v/>
      </c>
      <c r="AX152" t="str">
        <f t="shared" si="181"/>
        <v/>
      </c>
      <c r="AY152" t="str">
        <f>IF(D152="","",IF(ISERROR(SEARCH(".",D152)),IFERROR(VLOOKUP(D152,Потребители_обозначение,2,FALSE)&amp;"",""),IFERROR(IF(VLOOKUP(AT152,Потребители_обозначение,4,FALSE)=1,VLOOKUP(AT152,Потребители_обозначение,2,FALSE)&amp;" "&amp;VLOOKUP(AV152,Этаж_обозначение,2,FALSE)&amp;" Пом. №"&amp;AX152,VLOOKUP(AT152,Потребители_обозначение,2,FALSE)&amp;" Шлейф №"&amp;AV152),IFERROR(VLOOKUP(D152,Потребители_обозначение,2,FALSE),""))))</f>
        <v>Приточно-вытяжная установка Шлейф №7</v>
      </c>
      <c r="AZ152" t="str">
        <f t="shared" si="182"/>
        <v>Приточно-вытяжная установка Технический этаж Пом. №001Т</v>
      </c>
      <c r="BA152" t="str">
        <f>IF(F152&lt;&gt;"",F152,IF(AND(D152&lt;&gt;"",D152&lt;&gt;A152,ISNUMBER(_xlfn.XMATCH(D152,Щиты[Щит]))),D152,""))</f>
        <v/>
      </c>
      <c r="BB152">
        <f>IFERROR(_xlfn.XMATCH(A152,Щиты[Щит]),0)</f>
        <v>7</v>
      </c>
      <c r="BC152">
        <f>IFERROR(N(_xlfn.XLOOKUP(A152,Щиты[Щит],Щиты[Мест под вводной узел])),15)</f>
        <v>12</v>
      </c>
      <c r="BD152">
        <f t="shared" si="183"/>
        <v>38</v>
      </c>
      <c r="BE152" t="str">
        <f t="shared" si="184"/>
        <v>линии</v>
      </c>
      <c r="BF152">
        <f>IF(D152="","",IF(BA152&lt;&gt;"",IFERROR(_xlfn.XLOOKUP(BA152,Щиты[Щит],Щиты[Руст, кВт]),0),N(G152)))</f>
        <v>1.3</v>
      </c>
      <c r="BG152">
        <f>IF(J152&lt;&gt;"",J152,IF(D152="","",IFERROR(IF(VLOOKUP(AT152,Потребители_обозначение,8,FALSE)=0,"",VLOOKUP(AT152,Потребители_обозначение,8,FALSE)),"")))</f>
        <v>230</v>
      </c>
      <c r="BH152">
        <f>IF(I152&lt;&gt;"",I152,IF(D152="","",IFERROR(IF(VLOOKUP(AT152,Потребители_обозначение,9,FALSE)=0,"",VLOOKUP(AT152,Потребители_обозначение,9,FALSE)),"")))</f>
        <v>1</v>
      </c>
      <c r="BI152" t="str">
        <f>IF(U152&lt;&gt;"",U152,IF(D152="","",IFERROR(IF(VLOOKUP(AT152,Потребители_обозначение,6,FALSE)=0,"",VLOOKUP(AT152,Потребители_обозначение,6,FALSE)),"")))</f>
        <v>мс</v>
      </c>
      <c r="BJ152">
        <f>IF(V152&lt;&gt;"",V152,IF(D152="","",IFERROR(IF(VLOOKUP(AT152,Потребители_обозначение,7,FALSE)=0,"",VLOOKUP(AT152,Потребители_обозначение,7,FALSE)),"")))</f>
        <v>3</v>
      </c>
      <c r="BK152">
        <f>IF(W152&lt;&gt;"",W152,IF(D152="","",IFERROR(IF(VLOOKUP(AT152,Потребители_обозначение,10,FALSE)=0,"",VLOOKUP(AT152,Потребители_обозначение,10,FALSE)),"")))</f>
        <v>2.5</v>
      </c>
      <c r="BL152">
        <f>IFERROR(VLOOKUP(AT152,Потребители_обозначение,5,FALSE),0)</f>
        <v>1</v>
      </c>
      <c r="BM152" cm="1">
        <f t="array" ref="BM152">IF(D152="","",IF(BA152&lt;&gt;"",IFERROR(_xlfn.XLOOKUP(BA152,Щиты[Щит],Щиты[cos φ]),0.95),IF(ISNUMBER(M152),M152,IFERROR(IF(BL152=2,_xlfn.IFS(BH152=3,VLOOKUP(BF152,Справочная_двигатели,8,FALSE),BH152=1,VLOOKUP(BF152,Справочная_двигатели,10,TRUE)),IF(AND(Методика="нормы 2026",CN152="Сил"),0.8,0.95)),0.95))))</f>
        <v>0.95</v>
      </c>
      <c r="BN152" cm="1">
        <f t="array" ref="BN152">IF(D152="","",IF(BA152&lt;&gt;"",IFERROR(_xlfn.XLOOKUP(BA152,Щиты[Щит],Щиты[Iр, А]),""),IFERROR(_xlfn.IFS(BH152=1,BF152/((Uн_лин/SQRT(3))*BM152),BH152=3,BF152/(SQRT(3)*Uн_лин*BM152)),"")))</f>
        <v>5.9254369732619487</v>
      </c>
      <c r="BO152">
        <f>IF(D152="","",IF(N(X152)=0,IFERROR(VLOOKUP(BN152,Автомат_номиналы,2,TRUE),""),X152))</f>
        <v>10</v>
      </c>
      <c r="BP152">
        <f t="shared" si="185"/>
        <v>1</v>
      </c>
      <c r="BQ152">
        <f>IF(ISNUMBER(Y152),Y152,К_прокл)</f>
        <v>1</v>
      </c>
      <c r="BR152">
        <f t="shared" si="186"/>
        <v>2</v>
      </c>
      <c r="BS152" cm="1">
        <f t="array" ref="BS152">IF(D152="","",IF(N(BK152)&lt;&gt;0,BK152,IFERROR(_xlfn.LET(_xlpm.need,BO152/(BP152*BQ152),_xlpm.t,CHOOSE(BR152,Iдоп_1ж,Iдоп_2ж,Iдоп_3ж),_xlpm.k,_xlfn.XMATCH(_xlpm.need,_xlpm.t,1),IF(ISNA(_xlpm.k),"Не исп",INDEX(Iдоп_S,_xlpm.k))),"Не исп")))</f>
        <v>2.5</v>
      </c>
      <c r="BT152">
        <f>IFERROR(VLOOKUP(BS152,Кабель_сопротивление,3,FALSE),"")</f>
        <v>2.2499999999999999E-2</v>
      </c>
      <c r="BU152">
        <f>IFERROR(VLOOKUP(BS152,Кабель_сопротивление,2,FALSE),"")</f>
        <v>0.1</v>
      </c>
      <c r="BV152">
        <f t="shared" si="187"/>
        <v>26</v>
      </c>
      <c r="BW152">
        <f>IF(D152="","",IFERROR(IF(VLOOKUP(AT152,Потребители_обозначение,4,FALSE)=1,VLOOKUP(AT152,Потребители_обозначение,3,FALSE)*(H152*2-1)+BV152+VLOOKUP(AV152,Этаж_обозначение,3,FALSE)+VLOOKUP(AV152,Этаж_обозначение,4,FALSE),VLOOKUP(AT152,Потребители_обозначение,3,FALSE)*(H152*2-1)+BV152),BV152))</f>
        <v>30</v>
      </c>
      <c r="BX152">
        <f t="shared" si="188"/>
        <v>24</v>
      </c>
      <c r="BY152">
        <f t="shared" si="189"/>
        <v>0</v>
      </c>
      <c r="BZ152">
        <f t="shared" si="190"/>
        <v>2</v>
      </c>
      <c r="CA152">
        <f t="shared" si="191"/>
        <v>0.31</v>
      </c>
      <c r="CB152">
        <f t="shared" si="192"/>
        <v>3.0507704800536461</v>
      </c>
      <c r="CC152">
        <f>IFERROR(ROUNDUP(CB152/((Uн_лин/SQRT(3))*1000)*100,2),"")</f>
        <v>1.33</v>
      </c>
      <c r="CD152">
        <f>IF(ISNUMBER(CC152),CC152+IFERROR(_xlfn.XLOOKUP(A152,Щиты[Щит],Щиты[ΔU до шин, %]),0),"")</f>
        <v>2.35</v>
      </c>
      <c r="CE152">
        <f>IF(D152="","",IF(IFERROR(VLOOKUP(AT152,УГО_спр,2,FALSE),"")="Светильник",3,4)+IF(Методика="нормы 2026",MIN(0.5,MAX(0,N(BW152)-100)*0.005),0))</f>
        <v>4</v>
      </c>
      <c r="CF152" t="str">
        <f>IFERROR(VLOOKUP(BI152,Кабель_обозначение,2,FALSE),"")</f>
        <v>ВВГнг(А)-LS</v>
      </c>
      <c r="CG152" t="str">
        <f>IFERROR(IF(VLOOKUP(BI152,Кабель_обозначение,3,FALSE)=1,CF152&amp;" ("&amp;BJ152&amp;"х"&amp;BS152&amp;")",CF152),"")</f>
        <v>ВВГнг(А)-LS (3х2,5)</v>
      </c>
      <c r="CH152" t="str">
        <f t="shared" si="193"/>
        <v>ВВГнг(А)-LS (3х2,5)
L=30-1,33%</v>
      </c>
      <c r="CI152">
        <f>IFERROR(2*ρкз_Cu*BW152/BS152,"")</f>
        <v>0.63119999999999998</v>
      </c>
      <c r="CJ152">
        <f t="shared" si="194"/>
        <v>0.21000000000000002</v>
      </c>
      <c r="CK152" t="str">
        <f>IFERROR(IF(OR(D152="",NOT(ISNUMBER(BS152)),N(BW152)=0),"",_xlfn.XLOOKUP(A152,Щиты[Щит],Щиты[Zпетли на шинах, Ом])+CI152),"")</f>
        <v/>
      </c>
      <c r="CL152" t="str">
        <f>IF(ISNUMBER(CK152),c_min*(Uн_лин*1000/SQRT(3))/CK152,"")</f>
        <v/>
      </c>
      <c r="CM152" t="str">
        <f>IFERROR(IF(OR(D152="",NOT(ISNUMBER(BS152))),"",1.05*(Uн_лин*1000/SQRT(3))/(_xlfn.XLOOKUP(A152,Щиты[Щит],Щиты[Zmax на шинах, Ом])+CJ152)/1000),"")</f>
        <v/>
      </c>
      <c r="CN152" t="str">
        <f>IF(D152="","",IF(BA152&lt;&gt;"","Щит",IF(K152&lt;&gt;"",K152,IF(ISNUMBER(L152),"Сил",IF(IFERROR(_xlfn.XLOOKUP(AT152,Коды_код,Коды_группа)&amp;"","")="","Быт",_xlfn.XLOOKUP(AT152,Коды_код,Коды_группа)&amp;"")))))</f>
        <v>Сил</v>
      </c>
      <c r="CO152">
        <f>IF(CN152="Щит","щит",IF(CN152="","",IF(CN152="Быт",IFERROR(_xlfn.XLOOKUP(A152,Щиты[Щит],Щиты[Кс быт]),1),IF(CN152="Сил",IF(ISNUMBER(L152),L152,IF(Методика="нормы 2026",IFERROR(_xlfn.XLOOKUP(A152,Щиты[Щит],Щиты[Кс силовых (табл. 7.5)]),1),1)),IF(OR(CN152="Пост",CN152="Отоп"),1,IF(CN152="ВНГ",0.7,0))))))</f>
        <v>0.5</v>
      </c>
      <c r="CP152">
        <f t="shared" si="195"/>
        <v>1</v>
      </c>
      <c r="CQ152">
        <f t="shared" si="196"/>
        <v>1.3</v>
      </c>
      <c r="CR152">
        <f t="shared" si="197"/>
        <v>0</v>
      </c>
      <c r="CS152">
        <f t="shared" si="198"/>
        <v>0.65</v>
      </c>
      <c r="CT152">
        <f t="shared" si="199"/>
        <v>0</v>
      </c>
      <c r="CU152">
        <f t="shared" si="200"/>
        <v>0</v>
      </c>
      <c r="CV152">
        <f t="shared" si="201"/>
        <v>0</v>
      </c>
      <c r="CW152">
        <f t="shared" si="202"/>
        <v>1.3</v>
      </c>
      <c r="CX152">
        <f t="shared" si="203"/>
        <v>1.2349999999999999</v>
      </c>
      <c r="CY152">
        <f t="shared" si="204"/>
        <v>1</v>
      </c>
      <c r="CZ152" t="str">
        <f t="shared" si="205"/>
        <v>L1</v>
      </c>
      <c r="DA152" cm="1">
        <f t="array" ref="DA152">IFERROR(IF(BL152=2,_xlfn.IFS(BH152=3,VLOOKUP(BF152,Справочная_двигатели,3,FALSE),BH152=1,VLOOKUP(BF152,Справочная_двигатели,5,TRUE)),0),0)</f>
        <v>0</v>
      </c>
      <c r="DB152">
        <f>IFERROR(IF(BL152=3,VLOOKUP(BF152,Справочная_ЛЭД,2,TRUE),0),0)</f>
        <v>0</v>
      </c>
      <c r="DC152">
        <f t="shared" si="206"/>
        <v>0</v>
      </c>
      <c r="DD152" t="str">
        <f t="shared" si="207"/>
        <v>L1</v>
      </c>
      <c r="DE152" t="str" cm="1">
        <f t="array" ref="DE152">IF(D152="","",IFERROR(INDEX({"I особая","I","II","III"},MATCH(TRIM(AA152&amp;""),{"I особая","I","II","III"},0)),"III"))</f>
        <v>II</v>
      </c>
      <c r="DF152" t="str">
        <f>IF(D152="","",IF(TRIM(AB152&amp;"")&lt;&gt;"",IF(LOWER(TRIM(AB152&amp;""))="да","да","нет"),IF(IFERROR(_xlfn.XLOOKUP(AT152,Коды_код,Коды_пожарная),"")="да","да","нет")))</f>
        <v>нет</v>
      </c>
      <c r="DG152" t="str">
        <f t="shared" si="208"/>
        <v/>
      </c>
      <c r="DH152" t="str">
        <f t="shared" si="209"/>
        <v>основная</v>
      </c>
      <c r="DI152">
        <f t="shared" si="210"/>
        <v>1</v>
      </c>
      <c r="DJ152" t="str" cm="1">
        <f t="array" ref="DJ152">IF(D152="","",_xlfn.LET(_xlpm.t,IFERROR(_xlfn.XLOOKUP(1,(Шины[Шина]=DH152)*(((Шины[Щит]=A152)+(Шины[Щит]=""))&gt;0),Шины[Тип]),"")&amp;"",IF(_xlpm.t&lt;&gt;"",_xlpm.t,IF(ISNUMBER(SEARCH("ИБП",DH152)),"ИБП",IF(ISNUMBER(SEARCH("ДГУ",DH152)),"ДГУ","Ввод "&amp;DI152)))))</f>
        <v>Ввод 1</v>
      </c>
      <c r="DK152" t="str">
        <f t="shared" si="211"/>
        <v>Ввод 1</v>
      </c>
      <c r="DL152" t="str">
        <f>IF(D152="","",IF(OR(DJ152="ИБП",DJ152="ДГУ"),"I особая",IF(DJ152="Одиночная","III",_xlfn.XLOOKUP(A152,Щиты[Щит],Щиты[Категория шины «Ввод»],"III"))))</f>
        <v>II</v>
      </c>
      <c r="DM152">
        <f>IF(D152="",0,IFERROR(MATCH(DE152,{"III","II","I","I особая"},0),1))</f>
        <v>2</v>
      </c>
      <c r="DN152">
        <f t="shared" si="212"/>
        <v>2</v>
      </c>
      <c r="DO152" t="str">
        <f>IF(D152="","",IF(DM152&gt;IFERROR(MATCH(DL152,{"III","II","I","I особая"},0),1),"НЕ ОБЕСПЕЧЕНА","ОК"))</f>
        <v>ОК</v>
      </c>
      <c r="DP152" t="str">
        <f>IF(A152="","",_xlfn.XLOOKUP(A152,Щиты[Щит],Щиты[Путь],""))</f>
        <v>|ГРЩ-ЖД|ЩОВ-2|</v>
      </c>
      <c r="DQ152" t="str">
        <f>IF(D152="","",IF(Z152&lt;&gt;"",Z152,IF(IFERROR(_xlfn.XLOOKUP(AT152,Коды_код,Коды_вид)&amp;"","")="","Прочее",_xlfn.XLOOKUP(AT152,Коды_код,Коды_вид)&amp;"")))</f>
        <v>Вентиляция</v>
      </c>
      <c r="DR152">
        <f>IF(BD152="","",INT((BD152-1)/Столбцов_на_лист)+1)</f>
        <v>3</v>
      </c>
      <c r="DS152" t="str">
        <f t="shared" si="213"/>
        <v>ВВГнг(А)-LS (3х2,5) L=30-1,33%</v>
      </c>
      <c r="DT152">
        <f t="shared" si="214"/>
        <v>1.3</v>
      </c>
      <c r="DU152">
        <f t="shared" si="215"/>
        <v>5.93</v>
      </c>
      <c r="DV152">
        <f t="shared" si="216"/>
        <v>1</v>
      </c>
      <c r="DW152">
        <f>IF(AT152="",0,_xlfn.LET(_xlpm.v,IFERROR(VLOOKUP(D152,УГО_спр,3,FALSE),IFERROR(VLOOKUP(AT152,УГО_спр,3,FALSE),IFERROR(VLOOKUP(LEFT(AT152,2),УГО_спр,3,FALSE),""))),IF(_xlpm.v="да",30,IF(ISNUMBER(_xlpm.v),_xlpm.v,0))))</f>
        <v>0</v>
      </c>
      <c r="DX152">
        <f t="shared" si="217"/>
        <v>0</v>
      </c>
      <c r="DY152">
        <f>IF(BD152="","",IF(AD152&lt;&gt;"",COUNTIFS(A$3:A152,A152,AD$3:AD152,"?*"),IF(OR(OR(AS152=1,A152&lt;&gt;A151),AL152="вручную"),"",IF(AS152=1,"",DZ151))))</f>
        <v>22</v>
      </c>
      <c r="DZ152">
        <f t="shared" si="218"/>
        <v>22</v>
      </c>
      <c r="EA152">
        <f>IF(D152="",0,MAX(IFERROR(--X152,0),IFERROR(--VLOOKUP(D152,УГО_спр,4,FALSE),IFERROR(--VLOOKUP(AT152,УГО_спр,4,FALSE),IFERROR(--VLOOKUP(LEFT(AT152,2),УГО_спр,4,FALSE),0)))))</f>
        <v>0</v>
      </c>
      <c r="EB152">
        <f>IF(D152="","",IFERROR(LOOKUP(INDEX(CHOOSE(BR152,Iдоп_1ж,Iдоп_2ж,Iдоп_3ж),MATCH(BS152,Iдоп_S,0))*BP152*BQ152,{6,10,16,20,25,32,40,50,63,80,100,125,160,200,250,315,400,500,630}),""))</f>
        <v>25</v>
      </c>
      <c r="EC152">
        <f>IF(AD152="","",SUMIFS(Линии[_Ток схемы],Линии[_гр.],DY152,Линии[Щит],A152,Линии[_в кабель выше],0))</f>
        <v>5.93</v>
      </c>
      <c r="ED152">
        <f>IF(AD152="","",IFERROR(VLOOKUP(EC152,Автомат_номиналы,2,TRUE),""))</f>
        <v>10</v>
      </c>
      <c r="EE152">
        <f>IF(AD152="","",MAX(N(ED152),_xlfn.MAXIFS(Линии[_мин. по типу],Линии[_гр.],DY152,Линии[Щит],A152)))</f>
        <v>10</v>
      </c>
      <c r="EF152">
        <f>IF(AD152="","",_xlfn.MINIFS(Линии[_макс. автомат по кабелю],Линии[_гр.],DY152,Линии[Щит],A152))</f>
        <v>25</v>
      </c>
      <c r="EG152">
        <f>IF(AD152="","",MAX(1,_xlfn.MAXIFS(Линии[_фаз],Линии[_гр.],DY152,Линии[Щит],A152)))</f>
        <v>1</v>
      </c>
      <c r="EH152">
        <f>IF(AD152="","",IF(AND(AD152&lt;&gt;"авто",AD152&lt;&gt;"+"),IF(ISNUMBER(SEARCH("мА",AD152)),IFERROR(--TRIM(RIGHT(SUBSTITUTE(LEFT(AD152,SEARCH("мА",AD152)-1)," ",REPT(" ",9)),6)),30),0),IF(AE152="нет",0,IF(ISNUMBER(AE152),AE152,IF(AE152="да",30,_xlfn.MINIFS(Линии[_дифзащита по коду, мА],Линии[_гр.],DY152,Линии[Щит],A152,Линии[_дифзащита по коду, мА],"&gt;0"))))))</f>
        <v>0</v>
      </c>
      <c r="EI152">
        <f t="shared" si="219"/>
        <v>0</v>
      </c>
      <c r="EJ152" t="str">
        <f t="shared" si="220"/>
        <v>QF22</v>
      </c>
      <c r="EK152" t="str">
        <f t="shared" si="221"/>
        <v>QF22</v>
      </c>
      <c r="EL152" t="str">
        <f t="shared" si="222"/>
        <v/>
      </c>
      <c r="EM152">
        <f t="shared" si="223"/>
        <v>0</v>
      </c>
      <c r="EN152">
        <f>IF(AD152="","",IF(EM152=1,MAX(EE152,Мин_автомат_БП),EE152))</f>
        <v>10</v>
      </c>
      <c r="EO152" t="str">
        <f t="shared" si="224"/>
        <v>1P</v>
      </c>
      <c r="EP152" t="str">
        <f t="shared" si="225"/>
        <v>1P С10А</v>
      </c>
      <c r="EQ152">
        <f t="shared" si="226"/>
        <v>10</v>
      </c>
      <c r="ER152" t="str">
        <f>IF(OR(AI152="",AI152="-"),"",IFERROR(VLOOKUP(AI152,Модули_спр,2,FALSE),"R"))</f>
        <v/>
      </c>
      <c r="ES152" t="str">
        <f>IF(ER152="","",ER152&amp;"."&amp;COUNTIFS(A$3:A152,A152,ER$3:ER152,ER152))</f>
        <v/>
      </c>
      <c r="ET152" t="str">
        <f t="shared" si="227"/>
        <v/>
      </c>
      <c r="EU152" t="str">
        <f t="shared" si="228"/>
        <v/>
      </c>
      <c r="EV152" t="str">
        <f t="shared" si="229"/>
        <v/>
      </c>
      <c r="EW152" t="str">
        <f t="shared" si="230"/>
        <v/>
      </c>
      <c r="EX152">
        <f t="shared" si="231"/>
        <v>1</v>
      </c>
      <c r="EY152" t="str">
        <f>IF(AK152="нет","",IF(AK152&lt;&gt;"",AK152,IF(EX152=1,"XT"&amp;COUNTIFS(A$3:A152,A152,EX$3:EX152,1),"")))</f>
        <v/>
      </c>
      <c r="EZ152" t="str">
        <f t="shared" si="232"/>
        <v>QF22</v>
      </c>
      <c r="FA152" t="str">
        <f t="shared" si="233"/>
        <v/>
      </c>
      <c r="FB152" t="str">
        <f t="shared" si="234"/>
        <v>ok</v>
      </c>
      <c r="FC152" t="str">
        <f>IF(OR(EV152="",ET152=""),"",IF(EV152&gt;IFERROR(VLOOKUP(EU152,Модули_спр,3,FALSE),99),"ЛИШНИЙ КАНАЛ",IF(AND(AJ152&lt;&gt;"=",COUNTIFS(Линии[_модуль гр.],ET152,Линии[Канал (итог)],EV152,Линии[Канал],"&lt;&gt;=",Линии[Щит],A152)&gt;1),"ДУБЛЬ КАНАЛА","")))</f>
        <v/>
      </c>
      <c r="FD152">
        <f t="shared" si="235"/>
        <v>10</v>
      </c>
      <c r="FE152" t="str">
        <f t="shared" si="236"/>
        <v>1P С10А</v>
      </c>
      <c r="FF152">
        <f t="shared" si="237"/>
        <v>0</v>
      </c>
      <c r="FG152">
        <f t="shared" si="238"/>
        <v>0</v>
      </c>
      <c r="FH152" t="str">
        <f t="shared" si="239"/>
        <v/>
      </c>
      <c r="FI152">
        <f t="shared" si="240"/>
        <v>10</v>
      </c>
      <c r="FJ152" t="str">
        <f t="shared" si="241"/>
        <v/>
      </c>
      <c r="FK152" t="str">
        <f>IF(AND(D152="",EZ152=""),"",_xlfn.TEXTJOIN("; ",TRUE,IF(AND(D152&lt;&gt;"",DD152=""),"нет фазы",""),IF(AND(D152&lt;&gt;"",N(DT152)=0,CN152&lt;&gt;"Нет"),"нет мощности",""),IF(AND(EY152&lt;&gt;"",COUNTIFS(Линии[Щит],A152,Линии[Клемма (итог)],EY152)&gt;1),"дубль клеммы "&amp;EY152,""),IF(AND(FB152&lt;&gt;"",FB152&lt;&gt;"ok"),FB152,""),IF(FC152&lt;&gt;"",FC152,""),IF(AND(ISNUMBER(SEARCH("(5х",DS152)),N(DV152)=1),"5 жил на 1 фазе",""),IF(AND(AT152="R",AD152&lt;&gt;"",OR(N(EH152)=0,N(EH152)&gt;30)),"розетка без дифзащиты до 30 мА",""),IFERROR(IF(AND(ISNUMBER(CD152),CD152&gt;CE152),"потери "&amp;FIXED(CD152,1)&amp;" % &gt; "&amp;CE152&amp;" %",""),""),IFERROR(IF(LEFT(FJ152,4)="мало","Iкз мало — отключение &gt; 0,4 с",""),""),IF(AND(D152&lt;&gt;"",BD152=""),"не на схеме","")))</f>
        <v/>
      </c>
      <c r="FL152">
        <f>IF(AD152="","",_xlfn.LET(_xlpm.t,IFERROR(_xlfn.XLOOKUP(EP152,Каталог!$U$4:$U$500,Каталог!$G$4:$G$500),""),_xlpm.k,SEARCH("кА",_xlpm.t),IFERROR(--TRIM(RIGHT(SUBSTITUTE(MID(_xlpm.t,MAX(1,_xlpm.k-4),_xlpm.k-MAX(1,_xlpm.k-4))," ",REPT(" ",9)),5)),"")))</f>
        <v>6</v>
      </c>
      <c r="FM152" t="str">
        <f>IF(OR(FL152="",AD152=""),"",IF(_xlfn.XLOOKUP(A152,Щиты[Щит],Щиты[Iкз max на шинах, кА],"")="","",IF(FL152&lt;_xlfn.XLOOKUP(A152,Щиты[Щит],Щиты[Iкз max на шинах, кА]),"Icu "&amp;FL152&amp;" кА &lt; Iкз max","ok")))</f>
        <v/>
      </c>
      <c r="FN152" t="str">
        <f t="shared" si="242"/>
        <v>QF22</v>
      </c>
      <c r="FO152" t="str">
        <f t="shared" si="243"/>
        <v>QF22|кабель ВВГнг(А)-LS (3х2,5) → Приточно-вытяжная установка Технический этаж Пом. №001Т</v>
      </c>
      <c r="FP152" t="str" cm="1">
        <f t="array" ref="FP152">IF(FO152="","",_xlfn.LET(_xlpm.nd,_xlfn.TEXTSPLIT(FO152,"|"),IF(COLUMNS(_xlpm.nd)&gt;1,A152&amp;"¦"&amp;INDEX(_xlpm.nd,1)&amp;"¦"&amp;INDEX(_xlpm.nd,2),"")))</f>
        <v>ЩОВ-2¦QF22¦кабель ВВГнг(А)-LS (3х2,5) → Приточно-вытяжная установка Технический этаж Пом. №001Т</v>
      </c>
      <c r="FQ152" t="str">
        <f t="shared" si="244"/>
        <v>ПВ.7¦Приточно-вытяжная установка Технический этаж Пом. №001Т</v>
      </c>
      <c r="FR152" t="str" cm="1">
        <f t="array" ref="FR152">IF(FO152="","",_xlfn.LET(_xlpm.nd,_xlfn.TEXTSPLIT(FO152,"|"),IF(COLUMNS(_xlpm.nd)&gt;2,A152&amp;"¦"&amp;INDEX(_xlpm.nd,2)&amp;"¦"&amp;INDEX(_xlpm.nd,3),"")))</f>
        <v/>
      </c>
      <c r="FS152" t="str">
        <f t="shared" si="245"/>
        <v/>
      </c>
      <c r="FT152" t="str" cm="1">
        <f t="array" ref="FT152">IF(FO152="","",_xlfn.LET(_xlpm.nd,_xlfn.TEXTSPLIT(FO152,"|"),IF(COLUMNS(_xlpm.nd)&gt;3,A152&amp;"¦"&amp;INDEX(_xlpm.nd,3)&amp;"¦"&amp;INDEX(_xlpm.nd,4),"")))</f>
        <v/>
      </c>
      <c r="FU152" t="str">
        <f t="shared" si="246"/>
        <v/>
      </c>
      <c r="FV152" t="str" cm="1">
        <f t="array" ref="FV152">IF(FO152="","",_xlfn.LET(_xlpm.nd,_xlfn.TEXTSPLIT(FO152,"|"),IF(COLUMNS(_xlpm.nd)&gt;4,A152&amp;"¦"&amp;INDEX(_xlpm.nd,4)&amp;"¦"&amp;INDEX(_xlpm.nd,5),"")))</f>
        <v/>
      </c>
      <c r="FW152" t="str">
        <f t="shared" si="247"/>
        <v/>
      </c>
      <c r="FX152" t="str" cm="1">
        <f t="array" ref="FX152">IF(FO152="","",_xlfn.LET(_xlpm.nd,_xlfn.TEXTSPLIT(FO152,"|"),IF(COLUMNS(_xlpm.nd)&gt;5,A152&amp;"¦"&amp;INDEX(_xlpm.nd,5)&amp;"¦"&amp;INDEX(_xlpm.nd,6),"")))</f>
        <v/>
      </c>
      <c r="FY152" t="str">
        <f t="shared" si="248"/>
        <v/>
      </c>
      <c r="FZ152" t="str" cm="1">
        <f t="array" ref="FZ152">IF(FO152="","",_xlfn.LET(_xlpm.nd,_xlfn.TEXTSPLIT(FO152,"|"),IF(COLUMNS(_xlpm.nd)&gt;6,A152&amp;"¦"&amp;INDEX(_xlpm.nd,6)&amp;"¦"&amp;INDEX(_xlpm.nd,7),"")))</f>
        <v/>
      </c>
      <c r="GA152" t="str">
        <f t="shared" si="249"/>
        <v/>
      </c>
      <c r="GB152" t="str">
        <f t="shared" si="250"/>
        <v/>
      </c>
      <c r="GC152" t="str">
        <f t="shared" si="251"/>
        <v>QF22</v>
      </c>
      <c r="GD152">
        <f t="shared" si="252"/>
        <v>1</v>
      </c>
      <c r="GE152">
        <f t="shared" si="253"/>
        <v>0</v>
      </c>
      <c r="GF152">
        <f t="shared" si="254"/>
        <v>0</v>
      </c>
      <c r="GG152" t="str">
        <f t="shared" si="255"/>
        <v/>
      </c>
      <c r="GH152" t="str">
        <f t="shared" si="256"/>
        <v/>
      </c>
      <c r="GI152" t="str">
        <f t="shared" si="257"/>
        <v/>
      </c>
      <c r="GJ152" t="str">
        <f t="shared" si="258"/>
        <v/>
      </c>
      <c r="GK152" t="str">
        <f>IF(D152="","",IFERROR(VLOOKUP(D152,УГО_спр,2,FALSE),IFERROR(VLOOKUP(AT152,УГО_спр,2,FALSE),IFERROR(VLOOKUP(LEFT(AT152,2),УГО_спр,2,FALSE),""))))</f>
        <v>Привод (двигатель)</v>
      </c>
      <c r="GL152" t="str">
        <f>IF(D152="","",IF(OR(GK152="",GK152=0),"BOX",IFERROR(IF(VLOOKUP(GK152,УГО_блоки,3,FALSE)&amp;""&lt;&gt;"",VLOOKUP(GK152,УГО_блоки,3,FALSE),VLOOKUP(GK152,УГО_блоки,2,FALSE)),GK152)))</f>
        <v>MOTOR</v>
      </c>
      <c r="GM152">
        <f t="shared" si="259"/>
        <v>1</v>
      </c>
      <c r="GN152" t="str">
        <f>IF(EP152="","",IF(COUNTIF(EP$3:EP152,EP152)=1,MAX(GN$2:GN151)+1,""))</f>
        <v/>
      </c>
      <c r="GO152" t="str">
        <f>IF(AF152="","",IF(COUNTIF(AF$3:AF152,AF152)+COUNTIF(AG$2:AG151,AF152)+COUNTIF(AH$2:AH151,AF152)=1,MAX(GO$2:GQ151)+1,""))</f>
        <v/>
      </c>
      <c r="GP152" t="str">
        <f>IF(AG152="","",IF(COUNTIF(AF$3:AF152,AG152)+COUNTIF(AG$3:AG152,AG152)+COUNTIF(AH$2:AH151,AG152)=1,MAX(GO$2:GQ151,GO152)+1,""))</f>
        <v/>
      </c>
      <c r="GQ152" t="str">
        <f>IF(AH152="","",IF(COUNTIF(AF$3:AF152,AH152)+COUNTIF(AG$3:AG152,AH152)+COUNTIF(AH$3:AH152,AH152)=1,MAX(GO$2:GQ151,GO152,GP152)+1,""))</f>
        <v/>
      </c>
      <c r="GR152" t="str">
        <f t="shared" si="260"/>
        <v>3х2,5</v>
      </c>
      <c r="GS152" t="str">
        <f>IF(GR152="","",IF(COUNTIF(GR$3:GR152,GR152)=1,MAX(GS$2:GS151)+1,""))</f>
        <v/>
      </c>
      <c r="GT152" t="str">
        <f>IF(ES152="","",COUNTIF(ES$3:ES152,"?*"))</f>
        <v/>
      </c>
      <c r="GU152" t="str">
        <f>IF(OR(ES152="",EU152=""),"",IF(COUNTIFS(ES$3:ES152,"?*",EU$3:EU152,EU152)=1,MAX(GU$2:GU151)+1,""))</f>
        <v/>
      </c>
      <c r="GV152">
        <f t="shared" si="261"/>
        <v>0</v>
      </c>
      <c r="GW152">
        <f>IF(D152="","",COUNTIF(D$3:D152,"?*"))</f>
        <v>150</v>
      </c>
      <c r="GX152">
        <f>IF(EX152&lt;&gt;1,0,_xlfn.LET(_xlpm.k,MAX(IFERROR(--VLOOKUP(D152,УГО_спр,5,FALSE),0),IFERROR(--VLOOKUP(AT152,УГО_спр,5,FALSE),0),IFERROR(--VLOOKUP(LEFT(AT152,2),УГО_спр,5,FALSE),0)),IF(_xlpm.k&gt;0,_xlpm.k,IF(IFERROR(--LEFT(SUBSTITUTE(GR152,"x","х"),FIND("х",SUBSTITUTE(GR152,"x","х"))-1),3)&gt;3,Каталог!$S$9,1))))</f>
        <v>1</v>
      </c>
      <c r="GY152">
        <f t="shared" si="262"/>
        <v>0</v>
      </c>
    </row>
    <row r="153" spans="1:207" x14ac:dyDescent="0.3">
      <c r="A153" t="s">
        <v>756</v>
      </c>
      <c r="B153">
        <v>39</v>
      </c>
      <c r="C153" t="str">
        <f>IF(BD153="","",IF(BE153="вводной узел","узел ","")&amp;"л."&amp;(INT((BD153-1)/Столбцов_на_лист)+1)&amp;" / "&amp;(MOD(BD153-1,Столбцов_на_лист)+1))</f>
        <v>л.3 / 5</v>
      </c>
      <c r="D153" t="s">
        <v>1458</v>
      </c>
      <c r="E153" s="133" t="s">
        <v>1456</v>
      </c>
      <c r="G153">
        <v>1.8</v>
      </c>
      <c r="H153">
        <v>1</v>
      </c>
      <c r="I153">
        <v>1</v>
      </c>
      <c r="J153">
        <v>230</v>
      </c>
      <c r="K153" t="s">
        <v>602</v>
      </c>
      <c r="L153">
        <v>0.5</v>
      </c>
      <c r="O153">
        <v>2</v>
      </c>
      <c r="P153">
        <v>11</v>
      </c>
      <c r="Q153">
        <v>5</v>
      </c>
      <c r="R153">
        <v>10</v>
      </c>
      <c r="T153">
        <v>1</v>
      </c>
      <c r="U153" t="s">
        <v>11</v>
      </c>
      <c r="V153">
        <v>3</v>
      </c>
      <c r="W153">
        <v>2.5</v>
      </c>
      <c r="Z153" t="s">
        <v>584</v>
      </c>
      <c r="AA153" t="s">
        <v>818</v>
      </c>
      <c r="AD153" t="s">
        <v>517</v>
      </c>
      <c r="AK153" t="s">
        <v>488</v>
      </c>
      <c r="AR153" t="str">
        <f t="shared" si="176"/>
        <v/>
      </c>
      <c r="AS153" cm="1">
        <f t="array" ref="AS153">ROW()-ROW(Линии[#Headers])</f>
        <v>151</v>
      </c>
      <c r="AT153" t="str">
        <f t="shared" si="177"/>
        <v>ПВ</v>
      </c>
      <c r="AU153" t="str">
        <f t="shared" si="178"/>
        <v>8</v>
      </c>
      <c r="AV153" t="str">
        <f t="shared" si="179"/>
        <v>8</v>
      </c>
      <c r="AW153" t="str">
        <f t="shared" si="180"/>
        <v/>
      </c>
      <c r="AX153" t="str">
        <f t="shared" si="181"/>
        <v/>
      </c>
      <c r="AY153" t="str">
        <f>IF(D153="","",IF(ISERROR(SEARCH(".",D153)),IFERROR(VLOOKUP(D153,Потребители_обозначение,2,FALSE)&amp;"",""),IFERROR(IF(VLOOKUP(AT153,Потребители_обозначение,4,FALSE)=1,VLOOKUP(AT153,Потребители_обозначение,2,FALSE)&amp;" "&amp;VLOOKUP(AV153,Этаж_обозначение,2,FALSE)&amp;" Пом. №"&amp;AX153,VLOOKUP(AT153,Потребители_обозначение,2,FALSE)&amp;" Шлейф №"&amp;AV153),IFERROR(VLOOKUP(D153,Потребители_обозначение,2,FALSE),""))))</f>
        <v>Приточно-вытяжная установка Шлейф №8</v>
      </c>
      <c r="AZ153" t="str">
        <f t="shared" si="182"/>
        <v>Приточно-вытяжная установка Технический этаж Пом. №001Т</v>
      </c>
      <c r="BA153" t="str">
        <f>IF(F153&lt;&gt;"",F153,IF(AND(D153&lt;&gt;"",D153&lt;&gt;A153,ISNUMBER(_xlfn.XMATCH(D153,Щиты[Щит]))),D153,""))</f>
        <v/>
      </c>
      <c r="BB153">
        <f>IFERROR(_xlfn.XMATCH(A153,Щиты[Щит]),0)</f>
        <v>7</v>
      </c>
      <c r="BC153">
        <f>IFERROR(N(_xlfn.XLOOKUP(A153,Щиты[Щит],Щиты[Мест под вводной узел])),15)</f>
        <v>12</v>
      </c>
      <c r="BD153">
        <f t="shared" si="183"/>
        <v>39</v>
      </c>
      <c r="BE153" t="str">
        <f t="shared" si="184"/>
        <v>линии</v>
      </c>
      <c r="BF153">
        <f>IF(D153="","",IF(BA153&lt;&gt;"",IFERROR(_xlfn.XLOOKUP(BA153,Щиты[Щит],Щиты[Руст, кВт]),0),N(G153)))</f>
        <v>1.8</v>
      </c>
      <c r="BG153">
        <f>IF(J153&lt;&gt;"",J153,IF(D153="","",IFERROR(IF(VLOOKUP(AT153,Потребители_обозначение,8,FALSE)=0,"",VLOOKUP(AT153,Потребители_обозначение,8,FALSE)),"")))</f>
        <v>230</v>
      </c>
      <c r="BH153">
        <f>IF(I153&lt;&gt;"",I153,IF(D153="","",IFERROR(IF(VLOOKUP(AT153,Потребители_обозначение,9,FALSE)=0,"",VLOOKUP(AT153,Потребители_обозначение,9,FALSE)),"")))</f>
        <v>1</v>
      </c>
      <c r="BI153" t="str">
        <f>IF(U153&lt;&gt;"",U153,IF(D153="","",IFERROR(IF(VLOOKUP(AT153,Потребители_обозначение,6,FALSE)=0,"",VLOOKUP(AT153,Потребители_обозначение,6,FALSE)),"")))</f>
        <v>мс</v>
      </c>
      <c r="BJ153">
        <f>IF(V153&lt;&gt;"",V153,IF(D153="","",IFERROR(IF(VLOOKUP(AT153,Потребители_обозначение,7,FALSE)=0,"",VLOOKUP(AT153,Потребители_обозначение,7,FALSE)),"")))</f>
        <v>3</v>
      </c>
      <c r="BK153">
        <f>IF(W153&lt;&gt;"",W153,IF(D153="","",IFERROR(IF(VLOOKUP(AT153,Потребители_обозначение,10,FALSE)=0,"",VLOOKUP(AT153,Потребители_обозначение,10,FALSE)),"")))</f>
        <v>2.5</v>
      </c>
      <c r="BL153">
        <f>IFERROR(VLOOKUP(AT153,Потребители_обозначение,5,FALSE),0)</f>
        <v>1</v>
      </c>
      <c r="BM153" cm="1">
        <f t="array" ref="BM153">IF(D153="","",IF(BA153&lt;&gt;"",IFERROR(_xlfn.XLOOKUP(BA153,Щиты[Щит],Щиты[cos φ]),0.95),IF(ISNUMBER(M153),M153,IFERROR(IF(BL153=2,_xlfn.IFS(BH153=3,VLOOKUP(BF153,Справочная_двигатели,8,FALSE),BH153=1,VLOOKUP(BF153,Справочная_двигатели,10,TRUE)),IF(AND(Методика="нормы 2026",CN153="Сил"),0.8,0.95)),0.95))))</f>
        <v>0.95</v>
      </c>
      <c r="BN153" cm="1">
        <f t="array" ref="BN153">IF(D153="","",IF(BA153&lt;&gt;"",IFERROR(_xlfn.XLOOKUP(BA153,Щиты[Щит],Щиты[Iр, А]),""),IFERROR(_xlfn.IFS(BH153=1,BF153/((Uн_лин/SQRT(3))*BM153),BH153=3,BF153/(SQRT(3)*Uн_лин*BM153)),"")))</f>
        <v>8.2044511937473139</v>
      </c>
      <c r="BO153">
        <f>IF(D153="","",IF(N(X153)=0,IFERROR(VLOOKUP(BN153,Автомат_номиналы,2,TRUE),""),X153))</f>
        <v>10</v>
      </c>
      <c r="BP153">
        <f t="shared" si="185"/>
        <v>1</v>
      </c>
      <c r="BQ153">
        <f>IF(ISNUMBER(Y153),Y153,К_прокл)</f>
        <v>1</v>
      </c>
      <c r="BR153">
        <f t="shared" si="186"/>
        <v>2</v>
      </c>
      <c r="BS153" cm="1">
        <f t="array" ref="BS153">IF(D153="","",IF(N(BK153)&lt;&gt;0,BK153,IFERROR(_xlfn.LET(_xlpm.need,BO153/(BP153*BQ153),_xlpm.t,CHOOSE(BR153,Iдоп_1ж,Iдоп_2ж,Iдоп_3ж),_xlpm.k,_xlfn.XMATCH(_xlpm.need,_xlpm.t,1),IF(ISNA(_xlpm.k),"Не исп",INDEX(Iдоп_S,_xlpm.k))),"Не исп")))</f>
        <v>2.5</v>
      </c>
      <c r="BT153">
        <f>IFERROR(VLOOKUP(BS153,Кабель_сопротивление,3,FALSE),"")</f>
        <v>2.2499999999999999E-2</v>
      </c>
      <c r="BU153">
        <f>IFERROR(VLOOKUP(BS153,Кабель_сопротивление,2,FALSE),"")</f>
        <v>0.1</v>
      </c>
      <c r="BV153">
        <f t="shared" si="187"/>
        <v>11</v>
      </c>
      <c r="BW153">
        <f>IF(D153="","",IFERROR(IF(VLOOKUP(AT153,Потребители_обозначение,4,FALSE)=1,VLOOKUP(AT153,Потребители_обозначение,3,FALSE)*(H153*2-1)+BV153+VLOOKUP(AV153,Этаж_обозначение,3,FALSE)+VLOOKUP(AV153,Этаж_обозначение,4,FALSE),VLOOKUP(AT153,Потребители_обозначение,3,FALSE)*(H153*2-1)+BV153),BV153))</f>
        <v>15</v>
      </c>
      <c r="BX153">
        <f t="shared" si="188"/>
        <v>10</v>
      </c>
      <c r="BY153">
        <f t="shared" si="189"/>
        <v>0</v>
      </c>
      <c r="BZ153">
        <f t="shared" si="190"/>
        <v>2</v>
      </c>
      <c r="CA153">
        <f t="shared" si="191"/>
        <v>0.31</v>
      </c>
      <c r="CB153">
        <f t="shared" si="192"/>
        <v>2.1120718708063704</v>
      </c>
      <c r="CC153">
        <f>IFERROR(ROUNDUP(CB153/((Uн_лин/SQRT(3))*1000)*100,2),"")</f>
        <v>0.92</v>
      </c>
      <c r="CD153">
        <f>IF(ISNUMBER(CC153),CC153+IFERROR(_xlfn.XLOOKUP(A153,Щиты[Щит],Щиты[ΔU до шин, %]),0),"")</f>
        <v>1.94</v>
      </c>
      <c r="CE153">
        <f>IF(D153="","",IF(IFERROR(VLOOKUP(AT153,УГО_спр,2,FALSE),"")="Светильник",3,4)+IF(Методика="нормы 2026",MIN(0.5,MAX(0,N(BW153)-100)*0.005),0))</f>
        <v>4</v>
      </c>
      <c r="CF153" t="str">
        <f>IFERROR(VLOOKUP(BI153,Кабель_обозначение,2,FALSE),"")</f>
        <v>ВВГнг(А)-LS</v>
      </c>
      <c r="CG153" t="str">
        <f>IFERROR(IF(VLOOKUP(BI153,Кабель_обозначение,3,FALSE)=1,CF153&amp;" ("&amp;BJ153&amp;"х"&amp;BS153&amp;")",CF153),"")</f>
        <v>ВВГнг(А)-LS (3х2,5)</v>
      </c>
      <c r="CH153" t="str">
        <f t="shared" si="193"/>
        <v>ВВГнг(А)-LS (3х2,5)
L=15-0,92%</v>
      </c>
      <c r="CI153">
        <f>IFERROR(2*ρкз_Cu*BW153/BS153,"")</f>
        <v>0.31559999999999999</v>
      </c>
      <c r="CJ153">
        <f t="shared" si="194"/>
        <v>0.10500000000000001</v>
      </c>
      <c r="CK153" t="str">
        <f>IFERROR(IF(OR(D153="",NOT(ISNUMBER(BS153)),N(BW153)=0),"",_xlfn.XLOOKUP(A153,Щиты[Щит],Щиты[Zпетли на шинах, Ом])+CI153),"")</f>
        <v/>
      </c>
      <c r="CL153" t="str">
        <f>IF(ISNUMBER(CK153),c_min*(Uн_лин*1000/SQRT(3))/CK153,"")</f>
        <v/>
      </c>
      <c r="CM153" t="str">
        <f>IFERROR(IF(OR(D153="",NOT(ISNUMBER(BS153))),"",1.05*(Uн_лин*1000/SQRT(3))/(_xlfn.XLOOKUP(A153,Щиты[Щит],Щиты[Zmax на шинах, Ом])+CJ153)/1000),"")</f>
        <v/>
      </c>
      <c r="CN153" t="str">
        <f>IF(D153="","",IF(BA153&lt;&gt;"","Щит",IF(K153&lt;&gt;"",K153,IF(ISNUMBER(L153),"Сил",IF(IFERROR(_xlfn.XLOOKUP(AT153,Коды_код,Коды_группа)&amp;"","")="","Быт",_xlfn.XLOOKUP(AT153,Коды_код,Коды_группа)&amp;"")))))</f>
        <v>Сил</v>
      </c>
      <c r="CO153">
        <f>IF(CN153="Щит","щит",IF(CN153="","",IF(CN153="Быт",IFERROR(_xlfn.XLOOKUP(A153,Щиты[Щит],Щиты[Кс быт]),1),IF(CN153="Сил",IF(ISNUMBER(L153),L153,IF(Методика="нормы 2026",IFERROR(_xlfn.XLOOKUP(A153,Щиты[Щит],Щиты[Кс силовых (табл. 7.5)]),1),1)),IF(OR(CN153="Пост",CN153="Отоп"),1,IF(CN153="ВНГ",0.7,0))))))</f>
        <v>0.5</v>
      </c>
      <c r="CP153">
        <f t="shared" si="195"/>
        <v>1</v>
      </c>
      <c r="CQ153">
        <f t="shared" si="196"/>
        <v>1.8</v>
      </c>
      <c r="CR153">
        <f t="shared" si="197"/>
        <v>0</v>
      </c>
      <c r="CS153">
        <f t="shared" si="198"/>
        <v>0.9</v>
      </c>
      <c r="CT153">
        <f t="shared" si="199"/>
        <v>0</v>
      </c>
      <c r="CU153">
        <f t="shared" si="200"/>
        <v>0</v>
      </c>
      <c r="CV153">
        <f t="shared" si="201"/>
        <v>0</v>
      </c>
      <c r="CW153">
        <f t="shared" si="202"/>
        <v>1.8</v>
      </c>
      <c r="CX153">
        <f t="shared" si="203"/>
        <v>1.71</v>
      </c>
      <c r="CY153">
        <f t="shared" si="204"/>
        <v>2</v>
      </c>
      <c r="CZ153" t="str">
        <f t="shared" si="205"/>
        <v>L2</v>
      </c>
      <c r="DA153" cm="1">
        <f t="array" ref="DA153">IFERROR(IF(BL153=2,_xlfn.IFS(BH153=3,VLOOKUP(BF153,Справочная_двигатели,3,FALSE),BH153=1,VLOOKUP(BF153,Справочная_двигатели,5,TRUE)),0),0)</f>
        <v>0</v>
      </c>
      <c r="DB153">
        <f>IFERROR(IF(BL153=3,VLOOKUP(BF153,Справочная_ЛЭД,2,TRUE),0),0)</f>
        <v>0</v>
      </c>
      <c r="DC153">
        <f t="shared" si="206"/>
        <v>0</v>
      </c>
      <c r="DD153" t="str">
        <f t="shared" si="207"/>
        <v>L2</v>
      </c>
      <c r="DE153" t="str" cm="1">
        <f t="array" ref="DE153">IF(D153="","",IFERROR(INDEX({"I особая","I","II","III"},MATCH(TRIM(AA153&amp;""),{"I особая","I","II","III"},0)),"III"))</f>
        <v>II</v>
      </c>
      <c r="DF153" t="str">
        <f>IF(D153="","",IF(TRIM(AB153&amp;"")&lt;&gt;"",IF(LOWER(TRIM(AB153&amp;""))="да","да","нет"),IF(IFERROR(_xlfn.XLOOKUP(AT153,Коды_код,Коды_пожарная),"")="да","да","нет")))</f>
        <v>нет</v>
      </c>
      <c r="DG153" t="str">
        <f t="shared" si="208"/>
        <v/>
      </c>
      <c r="DH153" t="str">
        <f t="shared" si="209"/>
        <v>основная</v>
      </c>
      <c r="DI153">
        <f t="shared" si="210"/>
        <v>1</v>
      </c>
      <c r="DJ153" t="str" cm="1">
        <f t="array" ref="DJ153">IF(D153="","",_xlfn.LET(_xlpm.t,IFERROR(_xlfn.XLOOKUP(1,(Шины[Шина]=DH153)*(((Шины[Щит]=A153)+(Шины[Щит]=""))&gt;0),Шины[Тип]),"")&amp;"",IF(_xlpm.t&lt;&gt;"",_xlpm.t,IF(ISNUMBER(SEARCH("ИБП",DH153)),"ИБП",IF(ISNUMBER(SEARCH("ДГУ",DH153)),"ДГУ","Ввод "&amp;DI153)))))</f>
        <v>Ввод 1</v>
      </c>
      <c r="DK153" t="str">
        <f t="shared" si="211"/>
        <v>Ввод 1</v>
      </c>
      <c r="DL153" t="str">
        <f>IF(D153="","",IF(OR(DJ153="ИБП",DJ153="ДГУ"),"I особая",IF(DJ153="Одиночная","III",_xlfn.XLOOKUP(A153,Щиты[Щит],Щиты[Категория шины «Ввод»],"III"))))</f>
        <v>II</v>
      </c>
      <c r="DM153">
        <f>IF(D153="",0,IFERROR(MATCH(DE153,{"III","II","I","I особая"},0),1))</f>
        <v>2</v>
      </c>
      <c r="DN153">
        <f t="shared" si="212"/>
        <v>2</v>
      </c>
      <c r="DO153" t="str">
        <f>IF(D153="","",IF(DM153&gt;IFERROR(MATCH(DL153,{"III","II","I","I особая"},0),1),"НЕ ОБЕСПЕЧЕНА","ОК"))</f>
        <v>ОК</v>
      </c>
      <c r="DP153" t="str">
        <f>IF(A153="","",_xlfn.XLOOKUP(A153,Щиты[Щит],Щиты[Путь],""))</f>
        <v>|ГРЩ-ЖД|ЩОВ-2|</v>
      </c>
      <c r="DQ153" t="str">
        <f>IF(D153="","",IF(Z153&lt;&gt;"",Z153,IF(IFERROR(_xlfn.XLOOKUP(AT153,Коды_код,Коды_вид)&amp;"","")="","Прочее",_xlfn.XLOOKUP(AT153,Коды_код,Коды_вид)&amp;"")))</f>
        <v>Вентиляция</v>
      </c>
      <c r="DR153">
        <f>IF(BD153="","",INT((BD153-1)/Столбцов_на_лист)+1)</f>
        <v>3</v>
      </c>
      <c r="DS153" t="str">
        <f t="shared" si="213"/>
        <v>ВВГнг(А)-LS (3х2,5) L=15-0,92%</v>
      </c>
      <c r="DT153">
        <f t="shared" si="214"/>
        <v>1.8</v>
      </c>
      <c r="DU153">
        <f t="shared" si="215"/>
        <v>8.2099999999999991</v>
      </c>
      <c r="DV153">
        <f t="shared" si="216"/>
        <v>1</v>
      </c>
      <c r="DW153">
        <f>IF(AT153="",0,_xlfn.LET(_xlpm.v,IFERROR(VLOOKUP(D153,УГО_спр,3,FALSE),IFERROR(VLOOKUP(AT153,УГО_спр,3,FALSE),IFERROR(VLOOKUP(LEFT(AT153,2),УГО_спр,3,FALSE),""))),IF(_xlpm.v="да",30,IF(ISNUMBER(_xlpm.v),_xlpm.v,0))))</f>
        <v>0</v>
      </c>
      <c r="DX153">
        <f t="shared" si="217"/>
        <v>0</v>
      </c>
      <c r="DY153">
        <f>IF(BD153="","",IF(AD153&lt;&gt;"",COUNTIFS(A$3:A153,A153,AD$3:AD153,"?*"),IF(OR(OR(AS153=1,A153&lt;&gt;A152),AL153="вручную"),"",IF(AS153=1,"",DZ152))))</f>
        <v>23</v>
      </c>
      <c r="DZ153">
        <f t="shared" si="218"/>
        <v>23</v>
      </c>
      <c r="EA153">
        <f>IF(D153="",0,MAX(IFERROR(--X153,0),IFERROR(--VLOOKUP(D153,УГО_спр,4,FALSE),IFERROR(--VLOOKUP(AT153,УГО_спр,4,FALSE),IFERROR(--VLOOKUP(LEFT(AT153,2),УГО_спр,4,FALSE),0)))))</f>
        <v>0</v>
      </c>
      <c r="EB153">
        <f>IF(D153="","",IFERROR(LOOKUP(INDEX(CHOOSE(BR153,Iдоп_1ж,Iдоп_2ж,Iдоп_3ж),MATCH(BS153,Iдоп_S,0))*BP153*BQ153,{6,10,16,20,25,32,40,50,63,80,100,125,160,200,250,315,400,500,630}),""))</f>
        <v>25</v>
      </c>
      <c r="EC153">
        <f>IF(AD153="","",SUMIFS(Линии[_Ток схемы],Линии[_гр.],DY153,Линии[Щит],A153,Линии[_в кабель выше],0))</f>
        <v>8.2099999999999991</v>
      </c>
      <c r="ED153">
        <f>IF(AD153="","",IFERROR(VLOOKUP(EC153,Автомат_номиналы,2,TRUE),""))</f>
        <v>10</v>
      </c>
      <c r="EE153">
        <f>IF(AD153="","",MAX(N(ED153),_xlfn.MAXIFS(Линии[_мин. по типу],Линии[_гр.],DY153,Линии[Щит],A153)))</f>
        <v>10</v>
      </c>
      <c r="EF153">
        <f>IF(AD153="","",_xlfn.MINIFS(Линии[_макс. автомат по кабелю],Линии[_гр.],DY153,Линии[Щит],A153))</f>
        <v>25</v>
      </c>
      <c r="EG153">
        <f>IF(AD153="","",MAX(1,_xlfn.MAXIFS(Линии[_фаз],Линии[_гр.],DY153,Линии[Щит],A153)))</f>
        <v>1</v>
      </c>
      <c r="EH153">
        <f>IF(AD153="","",IF(AND(AD153&lt;&gt;"авто",AD153&lt;&gt;"+"),IF(ISNUMBER(SEARCH("мА",AD153)),IFERROR(--TRIM(RIGHT(SUBSTITUTE(LEFT(AD153,SEARCH("мА",AD153)-1)," ",REPT(" ",9)),6)),30),0),IF(AE153="нет",0,IF(ISNUMBER(AE153),AE153,IF(AE153="да",30,_xlfn.MINIFS(Линии[_дифзащита по коду, мА],Линии[_гр.],DY153,Линии[Щит],A153,Линии[_дифзащита по коду, мА],"&gt;0"))))))</f>
        <v>0</v>
      </c>
      <c r="EI153">
        <f t="shared" si="219"/>
        <v>0</v>
      </c>
      <c r="EJ153" t="str">
        <f t="shared" si="220"/>
        <v>QF23</v>
      </c>
      <c r="EK153" t="str">
        <f t="shared" si="221"/>
        <v>QF23</v>
      </c>
      <c r="EL153" t="str">
        <f t="shared" si="222"/>
        <v/>
      </c>
      <c r="EM153">
        <f t="shared" si="223"/>
        <v>0</v>
      </c>
      <c r="EN153">
        <f>IF(AD153="","",IF(EM153=1,MAX(EE153,Мин_автомат_БП),EE153))</f>
        <v>10</v>
      </c>
      <c r="EO153" t="str">
        <f t="shared" si="224"/>
        <v>1P</v>
      </c>
      <c r="EP153" t="str">
        <f t="shared" si="225"/>
        <v>1P С10А</v>
      </c>
      <c r="EQ153">
        <f t="shared" si="226"/>
        <v>10</v>
      </c>
      <c r="ER153" t="str">
        <f>IF(OR(AI153="",AI153="-"),"",IFERROR(VLOOKUP(AI153,Модули_спр,2,FALSE),"R"))</f>
        <v/>
      </c>
      <c r="ES153" t="str">
        <f>IF(ER153="","",ER153&amp;"."&amp;COUNTIFS(A$3:A153,A153,ER$3:ER153,ER153))</f>
        <v/>
      </c>
      <c r="ET153" t="str">
        <f t="shared" si="227"/>
        <v/>
      </c>
      <c r="EU153" t="str">
        <f t="shared" si="228"/>
        <v/>
      </c>
      <c r="EV153" t="str">
        <f t="shared" si="229"/>
        <v/>
      </c>
      <c r="EW153" t="str">
        <f t="shared" si="230"/>
        <v/>
      </c>
      <c r="EX153">
        <f t="shared" si="231"/>
        <v>1</v>
      </c>
      <c r="EY153" t="str">
        <f>IF(AK153="нет","",IF(AK153&lt;&gt;"",AK153,IF(EX153=1,"XT"&amp;COUNTIFS(A$3:A153,A153,EX$3:EX153,1),"")))</f>
        <v/>
      </c>
      <c r="EZ153" t="str">
        <f t="shared" si="232"/>
        <v>QF23</v>
      </c>
      <c r="FA153" t="str">
        <f t="shared" si="233"/>
        <v/>
      </c>
      <c r="FB153" t="str">
        <f t="shared" si="234"/>
        <v>ok</v>
      </c>
      <c r="FC153" t="str">
        <f>IF(OR(EV153="",ET153=""),"",IF(EV153&gt;IFERROR(VLOOKUP(EU153,Модули_спр,3,FALSE),99),"ЛИШНИЙ КАНАЛ",IF(AND(AJ153&lt;&gt;"=",COUNTIFS(Линии[_модуль гр.],ET153,Линии[Канал (итог)],EV153,Линии[Канал],"&lt;&gt;=",Линии[Щит],A153)&gt;1),"ДУБЛЬ КАНАЛА","")))</f>
        <v/>
      </c>
      <c r="FD153">
        <f t="shared" si="235"/>
        <v>10</v>
      </c>
      <c r="FE153" t="str">
        <f t="shared" si="236"/>
        <v>1P С10А</v>
      </c>
      <c r="FF153">
        <f t="shared" si="237"/>
        <v>0</v>
      </c>
      <c r="FG153">
        <f t="shared" si="238"/>
        <v>0</v>
      </c>
      <c r="FH153" t="str">
        <f t="shared" si="239"/>
        <v/>
      </c>
      <c r="FI153">
        <f t="shared" si="240"/>
        <v>10</v>
      </c>
      <c r="FJ153" t="str">
        <f t="shared" si="241"/>
        <v/>
      </c>
      <c r="FK153" t="str">
        <f>IF(AND(D153="",EZ153=""),"",_xlfn.TEXTJOIN("; ",TRUE,IF(AND(D153&lt;&gt;"",DD153=""),"нет фазы",""),IF(AND(D153&lt;&gt;"",N(DT153)=0,CN153&lt;&gt;"Нет"),"нет мощности",""),IF(AND(EY153&lt;&gt;"",COUNTIFS(Линии[Щит],A153,Линии[Клемма (итог)],EY153)&gt;1),"дубль клеммы "&amp;EY153,""),IF(AND(FB153&lt;&gt;"",FB153&lt;&gt;"ok"),FB153,""),IF(FC153&lt;&gt;"",FC153,""),IF(AND(ISNUMBER(SEARCH("(5х",DS153)),N(DV153)=1),"5 жил на 1 фазе",""),IF(AND(AT153="R",AD153&lt;&gt;"",OR(N(EH153)=0,N(EH153)&gt;30)),"розетка без дифзащиты до 30 мА",""),IFERROR(IF(AND(ISNUMBER(CD153),CD153&gt;CE153),"потери "&amp;FIXED(CD153,1)&amp;" % &gt; "&amp;CE153&amp;" %",""),""),IFERROR(IF(LEFT(FJ153,4)="мало","Iкз мало — отключение &gt; 0,4 с",""),""),IF(AND(D153&lt;&gt;"",BD153=""),"не на схеме","")))</f>
        <v/>
      </c>
      <c r="FL153">
        <f>IF(AD153="","",_xlfn.LET(_xlpm.t,IFERROR(_xlfn.XLOOKUP(EP153,Каталог!$U$4:$U$500,Каталог!$G$4:$G$500),""),_xlpm.k,SEARCH("кА",_xlpm.t),IFERROR(--TRIM(RIGHT(SUBSTITUTE(MID(_xlpm.t,MAX(1,_xlpm.k-4),_xlpm.k-MAX(1,_xlpm.k-4))," ",REPT(" ",9)),5)),"")))</f>
        <v>6</v>
      </c>
      <c r="FM153" t="str">
        <f>IF(OR(FL153="",AD153=""),"",IF(_xlfn.XLOOKUP(A153,Щиты[Щит],Щиты[Iкз max на шинах, кА],"")="","",IF(FL153&lt;_xlfn.XLOOKUP(A153,Щиты[Щит],Щиты[Iкз max на шинах, кА]),"Icu "&amp;FL153&amp;" кА &lt; Iкз max","ok")))</f>
        <v/>
      </c>
      <c r="FN153" t="str">
        <f t="shared" si="242"/>
        <v>QF23</v>
      </c>
      <c r="FO153" t="str">
        <f t="shared" si="243"/>
        <v>QF23|кабель ВВГнг(А)-LS (3х2,5) → Приточно-вытяжная установка Технический этаж Пом. №001Т</v>
      </c>
      <c r="FP153" t="str" cm="1">
        <f t="array" ref="FP153">IF(FO153="","",_xlfn.LET(_xlpm.nd,_xlfn.TEXTSPLIT(FO153,"|"),IF(COLUMNS(_xlpm.nd)&gt;1,A153&amp;"¦"&amp;INDEX(_xlpm.nd,1)&amp;"¦"&amp;INDEX(_xlpm.nd,2),"")))</f>
        <v>ЩОВ-2¦QF23¦кабель ВВГнг(А)-LS (3х2,5) → Приточно-вытяжная установка Технический этаж Пом. №001Т</v>
      </c>
      <c r="FQ153" t="str">
        <f t="shared" si="244"/>
        <v>ПВ.8¦Приточно-вытяжная установка Технический этаж Пом. №001Т</v>
      </c>
      <c r="FR153" t="str" cm="1">
        <f t="array" ref="FR153">IF(FO153="","",_xlfn.LET(_xlpm.nd,_xlfn.TEXTSPLIT(FO153,"|"),IF(COLUMNS(_xlpm.nd)&gt;2,A153&amp;"¦"&amp;INDEX(_xlpm.nd,2)&amp;"¦"&amp;INDEX(_xlpm.nd,3),"")))</f>
        <v/>
      </c>
      <c r="FS153" t="str">
        <f t="shared" si="245"/>
        <v/>
      </c>
      <c r="FT153" t="str" cm="1">
        <f t="array" ref="FT153">IF(FO153="","",_xlfn.LET(_xlpm.nd,_xlfn.TEXTSPLIT(FO153,"|"),IF(COLUMNS(_xlpm.nd)&gt;3,A153&amp;"¦"&amp;INDEX(_xlpm.nd,3)&amp;"¦"&amp;INDEX(_xlpm.nd,4),"")))</f>
        <v/>
      </c>
      <c r="FU153" t="str">
        <f t="shared" si="246"/>
        <v/>
      </c>
      <c r="FV153" t="str" cm="1">
        <f t="array" ref="FV153">IF(FO153="","",_xlfn.LET(_xlpm.nd,_xlfn.TEXTSPLIT(FO153,"|"),IF(COLUMNS(_xlpm.nd)&gt;4,A153&amp;"¦"&amp;INDEX(_xlpm.nd,4)&amp;"¦"&amp;INDEX(_xlpm.nd,5),"")))</f>
        <v/>
      </c>
      <c r="FW153" t="str">
        <f t="shared" si="247"/>
        <v/>
      </c>
      <c r="FX153" t="str" cm="1">
        <f t="array" ref="FX153">IF(FO153="","",_xlfn.LET(_xlpm.nd,_xlfn.TEXTSPLIT(FO153,"|"),IF(COLUMNS(_xlpm.nd)&gt;5,A153&amp;"¦"&amp;INDEX(_xlpm.nd,5)&amp;"¦"&amp;INDEX(_xlpm.nd,6),"")))</f>
        <v/>
      </c>
      <c r="FY153" t="str">
        <f t="shared" si="248"/>
        <v/>
      </c>
      <c r="FZ153" t="str" cm="1">
        <f t="array" ref="FZ153">IF(FO153="","",_xlfn.LET(_xlpm.nd,_xlfn.TEXTSPLIT(FO153,"|"),IF(COLUMNS(_xlpm.nd)&gt;6,A153&amp;"¦"&amp;INDEX(_xlpm.nd,6)&amp;"¦"&amp;INDEX(_xlpm.nd,7),"")))</f>
        <v/>
      </c>
      <c r="GA153" t="str">
        <f t="shared" si="249"/>
        <v/>
      </c>
      <c r="GB153" t="str">
        <f t="shared" si="250"/>
        <v/>
      </c>
      <c r="GC153" t="str">
        <f t="shared" si="251"/>
        <v>QF23</v>
      </c>
      <c r="GD153">
        <f t="shared" si="252"/>
        <v>1</v>
      </c>
      <c r="GE153">
        <f t="shared" si="253"/>
        <v>0</v>
      </c>
      <c r="GF153">
        <f t="shared" si="254"/>
        <v>0</v>
      </c>
      <c r="GG153" t="str">
        <f t="shared" si="255"/>
        <v/>
      </c>
      <c r="GH153" t="str">
        <f t="shared" si="256"/>
        <v/>
      </c>
      <c r="GI153" t="str">
        <f t="shared" si="257"/>
        <v/>
      </c>
      <c r="GJ153" t="str">
        <f t="shared" si="258"/>
        <v/>
      </c>
      <c r="GK153" t="str">
        <f>IF(D153="","",IFERROR(VLOOKUP(D153,УГО_спр,2,FALSE),IFERROR(VLOOKUP(AT153,УГО_спр,2,FALSE),IFERROR(VLOOKUP(LEFT(AT153,2),УГО_спр,2,FALSE),""))))</f>
        <v>Привод (двигатель)</v>
      </c>
      <c r="GL153" t="str">
        <f>IF(D153="","",IF(OR(GK153="",GK153=0),"BOX",IFERROR(IF(VLOOKUP(GK153,УГО_блоки,3,FALSE)&amp;""&lt;&gt;"",VLOOKUP(GK153,УГО_блоки,3,FALSE),VLOOKUP(GK153,УГО_блоки,2,FALSE)),GK153)))</f>
        <v>MOTOR</v>
      </c>
      <c r="GM153">
        <f t="shared" si="259"/>
        <v>1</v>
      </c>
      <c r="GN153" t="str">
        <f>IF(EP153="","",IF(COUNTIF(EP$3:EP153,EP153)=1,MAX(GN$2:GN152)+1,""))</f>
        <v/>
      </c>
      <c r="GO153" t="str">
        <f>IF(AF153="","",IF(COUNTIF(AF$3:AF153,AF153)+COUNTIF(AG$2:AG152,AF153)+COUNTIF(AH$2:AH152,AF153)=1,MAX(GO$2:GQ152)+1,""))</f>
        <v/>
      </c>
      <c r="GP153" t="str">
        <f>IF(AG153="","",IF(COUNTIF(AF$3:AF153,AG153)+COUNTIF(AG$3:AG153,AG153)+COUNTIF(AH$2:AH152,AG153)=1,MAX(GO$2:GQ152,GO153)+1,""))</f>
        <v/>
      </c>
      <c r="GQ153" t="str">
        <f>IF(AH153="","",IF(COUNTIF(AF$3:AF153,AH153)+COUNTIF(AG$3:AG153,AH153)+COUNTIF(AH$3:AH153,AH153)=1,MAX(GO$2:GQ152,GO153,GP153)+1,""))</f>
        <v/>
      </c>
      <c r="GR153" t="str">
        <f t="shared" si="260"/>
        <v>3х2,5</v>
      </c>
      <c r="GS153" t="str">
        <f>IF(GR153="","",IF(COUNTIF(GR$3:GR153,GR153)=1,MAX(GS$2:GS152)+1,""))</f>
        <v/>
      </c>
      <c r="GT153" t="str">
        <f>IF(ES153="","",COUNTIF(ES$3:ES153,"?*"))</f>
        <v/>
      </c>
      <c r="GU153" t="str">
        <f>IF(OR(ES153="",EU153=""),"",IF(COUNTIFS(ES$3:ES153,"?*",EU$3:EU153,EU153)=1,MAX(GU$2:GU152)+1,""))</f>
        <v/>
      </c>
      <c r="GV153">
        <f t="shared" si="261"/>
        <v>0</v>
      </c>
      <c r="GW153">
        <f>IF(D153="","",COUNTIF(D$3:D153,"?*"))</f>
        <v>151</v>
      </c>
      <c r="GX153">
        <f>IF(EX153&lt;&gt;1,0,_xlfn.LET(_xlpm.k,MAX(IFERROR(--VLOOKUP(D153,УГО_спр,5,FALSE),0),IFERROR(--VLOOKUP(AT153,УГО_спр,5,FALSE),0),IFERROR(--VLOOKUP(LEFT(AT153,2),УГО_спр,5,FALSE),0)),IF(_xlpm.k&gt;0,_xlpm.k,IF(IFERROR(--LEFT(SUBSTITUTE(GR153,"x","х"),FIND("х",SUBSTITUTE(GR153,"x","х"))-1),3)&gt;3,Каталог!$S$9,1))))</f>
        <v>1</v>
      </c>
      <c r="GY153">
        <f t="shared" si="262"/>
        <v>0</v>
      </c>
    </row>
    <row r="154" spans="1:207" x14ac:dyDescent="0.3">
      <c r="A154" t="s">
        <v>758</v>
      </c>
      <c r="B154">
        <v>2</v>
      </c>
      <c r="C154" t="str">
        <f>IF(BD154="","",IF(BE154="вводной узел","узел ","")&amp;"л."&amp;(INT((BD154-1)/Столбцов_на_лист)+1)&amp;" / "&amp;(MOD(BD154-1,Столбцов_на_лист)+1))</f>
        <v>узел л.1 / 2</v>
      </c>
      <c r="D154" t="s">
        <v>746</v>
      </c>
      <c r="E154" s="133" t="s">
        <v>58</v>
      </c>
      <c r="G154" t="s">
        <v>18</v>
      </c>
      <c r="H154">
        <v>1</v>
      </c>
      <c r="I154">
        <v>3</v>
      </c>
      <c r="J154">
        <v>400</v>
      </c>
      <c r="K154" t="s">
        <v>551</v>
      </c>
      <c r="O154" t="s">
        <v>1298</v>
      </c>
      <c r="U154" t="s">
        <v>11</v>
      </c>
      <c r="V154">
        <v>5</v>
      </c>
      <c r="W154">
        <v>4</v>
      </c>
      <c r="X154">
        <v>20</v>
      </c>
      <c r="AL154" t="s">
        <v>1301</v>
      </c>
      <c r="AR154" t="str">
        <f t="shared" si="176"/>
        <v/>
      </c>
      <c r="AS154" cm="1">
        <f t="array" ref="AS154">ROW()-ROW(Линии[#Headers])</f>
        <v>152</v>
      </c>
      <c r="AT154" t="str">
        <f t="shared" si="177"/>
        <v>Ввод</v>
      </c>
      <c r="AU154" t="str">
        <f t="shared" si="178"/>
        <v>1</v>
      </c>
      <c r="AV154" t="str">
        <f t="shared" si="179"/>
        <v>1</v>
      </c>
      <c r="AW154" t="str">
        <f t="shared" si="180"/>
        <v/>
      </c>
      <c r="AX154" t="str">
        <f t="shared" si="181"/>
        <v/>
      </c>
      <c r="AY154" t="str">
        <f>IF(D154="","",IF(ISERROR(SEARCH(".",D154)),IFERROR(VLOOKUP(D154,Потребители_обозначение,2,FALSE)&amp;"",""),IFERROR(IF(VLOOKUP(AT154,Потребители_обозначение,4,FALSE)=1,VLOOKUP(AT154,Потребители_обозначение,2,FALSE)&amp;" "&amp;VLOOKUP(AV154,Этаж_обозначение,2,FALSE)&amp;" Пом. №"&amp;AX154,VLOOKUP(AT154,Потребители_обозначение,2,FALSE)&amp;" Шлейф №"&amp;AV154),IFERROR(VLOOKUP(D154,Потребители_обозначение,2,FALSE),""))))</f>
        <v>Вводной кабель Шлейф №1</v>
      </c>
      <c r="AZ154" t="str">
        <f t="shared" si="182"/>
        <v>Ввод</v>
      </c>
      <c r="BA154" t="str">
        <f>IF(F154&lt;&gt;"",F154,IF(AND(D154&lt;&gt;"",D154&lt;&gt;A154,ISNUMBER(_xlfn.XMATCH(D154,Щиты[Щит]))),D154,""))</f>
        <v/>
      </c>
      <c r="BB154">
        <f>IFERROR(_xlfn.XMATCH(A154,Щиты[Щит]),0)</f>
        <v>8</v>
      </c>
      <c r="BC154">
        <f>IFERROR(N(_xlfn.XLOOKUP(A154,Щиты[Щит],Щиты[Мест под вводной узел])),15)</f>
        <v>7</v>
      </c>
      <c r="BD154">
        <f t="shared" si="183"/>
        <v>2</v>
      </c>
      <c r="BE154" t="str">
        <f t="shared" si="184"/>
        <v>вводной узел</v>
      </c>
      <c r="BF154">
        <f>IF(D154="","",IF(BA154&lt;&gt;"",IFERROR(_xlfn.XLOOKUP(BA154,Щиты[Щит],Щиты[Руст, кВт]),0),N(G154)))</f>
        <v>0</v>
      </c>
      <c r="BG154">
        <f>IF(J154&lt;&gt;"",J154,IF(D154="","",IFERROR(IF(VLOOKUP(AT154,Потребители_обозначение,8,FALSE)=0,"",VLOOKUP(AT154,Потребители_обозначение,8,FALSE)),"")))</f>
        <v>400</v>
      </c>
      <c r="BH154">
        <f>IF(I154&lt;&gt;"",I154,IF(D154="","",IFERROR(IF(VLOOKUP(AT154,Потребители_обозначение,9,FALSE)=0,"",VLOOKUP(AT154,Потребители_обозначение,9,FALSE)),"")))</f>
        <v>3</v>
      </c>
      <c r="BI154" t="str">
        <f>IF(U154&lt;&gt;"",U154,IF(D154="","",IFERROR(IF(VLOOKUP(AT154,Потребители_обозначение,6,FALSE)=0,"",VLOOKUP(AT154,Потребители_обозначение,6,FALSE)),"")))</f>
        <v>мс</v>
      </c>
      <c r="BJ154">
        <f>IF(V154&lt;&gt;"",V154,IF(D154="","",IFERROR(IF(VLOOKUP(AT154,Потребители_обозначение,7,FALSE)=0,"",VLOOKUP(AT154,Потребители_обозначение,7,FALSE)),"")))</f>
        <v>5</v>
      </c>
      <c r="BK154">
        <f>IF(W154&lt;&gt;"",W154,IF(D154="","",IFERROR(IF(VLOOKUP(AT154,Потребители_обозначение,10,FALSE)=0,"",VLOOKUP(AT154,Потребители_обозначение,10,FALSE)),"")))</f>
        <v>4</v>
      </c>
      <c r="BL154">
        <f>IFERROR(VLOOKUP(AT154,Потребители_обозначение,5,FALSE),0)</f>
        <v>1</v>
      </c>
      <c r="BM154" cm="1">
        <f t="array" ref="BM154">IF(D154="","",IF(BA154&lt;&gt;"",IFERROR(_xlfn.XLOOKUP(BA154,Щиты[Щит],Щиты[cos φ]),0.95),IF(ISNUMBER(M154),M154,IFERROR(IF(BL154=2,_xlfn.IFS(BH154=3,VLOOKUP(BF154,Справочная_двигатели,8,FALSE),BH154=1,VLOOKUP(BF154,Справочная_двигатели,10,TRUE)),IF(AND(Методика="нормы 2026",CN154="Сил"),0.8,0.95)),0.95))))</f>
        <v>0.95</v>
      </c>
      <c r="BN154" cm="1">
        <f t="array" ref="BN154">IF(D154="","",IF(BA154&lt;&gt;"",IFERROR(_xlfn.XLOOKUP(BA154,Щиты[Щит],Щиты[Iр, А]),""),IFERROR(_xlfn.IFS(BH154=1,BF154/((Uн_лин/SQRT(3))*BM154),BH154=3,BF154/(SQRT(3)*Uн_лин*BM154)),"")))</f>
        <v>0</v>
      </c>
      <c r="BO154">
        <f>IF(D154="","",IF(N(X154)=0,IFERROR(VLOOKUP(BN154,Автомат_номиналы,2,TRUE),""),X154))</f>
        <v>20</v>
      </c>
      <c r="BP154">
        <f t="shared" si="185"/>
        <v>0.92</v>
      </c>
      <c r="BQ154">
        <f>IF(ISNUMBER(Y154),Y154,К_прокл)</f>
        <v>1</v>
      </c>
      <c r="BR154">
        <f t="shared" si="186"/>
        <v>3</v>
      </c>
      <c r="BS154" cm="1">
        <f t="array" ref="BS154">IF(D154="","",IF(N(BK154)&lt;&gt;0,BK154,IFERROR(_xlfn.LET(_xlpm.need,BO154/(BP154*BQ154),_xlpm.t,CHOOSE(BR154,Iдоп_1ж,Iдоп_2ж,Iдоп_3ж),_xlpm.k,_xlfn.XMATCH(_xlpm.need,_xlpm.t,1),IF(ISNA(_xlpm.k),"Не исп",INDEX(Iдоп_S,_xlpm.k))),"Не исп")))</f>
        <v>4</v>
      </c>
      <c r="BT154">
        <f>IFERROR(VLOOKUP(BS154,Кабель_сопротивление,3,FALSE),"")</f>
        <v>2.2499999999999999E-2</v>
      </c>
      <c r="BU154">
        <f>IFERROR(VLOOKUP(BS154,Кабель_сопротивление,2,FALSE),"")</f>
        <v>9.5000000000000001E-2</v>
      </c>
      <c r="BV154" t="str">
        <f t="shared" si="187"/>
        <v/>
      </c>
      <c r="BW154" t="str">
        <f>IF(D154="","",IFERROR(IF(VLOOKUP(AT154,Потребители_обозначение,4,FALSE)=1,VLOOKUP(AT154,Потребители_обозначение,3,FALSE)*(H154*2-1)+BV154+VLOOKUP(AV154,Этаж_обозначение,3,FALSE)+VLOOKUP(AV154,Этаж_обозначение,4,FALSE),VLOOKUP(AT154,Потребители_обозначение,3,FALSE)*(H154*2-1)+BV154),BV154))</f>
        <v/>
      </c>
      <c r="BX154" t="str">
        <f t="shared" si="188"/>
        <v/>
      </c>
      <c r="BY154" t="str">
        <f t="shared" si="189"/>
        <v/>
      </c>
      <c r="BZ154">
        <f t="shared" si="190"/>
        <v>1</v>
      </c>
      <c r="CA154">
        <f t="shared" si="191"/>
        <v>0.31</v>
      </c>
      <c r="CB154" t="str">
        <f t="shared" si="192"/>
        <v/>
      </c>
      <c r="CC154" t="str">
        <f>IFERROR(ROUNDUP(CB154/((Uн_лин/SQRT(3))*1000)*100,2),"")</f>
        <v/>
      </c>
      <c r="CD154" t="str">
        <f>IF(ISNUMBER(CC154),CC154+IFERROR(_xlfn.XLOOKUP(A154,Щиты[Щит],Щиты[ΔU до шин, %]),0),"")</f>
        <v/>
      </c>
      <c r="CE154">
        <f>IF(D154="","",IF(IFERROR(VLOOKUP(AT154,УГО_спр,2,FALSE),"")="Светильник",3,4)+IF(Методика="нормы 2026",MIN(0.5,MAX(0,N(BW154)-100)*0.005),0))</f>
        <v>4</v>
      </c>
      <c r="CF154" t="str">
        <f>IFERROR(VLOOKUP(BI154,Кабель_обозначение,2,FALSE),"")</f>
        <v>ВВГнг(А)-LS</v>
      </c>
      <c r="CG154" t="str">
        <f>IFERROR(IF(VLOOKUP(BI154,Кабель_обозначение,3,FALSE)=1,CF154&amp;" ("&amp;BJ154&amp;"х"&amp;BS154&amp;")",CF154),"")</f>
        <v>ВВГнг(А)-LS (5х4)</v>
      </c>
      <c r="CH154" t="str">
        <f t="shared" si="193"/>
        <v/>
      </c>
      <c r="CI154" t="str">
        <f>IFERROR(2*ρкз_Cu*BW154/BS154,"")</f>
        <v/>
      </c>
      <c r="CJ154">
        <f t="shared" si="194"/>
        <v>0</v>
      </c>
      <c r="CK154" t="str">
        <f>IFERROR(IF(OR(D154="",NOT(ISNUMBER(BS154)),N(BW154)=0),"",_xlfn.XLOOKUP(A154,Щиты[Щит],Щиты[Zпетли на шинах, Ом])+CI154),"")</f>
        <v/>
      </c>
      <c r="CL154" t="str">
        <f>IF(ISNUMBER(CK154),c_min*(Uн_лин*1000/SQRT(3))/CK154,"")</f>
        <v/>
      </c>
      <c r="CM154" t="str">
        <f>IFERROR(IF(OR(D154="",NOT(ISNUMBER(BS154))),"",1.05*(Uн_лин*1000/SQRT(3))/(_xlfn.XLOOKUP(A154,Щиты[Щит],Щиты[Zmax на шинах, Ом])+CJ154)/1000),"")</f>
        <v/>
      </c>
      <c r="CN154" t="str">
        <f>IF(D154="","",IF(BA154&lt;&gt;"","Щит",IF(K154&lt;&gt;"",K154,IF(ISNUMBER(L154),"Сил",IF(IFERROR(_xlfn.XLOOKUP(AT154,Коды_код,Коды_группа)&amp;"","")="","Быт",_xlfn.XLOOKUP(AT154,Коды_код,Коды_группа)&amp;"")))))</f>
        <v>Нет</v>
      </c>
      <c r="CO154">
        <f>IF(CN154="Щит","щит",IF(CN154="","",IF(CN154="Быт",IFERROR(_xlfn.XLOOKUP(A154,Щиты[Щит],Щиты[Кс быт]),1),IF(CN154="Сил",IF(ISNUMBER(L154),L154,IF(Методика="нормы 2026",IFERROR(_xlfn.XLOOKUP(A154,Щиты[Щит],Щиты[Кс силовых (табл. 7.5)]),1),1)),IF(OR(CN154="Пост",CN154="Отоп"),1,IF(CN154="ВНГ",0.7,0))))))</f>
        <v>0</v>
      </c>
      <c r="CP154">
        <f t="shared" si="195"/>
        <v>1</v>
      </c>
      <c r="CQ154">
        <f t="shared" si="196"/>
        <v>0</v>
      </c>
      <c r="CR154">
        <f t="shared" si="197"/>
        <v>0</v>
      </c>
      <c r="CS154">
        <f t="shared" si="198"/>
        <v>0</v>
      </c>
      <c r="CT154">
        <f t="shared" si="199"/>
        <v>0</v>
      </c>
      <c r="CU154">
        <f t="shared" si="200"/>
        <v>0</v>
      </c>
      <c r="CV154">
        <f t="shared" si="201"/>
        <v>0</v>
      </c>
      <c r="CW154">
        <f t="shared" si="202"/>
        <v>0</v>
      </c>
      <c r="CX154">
        <f t="shared" si="203"/>
        <v>0</v>
      </c>
      <c r="CY154">
        <f t="shared" si="204"/>
        <v>0</v>
      </c>
      <c r="CZ154" t="str">
        <f t="shared" si="205"/>
        <v>L1,L2,L3</v>
      </c>
      <c r="DA154" cm="1">
        <f t="array" ref="DA154">IFERROR(IF(BL154=2,_xlfn.IFS(BH154=3,VLOOKUP(BF154,Справочная_двигатели,3,FALSE),BH154=1,VLOOKUP(BF154,Справочная_двигатели,5,TRUE)),0),0)</f>
        <v>0</v>
      </c>
      <c r="DB154">
        <f>IFERROR(IF(BL154=3,VLOOKUP(BF154,Справочная_ЛЭД,2,TRUE),0),0)</f>
        <v>0</v>
      </c>
      <c r="DC154">
        <f t="shared" si="206"/>
        <v>0</v>
      </c>
      <c r="DD154" t="str">
        <f t="shared" si="207"/>
        <v>L1,L2,L3</v>
      </c>
      <c r="DE154" t="str" cm="1">
        <f t="array" ref="DE154">IF(D154="","",IFERROR(INDEX({"I особая","I","II","III"},MATCH(TRIM(AA154&amp;""),{"I особая","I","II","III"},0)),"III"))</f>
        <v>III</v>
      </c>
      <c r="DF154" t="str">
        <f>IF(D154="","",IF(TRIM(AB154&amp;"")&lt;&gt;"",IF(LOWER(TRIM(AB154&amp;""))="да","да","нет"),IF(IFERROR(_xlfn.XLOOKUP(AT154,Коды_код,Коды_пожарная),"")="да","да","нет")))</f>
        <v>нет</v>
      </c>
      <c r="DG154" t="str">
        <f t="shared" si="208"/>
        <v/>
      </c>
      <c r="DH154" t="str">
        <f t="shared" si="209"/>
        <v>основная</v>
      </c>
      <c r="DI154">
        <f t="shared" si="210"/>
        <v>1</v>
      </c>
      <c r="DJ154" t="str" cm="1">
        <f t="array" ref="DJ154">IF(D154="","",_xlfn.LET(_xlpm.t,IFERROR(_xlfn.XLOOKUP(1,(Шины[Шина]=DH154)*(((Шины[Щит]=A154)+(Шины[Щит]=""))&gt;0),Шины[Тип]),"")&amp;"",IF(_xlpm.t&lt;&gt;"",_xlpm.t,IF(ISNUMBER(SEARCH("ИБП",DH154)),"ИБП",IF(ISNUMBER(SEARCH("ДГУ",DH154)),"ДГУ","Ввод "&amp;DI154)))))</f>
        <v>Ввод 1</v>
      </c>
      <c r="DK154" t="str">
        <f t="shared" si="211"/>
        <v>Ввод 1</v>
      </c>
      <c r="DL154" t="str">
        <f>IF(D154="","",IF(OR(DJ154="ИБП",DJ154="ДГУ"),"I особая",IF(DJ154="Одиночная","III",_xlfn.XLOOKUP(A154,Щиты[Щит],Щиты[Категория шины «Ввод»],"III"))))</f>
        <v>II</v>
      </c>
      <c r="DM154">
        <f>IF(D154="",0,IFERROR(MATCH(DE154,{"III","II","I","I особая"},0),1))</f>
        <v>1</v>
      </c>
      <c r="DN154">
        <f t="shared" si="212"/>
        <v>1</v>
      </c>
      <c r="DO154" t="str">
        <f>IF(D154="","",IF(DM154&gt;IFERROR(MATCH(DL154,{"III","II","I","I особая"},0),1),"НЕ ОБЕСПЕЧЕНА","ОК"))</f>
        <v>ОК</v>
      </c>
      <c r="DP154" t="str">
        <f>IF(A154="","",_xlfn.XLOOKUP(A154,Щиты[Щит],Щиты[Путь],""))</f>
        <v>|ГРЩ-ЖД|ЩР-001|</v>
      </c>
      <c r="DQ154" t="str">
        <f>IF(D154="","",IF(Z154&lt;&gt;"",Z154,IF(IFERROR(_xlfn.XLOOKUP(AT154,Коды_код,Коды_вид)&amp;"","")="","Прочее",_xlfn.XLOOKUP(AT154,Коды_код,Коды_вид)&amp;"")))</f>
        <v>Прочее</v>
      </c>
      <c r="DR154">
        <f>IF(BD154="","",INT((BD154-1)/Столбцов_на_лист)+1)</f>
        <v>1</v>
      </c>
      <c r="DS154" t="str">
        <f t="shared" si="213"/>
        <v/>
      </c>
      <c r="DT154">
        <f t="shared" si="214"/>
        <v>0</v>
      </c>
      <c r="DU154">
        <f t="shared" si="215"/>
        <v>0</v>
      </c>
      <c r="DV154">
        <f t="shared" si="216"/>
        <v>3</v>
      </c>
      <c r="DW154">
        <f>IF(AT154="",0,_xlfn.LET(_xlpm.v,IFERROR(VLOOKUP(D154,УГО_спр,3,FALSE),IFERROR(VLOOKUP(AT154,УГО_спр,3,FALSE),IFERROR(VLOOKUP(LEFT(AT154,2),УГО_спр,3,FALSE),""))),IF(_xlpm.v="да",30,IF(ISNUMBER(_xlpm.v),_xlpm.v,0))))</f>
        <v>0</v>
      </c>
      <c r="DX154">
        <f t="shared" si="217"/>
        <v>0</v>
      </c>
      <c r="DY154" t="str">
        <f>IF(BD154="","",IF(AD154&lt;&gt;"",COUNTIFS(A$3:A154,A154,AD$3:AD154,"?*"),IF(OR(OR(AS154=1,A154&lt;&gt;A153),AL154="вручную"),"",IF(AS154=1,"",DZ153))))</f>
        <v/>
      </c>
      <c r="DZ154" t="str">
        <f t="shared" si="218"/>
        <v/>
      </c>
      <c r="EA154">
        <f>IF(D154="",0,MAX(IFERROR(--X154,0),IFERROR(--VLOOKUP(D154,УГО_спр,4,FALSE),IFERROR(--VLOOKUP(AT154,УГО_спр,4,FALSE),IFERROR(--VLOOKUP(LEFT(AT154,2),УГО_спр,4,FALSE),0)))))</f>
        <v>20</v>
      </c>
      <c r="EB154">
        <f>IF(D154="","",IFERROR(LOOKUP(INDEX(CHOOSE(BR154,Iдоп_1ж,Iдоп_2ж,Iдоп_3ж),MATCH(BS154,Iдоп_S,0))*BP154*BQ154,{6,10,16,20,25,32,40,50,63,80,100,125,160,200,250,315,400,500,630}),""))</f>
        <v>32</v>
      </c>
      <c r="EC154" t="str">
        <f>IF(AD154="","",SUMIFS(Линии[_Ток схемы],Линии[_гр.],DY154,Линии[Щит],A154,Линии[_в кабель выше],0))</f>
        <v/>
      </c>
      <c r="ED154" t="str">
        <f>IF(AD154="","",IFERROR(VLOOKUP(EC154,Автомат_номиналы,2,TRUE),""))</f>
        <v/>
      </c>
      <c r="EE154" t="str">
        <f>IF(AD154="","",MAX(N(ED154),_xlfn.MAXIFS(Линии[_мин. по типу],Линии[_гр.],DY154,Линии[Щит],A154)))</f>
        <v/>
      </c>
      <c r="EF154" t="str">
        <f>IF(AD154="","",_xlfn.MINIFS(Линии[_макс. автомат по кабелю],Линии[_гр.],DY154,Линии[Щит],A154))</f>
        <v/>
      </c>
      <c r="EG154" t="str">
        <f>IF(AD154="","",MAX(1,_xlfn.MAXIFS(Линии[_фаз],Линии[_гр.],DY154,Линии[Щит],A154)))</f>
        <v/>
      </c>
      <c r="EH154" t="str">
        <f>IF(AD154="","",IF(AND(AD154&lt;&gt;"авто",AD154&lt;&gt;"+"),IF(ISNUMBER(SEARCH("мА",AD154)),IFERROR(--TRIM(RIGHT(SUBSTITUTE(LEFT(AD154,SEARCH("мА",AD154)-1)," ",REPT(" ",9)),6)),30),0),IF(AE154="нет",0,IF(ISNUMBER(AE154),AE154,IF(AE154="да",30,_xlfn.MINIFS(Линии[_дифзащита по коду, мА],Линии[_гр.],DY154,Линии[Щит],A154,Линии[_дифзащита по коду, мА],"&gt;0"))))))</f>
        <v/>
      </c>
      <c r="EI154" t="str">
        <f t="shared" si="219"/>
        <v/>
      </c>
      <c r="EJ154" t="str">
        <f t="shared" si="220"/>
        <v/>
      </c>
      <c r="EK154" t="str">
        <f t="shared" si="221"/>
        <v/>
      </c>
      <c r="EL154" t="str">
        <f t="shared" si="222"/>
        <v/>
      </c>
      <c r="EM154">
        <f t="shared" si="223"/>
        <v>0</v>
      </c>
      <c r="EN154" t="str">
        <f>IF(AD154="","",IF(EM154=1,MAX(EE154,Мин_автомат_БП),EE154))</f>
        <v/>
      </c>
      <c r="EO154" t="str">
        <f t="shared" si="224"/>
        <v/>
      </c>
      <c r="EP154" t="str">
        <f t="shared" si="225"/>
        <v/>
      </c>
      <c r="EQ154" t="str">
        <f t="shared" si="226"/>
        <v/>
      </c>
      <c r="ER154" t="str">
        <f>IF(OR(AI154="",AI154="-"),"",IFERROR(VLOOKUP(AI154,Модули_спр,2,FALSE),"R"))</f>
        <v/>
      </c>
      <c r="ES154" t="str">
        <f>IF(ER154="","",ER154&amp;"."&amp;COUNTIFS(A$3:A154,A154,ER$3:ER154,ER154))</f>
        <v/>
      </c>
      <c r="ET154" t="str">
        <f t="shared" si="227"/>
        <v/>
      </c>
      <c r="EU154" t="str">
        <f t="shared" si="228"/>
        <v/>
      </c>
      <c r="EV154" t="str">
        <f t="shared" si="229"/>
        <v/>
      </c>
      <c r="EW154" t="str">
        <f t="shared" si="230"/>
        <v/>
      </c>
      <c r="EX154">
        <f t="shared" si="231"/>
        <v>0</v>
      </c>
      <c r="EY154" t="str">
        <f>IF(AK154="нет","",IF(AK154&lt;&gt;"",AK154,IF(EX154=1,"XT"&amp;COUNTIFS(A$3:A154,A154,EX$3:EX154,1),"")))</f>
        <v/>
      </c>
      <c r="EZ154" t="str">
        <f t="shared" si="232"/>
        <v/>
      </c>
      <c r="FA154" t="str">
        <f t="shared" si="233"/>
        <v/>
      </c>
      <c r="FB154" t="str">
        <f t="shared" si="234"/>
        <v/>
      </c>
      <c r="FC154" t="str">
        <f>IF(OR(EV154="",ET154=""),"",IF(EV154&gt;IFERROR(VLOOKUP(EU154,Модули_спр,3,FALSE),99),"ЛИШНИЙ КАНАЛ",IF(AND(AJ154&lt;&gt;"=",COUNTIFS(Линии[_модуль гр.],ET154,Линии[Канал (итог)],EV154,Линии[Канал],"&lt;&gt;=",Линии[Щит],A154)&gt;1),"ДУБЛЬ КАНАЛА","")))</f>
        <v/>
      </c>
      <c r="FD154" t="str">
        <f t="shared" si="235"/>
        <v/>
      </c>
      <c r="FE154" t="str">
        <f t="shared" si="236"/>
        <v/>
      </c>
      <c r="FF154" t="str">
        <f t="shared" si="237"/>
        <v/>
      </c>
      <c r="FG154" t="str">
        <f t="shared" si="238"/>
        <v/>
      </c>
      <c r="FH154" t="str">
        <f t="shared" si="239"/>
        <v/>
      </c>
      <c r="FI154">
        <f t="shared" si="240"/>
        <v>10</v>
      </c>
      <c r="FJ154" t="str">
        <f t="shared" si="241"/>
        <v/>
      </c>
      <c r="FK154" t="str">
        <f>IF(AND(D154="",EZ154=""),"",_xlfn.TEXTJOIN("; ",TRUE,IF(AND(D154&lt;&gt;"",DD154=""),"нет фазы",""),IF(AND(D154&lt;&gt;"",N(DT154)=0,CN154&lt;&gt;"Нет"),"нет мощности",""),IF(AND(EY154&lt;&gt;"",COUNTIFS(Линии[Щит],A154,Линии[Клемма (итог)],EY154)&gt;1),"дубль клеммы "&amp;EY154,""),IF(AND(FB154&lt;&gt;"",FB154&lt;&gt;"ok"),FB154,""),IF(FC154&lt;&gt;"",FC154,""),IF(AND(ISNUMBER(SEARCH("(5х",DS154)),N(DV154)=1),"5 жил на 1 фазе",""),IF(AND(AT154="R",AD154&lt;&gt;"",OR(N(EH154)=0,N(EH154)&gt;30)),"розетка без дифзащиты до 30 мА",""),IFERROR(IF(AND(ISNUMBER(CD154),CD154&gt;CE154),"потери "&amp;FIXED(CD154,1)&amp;" % &gt; "&amp;CE154&amp;" %",""),""),IFERROR(IF(LEFT(FJ154,4)="мало","Iкз мало — отключение &gt; 0,4 с",""),""),IF(AND(D154&lt;&gt;"",BD154=""),"не на схеме","")))</f>
        <v/>
      </c>
      <c r="FL154" t="str">
        <f>IF(AD154="","",_xlfn.LET(_xlpm.t,IFERROR(_xlfn.XLOOKUP(EP154,Каталог!$U$4:$U$500,Каталог!$G$4:$G$500),""),_xlpm.k,SEARCH("кА",_xlpm.t),IFERROR(--TRIM(RIGHT(SUBSTITUTE(MID(_xlpm.t,MAX(1,_xlpm.k-4),_xlpm.k-MAX(1,_xlpm.k-4))," ",REPT(" ",9)),5)),"")))</f>
        <v/>
      </c>
      <c r="FM154" t="str">
        <f>IF(OR(FL154="",AD154=""),"",IF(_xlfn.XLOOKUP(A154,Щиты[Щит],Щиты[Iкз max на шинах, кА],"")="","",IF(FL154&lt;_xlfn.XLOOKUP(A154,Щиты[Щит],Щиты[Iкз max на шинах, кА]),"Icu "&amp;FL154&amp;" кА &lt; Iкз max","ok")))</f>
        <v/>
      </c>
      <c r="FN154" t="str">
        <f t="shared" si="242"/>
        <v/>
      </c>
      <c r="FO154" t="str">
        <f t="shared" si="243"/>
        <v/>
      </c>
      <c r="FP154" t="str" cm="1">
        <f t="array" ref="FP154">IF(FO154="","",_xlfn.LET(_xlpm.nd,_xlfn.TEXTSPLIT(FO154,"|"),IF(COLUMNS(_xlpm.nd)&gt;1,A154&amp;"¦"&amp;INDEX(_xlpm.nd,1)&amp;"¦"&amp;INDEX(_xlpm.nd,2),"")))</f>
        <v/>
      </c>
      <c r="FQ154" t="str">
        <f t="shared" si="244"/>
        <v/>
      </c>
      <c r="FR154" t="str" cm="1">
        <f t="array" ref="FR154">IF(FO154="","",_xlfn.LET(_xlpm.nd,_xlfn.TEXTSPLIT(FO154,"|"),IF(COLUMNS(_xlpm.nd)&gt;2,A154&amp;"¦"&amp;INDEX(_xlpm.nd,2)&amp;"¦"&amp;INDEX(_xlpm.nd,3),"")))</f>
        <v/>
      </c>
      <c r="FS154" t="str">
        <f t="shared" si="245"/>
        <v/>
      </c>
      <c r="FT154" t="str" cm="1">
        <f t="array" ref="FT154">IF(FO154="","",_xlfn.LET(_xlpm.nd,_xlfn.TEXTSPLIT(FO154,"|"),IF(COLUMNS(_xlpm.nd)&gt;3,A154&amp;"¦"&amp;INDEX(_xlpm.nd,3)&amp;"¦"&amp;INDEX(_xlpm.nd,4),"")))</f>
        <v/>
      </c>
      <c r="FU154" t="str">
        <f t="shared" si="246"/>
        <v/>
      </c>
      <c r="FV154" t="str" cm="1">
        <f t="array" ref="FV154">IF(FO154="","",_xlfn.LET(_xlpm.nd,_xlfn.TEXTSPLIT(FO154,"|"),IF(COLUMNS(_xlpm.nd)&gt;4,A154&amp;"¦"&amp;INDEX(_xlpm.nd,4)&amp;"¦"&amp;INDEX(_xlpm.nd,5),"")))</f>
        <v/>
      </c>
      <c r="FW154" t="str">
        <f t="shared" si="247"/>
        <v/>
      </c>
      <c r="FX154" t="str" cm="1">
        <f t="array" ref="FX154">IF(FO154="","",_xlfn.LET(_xlpm.nd,_xlfn.TEXTSPLIT(FO154,"|"),IF(COLUMNS(_xlpm.nd)&gt;5,A154&amp;"¦"&amp;INDEX(_xlpm.nd,5)&amp;"¦"&amp;INDEX(_xlpm.nd,6),"")))</f>
        <v/>
      </c>
      <c r="FY154" t="str">
        <f t="shared" si="248"/>
        <v/>
      </c>
      <c r="FZ154" t="str" cm="1">
        <f t="array" ref="FZ154">IF(FO154="","",_xlfn.LET(_xlpm.nd,_xlfn.TEXTSPLIT(FO154,"|"),IF(COLUMNS(_xlpm.nd)&gt;6,A154&amp;"¦"&amp;INDEX(_xlpm.nd,6)&amp;"¦"&amp;INDEX(_xlpm.nd,7),"")))</f>
        <v/>
      </c>
      <c r="GA154" t="str">
        <f t="shared" si="249"/>
        <v/>
      </c>
      <c r="GB154" t="str">
        <f t="shared" si="250"/>
        <v/>
      </c>
      <c r="GC154" t="str">
        <f t="shared" si="251"/>
        <v/>
      </c>
      <c r="GD154">
        <f t="shared" si="252"/>
        <v>0</v>
      </c>
      <c r="GE154">
        <f t="shared" si="253"/>
        <v>0</v>
      </c>
      <c r="GF154">
        <f t="shared" si="254"/>
        <v>0</v>
      </c>
      <c r="GG154" t="str">
        <f t="shared" si="255"/>
        <v/>
      </c>
      <c r="GH154" t="str">
        <f t="shared" si="256"/>
        <v/>
      </c>
      <c r="GI154" t="str">
        <f t="shared" si="257"/>
        <v/>
      </c>
      <c r="GJ154" t="str">
        <f t="shared" si="258"/>
        <v/>
      </c>
      <c r="GK154">
        <f>IF(D154="","",IFERROR(VLOOKUP(D154,УГО_спр,2,FALSE),IFERROR(VLOOKUP(AT154,УГО_спр,2,FALSE),IFERROR(VLOOKUP(LEFT(AT154,2),УГО_спр,2,FALSE),""))))</f>
        <v>0</v>
      </c>
      <c r="GL154" t="str">
        <f>IF(D154="","",IF(OR(GK154="",GK154=0),"BOX",IFERROR(IF(VLOOKUP(GK154,УГО_блоки,3,FALSE)&amp;""&lt;&gt;"",VLOOKUP(GK154,УГО_блоки,3,FALSE),VLOOKUP(GK154,УГО_блоки,2,FALSE)),GK154)))</f>
        <v>BOX</v>
      </c>
      <c r="GM154">
        <f t="shared" si="259"/>
        <v>1</v>
      </c>
      <c r="GN154" t="str">
        <f>IF(EP154="","",IF(COUNTIF(EP$3:EP154,EP154)=1,MAX(GN$2:GN153)+1,""))</f>
        <v/>
      </c>
      <c r="GO154" t="str">
        <f>IF(AF154="","",IF(COUNTIF(AF$3:AF154,AF154)+COUNTIF(AG$2:AG153,AF154)+COUNTIF(AH$2:AH153,AF154)=1,MAX(GO$2:GQ153)+1,""))</f>
        <v/>
      </c>
      <c r="GP154" t="str">
        <f>IF(AG154="","",IF(COUNTIF(AF$3:AF154,AG154)+COUNTIF(AG$3:AG154,AG154)+COUNTIF(AH$2:AH153,AG154)=1,MAX(GO$2:GQ153,GO154)+1,""))</f>
        <v/>
      </c>
      <c r="GQ154" t="str">
        <f>IF(AH154="","",IF(COUNTIF(AF$3:AF154,AH154)+COUNTIF(AG$3:AG154,AH154)+COUNTIF(AH$3:AH154,AH154)=1,MAX(GO$2:GQ153,GO154,GP154)+1,""))</f>
        <v/>
      </c>
      <c r="GR154" t="str">
        <f t="shared" si="260"/>
        <v/>
      </c>
      <c r="GS154" t="str">
        <f>IF(GR154="","",IF(COUNTIF(GR$3:GR154,GR154)=1,MAX(GS$2:GS153)+1,""))</f>
        <v/>
      </c>
      <c r="GT154" t="str">
        <f>IF(ES154="","",COUNTIF(ES$3:ES154,"?*"))</f>
        <v/>
      </c>
      <c r="GU154" t="str">
        <f>IF(OR(ES154="",EU154=""),"",IF(COUNTIFS(ES$3:ES154,"?*",EU$3:EU154,EU154)=1,MAX(GU$2:GU153)+1,""))</f>
        <v/>
      </c>
      <c r="GV154">
        <f t="shared" si="261"/>
        <v>0</v>
      </c>
      <c r="GW154">
        <f>IF(D154="","",COUNTIF(D$3:D154,"?*"))</f>
        <v>152</v>
      </c>
      <c r="GX154">
        <f>IF(EX154&lt;&gt;1,0,_xlfn.LET(_xlpm.k,MAX(IFERROR(--VLOOKUP(D154,УГО_спр,5,FALSE),0),IFERROR(--VLOOKUP(AT154,УГО_спр,5,FALSE),0),IFERROR(--VLOOKUP(LEFT(AT154,2),УГО_спр,5,FALSE),0)),IF(_xlpm.k&gt;0,_xlpm.k,IF(IFERROR(--LEFT(SUBSTITUTE(GR154,"x","х"),FIND("х",SUBSTITUTE(GR154,"x","х"))-1),3)&gt;3,Каталог!$S$9,1))))</f>
        <v>0</v>
      </c>
      <c r="GY154">
        <f t="shared" si="262"/>
        <v>0</v>
      </c>
    </row>
    <row r="155" spans="1:207" x14ac:dyDescent="0.3">
      <c r="A155" t="s">
        <v>758</v>
      </c>
      <c r="B155">
        <v>8</v>
      </c>
      <c r="C155" t="str">
        <f>IF(BD155="","",IF(BE155="вводной узел","узел ","")&amp;"л."&amp;(INT((BD155-1)/Столбцов_на_лист)+1)&amp;" / "&amp;(MOD(BD155-1,Столбцов_на_лист)+1))</f>
        <v>л.1 / 8</v>
      </c>
      <c r="D155" t="s">
        <v>1459</v>
      </c>
      <c r="E155" s="133" t="str">
        <f t="shared" ref="E131:E194" si="263">AY155</f>
        <v>Розеточная группа Подвальный этаж Пом. №001Б</v>
      </c>
      <c r="G155">
        <v>0.65999999999999992</v>
      </c>
      <c r="H155">
        <v>11</v>
      </c>
      <c r="I155">
        <v>1</v>
      </c>
      <c r="J155">
        <v>230</v>
      </c>
      <c r="K155" t="s">
        <v>566</v>
      </c>
      <c r="O155">
        <v>3</v>
      </c>
      <c r="P155">
        <v>63</v>
      </c>
      <c r="Q155">
        <v>0</v>
      </c>
      <c r="R155">
        <v>0</v>
      </c>
      <c r="S155">
        <v>126</v>
      </c>
      <c r="U155" t="s">
        <v>11</v>
      </c>
      <c r="V155">
        <v>3</v>
      </c>
      <c r="W155">
        <v>2.5</v>
      </c>
      <c r="X155">
        <v>16</v>
      </c>
      <c r="Z155" t="s">
        <v>565</v>
      </c>
      <c r="AA155" t="s">
        <v>818</v>
      </c>
      <c r="AD155" t="s">
        <v>517</v>
      </c>
      <c r="AR155" t="str">
        <f t="shared" si="176"/>
        <v>потери 4,4 % &gt; 4 %</v>
      </c>
      <c r="AS155" cm="1">
        <f t="array" ref="AS155">ROW()-ROW(Линии[#Headers])</f>
        <v>153</v>
      </c>
      <c r="AT155" t="str">
        <f t="shared" si="177"/>
        <v>R</v>
      </c>
      <c r="AU155" t="str">
        <f t="shared" si="178"/>
        <v>00.001Б.1</v>
      </c>
      <c r="AV155" t="str">
        <f t="shared" si="179"/>
        <v>00</v>
      </c>
      <c r="AW155" t="str">
        <f t="shared" si="180"/>
        <v>001Б.1</v>
      </c>
      <c r="AX155" t="str">
        <f t="shared" si="181"/>
        <v>001Б</v>
      </c>
      <c r="AY155" t="str">
        <f>IF(D155="","",IF(ISERROR(SEARCH(".",D155)),IFERROR(VLOOKUP(D155,Потребители_обозначение,2,FALSE)&amp;"",""),IFERROR(IF(VLOOKUP(AT155,Потребители_обозначение,4,FALSE)=1,VLOOKUP(AT155,Потребители_обозначение,2,FALSE)&amp;" "&amp;VLOOKUP(AV155,Этаж_обозначение,2,FALSE)&amp;" Пом. №"&amp;AX155,VLOOKUP(AT155,Потребители_обозначение,2,FALSE)&amp;" Шлейф №"&amp;AV155),IFERROR(VLOOKUP(D155,Потребители_обозначение,2,FALSE),""))))</f>
        <v>Розеточная группа Подвальный этаж Пом. №001Б</v>
      </c>
      <c r="AZ155" t="str">
        <f t="shared" si="182"/>
        <v>Розеточная группа Подвальный этаж Пом. №001Б</v>
      </c>
      <c r="BA155" t="str">
        <f>IF(F155&lt;&gt;"",F155,IF(AND(D155&lt;&gt;"",D155&lt;&gt;A155,ISNUMBER(_xlfn.XMATCH(D155,Щиты[Щит]))),D155,""))</f>
        <v/>
      </c>
      <c r="BB155">
        <f>IFERROR(_xlfn.XMATCH(A155,Щиты[Щит]),0)</f>
        <v>8</v>
      </c>
      <c r="BC155">
        <f>IFERROR(N(_xlfn.XLOOKUP(A155,Щиты[Щит],Щиты[Мест под вводной узел])),15)</f>
        <v>7</v>
      </c>
      <c r="BD155">
        <f t="shared" si="183"/>
        <v>8</v>
      </c>
      <c r="BE155" t="str">
        <f t="shared" si="184"/>
        <v>линии</v>
      </c>
      <c r="BF155">
        <f>IF(D155="","",IF(BA155&lt;&gt;"",IFERROR(_xlfn.XLOOKUP(BA155,Щиты[Щит],Щиты[Руст, кВт]),0),N(G155)))</f>
        <v>0.65999999999999992</v>
      </c>
      <c r="BG155">
        <f>IF(J155&lt;&gt;"",J155,IF(D155="","",IFERROR(IF(VLOOKUP(AT155,Потребители_обозначение,8,FALSE)=0,"",VLOOKUP(AT155,Потребители_обозначение,8,FALSE)),"")))</f>
        <v>230</v>
      </c>
      <c r="BH155">
        <f>IF(I155&lt;&gt;"",I155,IF(D155="","",IFERROR(IF(VLOOKUP(AT155,Потребители_обозначение,9,FALSE)=0,"",VLOOKUP(AT155,Потребители_обозначение,9,FALSE)),"")))</f>
        <v>1</v>
      </c>
      <c r="BI155" t="str">
        <f>IF(U155&lt;&gt;"",U155,IF(D155="","",IFERROR(IF(VLOOKUP(AT155,Потребители_обозначение,6,FALSE)=0,"",VLOOKUP(AT155,Потребители_обозначение,6,FALSE)),"")))</f>
        <v>мс</v>
      </c>
      <c r="BJ155">
        <f>IF(V155&lt;&gt;"",V155,IF(D155="","",IFERROR(IF(VLOOKUP(AT155,Потребители_обозначение,7,FALSE)=0,"",VLOOKUP(AT155,Потребители_обозначение,7,FALSE)),"")))</f>
        <v>3</v>
      </c>
      <c r="BK155">
        <f>IF(W155&lt;&gt;"",W155,IF(D155="","",IFERROR(IF(VLOOKUP(AT155,Потребители_обозначение,10,FALSE)=0,"",VLOOKUP(AT155,Потребители_обозначение,10,FALSE)),"")))</f>
        <v>2.5</v>
      </c>
      <c r="BL155">
        <f>IFERROR(VLOOKUP(AT155,Потребители_обозначение,5,FALSE),0)</f>
        <v>1</v>
      </c>
      <c r="BM155" cm="1">
        <f t="array" ref="BM155">IF(D155="","",IF(BA155&lt;&gt;"",IFERROR(_xlfn.XLOOKUP(BA155,Щиты[Щит],Щиты[cos φ]),0.95),IF(ISNUMBER(M155),M155,IFERROR(IF(BL155=2,_xlfn.IFS(BH155=3,VLOOKUP(BF155,Справочная_двигатели,8,FALSE),BH155=1,VLOOKUP(BF155,Справочная_двигатели,10,TRUE)),IF(AND(Методика="нормы 2026",CN155="Сил"),0.8,0.95)),0.95))))</f>
        <v>0.95</v>
      </c>
      <c r="BN155" cm="1">
        <f t="array" ref="BN155">IF(D155="","",IF(BA155&lt;&gt;"",IFERROR(_xlfn.XLOOKUP(BA155,Щиты[Щит],Щиты[Iр, А]),""),IFERROR(_xlfn.IFS(BH155=1,BF155/((Uн_лин/SQRT(3))*BM155),BH155=3,BF155/(SQRT(3)*Uн_лин*BM155)),"")))</f>
        <v>3.008298771040681</v>
      </c>
      <c r="BO155">
        <f>IF(D155="","",IF(N(X155)=0,IFERROR(VLOOKUP(BN155,Автомат_номиналы,2,TRUE),""),X155))</f>
        <v>16</v>
      </c>
      <c r="BP155">
        <f t="shared" si="185"/>
        <v>1</v>
      </c>
      <c r="BQ155">
        <f>IF(ISNUMBER(Y155),Y155,К_прокл)</f>
        <v>1</v>
      </c>
      <c r="BR155">
        <f t="shared" si="186"/>
        <v>2</v>
      </c>
      <c r="BS155" cm="1">
        <f t="array" ref="BS155">IF(D155="","",IF(N(BK155)&lt;&gt;0,BK155,IFERROR(_xlfn.LET(_xlpm.need,BO155/(BP155*BQ155),_xlpm.t,CHOOSE(BR155,Iдоп_1ж,Iдоп_2ж,Iдоп_3ж),_xlpm.k,_xlfn.XMATCH(_xlpm.need,_xlpm.t,1),IF(ISNA(_xlpm.k),"Не исп",INDEX(Iдоп_S,_xlpm.k))),"Не исп")))</f>
        <v>2.5</v>
      </c>
      <c r="BT155">
        <f>IFERROR(VLOOKUP(BS155,Кабель_сопротивление,3,FALSE),"")</f>
        <v>2.2499999999999999E-2</v>
      </c>
      <c r="BU155">
        <f>IFERROR(VLOOKUP(BS155,Кабель_сопротивление,2,FALSE),"")</f>
        <v>0.1</v>
      </c>
      <c r="BV155">
        <f t="shared" si="187"/>
        <v>63</v>
      </c>
      <c r="BW155">
        <f>IF(D155="","",IFERROR(IF(VLOOKUP(AT155,Потребители_обозначение,4,FALSE)=1,VLOOKUP(AT155,Потребители_обозначение,3,FALSE)*(H155*2-1)+BV155+VLOOKUP(AV155,Этаж_обозначение,3,FALSE)+VLOOKUP(AV155,Этаж_обозначение,4,FALSE),VLOOKUP(AT155,Потребители_обозначение,3,FALSE)*(H155*2-1)+BV155),BV155))</f>
        <v>126</v>
      </c>
      <c r="BX155">
        <f t="shared" si="188"/>
        <v>0</v>
      </c>
      <c r="BY155">
        <f t="shared" si="189"/>
        <v>126</v>
      </c>
      <c r="BZ155">
        <f t="shared" si="190"/>
        <v>2</v>
      </c>
      <c r="CA155">
        <f t="shared" si="191"/>
        <v>0.31</v>
      </c>
      <c r="CB155">
        <f t="shared" si="192"/>
        <v>6.5051813620836203</v>
      </c>
      <c r="CC155">
        <f>IFERROR(ROUNDUP(CB155/((Uн_лин/SQRT(3))*1000)*100,2),"")</f>
        <v>2.82</v>
      </c>
      <c r="CD155">
        <f>IF(ISNUMBER(CC155),CC155+IFERROR(_xlfn.XLOOKUP(A155,Щиты[Щит],Щиты[ΔU до шин, %]),0),"")</f>
        <v>4.3899999999999997</v>
      </c>
      <c r="CE155">
        <f>IF(D155="","",IF(IFERROR(VLOOKUP(AT155,УГО_спр,2,FALSE),"")="Светильник",3,4)+IF(Методика="нормы 2026",MIN(0.5,MAX(0,N(BW155)-100)*0.005),0))</f>
        <v>4</v>
      </c>
      <c r="CF155" t="str">
        <f>IFERROR(VLOOKUP(BI155,Кабель_обозначение,2,FALSE),"")</f>
        <v>ВВГнг(А)-LS</v>
      </c>
      <c r="CG155" t="str">
        <f>IFERROR(IF(VLOOKUP(BI155,Кабель_обозначение,3,FALSE)=1,CF155&amp;" ("&amp;BJ155&amp;"х"&amp;BS155&amp;")",CF155),"")</f>
        <v>ВВГнг(А)-LS (3х2,5)</v>
      </c>
      <c r="CH155" t="str">
        <f t="shared" si="193"/>
        <v>ВВГнг(А)-LS (3х2,5)
L=126-2,82%</v>
      </c>
      <c r="CI155">
        <f>IFERROR(2*ρкз_Cu*BW155/BS155,"")</f>
        <v>2.6510400000000001</v>
      </c>
      <c r="CJ155">
        <f t="shared" si="194"/>
        <v>0.88200000000000001</v>
      </c>
      <c r="CK155" t="str">
        <f>IFERROR(IF(OR(D155="",NOT(ISNUMBER(BS155)),N(BW155)=0),"",_xlfn.XLOOKUP(A155,Щиты[Щит],Щиты[Zпетли на шинах, Ом])+CI155),"")</f>
        <v/>
      </c>
      <c r="CL155" t="str">
        <f>IF(ISNUMBER(CK155),c_min*(Uн_лин*1000/SQRT(3))/CK155,"")</f>
        <v/>
      </c>
      <c r="CM155" t="str">
        <f>IFERROR(IF(OR(D155="",NOT(ISNUMBER(BS155))),"",1.05*(Uн_лин*1000/SQRT(3))/(_xlfn.XLOOKUP(A155,Щиты[Щит],Щиты[Zmax на шинах, Ом])+CJ155)/1000),"")</f>
        <v/>
      </c>
      <c r="CN155" t="str">
        <f>IF(D155="","",IF(BA155&lt;&gt;"","Щит",IF(K155&lt;&gt;"",K155,IF(ISNUMBER(L155),"Сил",IF(IFERROR(_xlfn.XLOOKUP(AT155,Коды_код,Коды_группа)&amp;"","")="","Быт",_xlfn.XLOOKUP(AT155,Коды_код,Коды_группа)&amp;"")))))</f>
        <v>Быт</v>
      </c>
      <c r="CO155">
        <f>IF(CN155="Щит","щит",IF(CN155="","",IF(CN155="Быт",IFERROR(_xlfn.XLOOKUP(A155,Щиты[Щит],Щиты[Кс быт]),1),IF(CN155="Сил",IF(ISNUMBER(L155),L155,IF(Методика="нормы 2026",IFERROR(_xlfn.XLOOKUP(A155,Щиты[Щит],Щиты[Кс силовых (табл. 7.5)]),1),1)),IF(OR(CN155="Пост",CN155="Отоп"),1,IF(CN155="ВНГ",0.7,0))))))</f>
        <v>0.8</v>
      </c>
      <c r="CP155">
        <f t="shared" si="195"/>
        <v>1</v>
      </c>
      <c r="CQ155">
        <f t="shared" si="196"/>
        <v>0.65999999999999992</v>
      </c>
      <c r="CR155">
        <f t="shared" si="197"/>
        <v>0.65999999999999992</v>
      </c>
      <c r="CS155">
        <f t="shared" si="198"/>
        <v>0</v>
      </c>
      <c r="CT155">
        <f t="shared" si="199"/>
        <v>0</v>
      </c>
      <c r="CU155">
        <f t="shared" si="200"/>
        <v>0</v>
      </c>
      <c r="CV155">
        <f t="shared" si="201"/>
        <v>0</v>
      </c>
      <c r="CW155">
        <f t="shared" si="202"/>
        <v>0.65999999999999992</v>
      </c>
      <c r="CX155">
        <f t="shared" si="203"/>
        <v>0.62699999999999989</v>
      </c>
      <c r="CY155">
        <f t="shared" si="204"/>
        <v>1</v>
      </c>
      <c r="CZ155" t="str">
        <f t="shared" si="205"/>
        <v>L1</v>
      </c>
      <c r="DA155" cm="1">
        <f t="array" ref="DA155">IFERROR(IF(BL155=2,_xlfn.IFS(BH155=3,VLOOKUP(BF155,Справочная_двигатели,3,FALSE),BH155=1,VLOOKUP(BF155,Справочная_двигатели,5,TRUE)),0),0)</f>
        <v>0</v>
      </c>
      <c r="DB155">
        <f>IFERROR(IF(BL155=3,VLOOKUP(BF155,Справочная_ЛЭД,2,TRUE),0),0)</f>
        <v>0</v>
      </c>
      <c r="DC155">
        <f t="shared" si="206"/>
        <v>0</v>
      </c>
      <c r="DD155" t="str">
        <f t="shared" si="207"/>
        <v>L3</v>
      </c>
      <c r="DE155" t="str" cm="1">
        <f t="array" ref="DE155">IF(D155="","",IFERROR(INDEX({"I особая","I","II","III"},MATCH(TRIM(AA155&amp;""),{"I особая","I","II","III"},0)),"III"))</f>
        <v>II</v>
      </c>
      <c r="DF155" t="str">
        <f>IF(D155="","",IF(TRIM(AB155&amp;"")&lt;&gt;"",IF(LOWER(TRIM(AB155&amp;""))="да","да","нет"),IF(IFERROR(_xlfn.XLOOKUP(AT155,Коды_код,Коды_пожарная),"")="да","да","нет")))</f>
        <v>нет</v>
      </c>
      <c r="DG155" t="str">
        <f t="shared" si="208"/>
        <v/>
      </c>
      <c r="DH155" t="str">
        <f t="shared" si="209"/>
        <v>основная</v>
      </c>
      <c r="DI155">
        <f t="shared" si="210"/>
        <v>1</v>
      </c>
      <c r="DJ155" t="str" cm="1">
        <f t="array" ref="DJ155">IF(D155="","",_xlfn.LET(_xlpm.t,IFERROR(_xlfn.XLOOKUP(1,(Шины[Шина]=DH155)*(((Шины[Щит]=A155)+(Шины[Щит]=""))&gt;0),Шины[Тип]),"")&amp;"",IF(_xlpm.t&lt;&gt;"",_xlpm.t,IF(ISNUMBER(SEARCH("ИБП",DH155)),"ИБП",IF(ISNUMBER(SEARCH("ДГУ",DH155)),"ДГУ","Ввод "&amp;DI155)))))</f>
        <v>Ввод 1</v>
      </c>
      <c r="DK155" t="str">
        <f t="shared" si="211"/>
        <v>Ввод 1</v>
      </c>
      <c r="DL155" t="str">
        <f>IF(D155="","",IF(OR(DJ155="ИБП",DJ155="ДГУ"),"I особая",IF(DJ155="Одиночная","III",_xlfn.XLOOKUP(A155,Щиты[Щит],Щиты[Категория шины «Ввод»],"III"))))</f>
        <v>II</v>
      </c>
      <c r="DM155">
        <f>IF(D155="",0,IFERROR(MATCH(DE155,{"III","II","I","I особая"},0),1))</f>
        <v>2</v>
      </c>
      <c r="DN155">
        <f t="shared" si="212"/>
        <v>2</v>
      </c>
      <c r="DO155" t="str">
        <f>IF(D155="","",IF(DM155&gt;IFERROR(MATCH(DL155,{"III","II","I","I особая"},0),1),"НЕ ОБЕСПЕЧЕНА","ОК"))</f>
        <v>ОК</v>
      </c>
      <c r="DP155" t="str">
        <f>IF(A155="","",_xlfn.XLOOKUP(A155,Щиты[Щит],Щиты[Путь],""))</f>
        <v>|ГРЩ-ЖД|ЩР-001|</v>
      </c>
      <c r="DQ155" t="str">
        <f>IF(D155="","",IF(Z155&lt;&gt;"",Z155,IF(IFERROR(_xlfn.XLOOKUP(AT155,Коды_код,Коды_вид)&amp;"","")="","Прочее",_xlfn.XLOOKUP(AT155,Коды_код,Коды_вид)&amp;"")))</f>
        <v>Розеточная сеть и бытовые приборы</v>
      </c>
      <c r="DR155">
        <f>IF(BD155="","",INT((BD155-1)/Столбцов_на_лист)+1)</f>
        <v>1</v>
      </c>
      <c r="DS155" t="str">
        <f t="shared" si="213"/>
        <v>ВВГнг(А)-LS (3х2,5) L=126-2,82%</v>
      </c>
      <c r="DT155">
        <f t="shared" si="214"/>
        <v>0.65999999999999992</v>
      </c>
      <c r="DU155">
        <f t="shared" si="215"/>
        <v>3.01</v>
      </c>
      <c r="DV155">
        <f t="shared" si="216"/>
        <v>1</v>
      </c>
      <c r="DW155">
        <f>IF(AT155="",0,_xlfn.LET(_xlpm.v,IFERROR(VLOOKUP(D155,УГО_спр,3,FALSE),IFERROR(VLOOKUP(AT155,УГО_спр,3,FALSE),IFERROR(VLOOKUP(LEFT(AT155,2),УГО_спр,3,FALSE),""))),IF(_xlpm.v="да",30,IF(ISNUMBER(_xlpm.v),_xlpm.v,0))))</f>
        <v>30</v>
      </c>
      <c r="DX155">
        <f t="shared" si="217"/>
        <v>0</v>
      </c>
      <c r="DY155">
        <f>IF(BD155="","",IF(AD155&lt;&gt;"",COUNTIFS(A$3:A155,A155,AD$3:AD155,"?*"),IF(OR(OR(AS155=1,A155&lt;&gt;A154),AL155="вручную"),"",IF(AS155=1,"",DZ154))))</f>
        <v>1</v>
      </c>
      <c r="DZ155">
        <f t="shared" si="218"/>
        <v>1</v>
      </c>
      <c r="EA155">
        <f>IF(D155="",0,MAX(IFERROR(--X155,0),IFERROR(--VLOOKUP(D155,УГО_спр,4,FALSE),IFERROR(--VLOOKUP(AT155,УГО_спр,4,FALSE),IFERROR(--VLOOKUP(LEFT(AT155,2),УГО_спр,4,FALSE),0)))))</f>
        <v>16</v>
      </c>
      <c r="EB155">
        <f>IF(D155="","",IFERROR(LOOKUP(INDEX(CHOOSE(BR155,Iдоп_1ж,Iдоп_2ж,Iдоп_3ж),MATCH(BS155,Iдоп_S,0))*BP155*BQ155,{6,10,16,20,25,32,40,50,63,80,100,125,160,200,250,315,400,500,630}),""))</f>
        <v>25</v>
      </c>
      <c r="EC155">
        <f>IF(AD155="","",SUMIFS(Линии[_Ток схемы],Линии[_гр.],DY155,Линии[Щит],A155,Линии[_в кабель выше],0))</f>
        <v>3.01</v>
      </c>
      <c r="ED155">
        <f>IF(AD155="","",IFERROR(VLOOKUP(EC155,Автомат_номиналы,2,TRUE),""))</f>
        <v>6</v>
      </c>
      <c r="EE155">
        <f>IF(AD155="","",MAX(N(ED155),_xlfn.MAXIFS(Линии[_мин. по типу],Линии[_гр.],DY155,Линии[Щит],A155)))</f>
        <v>16</v>
      </c>
      <c r="EF155">
        <f>IF(AD155="","",_xlfn.MINIFS(Линии[_макс. автомат по кабелю],Линии[_гр.],DY155,Линии[Щит],A155))</f>
        <v>25</v>
      </c>
      <c r="EG155">
        <f>IF(AD155="","",MAX(1,_xlfn.MAXIFS(Линии[_фаз],Линии[_гр.],DY155,Линии[Щит],A155)))</f>
        <v>1</v>
      </c>
      <c r="EH155">
        <f>IF(AD155="","",IF(AND(AD155&lt;&gt;"авто",AD155&lt;&gt;"+"),IF(ISNUMBER(SEARCH("мА",AD155)),IFERROR(--TRIM(RIGHT(SUBSTITUTE(LEFT(AD155,SEARCH("мА",AD155)-1)," ",REPT(" ",9)),6)),30),0),IF(AE155="нет",0,IF(ISNUMBER(AE155),AE155,IF(AE155="да",30,_xlfn.MINIFS(Линии[_дифзащита по коду, мА],Линии[_гр.],DY155,Линии[Щит],A155,Линии[_дифзащита по коду, мА],"&gt;0"))))))</f>
        <v>30</v>
      </c>
      <c r="EI155">
        <f t="shared" si="219"/>
        <v>1</v>
      </c>
      <c r="EJ155" t="str">
        <f t="shared" si="220"/>
        <v>QFD1</v>
      </c>
      <c r="EK155" t="str">
        <f t="shared" si="221"/>
        <v>QFD1</v>
      </c>
      <c r="EL155" t="str">
        <f t="shared" si="222"/>
        <v/>
      </c>
      <c r="EM155">
        <f t="shared" si="223"/>
        <v>0</v>
      </c>
      <c r="EN155">
        <f>IF(AD155="","",IF(EM155=1,MAX(EE155,Мин_автомат_БП),EE155))</f>
        <v>16</v>
      </c>
      <c r="EO155" t="str">
        <f t="shared" si="224"/>
        <v>2P</v>
      </c>
      <c r="EP155" t="str">
        <f t="shared" si="225"/>
        <v>2P С16А 30мА</v>
      </c>
      <c r="EQ155">
        <f t="shared" si="226"/>
        <v>16</v>
      </c>
      <c r="ER155" t="str">
        <f>IF(OR(AI155="",AI155="-"),"",IFERROR(VLOOKUP(AI155,Модули_спр,2,FALSE),"R"))</f>
        <v/>
      </c>
      <c r="ES155" t="str">
        <f>IF(ER155="","",ER155&amp;"."&amp;COUNTIFS(A$3:A155,A155,ER$3:ER155,ER155))</f>
        <v/>
      </c>
      <c r="ET155" t="str">
        <f t="shared" si="227"/>
        <v/>
      </c>
      <c r="EU155" t="str">
        <f t="shared" si="228"/>
        <v/>
      </c>
      <c r="EV155" t="str">
        <f t="shared" si="229"/>
        <v/>
      </c>
      <c r="EW155" t="str">
        <f t="shared" si="230"/>
        <v/>
      </c>
      <c r="EX155">
        <f t="shared" si="231"/>
        <v>1</v>
      </c>
      <c r="EY155" t="str">
        <f>IF(AK155="нет","",IF(AK155&lt;&gt;"",AK155,IF(EX155=1,"XT"&amp;COUNTIFS(A$3:A155,A155,EX$3:EX155,1),"")))</f>
        <v>XT1</v>
      </c>
      <c r="EZ155" t="str">
        <f t="shared" si="232"/>
        <v>QFD1</v>
      </c>
      <c r="FA155" t="str">
        <f t="shared" si="233"/>
        <v/>
      </c>
      <c r="FB155" t="str">
        <f t="shared" si="234"/>
        <v>ok</v>
      </c>
      <c r="FC155" t="str">
        <f>IF(OR(EV155="",ET155=""),"",IF(EV155&gt;IFERROR(VLOOKUP(EU155,Модули_спр,3,FALSE),99),"ЛИШНИЙ КАНАЛ",IF(AND(AJ155&lt;&gt;"=",COUNTIFS(Линии[_модуль гр.],ET155,Линии[Канал (итог)],EV155,Линии[Канал],"&lt;&gt;=",Линии[Щит],A155)&gt;1),"ДУБЛЬ КАНАЛА","")))</f>
        <v/>
      </c>
      <c r="FD155">
        <f t="shared" si="235"/>
        <v>16</v>
      </c>
      <c r="FE155" t="str">
        <f t="shared" si="236"/>
        <v>2P С16А 30мА</v>
      </c>
      <c r="FF155">
        <f t="shared" si="237"/>
        <v>1</v>
      </c>
      <c r="FG155">
        <f t="shared" si="238"/>
        <v>30</v>
      </c>
      <c r="FH155" t="str">
        <f t="shared" si="239"/>
        <v/>
      </c>
      <c r="FI155">
        <f t="shared" si="240"/>
        <v>10</v>
      </c>
      <c r="FJ155" t="str">
        <f t="shared" si="241"/>
        <v/>
      </c>
      <c r="FK155" t="str">
        <f>IF(AND(D155="",EZ155=""),"",_xlfn.TEXTJOIN("; ",TRUE,IF(AND(D155&lt;&gt;"",DD155=""),"нет фазы",""),IF(AND(D155&lt;&gt;"",N(DT155)=0,CN155&lt;&gt;"Нет"),"нет мощности",""),IF(AND(EY155&lt;&gt;"",COUNTIFS(Линии[Щит],A155,Линии[Клемма (итог)],EY155)&gt;1),"дубль клеммы "&amp;EY155,""),IF(AND(FB155&lt;&gt;"",FB155&lt;&gt;"ok"),FB155,""),IF(FC155&lt;&gt;"",FC155,""),IF(AND(ISNUMBER(SEARCH("(5х",DS155)),N(DV155)=1),"5 жил на 1 фазе",""),IF(AND(AT155="R",AD155&lt;&gt;"",OR(N(EH155)=0,N(EH155)&gt;30)),"розетка без дифзащиты до 30 мА",""),IFERROR(IF(AND(ISNUMBER(CD155),CD155&gt;CE155),"потери "&amp;FIXED(CD155,1)&amp;" % &gt; "&amp;CE155&amp;" %",""),""),IFERROR(IF(LEFT(FJ155,4)="мало","Iкз мало — отключение &gt; 0,4 с",""),""),IF(AND(D155&lt;&gt;"",BD155=""),"не на схеме","")))</f>
        <v>потери 4,4 % &gt; 4 %</v>
      </c>
      <c r="FL155">
        <f>IF(AD155="","",_xlfn.LET(_xlpm.t,IFERROR(_xlfn.XLOOKUP(EP155,Каталог!$U$4:$U$500,Каталог!$G$4:$G$500),""),_xlpm.k,SEARCH("кА",_xlpm.t),IFERROR(--TRIM(RIGHT(SUBSTITUTE(MID(_xlpm.t,MAX(1,_xlpm.k-4),_xlpm.k-MAX(1,_xlpm.k-4))," ",REPT(" ",9)),5)),"")))</f>
        <v>6</v>
      </c>
      <c r="FM155" t="str">
        <f>IF(OR(FL155="",AD155=""),"",IF(_xlfn.XLOOKUP(A155,Щиты[Щит],Щиты[Iкз max на шинах, кА],"")="","",IF(FL155&lt;_xlfn.XLOOKUP(A155,Щиты[Щит],Щиты[Iкз max на шинах, кА]),"Icu "&amp;FL155&amp;" кА &lt; Iкз max","ok")))</f>
        <v/>
      </c>
      <c r="FN155" t="str">
        <f t="shared" si="242"/>
        <v>QFD1|XT1</v>
      </c>
      <c r="FO155" t="str">
        <f t="shared" si="243"/>
        <v>QFD1|XT1|кабель ВВГнг(А)-LS (3х2,5) → Розеточная группа Подвальный этаж Пом. №001Б</v>
      </c>
      <c r="FP155" t="str" cm="1">
        <f t="array" ref="FP155">IF(FO155="","",_xlfn.LET(_xlpm.nd,_xlfn.TEXTSPLIT(FO155,"|"),IF(COLUMNS(_xlpm.nd)&gt;1,A155&amp;"¦"&amp;INDEX(_xlpm.nd,1)&amp;"¦"&amp;INDEX(_xlpm.nd,2),"")))</f>
        <v>ЩР-001¦QFD1¦XT1</v>
      </c>
      <c r="FQ155" t="str">
        <f t="shared" si="244"/>
        <v>R.00.001Б.1¦Розеточная группа Подвальный этаж Пом. №001Б</v>
      </c>
      <c r="FR155" t="str" cm="1">
        <f t="array" ref="FR155">IF(FO155="","",_xlfn.LET(_xlpm.nd,_xlfn.TEXTSPLIT(FO155,"|"),IF(COLUMNS(_xlpm.nd)&gt;2,A155&amp;"¦"&amp;INDEX(_xlpm.nd,2)&amp;"¦"&amp;INDEX(_xlpm.nd,3),"")))</f>
        <v>ЩР-001¦XT1¦кабель ВВГнг(А)-LS (3х2,5) → Розеточная группа Подвальный этаж Пом. №001Б</v>
      </c>
      <c r="FS155" t="str">
        <f t="shared" si="245"/>
        <v>R.00.001Б.1¦Розеточная группа Подвальный этаж Пом. №001Б</v>
      </c>
      <c r="FT155" t="str" cm="1">
        <f t="array" ref="FT155">IF(FO155="","",_xlfn.LET(_xlpm.nd,_xlfn.TEXTSPLIT(FO155,"|"),IF(COLUMNS(_xlpm.nd)&gt;3,A155&amp;"¦"&amp;INDEX(_xlpm.nd,3)&amp;"¦"&amp;INDEX(_xlpm.nd,4),"")))</f>
        <v/>
      </c>
      <c r="FU155" t="str">
        <f t="shared" si="246"/>
        <v/>
      </c>
      <c r="FV155" t="str" cm="1">
        <f t="array" ref="FV155">IF(FO155="","",_xlfn.LET(_xlpm.nd,_xlfn.TEXTSPLIT(FO155,"|"),IF(COLUMNS(_xlpm.nd)&gt;4,A155&amp;"¦"&amp;INDEX(_xlpm.nd,4)&amp;"¦"&amp;INDEX(_xlpm.nd,5),"")))</f>
        <v/>
      </c>
      <c r="FW155" t="str">
        <f t="shared" si="247"/>
        <v/>
      </c>
      <c r="FX155" t="str" cm="1">
        <f t="array" ref="FX155">IF(FO155="","",_xlfn.LET(_xlpm.nd,_xlfn.TEXTSPLIT(FO155,"|"),IF(COLUMNS(_xlpm.nd)&gt;5,A155&amp;"¦"&amp;INDEX(_xlpm.nd,5)&amp;"¦"&amp;INDEX(_xlpm.nd,6),"")))</f>
        <v/>
      </c>
      <c r="FY155" t="str">
        <f t="shared" si="248"/>
        <v/>
      </c>
      <c r="FZ155" t="str" cm="1">
        <f t="array" ref="FZ155">IF(FO155="","",_xlfn.LET(_xlpm.nd,_xlfn.TEXTSPLIT(FO155,"|"),IF(COLUMNS(_xlpm.nd)&gt;6,A155&amp;"¦"&amp;INDEX(_xlpm.nd,6)&amp;"¦"&amp;INDEX(_xlpm.nd,7),"")))</f>
        <v/>
      </c>
      <c r="GA155" t="str">
        <f t="shared" si="249"/>
        <v/>
      </c>
      <c r="GB155" t="str">
        <f t="shared" si="250"/>
        <v/>
      </c>
      <c r="GC155" t="str">
        <f t="shared" si="251"/>
        <v>QFD1 → XT1</v>
      </c>
      <c r="GD155">
        <f t="shared" si="252"/>
        <v>1</v>
      </c>
      <c r="GE155">
        <f t="shared" si="253"/>
        <v>0</v>
      </c>
      <c r="GF155">
        <f t="shared" si="254"/>
        <v>1</v>
      </c>
      <c r="GG155" t="str">
        <f t="shared" si="255"/>
        <v/>
      </c>
      <c r="GH155" t="str">
        <f t="shared" si="256"/>
        <v/>
      </c>
      <c r="GI155" t="str">
        <f t="shared" si="257"/>
        <v/>
      </c>
      <c r="GJ155" t="str">
        <f t="shared" si="258"/>
        <v/>
      </c>
      <c r="GK155" t="str">
        <f>IF(D155="","",IFERROR(VLOOKUP(D155,УГО_спр,2,FALSE),IFERROR(VLOOKUP(AT155,УГО_спр,2,FALSE),IFERROR(VLOOKUP(LEFT(AT155,2),УГО_спр,2,FALSE),""))))</f>
        <v>Розетка</v>
      </c>
      <c r="GL155" t="str">
        <f>IF(D155="","",IF(OR(GK155="",GK155=0),"BOX",IFERROR(IF(VLOOKUP(GK155,УГО_блоки,3,FALSE)&amp;""&lt;&gt;"",VLOOKUP(GK155,УГО_блоки,3,FALSE),VLOOKUP(GK155,УГО_блоки,2,FALSE)),GK155)))</f>
        <v>SOCKET</v>
      </c>
      <c r="GM155">
        <f t="shared" si="259"/>
        <v>1</v>
      </c>
      <c r="GN155">
        <f>IF(EP155="","",IF(COUNTIF(EP$3:EP155,EP155)=1,MAX(GN$2:GN154)+1,""))</f>
        <v>9</v>
      </c>
      <c r="GO155" t="str">
        <f>IF(AF155="","",IF(COUNTIF(AF$3:AF155,AF155)+COUNTIF(AG$2:AG154,AF155)+COUNTIF(AH$2:AH154,AF155)=1,MAX(GO$2:GQ154)+1,""))</f>
        <v/>
      </c>
      <c r="GP155" t="str">
        <f>IF(AG155="","",IF(COUNTIF(AF$3:AF155,AG155)+COUNTIF(AG$3:AG155,AG155)+COUNTIF(AH$2:AH154,AG155)=1,MAX(GO$2:GQ154,GO155)+1,""))</f>
        <v/>
      </c>
      <c r="GQ155" t="str">
        <f>IF(AH155="","",IF(COUNTIF(AF$3:AF155,AH155)+COUNTIF(AG$3:AG155,AH155)+COUNTIF(AH$3:AH155,AH155)=1,MAX(GO$2:GQ154,GO155,GP155)+1,""))</f>
        <v/>
      </c>
      <c r="GR155" t="str">
        <f t="shared" si="260"/>
        <v>3х2,5</v>
      </c>
      <c r="GS155" t="str">
        <f>IF(GR155="","",IF(COUNTIF(GR$3:GR155,GR155)=1,MAX(GS$2:GS154)+1,""))</f>
        <v/>
      </c>
      <c r="GT155" t="str">
        <f>IF(ES155="","",COUNTIF(ES$3:ES155,"?*"))</f>
        <v/>
      </c>
      <c r="GU155" t="str">
        <f>IF(OR(ES155="",EU155=""),"",IF(COUNTIFS(ES$3:ES155,"?*",EU$3:EU155,EU155)=1,MAX(GU$2:GU154)+1,""))</f>
        <v/>
      </c>
      <c r="GV155">
        <f t="shared" si="261"/>
        <v>1</v>
      </c>
      <c r="GW155">
        <f>IF(D155="","",COUNTIF(D$3:D155,"?*"))</f>
        <v>153</v>
      </c>
      <c r="GX155">
        <f>IF(EX155&lt;&gt;1,0,_xlfn.LET(_xlpm.k,MAX(IFERROR(--VLOOKUP(D155,УГО_спр,5,FALSE),0),IFERROR(--VLOOKUP(AT155,УГО_спр,5,FALSE),0),IFERROR(--VLOOKUP(LEFT(AT155,2),УГО_спр,5,FALSE),0)),IF(_xlpm.k&gt;0,_xlpm.k,IF(IFERROR(--LEFT(SUBSTITUTE(GR155,"x","х"),FIND("х",SUBSTITUTE(GR155,"x","х"))-1),3)&gt;3,Каталог!$S$9,1))))</f>
        <v>1</v>
      </c>
      <c r="GY155">
        <f t="shared" si="262"/>
        <v>0</v>
      </c>
    </row>
    <row r="156" spans="1:207" x14ac:dyDescent="0.3">
      <c r="A156" t="s">
        <v>758</v>
      </c>
      <c r="B156">
        <v>9</v>
      </c>
      <c r="C156" t="str">
        <f>IF(BD156="","",IF(BE156="вводной узел","узел ","")&amp;"л."&amp;(INT((BD156-1)/Столбцов_на_лист)+1)&amp;" / "&amp;(MOD(BD156-1,Столбцов_на_лист)+1))</f>
        <v>л.1 / 9</v>
      </c>
      <c r="D156" t="s">
        <v>1460</v>
      </c>
      <c r="E156" s="133" t="str">
        <f t="shared" si="263"/>
        <v>Розеточная группа Подвальный этаж Пом. №003Т</v>
      </c>
      <c r="G156">
        <v>0.3</v>
      </c>
      <c r="H156">
        <v>3</v>
      </c>
      <c r="I156">
        <v>1</v>
      </c>
      <c r="J156">
        <v>230</v>
      </c>
      <c r="K156" t="s">
        <v>566</v>
      </c>
      <c r="O156">
        <v>2</v>
      </c>
      <c r="P156">
        <v>24</v>
      </c>
      <c r="Q156">
        <v>7</v>
      </c>
      <c r="R156">
        <v>14</v>
      </c>
      <c r="S156">
        <v>0</v>
      </c>
      <c r="U156" t="s">
        <v>11</v>
      </c>
      <c r="V156">
        <v>3</v>
      </c>
      <c r="W156">
        <v>2.5</v>
      </c>
      <c r="X156">
        <v>16</v>
      </c>
      <c r="Z156" t="s">
        <v>565</v>
      </c>
      <c r="AA156" t="s">
        <v>818</v>
      </c>
      <c r="AD156" t="s">
        <v>517</v>
      </c>
      <c r="AR156" t="str">
        <f t="shared" si="176"/>
        <v/>
      </c>
      <c r="AS156" cm="1">
        <f t="array" ref="AS156">ROW()-ROW(Линии[#Headers])</f>
        <v>154</v>
      </c>
      <c r="AT156" t="str">
        <f t="shared" si="177"/>
        <v>R</v>
      </c>
      <c r="AU156" t="str">
        <f t="shared" si="178"/>
        <v>00.003Т.1</v>
      </c>
      <c r="AV156" t="str">
        <f t="shared" si="179"/>
        <v>00</v>
      </c>
      <c r="AW156" t="str">
        <f t="shared" si="180"/>
        <v>003Т.1</v>
      </c>
      <c r="AX156" t="str">
        <f t="shared" si="181"/>
        <v>003Т</v>
      </c>
      <c r="AY156" t="str">
        <f>IF(D156="","",IF(ISERROR(SEARCH(".",D156)),IFERROR(VLOOKUP(D156,Потребители_обозначение,2,FALSE)&amp;"",""),IFERROR(IF(VLOOKUP(AT156,Потребители_обозначение,4,FALSE)=1,VLOOKUP(AT156,Потребители_обозначение,2,FALSE)&amp;" "&amp;VLOOKUP(AV156,Этаж_обозначение,2,FALSE)&amp;" Пом. №"&amp;AX156,VLOOKUP(AT156,Потребители_обозначение,2,FALSE)&amp;" Шлейф №"&amp;AV156),IFERROR(VLOOKUP(D156,Потребители_обозначение,2,FALSE),""))))</f>
        <v>Розеточная группа Подвальный этаж Пом. №003Т</v>
      </c>
      <c r="AZ156" t="str">
        <f t="shared" si="182"/>
        <v>Розеточная группа Подвальный этаж Пом. №003Т</v>
      </c>
      <c r="BA156" t="str">
        <f>IF(F156&lt;&gt;"",F156,IF(AND(D156&lt;&gt;"",D156&lt;&gt;A156,ISNUMBER(_xlfn.XMATCH(D156,Щиты[Щит]))),D156,""))</f>
        <v/>
      </c>
      <c r="BB156">
        <f>IFERROR(_xlfn.XMATCH(A156,Щиты[Щит]),0)</f>
        <v>8</v>
      </c>
      <c r="BC156">
        <f>IFERROR(N(_xlfn.XLOOKUP(A156,Щиты[Щит],Щиты[Мест под вводной узел])),15)</f>
        <v>7</v>
      </c>
      <c r="BD156">
        <f t="shared" si="183"/>
        <v>9</v>
      </c>
      <c r="BE156" t="str">
        <f t="shared" si="184"/>
        <v>линии</v>
      </c>
      <c r="BF156">
        <f>IF(D156="","",IF(BA156&lt;&gt;"",IFERROR(_xlfn.XLOOKUP(BA156,Щиты[Щит],Щиты[Руст, кВт]),0),N(G156)))</f>
        <v>0.3</v>
      </c>
      <c r="BG156">
        <f>IF(J156&lt;&gt;"",J156,IF(D156="","",IFERROR(IF(VLOOKUP(AT156,Потребители_обозначение,8,FALSE)=0,"",VLOOKUP(AT156,Потребители_обозначение,8,FALSE)),"")))</f>
        <v>230</v>
      </c>
      <c r="BH156">
        <f>IF(I156&lt;&gt;"",I156,IF(D156="","",IFERROR(IF(VLOOKUP(AT156,Потребители_обозначение,9,FALSE)=0,"",VLOOKUP(AT156,Потребители_обозначение,9,FALSE)),"")))</f>
        <v>1</v>
      </c>
      <c r="BI156" t="str">
        <f>IF(U156&lt;&gt;"",U156,IF(D156="","",IFERROR(IF(VLOOKUP(AT156,Потребители_обозначение,6,FALSE)=0,"",VLOOKUP(AT156,Потребители_обозначение,6,FALSE)),"")))</f>
        <v>мс</v>
      </c>
      <c r="BJ156">
        <f>IF(V156&lt;&gt;"",V156,IF(D156="","",IFERROR(IF(VLOOKUP(AT156,Потребители_обозначение,7,FALSE)=0,"",VLOOKUP(AT156,Потребители_обозначение,7,FALSE)),"")))</f>
        <v>3</v>
      </c>
      <c r="BK156">
        <f>IF(W156&lt;&gt;"",W156,IF(D156="","",IFERROR(IF(VLOOKUP(AT156,Потребители_обозначение,10,FALSE)=0,"",VLOOKUP(AT156,Потребители_обозначение,10,FALSE)),"")))</f>
        <v>2.5</v>
      </c>
      <c r="BL156">
        <f>IFERROR(VLOOKUP(AT156,Потребители_обозначение,5,FALSE),0)</f>
        <v>1</v>
      </c>
      <c r="BM156" cm="1">
        <f t="array" ref="BM156">IF(D156="","",IF(BA156&lt;&gt;"",IFERROR(_xlfn.XLOOKUP(BA156,Щиты[Щит],Щиты[cos φ]),0.95),IF(ISNUMBER(M156),M156,IFERROR(IF(BL156=2,_xlfn.IFS(BH156=3,VLOOKUP(BF156,Справочная_двигатели,8,FALSE),BH156=1,VLOOKUP(BF156,Справочная_двигатели,10,TRUE)),IF(AND(Методика="нормы 2026",CN156="Сил"),0.8,0.95)),0.95))))</f>
        <v>0.95</v>
      </c>
      <c r="BN156" cm="1">
        <f t="array" ref="BN156">IF(D156="","",IF(BA156&lt;&gt;"",IFERROR(_xlfn.XLOOKUP(BA156,Щиты[Щит],Щиты[Iр, А]),""),IFERROR(_xlfn.IFS(BH156=1,BF156/((Uн_лин/SQRT(3))*BM156),BH156=3,BF156/(SQRT(3)*Uн_лин*BM156)),"")))</f>
        <v>1.3674085322912188</v>
      </c>
      <c r="BO156">
        <f>IF(D156="","",IF(N(X156)=0,IFERROR(VLOOKUP(BN156,Автомат_номиналы,2,TRUE),""),X156))</f>
        <v>16</v>
      </c>
      <c r="BP156">
        <f t="shared" si="185"/>
        <v>1</v>
      </c>
      <c r="BQ156">
        <f>IF(ISNUMBER(Y156),Y156,К_прокл)</f>
        <v>1</v>
      </c>
      <c r="BR156">
        <f t="shared" si="186"/>
        <v>2</v>
      </c>
      <c r="BS156" cm="1">
        <f t="array" ref="BS156">IF(D156="","",IF(N(BK156)&lt;&gt;0,BK156,IFERROR(_xlfn.LET(_xlpm.need,BO156/(BP156*BQ156),_xlpm.t,CHOOSE(BR156,Iдоп_1ж,Iдоп_2ж,Iдоп_3ж),_xlpm.k,_xlfn.XMATCH(_xlpm.need,_xlpm.t,1),IF(ISNA(_xlpm.k),"Не исп",INDEX(Iдоп_S,_xlpm.k))),"Не исп")))</f>
        <v>2.5</v>
      </c>
      <c r="BT156">
        <f>IFERROR(VLOOKUP(BS156,Кабель_сопротивление,3,FALSE),"")</f>
        <v>2.2499999999999999E-2</v>
      </c>
      <c r="BU156">
        <f>IFERROR(VLOOKUP(BS156,Кабель_сопротивление,2,FALSE),"")</f>
        <v>0.1</v>
      </c>
      <c r="BV156">
        <f t="shared" si="187"/>
        <v>24</v>
      </c>
      <c r="BW156">
        <f>IF(D156="","",IFERROR(IF(VLOOKUP(AT156,Потребители_обозначение,4,FALSE)=1,VLOOKUP(AT156,Потребители_обозначение,3,FALSE)*(H156*2-1)+BV156+VLOOKUP(AV156,Этаж_обозначение,3,FALSE)+VLOOKUP(AV156,Этаж_обозначение,4,FALSE),VLOOKUP(AT156,Потребители_обозначение,3,FALSE)*(H156*2-1)+BV156),BV156))</f>
        <v>39</v>
      </c>
      <c r="BX156">
        <f t="shared" si="188"/>
        <v>14</v>
      </c>
      <c r="BY156">
        <f t="shared" si="189"/>
        <v>0</v>
      </c>
      <c r="BZ156">
        <f t="shared" si="190"/>
        <v>2</v>
      </c>
      <c r="CA156">
        <f t="shared" si="191"/>
        <v>0.31</v>
      </c>
      <c r="CB156">
        <f t="shared" si="192"/>
        <v>0.91523114401609396</v>
      </c>
      <c r="CC156">
        <f>IFERROR(ROUNDUP(CB156/((Uн_лин/SQRT(3))*1000)*100,2),"")</f>
        <v>0.4</v>
      </c>
      <c r="CD156">
        <f>IF(ISNUMBER(CC156),CC156+IFERROR(_xlfn.XLOOKUP(A156,Щиты[Щит],Щиты[ΔU до шин, %]),0),"")</f>
        <v>1.9700000000000002</v>
      </c>
      <c r="CE156">
        <f>IF(D156="","",IF(IFERROR(VLOOKUP(AT156,УГО_спр,2,FALSE),"")="Светильник",3,4)+IF(Методика="нормы 2026",MIN(0.5,MAX(0,N(BW156)-100)*0.005),0))</f>
        <v>4</v>
      </c>
      <c r="CF156" t="str">
        <f>IFERROR(VLOOKUP(BI156,Кабель_обозначение,2,FALSE),"")</f>
        <v>ВВГнг(А)-LS</v>
      </c>
      <c r="CG156" t="str">
        <f>IFERROR(IF(VLOOKUP(BI156,Кабель_обозначение,3,FALSE)=1,CF156&amp;" ("&amp;BJ156&amp;"х"&amp;BS156&amp;")",CF156),"")</f>
        <v>ВВГнг(А)-LS (3х2,5)</v>
      </c>
      <c r="CH156" t="str">
        <f t="shared" si="193"/>
        <v>ВВГнг(А)-LS (3х2,5)
L=39-0,4%</v>
      </c>
      <c r="CI156">
        <f>IFERROR(2*ρкз_Cu*BW156/BS156,"")</f>
        <v>0.82056000000000007</v>
      </c>
      <c r="CJ156">
        <f t="shared" si="194"/>
        <v>0.27300000000000002</v>
      </c>
      <c r="CK156" t="str">
        <f>IFERROR(IF(OR(D156="",NOT(ISNUMBER(BS156)),N(BW156)=0),"",_xlfn.XLOOKUP(A156,Щиты[Щит],Щиты[Zпетли на шинах, Ом])+CI156),"")</f>
        <v/>
      </c>
      <c r="CL156" t="str">
        <f>IF(ISNUMBER(CK156),c_min*(Uн_лин*1000/SQRT(3))/CK156,"")</f>
        <v/>
      </c>
      <c r="CM156" t="str">
        <f>IFERROR(IF(OR(D156="",NOT(ISNUMBER(BS156))),"",1.05*(Uн_лин*1000/SQRT(3))/(_xlfn.XLOOKUP(A156,Щиты[Щит],Щиты[Zmax на шинах, Ом])+CJ156)/1000),"")</f>
        <v/>
      </c>
      <c r="CN156" t="str">
        <f>IF(D156="","",IF(BA156&lt;&gt;"","Щит",IF(K156&lt;&gt;"",K156,IF(ISNUMBER(L156),"Сил",IF(IFERROR(_xlfn.XLOOKUP(AT156,Коды_код,Коды_группа)&amp;"","")="","Быт",_xlfn.XLOOKUP(AT156,Коды_код,Коды_группа)&amp;"")))))</f>
        <v>Быт</v>
      </c>
      <c r="CO156">
        <f>IF(CN156="Щит","щит",IF(CN156="","",IF(CN156="Быт",IFERROR(_xlfn.XLOOKUP(A156,Щиты[Щит],Щиты[Кс быт]),1),IF(CN156="Сил",IF(ISNUMBER(L156),L156,IF(Методика="нормы 2026",IFERROR(_xlfn.XLOOKUP(A156,Щиты[Щит],Щиты[Кс силовых (табл. 7.5)]),1),1)),IF(OR(CN156="Пост",CN156="Отоп"),1,IF(CN156="ВНГ",0.7,0))))))</f>
        <v>0.8</v>
      </c>
      <c r="CP156">
        <f t="shared" si="195"/>
        <v>1</v>
      </c>
      <c r="CQ156">
        <f t="shared" si="196"/>
        <v>0.3</v>
      </c>
      <c r="CR156">
        <f t="shared" si="197"/>
        <v>0.3</v>
      </c>
      <c r="CS156">
        <f t="shared" si="198"/>
        <v>0</v>
      </c>
      <c r="CT156">
        <f t="shared" si="199"/>
        <v>0</v>
      </c>
      <c r="CU156">
        <f t="shared" si="200"/>
        <v>0</v>
      </c>
      <c r="CV156">
        <f t="shared" si="201"/>
        <v>0</v>
      </c>
      <c r="CW156">
        <f t="shared" si="202"/>
        <v>0.3</v>
      </c>
      <c r="CX156">
        <f t="shared" si="203"/>
        <v>0.28499999999999998</v>
      </c>
      <c r="CY156">
        <f t="shared" si="204"/>
        <v>2</v>
      </c>
      <c r="CZ156" t="str">
        <f t="shared" si="205"/>
        <v>L2</v>
      </c>
      <c r="DA156" cm="1">
        <f t="array" ref="DA156">IFERROR(IF(BL156=2,_xlfn.IFS(BH156=3,VLOOKUP(BF156,Справочная_двигатели,3,FALSE),BH156=1,VLOOKUP(BF156,Справочная_двигатели,5,TRUE)),0),0)</f>
        <v>0</v>
      </c>
      <c r="DB156">
        <f>IFERROR(IF(BL156=3,VLOOKUP(BF156,Справочная_ЛЭД,2,TRUE),0),0)</f>
        <v>0</v>
      </c>
      <c r="DC156">
        <f t="shared" si="206"/>
        <v>0</v>
      </c>
      <c r="DD156" t="str">
        <f t="shared" si="207"/>
        <v>L2</v>
      </c>
      <c r="DE156" t="str" cm="1">
        <f t="array" ref="DE156">IF(D156="","",IFERROR(INDEX({"I особая","I","II","III"},MATCH(TRIM(AA156&amp;""),{"I особая","I","II","III"},0)),"III"))</f>
        <v>II</v>
      </c>
      <c r="DF156" t="str">
        <f>IF(D156="","",IF(TRIM(AB156&amp;"")&lt;&gt;"",IF(LOWER(TRIM(AB156&amp;""))="да","да","нет"),IF(IFERROR(_xlfn.XLOOKUP(AT156,Коды_код,Коды_пожарная),"")="да","да","нет")))</f>
        <v>нет</v>
      </c>
      <c r="DG156" t="str">
        <f t="shared" si="208"/>
        <v/>
      </c>
      <c r="DH156" t="str">
        <f t="shared" si="209"/>
        <v>основная</v>
      </c>
      <c r="DI156">
        <f t="shared" si="210"/>
        <v>1</v>
      </c>
      <c r="DJ156" t="str" cm="1">
        <f t="array" ref="DJ156">IF(D156="","",_xlfn.LET(_xlpm.t,IFERROR(_xlfn.XLOOKUP(1,(Шины[Шина]=DH156)*(((Шины[Щит]=A156)+(Шины[Щит]=""))&gt;0),Шины[Тип]),"")&amp;"",IF(_xlpm.t&lt;&gt;"",_xlpm.t,IF(ISNUMBER(SEARCH("ИБП",DH156)),"ИБП",IF(ISNUMBER(SEARCH("ДГУ",DH156)),"ДГУ","Ввод "&amp;DI156)))))</f>
        <v>Ввод 1</v>
      </c>
      <c r="DK156" t="str">
        <f t="shared" si="211"/>
        <v>Ввод 1</v>
      </c>
      <c r="DL156" t="str">
        <f>IF(D156="","",IF(OR(DJ156="ИБП",DJ156="ДГУ"),"I особая",IF(DJ156="Одиночная","III",_xlfn.XLOOKUP(A156,Щиты[Щит],Щиты[Категория шины «Ввод»],"III"))))</f>
        <v>II</v>
      </c>
      <c r="DM156">
        <f>IF(D156="",0,IFERROR(MATCH(DE156,{"III","II","I","I особая"},0),1))</f>
        <v>2</v>
      </c>
      <c r="DN156">
        <f t="shared" si="212"/>
        <v>2</v>
      </c>
      <c r="DO156" t="str">
        <f>IF(D156="","",IF(DM156&gt;IFERROR(MATCH(DL156,{"III","II","I","I особая"},0),1),"НЕ ОБЕСПЕЧЕНА","ОК"))</f>
        <v>ОК</v>
      </c>
      <c r="DP156" t="str">
        <f>IF(A156="","",_xlfn.XLOOKUP(A156,Щиты[Щит],Щиты[Путь],""))</f>
        <v>|ГРЩ-ЖД|ЩР-001|</v>
      </c>
      <c r="DQ156" t="str">
        <f>IF(D156="","",IF(Z156&lt;&gt;"",Z156,IF(IFERROR(_xlfn.XLOOKUP(AT156,Коды_код,Коды_вид)&amp;"","")="","Прочее",_xlfn.XLOOKUP(AT156,Коды_код,Коды_вид)&amp;"")))</f>
        <v>Розеточная сеть и бытовые приборы</v>
      </c>
      <c r="DR156">
        <f>IF(BD156="","",INT((BD156-1)/Столбцов_на_лист)+1)</f>
        <v>1</v>
      </c>
      <c r="DS156" t="str">
        <f t="shared" si="213"/>
        <v>ВВГнг(А)-LS (3х2,5) L=39-0,4%</v>
      </c>
      <c r="DT156">
        <f t="shared" si="214"/>
        <v>0.3</v>
      </c>
      <c r="DU156">
        <f t="shared" si="215"/>
        <v>1.37</v>
      </c>
      <c r="DV156">
        <f t="shared" si="216"/>
        <v>1</v>
      </c>
      <c r="DW156">
        <f>IF(AT156="",0,_xlfn.LET(_xlpm.v,IFERROR(VLOOKUP(D156,УГО_спр,3,FALSE),IFERROR(VLOOKUP(AT156,УГО_спр,3,FALSE),IFERROR(VLOOKUP(LEFT(AT156,2),УГО_спр,3,FALSE),""))),IF(_xlpm.v="да",30,IF(ISNUMBER(_xlpm.v),_xlpm.v,0))))</f>
        <v>30</v>
      </c>
      <c r="DX156">
        <f t="shared" si="217"/>
        <v>0</v>
      </c>
      <c r="DY156">
        <f>IF(BD156="","",IF(AD156&lt;&gt;"",COUNTIFS(A$3:A156,A156,AD$3:AD156,"?*"),IF(OR(OR(AS156=1,A156&lt;&gt;A155),AL156="вручную"),"",IF(AS156=1,"",DZ155))))</f>
        <v>2</v>
      </c>
      <c r="DZ156">
        <f t="shared" si="218"/>
        <v>2</v>
      </c>
      <c r="EA156">
        <f>IF(D156="",0,MAX(IFERROR(--X156,0),IFERROR(--VLOOKUP(D156,УГО_спр,4,FALSE),IFERROR(--VLOOKUP(AT156,УГО_спр,4,FALSE),IFERROR(--VLOOKUP(LEFT(AT156,2),УГО_спр,4,FALSE),0)))))</f>
        <v>16</v>
      </c>
      <c r="EB156">
        <f>IF(D156="","",IFERROR(LOOKUP(INDEX(CHOOSE(BR156,Iдоп_1ж,Iдоп_2ж,Iдоп_3ж),MATCH(BS156,Iдоп_S,0))*BP156*BQ156,{6,10,16,20,25,32,40,50,63,80,100,125,160,200,250,315,400,500,630}),""))</f>
        <v>25</v>
      </c>
      <c r="EC156">
        <f>IF(AD156="","",SUMIFS(Линии[_Ток схемы],Линии[_гр.],DY156,Линии[Щит],A156,Линии[_в кабель выше],0))</f>
        <v>1.37</v>
      </c>
      <c r="ED156">
        <f>IF(AD156="","",IFERROR(VLOOKUP(EC156,Автомат_номиналы,2,TRUE),""))</f>
        <v>6</v>
      </c>
      <c r="EE156">
        <f>IF(AD156="","",MAX(N(ED156),_xlfn.MAXIFS(Линии[_мин. по типу],Линии[_гр.],DY156,Линии[Щит],A156)))</f>
        <v>16</v>
      </c>
      <c r="EF156">
        <f>IF(AD156="","",_xlfn.MINIFS(Линии[_макс. автомат по кабелю],Линии[_гр.],DY156,Линии[Щит],A156))</f>
        <v>25</v>
      </c>
      <c r="EG156">
        <f>IF(AD156="","",MAX(1,_xlfn.MAXIFS(Линии[_фаз],Линии[_гр.],DY156,Линии[Щит],A156)))</f>
        <v>1</v>
      </c>
      <c r="EH156">
        <f>IF(AD156="","",IF(AND(AD156&lt;&gt;"авто",AD156&lt;&gt;"+"),IF(ISNUMBER(SEARCH("мА",AD156)),IFERROR(--TRIM(RIGHT(SUBSTITUTE(LEFT(AD156,SEARCH("мА",AD156)-1)," ",REPT(" ",9)),6)),30),0),IF(AE156="нет",0,IF(ISNUMBER(AE156),AE156,IF(AE156="да",30,_xlfn.MINIFS(Линии[_дифзащита по коду, мА],Линии[_гр.],DY156,Линии[Щит],A156,Линии[_дифзащита по коду, мА],"&gt;0"))))))</f>
        <v>30</v>
      </c>
      <c r="EI156">
        <f t="shared" si="219"/>
        <v>1</v>
      </c>
      <c r="EJ156" t="str">
        <f t="shared" si="220"/>
        <v>QFD2</v>
      </c>
      <c r="EK156" t="str">
        <f t="shared" si="221"/>
        <v>QFD2</v>
      </c>
      <c r="EL156" t="str">
        <f t="shared" si="222"/>
        <v/>
      </c>
      <c r="EM156">
        <f t="shared" si="223"/>
        <v>0</v>
      </c>
      <c r="EN156">
        <f>IF(AD156="","",IF(EM156=1,MAX(EE156,Мин_автомат_БП),EE156))</f>
        <v>16</v>
      </c>
      <c r="EO156" t="str">
        <f t="shared" si="224"/>
        <v>2P</v>
      </c>
      <c r="EP156" t="str">
        <f t="shared" si="225"/>
        <v>2P С16А 30мА</v>
      </c>
      <c r="EQ156">
        <f t="shared" si="226"/>
        <v>16</v>
      </c>
      <c r="ER156" t="str">
        <f>IF(OR(AI156="",AI156="-"),"",IFERROR(VLOOKUP(AI156,Модули_спр,2,FALSE),"R"))</f>
        <v/>
      </c>
      <c r="ES156" t="str">
        <f>IF(ER156="","",ER156&amp;"."&amp;COUNTIFS(A$3:A156,A156,ER$3:ER156,ER156))</f>
        <v/>
      </c>
      <c r="ET156" t="str">
        <f t="shared" si="227"/>
        <v/>
      </c>
      <c r="EU156" t="str">
        <f t="shared" si="228"/>
        <v/>
      </c>
      <c r="EV156" t="str">
        <f t="shared" si="229"/>
        <v/>
      </c>
      <c r="EW156" t="str">
        <f t="shared" si="230"/>
        <v/>
      </c>
      <c r="EX156">
        <f t="shared" si="231"/>
        <v>1</v>
      </c>
      <c r="EY156" t="str">
        <f>IF(AK156="нет","",IF(AK156&lt;&gt;"",AK156,IF(EX156=1,"XT"&amp;COUNTIFS(A$3:A156,A156,EX$3:EX156,1),"")))</f>
        <v>XT2</v>
      </c>
      <c r="EZ156" t="str">
        <f t="shared" si="232"/>
        <v>QFD2</v>
      </c>
      <c r="FA156" t="str">
        <f t="shared" si="233"/>
        <v/>
      </c>
      <c r="FB156" t="str">
        <f t="shared" si="234"/>
        <v>ok</v>
      </c>
      <c r="FC156" t="str">
        <f>IF(OR(EV156="",ET156=""),"",IF(EV156&gt;IFERROR(VLOOKUP(EU156,Модули_спр,3,FALSE),99),"ЛИШНИЙ КАНАЛ",IF(AND(AJ156&lt;&gt;"=",COUNTIFS(Линии[_модуль гр.],ET156,Линии[Канал (итог)],EV156,Линии[Канал],"&lt;&gt;=",Линии[Щит],A156)&gt;1),"ДУБЛЬ КАНАЛА","")))</f>
        <v/>
      </c>
      <c r="FD156">
        <f t="shared" si="235"/>
        <v>16</v>
      </c>
      <c r="FE156" t="str">
        <f t="shared" si="236"/>
        <v>2P С16А 30мА</v>
      </c>
      <c r="FF156">
        <f t="shared" si="237"/>
        <v>1</v>
      </c>
      <c r="FG156">
        <f t="shared" si="238"/>
        <v>30</v>
      </c>
      <c r="FH156" t="str">
        <f t="shared" si="239"/>
        <v/>
      </c>
      <c r="FI156">
        <f t="shared" si="240"/>
        <v>10</v>
      </c>
      <c r="FJ156" t="str">
        <f t="shared" si="241"/>
        <v/>
      </c>
      <c r="FK156" t="str">
        <f>IF(AND(D156="",EZ156=""),"",_xlfn.TEXTJOIN("; ",TRUE,IF(AND(D156&lt;&gt;"",DD156=""),"нет фазы",""),IF(AND(D156&lt;&gt;"",N(DT156)=0,CN156&lt;&gt;"Нет"),"нет мощности",""),IF(AND(EY156&lt;&gt;"",COUNTIFS(Линии[Щит],A156,Линии[Клемма (итог)],EY156)&gt;1),"дубль клеммы "&amp;EY156,""),IF(AND(FB156&lt;&gt;"",FB156&lt;&gt;"ok"),FB156,""),IF(FC156&lt;&gt;"",FC156,""),IF(AND(ISNUMBER(SEARCH("(5х",DS156)),N(DV156)=1),"5 жил на 1 фазе",""),IF(AND(AT156="R",AD156&lt;&gt;"",OR(N(EH156)=0,N(EH156)&gt;30)),"розетка без дифзащиты до 30 мА",""),IFERROR(IF(AND(ISNUMBER(CD156),CD156&gt;CE156),"потери "&amp;FIXED(CD156,1)&amp;" % &gt; "&amp;CE156&amp;" %",""),""),IFERROR(IF(LEFT(FJ156,4)="мало","Iкз мало — отключение &gt; 0,4 с",""),""),IF(AND(D156&lt;&gt;"",BD156=""),"не на схеме","")))</f>
        <v/>
      </c>
      <c r="FL156">
        <f>IF(AD156="","",_xlfn.LET(_xlpm.t,IFERROR(_xlfn.XLOOKUP(EP156,Каталог!$U$4:$U$500,Каталог!$G$4:$G$500),""),_xlpm.k,SEARCH("кА",_xlpm.t),IFERROR(--TRIM(RIGHT(SUBSTITUTE(MID(_xlpm.t,MAX(1,_xlpm.k-4),_xlpm.k-MAX(1,_xlpm.k-4))," ",REPT(" ",9)),5)),"")))</f>
        <v>6</v>
      </c>
      <c r="FM156" t="str">
        <f>IF(OR(FL156="",AD156=""),"",IF(_xlfn.XLOOKUP(A156,Щиты[Щит],Щиты[Iкз max на шинах, кА],"")="","",IF(FL156&lt;_xlfn.XLOOKUP(A156,Щиты[Щит],Щиты[Iкз max на шинах, кА]),"Icu "&amp;FL156&amp;" кА &lt; Iкз max","ok")))</f>
        <v/>
      </c>
      <c r="FN156" t="str">
        <f t="shared" si="242"/>
        <v>QFD2|XT2</v>
      </c>
      <c r="FO156" t="str">
        <f t="shared" si="243"/>
        <v>QFD2|XT2|кабель ВВГнг(А)-LS (3х2,5) → Розеточная группа Подвальный этаж Пом. №003Т</v>
      </c>
      <c r="FP156" t="str" cm="1">
        <f t="array" ref="FP156">IF(FO156="","",_xlfn.LET(_xlpm.nd,_xlfn.TEXTSPLIT(FO156,"|"),IF(COLUMNS(_xlpm.nd)&gt;1,A156&amp;"¦"&amp;INDEX(_xlpm.nd,1)&amp;"¦"&amp;INDEX(_xlpm.nd,2),"")))</f>
        <v>ЩР-001¦QFD2¦XT2</v>
      </c>
      <c r="FQ156" t="str">
        <f t="shared" si="244"/>
        <v>R.00.003Т.1¦Розеточная группа Подвальный этаж Пом. №003Т</v>
      </c>
      <c r="FR156" t="str" cm="1">
        <f t="array" ref="FR156">IF(FO156="","",_xlfn.LET(_xlpm.nd,_xlfn.TEXTSPLIT(FO156,"|"),IF(COLUMNS(_xlpm.nd)&gt;2,A156&amp;"¦"&amp;INDEX(_xlpm.nd,2)&amp;"¦"&amp;INDEX(_xlpm.nd,3),"")))</f>
        <v>ЩР-001¦XT2¦кабель ВВГнг(А)-LS (3х2,5) → Розеточная группа Подвальный этаж Пом. №003Т</v>
      </c>
      <c r="FS156" t="str">
        <f t="shared" si="245"/>
        <v>R.00.003Т.1¦Розеточная группа Подвальный этаж Пом. №003Т</v>
      </c>
      <c r="FT156" t="str" cm="1">
        <f t="array" ref="FT156">IF(FO156="","",_xlfn.LET(_xlpm.nd,_xlfn.TEXTSPLIT(FO156,"|"),IF(COLUMNS(_xlpm.nd)&gt;3,A156&amp;"¦"&amp;INDEX(_xlpm.nd,3)&amp;"¦"&amp;INDEX(_xlpm.nd,4),"")))</f>
        <v/>
      </c>
      <c r="FU156" t="str">
        <f t="shared" si="246"/>
        <v/>
      </c>
      <c r="FV156" t="str" cm="1">
        <f t="array" ref="FV156">IF(FO156="","",_xlfn.LET(_xlpm.nd,_xlfn.TEXTSPLIT(FO156,"|"),IF(COLUMNS(_xlpm.nd)&gt;4,A156&amp;"¦"&amp;INDEX(_xlpm.nd,4)&amp;"¦"&amp;INDEX(_xlpm.nd,5),"")))</f>
        <v/>
      </c>
      <c r="FW156" t="str">
        <f t="shared" si="247"/>
        <v/>
      </c>
      <c r="FX156" t="str" cm="1">
        <f t="array" ref="FX156">IF(FO156="","",_xlfn.LET(_xlpm.nd,_xlfn.TEXTSPLIT(FO156,"|"),IF(COLUMNS(_xlpm.nd)&gt;5,A156&amp;"¦"&amp;INDEX(_xlpm.nd,5)&amp;"¦"&amp;INDEX(_xlpm.nd,6),"")))</f>
        <v/>
      </c>
      <c r="FY156" t="str">
        <f t="shared" si="248"/>
        <v/>
      </c>
      <c r="FZ156" t="str" cm="1">
        <f t="array" ref="FZ156">IF(FO156="","",_xlfn.LET(_xlpm.nd,_xlfn.TEXTSPLIT(FO156,"|"),IF(COLUMNS(_xlpm.nd)&gt;6,A156&amp;"¦"&amp;INDEX(_xlpm.nd,6)&amp;"¦"&amp;INDEX(_xlpm.nd,7),"")))</f>
        <v/>
      </c>
      <c r="GA156" t="str">
        <f t="shared" si="249"/>
        <v/>
      </c>
      <c r="GB156" t="str">
        <f t="shared" si="250"/>
        <v/>
      </c>
      <c r="GC156" t="str">
        <f t="shared" si="251"/>
        <v>QFD2 → XT2</v>
      </c>
      <c r="GD156">
        <f t="shared" si="252"/>
        <v>1</v>
      </c>
      <c r="GE156">
        <f t="shared" si="253"/>
        <v>0</v>
      </c>
      <c r="GF156">
        <f t="shared" si="254"/>
        <v>1</v>
      </c>
      <c r="GG156" t="str">
        <f t="shared" si="255"/>
        <v/>
      </c>
      <c r="GH156" t="str">
        <f t="shared" si="256"/>
        <v/>
      </c>
      <c r="GI156" t="str">
        <f t="shared" si="257"/>
        <v/>
      </c>
      <c r="GJ156" t="str">
        <f t="shared" si="258"/>
        <v/>
      </c>
      <c r="GK156" t="str">
        <f>IF(D156="","",IFERROR(VLOOKUP(D156,УГО_спр,2,FALSE),IFERROR(VLOOKUP(AT156,УГО_спр,2,FALSE),IFERROR(VLOOKUP(LEFT(AT156,2),УГО_спр,2,FALSE),""))))</f>
        <v>Розетка</v>
      </c>
      <c r="GL156" t="str">
        <f>IF(D156="","",IF(OR(GK156="",GK156=0),"BOX",IFERROR(IF(VLOOKUP(GK156,УГО_блоки,3,FALSE)&amp;""&lt;&gt;"",VLOOKUP(GK156,УГО_блоки,3,FALSE),VLOOKUP(GK156,УГО_блоки,2,FALSE)),GK156)))</f>
        <v>SOCKET</v>
      </c>
      <c r="GM156">
        <f t="shared" si="259"/>
        <v>1</v>
      </c>
      <c r="GN156" t="str">
        <f>IF(EP156="","",IF(COUNTIF(EP$3:EP156,EP156)=1,MAX(GN$2:GN155)+1,""))</f>
        <v/>
      </c>
      <c r="GO156" t="str">
        <f>IF(AF156="","",IF(COUNTIF(AF$3:AF156,AF156)+COUNTIF(AG$2:AG155,AF156)+COUNTIF(AH$2:AH155,AF156)=1,MAX(GO$2:GQ155)+1,""))</f>
        <v/>
      </c>
      <c r="GP156" t="str">
        <f>IF(AG156="","",IF(COUNTIF(AF$3:AF156,AG156)+COUNTIF(AG$3:AG156,AG156)+COUNTIF(AH$2:AH155,AG156)=1,MAX(GO$2:GQ155,GO156)+1,""))</f>
        <v/>
      </c>
      <c r="GQ156" t="str">
        <f>IF(AH156="","",IF(COUNTIF(AF$3:AF156,AH156)+COUNTIF(AG$3:AG156,AH156)+COUNTIF(AH$3:AH156,AH156)=1,MAX(GO$2:GQ155,GO156,GP156)+1,""))</f>
        <v/>
      </c>
      <c r="GR156" t="str">
        <f t="shared" si="260"/>
        <v>3х2,5</v>
      </c>
      <c r="GS156" t="str">
        <f>IF(GR156="","",IF(COUNTIF(GR$3:GR156,GR156)=1,MAX(GS$2:GS155)+1,""))</f>
        <v/>
      </c>
      <c r="GT156" t="str">
        <f>IF(ES156="","",COUNTIF(ES$3:ES156,"?*"))</f>
        <v/>
      </c>
      <c r="GU156" t="str">
        <f>IF(OR(ES156="",EU156=""),"",IF(COUNTIFS(ES$3:ES156,"?*",EU$3:EU156,EU156)=1,MAX(GU$2:GU155)+1,""))</f>
        <v/>
      </c>
      <c r="GV156">
        <f t="shared" si="261"/>
        <v>0</v>
      </c>
      <c r="GW156">
        <f>IF(D156="","",COUNTIF(D$3:D156,"?*"))</f>
        <v>154</v>
      </c>
      <c r="GX156">
        <f>IF(EX156&lt;&gt;1,0,_xlfn.LET(_xlpm.k,MAX(IFERROR(--VLOOKUP(D156,УГО_спр,5,FALSE),0),IFERROR(--VLOOKUP(AT156,УГО_спр,5,FALSE),0),IFERROR(--VLOOKUP(LEFT(AT156,2),УГО_спр,5,FALSE),0)),IF(_xlpm.k&gt;0,_xlpm.k,IF(IFERROR(--LEFT(SUBSTITUTE(GR156,"x","х"),FIND("х",SUBSTITUTE(GR156,"x","х"))-1),3)&gt;3,Каталог!$S$9,1))))</f>
        <v>1</v>
      </c>
      <c r="GY156">
        <f t="shared" si="262"/>
        <v>0</v>
      </c>
    </row>
    <row r="157" spans="1:207" x14ac:dyDescent="0.3">
      <c r="A157" t="s">
        <v>758</v>
      </c>
      <c r="B157">
        <v>10</v>
      </c>
      <c r="C157" t="str">
        <f>IF(BD157="","",IF(BE157="вводной узел","узел ","")&amp;"л."&amp;(INT((BD157-1)/Столбцов_на_лист)+1)&amp;" / "&amp;(MOD(BD157-1,Столбцов_на_лист)+1))</f>
        <v>л.1 / 10</v>
      </c>
      <c r="D157" t="s">
        <v>1461</v>
      </c>
      <c r="E157" s="133" t="str">
        <f t="shared" si="263"/>
        <v>Розеточная группа Подвальный этаж Пом. №004Т</v>
      </c>
      <c r="G157">
        <v>0.06</v>
      </c>
      <c r="H157">
        <v>1</v>
      </c>
      <c r="I157">
        <v>1</v>
      </c>
      <c r="J157">
        <v>230</v>
      </c>
      <c r="K157" t="s">
        <v>566</v>
      </c>
      <c r="O157">
        <v>2</v>
      </c>
      <c r="P157">
        <v>5</v>
      </c>
      <c r="Q157">
        <v>0</v>
      </c>
      <c r="R157">
        <v>0</v>
      </c>
      <c r="S157">
        <v>5</v>
      </c>
      <c r="U157" t="s">
        <v>11</v>
      </c>
      <c r="V157">
        <v>3</v>
      </c>
      <c r="W157">
        <v>2.5</v>
      </c>
      <c r="X157">
        <v>16</v>
      </c>
      <c r="Z157" t="s">
        <v>565</v>
      </c>
      <c r="AA157" t="s">
        <v>818</v>
      </c>
      <c r="AD157" t="s">
        <v>517</v>
      </c>
      <c r="AR157" t="str">
        <f t="shared" si="176"/>
        <v/>
      </c>
      <c r="AS157" cm="1">
        <f t="array" ref="AS157">ROW()-ROW(Линии[#Headers])</f>
        <v>155</v>
      </c>
      <c r="AT157" t="str">
        <f t="shared" si="177"/>
        <v>R</v>
      </c>
      <c r="AU157" t="str">
        <f t="shared" si="178"/>
        <v>00.004Т.1</v>
      </c>
      <c r="AV157" t="str">
        <f t="shared" si="179"/>
        <v>00</v>
      </c>
      <c r="AW157" t="str">
        <f t="shared" si="180"/>
        <v>004Т.1</v>
      </c>
      <c r="AX157" t="str">
        <f t="shared" si="181"/>
        <v>004Т</v>
      </c>
      <c r="AY157" t="str">
        <f>IF(D157="","",IF(ISERROR(SEARCH(".",D157)),IFERROR(VLOOKUP(D157,Потребители_обозначение,2,FALSE)&amp;"",""),IFERROR(IF(VLOOKUP(AT157,Потребители_обозначение,4,FALSE)=1,VLOOKUP(AT157,Потребители_обозначение,2,FALSE)&amp;" "&amp;VLOOKUP(AV157,Этаж_обозначение,2,FALSE)&amp;" Пом. №"&amp;AX157,VLOOKUP(AT157,Потребители_обозначение,2,FALSE)&amp;" Шлейф №"&amp;AV157),IFERROR(VLOOKUP(D157,Потребители_обозначение,2,FALSE),""))))</f>
        <v>Розеточная группа Подвальный этаж Пом. №004Т</v>
      </c>
      <c r="AZ157" t="str">
        <f t="shared" si="182"/>
        <v>Розеточная группа Подвальный этаж Пом. №004Т</v>
      </c>
      <c r="BA157" t="str">
        <f>IF(F157&lt;&gt;"",F157,IF(AND(D157&lt;&gt;"",D157&lt;&gt;A157,ISNUMBER(_xlfn.XMATCH(D157,Щиты[Щит]))),D157,""))</f>
        <v/>
      </c>
      <c r="BB157">
        <f>IFERROR(_xlfn.XMATCH(A157,Щиты[Щит]),0)</f>
        <v>8</v>
      </c>
      <c r="BC157">
        <f>IFERROR(N(_xlfn.XLOOKUP(A157,Щиты[Щит],Щиты[Мест под вводной узел])),15)</f>
        <v>7</v>
      </c>
      <c r="BD157">
        <f t="shared" si="183"/>
        <v>10</v>
      </c>
      <c r="BE157" t="str">
        <f t="shared" si="184"/>
        <v>линии</v>
      </c>
      <c r="BF157">
        <f>IF(D157="","",IF(BA157&lt;&gt;"",IFERROR(_xlfn.XLOOKUP(BA157,Щиты[Щит],Щиты[Руст, кВт]),0),N(G157)))</f>
        <v>0.06</v>
      </c>
      <c r="BG157">
        <f>IF(J157&lt;&gt;"",J157,IF(D157="","",IFERROR(IF(VLOOKUP(AT157,Потребители_обозначение,8,FALSE)=0,"",VLOOKUP(AT157,Потребители_обозначение,8,FALSE)),"")))</f>
        <v>230</v>
      </c>
      <c r="BH157">
        <f>IF(I157&lt;&gt;"",I157,IF(D157="","",IFERROR(IF(VLOOKUP(AT157,Потребители_обозначение,9,FALSE)=0,"",VLOOKUP(AT157,Потребители_обозначение,9,FALSE)),"")))</f>
        <v>1</v>
      </c>
      <c r="BI157" t="str">
        <f>IF(U157&lt;&gt;"",U157,IF(D157="","",IFERROR(IF(VLOOKUP(AT157,Потребители_обозначение,6,FALSE)=0,"",VLOOKUP(AT157,Потребители_обозначение,6,FALSE)),"")))</f>
        <v>мс</v>
      </c>
      <c r="BJ157">
        <f>IF(V157&lt;&gt;"",V157,IF(D157="","",IFERROR(IF(VLOOKUP(AT157,Потребители_обозначение,7,FALSE)=0,"",VLOOKUP(AT157,Потребители_обозначение,7,FALSE)),"")))</f>
        <v>3</v>
      </c>
      <c r="BK157">
        <f>IF(W157&lt;&gt;"",W157,IF(D157="","",IFERROR(IF(VLOOKUP(AT157,Потребители_обозначение,10,FALSE)=0,"",VLOOKUP(AT157,Потребители_обозначение,10,FALSE)),"")))</f>
        <v>2.5</v>
      </c>
      <c r="BL157">
        <f>IFERROR(VLOOKUP(AT157,Потребители_обозначение,5,FALSE),0)</f>
        <v>1</v>
      </c>
      <c r="BM157" cm="1">
        <f t="array" ref="BM157">IF(D157="","",IF(BA157&lt;&gt;"",IFERROR(_xlfn.XLOOKUP(BA157,Щиты[Щит],Щиты[cos φ]),0.95),IF(ISNUMBER(M157),M157,IFERROR(IF(BL157=2,_xlfn.IFS(BH157=3,VLOOKUP(BF157,Справочная_двигатели,8,FALSE),BH157=1,VLOOKUP(BF157,Справочная_двигатели,10,TRUE)),IF(AND(Методика="нормы 2026",CN157="Сил"),0.8,0.95)),0.95))))</f>
        <v>0.95</v>
      </c>
      <c r="BN157" cm="1">
        <f t="array" ref="BN157">IF(D157="","",IF(BA157&lt;&gt;"",IFERROR(_xlfn.XLOOKUP(BA157,Щиты[Щит],Щиты[Iр, А]),""),IFERROR(_xlfn.IFS(BH157=1,BF157/((Uн_лин/SQRT(3))*BM157),BH157=3,BF157/(SQRT(3)*Uн_лин*BM157)),"")))</f>
        <v>0.27348170645824377</v>
      </c>
      <c r="BO157">
        <f>IF(D157="","",IF(N(X157)=0,IFERROR(VLOOKUP(BN157,Автомат_номиналы,2,TRUE),""),X157))</f>
        <v>16</v>
      </c>
      <c r="BP157">
        <f t="shared" si="185"/>
        <v>1</v>
      </c>
      <c r="BQ157">
        <f>IF(ISNUMBER(Y157),Y157,К_прокл)</f>
        <v>1</v>
      </c>
      <c r="BR157">
        <f t="shared" si="186"/>
        <v>2</v>
      </c>
      <c r="BS157" cm="1">
        <f t="array" ref="BS157">IF(D157="","",IF(N(BK157)&lt;&gt;0,BK157,IFERROR(_xlfn.LET(_xlpm.need,BO157/(BP157*BQ157),_xlpm.t,CHOOSE(BR157,Iдоп_1ж,Iдоп_2ж,Iдоп_3ж),_xlpm.k,_xlfn.XMATCH(_xlpm.need,_xlpm.t,1),IF(ISNA(_xlpm.k),"Не исп",INDEX(Iдоп_S,_xlpm.k))),"Не исп")))</f>
        <v>2.5</v>
      </c>
      <c r="BT157">
        <f>IFERROR(VLOOKUP(BS157,Кабель_сопротивление,3,FALSE),"")</f>
        <v>2.2499999999999999E-2</v>
      </c>
      <c r="BU157">
        <f>IFERROR(VLOOKUP(BS157,Кабель_сопротивление,2,FALSE),"")</f>
        <v>0.1</v>
      </c>
      <c r="BV157">
        <f t="shared" si="187"/>
        <v>5</v>
      </c>
      <c r="BW157">
        <f>IF(D157="","",IFERROR(IF(VLOOKUP(AT157,Потребители_обозначение,4,FALSE)=1,VLOOKUP(AT157,Потребители_обозначение,3,FALSE)*(H157*2-1)+BV157+VLOOKUP(AV157,Этаж_обозначение,3,FALSE)+VLOOKUP(AV157,Этаж_обозначение,4,FALSE),VLOOKUP(AT157,Потребители_обозначение,3,FALSE)*(H157*2-1)+BV157),BV157))</f>
        <v>8</v>
      </c>
      <c r="BX157">
        <f t="shared" si="188"/>
        <v>0</v>
      </c>
      <c r="BY157">
        <f t="shared" si="189"/>
        <v>5</v>
      </c>
      <c r="BZ157">
        <f t="shared" si="190"/>
        <v>2</v>
      </c>
      <c r="CA157">
        <f t="shared" si="191"/>
        <v>0.31</v>
      </c>
      <c r="CB157">
        <f t="shared" si="192"/>
        <v>3.7547944369891027E-2</v>
      </c>
      <c r="CC157">
        <f>IFERROR(ROUNDUP(CB157/((Uн_лин/SQRT(3))*1000)*100,2),"")</f>
        <v>0.02</v>
      </c>
      <c r="CD157">
        <f>IF(ISNUMBER(CC157),CC157+IFERROR(_xlfn.XLOOKUP(A157,Щиты[Щит],Щиты[ΔU до шин, %]),0),"")</f>
        <v>1.59</v>
      </c>
      <c r="CE157">
        <f>IF(D157="","",IF(IFERROR(VLOOKUP(AT157,УГО_спр,2,FALSE),"")="Светильник",3,4)+IF(Методика="нормы 2026",MIN(0.5,MAX(0,N(BW157)-100)*0.005),0))</f>
        <v>4</v>
      </c>
      <c r="CF157" t="str">
        <f>IFERROR(VLOOKUP(BI157,Кабель_обозначение,2,FALSE),"")</f>
        <v>ВВГнг(А)-LS</v>
      </c>
      <c r="CG157" t="str">
        <f>IFERROR(IF(VLOOKUP(BI157,Кабель_обозначение,3,FALSE)=1,CF157&amp;" ("&amp;BJ157&amp;"х"&amp;BS157&amp;")",CF157),"")</f>
        <v>ВВГнг(А)-LS (3х2,5)</v>
      </c>
      <c r="CH157" t="str">
        <f t="shared" si="193"/>
        <v>ВВГнг(А)-LS (3х2,5)
L=8-0,02%</v>
      </c>
      <c r="CI157">
        <f>IFERROR(2*ρкз_Cu*BW157/BS157,"")</f>
        <v>0.16832</v>
      </c>
      <c r="CJ157">
        <f t="shared" si="194"/>
        <v>5.6000000000000008E-2</v>
      </c>
      <c r="CK157" t="str">
        <f>IFERROR(IF(OR(D157="",NOT(ISNUMBER(BS157)),N(BW157)=0),"",_xlfn.XLOOKUP(A157,Щиты[Щит],Щиты[Zпетли на шинах, Ом])+CI157),"")</f>
        <v/>
      </c>
      <c r="CL157" t="str">
        <f>IF(ISNUMBER(CK157),c_min*(Uн_лин*1000/SQRT(3))/CK157,"")</f>
        <v/>
      </c>
      <c r="CM157" t="str">
        <f>IFERROR(IF(OR(D157="",NOT(ISNUMBER(BS157))),"",1.05*(Uн_лин*1000/SQRT(3))/(_xlfn.XLOOKUP(A157,Щиты[Щит],Щиты[Zmax на шинах, Ом])+CJ157)/1000),"")</f>
        <v/>
      </c>
      <c r="CN157" t="str">
        <f>IF(D157="","",IF(BA157&lt;&gt;"","Щит",IF(K157&lt;&gt;"",K157,IF(ISNUMBER(L157),"Сил",IF(IFERROR(_xlfn.XLOOKUP(AT157,Коды_код,Коды_группа)&amp;"","")="","Быт",_xlfn.XLOOKUP(AT157,Коды_код,Коды_группа)&amp;"")))))</f>
        <v>Быт</v>
      </c>
      <c r="CO157">
        <f>IF(CN157="Щит","щит",IF(CN157="","",IF(CN157="Быт",IFERROR(_xlfn.XLOOKUP(A157,Щиты[Щит],Щиты[Кс быт]),1),IF(CN157="Сил",IF(ISNUMBER(L157),L157,IF(Методика="нормы 2026",IFERROR(_xlfn.XLOOKUP(A157,Щиты[Щит],Щиты[Кс силовых (табл. 7.5)]),1),1)),IF(OR(CN157="Пост",CN157="Отоп"),1,IF(CN157="ВНГ",0.7,0))))))</f>
        <v>0.8</v>
      </c>
      <c r="CP157">
        <f t="shared" si="195"/>
        <v>1</v>
      </c>
      <c r="CQ157">
        <f t="shared" si="196"/>
        <v>0.06</v>
      </c>
      <c r="CR157">
        <f t="shared" si="197"/>
        <v>0.06</v>
      </c>
      <c r="CS157">
        <f t="shared" si="198"/>
        <v>0</v>
      </c>
      <c r="CT157">
        <f t="shared" si="199"/>
        <v>0</v>
      </c>
      <c r="CU157">
        <f t="shared" si="200"/>
        <v>0</v>
      </c>
      <c r="CV157">
        <f t="shared" si="201"/>
        <v>0</v>
      </c>
      <c r="CW157">
        <f t="shared" si="202"/>
        <v>0.06</v>
      </c>
      <c r="CX157">
        <f t="shared" si="203"/>
        <v>5.6999999999999995E-2</v>
      </c>
      <c r="CY157">
        <f t="shared" si="204"/>
        <v>3</v>
      </c>
      <c r="CZ157" t="str">
        <f t="shared" si="205"/>
        <v>L3</v>
      </c>
      <c r="DA157" cm="1">
        <f t="array" ref="DA157">IFERROR(IF(BL157=2,_xlfn.IFS(BH157=3,VLOOKUP(BF157,Справочная_двигатели,3,FALSE),BH157=1,VLOOKUP(BF157,Справочная_двигатели,5,TRUE)),0),0)</f>
        <v>0</v>
      </c>
      <c r="DB157">
        <f>IFERROR(IF(BL157=3,VLOOKUP(BF157,Справочная_ЛЭД,2,TRUE),0),0)</f>
        <v>0</v>
      </c>
      <c r="DC157">
        <f t="shared" si="206"/>
        <v>0</v>
      </c>
      <c r="DD157" t="str">
        <f t="shared" si="207"/>
        <v>L2</v>
      </c>
      <c r="DE157" t="str" cm="1">
        <f t="array" ref="DE157">IF(D157="","",IFERROR(INDEX({"I особая","I","II","III"},MATCH(TRIM(AA157&amp;""),{"I особая","I","II","III"},0)),"III"))</f>
        <v>II</v>
      </c>
      <c r="DF157" t="str">
        <f>IF(D157="","",IF(TRIM(AB157&amp;"")&lt;&gt;"",IF(LOWER(TRIM(AB157&amp;""))="да","да","нет"),IF(IFERROR(_xlfn.XLOOKUP(AT157,Коды_код,Коды_пожарная),"")="да","да","нет")))</f>
        <v>нет</v>
      </c>
      <c r="DG157" t="str">
        <f t="shared" si="208"/>
        <v/>
      </c>
      <c r="DH157" t="str">
        <f t="shared" si="209"/>
        <v>основная</v>
      </c>
      <c r="DI157">
        <f t="shared" si="210"/>
        <v>1</v>
      </c>
      <c r="DJ157" t="str" cm="1">
        <f t="array" ref="DJ157">IF(D157="","",_xlfn.LET(_xlpm.t,IFERROR(_xlfn.XLOOKUP(1,(Шины[Шина]=DH157)*(((Шины[Щит]=A157)+(Шины[Щит]=""))&gt;0),Шины[Тип]),"")&amp;"",IF(_xlpm.t&lt;&gt;"",_xlpm.t,IF(ISNUMBER(SEARCH("ИБП",DH157)),"ИБП",IF(ISNUMBER(SEARCH("ДГУ",DH157)),"ДГУ","Ввод "&amp;DI157)))))</f>
        <v>Ввод 1</v>
      </c>
      <c r="DK157" t="str">
        <f t="shared" si="211"/>
        <v>Ввод 1</v>
      </c>
      <c r="DL157" t="str">
        <f>IF(D157="","",IF(OR(DJ157="ИБП",DJ157="ДГУ"),"I особая",IF(DJ157="Одиночная","III",_xlfn.XLOOKUP(A157,Щиты[Щит],Щиты[Категория шины «Ввод»],"III"))))</f>
        <v>II</v>
      </c>
      <c r="DM157">
        <f>IF(D157="",0,IFERROR(MATCH(DE157,{"III","II","I","I особая"},0),1))</f>
        <v>2</v>
      </c>
      <c r="DN157">
        <f t="shared" si="212"/>
        <v>2</v>
      </c>
      <c r="DO157" t="str">
        <f>IF(D157="","",IF(DM157&gt;IFERROR(MATCH(DL157,{"III","II","I","I особая"},0),1),"НЕ ОБЕСПЕЧЕНА","ОК"))</f>
        <v>ОК</v>
      </c>
      <c r="DP157" t="str">
        <f>IF(A157="","",_xlfn.XLOOKUP(A157,Щиты[Щит],Щиты[Путь],""))</f>
        <v>|ГРЩ-ЖД|ЩР-001|</v>
      </c>
      <c r="DQ157" t="str">
        <f>IF(D157="","",IF(Z157&lt;&gt;"",Z157,IF(IFERROR(_xlfn.XLOOKUP(AT157,Коды_код,Коды_вид)&amp;"","")="","Прочее",_xlfn.XLOOKUP(AT157,Коды_код,Коды_вид)&amp;"")))</f>
        <v>Розеточная сеть и бытовые приборы</v>
      </c>
      <c r="DR157">
        <f>IF(BD157="","",INT((BD157-1)/Столбцов_на_лист)+1)</f>
        <v>1</v>
      </c>
      <c r="DS157" t="str">
        <f t="shared" si="213"/>
        <v>ВВГнг(А)-LS (3х2,5) L=8-0,02%</v>
      </c>
      <c r="DT157">
        <f t="shared" si="214"/>
        <v>0.06</v>
      </c>
      <c r="DU157">
        <f t="shared" si="215"/>
        <v>0.28000000000000003</v>
      </c>
      <c r="DV157">
        <f t="shared" si="216"/>
        <v>1</v>
      </c>
      <c r="DW157">
        <f>IF(AT157="",0,_xlfn.LET(_xlpm.v,IFERROR(VLOOKUP(D157,УГО_спр,3,FALSE),IFERROR(VLOOKUP(AT157,УГО_спр,3,FALSE),IFERROR(VLOOKUP(LEFT(AT157,2),УГО_спр,3,FALSE),""))),IF(_xlpm.v="да",30,IF(ISNUMBER(_xlpm.v),_xlpm.v,0))))</f>
        <v>30</v>
      </c>
      <c r="DX157">
        <f t="shared" si="217"/>
        <v>0</v>
      </c>
      <c r="DY157">
        <f>IF(BD157="","",IF(AD157&lt;&gt;"",COUNTIFS(A$3:A157,A157,AD$3:AD157,"?*"),IF(OR(OR(AS157=1,A157&lt;&gt;A156),AL157="вручную"),"",IF(AS157=1,"",DZ156))))</f>
        <v>3</v>
      </c>
      <c r="DZ157">
        <f t="shared" si="218"/>
        <v>3</v>
      </c>
      <c r="EA157">
        <f>IF(D157="",0,MAX(IFERROR(--X157,0),IFERROR(--VLOOKUP(D157,УГО_спр,4,FALSE),IFERROR(--VLOOKUP(AT157,УГО_спр,4,FALSE),IFERROR(--VLOOKUP(LEFT(AT157,2),УГО_спр,4,FALSE),0)))))</f>
        <v>16</v>
      </c>
      <c r="EB157">
        <f>IF(D157="","",IFERROR(LOOKUP(INDEX(CHOOSE(BR157,Iдоп_1ж,Iдоп_2ж,Iдоп_3ж),MATCH(BS157,Iдоп_S,0))*BP157*BQ157,{6,10,16,20,25,32,40,50,63,80,100,125,160,200,250,315,400,500,630}),""))</f>
        <v>25</v>
      </c>
      <c r="EC157">
        <f>IF(AD157="","",SUMIFS(Линии[_Ток схемы],Линии[_гр.],DY157,Линии[Щит],A157,Линии[_в кабель выше],0))</f>
        <v>0.28000000000000003</v>
      </c>
      <c r="ED157">
        <f>IF(AD157="","",IFERROR(VLOOKUP(EC157,Автомат_номиналы,2,TRUE),""))</f>
        <v>6</v>
      </c>
      <c r="EE157">
        <f>IF(AD157="","",MAX(N(ED157),_xlfn.MAXIFS(Линии[_мин. по типу],Линии[_гр.],DY157,Линии[Щит],A157)))</f>
        <v>16</v>
      </c>
      <c r="EF157">
        <f>IF(AD157="","",_xlfn.MINIFS(Линии[_макс. автомат по кабелю],Линии[_гр.],DY157,Линии[Щит],A157))</f>
        <v>25</v>
      </c>
      <c r="EG157">
        <f>IF(AD157="","",MAX(1,_xlfn.MAXIFS(Линии[_фаз],Линии[_гр.],DY157,Линии[Щит],A157)))</f>
        <v>1</v>
      </c>
      <c r="EH157">
        <f>IF(AD157="","",IF(AND(AD157&lt;&gt;"авто",AD157&lt;&gt;"+"),IF(ISNUMBER(SEARCH("мА",AD157)),IFERROR(--TRIM(RIGHT(SUBSTITUTE(LEFT(AD157,SEARCH("мА",AD157)-1)," ",REPT(" ",9)),6)),30),0),IF(AE157="нет",0,IF(ISNUMBER(AE157),AE157,IF(AE157="да",30,_xlfn.MINIFS(Линии[_дифзащита по коду, мА],Линии[_гр.],DY157,Линии[Щит],A157,Линии[_дифзащита по коду, мА],"&gt;0"))))))</f>
        <v>30</v>
      </c>
      <c r="EI157">
        <f t="shared" si="219"/>
        <v>1</v>
      </c>
      <c r="EJ157" t="str">
        <f t="shared" si="220"/>
        <v>QFD3</v>
      </c>
      <c r="EK157" t="str">
        <f t="shared" si="221"/>
        <v>QFD3</v>
      </c>
      <c r="EL157" t="str">
        <f t="shared" si="222"/>
        <v/>
      </c>
      <c r="EM157">
        <f t="shared" si="223"/>
        <v>0</v>
      </c>
      <c r="EN157">
        <f>IF(AD157="","",IF(EM157=1,MAX(EE157,Мин_автомат_БП),EE157))</f>
        <v>16</v>
      </c>
      <c r="EO157" t="str">
        <f t="shared" si="224"/>
        <v>2P</v>
      </c>
      <c r="EP157" t="str">
        <f t="shared" si="225"/>
        <v>2P С16А 30мА</v>
      </c>
      <c r="EQ157">
        <f t="shared" si="226"/>
        <v>16</v>
      </c>
      <c r="ER157" t="str">
        <f>IF(OR(AI157="",AI157="-"),"",IFERROR(VLOOKUP(AI157,Модули_спр,2,FALSE),"R"))</f>
        <v/>
      </c>
      <c r="ES157" t="str">
        <f>IF(ER157="","",ER157&amp;"."&amp;COUNTIFS(A$3:A157,A157,ER$3:ER157,ER157))</f>
        <v/>
      </c>
      <c r="ET157" t="str">
        <f t="shared" si="227"/>
        <v/>
      </c>
      <c r="EU157" t="str">
        <f t="shared" si="228"/>
        <v/>
      </c>
      <c r="EV157" t="str">
        <f t="shared" si="229"/>
        <v/>
      </c>
      <c r="EW157" t="str">
        <f t="shared" si="230"/>
        <v/>
      </c>
      <c r="EX157">
        <f t="shared" si="231"/>
        <v>1</v>
      </c>
      <c r="EY157" t="str">
        <f>IF(AK157="нет","",IF(AK157&lt;&gt;"",AK157,IF(EX157=1,"XT"&amp;COUNTIFS(A$3:A157,A157,EX$3:EX157,1),"")))</f>
        <v>XT3</v>
      </c>
      <c r="EZ157" t="str">
        <f t="shared" si="232"/>
        <v>QFD3</v>
      </c>
      <c r="FA157" t="str">
        <f t="shared" si="233"/>
        <v/>
      </c>
      <c r="FB157" t="str">
        <f t="shared" si="234"/>
        <v>ok</v>
      </c>
      <c r="FC157" t="str">
        <f>IF(OR(EV157="",ET157=""),"",IF(EV157&gt;IFERROR(VLOOKUP(EU157,Модули_спр,3,FALSE),99),"ЛИШНИЙ КАНАЛ",IF(AND(AJ157&lt;&gt;"=",COUNTIFS(Линии[_модуль гр.],ET157,Линии[Канал (итог)],EV157,Линии[Канал],"&lt;&gt;=",Линии[Щит],A157)&gt;1),"ДУБЛЬ КАНАЛА","")))</f>
        <v/>
      </c>
      <c r="FD157">
        <f t="shared" si="235"/>
        <v>16</v>
      </c>
      <c r="FE157" t="str">
        <f t="shared" si="236"/>
        <v>2P С16А 30мА</v>
      </c>
      <c r="FF157">
        <f t="shared" si="237"/>
        <v>1</v>
      </c>
      <c r="FG157">
        <f t="shared" si="238"/>
        <v>30</v>
      </c>
      <c r="FH157" t="str">
        <f t="shared" si="239"/>
        <v/>
      </c>
      <c r="FI157">
        <f t="shared" si="240"/>
        <v>10</v>
      </c>
      <c r="FJ157" t="str">
        <f t="shared" si="241"/>
        <v/>
      </c>
      <c r="FK157" t="str">
        <f>IF(AND(D157="",EZ157=""),"",_xlfn.TEXTJOIN("; ",TRUE,IF(AND(D157&lt;&gt;"",DD157=""),"нет фазы",""),IF(AND(D157&lt;&gt;"",N(DT157)=0,CN157&lt;&gt;"Нет"),"нет мощности",""),IF(AND(EY157&lt;&gt;"",COUNTIFS(Линии[Щит],A157,Линии[Клемма (итог)],EY157)&gt;1),"дубль клеммы "&amp;EY157,""),IF(AND(FB157&lt;&gt;"",FB157&lt;&gt;"ok"),FB157,""),IF(FC157&lt;&gt;"",FC157,""),IF(AND(ISNUMBER(SEARCH("(5х",DS157)),N(DV157)=1),"5 жил на 1 фазе",""),IF(AND(AT157="R",AD157&lt;&gt;"",OR(N(EH157)=0,N(EH157)&gt;30)),"розетка без дифзащиты до 30 мА",""),IFERROR(IF(AND(ISNUMBER(CD157),CD157&gt;CE157),"потери "&amp;FIXED(CD157,1)&amp;" % &gt; "&amp;CE157&amp;" %",""),""),IFERROR(IF(LEFT(FJ157,4)="мало","Iкз мало — отключение &gt; 0,4 с",""),""),IF(AND(D157&lt;&gt;"",BD157=""),"не на схеме","")))</f>
        <v/>
      </c>
      <c r="FL157">
        <f>IF(AD157="","",_xlfn.LET(_xlpm.t,IFERROR(_xlfn.XLOOKUP(EP157,Каталог!$U$4:$U$500,Каталог!$G$4:$G$500),""),_xlpm.k,SEARCH("кА",_xlpm.t),IFERROR(--TRIM(RIGHT(SUBSTITUTE(MID(_xlpm.t,MAX(1,_xlpm.k-4),_xlpm.k-MAX(1,_xlpm.k-4))," ",REPT(" ",9)),5)),"")))</f>
        <v>6</v>
      </c>
      <c r="FM157" t="str">
        <f>IF(OR(FL157="",AD157=""),"",IF(_xlfn.XLOOKUP(A157,Щиты[Щит],Щиты[Iкз max на шинах, кА],"")="","",IF(FL157&lt;_xlfn.XLOOKUP(A157,Щиты[Щит],Щиты[Iкз max на шинах, кА]),"Icu "&amp;FL157&amp;" кА &lt; Iкз max","ok")))</f>
        <v/>
      </c>
      <c r="FN157" t="str">
        <f t="shared" si="242"/>
        <v>QFD3|XT3</v>
      </c>
      <c r="FO157" t="str">
        <f t="shared" si="243"/>
        <v>QFD3|XT3|кабель ВВГнг(А)-LS (3х2,5) → Розеточная группа Подвальный этаж Пом. №004Т</v>
      </c>
      <c r="FP157" t="str" cm="1">
        <f t="array" ref="FP157">IF(FO157="","",_xlfn.LET(_xlpm.nd,_xlfn.TEXTSPLIT(FO157,"|"),IF(COLUMNS(_xlpm.nd)&gt;1,A157&amp;"¦"&amp;INDEX(_xlpm.nd,1)&amp;"¦"&amp;INDEX(_xlpm.nd,2),"")))</f>
        <v>ЩР-001¦QFD3¦XT3</v>
      </c>
      <c r="FQ157" t="str">
        <f t="shared" si="244"/>
        <v>R.00.004Т.1¦Розеточная группа Подвальный этаж Пом. №004Т</v>
      </c>
      <c r="FR157" t="str" cm="1">
        <f t="array" ref="FR157">IF(FO157="","",_xlfn.LET(_xlpm.nd,_xlfn.TEXTSPLIT(FO157,"|"),IF(COLUMNS(_xlpm.nd)&gt;2,A157&amp;"¦"&amp;INDEX(_xlpm.nd,2)&amp;"¦"&amp;INDEX(_xlpm.nd,3),"")))</f>
        <v>ЩР-001¦XT3¦кабель ВВГнг(А)-LS (3х2,5) → Розеточная группа Подвальный этаж Пом. №004Т</v>
      </c>
      <c r="FS157" t="str">
        <f t="shared" si="245"/>
        <v>R.00.004Т.1¦Розеточная группа Подвальный этаж Пом. №004Т</v>
      </c>
      <c r="FT157" t="str" cm="1">
        <f t="array" ref="FT157">IF(FO157="","",_xlfn.LET(_xlpm.nd,_xlfn.TEXTSPLIT(FO157,"|"),IF(COLUMNS(_xlpm.nd)&gt;3,A157&amp;"¦"&amp;INDEX(_xlpm.nd,3)&amp;"¦"&amp;INDEX(_xlpm.nd,4),"")))</f>
        <v/>
      </c>
      <c r="FU157" t="str">
        <f t="shared" si="246"/>
        <v/>
      </c>
      <c r="FV157" t="str" cm="1">
        <f t="array" ref="FV157">IF(FO157="","",_xlfn.LET(_xlpm.nd,_xlfn.TEXTSPLIT(FO157,"|"),IF(COLUMNS(_xlpm.nd)&gt;4,A157&amp;"¦"&amp;INDEX(_xlpm.nd,4)&amp;"¦"&amp;INDEX(_xlpm.nd,5),"")))</f>
        <v/>
      </c>
      <c r="FW157" t="str">
        <f t="shared" si="247"/>
        <v/>
      </c>
      <c r="FX157" t="str" cm="1">
        <f t="array" ref="FX157">IF(FO157="","",_xlfn.LET(_xlpm.nd,_xlfn.TEXTSPLIT(FO157,"|"),IF(COLUMNS(_xlpm.nd)&gt;5,A157&amp;"¦"&amp;INDEX(_xlpm.nd,5)&amp;"¦"&amp;INDEX(_xlpm.nd,6),"")))</f>
        <v/>
      </c>
      <c r="FY157" t="str">
        <f t="shared" si="248"/>
        <v/>
      </c>
      <c r="FZ157" t="str" cm="1">
        <f t="array" ref="FZ157">IF(FO157="","",_xlfn.LET(_xlpm.nd,_xlfn.TEXTSPLIT(FO157,"|"),IF(COLUMNS(_xlpm.nd)&gt;6,A157&amp;"¦"&amp;INDEX(_xlpm.nd,6)&amp;"¦"&amp;INDEX(_xlpm.nd,7),"")))</f>
        <v/>
      </c>
      <c r="GA157" t="str">
        <f t="shared" si="249"/>
        <v/>
      </c>
      <c r="GB157" t="str">
        <f t="shared" si="250"/>
        <v/>
      </c>
      <c r="GC157" t="str">
        <f t="shared" si="251"/>
        <v>QFD3 → XT3</v>
      </c>
      <c r="GD157">
        <f t="shared" si="252"/>
        <v>1</v>
      </c>
      <c r="GE157">
        <f t="shared" si="253"/>
        <v>0</v>
      </c>
      <c r="GF157">
        <f t="shared" si="254"/>
        <v>1</v>
      </c>
      <c r="GG157" t="str">
        <f t="shared" si="255"/>
        <v/>
      </c>
      <c r="GH157" t="str">
        <f t="shared" si="256"/>
        <v/>
      </c>
      <c r="GI157" t="str">
        <f t="shared" si="257"/>
        <v/>
      </c>
      <c r="GJ157" t="str">
        <f t="shared" si="258"/>
        <v/>
      </c>
      <c r="GK157" t="str">
        <f>IF(D157="","",IFERROR(VLOOKUP(D157,УГО_спр,2,FALSE),IFERROR(VLOOKUP(AT157,УГО_спр,2,FALSE),IFERROR(VLOOKUP(LEFT(AT157,2),УГО_спр,2,FALSE),""))))</f>
        <v>Розетка</v>
      </c>
      <c r="GL157" t="str">
        <f>IF(D157="","",IF(OR(GK157="",GK157=0),"BOX",IFERROR(IF(VLOOKUP(GK157,УГО_блоки,3,FALSE)&amp;""&lt;&gt;"",VLOOKUP(GK157,УГО_блоки,3,FALSE),VLOOKUP(GK157,УГО_блоки,2,FALSE)),GK157)))</f>
        <v>SOCKET</v>
      </c>
      <c r="GM157">
        <f t="shared" si="259"/>
        <v>1</v>
      </c>
      <c r="GN157" t="str">
        <f>IF(EP157="","",IF(COUNTIF(EP$3:EP157,EP157)=1,MAX(GN$2:GN156)+1,""))</f>
        <v/>
      </c>
      <c r="GO157" t="str">
        <f>IF(AF157="","",IF(COUNTIF(AF$3:AF157,AF157)+COUNTIF(AG$2:AG156,AF157)+COUNTIF(AH$2:AH156,AF157)=1,MAX(GO$2:GQ156)+1,""))</f>
        <v/>
      </c>
      <c r="GP157" t="str">
        <f>IF(AG157="","",IF(COUNTIF(AF$3:AF157,AG157)+COUNTIF(AG$3:AG157,AG157)+COUNTIF(AH$2:AH156,AG157)=1,MAX(GO$2:GQ156,GO157)+1,""))</f>
        <v/>
      </c>
      <c r="GQ157" t="str">
        <f>IF(AH157="","",IF(COUNTIF(AF$3:AF157,AH157)+COUNTIF(AG$3:AG157,AH157)+COUNTIF(AH$3:AH157,AH157)=1,MAX(GO$2:GQ156,GO157,GP157)+1,""))</f>
        <v/>
      </c>
      <c r="GR157" t="str">
        <f t="shared" si="260"/>
        <v>3х2,5</v>
      </c>
      <c r="GS157" t="str">
        <f>IF(GR157="","",IF(COUNTIF(GR$3:GR157,GR157)=1,MAX(GS$2:GS156)+1,""))</f>
        <v/>
      </c>
      <c r="GT157" t="str">
        <f>IF(ES157="","",COUNTIF(ES$3:ES157,"?*"))</f>
        <v/>
      </c>
      <c r="GU157" t="str">
        <f>IF(OR(ES157="",EU157=""),"",IF(COUNTIFS(ES$3:ES157,"?*",EU$3:EU157,EU157)=1,MAX(GU$2:GU156)+1,""))</f>
        <v/>
      </c>
      <c r="GV157">
        <f t="shared" si="261"/>
        <v>0</v>
      </c>
      <c r="GW157">
        <f>IF(D157="","",COUNTIF(D$3:D157,"?*"))</f>
        <v>155</v>
      </c>
      <c r="GX157">
        <f>IF(EX157&lt;&gt;1,0,_xlfn.LET(_xlpm.k,MAX(IFERROR(--VLOOKUP(D157,УГО_спр,5,FALSE),0),IFERROR(--VLOOKUP(AT157,УГО_спр,5,FALSE),0),IFERROR(--VLOOKUP(LEFT(AT157,2),УГО_спр,5,FALSE),0)),IF(_xlpm.k&gt;0,_xlpm.k,IF(IFERROR(--LEFT(SUBSTITUTE(GR157,"x","х"),FIND("х",SUBSTITUTE(GR157,"x","х"))-1),3)&gt;3,Каталог!$S$9,1))))</f>
        <v>1</v>
      </c>
      <c r="GY157">
        <f t="shared" si="262"/>
        <v>0</v>
      </c>
    </row>
    <row r="158" spans="1:207" x14ac:dyDescent="0.3">
      <c r="A158" t="s">
        <v>758</v>
      </c>
      <c r="B158">
        <v>11</v>
      </c>
      <c r="C158" t="str">
        <f>IF(BD158="","",IF(BE158="вводной узел","узел ","")&amp;"л."&amp;(INT((BD158-1)/Столбцов_на_лист)+1)&amp;" / "&amp;(MOD(BD158-1,Столбцов_на_лист)+1))</f>
        <v>л.1 / 11</v>
      </c>
      <c r="D158" t="s">
        <v>1462</v>
      </c>
      <c r="E158" s="133" t="str">
        <f t="shared" si="263"/>
        <v>Розеточная группа Подвальный этаж Пом. №001Тб</v>
      </c>
      <c r="G158">
        <v>0.06</v>
      </c>
      <c r="H158">
        <v>1</v>
      </c>
      <c r="I158">
        <v>1</v>
      </c>
      <c r="J158">
        <v>230</v>
      </c>
      <c r="K158" t="s">
        <v>566</v>
      </c>
      <c r="O158">
        <v>2</v>
      </c>
      <c r="P158">
        <v>24</v>
      </c>
      <c r="Q158">
        <v>0</v>
      </c>
      <c r="R158">
        <v>0</v>
      </c>
      <c r="S158">
        <v>27</v>
      </c>
      <c r="U158" t="s">
        <v>11</v>
      </c>
      <c r="V158">
        <v>3</v>
      </c>
      <c r="W158">
        <v>2.5</v>
      </c>
      <c r="X158">
        <v>16</v>
      </c>
      <c r="Z158" t="s">
        <v>565</v>
      </c>
      <c r="AA158" t="s">
        <v>818</v>
      </c>
      <c r="AD158" t="s">
        <v>517</v>
      </c>
      <c r="AR158" t="str">
        <f t="shared" si="176"/>
        <v/>
      </c>
      <c r="AS158" cm="1">
        <f t="array" ref="AS158">ROW()-ROW(Линии[#Headers])</f>
        <v>156</v>
      </c>
      <c r="AT158" t="str">
        <f t="shared" si="177"/>
        <v>R</v>
      </c>
      <c r="AU158" t="str">
        <f t="shared" si="178"/>
        <v>00.001Тб.1</v>
      </c>
      <c r="AV158" t="str">
        <f t="shared" si="179"/>
        <v>00</v>
      </c>
      <c r="AW158" t="str">
        <f t="shared" si="180"/>
        <v>001Тб.1</v>
      </c>
      <c r="AX158" t="str">
        <f t="shared" si="181"/>
        <v>001Тб</v>
      </c>
      <c r="AY158" t="str">
        <f>IF(D158="","",IF(ISERROR(SEARCH(".",D158)),IFERROR(VLOOKUP(D158,Потребители_обозначение,2,FALSE)&amp;"",""),IFERROR(IF(VLOOKUP(AT158,Потребители_обозначение,4,FALSE)=1,VLOOKUP(AT158,Потребители_обозначение,2,FALSE)&amp;" "&amp;VLOOKUP(AV158,Этаж_обозначение,2,FALSE)&amp;" Пом. №"&amp;AX158,VLOOKUP(AT158,Потребители_обозначение,2,FALSE)&amp;" Шлейф №"&amp;AV158),IFERROR(VLOOKUP(D158,Потребители_обозначение,2,FALSE),""))))</f>
        <v>Розеточная группа Подвальный этаж Пом. №001Тб</v>
      </c>
      <c r="AZ158" t="str">
        <f t="shared" si="182"/>
        <v>Розеточная группа Подвальный этаж Пом. №001Тб</v>
      </c>
      <c r="BA158" t="str">
        <f>IF(F158&lt;&gt;"",F158,IF(AND(D158&lt;&gt;"",D158&lt;&gt;A158,ISNUMBER(_xlfn.XMATCH(D158,Щиты[Щит]))),D158,""))</f>
        <v/>
      </c>
      <c r="BB158">
        <f>IFERROR(_xlfn.XMATCH(A158,Щиты[Щит]),0)</f>
        <v>8</v>
      </c>
      <c r="BC158">
        <f>IFERROR(N(_xlfn.XLOOKUP(A158,Щиты[Щит],Щиты[Мест под вводной узел])),15)</f>
        <v>7</v>
      </c>
      <c r="BD158">
        <f t="shared" si="183"/>
        <v>11</v>
      </c>
      <c r="BE158" t="str">
        <f t="shared" si="184"/>
        <v>линии</v>
      </c>
      <c r="BF158">
        <f>IF(D158="","",IF(BA158&lt;&gt;"",IFERROR(_xlfn.XLOOKUP(BA158,Щиты[Щит],Щиты[Руст, кВт]),0),N(G158)))</f>
        <v>0.06</v>
      </c>
      <c r="BG158">
        <f>IF(J158&lt;&gt;"",J158,IF(D158="","",IFERROR(IF(VLOOKUP(AT158,Потребители_обозначение,8,FALSE)=0,"",VLOOKUP(AT158,Потребители_обозначение,8,FALSE)),"")))</f>
        <v>230</v>
      </c>
      <c r="BH158">
        <f>IF(I158&lt;&gt;"",I158,IF(D158="","",IFERROR(IF(VLOOKUP(AT158,Потребители_обозначение,9,FALSE)=0,"",VLOOKUP(AT158,Потребители_обозначение,9,FALSE)),"")))</f>
        <v>1</v>
      </c>
      <c r="BI158" t="str">
        <f>IF(U158&lt;&gt;"",U158,IF(D158="","",IFERROR(IF(VLOOKUP(AT158,Потребители_обозначение,6,FALSE)=0,"",VLOOKUP(AT158,Потребители_обозначение,6,FALSE)),"")))</f>
        <v>мс</v>
      </c>
      <c r="BJ158">
        <f>IF(V158&lt;&gt;"",V158,IF(D158="","",IFERROR(IF(VLOOKUP(AT158,Потребители_обозначение,7,FALSE)=0,"",VLOOKUP(AT158,Потребители_обозначение,7,FALSE)),"")))</f>
        <v>3</v>
      </c>
      <c r="BK158">
        <f>IF(W158&lt;&gt;"",W158,IF(D158="","",IFERROR(IF(VLOOKUP(AT158,Потребители_обозначение,10,FALSE)=0,"",VLOOKUP(AT158,Потребители_обозначение,10,FALSE)),"")))</f>
        <v>2.5</v>
      </c>
      <c r="BL158">
        <f>IFERROR(VLOOKUP(AT158,Потребители_обозначение,5,FALSE),0)</f>
        <v>1</v>
      </c>
      <c r="BM158" cm="1">
        <f t="array" ref="BM158">IF(D158="","",IF(BA158&lt;&gt;"",IFERROR(_xlfn.XLOOKUP(BA158,Щиты[Щит],Щиты[cos φ]),0.95),IF(ISNUMBER(M158),M158,IFERROR(IF(BL158=2,_xlfn.IFS(BH158=3,VLOOKUP(BF158,Справочная_двигатели,8,FALSE),BH158=1,VLOOKUP(BF158,Справочная_двигатели,10,TRUE)),IF(AND(Методика="нормы 2026",CN158="Сил"),0.8,0.95)),0.95))))</f>
        <v>0.95</v>
      </c>
      <c r="BN158" cm="1">
        <f t="array" ref="BN158">IF(D158="","",IF(BA158&lt;&gt;"",IFERROR(_xlfn.XLOOKUP(BA158,Щиты[Щит],Щиты[Iр, А]),""),IFERROR(_xlfn.IFS(BH158=1,BF158/((Uн_лин/SQRT(3))*BM158),BH158=3,BF158/(SQRT(3)*Uн_лин*BM158)),"")))</f>
        <v>0.27348170645824377</v>
      </c>
      <c r="BO158">
        <f>IF(D158="","",IF(N(X158)=0,IFERROR(VLOOKUP(BN158,Автомат_номиналы,2,TRUE),""),X158))</f>
        <v>16</v>
      </c>
      <c r="BP158">
        <f t="shared" si="185"/>
        <v>1</v>
      </c>
      <c r="BQ158">
        <f>IF(ISNUMBER(Y158),Y158,К_прокл)</f>
        <v>1</v>
      </c>
      <c r="BR158">
        <f t="shared" si="186"/>
        <v>2</v>
      </c>
      <c r="BS158" cm="1">
        <f t="array" ref="BS158">IF(D158="","",IF(N(BK158)&lt;&gt;0,BK158,IFERROR(_xlfn.LET(_xlpm.need,BO158/(BP158*BQ158),_xlpm.t,CHOOSE(BR158,Iдоп_1ж,Iдоп_2ж,Iдоп_3ж),_xlpm.k,_xlfn.XMATCH(_xlpm.need,_xlpm.t,1),IF(ISNA(_xlpm.k),"Не исп",INDEX(Iдоп_S,_xlpm.k))),"Не исп")))</f>
        <v>2.5</v>
      </c>
      <c r="BT158">
        <f>IFERROR(VLOOKUP(BS158,Кабель_сопротивление,3,FALSE),"")</f>
        <v>2.2499999999999999E-2</v>
      </c>
      <c r="BU158">
        <f>IFERROR(VLOOKUP(BS158,Кабель_сопротивление,2,FALSE),"")</f>
        <v>0.1</v>
      </c>
      <c r="BV158">
        <f t="shared" si="187"/>
        <v>24</v>
      </c>
      <c r="BW158">
        <f>IF(D158="","",IFERROR(IF(VLOOKUP(AT158,Потребители_обозначение,4,FALSE)=1,VLOOKUP(AT158,Потребители_обозначение,3,FALSE)*(H158*2-1)+BV158+VLOOKUP(AV158,Этаж_обозначение,3,FALSE)+VLOOKUP(AV158,Этаж_обозначение,4,FALSE),VLOOKUP(AT158,Потребители_обозначение,3,FALSE)*(H158*2-1)+BV158),BV158))</f>
        <v>27</v>
      </c>
      <c r="BX158">
        <f t="shared" si="188"/>
        <v>0</v>
      </c>
      <c r="BY158">
        <f t="shared" si="189"/>
        <v>27</v>
      </c>
      <c r="BZ158">
        <f t="shared" si="190"/>
        <v>2</v>
      </c>
      <c r="CA158">
        <f t="shared" si="191"/>
        <v>0.31</v>
      </c>
      <c r="CB158">
        <f t="shared" si="192"/>
        <v>0.12672431224838221</v>
      </c>
      <c r="CC158">
        <f>IFERROR(ROUNDUP(CB158/((Uн_лин/SQRT(3))*1000)*100,2),"")</f>
        <v>6.0000000000000005E-2</v>
      </c>
      <c r="CD158">
        <f>IF(ISNUMBER(CC158),CC158+IFERROR(_xlfn.XLOOKUP(A158,Щиты[Щит],Щиты[ΔU до шин, %]),0),"")</f>
        <v>1.6300000000000001</v>
      </c>
      <c r="CE158">
        <f>IF(D158="","",IF(IFERROR(VLOOKUP(AT158,УГО_спр,2,FALSE),"")="Светильник",3,4)+IF(Методика="нормы 2026",MIN(0.5,MAX(0,N(BW158)-100)*0.005),0))</f>
        <v>4</v>
      </c>
      <c r="CF158" t="str">
        <f>IFERROR(VLOOKUP(BI158,Кабель_обозначение,2,FALSE),"")</f>
        <v>ВВГнг(А)-LS</v>
      </c>
      <c r="CG158" t="str">
        <f>IFERROR(IF(VLOOKUP(BI158,Кабель_обозначение,3,FALSE)=1,CF158&amp;" ("&amp;BJ158&amp;"х"&amp;BS158&amp;")",CF158),"")</f>
        <v>ВВГнг(А)-LS (3х2,5)</v>
      </c>
      <c r="CH158" t="str">
        <f t="shared" si="193"/>
        <v>ВВГнг(А)-LS (3х2,5)
L=27-0,06%</v>
      </c>
      <c r="CI158">
        <f>IFERROR(2*ρкз_Cu*BW158/BS158,"")</f>
        <v>0.56808000000000003</v>
      </c>
      <c r="CJ158">
        <f t="shared" si="194"/>
        <v>0.189</v>
      </c>
      <c r="CK158" t="str">
        <f>IFERROR(IF(OR(D158="",NOT(ISNUMBER(BS158)),N(BW158)=0),"",_xlfn.XLOOKUP(A158,Щиты[Щит],Щиты[Zпетли на шинах, Ом])+CI158),"")</f>
        <v/>
      </c>
      <c r="CL158" t="str">
        <f>IF(ISNUMBER(CK158),c_min*(Uн_лин*1000/SQRT(3))/CK158,"")</f>
        <v/>
      </c>
      <c r="CM158" t="str">
        <f>IFERROR(IF(OR(D158="",NOT(ISNUMBER(BS158))),"",1.05*(Uн_лин*1000/SQRT(3))/(_xlfn.XLOOKUP(A158,Щиты[Щит],Щиты[Zmax на шинах, Ом])+CJ158)/1000),"")</f>
        <v/>
      </c>
      <c r="CN158" t="str">
        <f>IF(D158="","",IF(BA158&lt;&gt;"","Щит",IF(K158&lt;&gt;"",K158,IF(ISNUMBER(L158),"Сил",IF(IFERROR(_xlfn.XLOOKUP(AT158,Коды_код,Коды_группа)&amp;"","")="","Быт",_xlfn.XLOOKUP(AT158,Коды_код,Коды_группа)&amp;"")))))</f>
        <v>Быт</v>
      </c>
      <c r="CO158">
        <f>IF(CN158="Щит","щит",IF(CN158="","",IF(CN158="Быт",IFERROR(_xlfn.XLOOKUP(A158,Щиты[Щит],Щиты[Кс быт]),1),IF(CN158="Сил",IF(ISNUMBER(L158),L158,IF(Методика="нормы 2026",IFERROR(_xlfn.XLOOKUP(A158,Щиты[Щит],Щиты[Кс силовых (табл. 7.5)]),1),1)),IF(OR(CN158="Пост",CN158="Отоп"),1,IF(CN158="ВНГ",0.7,0))))))</f>
        <v>0.8</v>
      </c>
      <c r="CP158">
        <f t="shared" si="195"/>
        <v>1</v>
      </c>
      <c r="CQ158">
        <f t="shared" si="196"/>
        <v>0.06</v>
      </c>
      <c r="CR158">
        <f t="shared" si="197"/>
        <v>0.06</v>
      </c>
      <c r="CS158">
        <f t="shared" si="198"/>
        <v>0</v>
      </c>
      <c r="CT158">
        <f t="shared" si="199"/>
        <v>0</v>
      </c>
      <c r="CU158">
        <f t="shared" si="200"/>
        <v>0</v>
      </c>
      <c r="CV158">
        <f t="shared" si="201"/>
        <v>0</v>
      </c>
      <c r="CW158">
        <f t="shared" si="202"/>
        <v>0.06</v>
      </c>
      <c r="CX158">
        <f t="shared" si="203"/>
        <v>5.6999999999999995E-2</v>
      </c>
      <c r="CY158">
        <f t="shared" si="204"/>
        <v>1</v>
      </c>
      <c r="CZ158" t="str">
        <f t="shared" si="205"/>
        <v>L1</v>
      </c>
      <c r="DA158" cm="1">
        <f t="array" ref="DA158">IFERROR(IF(BL158=2,_xlfn.IFS(BH158=3,VLOOKUP(BF158,Справочная_двигатели,3,FALSE),BH158=1,VLOOKUP(BF158,Справочная_двигатели,5,TRUE)),0),0)</f>
        <v>0</v>
      </c>
      <c r="DB158">
        <f>IFERROR(IF(BL158=3,VLOOKUP(BF158,Справочная_ЛЭД,2,TRUE),0),0)</f>
        <v>0</v>
      </c>
      <c r="DC158">
        <f t="shared" si="206"/>
        <v>0</v>
      </c>
      <c r="DD158" t="str">
        <f t="shared" si="207"/>
        <v>L2</v>
      </c>
      <c r="DE158" t="str" cm="1">
        <f t="array" ref="DE158">IF(D158="","",IFERROR(INDEX({"I особая","I","II","III"},MATCH(TRIM(AA158&amp;""),{"I особая","I","II","III"},0)),"III"))</f>
        <v>II</v>
      </c>
      <c r="DF158" t="str">
        <f>IF(D158="","",IF(TRIM(AB158&amp;"")&lt;&gt;"",IF(LOWER(TRIM(AB158&amp;""))="да","да","нет"),IF(IFERROR(_xlfn.XLOOKUP(AT158,Коды_код,Коды_пожарная),"")="да","да","нет")))</f>
        <v>нет</v>
      </c>
      <c r="DG158" t="str">
        <f t="shared" si="208"/>
        <v/>
      </c>
      <c r="DH158" t="str">
        <f t="shared" si="209"/>
        <v>основная</v>
      </c>
      <c r="DI158">
        <f t="shared" si="210"/>
        <v>1</v>
      </c>
      <c r="DJ158" t="str" cm="1">
        <f t="array" ref="DJ158">IF(D158="","",_xlfn.LET(_xlpm.t,IFERROR(_xlfn.XLOOKUP(1,(Шины[Шина]=DH158)*(((Шины[Щит]=A158)+(Шины[Щит]=""))&gt;0),Шины[Тип]),"")&amp;"",IF(_xlpm.t&lt;&gt;"",_xlpm.t,IF(ISNUMBER(SEARCH("ИБП",DH158)),"ИБП",IF(ISNUMBER(SEARCH("ДГУ",DH158)),"ДГУ","Ввод "&amp;DI158)))))</f>
        <v>Ввод 1</v>
      </c>
      <c r="DK158" t="str">
        <f t="shared" si="211"/>
        <v>Ввод 1</v>
      </c>
      <c r="DL158" t="str">
        <f>IF(D158="","",IF(OR(DJ158="ИБП",DJ158="ДГУ"),"I особая",IF(DJ158="Одиночная","III",_xlfn.XLOOKUP(A158,Щиты[Щит],Щиты[Категория шины «Ввод»],"III"))))</f>
        <v>II</v>
      </c>
      <c r="DM158">
        <f>IF(D158="",0,IFERROR(MATCH(DE158,{"III","II","I","I особая"},0),1))</f>
        <v>2</v>
      </c>
      <c r="DN158">
        <f t="shared" si="212"/>
        <v>2</v>
      </c>
      <c r="DO158" t="str">
        <f>IF(D158="","",IF(DM158&gt;IFERROR(MATCH(DL158,{"III","II","I","I особая"},0),1),"НЕ ОБЕСПЕЧЕНА","ОК"))</f>
        <v>ОК</v>
      </c>
      <c r="DP158" t="str">
        <f>IF(A158="","",_xlfn.XLOOKUP(A158,Щиты[Щит],Щиты[Путь],""))</f>
        <v>|ГРЩ-ЖД|ЩР-001|</v>
      </c>
      <c r="DQ158" t="str">
        <f>IF(D158="","",IF(Z158&lt;&gt;"",Z158,IF(IFERROR(_xlfn.XLOOKUP(AT158,Коды_код,Коды_вид)&amp;"","")="","Прочее",_xlfn.XLOOKUP(AT158,Коды_код,Коды_вид)&amp;"")))</f>
        <v>Розеточная сеть и бытовые приборы</v>
      </c>
      <c r="DR158">
        <f>IF(BD158="","",INT((BD158-1)/Столбцов_на_лист)+1)</f>
        <v>1</v>
      </c>
      <c r="DS158" t="str">
        <f t="shared" si="213"/>
        <v>ВВГнг(А)-LS (3х2,5) L=27-0,06%</v>
      </c>
      <c r="DT158">
        <f t="shared" si="214"/>
        <v>0.06</v>
      </c>
      <c r="DU158">
        <f t="shared" si="215"/>
        <v>0.28000000000000003</v>
      </c>
      <c r="DV158">
        <f t="shared" si="216"/>
        <v>1</v>
      </c>
      <c r="DW158">
        <f>IF(AT158="",0,_xlfn.LET(_xlpm.v,IFERROR(VLOOKUP(D158,УГО_спр,3,FALSE),IFERROR(VLOOKUP(AT158,УГО_спр,3,FALSE),IFERROR(VLOOKUP(LEFT(AT158,2),УГО_спр,3,FALSE),""))),IF(_xlpm.v="да",30,IF(ISNUMBER(_xlpm.v),_xlpm.v,0))))</f>
        <v>30</v>
      </c>
      <c r="DX158">
        <f t="shared" si="217"/>
        <v>0</v>
      </c>
      <c r="DY158">
        <f>IF(BD158="","",IF(AD158&lt;&gt;"",COUNTIFS(A$3:A158,A158,AD$3:AD158,"?*"),IF(OR(OR(AS158=1,A158&lt;&gt;A157),AL158="вручную"),"",IF(AS158=1,"",DZ157))))</f>
        <v>4</v>
      </c>
      <c r="DZ158">
        <f t="shared" si="218"/>
        <v>4</v>
      </c>
      <c r="EA158">
        <f>IF(D158="",0,MAX(IFERROR(--X158,0),IFERROR(--VLOOKUP(D158,УГО_спр,4,FALSE),IFERROR(--VLOOKUP(AT158,УГО_спр,4,FALSE),IFERROR(--VLOOKUP(LEFT(AT158,2),УГО_спр,4,FALSE),0)))))</f>
        <v>16</v>
      </c>
      <c r="EB158">
        <f>IF(D158="","",IFERROR(LOOKUP(INDEX(CHOOSE(BR158,Iдоп_1ж,Iдоп_2ж,Iдоп_3ж),MATCH(BS158,Iдоп_S,0))*BP158*BQ158,{6,10,16,20,25,32,40,50,63,80,100,125,160,200,250,315,400,500,630}),""))</f>
        <v>25</v>
      </c>
      <c r="EC158">
        <f>IF(AD158="","",SUMIFS(Линии[_Ток схемы],Линии[_гр.],DY158,Линии[Щит],A158,Линии[_в кабель выше],0))</f>
        <v>0.28000000000000003</v>
      </c>
      <c r="ED158">
        <f>IF(AD158="","",IFERROR(VLOOKUP(EC158,Автомат_номиналы,2,TRUE),""))</f>
        <v>6</v>
      </c>
      <c r="EE158">
        <f>IF(AD158="","",MAX(N(ED158),_xlfn.MAXIFS(Линии[_мин. по типу],Линии[_гр.],DY158,Линии[Щит],A158)))</f>
        <v>16</v>
      </c>
      <c r="EF158">
        <f>IF(AD158="","",_xlfn.MINIFS(Линии[_макс. автомат по кабелю],Линии[_гр.],DY158,Линии[Щит],A158))</f>
        <v>25</v>
      </c>
      <c r="EG158">
        <f>IF(AD158="","",MAX(1,_xlfn.MAXIFS(Линии[_фаз],Линии[_гр.],DY158,Линии[Щит],A158)))</f>
        <v>1</v>
      </c>
      <c r="EH158">
        <f>IF(AD158="","",IF(AND(AD158&lt;&gt;"авто",AD158&lt;&gt;"+"),IF(ISNUMBER(SEARCH("мА",AD158)),IFERROR(--TRIM(RIGHT(SUBSTITUTE(LEFT(AD158,SEARCH("мА",AD158)-1)," ",REPT(" ",9)),6)),30),0),IF(AE158="нет",0,IF(ISNUMBER(AE158),AE158,IF(AE158="да",30,_xlfn.MINIFS(Линии[_дифзащита по коду, мА],Линии[_гр.],DY158,Линии[Щит],A158,Линии[_дифзащита по коду, мА],"&gt;0"))))))</f>
        <v>30</v>
      </c>
      <c r="EI158">
        <f t="shared" si="219"/>
        <v>1</v>
      </c>
      <c r="EJ158" t="str">
        <f t="shared" si="220"/>
        <v>QFD4</v>
      </c>
      <c r="EK158" t="str">
        <f t="shared" si="221"/>
        <v>QFD4</v>
      </c>
      <c r="EL158" t="str">
        <f t="shared" si="222"/>
        <v/>
      </c>
      <c r="EM158">
        <f t="shared" si="223"/>
        <v>0</v>
      </c>
      <c r="EN158">
        <f>IF(AD158="","",IF(EM158=1,MAX(EE158,Мин_автомат_БП),EE158))</f>
        <v>16</v>
      </c>
      <c r="EO158" t="str">
        <f t="shared" si="224"/>
        <v>2P</v>
      </c>
      <c r="EP158" t="str">
        <f t="shared" si="225"/>
        <v>2P С16А 30мА</v>
      </c>
      <c r="EQ158">
        <f t="shared" si="226"/>
        <v>16</v>
      </c>
      <c r="ER158" t="str">
        <f>IF(OR(AI158="",AI158="-"),"",IFERROR(VLOOKUP(AI158,Модули_спр,2,FALSE),"R"))</f>
        <v/>
      </c>
      <c r="ES158" t="str">
        <f>IF(ER158="","",ER158&amp;"."&amp;COUNTIFS(A$3:A158,A158,ER$3:ER158,ER158))</f>
        <v/>
      </c>
      <c r="ET158" t="str">
        <f t="shared" si="227"/>
        <v/>
      </c>
      <c r="EU158" t="str">
        <f t="shared" si="228"/>
        <v/>
      </c>
      <c r="EV158" t="str">
        <f t="shared" si="229"/>
        <v/>
      </c>
      <c r="EW158" t="str">
        <f t="shared" si="230"/>
        <v/>
      </c>
      <c r="EX158">
        <f t="shared" si="231"/>
        <v>1</v>
      </c>
      <c r="EY158" t="str">
        <f>IF(AK158="нет","",IF(AK158&lt;&gt;"",AK158,IF(EX158=1,"XT"&amp;COUNTIFS(A$3:A158,A158,EX$3:EX158,1),"")))</f>
        <v>XT4</v>
      </c>
      <c r="EZ158" t="str">
        <f t="shared" si="232"/>
        <v>QFD4</v>
      </c>
      <c r="FA158" t="str">
        <f t="shared" si="233"/>
        <v/>
      </c>
      <c r="FB158" t="str">
        <f t="shared" si="234"/>
        <v>ok</v>
      </c>
      <c r="FC158" t="str">
        <f>IF(OR(EV158="",ET158=""),"",IF(EV158&gt;IFERROR(VLOOKUP(EU158,Модули_спр,3,FALSE),99),"ЛИШНИЙ КАНАЛ",IF(AND(AJ158&lt;&gt;"=",COUNTIFS(Линии[_модуль гр.],ET158,Линии[Канал (итог)],EV158,Линии[Канал],"&lt;&gt;=",Линии[Щит],A158)&gt;1),"ДУБЛЬ КАНАЛА","")))</f>
        <v/>
      </c>
      <c r="FD158">
        <f t="shared" si="235"/>
        <v>16</v>
      </c>
      <c r="FE158" t="str">
        <f t="shared" si="236"/>
        <v>2P С16А 30мА</v>
      </c>
      <c r="FF158">
        <f t="shared" si="237"/>
        <v>1</v>
      </c>
      <c r="FG158">
        <f t="shared" si="238"/>
        <v>30</v>
      </c>
      <c r="FH158" t="str">
        <f t="shared" si="239"/>
        <v/>
      </c>
      <c r="FI158">
        <f t="shared" si="240"/>
        <v>10</v>
      </c>
      <c r="FJ158" t="str">
        <f t="shared" si="241"/>
        <v/>
      </c>
      <c r="FK158" t="str">
        <f>IF(AND(D158="",EZ158=""),"",_xlfn.TEXTJOIN("; ",TRUE,IF(AND(D158&lt;&gt;"",DD158=""),"нет фазы",""),IF(AND(D158&lt;&gt;"",N(DT158)=0,CN158&lt;&gt;"Нет"),"нет мощности",""),IF(AND(EY158&lt;&gt;"",COUNTIFS(Линии[Щит],A158,Линии[Клемма (итог)],EY158)&gt;1),"дубль клеммы "&amp;EY158,""),IF(AND(FB158&lt;&gt;"",FB158&lt;&gt;"ok"),FB158,""),IF(FC158&lt;&gt;"",FC158,""),IF(AND(ISNUMBER(SEARCH("(5х",DS158)),N(DV158)=1),"5 жил на 1 фазе",""),IF(AND(AT158="R",AD158&lt;&gt;"",OR(N(EH158)=0,N(EH158)&gt;30)),"розетка без дифзащиты до 30 мА",""),IFERROR(IF(AND(ISNUMBER(CD158),CD158&gt;CE158),"потери "&amp;FIXED(CD158,1)&amp;" % &gt; "&amp;CE158&amp;" %",""),""),IFERROR(IF(LEFT(FJ158,4)="мало","Iкз мало — отключение &gt; 0,4 с",""),""),IF(AND(D158&lt;&gt;"",BD158=""),"не на схеме","")))</f>
        <v/>
      </c>
      <c r="FL158">
        <f>IF(AD158="","",_xlfn.LET(_xlpm.t,IFERROR(_xlfn.XLOOKUP(EP158,Каталог!$U$4:$U$500,Каталог!$G$4:$G$500),""),_xlpm.k,SEARCH("кА",_xlpm.t),IFERROR(--TRIM(RIGHT(SUBSTITUTE(MID(_xlpm.t,MAX(1,_xlpm.k-4),_xlpm.k-MAX(1,_xlpm.k-4))," ",REPT(" ",9)),5)),"")))</f>
        <v>6</v>
      </c>
      <c r="FM158" t="str">
        <f>IF(OR(FL158="",AD158=""),"",IF(_xlfn.XLOOKUP(A158,Щиты[Щит],Щиты[Iкз max на шинах, кА],"")="","",IF(FL158&lt;_xlfn.XLOOKUP(A158,Щиты[Щит],Щиты[Iкз max на шинах, кА]),"Icu "&amp;FL158&amp;" кА &lt; Iкз max","ok")))</f>
        <v/>
      </c>
      <c r="FN158" t="str">
        <f t="shared" si="242"/>
        <v>QFD4|XT4</v>
      </c>
      <c r="FO158" t="str">
        <f t="shared" si="243"/>
        <v>QFD4|XT4|кабель ВВГнг(А)-LS (3х2,5) → Розеточная группа Подвальный этаж Пом. №001Тб</v>
      </c>
      <c r="FP158" t="str" cm="1">
        <f t="array" ref="FP158">IF(FO158="","",_xlfn.LET(_xlpm.nd,_xlfn.TEXTSPLIT(FO158,"|"),IF(COLUMNS(_xlpm.nd)&gt;1,A158&amp;"¦"&amp;INDEX(_xlpm.nd,1)&amp;"¦"&amp;INDEX(_xlpm.nd,2),"")))</f>
        <v>ЩР-001¦QFD4¦XT4</v>
      </c>
      <c r="FQ158" t="str">
        <f t="shared" si="244"/>
        <v>R.00.001Тб.1¦Розеточная группа Подвальный этаж Пом. №001Тб</v>
      </c>
      <c r="FR158" t="str" cm="1">
        <f t="array" ref="FR158">IF(FO158="","",_xlfn.LET(_xlpm.nd,_xlfn.TEXTSPLIT(FO158,"|"),IF(COLUMNS(_xlpm.nd)&gt;2,A158&amp;"¦"&amp;INDEX(_xlpm.nd,2)&amp;"¦"&amp;INDEX(_xlpm.nd,3),"")))</f>
        <v>ЩР-001¦XT4¦кабель ВВГнг(А)-LS (3х2,5) → Розеточная группа Подвальный этаж Пом. №001Тб</v>
      </c>
      <c r="FS158" t="str">
        <f t="shared" si="245"/>
        <v>R.00.001Тб.1¦Розеточная группа Подвальный этаж Пом. №001Тб</v>
      </c>
      <c r="FT158" t="str" cm="1">
        <f t="array" ref="FT158">IF(FO158="","",_xlfn.LET(_xlpm.nd,_xlfn.TEXTSPLIT(FO158,"|"),IF(COLUMNS(_xlpm.nd)&gt;3,A158&amp;"¦"&amp;INDEX(_xlpm.nd,3)&amp;"¦"&amp;INDEX(_xlpm.nd,4),"")))</f>
        <v/>
      </c>
      <c r="FU158" t="str">
        <f t="shared" si="246"/>
        <v/>
      </c>
      <c r="FV158" t="str" cm="1">
        <f t="array" ref="FV158">IF(FO158="","",_xlfn.LET(_xlpm.nd,_xlfn.TEXTSPLIT(FO158,"|"),IF(COLUMNS(_xlpm.nd)&gt;4,A158&amp;"¦"&amp;INDEX(_xlpm.nd,4)&amp;"¦"&amp;INDEX(_xlpm.nd,5),"")))</f>
        <v/>
      </c>
      <c r="FW158" t="str">
        <f t="shared" si="247"/>
        <v/>
      </c>
      <c r="FX158" t="str" cm="1">
        <f t="array" ref="FX158">IF(FO158="","",_xlfn.LET(_xlpm.nd,_xlfn.TEXTSPLIT(FO158,"|"),IF(COLUMNS(_xlpm.nd)&gt;5,A158&amp;"¦"&amp;INDEX(_xlpm.nd,5)&amp;"¦"&amp;INDEX(_xlpm.nd,6),"")))</f>
        <v/>
      </c>
      <c r="FY158" t="str">
        <f t="shared" si="248"/>
        <v/>
      </c>
      <c r="FZ158" t="str" cm="1">
        <f t="array" ref="FZ158">IF(FO158="","",_xlfn.LET(_xlpm.nd,_xlfn.TEXTSPLIT(FO158,"|"),IF(COLUMNS(_xlpm.nd)&gt;6,A158&amp;"¦"&amp;INDEX(_xlpm.nd,6)&amp;"¦"&amp;INDEX(_xlpm.nd,7),"")))</f>
        <v/>
      </c>
      <c r="GA158" t="str">
        <f t="shared" si="249"/>
        <v/>
      </c>
      <c r="GB158" t="str">
        <f t="shared" si="250"/>
        <v/>
      </c>
      <c r="GC158" t="str">
        <f t="shared" si="251"/>
        <v>QFD4 → XT4</v>
      </c>
      <c r="GD158">
        <f t="shared" si="252"/>
        <v>1</v>
      </c>
      <c r="GE158">
        <f t="shared" si="253"/>
        <v>0</v>
      </c>
      <c r="GF158">
        <f t="shared" si="254"/>
        <v>1</v>
      </c>
      <c r="GG158" t="str">
        <f t="shared" si="255"/>
        <v/>
      </c>
      <c r="GH158" t="str">
        <f t="shared" si="256"/>
        <v/>
      </c>
      <c r="GI158" t="str">
        <f t="shared" si="257"/>
        <v/>
      </c>
      <c r="GJ158" t="str">
        <f t="shared" si="258"/>
        <v/>
      </c>
      <c r="GK158" t="str">
        <f>IF(D158="","",IFERROR(VLOOKUP(D158,УГО_спр,2,FALSE),IFERROR(VLOOKUP(AT158,УГО_спр,2,FALSE),IFERROR(VLOOKUP(LEFT(AT158,2),УГО_спр,2,FALSE),""))))</f>
        <v>Розетка</v>
      </c>
      <c r="GL158" t="str">
        <f>IF(D158="","",IF(OR(GK158="",GK158=0),"BOX",IFERROR(IF(VLOOKUP(GK158,УГО_блоки,3,FALSE)&amp;""&lt;&gt;"",VLOOKUP(GK158,УГО_блоки,3,FALSE),VLOOKUP(GK158,УГО_блоки,2,FALSE)),GK158)))</f>
        <v>SOCKET</v>
      </c>
      <c r="GM158">
        <f t="shared" si="259"/>
        <v>1</v>
      </c>
      <c r="GN158" t="str">
        <f>IF(EP158="","",IF(COUNTIF(EP$3:EP158,EP158)=1,MAX(GN$2:GN157)+1,""))</f>
        <v/>
      </c>
      <c r="GO158" t="str">
        <f>IF(AF158="","",IF(COUNTIF(AF$3:AF158,AF158)+COUNTIF(AG$2:AG157,AF158)+COUNTIF(AH$2:AH157,AF158)=1,MAX(GO$2:GQ157)+1,""))</f>
        <v/>
      </c>
      <c r="GP158" t="str">
        <f>IF(AG158="","",IF(COUNTIF(AF$3:AF158,AG158)+COUNTIF(AG$3:AG158,AG158)+COUNTIF(AH$2:AH157,AG158)=1,MAX(GO$2:GQ157,GO158)+1,""))</f>
        <v/>
      </c>
      <c r="GQ158" t="str">
        <f>IF(AH158="","",IF(COUNTIF(AF$3:AF158,AH158)+COUNTIF(AG$3:AG158,AH158)+COUNTIF(AH$3:AH158,AH158)=1,MAX(GO$2:GQ157,GO158,GP158)+1,""))</f>
        <v/>
      </c>
      <c r="GR158" t="str">
        <f t="shared" si="260"/>
        <v>3х2,5</v>
      </c>
      <c r="GS158" t="str">
        <f>IF(GR158="","",IF(COUNTIF(GR$3:GR158,GR158)=1,MAX(GS$2:GS157)+1,""))</f>
        <v/>
      </c>
      <c r="GT158" t="str">
        <f>IF(ES158="","",COUNTIF(ES$3:ES158,"?*"))</f>
        <v/>
      </c>
      <c r="GU158" t="str">
        <f>IF(OR(ES158="",EU158=""),"",IF(COUNTIFS(ES$3:ES158,"?*",EU$3:EU158,EU158)=1,MAX(GU$2:GU157)+1,""))</f>
        <v/>
      </c>
      <c r="GV158">
        <f t="shared" si="261"/>
        <v>0</v>
      </c>
      <c r="GW158">
        <f>IF(D158="","",COUNTIF(D$3:D158,"?*"))</f>
        <v>156</v>
      </c>
      <c r="GX158">
        <f>IF(EX158&lt;&gt;1,0,_xlfn.LET(_xlpm.k,MAX(IFERROR(--VLOOKUP(D158,УГО_спр,5,FALSE),0),IFERROR(--VLOOKUP(AT158,УГО_спр,5,FALSE),0),IFERROR(--VLOOKUP(LEFT(AT158,2),УГО_спр,5,FALSE),0)),IF(_xlpm.k&gt;0,_xlpm.k,IF(IFERROR(--LEFT(SUBSTITUTE(GR158,"x","х"),FIND("х",SUBSTITUTE(GR158,"x","х"))-1),3)&gt;3,Каталог!$S$9,1))))</f>
        <v>1</v>
      </c>
      <c r="GY158">
        <f t="shared" si="262"/>
        <v>0</v>
      </c>
    </row>
    <row r="159" spans="1:207" x14ac:dyDescent="0.3">
      <c r="A159" t="s">
        <v>758</v>
      </c>
      <c r="B159">
        <v>12</v>
      </c>
      <c r="C159" t="str">
        <f>IF(BD159="","",IF(BE159="вводной узел","узел ","")&amp;"л."&amp;(INT((BD159-1)/Столбцов_на_лист)+1)&amp;" / "&amp;(MOD(BD159-1,Столбцов_на_лист)+1))</f>
        <v>л.1 / 12</v>
      </c>
      <c r="D159" t="s">
        <v>1463</v>
      </c>
      <c r="E159" s="133" t="str">
        <f t="shared" si="263"/>
        <v>Розеточная группа Подвальный этаж Пом. №001Б</v>
      </c>
      <c r="G159">
        <v>0.42</v>
      </c>
      <c r="H159">
        <v>3</v>
      </c>
      <c r="I159">
        <v>1</v>
      </c>
      <c r="J159">
        <v>230</v>
      </c>
      <c r="K159" t="s">
        <v>566</v>
      </c>
      <c r="O159">
        <v>2</v>
      </c>
      <c r="P159">
        <v>48</v>
      </c>
      <c r="Q159">
        <v>0</v>
      </c>
      <c r="R159">
        <v>0</v>
      </c>
      <c r="S159">
        <v>48</v>
      </c>
      <c r="U159" t="s">
        <v>11</v>
      </c>
      <c r="V159">
        <v>3</v>
      </c>
      <c r="W159">
        <v>2.5</v>
      </c>
      <c r="X159">
        <v>16</v>
      </c>
      <c r="Z159" t="s">
        <v>565</v>
      </c>
      <c r="AA159" t="s">
        <v>818</v>
      </c>
      <c r="AD159" t="s">
        <v>517</v>
      </c>
      <c r="AR159" t="str">
        <f t="shared" si="176"/>
        <v/>
      </c>
      <c r="AS159" cm="1">
        <f t="array" ref="AS159">ROW()-ROW(Линии[#Headers])</f>
        <v>157</v>
      </c>
      <c r="AT159" t="str">
        <f t="shared" si="177"/>
        <v>R</v>
      </c>
      <c r="AU159" t="str">
        <f t="shared" si="178"/>
        <v>00.001Б.2</v>
      </c>
      <c r="AV159" t="str">
        <f t="shared" si="179"/>
        <v>00</v>
      </c>
      <c r="AW159" t="str">
        <f t="shared" si="180"/>
        <v>001Б.2</v>
      </c>
      <c r="AX159" t="str">
        <f t="shared" si="181"/>
        <v>001Б</v>
      </c>
      <c r="AY159" t="str">
        <f>IF(D159="","",IF(ISERROR(SEARCH(".",D159)),IFERROR(VLOOKUP(D159,Потребители_обозначение,2,FALSE)&amp;"",""),IFERROR(IF(VLOOKUP(AT159,Потребители_обозначение,4,FALSE)=1,VLOOKUP(AT159,Потребители_обозначение,2,FALSE)&amp;" "&amp;VLOOKUP(AV159,Этаж_обозначение,2,FALSE)&amp;" Пом. №"&amp;AX159,VLOOKUP(AT159,Потребители_обозначение,2,FALSE)&amp;" Шлейф №"&amp;AV159),IFERROR(VLOOKUP(D159,Потребители_обозначение,2,FALSE),""))))</f>
        <v>Розеточная группа Подвальный этаж Пом. №001Б</v>
      </c>
      <c r="AZ159" t="str">
        <f t="shared" si="182"/>
        <v>Розеточная группа Подвальный этаж Пом. №001Б</v>
      </c>
      <c r="BA159" t="str">
        <f>IF(F159&lt;&gt;"",F159,IF(AND(D159&lt;&gt;"",D159&lt;&gt;A159,ISNUMBER(_xlfn.XMATCH(D159,Щиты[Щит]))),D159,""))</f>
        <v/>
      </c>
      <c r="BB159">
        <f>IFERROR(_xlfn.XMATCH(A159,Щиты[Щит]),0)</f>
        <v>8</v>
      </c>
      <c r="BC159">
        <f>IFERROR(N(_xlfn.XLOOKUP(A159,Щиты[Щит],Щиты[Мест под вводной узел])),15)</f>
        <v>7</v>
      </c>
      <c r="BD159">
        <f t="shared" si="183"/>
        <v>12</v>
      </c>
      <c r="BE159" t="str">
        <f t="shared" si="184"/>
        <v>линии</v>
      </c>
      <c r="BF159">
        <f>IF(D159="","",IF(BA159&lt;&gt;"",IFERROR(_xlfn.XLOOKUP(BA159,Щиты[Щит],Щиты[Руст, кВт]),0),N(G159)))</f>
        <v>0.42</v>
      </c>
      <c r="BG159">
        <f>IF(J159&lt;&gt;"",J159,IF(D159="","",IFERROR(IF(VLOOKUP(AT159,Потребители_обозначение,8,FALSE)=0,"",VLOOKUP(AT159,Потребители_обозначение,8,FALSE)),"")))</f>
        <v>230</v>
      </c>
      <c r="BH159">
        <f>IF(I159&lt;&gt;"",I159,IF(D159="","",IFERROR(IF(VLOOKUP(AT159,Потребители_обозначение,9,FALSE)=0,"",VLOOKUP(AT159,Потребители_обозначение,9,FALSE)),"")))</f>
        <v>1</v>
      </c>
      <c r="BI159" t="str">
        <f>IF(U159&lt;&gt;"",U159,IF(D159="","",IFERROR(IF(VLOOKUP(AT159,Потребители_обозначение,6,FALSE)=0,"",VLOOKUP(AT159,Потребители_обозначение,6,FALSE)),"")))</f>
        <v>мс</v>
      </c>
      <c r="BJ159">
        <f>IF(V159&lt;&gt;"",V159,IF(D159="","",IFERROR(IF(VLOOKUP(AT159,Потребители_обозначение,7,FALSE)=0,"",VLOOKUP(AT159,Потребители_обозначение,7,FALSE)),"")))</f>
        <v>3</v>
      </c>
      <c r="BK159">
        <f>IF(W159&lt;&gt;"",W159,IF(D159="","",IFERROR(IF(VLOOKUP(AT159,Потребители_обозначение,10,FALSE)=0,"",VLOOKUP(AT159,Потребители_обозначение,10,FALSE)),"")))</f>
        <v>2.5</v>
      </c>
      <c r="BL159">
        <f>IFERROR(VLOOKUP(AT159,Потребители_обозначение,5,FALSE),0)</f>
        <v>1</v>
      </c>
      <c r="BM159" cm="1">
        <f t="array" ref="BM159">IF(D159="","",IF(BA159&lt;&gt;"",IFERROR(_xlfn.XLOOKUP(BA159,Щиты[Щит],Щиты[cos φ]),0.95),IF(ISNUMBER(M159),M159,IFERROR(IF(BL159=2,_xlfn.IFS(BH159=3,VLOOKUP(BF159,Справочная_двигатели,8,FALSE),BH159=1,VLOOKUP(BF159,Справочная_двигатели,10,TRUE)),IF(AND(Методика="нормы 2026",CN159="Сил"),0.8,0.95)),0.95))))</f>
        <v>0.95</v>
      </c>
      <c r="BN159" cm="1">
        <f t="array" ref="BN159">IF(D159="","",IF(BA159&lt;&gt;"",IFERROR(_xlfn.XLOOKUP(BA159,Щиты[Щит],Щиты[Iр, А]),""),IFERROR(_xlfn.IFS(BH159=1,BF159/((Uн_лин/SQRT(3))*BM159),BH159=3,BF159/(SQRT(3)*Uн_лин*BM159)),"")))</f>
        <v>1.9143719452077064</v>
      </c>
      <c r="BO159">
        <f>IF(D159="","",IF(N(X159)=0,IFERROR(VLOOKUP(BN159,Автомат_номиналы,2,TRUE),""),X159))</f>
        <v>16</v>
      </c>
      <c r="BP159">
        <f t="shared" si="185"/>
        <v>1</v>
      </c>
      <c r="BQ159">
        <f>IF(ISNUMBER(Y159),Y159,К_прокл)</f>
        <v>1</v>
      </c>
      <c r="BR159">
        <f t="shared" si="186"/>
        <v>2</v>
      </c>
      <c r="BS159" cm="1">
        <f t="array" ref="BS159">IF(D159="","",IF(N(BK159)&lt;&gt;0,BK159,IFERROR(_xlfn.LET(_xlpm.need,BO159/(BP159*BQ159),_xlpm.t,CHOOSE(BR159,Iдоп_1ж,Iдоп_2ж,Iдоп_3ж),_xlpm.k,_xlfn.XMATCH(_xlpm.need,_xlpm.t,1),IF(ISNA(_xlpm.k),"Не исп",INDEX(Iдоп_S,_xlpm.k))),"Не исп")))</f>
        <v>2.5</v>
      </c>
      <c r="BT159">
        <f>IFERROR(VLOOKUP(BS159,Кабель_сопротивление,3,FALSE),"")</f>
        <v>2.2499999999999999E-2</v>
      </c>
      <c r="BU159">
        <f>IFERROR(VLOOKUP(BS159,Кабель_сопротивление,2,FALSE),"")</f>
        <v>0.1</v>
      </c>
      <c r="BV159">
        <f t="shared" si="187"/>
        <v>48</v>
      </c>
      <c r="BW159">
        <f>IF(D159="","",IFERROR(IF(VLOOKUP(AT159,Потребители_обозначение,4,FALSE)=1,VLOOKUP(AT159,Потребители_обозначение,3,FALSE)*(H159*2-1)+BV159+VLOOKUP(AV159,Этаж_обозначение,3,FALSE)+VLOOKUP(AV159,Этаж_обозначение,4,FALSE),VLOOKUP(AT159,Потребители_обозначение,3,FALSE)*(H159*2-1)+BV159),BV159))</f>
        <v>63</v>
      </c>
      <c r="BX159">
        <f t="shared" si="188"/>
        <v>0</v>
      </c>
      <c r="BY159">
        <f t="shared" si="189"/>
        <v>48</v>
      </c>
      <c r="BZ159">
        <f t="shared" si="190"/>
        <v>2</v>
      </c>
      <c r="CA159">
        <f t="shared" si="191"/>
        <v>0.31</v>
      </c>
      <c r="CB159">
        <f t="shared" si="192"/>
        <v>2.0698304333902433</v>
      </c>
      <c r="CC159">
        <f>IFERROR(ROUNDUP(CB159/((Uн_лин/SQRT(3))*1000)*100,2),"")</f>
        <v>0.9</v>
      </c>
      <c r="CD159">
        <f>IF(ISNUMBER(CC159),CC159+IFERROR(_xlfn.XLOOKUP(A159,Щиты[Щит],Щиты[ΔU до шин, %]),0),"")</f>
        <v>2.4700000000000002</v>
      </c>
      <c r="CE159">
        <f>IF(D159="","",IF(IFERROR(VLOOKUP(AT159,УГО_спр,2,FALSE),"")="Светильник",3,4)+IF(Методика="нормы 2026",MIN(0.5,MAX(0,N(BW159)-100)*0.005),0))</f>
        <v>4</v>
      </c>
      <c r="CF159" t="str">
        <f>IFERROR(VLOOKUP(BI159,Кабель_обозначение,2,FALSE),"")</f>
        <v>ВВГнг(А)-LS</v>
      </c>
      <c r="CG159" t="str">
        <f>IFERROR(IF(VLOOKUP(BI159,Кабель_обозначение,3,FALSE)=1,CF159&amp;" ("&amp;BJ159&amp;"х"&amp;BS159&amp;")",CF159),"")</f>
        <v>ВВГнг(А)-LS (3х2,5)</v>
      </c>
      <c r="CH159" t="str">
        <f t="shared" si="193"/>
        <v>ВВГнг(А)-LS (3х2,5)
L=63-0,9%</v>
      </c>
      <c r="CI159">
        <f>IFERROR(2*ρкз_Cu*BW159/BS159,"")</f>
        <v>1.32552</v>
      </c>
      <c r="CJ159">
        <f t="shared" si="194"/>
        <v>0.441</v>
      </c>
      <c r="CK159" t="str">
        <f>IFERROR(IF(OR(D159="",NOT(ISNUMBER(BS159)),N(BW159)=0),"",_xlfn.XLOOKUP(A159,Щиты[Щит],Щиты[Zпетли на шинах, Ом])+CI159),"")</f>
        <v/>
      </c>
      <c r="CL159" t="str">
        <f>IF(ISNUMBER(CK159),c_min*(Uн_лин*1000/SQRT(3))/CK159,"")</f>
        <v/>
      </c>
      <c r="CM159" t="str">
        <f>IFERROR(IF(OR(D159="",NOT(ISNUMBER(BS159))),"",1.05*(Uн_лин*1000/SQRT(3))/(_xlfn.XLOOKUP(A159,Щиты[Щит],Щиты[Zmax на шинах, Ом])+CJ159)/1000),"")</f>
        <v/>
      </c>
      <c r="CN159" t="str">
        <f>IF(D159="","",IF(BA159&lt;&gt;"","Щит",IF(K159&lt;&gt;"",K159,IF(ISNUMBER(L159),"Сил",IF(IFERROR(_xlfn.XLOOKUP(AT159,Коды_код,Коды_группа)&amp;"","")="","Быт",_xlfn.XLOOKUP(AT159,Коды_код,Коды_группа)&amp;"")))))</f>
        <v>Быт</v>
      </c>
      <c r="CO159">
        <f>IF(CN159="Щит","щит",IF(CN159="","",IF(CN159="Быт",IFERROR(_xlfn.XLOOKUP(A159,Щиты[Щит],Щиты[Кс быт]),1),IF(CN159="Сил",IF(ISNUMBER(L159),L159,IF(Методика="нормы 2026",IFERROR(_xlfn.XLOOKUP(A159,Щиты[Щит],Щиты[Кс силовых (табл. 7.5)]),1),1)),IF(OR(CN159="Пост",CN159="Отоп"),1,IF(CN159="ВНГ",0.7,0))))))</f>
        <v>0.8</v>
      </c>
      <c r="CP159">
        <f t="shared" si="195"/>
        <v>1</v>
      </c>
      <c r="CQ159">
        <f t="shared" si="196"/>
        <v>0.42</v>
      </c>
      <c r="CR159">
        <f t="shared" si="197"/>
        <v>0.42</v>
      </c>
      <c r="CS159">
        <f t="shared" si="198"/>
        <v>0</v>
      </c>
      <c r="CT159">
        <f t="shared" si="199"/>
        <v>0</v>
      </c>
      <c r="CU159">
        <f t="shared" si="200"/>
        <v>0</v>
      </c>
      <c r="CV159">
        <f t="shared" si="201"/>
        <v>0</v>
      </c>
      <c r="CW159">
        <f t="shared" si="202"/>
        <v>0.42</v>
      </c>
      <c r="CX159">
        <f t="shared" si="203"/>
        <v>0.39899999999999997</v>
      </c>
      <c r="CY159">
        <f t="shared" si="204"/>
        <v>2</v>
      </c>
      <c r="CZ159" t="str">
        <f t="shared" si="205"/>
        <v>L2</v>
      </c>
      <c r="DA159" cm="1">
        <f t="array" ref="DA159">IFERROR(IF(BL159=2,_xlfn.IFS(BH159=3,VLOOKUP(BF159,Справочная_двигатели,3,FALSE),BH159=1,VLOOKUP(BF159,Справочная_двигатели,5,TRUE)),0),0)</f>
        <v>0</v>
      </c>
      <c r="DB159">
        <f>IFERROR(IF(BL159=3,VLOOKUP(BF159,Справочная_ЛЭД,2,TRUE),0),0)</f>
        <v>0</v>
      </c>
      <c r="DC159">
        <f t="shared" si="206"/>
        <v>0</v>
      </c>
      <c r="DD159" t="str">
        <f t="shared" si="207"/>
        <v>L2</v>
      </c>
      <c r="DE159" t="str" cm="1">
        <f t="array" ref="DE159">IF(D159="","",IFERROR(INDEX({"I особая","I","II","III"},MATCH(TRIM(AA159&amp;""),{"I особая","I","II","III"},0)),"III"))</f>
        <v>II</v>
      </c>
      <c r="DF159" t="str">
        <f>IF(D159="","",IF(TRIM(AB159&amp;"")&lt;&gt;"",IF(LOWER(TRIM(AB159&amp;""))="да","да","нет"),IF(IFERROR(_xlfn.XLOOKUP(AT159,Коды_код,Коды_пожарная),"")="да","да","нет")))</f>
        <v>нет</v>
      </c>
      <c r="DG159" t="str">
        <f t="shared" si="208"/>
        <v/>
      </c>
      <c r="DH159" t="str">
        <f t="shared" si="209"/>
        <v>основная</v>
      </c>
      <c r="DI159">
        <f t="shared" si="210"/>
        <v>1</v>
      </c>
      <c r="DJ159" t="str" cm="1">
        <f t="array" ref="DJ159">IF(D159="","",_xlfn.LET(_xlpm.t,IFERROR(_xlfn.XLOOKUP(1,(Шины[Шина]=DH159)*(((Шины[Щит]=A159)+(Шины[Щит]=""))&gt;0),Шины[Тип]),"")&amp;"",IF(_xlpm.t&lt;&gt;"",_xlpm.t,IF(ISNUMBER(SEARCH("ИБП",DH159)),"ИБП",IF(ISNUMBER(SEARCH("ДГУ",DH159)),"ДГУ","Ввод "&amp;DI159)))))</f>
        <v>Ввод 1</v>
      </c>
      <c r="DK159" t="str">
        <f t="shared" si="211"/>
        <v>Ввод 1</v>
      </c>
      <c r="DL159" t="str">
        <f>IF(D159="","",IF(OR(DJ159="ИБП",DJ159="ДГУ"),"I особая",IF(DJ159="Одиночная","III",_xlfn.XLOOKUP(A159,Щиты[Щит],Щиты[Категория шины «Ввод»],"III"))))</f>
        <v>II</v>
      </c>
      <c r="DM159">
        <f>IF(D159="",0,IFERROR(MATCH(DE159,{"III","II","I","I особая"},0),1))</f>
        <v>2</v>
      </c>
      <c r="DN159">
        <f t="shared" si="212"/>
        <v>2</v>
      </c>
      <c r="DO159" t="str">
        <f>IF(D159="","",IF(DM159&gt;IFERROR(MATCH(DL159,{"III","II","I","I особая"},0),1),"НЕ ОБЕСПЕЧЕНА","ОК"))</f>
        <v>ОК</v>
      </c>
      <c r="DP159" t="str">
        <f>IF(A159="","",_xlfn.XLOOKUP(A159,Щиты[Щит],Щиты[Путь],""))</f>
        <v>|ГРЩ-ЖД|ЩР-001|</v>
      </c>
      <c r="DQ159" t="str">
        <f>IF(D159="","",IF(Z159&lt;&gt;"",Z159,IF(IFERROR(_xlfn.XLOOKUP(AT159,Коды_код,Коды_вид)&amp;"","")="","Прочее",_xlfn.XLOOKUP(AT159,Коды_код,Коды_вид)&amp;"")))</f>
        <v>Розеточная сеть и бытовые приборы</v>
      </c>
      <c r="DR159">
        <f>IF(BD159="","",INT((BD159-1)/Столбцов_на_лист)+1)</f>
        <v>1</v>
      </c>
      <c r="DS159" t="str">
        <f t="shared" si="213"/>
        <v>ВВГнг(А)-LS (3х2,5) L=63-0,9%</v>
      </c>
      <c r="DT159">
        <f t="shared" si="214"/>
        <v>0.42</v>
      </c>
      <c r="DU159">
        <f t="shared" si="215"/>
        <v>1.92</v>
      </c>
      <c r="DV159">
        <f t="shared" si="216"/>
        <v>1</v>
      </c>
      <c r="DW159">
        <f>IF(AT159="",0,_xlfn.LET(_xlpm.v,IFERROR(VLOOKUP(D159,УГО_спр,3,FALSE),IFERROR(VLOOKUP(AT159,УГО_спр,3,FALSE),IFERROR(VLOOKUP(LEFT(AT159,2),УГО_спр,3,FALSE),""))),IF(_xlpm.v="да",30,IF(ISNUMBER(_xlpm.v),_xlpm.v,0))))</f>
        <v>30</v>
      </c>
      <c r="DX159">
        <f t="shared" si="217"/>
        <v>0</v>
      </c>
      <c r="DY159">
        <f>IF(BD159="","",IF(AD159&lt;&gt;"",COUNTIFS(A$3:A159,A159,AD$3:AD159,"?*"),IF(OR(OR(AS159=1,A159&lt;&gt;A158),AL159="вручную"),"",IF(AS159=1,"",DZ158))))</f>
        <v>5</v>
      </c>
      <c r="DZ159">
        <f t="shared" si="218"/>
        <v>5</v>
      </c>
      <c r="EA159">
        <f>IF(D159="",0,MAX(IFERROR(--X159,0),IFERROR(--VLOOKUP(D159,УГО_спр,4,FALSE),IFERROR(--VLOOKUP(AT159,УГО_спр,4,FALSE),IFERROR(--VLOOKUP(LEFT(AT159,2),УГО_спр,4,FALSE),0)))))</f>
        <v>16</v>
      </c>
      <c r="EB159">
        <f>IF(D159="","",IFERROR(LOOKUP(INDEX(CHOOSE(BR159,Iдоп_1ж,Iдоп_2ж,Iдоп_3ж),MATCH(BS159,Iдоп_S,0))*BP159*BQ159,{6,10,16,20,25,32,40,50,63,80,100,125,160,200,250,315,400,500,630}),""))</f>
        <v>25</v>
      </c>
      <c r="EC159">
        <f>IF(AD159="","",SUMIFS(Линии[_Ток схемы],Линии[_гр.],DY159,Линии[Щит],A159,Линии[_в кабель выше],0))</f>
        <v>1.92</v>
      </c>
      <c r="ED159">
        <f>IF(AD159="","",IFERROR(VLOOKUP(EC159,Автомат_номиналы,2,TRUE),""))</f>
        <v>6</v>
      </c>
      <c r="EE159">
        <f>IF(AD159="","",MAX(N(ED159),_xlfn.MAXIFS(Линии[_мин. по типу],Линии[_гр.],DY159,Линии[Щит],A159)))</f>
        <v>16</v>
      </c>
      <c r="EF159">
        <f>IF(AD159="","",_xlfn.MINIFS(Линии[_макс. автомат по кабелю],Линии[_гр.],DY159,Линии[Щит],A159))</f>
        <v>25</v>
      </c>
      <c r="EG159">
        <f>IF(AD159="","",MAX(1,_xlfn.MAXIFS(Линии[_фаз],Линии[_гр.],DY159,Линии[Щит],A159)))</f>
        <v>1</v>
      </c>
      <c r="EH159">
        <f>IF(AD159="","",IF(AND(AD159&lt;&gt;"авто",AD159&lt;&gt;"+"),IF(ISNUMBER(SEARCH("мА",AD159)),IFERROR(--TRIM(RIGHT(SUBSTITUTE(LEFT(AD159,SEARCH("мА",AD159)-1)," ",REPT(" ",9)),6)),30),0),IF(AE159="нет",0,IF(ISNUMBER(AE159),AE159,IF(AE159="да",30,_xlfn.MINIFS(Линии[_дифзащита по коду, мА],Линии[_гр.],DY159,Линии[Щит],A159,Линии[_дифзащита по коду, мА],"&gt;0"))))))</f>
        <v>30</v>
      </c>
      <c r="EI159">
        <f t="shared" si="219"/>
        <v>1</v>
      </c>
      <c r="EJ159" t="str">
        <f t="shared" si="220"/>
        <v>QFD5</v>
      </c>
      <c r="EK159" t="str">
        <f t="shared" si="221"/>
        <v>QFD5</v>
      </c>
      <c r="EL159" t="str">
        <f t="shared" si="222"/>
        <v/>
      </c>
      <c r="EM159">
        <f t="shared" si="223"/>
        <v>0</v>
      </c>
      <c r="EN159">
        <f>IF(AD159="","",IF(EM159=1,MAX(EE159,Мин_автомат_БП),EE159))</f>
        <v>16</v>
      </c>
      <c r="EO159" t="str">
        <f t="shared" si="224"/>
        <v>2P</v>
      </c>
      <c r="EP159" t="str">
        <f t="shared" si="225"/>
        <v>2P С16А 30мА</v>
      </c>
      <c r="EQ159">
        <f t="shared" si="226"/>
        <v>16</v>
      </c>
      <c r="ER159" t="str">
        <f>IF(OR(AI159="",AI159="-"),"",IFERROR(VLOOKUP(AI159,Модули_спр,2,FALSE),"R"))</f>
        <v/>
      </c>
      <c r="ES159" t="str">
        <f>IF(ER159="","",ER159&amp;"."&amp;COUNTIFS(A$3:A159,A159,ER$3:ER159,ER159))</f>
        <v/>
      </c>
      <c r="ET159" t="str">
        <f t="shared" si="227"/>
        <v/>
      </c>
      <c r="EU159" t="str">
        <f t="shared" si="228"/>
        <v/>
      </c>
      <c r="EV159" t="str">
        <f t="shared" si="229"/>
        <v/>
      </c>
      <c r="EW159" t="str">
        <f t="shared" si="230"/>
        <v/>
      </c>
      <c r="EX159">
        <f t="shared" si="231"/>
        <v>1</v>
      </c>
      <c r="EY159" t="str">
        <f>IF(AK159="нет","",IF(AK159&lt;&gt;"",AK159,IF(EX159=1,"XT"&amp;COUNTIFS(A$3:A159,A159,EX$3:EX159,1),"")))</f>
        <v>XT5</v>
      </c>
      <c r="EZ159" t="str">
        <f t="shared" si="232"/>
        <v>QFD5</v>
      </c>
      <c r="FA159" t="str">
        <f t="shared" si="233"/>
        <v/>
      </c>
      <c r="FB159" t="str">
        <f t="shared" si="234"/>
        <v>ok</v>
      </c>
      <c r="FC159" t="str">
        <f>IF(OR(EV159="",ET159=""),"",IF(EV159&gt;IFERROR(VLOOKUP(EU159,Модули_спр,3,FALSE),99),"ЛИШНИЙ КАНАЛ",IF(AND(AJ159&lt;&gt;"=",COUNTIFS(Линии[_модуль гр.],ET159,Линии[Канал (итог)],EV159,Линии[Канал],"&lt;&gt;=",Линии[Щит],A159)&gt;1),"ДУБЛЬ КАНАЛА","")))</f>
        <v/>
      </c>
      <c r="FD159">
        <f t="shared" si="235"/>
        <v>16</v>
      </c>
      <c r="FE159" t="str">
        <f t="shared" si="236"/>
        <v>2P С16А 30мА</v>
      </c>
      <c r="FF159">
        <f t="shared" si="237"/>
        <v>1</v>
      </c>
      <c r="FG159">
        <f t="shared" si="238"/>
        <v>30</v>
      </c>
      <c r="FH159" t="str">
        <f t="shared" si="239"/>
        <v/>
      </c>
      <c r="FI159">
        <f t="shared" si="240"/>
        <v>10</v>
      </c>
      <c r="FJ159" t="str">
        <f t="shared" si="241"/>
        <v/>
      </c>
      <c r="FK159" t="str">
        <f>IF(AND(D159="",EZ159=""),"",_xlfn.TEXTJOIN("; ",TRUE,IF(AND(D159&lt;&gt;"",DD159=""),"нет фазы",""),IF(AND(D159&lt;&gt;"",N(DT159)=0,CN159&lt;&gt;"Нет"),"нет мощности",""),IF(AND(EY159&lt;&gt;"",COUNTIFS(Линии[Щит],A159,Линии[Клемма (итог)],EY159)&gt;1),"дубль клеммы "&amp;EY159,""),IF(AND(FB159&lt;&gt;"",FB159&lt;&gt;"ok"),FB159,""),IF(FC159&lt;&gt;"",FC159,""),IF(AND(ISNUMBER(SEARCH("(5х",DS159)),N(DV159)=1),"5 жил на 1 фазе",""),IF(AND(AT159="R",AD159&lt;&gt;"",OR(N(EH159)=0,N(EH159)&gt;30)),"розетка без дифзащиты до 30 мА",""),IFERROR(IF(AND(ISNUMBER(CD159),CD159&gt;CE159),"потери "&amp;FIXED(CD159,1)&amp;" % &gt; "&amp;CE159&amp;" %",""),""),IFERROR(IF(LEFT(FJ159,4)="мало","Iкз мало — отключение &gt; 0,4 с",""),""),IF(AND(D159&lt;&gt;"",BD159=""),"не на схеме","")))</f>
        <v/>
      </c>
      <c r="FL159">
        <f>IF(AD159="","",_xlfn.LET(_xlpm.t,IFERROR(_xlfn.XLOOKUP(EP159,Каталог!$U$4:$U$500,Каталог!$G$4:$G$500),""),_xlpm.k,SEARCH("кА",_xlpm.t),IFERROR(--TRIM(RIGHT(SUBSTITUTE(MID(_xlpm.t,MAX(1,_xlpm.k-4),_xlpm.k-MAX(1,_xlpm.k-4))," ",REPT(" ",9)),5)),"")))</f>
        <v>6</v>
      </c>
      <c r="FM159" t="str">
        <f>IF(OR(FL159="",AD159=""),"",IF(_xlfn.XLOOKUP(A159,Щиты[Щит],Щиты[Iкз max на шинах, кА],"")="","",IF(FL159&lt;_xlfn.XLOOKUP(A159,Щиты[Щит],Щиты[Iкз max на шинах, кА]),"Icu "&amp;FL159&amp;" кА &lt; Iкз max","ok")))</f>
        <v/>
      </c>
      <c r="FN159" t="str">
        <f t="shared" si="242"/>
        <v>QFD5|XT5</v>
      </c>
      <c r="FO159" t="str">
        <f t="shared" si="243"/>
        <v>QFD5|XT5|кабель ВВГнг(А)-LS (3х2,5) → Розеточная группа Подвальный этаж Пом. №001Б</v>
      </c>
      <c r="FP159" t="str" cm="1">
        <f t="array" ref="FP159">IF(FO159="","",_xlfn.LET(_xlpm.nd,_xlfn.TEXTSPLIT(FO159,"|"),IF(COLUMNS(_xlpm.nd)&gt;1,A159&amp;"¦"&amp;INDEX(_xlpm.nd,1)&amp;"¦"&amp;INDEX(_xlpm.nd,2),"")))</f>
        <v>ЩР-001¦QFD5¦XT5</v>
      </c>
      <c r="FQ159" t="str">
        <f t="shared" si="244"/>
        <v>R.00.001Б.2¦Розеточная группа Подвальный этаж Пом. №001Б</v>
      </c>
      <c r="FR159" t="str" cm="1">
        <f t="array" ref="FR159">IF(FO159="","",_xlfn.LET(_xlpm.nd,_xlfn.TEXTSPLIT(FO159,"|"),IF(COLUMNS(_xlpm.nd)&gt;2,A159&amp;"¦"&amp;INDEX(_xlpm.nd,2)&amp;"¦"&amp;INDEX(_xlpm.nd,3),"")))</f>
        <v>ЩР-001¦XT5¦кабель ВВГнг(А)-LS (3х2,5) → Розеточная группа Подвальный этаж Пом. №001Б</v>
      </c>
      <c r="FS159" t="str">
        <f t="shared" si="245"/>
        <v>R.00.001Б.2¦Розеточная группа Подвальный этаж Пом. №001Б</v>
      </c>
      <c r="FT159" t="str" cm="1">
        <f t="array" ref="FT159">IF(FO159="","",_xlfn.LET(_xlpm.nd,_xlfn.TEXTSPLIT(FO159,"|"),IF(COLUMNS(_xlpm.nd)&gt;3,A159&amp;"¦"&amp;INDEX(_xlpm.nd,3)&amp;"¦"&amp;INDEX(_xlpm.nd,4),"")))</f>
        <v/>
      </c>
      <c r="FU159" t="str">
        <f t="shared" si="246"/>
        <v/>
      </c>
      <c r="FV159" t="str" cm="1">
        <f t="array" ref="FV159">IF(FO159="","",_xlfn.LET(_xlpm.nd,_xlfn.TEXTSPLIT(FO159,"|"),IF(COLUMNS(_xlpm.nd)&gt;4,A159&amp;"¦"&amp;INDEX(_xlpm.nd,4)&amp;"¦"&amp;INDEX(_xlpm.nd,5),"")))</f>
        <v/>
      </c>
      <c r="FW159" t="str">
        <f t="shared" si="247"/>
        <v/>
      </c>
      <c r="FX159" t="str" cm="1">
        <f t="array" ref="FX159">IF(FO159="","",_xlfn.LET(_xlpm.nd,_xlfn.TEXTSPLIT(FO159,"|"),IF(COLUMNS(_xlpm.nd)&gt;5,A159&amp;"¦"&amp;INDEX(_xlpm.nd,5)&amp;"¦"&amp;INDEX(_xlpm.nd,6),"")))</f>
        <v/>
      </c>
      <c r="FY159" t="str">
        <f t="shared" si="248"/>
        <v/>
      </c>
      <c r="FZ159" t="str" cm="1">
        <f t="array" ref="FZ159">IF(FO159="","",_xlfn.LET(_xlpm.nd,_xlfn.TEXTSPLIT(FO159,"|"),IF(COLUMNS(_xlpm.nd)&gt;6,A159&amp;"¦"&amp;INDEX(_xlpm.nd,6)&amp;"¦"&amp;INDEX(_xlpm.nd,7),"")))</f>
        <v/>
      </c>
      <c r="GA159" t="str">
        <f t="shared" si="249"/>
        <v/>
      </c>
      <c r="GB159" t="str">
        <f t="shared" si="250"/>
        <v/>
      </c>
      <c r="GC159" t="str">
        <f t="shared" si="251"/>
        <v>QFD5 → XT5</v>
      </c>
      <c r="GD159">
        <f t="shared" si="252"/>
        <v>1</v>
      </c>
      <c r="GE159">
        <f t="shared" si="253"/>
        <v>0</v>
      </c>
      <c r="GF159">
        <f t="shared" si="254"/>
        <v>1</v>
      </c>
      <c r="GG159" t="str">
        <f t="shared" si="255"/>
        <v/>
      </c>
      <c r="GH159" t="str">
        <f t="shared" si="256"/>
        <v/>
      </c>
      <c r="GI159" t="str">
        <f t="shared" si="257"/>
        <v/>
      </c>
      <c r="GJ159" t="str">
        <f t="shared" si="258"/>
        <v/>
      </c>
      <c r="GK159" t="str">
        <f>IF(D159="","",IFERROR(VLOOKUP(D159,УГО_спр,2,FALSE),IFERROR(VLOOKUP(AT159,УГО_спр,2,FALSE),IFERROR(VLOOKUP(LEFT(AT159,2),УГО_спр,2,FALSE),""))))</f>
        <v>Розетка</v>
      </c>
      <c r="GL159" t="str">
        <f>IF(D159="","",IF(OR(GK159="",GK159=0),"BOX",IFERROR(IF(VLOOKUP(GK159,УГО_блоки,3,FALSE)&amp;""&lt;&gt;"",VLOOKUP(GK159,УГО_блоки,3,FALSE),VLOOKUP(GK159,УГО_блоки,2,FALSE)),GK159)))</f>
        <v>SOCKET</v>
      </c>
      <c r="GM159">
        <f t="shared" si="259"/>
        <v>1</v>
      </c>
      <c r="GN159" t="str">
        <f>IF(EP159="","",IF(COUNTIF(EP$3:EP159,EP159)=1,MAX(GN$2:GN158)+1,""))</f>
        <v/>
      </c>
      <c r="GO159" t="str">
        <f>IF(AF159="","",IF(COUNTIF(AF$3:AF159,AF159)+COUNTIF(AG$2:AG158,AF159)+COUNTIF(AH$2:AH158,AF159)=1,MAX(GO$2:GQ158)+1,""))</f>
        <v/>
      </c>
      <c r="GP159" t="str">
        <f>IF(AG159="","",IF(COUNTIF(AF$3:AF159,AG159)+COUNTIF(AG$3:AG159,AG159)+COUNTIF(AH$2:AH158,AG159)=1,MAX(GO$2:GQ158,GO159)+1,""))</f>
        <v/>
      </c>
      <c r="GQ159" t="str">
        <f>IF(AH159="","",IF(COUNTIF(AF$3:AF159,AH159)+COUNTIF(AG$3:AG159,AH159)+COUNTIF(AH$3:AH159,AH159)=1,MAX(GO$2:GQ158,GO159,GP159)+1,""))</f>
        <v/>
      </c>
      <c r="GR159" t="str">
        <f t="shared" si="260"/>
        <v>3х2,5</v>
      </c>
      <c r="GS159" t="str">
        <f>IF(GR159="","",IF(COUNTIF(GR$3:GR159,GR159)=1,MAX(GS$2:GS158)+1,""))</f>
        <v/>
      </c>
      <c r="GT159" t="str">
        <f>IF(ES159="","",COUNTIF(ES$3:ES159,"?*"))</f>
        <v/>
      </c>
      <c r="GU159" t="str">
        <f>IF(OR(ES159="",EU159=""),"",IF(COUNTIFS(ES$3:ES159,"?*",EU$3:EU159,EU159)=1,MAX(GU$2:GU158)+1,""))</f>
        <v/>
      </c>
      <c r="GV159">
        <f t="shared" si="261"/>
        <v>0</v>
      </c>
      <c r="GW159">
        <f>IF(D159="","",COUNTIF(D$3:D159,"?*"))</f>
        <v>157</v>
      </c>
      <c r="GX159">
        <f>IF(EX159&lt;&gt;1,0,_xlfn.LET(_xlpm.k,MAX(IFERROR(--VLOOKUP(D159,УГО_спр,5,FALSE),0),IFERROR(--VLOOKUP(AT159,УГО_спр,5,FALSE),0),IFERROR(--VLOOKUP(LEFT(AT159,2),УГО_спр,5,FALSE),0)),IF(_xlpm.k&gt;0,_xlpm.k,IF(IFERROR(--LEFT(SUBSTITUTE(GR159,"x","х"),FIND("х",SUBSTITUTE(GR159,"x","х"))-1),3)&gt;3,Каталог!$S$9,1))))</f>
        <v>1</v>
      </c>
      <c r="GY159">
        <f t="shared" si="262"/>
        <v>0</v>
      </c>
    </row>
    <row r="160" spans="1:207" x14ac:dyDescent="0.3">
      <c r="A160" t="s">
        <v>758</v>
      </c>
      <c r="B160">
        <v>13</v>
      </c>
      <c r="C160" t="str">
        <f>IF(BD160="","",IF(BE160="вводной узел","узел ","")&amp;"л."&amp;(INT((BD160-1)/Столбцов_на_лист)+1)&amp;" / "&amp;(MOD(BD160-1,Столбцов_на_лист)+1))</f>
        <v>л.1 / 13</v>
      </c>
      <c r="D160" t="s">
        <v>1464</v>
      </c>
      <c r="E160" s="133" t="str">
        <f t="shared" si="263"/>
        <v>Розеточная группа Подвальный этаж Пом. №005Т</v>
      </c>
      <c r="G160">
        <v>0.3</v>
      </c>
      <c r="H160">
        <v>5</v>
      </c>
      <c r="I160">
        <v>1</v>
      </c>
      <c r="J160">
        <v>230</v>
      </c>
      <c r="K160" t="s">
        <v>566</v>
      </c>
      <c r="O160">
        <v>1</v>
      </c>
      <c r="P160">
        <v>35</v>
      </c>
      <c r="Q160">
        <v>16</v>
      </c>
      <c r="R160">
        <v>31</v>
      </c>
      <c r="S160">
        <v>15</v>
      </c>
      <c r="U160" t="s">
        <v>11</v>
      </c>
      <c r="V160">
        <v>3</v>
      </c>
      <c r="W160">
        <v>2.5</v>
      </c>
      <c r="X160">
        <v>16</v>
      </c>
      <c r="Z160" t="s">
        <v>565</v>
      </c>
      <c r="AA160" t="s">
        <v>818</v>
      </c>
      <c r="AD160" t="s">
        <v>517</v>
      </c>
      <c r="AR160" t="str">
        <f t="shared" si="176"/>
        <v/>
      </c>
      <c r="AS160" cm="1">
        <f t="array" ref="AS160">ROW()-ROW(Линии[#Headers])</f>
        <v>158</v>
      </c>
      <c r="AT160" t="str">
        <f t="shared" si="177"/>
        <v>R</v>
      </c>
      <c r="AU160" t="str">
        <f t="shared" si="178"/>
        <v>00.005Т.1</v>
      </c>
      <c r="AV160" t="str">
        <f t="shared" si="179"/>
        <v>00</v>
      </c>
      <c r="AW160" t="str">
        <f t="shared" si="180"/>
        <v>005Т.1</v>
      </c>
      <c r="AX160" t="str">
        <f t="shared" si="181"/>
        <v>005Т</v>
      </c>
      <c r="AY160" t="str">
        <f>IF(D160="","",IF(ISERROR(SEARCH(".",D160)),IFERROR(VLOOKUP(D160,Потребители_обозначение,2,FALSE)&amp;"",""),IFERROR(IF(VLOOKUP(AT160,Потребители_обозначение,4,FALSE)=1,VLOOKUP(AT160,Потребители_обозначение,2,FALSE)&amp;" "&amp;VLOOKUP(AV160,Этаж_обозначение,2,FALSE)&amp;" Пом. №"&amp;AX160,VLOOKUP(AT160,Потребители_обозначение,2,FALSE)&amp;" Шлейф №"&amp;AV160),IFERROR(VLOOKUP(D160,Потребители_обозначение,2,FALSE),""))))</f>
        <v>Розеточная группа Подвальный этаж Пом. №005Т</v>
      </c>
      <c r="AZ160" t="str">
        <f t="shared" si="182"/>
        <v>Розеточная группа Подвальный этаж Пом. №005Т</v>
      </c>
      <c r="BA160" t="str">
        <f>IF(F160&lt;&gt;"",F160,IF(AND(D160&lt;&gt;"",D160&lt;&gt;A160,ISNUMBER(_xlfn.XMATCH(D160,Щиты[Щит]))),D160,""))</f>
        <v/>
      </c>
      <c r="BB160">
        <f>IFERROR(_xlfn.XMATCH(A160,Щиты[Щит]),0)</f>
        <v>8</v>
      </c>
      <c r="BC160">
        <f>IFERROR(N(_xlfn.XLOOKUP(A160,Щиты[Щит],Щиты[Мест под вводной узел])),15)</f>
        <v>7</v>
      </c>
      <c r="BD160">
        <f t="shared" si="183"/>
        <v>13</v>
      </c>
      <c r="BE160" t="str">
        <f t="shared" si="184"/>
        <v>линии</v>
      </c>
      <c r="BF160">
        <f>IF(D160="","",IF(BA160&lt;&gt;"",IFERROR(_xlfn.XLOOKUP(BA160,Щиты[Щит],Щиты[Руст, кВт]),0),N(G160)))</f>
        <v>0.3</v>
      </c>
      <c r="BG160">
        <f>IF(J160&lt;&gt;"",J160,IF(D160="","",IFERROR(IF(VLOOKUP(AT160,Потребители_обозначение,8,FALSE)=0,"",VLOOKUP(AT160,Потребители_обозначение,8,FALSE)),"")))</f>
        <v>230</v>
      </c>
      <c r="BH160">
        <f>IF(I160&lt;&gt;"",I160,IF(D160="","",IFERROR(IF(VLOOKUP(AT160,Потребители_обозначение,9,FALSE)=0,"",VLOOKUP(AT160,Потребители_обозначение,9,FALSE)),"")))</f>
        <v>1</v>
      </c>
      <c r="BI160" t="str">
        <f>IF(U160&lt;&gt;"",U160,IF(D160="","",IFERROR(IF(VLOOKUP(AT160,Потребители_обозначение,6,FALSE)=0,"",VLOOKUP(AT160,Потребители_обозначение,6,FALSE)),"")))</f>
        <v>мс</v>
      </c>
      <c r="BJ160">
        <f>IF(V160&lt;&gt;"",V160,IF(D160="","",IFERROR(IF(VLOOKUP(AT160,Потребители_обозначение,7,FALSE)=0,"",VLOOKUP(AT160,Потребители_обозначение,7,FALSE)),"")))</f>
        <v>3</v>
      </c>
      <c r="BK160">
        <f>IF(W160&lt;&gt;"",W160,IF(D160="","",IFERROR(IF(VLOOKUP(AT160,Потребители_обозначение,10,FALSE)=0,"",VLOOKUP(AT160,Потребители_обозначение,10,FALSE)),"")))</f>
        <v>2.5</v>
      </c>
      <c r="BL160">
        <f>IFERROR(VLOOKUP(AT160,Потребители_обозначение,5,FALSE),0)</f>
        <v>1</v>
      </c>
      <c r="BM160" cm="1">
        <f t="array" ref="BM160">IF(D160="","",IF(BA160&lt;&gt;"",IFERROR(_xlfn.XLOOKUP(BA160,Щиты[Щит],Щиты[cos φ]),0.95),IF(ISNUMBER(M160),M160,IFERROR(IF(BL160=2,_xlfn.IFS(BH160=3,VLOOKUP(BF160,Справочная_двигатели,8,FALSE),BH160=1,VLOOKUP(BF160,Справочная_двигатели,10,TRUE)),IF(AND(Методика="нормы 2026",CN160="Сил"),0.8,0.95)),0.95))))</f>
        <v>0.95</v>
      </c>
      <c r="BN160" cm="1">
        <f t="array" ref="BN160">IF(D160="","",IF(BA160&lt;&gt;"",IFERROR(_xlfn.XLOOKUP(BA160,Щиты[Щит],Щиты[Iр, А]),""),IFERROR(_xlfn.IFS(BH160=1,BF160/((Uн_лин/SQRT(3))*BM160),BH160=3,BF160/(SQRT(3)*Uн_лин*BM160)),"")))</f>
        <v>1.3674085322912188</v>
      </c>
      <c r="BO160">
        <f>IF(D160="","",IF(N(X160)=0,IFERROR(VLOOKUP(BN160,Автомат_номиналы,2,TRUE),""),X160))</f>
        <v>16</v>
      </c>
      <c r="BP160">
        <f t="shared" si="185"/>
        <v>1</v>
      </c>
      <c r="BQ160">
        <f>IF(ISNUMBER(Y160),Y160,К_прокл)</f>
        <v>1</v>
      </c>
      <c r="BR160">
        <f t="shared" si="186"/>
        <v>2</v>
      </c>
      <c r="BS160" cm="1">
        <f t="array" ref="BS160">IF(D160="","",IF(N(BK160)&lt;&gt;0,BK160,IFERROR(_xlfn.LET(_xlpm.need,BO160/(BP160*BQ160),_xlpm.t,CHOOSE(BR160,Iдоп_1ж,Iдоп_2ж,Iдоп_3ж),_xlpm.k,_xlfn.XMATCH(_xlpm.need,_xlpm.t,1),IF(ISNA(_xlpm.k),"Не исп",INDEX(Iдоп_S,_xlpm.k))),"Не исп")))</f>
        <v>2.5</v>
      </c>
      <c r="BT160">
        <f>IFERROR(VLOOKUP(BS160,Кабель_сопротивление,3,FALSE),"")</f>
        <v>2.2499999999999999E-2</v>
      </c>
      <c r="BU160">
        <f>IFERROR(VLOOKUP(BS160,Кабель_сопротивление,2,FALSE),"")</f>
        <v>0.1</v>
      </c>
      <c r="BV160">
        <f t="shared" si="187"/>
        <v>35</v>
      </c>
      <c r="BW160">
        <f>IF(D160="","",IFERROR(IF(VLOOKUP(AT160,Потребители_обозначение,4,FALSE)=1,VLOOKUP(AT160,Потребители_обозначение,3,FALSE)*(H160*2-1)+BV160+VLOOKUP(AV160,Этаж_обозначение,3,FALSE)+VLOOKUP(AV160,Этаж_обозначение,4,FALSE),VLOOKUP(AT160,Потребители_обозначение,3,FALSE)*(H160*2-1)+BV160),BV160))</f>
        <v>62</v>
      </c>
      <c r="BX160">
        <f t="shared" si="188"/>
        <v>31</v>
      </c>
      <c r="BY160">
        <f t="shared" si="189"/>
        <v>15</v>
      </c>
      <c r="BZ160">
        <f t="shared" si="190"/>
        <v>2</v>
      </c>
      <c r="CA160">
        <f t="shared" si="191"/>
        <v>0.31</v>
      </c>
      <c r="CB160">
        <f t="shared" si="192"/>
        <v>1.4549828443332777</v>
      </c>
      <c r="CC160">
        <f>IFERROR(ROUNDUP(CB160/((Uн_лин/SQRT(3))*1000)*100,2),"")</f>
        <v>0.64</v>
      </c>
      <c r="CD160">
        <f>IF(ISNUMBER(CC160),CC160+IFERROR(_xlfn.XLOOKUP(A160,Щиты[Щит],Щиты[ΔU до шин, %]),0),"")</f>
        <v>2.21</v>
      </c>
      <c r="CE160">
        <f>IF(D160="","",IF(IFERROR(VLOOKUP(AT160,УГО_спр,2,FALSE),"")="Светильник",3,4)+IF(Методика="нормы 2026",MIN(0.5,MAX(0,N(BW160)-100)*0.005),0))</f>
        <v>4</v>
      </c>
      <c r="CF160" t="str">
        <f>IFERROR(VLOOKUP(BI160,Кабель_обозначение,2,FALSE),"")</f>
        <v>ВВГнг(А)-LS</v>
      </c>
      <c r="CG160" t="str">
        <f>IFERROR(IF(VLOOKUP(BI160,Кабель_обозначение,3,FALSE)=1,CF160&amp;" ("&amp;BJ160&amp;"х"&amp;BS160&amp;")",CF160),"")</f>
        <v>ВВГнг(А)-LS (3х2,5)</v>
      </c>
      <c r="CH160" t="str">
        <f t="shared" si="193"/>
        <v>ВВГнг(А)-LS (3х2,5)
L=62-0,64%</v>
      </c>
      <c r="CI160">
        <f>IFERROR(2*ρкз_Cu*BW160/BS160,"")</f>
        <v>1.3044800000000001</v>
      </c>
      <c r="CJ160">
        <f t="shared" si="194"/>
        <v>0.43400000000000005</v>
      </c>
      <c r="CK160" t="str">
        <f>IFERROR(IF(OR(D160="",NOT(ISNUMBER(BS160)),N(BW160)=0),"",_xlfn.XLOOKUP(A160,Щиты[Щит],Щиты[Zпетли на шинах, Ом])+CI160),"")</f>
        <v/>
      </c>
      <c r="CL160" t="str">
        <f>IF(ISNUMBER(CK160),c_min*(Uн_лин*1000/SQRT(3))/CK160,"")</f>
        <v/>
      </c>
      <c r="CM160" t="str">
        <f>IFERROR(IF(OR(D160="",NOT(ISNUMBER(BS160))),"",1.05*(Uн_лин*1000/SQRT(3))/(_xlfn.XLOOKUP(A160,Щиты[Щит],Щиты[Zmax на шинах, Ом])+CJ160)/1000),"")</f>
        <v/>
      </c>
      <c r="CN160" t="str">
        <f>IF(D160="","",IF(BA160&lt;&gt;"","Щит",IF(K160&lt;&gt;"",K160,IF(ISNUMBER(L160),"Сил",IF(IFERROR(_xlfn.XLOOKUP(AT160,Коды_код,Коды_группа)&amp;"","")="","Быт",_xlfn.XLOOKUP(AT160,Коды_код,Коды_группа)&amp;"")))))</f>
        <v>Быт</v>
      </c>
      <c r="CO160">
        <f>IF(CN160="Щит","щит",IF(CN160="","",IF(CN160="Быт",IFERROR(_xlfn.XLOOKUP(A160,Щиты[Щит],Щиты[Кс быт]),1),IF(CN160="Сил",IF(ISNUMBER(L160),L160,IF(Методика="нормы 2026",IFERROR(_xlfn.XLOOKUP(A160,Щиты[Щит],Щиты[Кс силовых (табл. 7.5)]),1),1)),IF(OR(CN160="Пост",CN160="Отоп"),1,IF(CN160="ВНГ",0.7,0))))))</f>
        <v>0.8</v>
      </c>
      <c r="CP160">
        <f t="shared" si="195"/>
        <v>1</v>
      </c>
      <c r="CQ160">
        <f t="shared" si="196"/>
        <v>0.3</v>
      </c>
      <c r="CR160">
        <f t="shared" si="197"/>
        <v>0.3</v>
      </c>
      <c r="CS160">
        <f t="shared" si="198"/>
        <v>0</v>
      </c>
      <c r="CT160">
        <f t="shared" si="199"/>
        <v>0</v>
      </c>
      <c r="CU160">
        <f t="shared" si="200"/>
        <v>0</v>
      </c>
      <c r="CV160">
        <f t="shared" si="201"/>
        <v>0</v>
      </c>
      <c r="CW160">
        <f t="shared" si="202"/>
        <v>0.3</v>
      </c>
      <c r="CX160">
        <f t="shared" si="203"/>
        <v>0.28499999999999998</v>
      </c>
      <c r="CY160">
        <f t="shared" si="204"/>
        <v>3</v>
      </c>
      <c r="CZ160" t="str">
        <f t="shared" si="205"/>
        <v>L3</v>
      </c>
      <c r="DA160" cm="1">
        <f t="array" ref="DA160">IFERROR(IF(BL160=2,_xlfn.IFS(BH160=3,VLOOKUP(BF160,Справочная_двигатели,3,FALSE),BH160=1,VLOOKUP(BF160,Справочная_двигатели,5,TRUE)),0),0)</f>
        <v>0</v>
      </c>
      <c r="DB160">
        <f>IFERROR(IF(BL160=3,VLOOKUP(BF160,Справочная_ЛЭД,2,TRUE),0),0)</f>
        <v>0</v>
      </c>
      <c r="DC160">
        <f t="shared" si="206"/>
        <v>0</v>
      </c>
      <c r="DD160" t="str">
        <f t="shared" si="207"/>
        <v>L1</v>
      </c>
      <c r="DE160" t="str" cm="1">
        <f t="array" ref="DE160">IF(D160="","",IFERROR(INDEX({"I особая","I","II","III"},MATCH(TRIM(AA160&amp;""),{"I особая","I","II","III"},0)),"III"))</f>
        <v>II</v>
      </c>
      <c r="DF160" t="str">
        <f>IF(D160="","",IF(TRIM(AB160&amp;"")&lt;&gt;"",IF(LOWER(TRIM(AB160&amp;""))="да","да","нет"),IF(IFERROR(_xlfn.XLOOKUP(AT160,Коды_код,Коды_пожарная),"")="да","да","нет")))</f>
        <v>нет</v>
      </c>
      <c r="DG160" t="str">
        <f t="shared" si="208"/>
        <v/>
      </c>
      <c r="DH160" t="str">
        <f t="shared" si="209"/>
        <v>основная</v>
      </c>
      <c r="DI160">
        <f t="shared" si="210"/>
        <v>1</v>
      </c>
      <c r="DJ160" t="str" cm="1">
        <f t="array" ref="DJ160">IF(D160="","",_xlfn.LET(_xlpm.t,IFERROR(_xlfn.XLOOKUP(1,(Шины[Шина]=DH160)*(((Шины[Щит]=A160)+(Шины[Щит]=""))&gt;0),Шины[Тип]),"")&amp;"",IF(_xlpm.t&lt;&gt;"",_xlpm.t,IF(ISNUMBER(SEARCH("ИБП",DH160)),"ИБП",IF(ISNUMBER(SEARCH("ДГУ",DH160)),"ДГУ","Ввод "&amp;DI160)))))</f>
        <v>Ввод 1</v>
      </c>
      <c r="DK160" t="str">
        <f t="shared" si="211"/>
        <v>Ввод 1</v>
      </c>
      <c r="DL160" t="str">
        <f>IF(D160="","",IF(OR(DJ160="ИБП",DJ160="ДГУ"),"I особая",IF(DJ160="Одиночная","III",_xlfn.XLOOKUP(A160,Щиты[Щит],Щиты[Категория шины «Ввод»],"III"))))</f>
        <v>II</v>
      </c>
      <c r="DM160">
        <f>IF(D160="",0,IFERROR(MATCH(DE160,{"III","II","I","I особая"},0),1))</f>
        <v>2</v>
      </c>
      <c r="DN160">
        <f t="shared" si="212"/>
        <v>2</v>
      </c>
      <c r="DO160" t="str">
        <f>IF(D160="","",IF(DM160&gt;IFERROR(MATCH(DL160,{"III","II","I","I особая"},0),1),"НЕ ОБЕСПЕЧЕНА","ОК"))</f>
        <v>ОК</v>
      </c>
      <c r="DP160" t="str">
        <f>IF(A160="","",_xlfn.XLOOKUP(A160,Щиты[Щит],Щиты[Путь],""))</f>
        <v>|ГРЩ-ЖД|ЩР-001|</v>
      </c>
      <c r="DQ160" t="str">
        <f>IF(D160="","",IF(Z160&lt;&gt;"",Z160,IF(IFERROR(_xlfn.XLOOKUP(AT160,Коды_код,Коды_вид)&amp;"","")="","Прочее",_xlfn.XLOOKUP(AT160,Коды_код,Коды_вид)&amp;"")))</f>
        <v>Розеточная сеть и бытовые приборы</v>
      </c>
      <c r="DR160">
        <f>IF(BD160="","",INT((BD160-1)/Столбцов_на_лист)+1)</f>
        <v>1</v>
      </c>
      <c r="DS160" t="str">
        <f t="shared" si="213"/>
        <v>ВВГнг(А)-LS (3х2,5) L=62-0,64%</v>
      </c>
      <c r="DT160">
        <f t="shared" si="214"/>
        <v>0.3</v>
      </c>
      <c r="DU160">
        <f t="shared" si="215"/>
        <v>1.37</v>
      </c>
      <c r="DV160">
        <f t="shared" si="216"/>
        <v>1</v>
      </c>
      <c r="DW160">
        <f>IF(AT160="",0,_xlfn.LET(_xlpm.v,IFERROR(VLOOKUP(D160,УГО_спр,3,FALSE),IFERROR(VLOOKUP(AT160,УГО_спр,3,FALSE),IFERROR(VLOOKUP(LEFT(AT160,2),УГО_спр,3,FALSE),""))),IF(_xlpm.v="да",30,IF(ISNUMBER(_xlpm.v),_xlpm.v,0))))</f>
        <v>30</v>
      </c>
      <c r="DX160">
        <f t="shared" si="217"/>
        <v>0</v>
      </c>
      <c r="DY160">
        <f>IF(BD160="","",IF(AD160&lt;&gt;"",COUNTIFS(A$3:A160,A160,AD$3:AD160,"?*"),IF(OR(OR(AS160=1,A160&lt;&gt;A159),AL160="вручную"),"",IF(AS160=1,"",DZ159))))</f>
        <v>6</v>
      </c>
      <c r="DZ160">
        <f t="shared" si="218"/>
        <v>6</v>
      </c>
      <c r="EA160">
        <f>IF(D160="",0,MAX(IFERROR(--X160,0),IFERROR(--VLOOKUP(D160,УГО_спр,4,FALSE),IFERROR(--VLOOKUP(AT160,УГО_спр,4,FALSE),IFERROR(--VLOOKUP(LEFT(AT160,2),УГО_спр,4,FALSE),0)))))</f>
        <v>16</v>
      </c>
      <c r="EB160">
        <f>IF(D160="","",IFERROR(LOOKUP(INDEX(CHOOSE(BR160,Iдоп_1ж,Iдоп_2ж,Iдоп_3ж),MATCH(BS160,Iдоп_S,0))*BP160*BQ160,{6,10,16,20,25,32,40,50,63,80,100,125,160,200,250,315,400,500,630}),""))</f>
        <v>25</v>
      </c>
      <c r="EC160">
        <f>IF(AD160="","",SUMIFS(Линии[_Ток схемы],Линии[_гр.],DY160,Линии[Щит],A160,Линии[_в кабель выше],0))</f>
        <v>1.37</v>
      </c>
      <c r="ED160">
        <f>IF(AD160="","",IFERROR(VLOOKUP(EC160,Автомат_номиналы,2,TRUE),""))</f>
        <v>6</v>
      </c>
      <c r="EE160">
        <f>IF(AD160="","",MAX(N(ED160),_xlfn.MAXIFS(Линии[_мин. по типу],Линии[_гр.],DY160,Линии[Щит],A160)))</f>
        <v>16</v>
      </c>
      <c r="EF160">
        <f>IF(AD160="","",_xlfn.MINIFS(Линии[_макс. автомат по кабелю],Линии[_гр.],DY160,Линии[Щит],A160))</f>
        <v>25</v>
      </c>
      <c r="EG160">
        <f>IF(AD160="","",MAX(1,_xlfn.MAXIFS(Линии[_фаз],Линии[_гр.],DY160,Линии[Щит],A160)))</f>
        <v>1</v>
      </c>
      <c r="EH160">
        <f>IF(AD160="","",IF(AND(AD160&lt;&gt;"авто",AD160&lt;&gt;"+"),IF(ISNUMBER(SEARCH("мА",AD160)),IFERROR(--TRIM(RIGHT(SUBSTITUTE(LEFT(AD160,SEARCH("мА",AD160)-1)," ",REPT(" ",9)),6)),30),0),IF(AE160="нет",0,IF(ISNUMBER(AE160),AE160,IF(AE160="да",30,_xlfn.MINIFS(Линии[_дифзащита по коду, мА],Линии[_гр.],DY160,Линии[Щит],A160,Линии[_дифзащита по коду, мА],"&gt;0"))))))</f>
        <v>30</v>
      </c>
      <c r="EI160">
        <f t="shared" si="219"/>
        <v>1</v>
      </c>
      <c r="EJ160" t="str">
        <f t="shared" si="220"/>
        <v>QFD6</v>
      </c>
      <c r="EK160" t="str">
        <f t="shared" si="221"/>
        <v>QFD6</v>
      </c>
      <c r="EL160" t="str">
        <f t="shared" si="222"/>
        <v/>
      </c>
      <c r="EM160">
        <f t="shared" si="223"/>
        <v>0</v>
      </c>
      <c r="EN160">
        <f>IF(AD160="","",IF(EM160=1,MAX(EE160,Мин_автомат_БП),EE160))</f>
        <v>16</v>
      </c>
      <c r="EO160" t="str">
        <f t="shared" si="224"/>
        <v>2P</v>
      </c>
      <c r="EP160" t="str">
        <f t="shared" si="225"/>
        <v>2P С16А 30мА</v>
      </c>
      <c r="EQ160">
        <f t="shared" si="226"/>
        <v>16</v>
      </c>
      <c r="ER160" t="str">
        <f>IF(OR(AI160="",AI160="-"),"",IFERROR(VLOOKUP(AI160,Модули_спр,2,FALSE),"R"))</f>
        <v/>
      </c>
      <c r="ES160" t="str">
        <f>IF(ER160="","",ER160&amp;"."&amp;COUNTIFS(A$3:A160,A160,ER$3:ER160,ER160))</f>
        <v/>
      </c>
      <c r="ET160" t="str">
        <f t="shared" si="227"/>
        <v/>
      </c>
      <c r="EU160" t="str">
        <f t="shared" si="228"/>
        <v/>
      </c>
      <c r="EV160" t="str">
        <f t="shared" si="229"/>
        <v/>
      </c>
      <c r="EW160" t="str">
        <f t="shared" si="230"/>
        <v/>
      </c>
      <c r="EX160">
        <f t="shared" si="231"/>
        <v>1</v>
      </c>
      <c r="EY160" t="str">
        <f>IF(AK160="нет","",IF(AK160&lt;&gt;"",AK160,IF(EX160=1,"XT"&amp;COUNTIFS(A$3:A160,A160,EX$3:EX160,1),"")))</f>
        <v>XT6</v>
      </c>
      <c r="EZ160" t="str">
        <f t="shared" si="232"/>
        <v>QFD6</v>
      </c>
      <c r="FA160" t="str">
        <f t="shared" si="233"/>
        <v/>
      </c>
      <c r="FB160" t="str">
        <f t="shared" si="234"/>
        <v>ok</v>
      </c>
      <c r="FC160" t="str">
        <f>IF(OR(EV160="",ET160=""),"",IF(EV160&gt;IFERROR(VLOOKUP(EU160,Модули_спр,3,FALSE),99),"ЛИШНИЙ КАНАЛ",IF(AND(AJ160&lt;&gt;"=",COUNTIFS(Линии[_модуль гр.],ET160,Линии[Канал (итог)],EV160,Линии[Канал],"&lt;&gt;=",Линии[Щит],A160)&gt;1),"ДУБЛЬ КАНАЛА","")))</f>
        <v/>
      </c>
      <c r="FD160">
        <f t="shared" si="235"/>
        <v>16</v>
      </c>
      <c r="FE160" t="str">
        <f t="shared" si="236"/>
        <v>2P С16А 30мА</v>
      </c>
      <c r="FF160">
        <f t="shared" si="237"/>
        <v>1</v>
      </c>
      <c r="FG160">
        <f t="shared" si="238"/>
        <v>30</v>
      </c>
      <c r="FH160" t="str">
        <f t="shared" si="239"/>
        <v/>
      </c>
      <c r="FI160">
        <f t="shared" si="240"/>
        <v>10</v>
      </c>
      <c r="FJ160" t="str">
        <f t="shared" si="241"/>
        <v/>
      </c>
      <c r="FK160" t="str">
        <f>IF(AND(D160="",EZ160=""),"",_xlfn.TEXTJOIN("; ",TRUE,IF(AND(D160&lt;&gt;"",DD160=""),"нет фазы",""),IF(AND(D160&lt;&gt;"",N(DT160)=0,CN160&lt;&gt;"Нет"),"нет мощности",""),IF(AND(EY160&lt;&gt;"",COUNTIFS(Линии[Щит],A160,Линии[Клемма (итог)],EY160)&gt;1),"дубль клеммы "&amp;EY160,""),IF(AND(FB160&lt;&gt;"",FB160&lt;&gt;"ok"),FB160,""),IF(FC160&lt;&gt;"",FC160,""),IF(AND(ISNUMBER(SEARCH("(5х",DS160)),N(DV160)=1),"5 жил на 1 фазе",""),IF(AND(AT160="R",AD160&lt;&gt;"",OR(N(EH160)=0,N(EH160)&gt;30)),"розетка без дифзащиты до 30 мА",""),IFERROR(IF(AND(ISNUMBER(CD160),CD160&gt;CE160),"потери "&amp;FIXED(CD160,1)&amp;" % &gt; "&amp;CE160&amp;" %",""),""),IFERROR(IF(LEFT(FJ160,4)="мало","Iкз мало — отключение &gt; 0,4 с",""),""),IF(AND(D160&lt;&gt;"",BD160=""),"не на схеме","")))</f>
        <v/>
      </c>
      <c r="FL160">
        <f>IF(AD160="","",_xlfn.LET(_xlpm.t,IFERROR(_xlfn.XLOOKUP(EP160,Каталог!$U$4:$U$500,Каталог!$G$4:$G$500),""),_xlpm.k,SEARCH("кА",_xlpm.t),IFERROR(--TRIM(RIGHT(SUBSTITUTE(MID(_xlpm.t,MAX(1,_xlpm.k-4),_xlpm.k-MAX(1,_xlpm.k-4))," ",REPT(" ",9)),5)),"")))</f>
        <v>6</v>
      </c>
      <c r="FM160" t="str">
        <f>IF(OR(FL160="",AD160=""),"",IF(_xlfn.XLOOKUP(A160,Щиты[Щит],Щиты[Iкз max на шинах, кА],"")="","",IF(FL160&lt;_xlfn.XLOOKUP(A160,Щиты[Щит],Щиты[Iкз max на шинах, кА]),"Icu "&amp;FL160&amp;" кА &lt; Iкз max","ok")))</f>
        <v/>
      </c>
      <c r="FN160" t="str">
        <f t="shared" si="242"/>
        <v>QFD6|XT6</v>
      </c>
      <c r="FO160" t="str">
        <f t="shared" si="243"/>
        <v>QFD6|XT6|кабель ВВГнг(А)-LS (3х2,5) → Розеточная группа Подвальный этаж Пом. №005Т</v>
      </c>
      <c r="FP160" t="str" cm="1">
        <f t="array" ref="FP160">IF(FO160="","",_xlfn.LET(_xlpm.nd,_xlfn.TEXTSPLIT(FO160,"|"),IF(COLUMNS(_xlpm.nd)&gt;1,A160&amp;"¦"&amp;INDEX(_xlpm.nd,1)&amp;"¦"&amp;INDEX(_xlpm.nd,2),"")))</f>
        <v>ЩР-001¦QFD6¦XT6</v>
      </c>
      <c r="FQ160" t="str">
        <f t="shared" si="244"/>
        <v>R.00.005Т.1¦Розеточная группа Подвальный этаж Пом. №005Т</v>
      </c>
      <c r="FR160" t="str" cm="1">
        <f t="array" ref="FR160">IF(FO160="","",_xlfn.LET(_xlpm.nd,_xlfn.TEXTSPLIT(FO160,"|"),IF(COLUMNS(_xlpm.nd)&gt;2,A160&amp;"¦"&amp;INDEX(_xlpm.nd,2)&amp;"¦"&amp;INDEX(_xlpm.nd,3),"")))</f>
        <v>ЩР-001¦XT6¦кабель ВВГнг(А)-LS (3х2,5) → Розеточная группа Подвальный этаж Пом. №005Т</v>
      </c>
      <c r="FS160" t="str">
        <f t="shared" si="245"/>
        <v>R.00.005Т.1¦Розеточная группа Подвальный этаж Пом. №005Т</v>
      </c>
      <c r="FT160" t="str" cm="1">
        <f t="array" ref="FT160">IF(FO160="","",_xlfn.LET(_xlpm.nd,_xlfn.TEXTSPLIT(FO160,"|"),IF(COLUMNS(_xlpm.nd)&gt;3,A160&amp;"¦"&amp;INDEX(_xlpm.nd,3)&amp;"¦"&amp;INDEX(_xlpm.nd,4),"")))</f>
        <v/>
      </c>
      <c r="FU160" t="str">
        <f t="shared" si="246"/>
        <v/>
      </c>
      <c r="FV160" t="str" cm="1">
        <f t="array" ref="FV160">IF(FO160="","",_xlfn.LET(_xlpm.nd,_xlfn.TEXTSPLIT(FO160,"|"),IF(COLUMNS(_xlpm.nd)&gt;4,A160&amp;"¦"&amp;INDEX(_xlpm.nd,4)&amp;"¦"&amp;INDEX(_xlpm.nd,5),"")))</f>
        <v/>
      </c>
      <c r="FW160" t="str">
        <f t="shared" si="247"/>
        <v/>
      </c>
      <c r="FX160" t="str" cm="1">
        <f t="array" ref="FX160">IF(FO160="","",_xlfn.LET(_xlpm.nd,_xlfn.TEXTSPLIT(FO160,"|"),IF(COLUMNS(_xlpm.nd)&gt;5,A160&amp;"¦"&amp;INDEX(_xlpm.nd,5)&amp;"¦"&amp;INDEX(_xlpm.nd,6),"")))</f>
        <v/>
      </c>
      <c r="FY160" t="str">
        <f t="shared" si="248"/>
        <v/>
      </c>
      <c r="FZ160" t="str" cm="1">
        <f t="array" ref="FZ160">IF(FO160="","",_xlfn.LET(_xlpm.nd,_xlfn.TEXTSPLIT(FO160,"|"),IF(COLUMNS(_xlpm.nd)&gt;6,A160&amp;"¦"&amp;INDEX(_xlpm.nd,6)&amp;"¦"&amp;INDEX(_xlpm.nd,7),"")))</f>
        <v/>
      </c>
      <c r="GA160" t="str">
        <f t="shared" si="249"/>
        <v/>
      </c>
      <c r="GB160" t="str">
        <f t="shared" si="250"/>
        <v/>
      </c>
      <c r="GC160" t="str">
        <f t="shared" si="251"/>
        <v>QFD6 → XT6</v>
      </c>
      <c r="GD160">
        <f t="shared" si="252"/>
        <v>1</v>
      </c>
      <c r="GE160">
        <f t="shared" si="253"/>
        <v>0</v>
      </c>
      <c r="GF160">
        <f t="shared" si="254"/>
        <v>1</v>
      </c>
      <c r="GG160" t="str">
        <f t="shared" si="255"/>
        <v/>
      </c>
      <c r="GH160" t="str">
        <f t="shared" si="256"/>
        <v/>
      </c>
      <c r="GI160" t="str">
        <f t="shared" si="257"/>
        <v/>
      </c>
      <c r="GJ160" t="str">
        <f t="shared" si="258"/>
        <v/>
      </c>
      <c r="GK160" t="str">
        <f>IF(D160="","",IFERROR(VLOOKUP(D160,УГО_спр,2,FALSE),IFERROR(VLOOKUP(AT160,УГО_спр,2,FALSE),IFERROR(VLOOKUP(LEFT(AT160,2),УГО_спр,2,FALSE),""))))</f>
        <v>Розетка</v>
      </c>
      <c r="GL160" t="str">
        <f>IF(D160="","",IF(OR(GK160="",GK160=0),"BOX",IFERROR(IF(VLOOKUP(GK160,УГО_блоки,3,FALSE)&amp;""&lt;&gt;"",VLOOKUP(GK160,УГО_блоки,3,FALSE),VLOOKUP(GK160,УГО_блоки,2,FALSE)),GK160)))</f>
        <v>SOCKET</v>
      </c>
      <c r="GM160">
        <f t="shared" si="259"/>
        <v>1</v>
      </c>
      <c r="GN160" t="str">
        <f>IF(EP160="","",IF(COUNTIF(EP$3:EP160,EP160)=1,MAX(GN$2:GN159)+1,""))</f>
        <v/>
      </c>
      <c r="GO160" t="str">
        <f>IF(AF160="","",IF(COUNTIF(AF$3:AF160,AF160)+COUNTIF(AG$2:AG159,AF160)+COUNTIF(AH$2:AH159,AF160)=1,MAX(GO$2:GQ159)+1,""))</f>
        <v/>
      </c>
      <c r="GP160" t="str">
        <f>IF(AG160="","",IF(COUNTIF(AF$3:AF160,AG160)+COUNTIF(AG$3:AG160,AG160)+COUNTIF(AH$2:AH159,AG160)=1,MAX(GO$2:GQ159,GO160)+1,""))</f>
        <v/>
      </c>
      <c r="GQ160" t="str">
        <f>IF(AH160="","",IF(COUNTIF(AF$3:AF160,AH160)+COUNTIF(AG$3:AG160,AH160)+COUNTIF(AH$3:AH160,AH160)=1,MAX(GO$2:GQ159,GO160,GP160)+1,""))</f>
        <v/>
      </c>
      <c r="GR160" t="str">
        <f t="shared" si="260"/>
        <v>3х2,5</v>
      </c>
      <c r="GS160" t="str">
        <f>IF(GR160="","",IF(COUNTIF(GR$3:GR160,GR160)=1,MAX(GS$2:GS159)+1,""))</f>
        <v/>
      </c>
      <c r="GT160" t="str">
        <f>IF(ES160="","",COUNTIF(ES$3:ES160,"?*"))</f>
        <v/>
      </c>
      <c r="GU160" t="str">
        <f>IF(OR(ES160="",EU160=""),"",IF(COUNTIFS(ES$3:ES160,"?*",EU$3:EU160,EU160)=1,MAX(GU$2:GU159)+1,""))</f>
        <v/>
      </c>
      <c r="GV160">
        <f t="shared" si="261"/>
        <v>0</v>
      </c>
      <c r="GW160">
        <f>IF(D160="","",COUNTIF(D$3:D160,"?*"))</f>
        <v>158</v>
      </c>
      <c r="GX160">
        <f>IF(EX160&lt;&gt;1,0,_xlfn.LET(_xlpm.k,MAX(IFERROR(--VLOOKUP(D160,УГО_спр,5,FALSE),0),IFERROR(--VLOOKUP(AT160,УГО_спр,5,FALSE),0),IFERROR(--VLOOKUP(LEFT(AT160,2),УГО_спр,5,FALSE),0)),IF(_xlpm.k&gt;0,_xlpm.k,IF(IFERROR(--LEFT(SUBSTITUTE(GR160,"x","х"),FIND("х",SUBSTITUTE(GR160,"x","х"))-1),3)&gt;3,Каталог!$S$9,1))))</f>
        <v>1</v>
      </c>
      <c r="GY160">
        <f t="shared" si="262"/>
        <v>0</v>
      </c>
    </row>
    <row r="161" spans="1:207" x14ac:dyDescent="0.3">
      <c r="A161" t="s">
        <v>758</v>
      </c>
      <c r="B161">
        <v>14</v>
      </c>
      <c r="C161" t="str">
        <f>IF(BD161="","",IF(BE161="вводной узел","узел ","")&amp;"л."&amp;(INT((BD161-1)/Столбцов_на_лист)+1)&amp;" / "&amp;(MOD(BD161-1,Столбцов_на_лист)+1))</f>
        <v>л.1 / 14</v>
      </c>
      <c r="D161" t="s">
        <v>1465</v>
      </c>
      <c r="E161" s="133" t="str">
        <f t="shared" si="263"/>
        <v>Розеточная группа Подвальный этаж Пом. №002Т</v>
      </c>
      <c r="G161">
        <v>0.18</v>
      </c>
      <c r="H161">
        <v>2</v>
      </c>
      <c r="I161">
        <v>1</v>
      </c>
      <c r="J161">
        <v>230</v>
      </c>
      <c r="K161" t="s">
        <v>566</v>
      </c>
      <c r="O161">
        <v>1</v>
      </c>
      <c r="P161">
        <v>22</v>
      </c>
      <c r="Q161">
        <v>14</v>
      </c>
      <c r="R161">
        <v>17</v>
      </c>
      <c r="S161">
        <v>0</v>
      </c>
      <c r="U161" t="s">
        <v>11</v>
      </c>
      <c r="V161">
        <v>3</v>
      </c>
      <c r="W161">
        <v>2.5</v>
      </c>
      <c r="X161">
        <v>16</v>
      </c>
      <c r="Z161" t="s">
        <v>565</v>
      </c>
      <c r="AA161" t="s">
        <v>818</v>
      </c>
      <c r="AD161" t="s">
        <v>517</v>
      </c>
      <c r="AR161" t="str">
        <f t="shared" si="176"/>
        <v/>
      </c>
      <c r="AS161" cm="1">
        <f t="array" ref="AS161">ROW()-ROW(Линии[#Headers])</f>
        <v>159</v>
      </c>
      <c r="AT161" t="str">
        <f t="shared" si="177"/>
        <v>R</v>
      </c>
      <c r="AU161" t="str">
        <f t="shared" si="178"/>
        <v>00.002Т.1</v>
      </c>
      <c r="AV161" t="str">
        <f t="shared" si="179"/>
        <v>00</v>
      </c>
      <c r="AW161" t="str">
        <f t="shared" si="180"/>
        <v>002Т.1</v>
      </c>
      <c r="AX161" t="str">
        <f t="shared" si="181"/>
        <v>002Т</v>
      </c>
      <c r="AY161" t="str">
        <f>IF(D161="","",IF(ISERROR(SEARCH(".",D161)),IFERROR(VLOOKUP(D161,Потребители_обозначение,2,FALSE)&amp;"",""),IFERROR(IF(VLOOKUP(AT161,Потребители_обозначение,4,FALSE)=1,VLOOKUP(AT161,Потребители_обозначение,2,FALSE)&amp;" "&amp;VLOOKUP(AV161,Этаж_обозначение,2,FALSE)&amp;" Пом. №"&amp;AX161,VLOOKUP(AT161,Потребители_обозначение,2,FALSE)&amp;" Шлейф №"&amp;AV161),IFERROR(VLOOKUP(D161,Потребители_обозначение,2,FALSE),""))))</f>
        <v>Розеточная группа Подвальный этаж Пом. №002Т</v>
      </c>
      <c r="AZ161" t="str">
        <f t="shared" si="182"/>
        <v>Розеточная группа Подвальный этаж Пом. №002Т</v>
      </c>
      <c r="BA161" t="str">
        <f>IF(F161&lt;&gt;"",F161,IF(AND(D161&lt;&gt;"",D161&lt;&gt;A161,ISNUMBER(_xlfn.XMATCH(D161,Щиты[Щит]))),D161,""))</f>
        <v/>
      </c>
      <c r="BB161">
        <f>IFERROR(_xlfn.XMATCH(A161,Щиты[Щит]),0)</f>
        <v>8</v>
      </c>
      <c r="BC161">
        <f>IFERROR(N(_xlfn.XLOOKUP(A161,Щиты[Щит],Щиты[Мест под вводной узел])),15)</f>
        <v>7</v>
      </c>
      <c r="BD161">
        <f t="shared" si="183"/>
        <v>14</v>
      </c>
      <c r="BE161" t="str">
        <f t="shared" si="184"/>
        <v>линии</v>
      </c>
      <c r="BF161">
        <f>IF(D161="","",IF(BA161&lt;&gt;"",IFERROR(_xlfn.XLOOKUP(BA161,Щиты[Щит],Щиты[Руст, кВт]),0),N(G161)))</f>
        <v>0.18</v>
      </c>
      <c r="BG161">
        <f>IF(J161&lt;&gt;"",J161,IF(D161="","",IFERROR(IF(VLOOKUP(AT161,Потребители_обозначение,8,FALSE)=0,"",VLOOKUP(AT161,Потребители_обозначение,8,FALSE)),"")))</f>
        <v>230</v>
      </c>
      <c r="BH161">
        <f>IF(I161&lt;&gt;"",I161,IF(D161="","",IFERROR(IF(VLOOKUP(AT161,Потребители_обозначение,9,FALSE)=0,"",VLOOKUP(AT161,Потребители_обозначение,9,FALSE)),"")))</f>
        <v>1</v>
      </c>
      <c r="BI161" t="str">
        <f>IF(U161&lt;&gt;"",U161,IF(D161="","",IFERROR(IF(VLOOKUP(AT161,Потребители_обозначение,6,FALSE)=0,"",VLOOKUP(AT161,Потребители_обозначение,6,FALSE)),"")))</f>
        <v>мс</v>
      </c>
      <c r="BJ161">
        <f>IF(V161&lt;&gt;"",V161,IF(D161="","",IFERROR(IF(VLOOKUP(AT161,Потребители_обозначение,7,FALSE)=0,"",VLOOKUP(AT161,Потребители_обозначение,7,FALSE)),"")))</f>
        <v>3</v>
      </c>
      <c r="BK161">
        <f>IF(W161&lt;&gt;"",W161,IF(D161="","",IFERROR(IF(VLOOKUP(AT161,Потребители_обозначение,10,FALSE)=0,"",VLOOKUP(AT161,Потребители_обозначение,10,FALSE)),"")))</f>
        <v>2.5</v>
      </c>
      <c r="BL161">
        <f>IFERROR(VLOOKUP(AT161,Потребители_обозначение,5,FALSE),0)</f>
        <v>1</v>
      </c>
      <c r="BM161" cm="1">
        <f t="array" ref="BM161">IF(D161="","",IF(BA161&lt;&gt;"",IFERROR(_xlfn.XLOOKUP(BA161,Щиты[Щит],Щиты[cos φ]),0.95),IF(ISNUMBER(M161),M161,IFERROR(IF(BL161=2,_xlfn.IFS(BH161=3,VLOOKUP(BF161,Справочная_двигатели,8,FALSE),BH161=1,VLOOKUP(BF161,Справочная_двигатели,10,TRUE)),IF(AND(Методика="нормы 2026",CN161="Сил"),0.8,0.95)),0.95))))</f>
        <v>0.95</v>
      </c>
      <c r="BN161" cm="1">
        <f t="array" ref="BN161">IF(D161="","",IF(BA161&lt;&gt;"",IFERROR(_xlfn.XLOOKUP(BA161,Щиты[Щит],Щиты[Iр, А]),""),IFERROR(_xlfn.IFS(BH161=1,BF161/((Uн_лин/SQRT(3))*BM161),BH161=3,BF161/(SQRT(3)*Uн_лин*BM161)),"")))</f>
        <v>0.8204451193747313</v>
      </c>
      <c r="BO161">
        <f>IF(D161="","",IF(N(X161)=0,IFERROR(VLOOKUP(BN161,Автомат_номиналы,2,TRUE),""),X161))</f>
        <v>16</v>
      </c>
      <c r="BP161">
        <f t="shared" si="185"/>
        <v>1</v>
      </c>
      <c r="BQ161">
        <f>IF(ISNUMBER(Y161),Y161,К_прокл)</f>
        <v>1</v>
      </c>
      <c r="BR161">
        <f t="shared" si="186"/>
        <v>2</v>
      </c>
      <c r="BS161" cm="1">
        <f t="array" ref="BS161">IF(D161="","",IF(N(BK161)&lt;&gt;0,BK161,IFERROR(_xlfn.LET(_xlpm.need,BO161/(BP161*BQ161),_xlpm.t,CHOOSE(BR161,Iдоп_1ж,Iдоп_2ж,Iдоп_3ж),_xlpm.k,_xlfn.XMATCH(_xlpm.need,_xlpm.t,1),IF(ISNA(_xlpm.k),"Не исп",INDEX(Iдоп_S,_xlpm.k))),"Не исп")))</f>
        <v>2.5</v>
      </c>
      <c r="BT161">
        <f>IFERROR(VLOOKUP(BS161,Кабель_сопротивление,3,FALSE),"")</f>
        <v>2.2499999999999999E-2</v>
      </c>
      <c r="BU161">
        <f>IFERROR(VLOOKUP(BS161,Кабель_сопротивление,2,FALSE),"")</f>
        <v>0.1</v>
      </c>
      <c r="BV161">
        <f t="shared" si="187"/>
        <v>22</v>
      </c>
      <c r="BW161">
        <f>IF(D161="","",IFERROR(IF(VLOOKUP(AT161,Потребители_обозначение,4,FALSE)=1,VLOOKUP(AT161,Потребители_обозначение,3,FALSE)*(H161*2-1)+BV161+VLOOKUP(AV161,Этаж_обозначение,3,FALSE)+VLOOKUP(AV161,Этаж_обозначение,4,FALSE),VLOOKUP(AT161,Потребители_обозначение,3,FALSE)*(H161*2-1)+BV161),BV161))</f>
        <v>31</v>
      </c>
      <c r="BX161">
        <f t="shared" si="188"/>
        <v>17</v>
      </c>
      <c r="BY161">
        <f t="shared" si="189"/>
        <v>0</v>
      </c>
      <c r="BZ161">
        <f t="shared" si="190"/>
        <v>2</v>
      </c>
      <c r="CA161">
        <f t="shared" si="191"/>
        <v>0.31</v>
      </c>
      <c r="CB161">
        <f t="shared" si="192"/>
        <v>0.43649485329998328</v>
      </c>
      <c r="CC161">
        <f>IFERROR(ROUNDUP(CB161/((Uн_лин/SQRT(3))*1000)*100,2),"")</f>
        <v>0.19</v>
      </c>
      <c r="CD161">
        <f>IF(ISNUMBER(CC161),CC161+IFERROR(_xlfn.XLOOKUP(A161,Щиты[Щит],Щиты[ΔU до шин, %]),0),"")</f>
        <v>1.76</v>
      </c>
      <c r="CE161">
        <f>IF(D161="","",IF(IFERROR(VLOOKUP(AT161,УГО_спр,2,FALSE),"")="Светильник",3,4)+IF(Методика="нормы 2026",MIN(0.5,MAX(0,N(BW161)-100)*0.005),0))</f>
        <v>4</v>
      </c>
      <c r="CF161" t="str">
        <f>IFERROR(VLOOKUP(BI161,Кабель_обозначение,2,FALSE),"")</f>
        <v>ВВГнг(А)-LS</v>
      </c>
      <c r="CG161" t="str">
        <f>IFERROR(IF(VLOOKUP(BI161,Кабель_обозначение,3,FALSE)=1,CF161&amp;" ("&amp;BJ161&amp;"х"&amp;BS161&amp;")",CF161),"")</f>
        <v>ВВГнг(А)-LS (3х2,5)</v>
      </c>
      <c r="CH161" t="str">
        <f t="shared" si="193"/>
        <v>ВВГнг(А)-LS (3х2,5)
L=31-0,19%</v>
      </c>
      <c r="CI161">
        <f>IFERROR(2*ρкз_Cu*BW161/BS161,"")</f>
        <v>0.65224000000000004</v>
      </c>
      <c r="CJ161">
        <f t="shared" si="194"/>
        <v>0.21700000000000003</v>
      </c>
      <c r="CK161" t="str">
        <f>IFERROR(IF(OR(D161="",NOT(ISNUMBER(BS161)),N(BW161)=0),"",_xlfn.XLOOKUP(A161,Щиты[Щит],Щиты[Zпетли на шинах, Ом])+CI161),"")</f>
        <v/>
      </c>
      <c r="CL161" t="str">
        <f>IF(ISNUMBER(CK161),c_min*(Uн_лин*1000/SQRT(3))/CK161,"")</f>
        <v/>
      </c>
      <c r="CM161" t="str">
        <f>IFERROR(IF(OR(D161="",NOT(ISNUMBER(BS161))),"",1.05*(Uн_лин*1000/SQRT(3))/(_xlfn.XLOOKUP(A161,Щиты[Щит],Щиты[Zmax на шинах, Ом])+CJ161)/1000),"")</f>
        <v/>
      </c>
      <c r="CN161" t="str">
        <f>IF(D161="","",IF(BA161&lt;&gt;"","Щит",IF(K161&lt;&gt;"",K161,IF(ISNUMBER(L161),"Сил",IF(IFERROR(_xlfn.XLOOKUP(AT161,Коды_код,Коды_группа)&amp;"","")="","Быт",_xlfn.XLOOKUP(AT161,Коды_код,Коды_группа)&amp;"")))))</f>
        <v>Быт</v>
      </c>
      <c r="CO161">
        <f>IF(CN161="Щит","щит",IF(CN161="","",IF(CN161="Быт",IFERROR(_xlfn.XLOOKUP(A161,Щиты[Щит],Щиты[Кс быт]),1),IF(CN161="Сил",IF(ISNUMBER(L161),L161,IF(Методика="нормы 2026",IFERROR(_xlfn.XLOOKUP(A161,Щиты[Щит],Щиты[Кс силовых (табл. 7.5)]),1),1)),IF(OR(CN161="Пост",CN161="Отоп"),1,IF(CN161="ВНГ",0.7,0))))))</f>
        <v>0.8</v>
      </c>
      <c r="CP161">
        <f t="shared" si="195"/>
        <v>1</v>
      </c>
      <c r="CQ161">
        <f t="shared" si="196"/>
        <v>0.18</v>
      </c>
      <c r="CR161">
        <f t="shared" si="197"/>
        <v>0.18</v>
      </c>
      <c r="CS161">
        <f t="shared" si="198"/>
        <v>0</v>
      </c>
      <c r="CT161">
        <f t="shared" si="199"/>
        <v>0</v>
      </c>
      <c r="CU161">
        <f t="shared" si="200"/>
        <v>0</v>
      </c>
      <c r="CV161">
        <f t="shared" si="201"/>
        <v>0</v>
      </c>
      <c r="CW161">
        <f t="shared" si="202"/>
        <v>0.18</v>
      </c>
      <c r="CX161">
        <f t="shared" si="203"/>
        <v>0.17099999999999999</v>
      </c>
      <c r="CY161">
        <f t="shared" si="204"/>
        <v>1</v>
      </c>
      <c r="CZ161" t="str">
        <f t="shared" si="205"/>
        <v>L1</v>
      </c>
      <c r="DA161" cm="1">
        <f t="array" ref="DA161">IFERROR(IF(BL161=2,_xlfn.IFS(BH161=3,VLOOKUP(BF161,Справочная_двигатели,3,FALSE),BH161=1,VLOOKUP(BF161,Справочная_двигатели,5,TRUE)),0),0)</f>
        <v>0</v>
      </c>
      <c r="DB161">
        <f>IFERROR(IF(BL161=3,VLOOKUP(BF161,Справочная_ЛЭД,2,TRUE),0),0)</f>
        <v>0</v>
      </c>
      <c r="DC161">
        <f t="shared" si="206"/>
        <v>0</v>
      </c>
      <c r="DD161" t="str">
        <f t="shared" si="207"/>
        <v>L1</v>
      </c>
      <c r="DE161" t="str" cm="1">
        <f t="array" ref="DE161">IF(D161="","",IFERROR(INDEX({"I особая","I","II","III"},MATCH(TRIM(AA161&amp;""),{"I особая","I","II","III"},0)),"III"))</f>
        <v>II</v>
      </c>
      <c r="DF161" t="str">
        <f>IF(D161="","",IF(TRIM(AB161&amp;"")&lt;&gt;"",IF(LOWER(TRIM(AB161&amp;""))="да","да","нет"),IF(IFERROR(_xlfn.XLOOKUP(AT161,Коды_код,Коды_пожарная),"")="да","да","нет")))</f>
        <v>нет</v>
      </c>
      <c r="DG161" t="str">
        <f t="shared" si="208"/>
        <v/>
      </c>
      <c r="DH161" t="str">
        <f t="shared" si="209"/>
        <v>основная</v>
      </c>
      <c r="DI161">
        <f t="shared" si="210"/>
        <v>1</v>
      </c>
      <c r="DJ161" t="str" cm="1">
        <f t="array" ref="DJ161">IF(D161="","",_xlfn.LET(_xlpm.t,IFERROR(_xlfn.XLOOKUP(1,(Шины[Шина]=DH161)*(((Шины[Щит]=A161)+(Шины[Щит]=""))&gt;0),Шины[Тип]),"")&amp;"",IF(_xlpm.t&lt;&gt;"",_xlpm.t,IF(ISNUMBER(SEARCH("ИБП",DH161)),"ИБП",IF(ISNUMBER(SEARCH("ДГУ",DH161)),"ДГУ","Ввод "&amp;DI161)))))</f>
        <v>Ввод 1</v>
      </c>
      <c r="DK161" t="str">
        <f t="shared" si="211"/>
        <v>Ввод 1</v>
      </c>
      <c r="DL161" t="str">
        <f>IF(D161="","",IF(OR(DJ161="ИБП",DJ161="ДГУ"),"I особая",IF(DJ161="Одиночная","III",_xlfn.XLOOKUP(A161,Щиты[Щит],Щиты[Категория шины «Ввод»],"III"))))</f>
        <v>II</v>
      </c>
      <c r="DM161">
        <f>IF(D161="",0,IFERROR(MATCH(DE161,{"III","II","I","I особая"},0),1))</f>
        <v>2</v>
      </c>
      <c r="DN161">
        <f t="shared" si="212"/>
        <v>2</v>
      </c>
      <c r="DO161" t="str">
        <f>IF(D161="","",IF(DM161&gt;IFERROR(MATCH(DL161,{"III","II","I","I особая"},0),1),"НЕ ОБЕСПЕЧЕНА","ОК"))</f>
        <v>ОК</v>
      </c>
      <c r="DP161" t="str">
        <f>IF(A161="","",_xlfn.XLOOKUP(A161,Щиты[Щит],Щиты[Путь],""))</f>
        <v>|ГРЩ-ЖД|ЩР-001|</v>
      </c>
      <c r="DQ161" t="str">
        <f>IF(D161="","",IF(Z161&lt;&gt;"",Z161,IF(IFERROR(_xlfn.XLOOKUP(AT161,Коды_код,Коды_вид)&amp;"","")="","Прочее",_xlfn.XLOOKUP(AT161,Коды_код,Коды_вид)&amp;"")))</f>
        <v>Розеточная сеть и бытовые приборы</v>
      </c>
      <c r="DR161">
        <f>IF(BD161="","",INT((BD161-1)/Столбцов_на_лист)+1)</f>
        <v>1</v>
      </c>
      <c r="DS161" t="str">
        <f t="shared" si="213"/>
        <v>ВВГнг(А)-LS (3х2,5) L=31-0,19%</v>
      </c>
      <c r="DT161">
        <f t="shared" si="214"/>
        <v>0.18</v>
      </c>
      <c r="DU161">
        <f t="shared" si="215"/>
        <v>0.83</v>
      </c>
      <c r="DV161">
        <f t="shared" si="216"/>
        <v>1</v>
      </c>
      <c r="DW161">
        <f>IF(AT161="",0,_xlfn.LET(_xlpm.v,IFERROR(VLOOKUP(D161,УГО_спр,3,FALSE),IFERROR(VLOOKUP(AT161,УГО_спр,3,FALSE),IFERROR(VLOOKUP(LEFT(AT161,2),УГО_спр,3,FALSE),""))),IF(_xlpm.v="да",30,IF(ISNUMBER(_xlpm.v),_xlpm.v,0))))</f>
        <v>30</v>
      </c>
      <c r="DX161">
        <f t="shared" si="217"/>
        <v>0</v>
      </c>
      <c r="DY161">
        <f>IF(BD161="","",IF(AD161&lt;&gt;"",COUNTIFS(A$3:A161,A161,AD$3:AD161,"?*"),IF(OR(OR(AS161=1,A161&lt;&gt;A160),AL161="вручную"),"",IF(AS161=1,"",DZ160))))</f>
        <v>7</v>
      </c>
      <c r="DZ161">
        <f t="shared" si="218"/>
        <v>7</v>
      </c>
      <c r="EA161">
        <f>IF(D161="",0,MAX(IFERROR(--X161,0),IFERROR(--VLOOKUP(D161,УГО_спр,4,FALSE),IFERROR(--VLOOKUP(AT161,УГО_спр,4,FALSE),IFERROR(--VLOOKUP(LEFT(AT161,2),УГО_спр,4,FALSE),0)))))</f>
        <v>16</v>
      </c>
      <c r="EB161">
        <f>IF(D161="","",IFERROR(LOOKUP(INDEX(CHOOSE(BR161,Iдоп_1ж,Iдоп_2ж,Iдоп_3ж),MATCH(BS161,Iдоп_S,0))*BP161*BQ161,{6,10,16,20,25,32,40,50,63,80,100,125,160,200,250,315,400,500,630}),""))</f>
        <v>25</v>
      </c>
      <c r="EC161">
        <f>IF(AD161="","",SUMIFS(Линии[_Ток схемы],Линии[_гр.],DY161,Линии[Щит],A161,Линии[_в кабель выше],0))</f>
        <v>0.83</v>
      </c>
      <c r="ED161">
        <f>IF(AD161="","",IFERROR(VLOOKUP(EC161,Автомат_номиналы,2,TRUE),""))</f>
        <v>6</v>
      </c>
      <c r="EE161">
        <f>IF(AD161="","",MAX(N(ED161),_xlfn.MAXIFS(Линии[_мин. по типу],Линии[_гр.],DY161,Линии[Щит],A161)))</f>
        <v>16</v>
      </c>
      <c r="EF161">
        <f>IF(AD161="","",_xlfn.MINIFS(Линии[_макс. автомат по кабелю],Линии[_гр.],DY161,Линии[Щит],A161))</f>
        <v>25</v>
      </c>
      <c r="EG161">
        <f>IF(AD161="","",MAX(1,_xlfn.MAXIFS(Линии[_фаз],Линии[_гр.],DY161,Линии[Щит],A161)))</f>
        <v>1</v>
      </c>
      <c r="EH161">
        <f>IF(AD161="","",IF(AND(AD161&lt;&gt;"авто",AD161&lt;&gt;"+"),IF(ISNUMBER(SEARCH("мА",AD161)),IFERROR(--TRIM(RIGHT(SUBSTITUTE(LEFT(AD161,SEARCH("мА",AD161)-1)," ",REPT(" ",9)),6)),30),0),IF(AE161="нет",0,IF(ISNUMBER(AE161),AE161,IF(AE161="да",30,_xlfn.MINIFS(Линии[_дифзащита по коду, мА],Линии[_гр.],DY161,Линии[Щит],A161,Линии[_дифзащита по коду, мА],"&gt;0"))))))</f>
        <v>30</v>
      </c>
      <c r="EI161">
        <f t="shared" si="219"/>
        <v>1</v>
      </c>
      <c r="EJ161" t="str">
        <f t="shared" si="220"/>
        <v>QFD7</v>
      </c>
      <c r="EK161" t="str">
        <f t="shared" si="221"/>
        <v>QFD7</v>
      </c>
      <c r="EL161" t="str">
        <f t="shared" si="222"/>
        <v/>
      </c>
      <c r="EM161">
        <f t="shared" si="223"/>
        <v>0</v>
      </c>
      <c r="EN161">
        <f>IF(AD161="","",IF(EM161=1,MAX(EE161,Мин_автомат_БП),EE161))</f>
        <v>16</v>
      </c>
      <c r="EO161" t="str">
        <f t="shared" si="224"/>
        <v>2P</v>
      </c>
      <c r="EP161" t="str">
        <f t="shared" si="225"/>
        <v>2P С16А 30мА</v>
      </c>
      <c r="EQ161">
        <f t="shared" si="226"/>
        <v>16</v>
      </c>
      <c r="ER161" t="str">
        <f>IF(OR(AI161="",AI161="-"),"",IFERROR(VLOOKUP(AI161,Модули_спр,2,FALSE),"R"))</f>
        <v/>
      </c>
      <c r="ES161" t="str">
        <f>IF(ER161="","",ER161&amp;"."&amp;COUNTIFS(A$3:A161,A161,ER$3:ER161,ER161))</f>
        <v/>
      </c>
      <c r="ET161" t="str">
        <f t="shared" si="227"/>
        <v/>
      </c>
      <c r="EU161" t="str">
        <f t="shared" si="228"/>
        <v/>
      </c>
      <c r="EV161" t="str">
        <f t="shared" si="229"/>
        <v/>
      </c>
      <c r="EW161" t="str">
        <f t="shared" si="230"/>
        <v/>
      </c>
      <c r="EX161">
        <f t="shared" si="231"/>
        <v>1</v>
      </c>
      <c r="EY161" t="str">
        <f>IF(AK161="нет","",IF(AK161&lt;&gt;"",AK161,IF(EX161=1,"XT"&amp;COUNTIFS(A$3:A161,A161,EX$3:EX161,1),"")))</f>
        <v>XT7</v>
      </c>
      <c r="EZ161" t="str">
        <f t="shared" si="232"/>
        <v>QFD7</v>
      </c>
      <c r="FA161" t="str">
        <f t="shared" si="233"/>
        <v/>
      </c>
      <c r="FB161" t="str">
        <f t="shared" si="234"/>
        <v>ok</v>
      </c>
      <c r="FC161" t="str">
        <f>IF(OR(EV161="",ET161=""),"",IF(EV161&gt;IFERROR(VLOOKUP(EU161,Модули_спр,3,FALSE),99),"ЛИШНИЙ КАНАЛ",IF(AND(AJ161&lt;&gt;"=",COUNTIFS(Линии[_модуль гр.],ET161,Линии[Канал (итог)],EV161,Линии[Канал],"&lt;&gt;=",Линии[Щит],A161)&gt;1),"ДУБЛЬ КАНАЛА","")))</f>
        <v/>
      </c>
      <c r="FD161">
        <f t="shared" si="235"/>
        <v>16</v>
      </c>
      <c r="FE161" t="str">
        <f t="shared" si="236"/>
        <v>2P С16А 30мА</v>
      </c>
      <c r="FF161">
        <f t="shared" si="237"/>
        <v>1</v>
      </c>
      <c r="FG161">
        <f t="shared" si="238"/>
        <v>30</v>
      </c>
      <c r="FH161" t="str">
        <f t="shared" si="239"/>
        <v/>
      </c>
      <c r="FI161">
        <f t="shared" si="240"/>
        <v>10</v>
      </c>
      <c r="FJ161" t="str">
        <f t="shared" si="241"/>
        <v/>
      </c>
      <c r="FK161" t="str">
        <f>IF(AND(D161="",EZ161=""),"",_xlfn.TEXTJOIN("; ",TRUE,IF(AND(D161&lt;&gt;"",DD161=""),"нет фазы",""),IF(AND(D161&lt;&gt;"",N(DT161)=0,CN161&lt;&gt;"Нет"),"нет мощности",""),IF(AND(EY161&lt;&gt;"",COUNTIFS(Линии[Щит],A161,Линии[Клемма (итог)],EY161)&gt;1),"дубль клеммы "&amp;EY161,""),IF(AND(FB161&lt;&gt;"",FB161&lt;&gt;"ok"),FB161,""),IF(FC161&lt;&gt;"",FC161,""),IF(AND(ISNUMBER(SEARCH("(5х",DS161)),N(DV161)=1),"5 жил на 1 фазе",""),IF(AND(AT161="R",AD161&lt;&gt;"",OR(N(EH161)=0,N(EH161)&gt;30)),"розетка без дифзащиты до 30 мА",""),IFERROR(IF(AND(ISNUMBER(CD161),CD161&gt;CE161),"потери "&amp;FIXED(CD161,1)&amp;" % &gt; "&amp;CE161&amp;" %",""),""),IFERROR(IF(LEFT(FJ161,4)="мало","Iкз мало — отключение &gt; 0,4 с",""),""),IF(AND(D161&lt;&gt;"",BD161=""),"не на схеме","")))</f>
        <v/>
      </c>
      <c r="FL161">
        <f>IF(AD161="","",_xlfn.LET(_xlpm.t,IFERROR(_xlfn.XLOOKUP(EP161,Каталог!$U$4:$U$500,Каталог!$G$4:$G$500),""),_xlpm.k,SEARCH("кА",_xlpm.t),IFERROR(--TRIM(RIGHT(SUBSTITUTE(MID(_xlpm.t,MAX(1,_xlpm.k-4),_xlpm.k-MAX(1,_xlpm.k-4))," ",REPT(" ",9)),5)),"")))</f>
        <v>6</v>
      </c>
      <c r="FM161" t="str">
        <f>IF(OR(FL161="",AD161=""),"",IF(_xlfn.XLOOKUP(A161,Щиты[Щит],Щиты[Iкз max на шинах, кА],"")="","",IF(FL161&lt;_xlfn.XLOOKUP(A161,Щиты[Щит],Щиты[Iкз max на шинах, кА]),"Icu "&amp;FL161&amp;" кА &lt; Iкз max","ok")))</f>
        <v/>
      </c>
      <c r="FN161" t="str">
        <f t="shared" si="242"/>
        <v>QFD7|XT7</v>
      </c>
      <c r="FO161" t="str">
        <f t="shared" si="243"/>
        <v>QFD7|XT7|кабель ВВГнг(А)-LS (3х2,5) → Розеточная группа Подвальный этаж Пом. №002Т</v>
      </c>
      <c r="FP161" t="str" cm="1">
        <f t="array" ref="FP161">IF(FO161="","",_xlfn.LET(_xlpm.nd,_xlfn.TEXTSPLIT(FO161,"|"),IF(COLUMNS(_xlpm.nd)&gt;1,A161&amp;"¦"&amp;INDEX(_xlpm.nd,1)&amp;"¦"&amp;INDEX(_xlpm.nd,2),"")))</f>
        <v>ЩР-001¦QFD7¦XT7</v>
      </c>
      <c r="FQ161" t="str">
        <f t="shared" si="244"/>
        <v>R.00.002Т.1¦Розеточная группа Подвальный этаж Пом. №002Т</v>
      </c>
      <c r="FR161" t="str" cm="1">
        <f t="array" ref="FR161">IF(FO161="","",_xlfn.LET(_xlpm.nd,_xlfn.TEXTSPLIT(FO161,"|"),IF(COLUMNS(_xlpm.nd)&gt;2,A161&amp;"¦"&amp;INDEX(_xlpm.nd,2)&amp;"¦"&amp;INDEX(_xlpm.nd,3),"")))</f>
        <v>ЩР-001¦XT7¦кабель ВВГнг(А)-LS (3х2,5) → Розеточная группа Подвальный этаж Пом. №002Т</v>
      </c>
      <c r="FS161" t="str">
        <f t="shared" si="245"/>
        <v>R.00.002Т.1¦Розеточная группа Подвальный этаж Пом. №002Т</v>
      </c>
      <c r="FT161" t="str" cm="1">
        <f t="array" ref="FT161">IF(FO161="","",_xlfn.LET(_xlpm.nd,_xlfn.TEXTSPLIT(FO161,"|"),IF(COLUMNS(_xlpm.nd)&gt;3,A161&amp;"¦"&amp;INDEX(_xlpm.nd,3)&amp;"¦"&amp;INDEX(_xlpm.nd,4),"")))</f>
        <v/>
      </c>
      <c r="FU161" t="str">
        <f t="shared" si="246"/>
        <v/>
      </c>
      <c r="FV161" t="str" cm="1">
        <f t="array" ref="FV161">IF(FO161="","",_xlfn.LET(_xlpm.nd,_xlfn.TEXTSPLIT(FO161,"|"),IF(COLUMNS(_xlpm.nd)&gt;4,A161&amp;"¦"&amp;INDEX(_xlpm.nd,4)&amp;"¦"&amp;INDEX(_xlpm.nd,5),"")))</f>
        <v/>
      </c>
      <c r="FW161" t="str">
        <f t="shared" si="247"/>
        <v/>
      </c>
      <c r="FX161" t="str" cm="1">
        <f t="array" ref="FX161">IF(FO161="","",_xlfn.LET(_xlpm.nd,_xlfn.TEXTSPLIT(FO161,"|"),IF(COLUMNS(_xlpm.nd)&gt;5,A161&amp;"¦"&amp;INDEX(_xlpm.nd,5)&amp;"¦"&amp;INDEX(_xlpm.nd,6),"")))</f>
        <v/>
      </c>
      <c r="FY161" t="str">
        <f t="shared" si="248"/>
        <v/>
      </c>
      <c r="FZ161" t="str" cm="1">
        <f t="array" ref="FZ161">IF(FO161="","",_xlfn.LET(_xlpm.nd,_xlfn.TEXTSPLIT(FO161,"|"),IF(COLUMNS(_xlpm.nd)&gt;6,A161&amp;"¦"&amp;INDEX(_xlpm.nd,6)&amp;"¦"&amp;INDEX(_xlpm.nd,7),"")))</f>
        <v/>
      </c>
      <c r="GA161" t="str">
        <f t="shared" si="249"/>
        <v/>
      </c>
      <c r="GB161" t="str">
        <f t="shared" si="250"/>
        <v/>
      </c>
      <c r="GC161" t="str">
        <f t="shared" si="251"/>
        <v>QFD7 → XT7</v>
      </c>
      <c r="GD161">
        <f t="shared" si="252"/>
        <v>1</v>
      </c>
      <c r="GE161">
        <f t="shared" si="253"/>
        <v>0</v>
      </c>
      <c r="GF161">
        <f t="shared" si="254"/>
        <v>1</v>
      </c>
      <c r="GG161" t="str">
        <f t="shared" si="255"/>
        <v/>
      </c>
      <c r="GH161" t="str">
        <f t="shared" si="256"/>
        <v/>
      </c>
      <c r="GI161" t="str">
        <f t="shared" si="257"/>
        <v/>
      </c>
      <c r="GJ161" t="str">
        <f t="shared" si="258"/>
        <v/>
      </c>
      <c r="GK161" t="str">
        <f>IF(D161="","",IFERROR(VLOOKUP(D161,УГО_спр,2,FALSE),IFERROR(VLOOKUP(AT161,УГО_спр,2,FALSE),IFERROR(VLOOKUP(LEFT(AT161,2),УГО_спр,2,FALSE),""))))</f>
        <v>Розетка</v>
      </c>
      <c r="GL161" t="str">
        <f>IF(D161="","",IF(OR(GK161="",GK161=0),"BOX",IFERROR(IF(VLOOKUP(GK161,УГО_блоки,3,FALSE)&amp;""&lt;&gt;"",VLOOKUP(GK161,УГО_блоки,3,FALSE),VLOOKUP(GK161,УГО_блоки,2,FALSE)),GK161)))</f>
        <v>SOCKET</v>
      </c>
      <c r="GM161">
        <f t="shared" si="259"/>
        <v>1</v>
      </c>
      <c r="GN161" t="str">
        <f>IF(EP161="","",IF(COUNTIF(EP$3:EP161,EP161)=1,MAX(GN$2:GN160)+1,""))</f>
        <v/>
      </c>
      <c r="GO161" t="str">
        <f>IF(AF161="","",IF(COUNTIF(AF$3:AF161,AF161)+COUNTIF(AG$2:AG160,AF161)+COUNTIF(AH$2:AH160,AF161)=1,MAX(GO$2:GQ160)+1,""))</f>
        <v/>
      </c>
      <c r="GP161" t="str">
        <f>IF(AG161="","",IF(COUNTIF(AF$3:AF161,AG161)+COUNTIF(AG$3:AG161,AG161)+COUNTIF(AH$2:AH160,AG161)=1,MAX(GO$2:GQ160,GO161)+1,""))</f>
        <v/>
      </c>
      <c r="GQ161" t="str">
        <f>IF(AH161="","",IF(COUNTIF(AF$3:AF161,AH161)+COUNTIF(AG$3:AG161,AH161)+COUNTIF(AH$3:AH161,AH161)=1,MAX(GO$2:GQ160,GO161,GP161)+1,""))</f>
        <v/>
      </c>
      <c r="GR161" t="str">
        <f t="shared" si="260"/>
        <v>3х2,5</v>
      </c>
      <c r="GS161" t="str">
        <f>IF(GR161="","",IF(COUNTIF(GR$3:GR161,GR161)=1,MAX(GS$2:GS160)+1,""))</f>
        <v/>
      </c>
      <c r="GT161" t="str">
        <f>IF(ES161="","",COUNTIF(ES$3:ES161,"?*"))</f>
        <v/>
      </c>
      <c r="GU161" t="str">
        <f>IF(OR(ES161="",EU161=""),"",IF(COUNTIFS(ES$3:ES161,"?*",EU$3:EU161,EU161)=1,MAX(GU$2:GU160)+1,""))</f>
        <v/>
      </c>
      <c r="GV161">
        <f t="shared" si="261"/>
        <v>0</v>
      </c>
      <c r="GW161">
        <f>IF(D161="","",COUNTIF(D$3:D161,"?*"))</f>
        <v>159</v>
      </c>
      <c r="GX161">
        <f>IF(EX161&lt;&gt;1,0,_xlfn.LET(_xlpm.k,MAX(IFERROR(--VLOOKUP(D161,УГО_спр,5,FALSE),0),IFERROR(--VLOOKUP(AT161,УГО_спр,5,FALSE),0),IFERROR(--VLOOKUP(LEFT(AT161,2),УГО_спр,5,FALSE),0)),IF(_xlpm.k&gt;0,_xlpm.k,IF(IFERROR(--LEFT(SUBSTITUTE(GR161,"x","х"),FIND("х",SUBSTITUTE(GR161,"x","х"))-1),3)&gt;3,Каталог!$S$9,1))))</f>
        <v>1</v>
      </c>
      <c r="GY161">
        <f t="shared" si="262"/>
        <v>0</v>
      </c>
    </row>
    <row r="162" spans="1:207" x14ac:dyDescent="0.3">
      <c r="A162" t="s">
        <v>758</v>
      </c>
      <c r="B162">
        <v>15</v>
      </c>
      <c r="C162" t="str">
        <f>IF(BD162="","",IF(BE162="вводной узел","узел ","")&amp;"л."&amp;(INT((BD162-1)/Столбцов_на_лист)+1)&amp;" / "&amp;(MOD(BD162-1,Столбцов_на_лист)+1))</f>
        <v>л.1 / 15</v>
      </c>
      <c r="D162" t="s">
        <v>1466</v>
      </c>
      <c r="E162" s="133" t="str">
        <f t="shared" si="263"/>
        <v>Розеточная группа Подвальный этаж Пом. №001А</v>
      </c>
      <c r="G162">
        <v>0.36</v>
      </c>
      <c r="H162">
        <v>6</v>
      </c>
      <c r="I162">
        <v>1</v>
      </c>
      <c r="J162">
        <v>230</v>
      </c>
      <c r="K162" t="s">
        <v>566</v>
      </c>
      <c r="O162">
        <v>1</v>
      </c>
      <c r="P162">
        <v>62</v>
      </c>
      <c r="Q162">
        <v>46</v>
      </c>
      <c r="R162">
        <v>49</v>
      </c>
      <c r="S162">
        <v>0</v>
      </c>
      <c r="U162" t="s">
        <v>11</v>
      </c>
      <c r="V162">
        <v>3</v>
      </c>
      <c r="W162">
        <v>2.5</v>
      </c>
      <c r="X162">
        <v>16</v>
      </c>
      <c r="Z162" t="s">
        <v>565</v>
      </c>
      <c r="AA162" t="s">
        <v>818</v>
      </c>
      <c r="AD162" t="s">
        <v>517</v>
      </c>
      <c r="AR162" t="str">
        <f t="shared" si="176"/>
        <v/>
      </c>
      <c r="AS162" cm="1">
        <f t="array" ref="AS162">ROW()-ROW(Линии[#Headers])</f>
        <v>160</v>
      </c>
      <c r="AT162" t="str">
        <f t="shared" si="177"/>
        <v>R</v>
      </c>
      <c r="AU162" t="str">
        <f t="shared" si="178"/>
        <v>00.001А.1</v>
      </c>
      <c r="AV162" t="str">
        <f t="shared" si="179"/>
        <v>00</v>
      </c>
      <c r="AW162" t="str">
        <f t="shared" si="180"/>
        <v>001А.1</v>
      </c>
      <c r="AX162" t="str">
        <f t="shared" si="181"/>
        <v>001А</v>
      </c>
      <c r="AY162" t="str">
        <f>IF(D162="","",IF(ISERROR(SEARCH(".",D162)),IFERROR(VLOOKUP(D162,Потребители_обозначение,2,FALSE)&amp;"",""),IFERROR(IF(VLOOKUP(AT162,Потребители_обозначение,4,FALSE)=1,VLOOKUP(AT162,Потребители_обозначение,2,FALSE)&amp;" "&amp;VLOOKUP(AV162,Этаж_обозначение,2,FALSE)&amp;" Пом. №"&amp;AX162,VLOOKUP(AT162,Потребители_обозначение,2,FALSE)&amp;" Шлейф №"&amp;AV162),IFERROR(VLOOKUP(D162,Потребители_обозначение,2,FALSE),""))))</f>
        <v>Розеточная группа Подвальный этаж Пом. №001А</v>
      </c>
      <c r="AZ162" t="str">
        <f t="shared" si="182"/>
        <v>Розеточная группа Подвальный этаж Пом. №001А</v>
      </c>
      <c r="BA162" t="str">
        <f>IF(F162&lt;&gt;"",F162,IF(AND(D162&lt;&gt;"",D162&lt;&gt;A162,ISNUMBER(_xlfn.XMATCH(D162,Щиты[Щит]))),D162,""))</f>
        <v/>
      </c>
      <c r="BB162">
        <f>IFERROR(_xlfn.XMATCH(A162,Щиты[Щит]),0)</f>
        <v>8</v>
      </c>
      <c r="BC162">
        <f>IFERROR(N(_xlfn.XLOOKUP(A162,Щиты[Щит],Щиты[Мест под вводной узел])),15)</f>
        <v>7</v>
      </c>
      <c r="BD162">
        <f t="shared" si="183"/>
        <v>15</v>
      </c>
      <c r="BE162" t="str">
        <f t="shared" si="184"/>
        <v>линии</v>
      </c>
      <c r="BF162">
        <f>IF(D162="","",IF(BA162&lt;&gt;"",IFERROR(_xlfn.XLOOKUP(BA162,Щиты[Щит],Щиты[Руст, кВт]),0),N(G162)))</f>
        <v>0.36</v>
      </c>
      <c r="BG162">
        <f>IF(J162&lt;&gt;"",J162,IF(D162="","",IFERROR(IF(VLOOKUP(AT162,Потребители_обозначение,8,FALSE)=0,"",VLOOKUP(AT162,Потребители_обозначение,8,FALSE)),"")))</f>
        <v>230</v>
      </c>
      <c r="BH162">
        <f>IF(I162&lt;&gt;"",I162,IF(D162="","",IFERROR(IF(VLOOKUP(AT162,Потребители_обозначение,9,FALSE)=0,"",VLOOKUP(AT162,Потребители_обозначение,9,FALSE)),"")))</f>
        <v>1</v>
      </c>
      <c r="BI162" t="str">
        <f>IF(U162&lt;&gt;"",U162,IF(D162="","",IFERROR(IF(VLOOKUP(AT162,Потребители_обозначение,6,FALSE)=0,"",VLOOKUP(AT162,Потребители_обозначение,6,FALSE)),"")))</f>
        <v>мс</v>
      </c>
      <c r="BJ162">
        <f>IF(V162&lt;&gt;"",V162,IF(D162="","",IFERROR(IF(VLOOKUP(AT162,Потребители_обозначение,7,FALSE)=0,"",VLOOKUP(AT162,Потребители_обозначение,7,FALSE)),"")))</f>
        <v>3</v>
      </c>
      <c r="BK162">
        <f>IF(W162&lt;&gt;"",W162,IF(D162="","",IFERROR(IF(VLOOKUP(AT162,Потребители_обозначение,10,FALSE)=0,"",VLOOKUP(AT162,Потребители_обозначение,10,FALSE)),"")))</f>
        <v>2.5</v>
      </c>
      <c r="BL162">
        <f>IFERROR(VLOOKUP(AT162,Потребители_обозначение,5,FALSE),0)</f>
        <v>1</v>
      </c>
      <c r="BM162" cm="1">
        <f t="array" ref="BM162">IF(D162="","",IF(BA162&lt;&gt;"",IFERROR(_xlfn.XLOOKUP(BA162,Щиты[Щит],Щиты[cos φ]),0.95),IF(ISNUMBER(M162),M162,IFERROR(IF(BL162=2,_xlfn.IFS(BH162=3,VLOOKUP(BF162,Справочная_двигатели,8,FALSE),BH162=1,VLOOKUP(BF162,Справочная_двигатели,10,TRUE)),IF(AND(Методика="нормы 2026",CN162="Сил"),0.8,0.95)),0.95))))</f>
        <v>0.95</v>
      </c>
      <c r="BN162" cm="1">
        <f t="array" ref="BN162">IF(D162="","",IF(BA162&lt;&gt;"",IFERROR(_xlfn.XLOOKUP(BA162,Щиты[Щит],Щиты[Iр, А]),""),IFERROR(_xlfn.IFS(BH162=1,BF162/((Uн_лин/SQRT(3))*BM162),BH162=3,BF162/(SQRT(3)*Uн_лин*BM162)),"")))</f>
        <v>1.6408902387494626</v>
      </c>
      <c r="BO162">
        <f>IF(D162="","",IF(N(X162)=0,IFERROR(VLOOKUP(BN162,Автомат_номиналы,2,TRUE),""),X162))</f>
        <v>16</v>
      </c>
      <c r="BP162">
        <f t="shared" si="185"/>
        <v>1</v>
      </c>
      <c r="BQ162">
        <f>IF(ISNUMBER(Y162),Y162,К_прокл)</f>
        <v>1</v>
      </c>
      <c r="BR162">
        <f t="shared" si="186"/>
        <v>2</v>
      </c>
      <c r="BS162" cm="1">
        <f t="array" ref="BS162">IF(D162="","",IF(N(BK162)&lt;&gt;0,BK162,IFERROR(_xlfn.LET(_xlpm.need,BO162/(BP162*BQ162),_xlpm.t,CHOOSE(BR162,Iдоп_1ж,Iдоп_2ж,Iдоп_3ж),_xlpm.k,_xlfn.XMATCH(_xlpm.need,_xlpm.t,1),IF(ISNA(_xlpm.k),"Не исп",INDEX(Iдоп_S,_xlpm.k))),"Не исп")))</f>
        <v>2.5</v>
      </c>
      <c r="BT162">
        <f>IFERROR(VLOOKUP(BS162,Кабель_сопротивление,3,FALSE),"")</f>
        <v>2.2499999999999999E-2</v>
      </c>
      <c r="BU162">
        <f>IFERROR(VLOOKUP(BS162,Кабель_сопротивление,2,FALSE),"")</f>
        <v>0.1</v>
      </c>
      <c r="BV162">
        <f t="shared" si="187"/>
        <v>62</v>
      </c>
      <c r="BW162">
        <f>IF(D162="","",IFERROR(IF(VLOOKUP(AT162,Потребители_обозначение,4,FALSE)=1,VLOOKUP(AT162,Потребители_обозначение,3,FALSE)*(H162*2-1)+BV162+VLOOKUP(AV162,Этаж_обозначение,3,FALSE)+VLOOKUP(AV162,Этаж_обозначение,4,FALSE),VLOOKUP(AT162,Потребители_обозначение,3,FALSE)*(H162*2-1)+BV162),BV162))</f>
        <v>95</v>
      </c>
      <c r="BX162">
        <f t="shared" si="188"/>
        <v>49</v>
      </c>
      <c r="BY162">
        <f t="shared" si="189"/>
        <v>0</v>
      </c>
      <c r="BZ162">
        <f t="shared" si="190"/>
        <v>2</v>
      </c>
      <c r="CA162">
        <f t="shared" si="191"/>
        <v>0.31</v>
      </c>
      <c r="CB162">
        <f t="shared" si="192"/>
        <v>2.6752910363547358</v>
      </c>
      <c r="CC162">
        <f>IFERROR(ROUNDUP(CB162/((Uн_лин/SQRT(3))*1000)*100,2),"")</f>
        <v>1.1599999999999999</v>
      </c>
      <c r="CD162">
        <f>IF(ISNUMBER(CC162),CC162+IFERROR(_xlfn.XLOOKUP(A162,Щиты[Щит],Щиты[ΔU до шин, %]),0),"")</f>
        <v>2.73</v>
      </c>
      <c r="CE162">
        <f>IF(D162="","",IF(IFERROR(VLOOKUP(AT162,УГО_спр,2,FALSE),"")="Светильник",3,4)+IF(Методика="нормы 2026",MIN(0.5,MAX(0,N(BW162)-100)*0.005),0))</f>
        <v>4</v>
      </c>
      <c r="CF162" t="str">
        <f>IFERROR(VLOOKUP(BI162,Кабель_обозначение,2,FALSE),"")</f>
        <v>ВВГнг(А)-LS</v>
      </c>
      <c r="CG162" t="str">
        <f>IFERROR(IF(VLOOKUP(BI162,Кабель_обозначение,3,FALSE)=1,CF162&amp;" ("&amp;BJ162&amp;"х"&amp;BS162&amp;")",CF162),"")</f>
        <v>ВВГнг(А)-LS (3х2,5)</v>
      </c>
      <c r="CH162" t="str">
        <f t="shared" si="193"/>
        <v>ВВГнг(А)-LS (3х2,5)
L=95-1,16%</v>
      </c>
      <c r="CI162">
        <f>IFERROR(2*ρкз_Cu*BW162/BS162,"")</f>
        <v>1.9987999999999999</v>
      </c>
      <c r="CJ162">
        <f t="shared" si="194"/>
        <v>0.66500000000000004</v>
      </c>
      <c r="CK162" t="str">
        <f>IFERROR(IF(OR(D162="",NOT(ISNUMBER(BS162)),N(BW162)=0),"",_xlfn.XLOOKUP(A162,Щиты[Щит],Щиты[Zпетли на шинах, Ом])+CI162),"")</f>
        <v/>
      </c>
      <c r="CL162" t="str">
        <f>IF(ISNUMBER(CK162),c_min*(Uн_лин*1000/SQRT(3))/CK162,"")</f>
        <v/>
      </c>
      <c r="CM162" t="str">
        <f>IFERROR(IF(OR(D162="",NOT(ISNUMBER(BS162))),"",1.05*(Uн_лин*1000/SQRT(3))/(_xlfn.XLOOKUP(A162,Щиты[Щит],Щиты[Zmax на шинах, Ом])+CJ162)/1000),"")</f>
        <v/>
      </c>
      <c r="CN162" t="str">
        <f>IF(D162="","",IF(BA162&lt;&gt;"","Щит",IF(K162&lt;&gt;"",K162,IF(ISNUMBER(L162),"Сил",IF(IFERROR(_xlfn.XLOOKUP(AT162,Коды_код,Коды_группа)&amp;"","")="","Быт",_xlfn.XLOOKUP(AT162,Коды_код,Коды_группа)&amp;"")))))</f>
        <v>Быт</v>
      </c>
      <c r="CO162">
        <f>IF(CN162="Щит","щит",IF(CN162="","",IF(CN162="Быт",IFERROR(_xlfn.XLOOKUP(A162,Щиты[Щит],Щиты[Кс быт]),1),IF(CN162="Сил",IF(ISNUMBER(L162),L162,IF(Методика="нормы 2026",IFERROR(_xlfn.XLOOKUP(A162,Щиты[Щит],Щиты[Кс силовых (табл. 7.5)]),1),1)),IF(OR(CN162="Пост",CN162="Отоп"),1,IF(CN162="ВНГ",0.7,0))))))</f>
        <v>0.8</v>
      </c>
      <c r="CP162">
        <f t="shared" si="195"/>
        <v>1</v>
      </c>
      <c r="CQ162">
        <f t="shared" si="196"/>
        <v>0.36</v>
      </c>
      <c r="CR162">
        <f t="shared" si="197"/>
        <v>0.36</v>
      </c>
      <c r="CS162">
        <f t="shared" si="198"/>
        <v>0</v>
      </c>
      <c r="CT162">
        <f t="shared" si="199"/>
        <v>0</v>
      </c>
      <c r="CU162">
        <f t="shared" si="200"/>
        <v>0</v>
      </c>
      <c r="CV162">
        <f t="shared" si="201"/>
        <v>0</v>
      </c>
      <c r="CW162">
        <f t="shared" si="202"/>
        <v>0.36</v>
      </c>
      <c r="CX162">
        <f t="shared" si="203"/>
        <v>0.34199999999999997</v>
      </c>
      <c r="CY162">
        <f t="shared" si="204"/>
        <v>2</v>
      </c>
      <c r="CZ162" t="str">
        <f t="shared" si="205"/>
        <v>L2</v>
      </c>
      <c r="DA162" cm="1">
        <f t="array" ref="DA162">IFERROR(IF(BL162=2,_xlfn.IFS(BH162=3,VLOOKUP(BF162,Справочная_двигатели,3,FALSE),BH162=1,VLOOKUP(BF162,Справочная_двигатели,5,TRUE)),0),0)</f>
        <v>0</v>
      </c>
      <c r="DB162">
        <f>IFERROR(IF(BL162=3,VLOOKUP(BF162,Справочная_ЛЭД,2,TRUE),0),0)</f>
        <v>0</v>
      </c>
      <c r="DC162">
        <f t="shared" si="206"/>
        <v>0</v>
      </c>
      <c r="DD162" t="str">
        <f t="shared" si="207"/>
        <v>L1</v>
      </c>
      <c r="DE162" t="str" cm="1">
        <f t="array" ref="DE162">IF(D162="","",IFERROR(INDEX({"I особая","I","II","III"},MATCH(TRIM(AA162&amp;""),{"I особая","I","II","III"},0)),"III"))</f>
        <v>II</v>
      </c>
      <c r="DF162" t="str">
        <f>IF(D162="","",IF(TRIM(AB162&amp;"")&lt;&gt;"",IF(LOWER(TRIM(AB162&amp;""))="да","да","нет"),IF(IFERROR(_xlfn.XLOOKUP(AT162,Коды_код,Коды_пожарная),"")="да","да","нет")))</f>
        <v>нет</v>
      </c>
      <c r="DG162" t="str">
        <f t="shared" si="208"/>
        <v/>
      </c>
      <c r="DH162" t="str">
        <f t="shared" si="209"/>
        <v>основная</v>
      </c>
      <c r="DI162">
        <f t="shared" si="210"/>
        <v>1</v>
      </c>
      <c r="DJ162" t="str" cm="1">
        <f t="array" ref="DJ162">IF(D162="","",_xlfn.LET(_xlpm.t,IFERROR(_xlfn.XLOOKUP(1,(Шины[Шина]=DH162)*(((Шины[Щит]=A162)+(Шины[Щит]=""))&gt;0),Шины[Тип]),"")&amp;"",IF(_xlpm.t&lt;&gt;"",_xlpm.t,IF(ISNUMBER(SEARCH("ИБП",DH162)),"ИБП",IF(ISNUMBER(SEARCH("ДГУ",DH162)),"ДГУ","Ввод "&amp;DI162)))))</f>
        <v>Ввод 1</v>
      </c>
      <c r="DK162" t="str">
        <f t="shared" si="211"/>
        <v>Ввод 1</v>
      </c>
      <c r="DL162" t="str">
        <f>IF(D162="","",IF(OR(DJ162="ИБП",DJ162="ДГУ"),"I особая",IF(DJ162="Одиночная","III",_xlfn.XLOOKUP(A162,Щиты[Щит],Щиты[Категория шины «Ввод»],"III"))))</f>
        <v>II</v>
      </c>
      <c r="DM162">
        <f>IF(D162="",0,IFERROR(MATCH(DE162,{"III","II","I","I особая"},0),1))</f>
        <v>2</v>
      </c>
      <c r="DN162">
        <f t="shared" si="212"/>
        <v>2</v>
      </c>
      <c r="DO162" t="str">
        <f>IF(D162="","",IF(DM162&gt;IFERROR(MATCH(DL162,{"III","II","I","I особая"},0),1),"НЕ ОБЕСПЕЧЕНА","ОК"))</f>
        <v>ОК</v>
      </c>
      <c r="DP162" t="str">
        <f>IF(A162="","",_xlfn.XLOOKUP(A162,Щиты[Щит],Щиты[Путь],""))</f>
        <v>|ГРЩ-ЖД|ЩР-001|</v>
      </c>
      <c r="DQ162" t="str">
        <f>IF(D162="","",IF(Z162&lt;&gt;"",Z162,IF(IFERROR(_xlfn.XLOOKUP(AT162,Коды_код,Коды_вид)&amp;"","")="","Прочее",_xlfn.XLOOKUP(AT162,Коды_код,Коды_вид)&amp;"")))</f>
        <v>Розеточная сеть и бытовые приборы</v>
      </c>
      <c r="DR162">
        <f>IF(BD162="","",INT((BD162-1)/Столбцов_на_лист)+1)</f>
        <v>1</v>
      </c>
      <c r="DS162" t="str">
        <f t="shared" si="213"/>
        <v>ВВГнг(А)-LS (3х2,5) L=95-1,16%</v>
      </c>
      <c r="DT162">
        <f t="shared" si="214"/>
        <v>0.36</v>
      </c>
      <c r="DU162">
        <f t="shared" si="215"/>
        <v>1.65</v>
      </c>
      <c r="DV162">
        <f t="shared" si="216"/>
        <v>1</v>
      </c>
      <c r="DW162">
        <f>IF(AT162="",0,_xlfn.LET(_xlpm.v,IFERROR(VLOOKUP(D162,УГО_спр,3,FALSE),IFERROR(VLOOKUP(AT162,УГО_спр,3,FALSE),IFERROR(VLOOKUP(LEFT(AT162,2),УГО_спр,3,FALSE),""))),IF(_xlpm.v="да",30,IF(ISNUMBER(_xlpm.v),_xlpm.v,0))))</f>
        <v>30</v>
      </c>
      <c r="DX162">
        <f t="shared" si="217"/>
        <v>0</v>
      </c>
      <c r="DY162">
        <f>IF(BD162="","",IF(AD162&lt;&gt;"",COUNTIFS(A$3:A162,A162,AD$3:AD162,"?*"),IF(OR(OR(AS162=1,A162&lt;&gt;A161),AL162="вручную"),"",IF(AS162=1,"",DZ161))))</f>
        <v>8</v>
      </c>
      <c r="DZ162">
        <f t="shared" si="218"/>
        <v>8</v>
      </c>
      <c r="EA162">
        <f>IF(D162="",0,MAX(IFERROR(--X162,0),IFERROR(--VLOOKUP(D162,УГО_спр,4,FALSE),IFERROR(--VLOOKUP(AT162,УГО_спр,4,FALSE),IFERROR(--VLOOKUP(LEFT(AT162,2),УГО_спр,4,FALSE),0)))))</f>
        <v>16</v>
      </c>
      <c r="EB162">
        <f>IF(D162="","",IFERROR(LOOKUP(INDEX(CHOOSE(BR162,Iдоп_1ж,Iдоп_2ж,Iдоп_3ж),MATCH(BS162,Iдоп_S,0))*BP162*BQ162,{6,10,16,20,25,32,40,50,63,80,100,125,160,200,250,315,400,500,630}),""))</f>
        <v>25</v>
      </c>
      <c r="EC162">
        <f>IF(AD162="","",SUMIFS(Линии[_Ток схемы],Линии[_гр.],DY162,Линии[Щит],A162,Линии[_в кабель выше],0))</f>
        <v>1.65</v>
      </c>
      <c r="ED162">
        <f>IF(AD162="","",IFERROR(VLOOKUP(EC162,Автомат_номиналы,2,TRUE),""))</f>
        <v>6</v>
      </c>
      <c r="EE162">
        <f>IF(AD162="","",MAX(N(ED162),_xlfn.MAXIFS(Линии[_мин. по типу],Линии[_гр.],DY162,Линии[Щит],A162)))</f>
        <v>16</v>
      </c>
      <c r="EF162">
        <f>IF(AD162="","",_xlfn.MINIFS(Линии[_макс. автомат по кабелю],Линии[_гр.],DY162,Линии[Щит],A162))</f>
        <v>25</v>
      </c>
      <c r="EG162">
        <f>IF(AD162="","",MAX(1,_xlfn.MAXIFS(Линии[_фаз],Линии[_гр.],DY162,Линии[Щит],A162)))</f>
        <v>1</v>
      </c>
      <c r="EH162">
        <f>IF(AD162="","",IF(AND(AD162&lt;&gt;"авто",AD162&lt;&gt;"+"),IF(ISNUMBER(SEARCH("мА",AD162)),IFERROR(--TRIM(RIGHT(SUBSTITUTE(LEFT(AD162,SEARCH("мА",AD162)-1)," ",REPT(" ",9)),6)),30),0),IF(AE162="нет",0,IF(ISNUMBER(AE162),AE162,IF(AE162="да",30,_xlfn.MINIFS(Линии[_дифзащита по коду, мА],Линии[_гр.],DY162,Линии[Щит],A162,Линии[_дифзащита по коду, мА],"&gt;0"))))))</f>
        <v>30</v>
      </c>
      <c r="EI162">
        <f t="shared" si="219"/>
        <v>1</v>
      </c>
      <c r="EJ162" t="str">
        <f t="shared" si="220"/>
        <v>QFD8</v>
      </c>
      <c r="EK162" t="str">
        <f t="shared" si="221"/>
        <v>QFD8</v>
      </c>
      <c r="EL162" t="str">
        <f t="shared" si="222"/>
        <v/>
      </c>
      <c r="EM162">
        <f t="shared" si="223"/>
        <v>0</v>
      </c>
      <c r="EN162">
        <f>IF(AD162="","",IF(EM162=1,MAX(EE162,Мин_автомат_БП),EE162))</f>
        <v>16</v>
      </c>
      <c r="EO162" t="str">
        <f t="shared" si="224"/>
        <v>2P</v>
      </c>
      <c r="EP162" t="str">
        <f t="shared" si="225"/>
        <v>2P С16А 30мА</v>
      </c>
      <c r="EQ162">
        <f t="shared" si="226"/>
        <v>16</v>
      </c>
      <c r="ER162" t="str">
        <f>IF(OR(AI162="",AI162="-"),"",IFERROR(VLOOKUP(AI162,Модули_спр,2,FALSE),"R"))</f>
        <v/>
      </c>
      <c r="ES162" t="str">
        <f>IF(ER162="","",ER162&amp;"."&amp;COUNTIFS(A$3:A162,A162,ER$3:ER162,ER162))</f>
        <v/>
      </c>
      <c r="ET162" t="str">
        <f t="shared" si="227"/>
        <v/>
      </c>
      <c r="EU162" t="str">
        <f t="shared" si="228"/>
        <v/>
      </c>
      <c r="EV162" t="str">
        <f t="shared" si="229"/>
        <v/>
      </c>
      <c r="EW162" t="str">
        <f t="shared" si="230"/>
        <v/>
      </c>
      <c r="EX162">
        <f t="shared" si="231"/>
        <v>1</v>
      </c>
      <c r="EY162" t="str">
        <f>IF(AK162="нет","",IF(AK162&lt;&gt;"",AK162,IF(EX162=1,"XT"&amp;COUNTIFS(A$3:A162,A162,EX$3:EX162,1),"")))</f>
        <v>XT8</v>
      </c>
      <c r="EZ162" t="str">
        <f t="shared" si="232"/>
        <v>QFD8</v>
      </c>
      <c r="FA162" t="str">
        <f t="shared" si="233"/>
        <v/>
      </c>
      <c r="FB162" t="str">
        <f t="shared" si="234"/>
        <v>ok</v>
      </c>
      <c r="FC162" t="str">
        <f>IF(OR(EV162="",ET162=""),"",IF(EV162&gt;IFERROR(VLOOKUP(EU162,Модули_спр,3,FALSE),99),"ЛИШНИЙ КАНАЛ",IF(AND(AJ162&lt;&gt;"=",COUNTIFS(Линии[_модуль гр.],ET162,Линии[Канал (итог)],EV162,Линии[Канал],"&lt;&gt;=",Линии[Щит],A162)&gt;1),"ДУБЛЬ КАНАЛА","")))</f>
        <v/>
      </c>
      <c r="FD162">
        <f t="shared" si="235"/>
        <v>16</v>
      </c>
      <c r="FE162" t="str">
        <f t="shared" si="236"/>
        <v>2P С16А 30мА</v>
      </c>
      <c r="FF162">
        <f t="shared" si="237"/>
        <v>1</v>
      </c>
      <c r="FG162">
        <f t="shared" si="238"/>
        <v>30</v>
      </c>
      <c r="FH162" t="str">
        <f t="shared" si="239"/>
        <v/>
      </c>
      <c r="FI162">
        <f t="shared" si="240"/>
        <v>10</v>
      </c>
      <c r="FJ162" t="str">
        <f t="shared" si="241"/>
        <v/>
      </c>
      <c r="FK162" t="str">
        <f>IF(AND(D162="",EZ162=""),"",_xlfn.TEXTJOIN("; ",TRUE,IF(AND(D162&lt;&gt;"",DD162=""),"нет фазы",""),IF(AND(D162&lt;&gt;"",N(DT162)=0,CN162&lt;&gt;"Нет"),"нет мощности",""),IF(AND(EY162&lt;&gt;"",COUNTIFS(Линии[Щит],A162,Линии[Клемма (итог)],EY162)&gt;1),"дубль клеммы "&amp;EY162,""),IF(AND(FB162&lt;&gt;"",FB162&lt;&gt;"ok"),FB162,""),IF(FC162&lt;&gt;"",FC162,""),IF(AND(ISNUMBER(SEARCH("(5х",DS162)),N(DV162)=1),"5 жил на 1 фазе",""),IF(AND(AT162="R",AD162&lt;&gt;"",OR(N(EH162)=0,N(EH162)&gt;30)),"розетка без дифзащиты до 30 мА",""),IFERROR(IF(AND(ISNUMBER(CD162),CD162&gt;CE162),"потери "&amp;FIXED(CD162,1)&amp;" % &gt; "&amp;CE162&amp;" %",""),""),IFERROR(IF(LEFT(FJ162,4)="мало","Iкз мало — отключение &gt; 0,4 с",""),""),IF(AND(D162&lt;&gt;"",BD162=""),"не на схеме","")))</f>
        <v/>
      </c>
      <c r="FL162">
        <f>IF(AD162="","",_xlfn.LET(_xlpm.t,IFERROR(_xlfn.XLOOKUP(EP162,Каталог!$U$4:$U$500,Каталог!$G$4:$G$500),""),_xlpm.k,SEARCH("кА",_xlpm.t),IFERROR(--TRIM(RIGHT(SUBSTITUTE(MID(_xlpm.t,MAX(1,_xlpm.k-4),_xlpm.k-MAX(1,_xlpm.k-4))," ",REPT(" ",9)),5)),"")))</f>
        <v>6</v>
      </c>
      <c r="FM162" t="str">
        <f>IF(OR(FL162="",AD162=""),"",IF(_xlfn.XLOOKUP(A162,Щиты[Щит],Щиты[Iкз max на шинах, кА],"")="","",IF(FL162&lt;_xlfn.XLOOKUP(A162,Щиты[Щит],Щиты[Iкз max на шинах, кА]),"Icu "&amp;FL162&amp;" кА &lt; Iкз max","ok")))</f>
        <v/>
      </c>
      <c r="FN162" t="str">
        <f t="shared" si="242"/>
        <v>QFD8|XT8</v>
      </c>
      <c r="FO162" t="str">
        <f t="shared" si="243"/>
        <v>QFD8|XT8|кабель ВВГнг(А)-LS (3х2,5) → Розеточная группа Подвальный этаж Пом. №001А</v>
      </c>
      <c r="FP162" t="str" cm="1">
        <f t="array" ref="FP162">IF(FO162="","",_xlfn.LET(_xlpm.nd,_xlfn.TEXTSPLIT(FO162,"|"),IF(COLUMNS(_xlpm.nd)&gt;1,A162&amp;"¦"&amp;INDEX(_xlpm.nd,1)&amp;"¦"&amp;INDEX(_xlpm.nd,2),"")))</f>
        <v>ЩР-001¦QFD8¦XT8</v>
      </c>
      <c r="FQ162" t="str">
        <f t="shared" si="244"/>
        <v>R.00.001А.1¦Розеточная группа Подвальный этаж Пом. №001А</v>
      </c>
      <c r="FR162" t="str" cm="1">
        <f t="array" ref="FR162">IF(FO162="","",_xlfn.LET(_xlpm.nd,_xlfn.TEXTSPLIT(FO162,"|"),IF(COLUMNS(_xlpm.nd)&gt;2,A162&amp;"¦"&amp;INDEX(_xlpm.nd,2)&amp;"¦"&amp;INDEX(_xlpm.nd,3),"")))</f>
        <v>ЩР-001¦XT8¦кабель ВВГнг(А)-LS (3х2,5) → Розеточная группа Подвальный этаж Пом. №001А</v>
      </c>
      <c r="FS162" t="str">
        <f t="shared" si="245"/>
        <v>R.00.001А.1¦Розеточная группа Подвальный этаж Пом. №001А</v>
      </c>
      <c r="FT162" t="str" cm="1">
        <f t="array" ref="FT162">IF(FO162="","",_xlfn.LET(_xlpm.nd,_xlfn.TEXTSPLIT(FO162,"|"),IF(COLUMNS(_xlpm.nd)&gt;3,A162&amp;"¦"&amp;INDEX(_xlpm.nd,3)&amp;"¦"&amp;INDEX(_xlpm.nd,4),"")))</f>
        <v/>
      </c>
      <c r="FU162" t="str">
        <f t="shared" si="246"/>
        <v/>
      </c>
      <c r="FV162" t="str" cm="1">
        <f t="array" ref="FV162">IF(FO162="","",_xlfn.LET(_xlpm.nd,_xlfn.TEXTSPLIT(FO162,"|"),IF(COLUMNS(_xlpm.nd)&gt;4,A162&amp;"¦"&amp;INDEX(_xlpm.nd,4)&amp;"¦"&amp;INDEX(_xlpm.nd,5),"")))</f>
        <v/>
      </c>
      <c r="FW162" t="str">
        <f t="shared" si="247"/>
        <v/>
      </c>
      <c r="FX162" t="str" cm="1">
        <f t="array" ref="FX162">IF(FO162="","",_xlfn.LET(_xlpm.nd,_xlfn.TEXTSPLIT(FO162,"|"),IF(COLUMNS(_xlpm.nd)&gt;5,A162&amp;"¦"&amp;INDEX(_xlpm.nd,5)&amp;"¦"&amp;INDEX(_xlpm.nd,6),"")))</f>
        <v/>
      </c>
      <c r="FY162" t="str">
        <f t="shared" si="248"/>
        <v/>
      </c>
      <c r="FZ162" t="str" cm="1">
        <f t="array" ref="FZ162">IF(FO162="","",_xlfn.LET(_xlpm.nd,_xlfn.TEXTSPLIT(FO162,"|"),IF(COLUMNS(_xlpm.nd)&gt;6,A162&amp;"¦"&amp;INDEX(_xlpm.nd,6)&amp;"¦"&amp;INDEX(_xlpm.nd,7),"")))</f>
        <v/>
      </c>
      <c r="GA162" t="str">
        <f t="shared" si="249"/>
        <v/>
      </c>
      <c r="GB162" t="str">
        <f t="shared" si="250"/>
        <v/>
      </c>
      <c r="GC162" t="str">
        <f t="shared" si="251"/>
        <v>QFD8 → XT8</v>
      </c>
      <c r="GD162">
        <f t="shared" si="252"/>
        <v>1</v>
      </c>
      <c r="GE162">
        <f t="shared" si="253"/>
        <v>0</v>
      </c>
      <c r="GF162">
        <f t="shared" si="254"/>
        <v>1</v>
      </c>
      <c r="GG162" t="str">
        <f t="shared" si="255"/>
        <v/>
      </c>
      <c r="GH162" t="str">
        <f t="shared" si="256"/>
        <v/>
      </c>
      <c r="GI162" t="str">
        <f t="shared" si="257"/>
        <v/>
      </c>
      <c r="GJ162" t="str">
        <f t="shared" si="258"/>
        <v/>
      </c>
      <c r="GK162" t="str">
        <f>IF(D162="","",IFERROR(VLOOKUP(D162,УГО_спр,2,FALSE),IFERROR(VLOOKUP(AT162,УГО_спр,2,FALSE),IFERROR(VLOOKUP(LEFT(AT162,2),УГО_спр,2,FALSE),""))))</f>
        <v>Розетка</v>
      </c>
      <c r="GL162" t="str">
        <f>IF(D162="","",IF(OR(GK162="",GK162=0),"BOX",IFERROR(IF(VLOOKUP(GK162,УГО_блоки,3,FALSE)&amp;""&lt;&gt;"",VLOOKUP(GK162,УГО_блоки,3,FALSE),VLOOKUP(GK162,УГО_блоки,2,FALSE)),GK162)))</f>
        <v>SOCKET</v>
      </c>
      <c r="GM162">
        <f t="shared" si="259"/>
        <v>1</v>
      </c>
      <c r="GN162" t="str">
        <f>IF(EP162="","",IF(COUNTIF(EP$3:EP162,EP162)=1,MAX(GN$2:GN161)+1,""))</f>
        <v/>
      </c>
      <c r="GO162" t="str">
        <f>IF(AF162="","",IF(COUNTIF(AF$3:AF162,AF162)+COUNTIF(AG$2:AG161,AF162)+COUNTIF(AH$2:AH161,AF162)=1,MAX(GO$2:GQ161)+1,""))</f>
        <v/>
      </c>
      <c r="GP162" t="str">
        <f>IF(AG162="","",IF(COUNTIF(AF$3:AF162,AG162)+COUNTIF(AG$3:AG162,AG162)+COUNTIF(AH$2:AH161,AG162)=1,MAX(GO$2:GQ161,GO162)+1,""))</f>
        <v/>
      </c>
      <c r="GQ162" t="str">
        <f>IF(AH162="","",IF(COUNTIF(AF$3:AF162,AH162)+COUNTIF(AG$3:AG162,AH162)+COUNTIF(AH$3:AH162,AH162)=1,MAX(GO$2:GQ161,GO162,GP162)+1,""))</f>
        <v/>
      </c>
      <c r="GR162" t="str">
        <f t="shared" si="260"/>
        <v>3х2,5</v>
      </c>
      <c r="GS162" t="str">
        <f>IF(GR162="","",IF(COUNTIF(GR$3:GR162,GR162)=1,MAX(GS$2:GS161)+1,""))</f>
        <v/>
      </c>
      <c r="GT162" t="str">
        <f>IF(ES162="","",COUNTIF(ES$3:ES162,"?*"))</f>
        <v/>
      </c>
      <c r="GU162" t="str">
        <f>IF(OR(ES162="",EU162=""),"",IF(COUNTIFS(ES$3:ES162,"?*",EU$3:EU162,EU162)=1,MAX(GU$2:GU161)+1,""))</f>
        <v/>
      </c>
      <c r="GV162">
        <f t="shared" si="261"/>
        <v>0</v>
      </c>
      <c r="GW162">
        <f>IF(D162="","",COUNTIF(D$3:D162,"?*"))</f>
        <v>160</v>
      </c>
      <c r="GX162">
        <f>IF(EX162&lt;&gt;1,0,_xlfn.LET(_xlpm.k,MAX(IFERROR(--VLOOKUP(D162,УГО_спр,5,FALSE),0),IFERROR(--VLOOKUP(AT162,УГО_спр,5,FALSE),0),IFERROR(--VLOOKUP(LEFT(AT162,2),УГО_спр,5,FALSE),0)),IF(_xlpm.k&gt;0,_xlpm.k,IF(IFERROR(--LEFT(SUBSTITUTE(GR162,"x","х"),FIND("х",SUBSTITUTE(GR162,"x","х"))-1),3)&gt;3,Каталог!$S$9,1))))</f>
        <v>1</v>
      </c>
      <c r="GY162">
        <f t="shared" si="262"/>
        <v>0</v>
      </c>
    </row>
    <row r="163" spans="1:207" x14ac:dyDescent="0.3">
      <c r="A163" t="s">
        <v>758</v>
      </c>
      <c r="B163">
        <v>16</v>
      </c>
      <c r="C163" t="str">
        <f>IF(BD163="","",IF(BE163="вводной узел","узел ","")&amp;"л."&amp;(INT((BD163-1)/Столбцов_на_лист)+1)&amp;" / "&amp;(MOD(BD163-1,Столбцов_на_лист)+1))</f>
        <v>л.1 / 16</v>
      </c>
      <c r="D163" t="s">
        <v>1467</v>
      </c>
      <c r="E163" s="133" t="str">
        <f t="shared" si="263"/>
        <v>Розеточная группа Подвальный этаж Пом. №005А</v>
      </c>
      <c r="G163">
        <v>0.18</v>
      </c>
      <c r="H163">
        <v>2</v>
      </c>
      <c r="I163">
        <v>1</v>
      </c>
      <c r="J163">
        <v>230</v>
      </c>
      <c r="K163" t="s">
        <v>566</v>
      </c>
      <c r="O163">
        <v>3</v>
      </c>
      <c r="P163">
        <v>39</v>
      </c>
      <c r="Q163">
        <v>35</v>
      </c>
      <c r="R163">
        <v>13</v>
      </c>
      <c r="S163">
        <v>0</v>
      </c>
      <c r="U163" t="s">
        <v>11</v>
      </c>
      <c r="V163">
        <v>3</v>
      </c>
      <c r="W163">
        <v>2.5</v>
      </c>
      <c r="X163">
        <v>16</v>
      </c>
      <c r="Z163" t="s">
        <v>565</v>
      </c>
      <c r="AA163" t="s">
        <v>818</v>
      </c>
      <c r="AD163" t="s">
        <v>517</v>
      </c>
      <c r="AR163" t="str">
        <f t="shared" si="176"/>
        <v/>
      </c>
      <c r="AS163" cm="1">
        <f t="array" ref="AS163">ROW()-ROW(Линии[#Headers])</f>
        <v>161</v>
      </c>
      <c r="AT163" t="str">
        <f t="shared" si="177"/>
        <v>R</v>
      </c>
      <c r="AU163" t="str">
        <f t="shared" si="178"/>
        <v>00.005А.1</v>
      </c>
      <c r="AV163" t="str">
        <f t="shared" si="179"/>
        <v>00</v>
      </c>
      <c r="AW163" t="str">
        <f t="shared" si="180"/>
        <v>005А.1</v>
      </c>
      <c r="AX163" t="str">
        <f t="shared" si="181"/>
        <v>005А</v>
      </c>
      <c r="AY163" t="str">
        <f>IF(D163="","",IF(ISERROR(SEARCH(".",D163)),IFERROR(VLOOKUP(D163,Потребители_обозначение,2,FALSE)&amp;"",""),IFERROR(IF(VLOOKUP(AT163,Потребители_обозначение,4,FALSE)=1,VLOOKUP(AT163,Потребители_обозначение,2,FALSE)&amp;" "&amp;VLOOKUP(AV163,Этаж_обозначение,2,FALSE)&amp;" Пом. №"&amp;AX163,VLOOKUP(AT163,Потребители_обозначение,2,FALSE)&amp;" Шлейф №"&amp;AV163),IFERROR(VLOOKUP(D163,Потребители_обозначение,2,FALSE),""))))</f>
        <v>Розеточная группа Подвальный этаж Пом. №005А</v>
      </c>
      <c r="AZ163" t="str">
        <f t="shared" si="182"/>
        <v>Розеточная группа Подвальный этаж Пом. №005А</v>
      </c>
      <c r="BA163" t="str">
        <f>IF(F163&lt;&gt;"",F163,IF(AND(D163&lt;&gt;"",D163&lt;&gt;A163,ISNUMBER(_xlfn.XMATCH(D163,Щиты[Щит]))),D163,""))</f>
        <v/>
      </c>
      <c r="BB163">
        <f>IFERROR(_xlfn.XMATCH(A163,Щиты[Щит]),0)</f>
        <v>8</v>
      </c>
      <c r="BC163">
        <f>IFERROR(N(_xlfn.XLOOKUP(A163,Щиты[Щит],Щиты[Мест под вводной узел])),15)</f>
        <v>7</v>
      </c>
      <c r="BD163">
        <f t="shared" si="183"/>
        <v>16</v>
      </c>
      <c r="BE163" t="str">
        <f t="shared" si="184"/>
        <v>линии</v>
      </c>
      <c r="BF163">
        <f>IF(D163="","",IF(BA163&lt;&gt;"",IFERROR(_xlfn.XLOOKUP(BA163,Щиты[Щит],Щиты[Руст, кВт]),0),N(G163)))</f>
        <v>0.18</v>
      </c>
      <c r="BG163">
        <f>IF(J163&lt;&gt;"",J163,IF(D163="","",IFERROR(IF(VLOOKUP(AT163,Потребители_обозначение,8,FALSE)=0,"",VLOOKUP(AT163,Потребители_обозначение,8,FALSE)),"")))</f>
        <v>230</v>
      </c>
      <c r="BH163">
        <f>IF(I163&lt;&gt;"",I163,IF(D163="","",IFERROR(IF(VLOOKUP(AT163,Потребители_обозначение,9,FALSE)=0,"",VLOOKUP(AT163,Потребители_обозначение,9,FALSE)),"")))</f>
        <v>1</v>
      </c>
      <c r="BI163" t="str">
        <f>IF(U163&lt;&gt;"",U163,IF(D163="","",IFERROR(IF(VLOOKUP(AT163,Потребители_обозначение,6,FALSE)=0,"",VLOOKUP(AT163,Потребители_обозначение,6,FALSE)),"")))</f>
        <v>мс</v>
      </c>
      <c r="BJ163">
        <f>IF(V163&lt;&gt;"",V163,IF(D163="","",IFERROR(IF(VLOOKUP(AT163,Потребители_обозначение,7,FALSE)=0,"",VLOOKUP(AT163,Потребители_обозначение,7,FALSE)),"")))</f>
        <v>3</v>
      </c>
      <c r="BK163">
        <f>IF(W163&lt;&gt;"",W163,IF(D163="","",IFERROR(IF(VLOOKUP(AT163,Потребители_обозначение,10,FALSE)=0,"",VLOOKUP(AT163,Потребители_обозначение,10,FALSE)),"")))</f>
        <v>2.5</v>
      </c>
      <c r="BL163">
        <f>IFERROR(VLOOKUP(AT163,Потребители_обозначение,5,FALSE),0)</f>
        <v>1</v>
      </c>
      <c r="BM163" cm="1">
        <f t="array" ref="BM163">IF(D163="","",IF(BA163&lt;&gt;"",IFERROR(_xlfn.XLOOKUP(BA163,Щиты[Щит],Щиты[cos φ]),0.95),IF(ISNUMBER(M163),M163,IFERROR(IF(BL163=2,_xlfn.IFS(BH163=3,VLOOKUP(BF163,Справочная_двигатели,8,FALSE),BH163=1,VLOOKUP(BF163,Справочная_двигатели,10,TRUE)),IF(AND(Методика="нормы 2026",CN163="Сил"),0.8,0.95)),0.95))))</f>
        <v>0.95</v>
      </c>
      <c r="BN163" cm="1">
        <f t="array" ref="BN163">IF(D163="","",IF(BA163&lt;&gt;"",IFERROR(_xlfn.XLOOKUP(BA163,Щиты[Щит],Щиты[Iр, А]),""),IFERROR(_xlfn.IFS(BH163=1,BF163/((Uн_лин/SQRT(3))*BM163),BH163=3,BF163/(SQRT(3)*Uн_лин*BM163)),"")))</f>
        <v>0.8204451193747313</v>
      </c>
      <c r="BO163">
        <f>IF(D163="","",IF(N(X163)=0,IFERROR(VLOOKUP(BN163,Автомат_номиналы,2,TRUE),""),X163))</f>
        <v>16</v>
      </c>
      <c r="BP163">
        <f t="shared" si="185"/>
        <v>1</v>
      </c>
      <c r="BQ163">
        <f>IF(ISNUMBER(Y163),Y163,К_прокл)</f>
        <v>1</v>
      </c>
      <c r="BR163">
        <f t="shared" si="186"/>
        <v>2</v>
      </c>
      <c r="BS163" cm="1">
        <f t="array" ref="BS163">IF(D163="","",IF(N(BK163)&lt;&gt;0,BK163,IFERROR(_xlfn.LET(_xlpm.need,BO163/(BP163*BQ163),_xlpm.t,CHOOSE(BR163,Iдоп_1ж,Iдоп_2ж,Iдоп_3ж),_xlpm.k,_xlfn.XMATCH(_xlpm.need,_xlpm.t,1),IF(ISNA(_xlpm.k),"Не исп",INDEX(Iдоп_S,_xlpm.k))),"Не исп")))</f>
        <v>2.5</v>
      </c>
      <c r="BT163">
        <f>IFERROR(VLOOKUP(BS163,Кабель_сопротивление,3,FALSE),"")</f>
        <v>2.2499999999999999E-2</v>
      </c>
      <c r="BU163">
        <f>IFERROR(VLOOKUP(BS163,Кабель_сопротивление,2,FALSE),"")</f>
        <v>0.1</v>
      </c>
      <c r="BV163">
        <f t="shared" si="187"/>
        <v>39</v>
      </c>
      <c r="BW163">
        <f>IF(D163="","",IFERROR(IF(VLOOKUP(AT163,Потребители_обозначение,4,FALSE)=1,VLOOKUP(AT163,Потребители_обозначение,3,FALSE)*(H163*2-1)+BV163+VLOOKUP(AV163,Этаж_обозначение,3,FALSE)+VLOOKUP(AV163,Этаж_обозначение,4,FALSE),VLOOKUP(AT163,Потребители_обозначение,3,FALSE)*(H163*2-1)+BV163),BV163))</f>
        <v>48</v>
      </c>
      <c r="BX163">
        <f t="shared" si="188"/>
        <v>13</v>
      </c>
      <c r="BY163">
        <f t="shared" si="189"/>
        <v>0</v>
      </c>
      <c r="BZ163">
        <f t="shared" si="190"/>
        <v>2</v>
      </c>
      <c r="CA163">
        <f t="shared" si="191"/>
        <v>0.31</v>
      </c>
      <c r="CB163">
        <f t="shared" si="192"/>
        <v>0.67586299865803867</v>
      </c>
      <c r="CC163">
        <f>IFERROR(ROUNDUP(CB163/((Uн_лин/SQRT(3))*1000)*100,2),"")</f>
        <v>0.3</v>
      </c>
      <c r="CD163">
        <f>IF(ISNUMBER(CC163),CC163+IFERROR(_xlfn.XLOOKUP(A163,Щиты[Щит],Щиты[ΔU до шин, %]),0),"")</f>
        <v>1.87</v>
      </c>
      <c r="CE163">
        <f>IF(D163="","",IF(IFERROR(VLOOKUP(AT163,УГО_спр,2,FALSE),"")="Светильник",3,4)+IF(Методика="нормы 2026",MIN(0.5,MAX(0,N(BW163)-100)*0.005),0))</f>
        <v>4</v>
      </c>
      <c r="CF163" t="str">
        <f>IFERROR(VLOOKUP(BI163,Кабель_обозначение,2,FALSE),"")</f>
        <v>ВВГнг(А)-LS</v>
      </c>
      <c r="CG163" t="str">
        <f>IFERROR(IF(VLOOKUP(BI163,Кабель_обозначение,3,FALSE)=1,CF163&amp;" ("&amp;BJ163&amp;"х"&amp;BS163&amp;")",CF163),"")</f>
        <v>ВВГнг(А)-LS (3х2,5)</v>
      </c>
      <c r="CH163" t="str">
        <f t="shared" si="193"/>
        <v>ВВГнг(А)-LS (3х2,5)
L=48-0,3%</v>
      </c>
      <c r="CI163">
        <f>IFERROR(2*ρкз_Cu*BW163/BS163,"")</f>
        <v>1.0099199999999999</v>
      </c>
      <c r="CJ163">
        <f t="shared" si="194"/>
        <v>0.33600000000000002</v>
      </c>
      <c r="CK163" t="str">
        <f>IFERROR(IF(OR(D163="",NOT(ISNUMBER(BS163)),N(BW163)=0),"",_xlfn.XLOOKUP(A163,Щиты[Щит],Щиты[Zпетли на шинах, Ом])+CI163),"")</f>
        <v/>
      </c>
      <c r="CL163" t="str">
        <f>IF(ISNUMBER(CK163),c_min*(Uн_лин*1000/SQRT(3))/CK163,"")</f>
        <v/>
      </c>
      <c r="CM163" t="str">
        <f>IFERROR(IF(OR(D163="",NOT(ISNUMBER(BS163))),"",1.05*(Uн_лин*1000/SQRT(3))/(_xlfn.XLOOKUP(A163,Щиты[Щит],Щиты[Zmax на шинах, Ом])+CJ163)/1000),"")</f>
        <v/>
      </c>
      <c r="CN163" t="str">
        <f>IF(D163="","",IF(BA163&lt;&gt;"","Щит",IF(K163&lt;&gt;"",K163,IF(ISNUMBER(L163),"Сил",IF(IFERROR(_xlfn.XLOOKUP(AT163,Коды_код,Коды_группа)&amp;"","")="","Быт",_xlfn.XLOOKUP(AT163,Коды_код,Коды_группа)&amp;"")))))</f>
        <v>Быт</v>
      </c>
      <c r="CO163">
        <f>IF(CN163="Щит","щит",IF(CN163="","",IF(CN163="Быт",IFERROR(_xlfn.XLOOKUP(A163,Щиты[Щит],Щиты[Кс быт]),1),IF(CN163="Сил",IF(ISNUMBER(L163),L163,IF(Методика="нормы 2026",IFERROR(_xlfn.XLOOKUP(A163,Щиты[Щит],Щиты[Кс силовых (табл. 7.5)]),1),1)),IF(OR(CN163="Пост",CN163="Отоп"),1,IF(CN163="ВНГ",0.7,0))))))</f>
        <v>0.8</v>
      </c>
      <c r="CP163">
        <f t="shared" si="195"/>
        <v>1</v>
      </c>
      <c r="CQ163">
        <f t="shared" si="196"/>
        <v>0.18</v>
      </c>
      <c r="CR163">
        <f t="shared" si="197"/>
        <v>0.18</v>
      </c>
      <c r="CS163">
        <f t="shared" si="198"/>
        <v>0</v>
      </c>
      <c r="CT163">
        <f t="shared" si="199"/>
        <v>0</v>
      </c>
      <c r="CU163">
        <f t="shared" si="200"/>
        <v>0</v>
      </c>
      <c r="CV163">
        <f t="shared" si="201"/>
        <v>0</v>
      </c>
      <c r="CW163">
        <f t="shared" si="202"/>
        <v>0.18</v>
      </c>
      <c r="CX163">
        <f t="shared" si="203"/>
        <v>0.17099999999999999</v>
      </c>
      <c r="CY163">
        <f t="shared" si="204"/>
        <v>3</v>
      </c>
      <c r="CZ163" t="str">
        <f t="shared" si="205"/>
        <v>L3</v>
      </c>
      <c r="DA163" cm="1">
        <f t="array" ref="DA163">IFERROR(IF(BL163=2,_xlfn.IFS(BH163=3,VLOOKUP(BF163,Справочная_двигатели,3,FALSE),BH163=1,VLOOKUP(BF163,Справочная_двигатели,5,TRUE)),0),0)</f>
        <v>0</v>
      </c>
      <c r="DB163">
        <f>IFERROR(IF(BL163=3,VLOOKUP(BF163,Справочная_ЛЭД,2,TRUE),0),0)</f>
        <v>0</v>
      </c>
      <c r="DC163">
        <f t="shared" si="206"/>
        <v>0</v>
      </c>
      <c r="DD163" t="str">
        <f t="shared" si="207"/>
        <v>L3</v>
      </c>
      <c r="DE163" t="str" cm="1">
        <f t="array" ref="DE163">IF(D163="","",IFERROR(INDEX({"I особая","I","II","III"},MATCH(TRIM(AA163&amp;""),{"I особая","I","II","III"},0)),"III"))</f>
        <v>II</v>
      </c>
      <c r="DF163" t="str">
        <f>IF(D163="","",IF(TRIM(AB163&amp;"")&lt;&gt;"",IF(LOWER(TRIM(AB163&amp;""))="да","да","нет"),IF(IFERROR(_xlfn.XLOOKUP(AT163,Коды_код,Коды_пожарная),"")="да","да","нет")))</f>
        <v>нет</v>
      </c>
      <c r="DG163" t="str">
        <f t="shared" si="208"/>
        <v/>
      </c>
      <c r="DH163" t="str">
        <f t="shared" si="209"/>
        <v>основная</v>
      </c>
      <c r="DI163">
        <f t="shared" si="210"/>
        <v>1</v>
      </c>
      <c r="DJ163" t="str" cm="1">
        <f t="array" ref="DJ163">IF(D163="","",_xlfn.LET(_xlpm.t,IFERROR(_xlfn.XLOOKUP(1,(Шины[Шина]=DH163)*(((Шины[Щит]=A163)+(Шины[Щит]=""))&gt;0),Шины[Тип]),"")&amp;"",IF(_xlpm.t&lt;&gt;"",_xlpm.t,IF(ISNUMBER(SEARCH("ИБП",DH163)),"ИБП",IF(ISNUMBER(SEARCH("ДГУ",DH163)),"ДГУ","Ввод "&amp;DI163)))))</f>
        <v>Ввод 1</v>
      </c>
      <c r="DK163" t="str">
        <f t="shared" si="211"/>
        <v>Ввод 1</v>
      </c>
      <c r="DL163" t="str">
        <f>IF(D163="","",IF(OR(DJ163="ИБП",DJ163="ДГУ"),"I особая",IF(DJ163="Одиночная","III",_xlfn.XLOOKUP(A163,Щиты[Щит],Щиты[Категория шины «Ввод»],"III"))))</f>
        <v>II</v>
      </c>
      <c r="DM163">
        <f>IF(D163="",0,IFERROR(MATCH(DE163,{"III","II","I","I особая"},0),1))</f>
        <v>2</v>
      </c>
      <c r="DN163">
        <f t="shared" si="212"/>
        <v>2</v>
      </c>
      <c r="DO163" t="str">
        <f>IF(D163="","",IF(DM163&gt;IFERROR(MATCH(DL163,{"III","II","I","I особая"},0),1),"НЕ ОБЕСПЕЧЕНА","ОК"))</f>
        <v>ОК</v>
      </c>
      <c r="DP163" t="str">
        <f>IF(A163="","",_xlfn.XLOOKUP(A163,Щиты[Щит],Щиты[Путь],""))</f>
        <v>|ГРЩ-ЖД|ЩР-001|</v>
      </c>
      <c r="DQ163" t="str">
        <f>IF(D163="","",IF(Z163&lt;&gt;"",Z163,IF(IFERROR(_xlfn.XLOOKUP(AT163,Коды_код,Коды_вид)&amp;"","")="","Прочее",_xlfn.XLOOKUP(AT163,Коды_код,Коды_вид)&amp;"")))</f>
        <v>Розеточная сеть и бытовые приборы</v>
      </c>
      <c r="DR163">
        <f>IF(BD163="","",INT((BD163-1)/Столбцов_на_лист)+1)</f>
        <v>1</v>
      </c>
      <c r="DS163" t="str">
        <f t="shared" si="213"/>
        <v>ВВГнг(А)-LS (3х2,5) L=48-0,3%</v>
      </c>
      <c r="DT163">
        <f t="shared" si="214"/>
        <v>0.18</v>
      </c>
      <c r="DU163">
        <f t="shared" si="215"/>
        <v>0.83</v>
      </c>
      <c r="DV163">
        <f t="shared" si="216"/>
        <v>1</v>
      </c>
      <c r="DW163">
        <f>IF(AT163="",0,_xlfn.LET(_xlpm.v,IFERROR(VLOOKUP(D163,УГО_спр,3,FALSE),IFERROR(VLOOKUP(AT163,УГО_спр,3,FALSE),IFERROR(VLOOKUP(LEFT(AT163,2),УГО_спр,3,FALSE),""))),IF(_xlpm.v="да",30,IF(ISNUMBER(_xlpm.v),_xlpm.v,0))))</f>
        <v>30</v>
      </c>
      <c r="DX163">
        <f t="shared" si="217"/>
        <v>0</v>
      </c>
      <c r="DY163">
        <f>IF(BD163="","",IF(AD163&lt;&gt;"",COUNTIFS(A$3:A163,A163,AD$3:AD163,"?*"),IF(OR(OR(AS163=1,A163&lt;&gt;A162),AL163="вручную"),"",IF(AS163=1,"",DZ162))))</f>
        <v>9</v>
      </c>
      <c r="DZ163">
        <f t="shared" si="218"/>
        <v>9</v>
      </c>
      <c r="EA163">
        <f>IF(D163="",0,MAX(IFERROR(--X163,0),IFERROR(--VLOOKUP(D163,УГО_спр,4,FALSE),IFERROR(--VLOOKUP(AT163,УГО_спр,4,FALSE),IFERROR(--VLOOKUP(LEFT(AT163,2),УГО_спр,4,FALSE),0)))))</f>
        <v>16</v>
      </c>
      <c r="EB163">
        <f>IF(D163="","",IFERROR(LOOKUP(INDEX(CHOOSE(BR163,Iдоп_1ж,Iдоп_2ж,Iдоп_3ж),MATCH(BS163,Iдоп_S,0))*BP163*BQ163,{6,10,16,20,25,32,40,50,63,80,100,125,160,200,250,315,400,500,630}),""))</f>
        <v>25</v>
      </c>
      <c r="EC163">
        <f>IF(AD163="","",SUMIFS(Линии[_Ток схемы],Линии[_гр.],DY163,Линии[Щит],A163,Линии[_в кабель выше],0))</f>
        <v>0.83</v>
      </c>
      <c r="ED163">
        <f>IF(AD163="","",IFERROR(VLOOKUP(EC163,Автомат_номиналы,2,TRUE),""))</f>
        <v>6</v>
      </c>
      <c r="EE163">
        <f>IF(AD163="","",MAX(N(ED163),_xlfn.MAXIFS(Линии[_мин. по типу],Линии[_гр.],DY163,Линии[Щит],A163)))</f>
        <v>16</v>
      </c>
      <c r="EF163">
        <f>IF(AD163="","",_xlfn.MINIFS(Линии[_макс. автомат по кабелю],Линии[_гр.],DY163,Линии[Щит],A163))</f>
        <v>25</v>
      </c>
      <c r="EG163">
        <f>IF(AD163="","",MAX(1,_xlfn.MAXIFS(Линии[_фаз],Линии[_гр.],DY163,Линии[Щит],A163)))</f>
        <v>1</v>
      </c>
      <c r="EH163">
        <f>IF(AD163="","",IF(AND(AD163&lt;&gt;"авто",AD163&lt;&gt;"+"),IF(ISNUMBER(SEARCH("мА",AD163)),IFERROR(--TRIM(RIGHT(SUBSTITUTE(LEFT(AD163,SEARCH("мА",AD163)-1)," ",REPT(" ",9)),6)),30),0),IF(AE163="нет",0,IF(ISNUMBER(AE163),AE163,IF(AE163="да",30,_xlfn.MINIFS(Линии[_дифзащита по коду, мА],Линии[_гр.],DY163,Линии[Щит],A163,Линии[_дифзащита по коду, мА],"&gt;0"))))))</f>
        <v>30</v>
      </c>
      <c r="EI163">
        <f t="shared" si="219"/>
        <v>1</v>
      </c>
      <c r="EJ163" t="str">
        <f t="shared" si="220"/>
        <v>QFD9</v>
      </c>
      <c r="EK163" t="str">
        <f t="shared" si="221"/>
        <v>QFD9</v>
      </c>
      <c r="EL163" t="str">
        <f t="shared" si="222"/>
        <v/>
      </c>
      <c r="EM163">
        <f t="shared" si="223"/>
        <v>0</v>
      </c>
      <c r="EN163">
        <f>IF(AD163="","",IF(EM163=1,MAX(EE163,Мин_автомат_БП),EE163))</f>
        <v>16</v>
      </c>
      <c r="EO163" t="str">
        <f t="shared" si="224"/>
        <v>2P</v>
      </c>
      <c r="EP163" t="str">
        <f t="shared" si="225"/>
        <v>2P С16А 30мА</v>
      </c>
      <c r="EQ163">
        <f t="shared" si="226"/>
        <v>16</v>
      </c>
      <c r="ER163" t="str">
        <f>IF(OR(AI163="",AI163="-"),"",IFERROR(VLOOKUP(AI163,Модули_спр,2,FALSE),"R"))</f>
        <v/>
      </c>
      <c r="ES163" t="str">
        <f>IF(ER163="","",ER163&amp;"."&amp;COUNTIFS(A$3:A163,A163,ER$3:ER163,ER163))</f>
        <v/>
      </c>
      <c r="ET163" t="str">
        <f t="shared" si="227"/>
        <v/>
      </c>
      <c r="EU163" t="str">
        <f t="shared" si="228"/>
        <v/>
      </c>
      <c r="EV163" t="str">
        <f t="shared" si="229"/>
        <v/>
      </c>
      <c r="EW163" t="str">
        <f t="shared" si="230"/>
        <v/>
      </c>
      <c r="EX163">
        <f t="shared" si="231"/>
        <v>1</v>
      </c>
      <c r="EY163" t="str">
        <f>IF(AK163="нет","",IF(AK163&lt;&gt;"",AK163,IF(EX163=1,"XT"&amp;COUNTIFS(A$3:A163,A163,EX$3:EX163,1),"")))</f>
        <v>XT9</v>
      </c>
      <c r="EZ163" t="str">
        <f t="shared" si="232"/>
        <v>QFD9</v>
      </c>
      <c r="FA163" t="str">
        <f t="shared" si="233"/>
        <v/>
      </c>
      <c r="FB163" t="str">
        <f t="shared" si="234"/>
        <v>ok</v>
      </c>
      <c r="FC163" t="str">
        <f>IF(OR(EV163="",ET163=""),"",IF(EV163&gt;IFERROR(VLOOKUP(EU163,Модули_спр,3,FALSE),99),"ЛИШНИЙ КАНАЛ",IF(AND(AJ163&lt;&gt;"=",COUNTIFS(Линии[_модуль гр.],ET163,Линии[Канал (итог)],EV163,Линии[Канал],"&lt;&gt;=",Линии[Щит],A163)&gt;1),"ДУБЛЬ КАНАЛА","")))</f>
        <v/>
      </c>
      <c r="FD163">
        <f t="shared" si="235"/>
        <v>16</v>
      </c>
      <c r="FE163" t="str">
        <f t="shared" si="236"/>
        <v>2P С16А 30мА</v>
      </c>
      <c r="FF163">
        <f t="shared" si="237"/>
        <v>1</v>
      </c>
      <c r="FG163">
        <f t="shared" si="238"/>
        <v>30</v>
      </c>
      <c r="FH163" t="str">
        <f t="shared" si="239"/>
        <v/>
      </c>
      <c r="FI163">
        <f t="shared" si="240"/>
        <v>10</v>
      </c>
      <c r="FJ163" t="str">
        <f t="shared" si="241"/>
        <v/>
      </c>
      <c r="FK163" t="str">
        <f>IF(AND(D163="",EZ163=""),"",_xlfn.TEXTJOIN("; ",TRUE,IF(AND(D163&lt;&gt;"",DD163=""),"нет фазы",""),IF(AND(D163&lt;&gt;"",N(DT163)=0,CN163&lt;&gt;"Нет"),"нет мощности",""),IF(AND(EY163&lt;&gt;"",COUNTIFS(Линии[Щит],A163,Линии[Клемма (итог)],EY163)&gt;1),"дубль клеммы "&amp;EY163,""),IF(AND(FB163&lt;&gt;"",FB163&lt;&gt;"ok"),FB163,""),IF(FC163&lt;&gt;"",FC163,""),IF(AND(ISNUMBER(SEARCH("(5х",DS163)),N(DV163)=1),"5 жил на 1 фазе",""),IF(AND(AT163="R",AD163&lt;&gt;"",OR(N(EH163)=0,N(EH163)&gt;30)),"розетка без дифзащиты до 30 мА",""),IFERROR(IF(AND(ISNUMBER(CD163),CD163&gt;CE163),"потери "&amp;FIXED(CD163,1)&amp;" % &gt; "&amp;CE163&amp;" %",""),""),IFERROR(IF(LEFT(FJ163,4)="мало","Iкз мало — отключение &gt; 0,4 с",""),""),IF(AND(D163&lt;&gt;"",BD163=""),"не на схеме","")))</f>
        <v/>
      </c>
      <c r="FL163">
        <f>IF(AD163="","",_xlfn.LET(_xlpm.t,IFERROR(_xlfn.XLOOKUP(EP163,Каталог!$U$4:$U$500,Каталог!$G$4:$G$500),""),_xlpm.k,SEARCH("кА",_xlpm.t),IFERROR(--TRIM(RIGHT(SUBSTITUTE(MID(_xlpm.t,MAX(1,_xlpm.k-4),_xlpm.k-MAX(1,_xlpm.k-4))," ",REPT(" ",9)),5)),"")))</f>
        <v>6</v>
      </c>
      <c r="FM163" t="str">
        <f>IF(OR(FL163="",AD163=""),"",IF(_xlfn.XLOOKUP(A163,Щиты[Щит],Щиты[Iкз max на шинах, кА],"")="","",IF(FL163&lt;_xlfn.XLOOKUP(A163,Щиты[Щит],Щиты[Iкз max на шинах, кА]),"Icu "&amp;FL163&amp;" кА &lt; Iкз max","ok")))</f>
        <v/>
      </c>
      <c r="FN163" t="str">
        <f t="shared" si="242"/>
        <v>QFD9|XT9</v>
      </c>
      <c r="FO163" t="str">
        <f t="shared" si="243"/>
        <v>QFD9|XT9|кабель ВВГнг(А)-LS (3х2,5) → Розеточная группа Подвальный этаж Пом. №005А</v>
      </c>
      <c r="FP163" t="str" cm="1">
        <f t="array" ref="FP163">IF(FO163="","",_xlfn.LET(_xlpm.nd,_xlfn.TEXTSPLIT(FO163,"|"),IF(COLUMNS(_xlpm.nd)&gt;1,A163&amp;"¦"&amp;INDEX(_xlpm.nd,1)&amp;"¦"&amp;INDEX(_xlpm.nd,2),"")))</f>
        <v>ЩР-001¦QFD9¦XT9</v>
      </c>
      <c r="FQ163" t="str">
        <f t="shared" si="244"/>
        <v>R.00.005А.1¦Розеточная группа Подвальный этаж Пом. №005А</v>
      </c>
      <c r="FR163" t="str" cm="1">
        <f t="array" ref="FR163">IF(FO163="","",_xlfn.LET(_xlpm.nd,_xlfn.TEXTSPLIT(FO163,"|"),IF(COLUMNS(_xlpm.nd)&gt;2,A163&amp;"¦"&amp;INDEX(_xlpm.nd,2)&amp;"¦"&amp;INDEX(_xlpm.nd,3),"")))</f>
        <v>ЩР-001¦XT9¦кабель ВВГнг(А)-LS (3х2,5) → Розеточная группа Подвальный этаж Пом. №005А</v>
      </c>
      <c r="FS163" t="str">
        <f t="shared" si="245"/>
        <v>R.00.005А.1¦Розеточная группа Подвальный этаж Пом. №005А</v>
      </c>
      <c r="FT163" t="str" cm="1">
        <f t="array" ref="FT163">IF(FO163="","",_xlfn.LET(_xlpm.nd,_xlfn.TEXTSPLIT(FO163,"|"),IF(COLUMNS(_xlpm.nd)&gt;3,A163&amp;"¦"&amp;INDEX(_xlpm.nd,3)&amp;"¦"&amp;INDEX(_xlpm.nd,4),"")))</f>
        <v/>
      </c>
      <c r="FU163" t="str">
        <f t="shared" si="246"/>
        <v/>
      </c>
      <c r="FV163" t="str" cm="1">
        <f t="array" ref="FV163">IF(FO163="","",_xlfn.LET(_xlpm.nd,_xlfn.TEXTSPLIT(FO163,"|"),IF(COLUMNS(_xlpm.nd)&gt;4,A163&amp;"¦"&amp;INDEX(_xlpm.nd,4)&amp;"¦"&amp;INDEX(_xlpm.nd,5),"")))</f>
        <v/>
      </c>
      <c r="FW163" t="str">
        <f t="shared" si="247"/>
        <v/>
      </c>
      <c r="FX163" t="str" cm="1">
        <f t="array" ref="FX163">IF(FO163="","",_xlfn.LET(_xlpm.nd,_xlfn.TEXTSPLIT(FO163,"|"),IF(COLUMNS(_xlpm.nd)&gt;5,A163&amp;"¦"&amp;INDEX(_xlpm.nd,5)&amp;"¦"&amp;INDEX(_xlpm.nd,6),"")))</f>
        <v/>
      </c>
      <c r="FY163" t="str">
        <f t="shared" si="248"/>
        <v/>
      </c>
      <c r="FZ163" t="str" cm="1">
        <f t="array" ref="FZ163">IF(FO163="","",_xlfn.LET(_xlpm.nd,_xlfn.TEXTSPLIT(FO163,"|"),IF(COLUMNS(_xlpm.nd)&gt;6,A163&amp;"¦"&amp;INDEX(_xlpm.nd,6)&amp;"¦"&amp;INDEX(_xlpm.nd,7),"")))</f>
        <v/>
      </c>
      <c r="GA163" t="str">
        <f t="shared" si="249"/>
        <v/>
      </c>
      <c r="GB163" t="str">
        <f t="shared" si="250"/>
        <v/>
      </c>
      <c r="GC163" t="str">
        <f t="shared" si="251"/>
        <v>QFD9 → XT9</v>
      </c>
      <c r="GD163">
        <f t="shared" si="252"/>
        <v>1</v>
      </c>
      <c r="GE163">
        <f t="shared" si="253"/>
        <v>0</v>
      </c>
      <c r="GF163">
        <f t="shared" si="254"/>
        <v>1</v>
      </c>
      <c r="GG163" t="str">
        <f t="shared" si="255"/>
        <v/>
      </c>
      <c r="GH163" t="str">
        <f t="shared" si="256"/>
        <v/>
      </c>
      <c r="GI163" t="str">
        <f t="shared" si="257"/>
        <v/>
      </c>
      <c r="GJ163" t="str">
        <f t="shared" si="258"/>
        <v/>
      </c>
      <c r="GK163" t="str">
        <f>IF(D163="","",IFERROR(VLOOKUP(D163,УГО_спр,2,FALSE),IFERROR(VLOOKUP(AT163,УГО_спр,2,FALSE),IFERROR(VLOOKUP(LEFT(AT163,2),УГО_спр,2,FALSE),""))))</f>
        <v>Розетка</v>
      </c>
      <c r="GL163" t="str">
        <f>IF(D163="","",IF(OR(GK163="",GK163=0),"BOX",IFERROR(IF(VLOOKUP(GK163,УГО_блоки,3,FALSE)&amp;""&lt;&gt;"",VLOOKUP(GK163,УГО_блоки,3,FALSE),VLOOKUP(GK163,УГО_блоки,2,FALSE)),GK163)))</f>
        <v>SOCKET</v>
      </c>
      <c r="GM163">
        <f t="shared" si="259"/>
        <v>1</v>
      </c>
      <c r="GN163" t="str">
        <f>IF(EP163="","",IF(COUNTIF(EP$3:EP163,EP163)=1,MAX(GN$2:GN162)+1,""))</f>
        <v/>
      </c>
      <c r="GO163" t="str">
        <f>IF(AF163="","",IF(COUNTIF(AF$3:AF163,AF163)+COUNTIF(AG$2:AG162,AF163)+COUNTIF(AH$2:AH162,AF163)=1,MAX(GO$2:GQ162)+1,""))</f>
        <v/>
      </c>
      <c r="GP163" t="str">
        <f>IF(AG163="","",IF(COUNTIF(AF$3:AF163,AG163)+COUNTIF(AG$3:AG163,AG163)+COUNTIF(AH$2:AH162,AG163)=1,MAX(GO$2:GQ162,GO163)+1,""))</f>
        <v/>
      </c>
      <c r="GQ163" t="str">
        <f>IF(AH163="","",IF(COUNTIF(AF$3:AF163,AH163)+COUNTIF(AG$3:AG163,AH163)+COUNTIF(AH$3:AH163,AH163)=1,MAX(GO$2:GQ162,GO163,GP163)+1,""))</f>
        <v/>
      </c>
      <c r="GR163" t="str">
        <f t="shared" si="260"/>
        <v>3х2,5</v>
      </c>
      <c r="GS163" t="str">
        <f>IF(GR163="","",IF(COUNTIF(GR$3:GR163,GR163)=1,MAX(GS$2:GS162)+1,""))</f>
        <v/>
      </c>
      <c r="GT163" t="str">
        <f>IF(ES163="","",COUNTIF(ES$3:ES163,"?*"))</f>
        <v/>
      </c>
      <c r="GU163" t="str">
        <f>IF(OR(ES163="",EU163=""),"",IF(COUNTIFS(ES$3:ES163,"?*",EU$3:EU163,EU163)=1,MAX(GU$2:GU162)+1,""))</f>
        <v/>
      </c>
      <c r="GV163">
        <f t="shared" si="261"/>
        <v>0</v>
      </c>
      <c r="GW163">
        <f>IF(D163="","",COUNTIF(D$3:D163,"?*"))</f>
        <v>161</v>
      </c>
      <c r="GX163">
        <f>IF(EX163&lt;&gt;1,0,_xlfn.LET(_xlpm.k,MAX(IFERROR(--VLOOKUP(D163,УГО_спр,5,FALSE),0),IFERROR(--VLOOKUP(AT163,УГО_спр,5,FALSE),0),IFERROR(--VLOOKUP(LEFT(AT163,2),УГО_спр,5,FALSE),0)),IF(_xlpm.k&gt;0,_xlpm.k,IF(IFERROR(--LEFT(SUBSTITUTE(GR163,"x","х"),FIND("х",SUBSTITUTE(GR163,"x","х"))-1),3)&gt;3,Каталог!$S$9,1))))</f>
        <v>1</v>
      </c>
      <c r="GY163">
        <f t="shared" si="262"/>
        <v>0</v>
      </c>
    </row>
    <row r="164" spans="1:207" x14ac:dyDescent="0.3">
      <c r="A164" t="s">
        <v>758</v>
      </c>
      <c r="B164">
        <v>19</v>
      </c>
      <c r="C164" t="str">
        <f>IF(BD164="","",IF(BE164="вводной узел","узел ","")&amp;"л."&amp;(INT((BD164-1)/Столбцов_на_лист)+1)&amp;" / "&amp;(MOD(BD164-1,Столбцов_на_лист)+1))</f>
        <v>л.2 / 2</v>
      </c>
      <c r="D164" t="s">
        <v>1468</v>
      </c>
      <c r="E164" s="133" t="str">
        <f t="shared" si="263"/>
        <v>Розеточная группа Подвальный этаж Пом. №004А</v>
      </c>
      <c r="G164">
        <v>0.36</v>
      </c>
      <c r="H164">
        <v>4</v>
      </c>
      <c r="I164">
        <v>1</v>
      </c>
      <c r="J164">
        <v>230</v>
      </c>
      <c r="K164" t="s">
        <v>566</v>
      </c>
      <c r="O164">
        <v>3</v>
      </c>
      <c r="P164">
        <v>62</v>
      </c>
      <c r="Q164">
        <v>35</v>
      </c>
      <c r="R164">
        <v>48</v>
      </c>
      <c r="S164">
        <v>0</v>
      </c>
      <c r="U164" t="s">
        <v>11</v>
      </c>
      <c r="V164">
        <v>3</v>
      </c>
      <c r="W164">
        <v>2.5</v>
      </c>
      <c r="X164">
        <v>16</v>
      </c>
      <c r="Z164" t="s">
        <v>565</v>
      </c>
      <c r="AA164" t="s">
        <v>818</v>
      </c>
      <c r="AD164" t="s">
        <v>517</v>
      </c>
      <c r="AK164" t="s">
        <v>488</v>
      </c>
      <c r="AR164" t="str">
        <f t="shared" si="176"/>
        <v/>
      </c>
      <c r="AS164" cm="1">
        <f t="array" ref="AS164">ROW()-ROW(Линии[#Headers])</f>
        <v>162</v>
      </c>
      <c r="AT164" t="str">
        <f t="shared" si="177"/>
        <v>R</v>
      </c>
      <c r="AU164" t="str">
        <f t="shared" si="178"/>
        <v>00.004А.1</v>
      </c>
      <c r="AV164" t="str">
        <f t="shared" si="179"/>
        <v>00</v>
      </c>
      <c r="AW164" t="str">
        <f t="shared" si="180"/>
        <v>004А.1</v>
      </c>
      <c r="AX164" t="str">
        <f t="shared" si="181"/>
        <v>004А</v>
      </c>
      <c r="AY164" t="str">
        <f>IF(D164="","",IF(ISERROR(SEARCH(".",D164)),IFERROR(VLOOKUP(D164,Потребители_обозначение,2,FALSE)&amp;"",""),IFERROR(IF(VLOOKUP(AT164,Потребители_обозначение,4,FALSE)=1,VLOOKUP(AT164,Потребители_обозначение,2,FALSE)&amp;" "&amp;VLOOKUP(AV164,Этаж_обозначение,2,FALSE)&amp;" Пом. №"&amp;AX164,VLOOKUP(AT164,Потребители_обозначение,2,FALSE)&amp;" Шлейф №"&amp;AV164),IFERROR(VLOOKUP(D164,Потребители_обозначение,2,FALSE),""))))</f>
        <v>Розеточная группа Подвальный этаж Пом. №004А</v>
      </c>
      <c r="AZ164" t="str">
        <f t="shared" si="182"/>
        <v>Розеточная группа Подвальный этаж Пом. №004А</v>
      </c>
      <c r="BA164" t="str">
        <f>IF(F164&lt;&gt;"",F164,IF(AND(D164&lt;&gt;"",D164&lt;&gt;A164,ISNUMBER(_xlfn.XMATCH(D164,Щиты[Щит]))),D164,""))</f>
        <v/>
      </c>
      <c r="BB164">
        <f>IFERROR(_xlfn.XMATCH(A164,Щиты[Щит]),0)</f>
        <v>8</v>
      </c>
      <c r="BC164">
        <f>IFERROR(N(_xlfn.XLOOKUP(A164,Щиты[Щит],Щиты[Мест под вводной узел])),15)</f>
        <v>7</v>
      </c>
      <c r="BD164">
        <f t="shared" si="183"/>
        <v>19</v>
      </c>
      <c r="BE164" t="str">
        <f t="shared" si="184"/>
        <v>линии</v>
      </c>
      <c r="BF164">
        <f>IF(D164="","",IF(BA164&lt;&gt;"",IFERROR(_xlfn.XLOOKUP(BA164,Щиты[Щит],Щиты[Руст, кВт]),0),N(G164)))</f>
        <v>0.36</v>
      </c>
      <c r="BG164">
        <f>IF(J164&lt;&gt;"",J164,IF(D164="","",IFERROR(IF(VLOOKUP(AT164,Потребители_обозначение,8,FALSE)=0,"",VLOOKUP(AT164,Потребители_обозначение,8,FALSE)),"")))</f>
        <v>230</v>
      </c>
      <c r="BH164">
        <f>IF(I164&lt;&gt;"",I164,IF(D164="","",IFERROR(IF(VLOOKUP(AT164,Потребители_обозначение,9,FALSE)=0,"",VLOOKUP(AT164,Потребители_обозначение,9,FALSE)),"")))</f>
        <v>1</v>
      </c>
      <c r="BI164" t="str">
        <f>IF(U164&lt;&gt;"",U164,IF(D164="","",IFERROR(IF(VLOOKUP(AT164,Потребители_обозначение,6,FALSE)=0,"",VLOOKUP(AT164,Потребители_обозначение,6,FALSE)),"")))</f>
        <v>мс</v>
      </c>
      <c r="BJ164">
        <f>IF(V164&lt;&gt;"",V164,IF(D164="","",IFERROR(IF(VLOOKUP(AT164,Потребители_обозначение,7,FALSE)=0,"",VLOOKUP(AT164,Потребители_обозначение,7,FALSE)),"")))</f>
        <v>3</v>
      </c>
      <c r="BK164">
        <f>IF(W164&lt;&gt;"",W164,IF(D164="","",IFERROR(IF(VLOOKUP(AT164,Потребители_обозначение,10,FALSE)=0,"",VLOOKUP(AT164,Потребители_обозначение,10,FALSE)),"")))</f>
        <v>2.5</v>
      </c>
      <c r="BL164">
        <f>IFERROR(VLOOKUP(AT164,Потребители_обозначение,5,FALSE),0)</f>
        <v>1</v>
      </c>
      <c r="BM164" cm="1">
        <f t="array" ref="BM164">IF(D164="","",IF(BA164&lt;&gt;"",IFERROR(_xlfn.XLOOKUP(BA164,Щиты[Щит],Щиты[cos φ]),0.95),IF(ISNUMBER(M164),M164,IFERROR(IF(BL164=2,_xlfn.IFS(BH164=3,VLOOKUP(BF164,Справочная_двигатели,8,FALSE),BH164=1,VLOOKUP(BF164,Справочная_двигатели,10,TRUE)),IF(AND(Методика="нормы 2026",CN164="Сил"),0.8,0.95)),0.95))))</f>
        <v>0.95</v>
      </c>
      <c r="BN164" cm="1">
        <f t="array" ref="BN164">IF(D164="","",IF(BA164&lt;&gt;"",IFERROR(_xlfn.XLOOKUP(BA164,Щиты[Щит],Щиты[Iр, А]),""),IFERROR(_xlfn.IFS(BH164=1,BF164/((Uн_лин/SQRT(3))*BM164),BH164=3,BF164/(SQRT(3)*Uн_лин*BM164)),"")))</f>
        <v>1.6408902387494626</v>
      </c>
      <c r="BO164">
        <f>IF(D164="","",IF(N(X164)=0,IFERROR(VLOOKUP(BN164,Автомат_номиналы,2,TRUE),""),X164))</f>
        <v>16</v>
      </c>
      <c r="BP164">
        <f t="shared" si="185"/>
        <v>1</v>
      </c>
      <c r="BQ164">
        <f>IF(ISNUMBER(Y164),Y164,К_прокл)</f>
        <v>1</v>
      </c>
      <c r="BR164">
        <f t="shared" si="186"/>
        <v>2</v>
      </c>
      <c r="BS164" cm="1">
        <f t="array" ref="BS164">IF(D164="","",IF(N(BK164)&lt;&gt;0,BK164,IFERROR(_xlfn.LET(_xlpm.need,BO164/(BP164*BQ164),_xlpm.t,CHOOSE(BR164,Iдоп_1ж,Iдоп_2ж,Iдоп_3ж),_xlpm.k,_xlfn.XMATCH(_xlpm.need,_xlpm.t,1),IF(ISNA(_xlpm.k),"Не исп",INDEX(Iдоп_S,_xlpm.k))),"Не исп")))</f>
        <v>2.5</v>
      </c>
      <c r="BT164">
        <f>IFERROR(VLOOKUP(BS164,Кабель_сопротивление,3,FALSE),"")</f>
        <v>2.2499999999999999E-2</v>
      </c>
      <c r="BU164">
        <f>IFERROR(VLOOKUP(BS164,Кабель_сопротивление,2,FALSE),"")</f>
        <v>0.1</v>
      </c>
      <c r="BV164">
        <f t="shared" si="187"/>
        <v>62</v>
      </c>
      <c r="BW164">
        <f>IF(D164="","",IFERROR(IF(VLOOKUP(AT164,Потребители_обозначение,4,FALSE)=1,VLOOKUP(AT164,Потребители_обозначение,3,FALSE)*(H164*2-1)+BV164+VLOOKUP(AV164,Этаж_обозначение,3,FALSE)+VLOOKUP(AV164,Этаж_обозначение,4,FALSE),VLOOKUP(AT164,Потребители_обозначение,3,FALSE)*(H164*2-1)+BV164),BV164))</f>
        <v>83</v>
      </c>
      <c r="BX164">
        <f t="shared" si="188"/>
        <v>48</v>
      </c>
      <c r="BY164">
        <f t="shared" si="189"/>
        <v>0</v>
      </c>
      <c r="BZ164">
        <f t="shared" si="190"/>
        <v>2</v>
      </c>
      <c r="CA164">
        <f t="shared" si="191"/>
        <v>0.31</v>
      </c>
      <c r="CB164">
        <f t="shared" si="192"/>
        <v>2.337359537025717</v>
      </c>
      <c r="CC164">
        <f>IFERROR(ROUNDUP(CB164/((Uн_лин/SQRT(3))*1000)*100,2),"")</f>
        <v>1.02</v>
      </c>
      <c r="CD164">
        <f>IF(ISNUMBER(CC164),CC164+IFERROR(_xlfn.XLOOKUP(A164,Щиты[Щит],Щиты[ΔU до шин, %]),0),"")</f>
        <v>2.59</v>
      </c>
      <c r="CE164">
        <f>IF(D164="","",IF(IFERROR(VLOOKUP(AT164,УГО_спр,2,FALSE),"")="Светильник",3,4)+IF(Методика="нормы 2026",MIN(0.5,MAX(0,N(BW164)-100)*0.005),0))</f>
        <v>4</v>
      </c>
      <c r="CF164" t="str">
        <f>IFERROR(VLOOKUP(BI164,Кабель_обозначение,2,FALSE),"")</f>
        <v>ВВГнг(А)-LS</v>
      </c>
      <c r="CG164" t="str">
        <f>IFERROR(IF(VLOOKUP(BI164,Кабель_обозначение,3,FALSE)=1,CF164&amp;" ("&amp;BJ164&amp;"х"&amp;BS164&amp;")",CF164),"")</f>
        <v>ВВГнг(А)-LS (3х2,5)</v>
      </c>
      <c r="CH164" t="str">
        <f t="shared" si="193"/>
        <v>ВВГнг(А)-LS (3х2,5)
L=83-1,02%</v>
      </c>
      <c r="CI164">
        <f>IFERROR(2*ρкз_Cu*BW164/BS164,"")</f>
        <v>1.7463200000000001</v>
      </c>
      <c r="CJ164">
        <f t="shared" si="194"/>
        <v>0.58100000000000007</v>
      </c>
      <c r="CK164" t="str">
        <f>IFERROR(IF(OR(D164="",NOT(ISNUMBER(BS164)),N(BW164)=0),"",_xlfn.XLOOKUP(A164,Щиты[Щит],Щиты[Zпетли на шинах, Ом])+CI164),"")</f>
        <v/>
      </c>
      <c r="CL164" t="str">
        <f>IF(ISNUMBER(CK164),c_min*(Uн_лин*1000/SQRT(3))/CK164,"")</f>
        <v/>
      </c>
      <c r="CM164" t="str">
        <f>IFERROR(IF(OR(D164="",NOT(ISNUMBER(BS164))),"",1.05*(Uн_лин*1000/SQRT(3))/(_xlfn.XLOOKUP(A164,Щиты[Щит],Щиты[Zmax на шинах, Ом])+CJ164)/1000),"")</f>
        <v/>
      </c>
      <c r="CN164" t="str">
        <f>IF(D164="","",IF(BA164&lt;&gt;"","Щит",IF(K164&lt;&gt;"",K164,IF(ISNUMBER(L164),"Сил",IF(IFERROR(_xlfn.XLOOKUP(AT164,Коды_код,Коды_группа)&amp;"","")="","Быт",_xlfn.XLOOKUP(AT164,Коды_код,Коды_группа)&amp;"")))))</f>
        <v>Быт</v>
      </c>
      <c r="CO164">
        <f>IF(CN164="Щит","щит",IF(CN164="","",IF(CN164="Быт",IFERROR(_xlfn.XLOOKUP(A164,Щиты[Щит],Щиты[Кс быт]),1),IF(CN164="Сил",IF(ISNUMBER(L164),L164,IF(Методика="нормы 2026",IFERROR(_xlfn.XLOOKUP(A164,Щиты[Щит],Щиты[Кс силовых (табл. 7.5)]),1),1)),IF(OR(CN164="Пост",CN164="Отоп"),1,IF(CN164="ВНГ",0.7,0))))))</f>
        <v>0.8</v>
      </c>
      <c r="CP164">
        <f t="shared" si="195"/>
        <v>1</v>
      </c>
      <c r="CQ164">
        <f t="shared" si="196"/>
        <v>0.36</v>
      </c>
      <c r="CR164">
        <f t="shared" si="197"/>
        <v>0.36</v>
      </c>
      <c r="CS164">
        <f t="shared" si="198"/>
        <v>0</v>
      </c>
      <c r="CT164">
        <f t="shared" si="199"/>
        <v>0</v>
      </c>
      <c r="CU164">
        <f t="shared" si="200"/>
        <v>0</v>
      </c>
      <c r="CV164">
        <f t="shared" si="201"/>
        <v>0</v>
      </c>
      <c r="CW164">
        <f t="shared" si="202"/>
        <v>0.36</v>
      </c>
      <c r="CX164">
        <f t="shared" si="203"/>
        <v>0.34199999999999997</v>
      </c>
      <c r="CY164">
        <f t="shared" si="204"/>
        <v>1</v>
      </c>
      <c r="CZ164" t="str">
        <f t="shared" si="205"/>
        <v>L1</v>
      </c>
      <c r="DA164" cm="1">
        <f t="array" ref="DA164">IFERROR(IF(BL164=2,_xlfn.IFS(BH164=3,VLOOKUP(BF164,Справочная_двигатели,3,FALSE),BH164=1,VLOOKUP(BF164,Справочная_двигатели,5,TRUE)),0),0)</f>
        <v>0</v>
      </c>
      <c r="DB164">
        <f>IFERROR(IF(BL164=3,VLOOKUP(BF164,Справочная_ЛЭД,2,TRUE),0),0)</f>
        <v>0</v>
      </c>
      <c r="DC164">
        <f t="shared" si="206"/>
        <v>0</v>
      </c>
      <c r="DD164" t="str">
        <f t="shared" si="207"/>
        <v>L3</v>
      </c>
      <c r="DE164" t="str" cm="1">
        <f t="array" ref="DE164">IF(D164="","",IFERROR(INDEX({"I особая","I","II","III"},MATCH(TRIM(AA164&amp;""),{"I особая","I","II","III"},0)),"III"))</f>
        <v>II</v>
      </c>
      <c r="DF164" t="str">
        <f>IF(D164="","",IF(TRIM(AB164&amp;"")&lt;&gt;"",IF(LOWER(TRIM(AB164&amp;""))="да","да","нет"),IF(IFERROR(_xlfn.XLOOKUP(AT164,Коды_код,Коды_пожарная),"")="да","да","нет")))</f>
        <v>нет</v>
      </c>
      <c r="DG164" t="str">
        <f t="shared" si="208"/>
        <v/>
      </c>
      <c r="DH164" t="str">
        <f t="shared" si="209"/>
        <v>основная</v>
      </c>
      <c r="DI164">
        <f t="shared" si="210"/>
        <v>1</v>
      </c>
      <c r="DJ164" t="str" cm="1">
        <f t="array" ref="DJ164">IF(D164="","",_xlfn.LET(_xlpm.t,IFERROR(_xlfn.XLOOKUP(1,(Шины[Шина]=DH164)*(((Шины[Щит]=A164)+(Шины[Щит]=""))&gt;0),Шины[Тип]),"")&amp;"",IF(_xlpm.t&lt;&gt;"",_xlpm.t,IF(ISNUMBER(SEARCH("ИБП",DH164)),"ИБП",IF(ISNUMBER(SEARCH("ДГУ",DH164)),"ДГУ","Ввод "&amp;DI164)))))</f>
        <v>Ввод 1</v>
      </c>
      <c r="DK164" t="str">
        <f t="shared" si="211"/>
        <v>Ввод 1</v>
      </c>
      <c r="DL164" t="str">
        <f>IF(D164="","",IF(OR(DJ164="ИБП",DJ164="ДГУ"),"I особая",IF(DJ164="Одиночная","III",_xlfn.XLOOKUP(A164,Щиты[Щит],Щиты[Категория шины «Ввод»],"III"))))</f>
        <v>II</v>
      </c>
      <c r="DM164">
        <f>IF(D164="",0,IFERROR(MATCH(DE164,{"III","II","I","I особая"},0),1))</f>
        <v>2</v>
      </c>
      <c r="DN164">
        <f t="shared" si="212"/>
        <v>2</v>
      </c>
      <c r="DO164" t="str">
        <f>IF(D164="","",IF(DM164&gt;IFERROR(MATCH(DL164,{"III","II","I","I особая"},0),1),"НЕ ОБЕСПЕЧЕНА","ОК"))</f>
        <v>ОК</v>
      </c>
      <c r="DP164" t="str">
        <f>IF(A164="","",_xlfn.XLOOKUP(A164,Щиты[Щит],Щиты[Путь],""))</f>
        <v>|ГРЩ-ЖД|ЩР-001|</v>
      </c>
      <c r="DQ164" t="str">
        <f>IF(D164="","",IF(Z164&lt;&gt;"",Z164,IF(IFERROR(_xlfn.XLOOKUP(AT164,Коды_код,Коды_вид)&amp;"","")="","Прочее",_xlfn.XLOOKUP(AT164,Коды_код,Коды_вид)&amp;"")))</f>
        <v>Розеточная сеть и бытовые приборы</v>
      </c>
      <c r="DR164">
        <f>IF(BD164="","",INT((BD164-1)/Столбцов_на_лист)+1)</f>
        <v>2</v>
      </c>
      <c r="DS164" t="str">
        <f t="shared" si="213"/>
        <v>ВВГнг(А)-LS (3х2,5) L=83-1,02%</v>
      </c>
      <c r="DT164">
        <f t="shared" si="214"/>
        <v>0.36</v>
      </c>
      <c r="DU164">
        <f t="shared" si="215"/>
        <v>1.65</v>
      </c>
      <c r="DV164">
        <f t="shared" si="216"/>
        <v>1</v>
      </c>
      <c r="DW164">
        <f>IF(AT164="",0,_xlfn.LET(_xlpm.v,IFERROR(VLOOKUP(D164,УГО_спр,3,FALSE),IFERROR(VLOOKUP(AT164,УГО_спр,3,FALSE),IFERROR(VLOOKUP(LEFT(AT164,2),УГО_спр,3,FALSE),""))),IF(_xlpm.v="да",30,IF(ISNUMBER(_xlpm.v),_xlpm.v,0))))</f>
        <v>30</v>
      </c>
      <c r="DX164">
        <f t="shared" si="217"/>
        <v>0</v>
      </c>
      <c r="DY164">
        <f>IF(BD164="","",IF(AD164&lt;&gt;"",COUNTIFS(A$3:A164,A164,AD$3:AD164,"?*"),IF(OR(OR(AS164=1,A164&lt;&gt;A163),AL164="вручную"),"",IF(AS164=1,"",DZ163))))</f>
        <v>10</v>
      </c>
      <c r="DZ164">
        <f t="shared" si="218"/>
        <v>10</v>
      </c>
      <c r="EA164">
        <f>IF(D164="",0,MAX(IFERROR(--X164,0),IFERROR(--VLOOKUP(D164,УГО_спр,4,FALSE),IFERROR(--VLOOKUP(AT164,УГО_спр,4,FALSE),IFERROR(--VLOOKUP(LEFT(AT164,2),УГО_спр,4,FALSE),0)))))</f>
        <v>16</v>
      </c>
      <c r="EB164">
        <f>IF(D164="","",IFERROR(LOOKUP(INDEX(CHOOSE(BR164,Iдоп_1ж,Iдоп_2ж,Iдоп_3ж),MATCH(BS164,Iдоп_S,0))*BP164*BQ164,{6,10,16,20,25,32,40,50,63,80,100,125,160,200,250,315,400,500,630}),""))</f>
        <v>25</v>
      </c>
      <c r="EC164">
        <f>IF(AD164="","",SUMIFS(Линии[_Ток схемы],Линии[_гр.],DY164,Линии[Щит],A164,Линии[_в кабель выше],0))</f>
        <v>1.65</v>
      </c>
      <c r="ED164">
        <f>IF(AD164="","",IFERROR(VLOOKUP(EC164,Автомат_номиналы,2,TRUE),""))</f>
        <v>6</v>
      </c>
      <c r="EE164">
        <f>IF(AD164="","",MAX(N(ED164),_xlfn.MAXIFS(Линии[_мин. по типу],Линии[_гр.],DY164,Линии[Щит],A164)))</f>
        <v>16</v>
      </c>
      <c r="EF164">
        <f>IF(AD164="","",_xlfn.MINIFS(Линии[_макс. автомат по кабелю],Линии[_гр.],DY164,Линии[Щит],A164))</f>
        <v>25</v>
      </c>
      <c r="EG164">
        <f>IF(AD164="","",MAX(1,_xlfn.MAXIFS(Линии[_фаз],Линии[_гр.],DY164,Линии[Щит],A164)))</f>
        <v>1</v>
      </c>
      <c r="EH164">
        <f>IF(AD164="","",IF(AND(AD164&lt;&gt;"авто",AD164&lt;&gt;"+"),IF(ISNUMBER(SEARCH("мА",AD164)),IFERROR(--TRIM(RIGHT(SUBSTITUTE(LEFT(AD164,SEARCH("мА",AD164)-1)," ",REPT(" ",9)),6)),30),0),IF(AE164="нет",0,IF(ISNUMBER(AE164),AE164,IF(AE164="да",30,_xlfn.MINIFS(Линии[_дифзащита по коду, мА],Линии[_гр.],DY164,Линии[Щит],A164,Линии[_дифзащита по коду, мА],"&gt;0"))))))</f>
        <v>30</v>
      </c>
      <c r="EI164">
        <f t="shared" si="219"/>
        <v>1</v>
      </c>
      <c r="EJ164" t="str">
        <f t="shared" si="220"/>
        <v>QFD10</v>
      </c>
      <c r="EK164" t="str">
        <f t="shared" si="221"/>
        <v>QFD10</v>
      </c>
      <c r="EL164" t="str">
        <f t="shared" si="222"/>
        <v/>
      </c>
      <c r="EM164">
        <f t="shared" si="223"/>
        <v>0</v>
      </c>
      <c r="EN164">
        <f>IF(AD164="","",IF(EM164=1,MAX(EE164,Мин_автомат_БП),EE164))</f>
        <v>16</v>
      </c>
      <c r="EO164" t="str">
        <f t="shared" si="224"/>
        <v>2P</v>
      </c>
      <c r="EP164" t="str">
        <f t="shared" si="225"/>
        <v>2P С16А 30мА</v>
      </c>
      <c r="EQ164">
        <f t="shared" si="226"/>
        <v>16</v>
      </c>
      <c r="ER164" t="str">
        <f>IF(OR(AI164="",AI164="-"),"",IFERROR(VLOOKUP(AI164,Модули_спр,2,FALSE),"R"))</f>
        <v/>
      </c>
      <c r="ES164" t="str">
        <f>IF(ER164="","",ER164&amp;"."&amp;COUNTIFS(A$3:A164,A164,ER$3:ER164,ER164))</f>
        <v/>
      </c>
      <c r="ET164" t="str">
        <f t="shared" si="227"/>
        <v/>
      </c>
      <c r="EU164" t="str">
        <f t="shared" si="228"/>
        <v/>
      </c>
      <c r="EV164" t="str">
        <f t="shared" si="229"/>
        <v/>
      </c>
      <c r="EW164" t="str">
        <f t="shared" si="230"/>
        <v/>
      </c>
      <c r="EX164">
        <f t="shared" si="231"/>
        <v>1</v>
      </c>
      <c r="EY164" t="str">
        <f>IF(AK164="нет","",IF(AK164&lt;&gt;"",AK164,IF(EX164=1,"XT"&amp;COUNTIFS(A$3:A164,A164,EX$3:EX164,1),"")))</f>
        <v/>
      </c>
      <c r="EZ164" t="str">
        <f t="shared" si="232"/>
        <v>QFD10</v>
      </c>
      <c r="FA164" t="str">
        <f t="shared" si="233"/>
        <v/>
      </c>
      <c r="FB164" t="str">
        <f t="shared" si="234"/>
        <v>ok</v>
      </c>
      <c r="FC164" t="str">
        <f>IF(OR(EV164="",ET164=""),"",IF(EV164&gt;IFERROR(VLOOKUP(EU164,Модули_спр,3,FALSE),99),"ЛИШНИЙ КАНАЛ",IF(AND(AJ164&lt;&gt;"=",COUNTIFS(Линии[_модуль гр.],ET164,Линии[Канал (итог)],EV164,Линии[Канал],"&lt;&gt;=",Линии[Щит],A164)&gt;1),"ДУБЛЬ КАНАЛА","")))</f>
        <v/>
      </c>
      <c r="FD164">
        <f t="shared" si="235"/>
        <v>16</v>
      </c>
      <c r="FE164" t="str">
        <f t="shared" si="236"/>
        <v>2P С16А 30мА</v>
      </c>
      <c r="FF164">
        <f t="shared" si="237"/>
        <v>1</v>
      </c>
      <c r="FG164">
        <f t="shared" si="238"/>
        <v>30</v>
      </c>
      <c r="FH164" t="str">
        <f t="shared" si="239"/>
        <v/>
      </c>
      <c r="FI164">
        <f t="shared" si="240"/>
        <v>10</v>
      </c>
      <c r="FJ164" t="str">
        <f t="shared" si="241"/>
        <v/>
      </c>
      <c r="FK164" t="str">
        <f>IF(AND(D164="",EZ164=""),"",_xlfn.TEXTJOIN("; ",TRUE,IF(AND(D164&lt;&gt;"",DD164=""),"нет фазы",""),IF(AND(D164&lt;&gt;"",N(DT164)=0,CN164&lt;&gt;"Нет"),"нет мощности",""),IF(AND(EY164&lt;&gt;"",COUNTIFS(Линии[Щит],A164,Линии[Клемма (итог)],EY164)&gt;1),"дубль клеммы "&amp;EY164,""),IF(AND(FB164&lt;&gt;"",FB164&lt;&gt;"ok"),FB164,""),IF(FC164&lt;&gt;"",FC164,""),IF(AND(ISNUMBER(SEARCH("(5х",DS164)),N(DV164)=1),"5 жил на 1 фазе",""),IF(AND(AT164="R",AD164&lt;&gt;"",OR(N(EH164)=0,N(EH164)&gt;30)),"розетка без дифзащиты до 30 мА",""),IFERROR(IF(AND(ISNUMBER(CD164),CD164&gt;CE164),"потери "&amp;FIXED(CD164,1)&amp;" % &gt; "&amp;CE164&amp;" %",""),""),IFERROR(IF(LEFT(FJ164,4)="мало","Iкз мало — отключение &gt; 0,4 с",""),""),IF(AND(D164&lt;&gt;"",BD164=""),"не на схеме","")))</f>
        <v/>
      </c>
      <c r="FL164">
        <f>IF(AD164="","",_xlfn.LET(_xlpm.t,IFERROR(_xlfn.XLOOKUP(EP164,Каталог!$U$4:$U$500,Каталог!$G$4:$G$500),""),_xlpm.k,SEARCH("кА",_xlpm.t),IFERROR(--TRIM(RIGHT(SUBSTITUTE(MID(_xlpm.t,MAX(1,_xlpm.k-4),_xlpm.k-MAX(1,_xlpm.k-4))," ",REPT(" ",9)),5)),"")))</f>
        <v>6</v>
      </c>
      <c r="FM164" t="str">
        <f>IF(OR(FL164="",AD164=""),"",IF(_xlfn.XLOOKUP(A164,Щиты[Щит],Щиты[Iкз max на шинах, кА],"")="","",IF(FL164&lt;_xlfn.XLOOKUP(A164,Щиты[Щит],Щиты[Iкз max на шинах, кА]),"Icu "&amp;FL164&amp;" кА &lt; Iкз max","ok")))</f>
        <v/>
      </c>
      <c r="FN164" t="str">
        <f t="shared" si="242"/>
        <v>QFD10</v>
      </c>
      <c r="FO164" t="str">
        <f t="shared" si="243"/>
        <v>QFD10|кабель ВВГнг(А)-LS (3х2,5) → Розеточная группа Подвальный этаж Пом. №004А</v>
      </c>
      <c r="FP164" t="str" cm="1">
        <f t="array" ref="FP164">IF(FO164="","",_xlfn.LET(_xlpm.nd,_xlfn.TEXTSPLIT(FO164,"|"),IF(COLUMNS(_xlpm.nd)&gt;1,A164&amp;"¦"&amp;INDEX(_xlpm.nd,1)&amp;"¦"&amp;INDEX(_xlpm.nd,2),"")))</f>
        <v>ЩР-001¦QFD10¦кабель ВВГнг(А)-LS (3х2,5) → Розеточная группа Подвальный этаж Пом. №004А</v>
      </c>
      <c r="FQ164" t="str">
        <f t="shared" si="244"/>
        <v>R.00.004А.1¦Розеточная группа Подвальный этаж Пом. №004А</v>
      </c>
      <c r="FR164" t="str" cm="1">
        <f t="array" ref="FR164">IF(FO164="","",_xlfn.LET(_xlpm.nd,_xlfn.TEXTSPLIT(FO164,"|"),IF(COLUMNS(_xlpm.nd)&gt;2,A164&amp;"¦"&amp;INDEX(_xlpm.nd,2)&amp;"¦"&amp;INDEX(_xlpm.nd,3),"")))</f>
        <v/>
      </c>
      <c r="FS164" t="str">
        <f t="shared" si="245"/>
        <v/>
      </c>
      <c r="FT164" t="str" cm="1">
        <f t="array" ref="FT164">IF(FO164="","",_xlfn.LET(_xlpm.nd,_xlfn.TEXTSPLIT(FO164,"|"),IF(COLUMNS(_xlpm.nd)&gt;3,A164&amp;"¦"&amp;INDEX(_xlpm.nd,3)&amp;"¦"&amp;INDEX(_xlpm.nd,4),"")))</f>
        <v/>
      </c>
      <c r="FU164" t="str">
        <f t="shared" si="246"/>
        <v/>
      </c>
      <c r="FV164" t="str" cm="1">
        <f t="array" ref="FV164">IF(FO164="","",_xlfn.LET(_xlpm.nd,_xlfn.TEXTSPLIT(FO164,"|"),IF(COLUMNS(_xlpm.nd)&gt;4,A164&amp;"¦"&amp;INDEX(_xlpm.nd,4)&amp;"¦"&amp;INDEX(_xlpm.nd,5),"")))</f>
        <v/>
      </c>
      <c r="FW164" t="str">
        <f t="shared" si="247"/>
        <v/>
      </c>
      <c r="FX164" t="str" cm="1">
        <f t="array" ref="FX164">IF(FO164="","",_xlfn.LET(_xlpm.nd,_xlfn.TEXTSPLIT(FO164,"|"),IF(COLUMNS(_xlpm.nd)&gt;5,A164&amp;"¦"&amp;INDEX(_xlpm.nd,5)&amp;"¦"&amp;INDEX(_xlpm.nd,6),"")))</f>
        <v/>
      </c>
      <c r="FY164" t="str">
        <f t="shared" si="248"/>
        <v/>
      </c>
      <c r="FZ164" t="str" cm="1">
        <f t="array" ref="FZ164">IF(FO164="","",_xlfn.LET(_xlpm.nd,_xlfn.TEXTSPLIT(FO164,"|"),IF(COLUMNS(_xlpm.nd)&gt;6,A164&amp;"¦"&amp;INDEX(_xlpm.nd,6)&amp;"¦"&amp;INDEX(_xlpm.nd,7),"")))</f>
        <v/>
      </c>
      <c r="GA164" t="str">
        <f t="shared" si="249"/>
        <v/>
      </c>
      <c r="GB164" t="str">
        <f t="shared" si="250"/>
        <v/>
      </c>
      <c r="GC164" t="str">
        <f t="shared" si="251"/>
        <v>QFD10</v>
      </c>
      <c r="GD164">
        <f t="shared" si="252"/>
        <v>1</v>
      </c>
      <c r="GE164">
        <f t="shared" si="253"/>
        <v>0</v>
      </c>
      <c r="GF164">
        <f t="shared" si="254"/>
        <v>1</v>
      </c>
      <c r="GG164" t="str">
        <f t="shared" si="255"/>
        <v/>
      </c>
      <c r="GH164" t="str">
        <f t="shared" si="256"/>
        <v/>
      </c>
      <c r="GI164" t="str">
        <f t="shared" si="257"/>
        <v/>
      </c>
      <c r="GJ164" t="str">
        <f t="shared" si="258"/>
        <v/>
      </c>
      <c r="GK164" t="str">
        <f>IF(D164="","",IFERROR(VLOOKUP(D164,УГО_спр,2,FALSE),IFERROR(VLOOKUP(AT164,УГО_спр,2,FALSE),IFERROR(VLOOKUP(LEFT(AT164,2),УГО_спр,2,FALSE),""))))</f>
        <v>Розетка</v>
      </c>
      <c r="GL164" t="str">
        <f>IF(D164="","",IF(OR(GK164="",GK164=0),"BOX",IFERROR(IF(VLOOKUP(GK164,УГО_блоки,3,FALSE)&amp;""&lt;&gt;"",VLOOKUP(GK164,УГО_блоки,3,FALSE),VLOOKUP(GK164,УГО_блоки,2,FALSE)),GK164)))</f>
        <v>SOCKET</v>
      </c>
      <c r="GM164">
        <f t="shared" si="259"/>
        <v>1</v>
      </c>
      <c r="GN164" t="str">
        <f>IF(EP164="","",IF(COUNTIF(EP$3:EP164,EP164)=1,MAX(GN$2:GN163)+1,""))</f>
        <v/>
      </c>
      <c r="GO164" t="str">
        <f>IF(AF164="","",IF(COUNTIF(AF$3:AF164,AF164)+COUNTIF(AG$2:AG163,AF164)+COUNTIF(AH$2:AH163,AF164)=1,MAX(GO$2:GQ163)+1,""))</f>
        <v/>
      </c>
      <c r="GP164" t="str">
        <f>IF(AG164="","",IF(COUNTIF(AF$3:AF164,AG164)+COUNTIF(AG$3:AG164,AG164)+COUNTIF(AH$2:AH163,AG164)=1,MAX(GO$2:GQ163,GO164)+1,""))</f>
        <v/>
      </c>
      <c r="GQ164" t="str">
        <f>IF(AH164="","",IF(COUNTIF(AF$3:AF164,AH164)+COUNTIF(AG$3:AG164,AH164)+COUNTIF(AH$3:AH164,AH164)=1,MAX(GO$2:GQ163,GO164,GP164)+1,""))</f>
        <v/>
      </c>
      <c r="GR164" t="str">
        <f t="shared" si="260"/>
        <v>3х2,5</v>
      </c>
      <c r="GS164" t="str">
        <f>IF(GR164="","",IF(COUNTIF(GR$3:GR164,GR164)=1,MAX(GS$2:GS163)+1,""))</f>
        <v/>
      </c>
      <c r="GT164" t="str">
        <f>IF(ES164="","",COUNTIF(ES$3:ES164,"?*"))</f>
        <v/>
      </c>
      <c r="GU164" t="str">
        <f>IF(OR(ES164="",EU164=""),"",IF(COUNTIFS(ES$3:ES164,"?*",EU$3:EU164,EU164)=1,MAX(GU$2:GU163)+1,""))</f>
        <v/>
      </c>
      <c r="GV164">
        <f t="shared" si="261"/>
        <v>0</v>
      </c>
      <c r="GW164">
        <f>IF(D164="","",COUNTIF(D$3:D164,"?*"))</f>
        <v>162</v>
      </c>
      <c r="GX164">
        <f>IF(EX164&lt;&gt;1,0,_xlfn.LET(_xlpm.k,MAX(IFERROR(--VLOOKUP(D164,УГО_спр,5,FALSE),0),IFERROR(--VLOOKUP(AT164,УГО_спр,5,FALSE),0),IFERROR(--VLOOKUP(LEFT(AT164,2),УГО_спр,5,FALSE),0)),IF(_xlpm.k&gt;0,_xlpm.k,IF(IFERROR(--LEFT(SUBSTITUTE(GR164,"x","х"),FIND("х",SUBSTITUTE(GR164,"x","х"))-1),3)&gt;3,Каталог!$S$9,1))))</f>
        <v>1</v>
      </c>
      <c r="GY164">
        <f t="shared" si="262"/>
        <v>0</v>
      </c>
    </row>
    <row r="165" spans="1:207" x14ac:dyDescent="0.3">
      <c r="A165" t="s">
        <v>758</v>
      </c>
      <c r="B165">
        <v>20</v>
      </c>
      <c r="C165" t="str">
        <f>IF(BD165="","",IF(BE165="вводной узел","узел ","")&amp;"л."&amp;(INT((BD165-1)/Столбцов_на_лист)+1)&amp;" / "&amp;(MOD(BD165-1,Столбцов_на_лист)+1))</f>
        <v>л.2 / 3</v>
      </c>
      <c r="D165" t="s">
        <v>1469</v>
      </c>
      <c r="E165" s="133" t="str">
        <f t="shared" si="263"/>
        <v>Розеточная группа Подвальный этаж Пом. №001А</v>
      </c>
      <c r="G165">
        <v>0.12</v>
      </c>
      <c r="H165">
        <v>1</v>
      </c>
      <c r="I165">
        <v>1</v>
      </c>
      <c r="J165">
        <v>230</v>
      </c>
      <c r="K165" t="s">
        <v>566</v>
      </c>
      <c r="O165">
        <v>1</v>
      </c>
      <c r="P165">
        <v>35</v>
      </c>
      <c r="Q165">
        <v>29</v>
      </c>
      <c r="R165">
        <v>9</v>
      </c>
      <c r="U165" t="s">
        <v>11</v>
      </c>
      <c r="V165">
        <v>3</v>
      </c>
      <c r="W165">
        <v>2.5</v>
      </c>
      <c r="X165">
        <v>16</v>
      </c>
      <c r="Z165" t="s">
        <v>565</v>
      </c>
      <c r="AA165" t="s">
        <v>818</v>
      </c>
      <c r="AD165" t="s">
        <v>517</v>
      </c>
      <c r="AR165" t="str">
        <f t="shared" si="176"/>
        <v/>
      </c>
      <c r="AS165" cm="1">
        <f t="array" ref="AS165">ROW()-ROW(Линии[#Headers])</f>
        <v>163</v>
      </c>
      <c r="AT165" t="str">
        <f t="shared" si="177"/>
        <v>R</v>
      </c>
      <c r="AU165" t="str">
        <f t="shared" si="178"/>
        <v>00.001А.2</v>
      </c>
      <c r="AV165" t="str">
        <f t="shared" si="179"/>
        <v>00</v>
      </c>
      <c r="AW165" t="str">
        <f t="shared" si="180"/>
        <v>001А.2</v>
      </c>
      <c r="AX165" t="str">
        <f t="shared" si="181"/>
        <v>001А</v>
      </c>
      <c r="AY165" t="str">
        <f>IF(D165="","",IF(ISERROR(SEARCH(".",D165)),IFERROR(VLOOKUP(D165,Потребители_обозначение,2,FALSE)&amp;"",""),IFERROR(IF(VLOOKUP(AT165,Потребители_обозначение,4,FALSE)=1,VLOOKUP(AT165,Потребители_обозначение,2,FALSE)&amp;" "&amp;VLOOKUP(AV165,Этаж_обозначение,2,FALSE)&amp;" Пом. №"&amp;AX165,VLOOKUP(AT165,Потребители_обозначение,2,FALSE)&amp;" Шлейф №"&amp;AV165),IFERROR(VLOOKUP(D165,Потребители_обозначение,2,FALSE),""))))</f>
        <v>Розеточная группа Подвальный этаж Пом. №001А</v>
      </c>
      <c r="AZ165" t="str">
        <f t="shared" si="182"/>
        <v>Розеточная группа Подвальный этаж Пом. №001А</v>
      </c>
      <c r="BA165" t="str">
        <f>IF(F165&lt;&gt;"",F165,IF(AND(D165&lt;&gt;"",D165&lt;&gt;A165,ISNUMBER(_xlfn.XMATCH(D165,Щиты[Щит]))),D165,""))</f>
        <v/>
      </c>
      <c r="BB165">
        <f>IFERROR(_xlfn.XMATCH(A165,Щиты[Щит]),0)</f>
        <v>8</v>
      </c>
      <c r="BC165">
        <f>IFERROR(N(_xlfn.XLOOKUP(A165,Щиты[Щит],Щиты[Мест под вводной узел])),15)</f>
        <v>7</v>
      </c>
      <c r="BD165">
        <f t="shared" si="183"/>
        <v>20</v>
      </c>
      <c r="BE165" t="str">
        <f t="shared" si="184"/>
        <v>линии</v>
      </c>
      <c r="BF165">
        <f>IF(D165="","",IF(BA165&lt;&gt;"",IFERROR(_xlfn.XLOOKUP(BA165,Щиты[Щит],Щиты[Руст, кВт]),0),N(G165)))</f>
        <v>0.12</v>
      </c>
      <c r="BG165">
        <f>IF(J165&lt;&gt;"",J165,IF(D165="","",IFERROR(IF(VLOOKUP(AT165,Потребители_обозначение,8,FALSE)=0,"",VLOOKUP(AT165,Потребители_обозначение,8,FALSE)),"")))</f>
        <v>230</v>
      </c>
      <c r="BH165">
        <f>IF(I165&lt;&gt;"",I165,IF(D165="","",IFERROR(IF(VLOOKUP(AT165,Потребители_обозначение,9,FALSE)=0,"",VLOOKUP(AT165,Потребители_обозначение,9,FALSE)),"")))</f>
        <v>1</v>
      </c>
      <c r="BI165" t="str">
        <f>IF(U165&lt;&gt;"",U165,IF(D165="","",IFERROR(IF(VLOOKUP(AT165,Потребители_обозначение,6,FALSE)=0,"",VLOOKUP(AT165,Потребители_обозначение,6,FALSE)),"")))</f>
        <v>мс</v>
      </c>
      <c r="BJ165">
        <f>IF(V165&lt;&gt;"",V165,IF(D165="","",IFERROR(IF(VLOOKUP(AT165,Потребители_обозначение,7,FALSE)=0,"",VLOOKUP(AT165,Потребители_обозначение,7,FALSE)),"")))</f>
        <v>3</v>
      </c>
      <c r="BK165">
        <f>IF(W165&lt;&gt;"",W165,IF(D165="","",IFERROR(IF(VLOOKUP(AT165,Потребители_обозначение,10,FALSE)=0,"",VLOOKUP(AT165,Потребители_обозначение,10,FALSE)),"")))</f>
        <v>2.5</v>
      </c>
      <c r="BL165">
        <f>IFERROR(VLOOKUP(AT165,Потребители_обозначение,5,FALSE),0)</f>
        <v>1</v>
      </c>
      <c r="BM165" cm="1">
        <f t="array" ref="BM165">IF(D165="","",IF(BA165&lt;&gt;"",IFERROR(_xlfn.XLOOKUP(BA165,Щиты[Щит],Щиты[cos φ]),0.95),IF(ISNUMBER(M165),M165,IFERROR(IF(BL165=2,_xlfn.IFS(BH165=3,VLOOKUP(BF165,Справочная_двигатели,8,FALSE),BH165=1,VLOOKUP(BF165,Справочная_двигатели,10,TRUE)),IF(AND(Методика="нормы 2026",CN165="Сил"),0.8,0.95)),0.95))))</f>
        <v>0.95</v>
      </c>
      <c r="BN165" cm="1">
        <f t="array" ref="BN165">IF(D165="","",IF(BA165&lt;&gt;"",IFERROR(_xlfn.XLOOKUP(BA165,Щиты[Щит],Щиты[Iр, А]),""),IFERROR(_xlfn.IFS(BH165=1,BF165/((Uн_лин/SQRT(3))*BM165),BH165=3,BF165/(SQRT(3)*Uн_лин*BM165)),"")))</f>
        <v>0.54696341291648753</v>
      </c>
      <c r="BO165">
        <f>IF(D165="","",IF(N(X165)=0,IFERROR(VLOOKUP(BN165,Автомат_номиналы,2,TRUE),""),X165))</f>
        <v>16</v>
      </c>
      <c r="BP165">
        <f t="shared" si="185"/>
        <v>1</v>
      </c>
      <c r="BQ165">
        <f>IF(ISNUMBER(Y165),Y165,К_прокл)</f>
        <v>1</v>
      </c>
      <c r="BR165">
        <f t="shared" si="186"/>
        <v>2</v>
      </c>
      <c r="BS165" cm="1">
        <f t="array" ref="BS165">IF(D165="","",IF(N(BK165)&lt;&gt;0,BK165,IFERROR(_xlfn.LET(_xlpm.need,BO165/(BP165*BQ165),_xlpm.t,CHOOSE(BR165,Iдоп_1ж,Iдоп_2ж,Iдоп_3ж),_xlpm.k,_xlfn.XMATCH(_xlpm.need,_xlpm.t,1),IF(ISNA(_xlpm.k),"Не исп",INDEX(Iдоп_S,_xlpm.k))),"Не исп")))</f>
        <v>2.5</v>
      </c>
      <c r="BT165">
        <f>IFERROR(VLOOKUP(BS165,Кабель_сопротивление,3,FALSE),"")</f>
        <v>2.2499999999999999E-2</v>
      </c>
      <c r="BU165">
        <f>IFERROR(VLOOKUP(BS165,Кабель_сопротивление,2,FALSE),"")</f>
        <v>0.1</v>
      </c>
      <c r="BV165">
        <f t="shared" si="187"/>
        <v>35</v>
      </c>
      <c r="BW165">
        <f>IF(D165="","",IFERROR(IF(VLOOKUP(AT165,Потребители_обозначение,4,FALSE)=1,VLOOKUP(AT165,Потребители_обозначение,3,FALSE)*(H165*2-1)+BV165+VLOOKUP(AV165,Этаж_обозначение,3,FALSE)+VLOOKUP(AV165,Этаж_обозначение,4,FALSE),VLOOKUP(AT165,Потребители_обозначение,3,FALSE)*(H165*2-1)+BV165),BV165))</f>
        <v>38</v>
      </c>
      <c r="BX165">
        <f t="shared" si="188"/>
        <v>9</v>
      </c>
      <c r="BY165" t="str">
        <f t="shared" si="189"/>
        <v/>
      </c>
      <c r="BZ165">
        <f t="shared" si="190"/>
        <v>2</v>
      </c>
      <c r="CA165">
        <f t="shared" si="191"/>
        <v>0.31</v>
      </c>
      <c r="CB165">
        <f t="shared" si="192"/>
        <v>0.35670547151396481</v>
      </c>
      <c r="CC165">
        <f>IFERROR(ROUNDUP(CB165/((Uн_лин/SQRT(3))*1000)*100,2),"")</f>
        <v>0.16</v>
      </c>
      <c r="CD165">
        <f>IF(ISNUMBER(CC165),CC165+IFERROR(_xlfn.XLOOKUP(A165,Щиты[Щит],Щиты[ΔU до шин, %]),0),"")</f>
        <v>1.73</v>
      </c>
      <c r="CE165">
        <f>IF(D165="","",IF(IFERROR(VLOOKUP(AT165,УГО_спр,2,FALSE),"")="Светильник",3,4)+IF(Методика="нормы 2026",MIN(0.5,MAX(0,N(BW165)-100)*0.005),0))</f>
        <v>4</v>
      </c>
      <c r="CF165" t="str">
        <f>IFERROR(VLOOKUP(BI165,Кабель_обозначение,2,FALSE),"")</f>
        <v>ВВГнг(А)-LS</v>
      </c>
      <c r="CG165" t="str">
        <f>IFERROR(IF(VLOOKUP(BI165,Кабель_обозначение,3,FALSE)=1,CF165&amp;" ("&amp;BJ165&amp;"х"&amp;BS165&amp;")",CF165),"")</f>
        <v>ВВГнг(А)-LS (3х2,5)</v>
      </c>
      <c r="CH165" t="str">
        <f t="shared" si="193"/>
        <v>ВВГнг(А)-LS (3х2,5)
L=38-0,16%</v>
      </c>
      <c r="CI165">
        <f>IFERROR(2*ρкз_Cu*BW165/BS165,"")</f>
        <v>0.79952000000000001</v>
      </c>
      <c r="CJ165">
        <f t="shared" si="194"/>
        <v>0.26600000000000001</v>
      </c>
      <c r="CK165" t="str">
        <f>IFERROR(IF(OR(D165="",NOT(ISNUMBER(BS165)),N(BW165)=0),"",_xlfn.XLOOKUP(A165,Щиты[Щит],Щиты[Zпетли на шинах, Ом])+CI165),"")</f>
        <v/>
      </c>
      <c r="CL165" t="str">
        <f>IF(ISNUMBER(CK165),c_min*(Uн_лин*1000/SQRT(3))/CK165,"")</f>
        <v/>
      </c>
      <c r="CM165" t="str">
        <f>IFERROR(IF(OR(D165="",NOT(ISNUMBER(BS165))),"",1.05*(Uн_лин*1000/SQRT(3))/(_xlfn.XLOOKUP(A165,Щиты[Щит],Щиты[Zmax на шинах, Ом])+CJ165)/1000),"")</f>
        <v/>
      </c>
      <c r="CN165" t="str">
        <f>IF(D165="","",IF(BA165&lt;&gt;"","Щит",IF(K165&lt;&gt;"",K165,IF(ISNUMBER(L165),"Сил",IF(IFERROR(_xlfn.XLOOKUP(AT165,Коды_код,Коды_группа)&amp;"","")="","Быт",_xlfn.XLOOKUP(AT165,Коды_код,Коды_группа)&amp;"")))))</f>
        <v>Быт</v>
      </c>
      <c r="CO165">
        <f>IF(CN165="Щит","щит",IF(CN165="","",IF(CN165="Быт",IFERROR(_xlfn.XLOOKUP(A165,Щиты[Щит],Щиты[Кс быт]),1),IF(CN165="Сил",IF(ISNUMBER(L165),L165,IF(Методика="нормы 2026",IFERROR(_xlfn.XLOOKUP(A165,Щиты[Щит],Щиты[Кс силовых (табл. 7.5)]),1),1)),IF(OR(CN165="Пост",CN165="Отоп"),1,IF(CN165="ВНГ",0.7,0))))))</f>
        <v>0.8</v>
      </c>
      <c r="CP165">
        <f t="shared" si="195"/>
        <v>1</v>
      </c>
      <c r="CQ165">
        <f t="shared" si="196"/>
        <v>0.12</v>
      </c>
      <c r="CR165">
        <f t="shared" si="197"/>
        <v>0.12</v>
      </c>
      <c r="CS165">
        <f t="shared" si="198"/>
        <v>0</v>
      </c>
      <c r="CT165">
        <f t="shared" si="199"/>
        <v>0</v>
      </c>
      <c r="CU165">
        <f t="shared" si="200"/>
        <v>0</v>
      </c>
      <c r="CV165">
        <f t="shared" si="201"/>
        <v>0</v>
      </c>
      <c r="CW165">
        <f t="shared" si="202"/>
        <v>0.12</v>
      </c>
      <c r="CX165">
        <f t="shared" si="203"/>
        <v>0.11399999999999999</v>
      </c>
      <c r="CY165">
        <f t="shared" si="204"/>
        <v>2</v>
      </c>
      <c r="CZ165" t="str">
        <f t="shared" si="205"/>
        <v>L2</v>
      </c>
      <c r="DA165" cm="1">
        <f t="array" ref="DA165">IFERROR(IF(BL165=2,_xlfn.IFS(BH165=3,VLOOKUP(BF165,Справочная_двигатели,3,FALSE),BH165=1,VLOOKUP(BF165,Справочная_двигатели,5,TRUE)),0),0)</f>
        <v>0</v>
      </c>
      <c r="DB165">
        <f>IFERROR(IF(BL165=3,VLOOKUP(BF165,Справочная_ЛЭД,2,TRUE),0),0)</f>
        <v>0</v>
      </c>
      <c r="DC165">
        <f t="shared" si="206"/>
        <v>0</v>
      </c>
      <c r="DD165" t="str">
        <f t="shared" si="207"/>
        <v>L1</v>
      </c>
      <c r="DE165" t="str" cm="1">
        <f t="array" ref="DE165">IF(D165="","",IFERROR(INDEX({"I особая","I","II","III"},MATCH(TRIM(AA165&amp;""),{"I особая","I","II","III"},0)),"III"))</f>
        <v>II</v>
      </c>
      <c r="DF165" t="str">
        <f>IF(D165="","",IF(TRIM(AB165&amp;"")&lt;&gt;"",IF(LOWER(TRIM(AB165&amp;""))="да","да","нет"),IF(IFERROR(_xlfn.XLOOKUP(AT165,Коды_код,Коды_пожарная),"")="да","да","нет")))</f>
        <v>нет</v>
      </c>
      <c r="DG165" t="str">
        <f t="shared" si="208"/>
        <v/>
      </c>
      <c r="DH165" t="str">
        <f t="shared" si="209"/>
        <v>основная</v>
      </c>
      <c r="DI165">
        <f t="shared" si="210"/>
        <v>1</v>
      </c>
      <c r="DJ165" t="str" cm="1">
        <f t="array" ref="DJ165">IF(D165="","",_xlfn.LET(_xlpm.t,IFERROR(_xlfn.XLOOKUP(1,(Шины[Шина]=DH165)*(((Шины[Щит]=A165)+(Шины[Щит]=""))&gt;0),Шины[Тип]),"")&amp;"",IF(_xlpm.t&lt;&gt;"",_xlpm.t,IF(ISNUMBER(SEARCH("ИБП",DH165)),"ИБП",IF(ISNUMBER(SEARCH("ДГУ",DH165)),"ДГУ","Ввод "&amp;DI165)))))</f>
        <v>Ввод 1</v>
      </c>
      <c r="DK165" t="str">
        <f t="shared" si="211"/>
        <v>Ввод 1</v>
      </c>
      <c r="DL165" t="str">
        <f>IF(D165="","",IF(OR(DJ165="ИБП",DJ165="ДГУ"),"I особая",IF(DJ165="Одиночная","III",_xlfn.XLOOKUP(A165,Щиты[Щит],Щиты[Категория шины «Ввод»],"III"))))</f>
        <v>II</v>
      </c>
      <c r="DM165">
        <f>IF(D165="",0,IFERROR(MATCH(DE165,{"III","II","I","I особая"},0),1))</f>
        <v>2</v>
      </c>
      <c r="DN165">
        <f t="shared" si="212"/>
        <v>2</v>
      </c>
      <c r="DO165" t="str">
        <f>IF(D165="","",IF(DM165&gt;IFERROR(MATCH(DL165,{"III","II","I","I особая"},0),1),"НЕ ОБЕСПЕЧЕНА","ОК"))</f>
        <v>ОК</v>
      </c>
      <c r="DP165" t="str">
        <f>IF(A165="","",_xlfn.XLOOKUP(A165,Щиты[Щит],Щиты[Путь],""))</f>
        <v>|ГРЩ-ЖД|ЩР-001|</v>
      </c>
      <c r="DQ165" t="str">
        <f>IF(D165="","",IF(Z165&lt;&gt;"",Z165,IF(IFERROR(_xlfn.XLOOKUP(AT165,Коды_код,Коды_вид)&amp;"","")="","Прочее",_xlfn.XLOOKUP(AT165,Коды_код,Коды_вид)&amp;"")))</f>
        <v>Розеточная сеть и бытовые приборы</v>
      </c>
      <c r="DR165">
        <f>IF(BD165="","",INT((BD165-1)/Столбцов_на_лист)+1)</f>
        <v>2</v>
      </c>
      <c r="DS165" t="str">
        <f t="shared" si="213"/>
        <v>ВВГнг(А)-LS (3х2,5) L=38-0,16%</v>
      </c>
      <c r="DT165">
        <f t="shared" si="214"/>
        <v>0.12</v>
      </c>
      <c r="DU165">
        <f t="shared" si="215"/>
        <v>0.55000000000000004</v>
      </c>
      <c r="DV165">
        <f t="shared" si="216"/>
        <v>1</v>
      </c>
      <c r="DW165">
        <f>IF(AT165="",0,_xlfn.LET(_xlpm.v,IFERROR(VLOOKUP(D165,УГО_спр,3,FALSE),IFERROR(VLOOKUP(AT165,УГО_спр,3,FALSE),IFERROR(VLOOKUP(LEFT(AT165,2),УГО_спр,3,FALSE),""))),IF(_xlpm.v="да",30,IF(ISNUMBER(_xlpm.v),_xlpm.v,0))))</f>
        <v>30</v>
      </c>
      <c r="DX165">
        <f t="shared" si="217"/>
        <v>0</v>
      </c>
      <c r="DY165">
        <f>IF(BD165="","",IF(AD165&lt;&gt;"",COUNTIFS(A$3:A165,A165,AD$3:AD165,"?*"),IF(OR(OR(AS165=1,A165&lt;&gt;A164),AL165="вручную"),"",IF(AS165=1,"",DZ164))))</f>
        <v>11</v>
      </c>
      <c r="DZ165">
        <f t="shared" si="218"/>
        <v>11</v>
      </c>
      <c r="EA165">
        <f>IF(D165="",0,MAX(IFERROR(--X165,0),IFERROR(--VLOOKUP(D165,УГО_спр,4,FALSE),IFERROR(--VLOOKUP(AT165,УГО_спр,4,FALSE),IFERROR(--VLOOKUP(LEFT(AT165,2),УГО_спр,4,FALSE),0)))))</f>
        <v>16</v>
      </c>
      <c r="EB165">
        <f>IF(D165="","",IFERROR(LOOKUP(INDEX(CHOOSE(BR165,Iдоп_1ж,Iдоп_2ж,Iдоп_3ж),MATCH(BS165,Iдоп_S,0))*BP165*BQ165,{6,10,16,20,25,32,40,50,63,80,100,125,160,200,250,315,400,500,630}),""))</f>
        <v>25</v>
      </c>
      <c r="EC165">
        <f>IF(AD165="","",SUMIFS(Линии[_Ток схемы],Линии[_гр.],DY165,Линии[Щит],A165,Линии[_в кабель выше],0))</f>
        <v>0.55000000000000004</v>
      </c>
      <c r="ED165">
        <f>IF(AD165="","",IFERROR(VLOOKUP(EC165,Автомат_номиналы,2,TRUE),""))</f>
        <v>6</v>
      </c>
      <c r="EE165">
        <f>IF(AD165="","",MAX(N(ED165),_xlfn.MAXIFS(Линии[_мин. по типу],Линии[_гр.],DY165,Линии[Щит],A165)))</f>
        <v>16</v>
      </c>
      <c r="EF165">
        <f>IF(AD165="","",_xlfn.MINIFS(Линии[_макс. автомат по кабелю],Линии[_гр.],DY165,Линии[Щит],A165))</f>
        <v>25</v>
      </c>
      <c r="EG165">
        <f>IF(AD165="","",MAX(1,_xlfn.MAXIFS(Линии[_фаз],Линии[_гр.],DY165,Линии[Щит],A165)))</f>
        <v>1</v>
      </c>
      <c r="EH165">
        <f>IF(AD165="","",IF(AND(AD165&lt;&gt;"авто",AD165&lt;&gt;"+"),IF(ISNUMBER(SEARCH("мА",AD165)),IFERROR(--TRIM(RIGHT(SUBSTITUTE(LEFT(AD165,SEARCH("мА",AD165)-1)," ",REPT(" ",9)),6)),30),0),IF(AE165="нет",0,IF(ISNUMBER(AE165),AE165,IF(AE165="да",30,_xlfn.MINIFS(Линии[_дифзащита по коду, мА],Линии[_гр.],DY165,Линии[Щит],A165,Линии[_дифзащита по коду, мА],"&gt;0"))))))</f>
        <v>30</v>
      </c>
      <c r="EI165">
        <f t="shared" si="219"/>
        <v>1</v>
      </c>
      <c r="EJ165" t="str">
        <f t="shared" si="220"/>
        <v>QFD11</v>
      </c>
      <c r="EK165" t="str">
        <f t="shared" si="221"/>
        <v>QFD11</v>
      </c>
      <c r="EL165" t="str">
        <f t="shared" si="222"/>
        <v/>
      </c>
      <c r="EM165">
        <f t="shared" si="223"/>
        <v>0</v>
      </c>
      <c r="EN165">
        <f>IF(AD165="","",IF(EM165=1,MAX(EE165,Мин_автомат_БП),EE165))</f>
        <v>16</v>
      </c>
      <c r="EO165" t="str">
        <f t="shared" si="224"/>
        <v>2P</v>
      </c>
      <c r="EP165" t="str">
        <f t="shared" si="225"/>
        <v>2P С16А 30мА</v>
      </c>
      <c r="EQ165">
        <f t="shared" si="226"/>
        <v>16</v>
      </c>
      <c r="ER165" t="str">
        <f>IF(OR(AI165="",AI165="-"),"",IFERROR(VLOOKUP(AI165,Модули_спр,2,FALSE),"R"))</f>
        <v/>
      </c>
      <c r="ES165" t="str">
        <f>IF(ER165="","",ER165&amp;"."&amp;COUNTIFS(A$3:A165,A165,ER$3:ER165,ER165))</f>
        <v/>
      </c>
      <c r="ET165" t="str">
        <f t="shared" si="227"/>
        <v/>
      </c>
      <c r="EU165" t="str">
        <f t="shared" si="228"/>
        <v/>
      </c>
      <c r="EV165" t="str">
        <f t="shared" si="229"/>
        <v/>
      </c>
      <c r="EW165" t="str">
        <f t="shared" si="230"/>
        <v/>
      </c>
      <c r="EX165">
        <f t="shared" si="231"/>
        <v>1</v>
      </c>
      <c r="EY165" t="str">
        <f>IF(AK165="нет","",IF(AK165&lt;&gt;"",AK165,IF(EX165=1,"XT"&amp;COUNTIFS(A$3:A165,A165,EX$3:EX165,1),"")))</f>
        <v>XT11</v>
      </c>
      <c r="EZ165" t="str">
        <f t="shared" si="232"/>
        <v>QFD11</v>
      </c>
      <c r="FA165" t="str">
        <f t="shared" si="233"/>
        <v/>
      </c>
      <c r="FB165" t="str">
        <f t="shared" si="234"/>
        <v>ok</v>
      </c>
      <c r="FC165" t="str">
        <f>IF(OR(EV165="",ET165=""),"",IF(EV165&gt;IFERROR(VLOOKUP(EU165,Модули_спр,3,FALSE),99),"ЛИШНИЙ КАНАЛ",IF(AND(AJ165&lt;&gt;"=",COUNTIFS(Линии[_модуль гр.],ET165,Линии[Канал (итог)],EV165,Линии[Канал],"&lt;&gt;=",Линии[Щит],A165)&gt;1),"ДУБЛЬ КАНАЛА","")))</f>
        <v/>
      </c>
      <c r="FD165">
        <f t="shared" si="235"/>
        <v>16</v>
      </c>
      <c r="FE165" t="str">
        <f t="shared" si="236"/>
        <v>2P С16А 30мА</v>
      </c>
      <c r="FF165">
        <f t="shared" si="237"/>
        <v>1</v>
      </c>
      <c r="FG165">
        <f t="shared" si="238"/>
        <v>30</v>
      </c>
      <c r="FH165" t="str">
        <f t="shared" si="239"/>
        <v/>
      </c>
      <c r="FI165">
        <f t="shared" si="240"/>
        <v>10</v>
      </c>
      <c r="FJ165" t="str">
        <f t="shared" si="241"/>
        <v/>
      </c>
      <c r="FK165" t="str">
        <f>IF(AND(D165="",EZ165=""),"",_xlfn.TEXTJOIN("; ",TRUE,IF(AND(D165&lt;&gt;"",DD165=""),"нет фазы",""),IF(AND(D165&lt;&gt;"",N(DT165)=0,CN165&lt;&gt;"Нет"),"нет мощности",""),IF(AND(EY165&lt;&gt;"",COUNTIFS(Линии[Щит],A165,Линии[Клемма (итог)],EY165)&gt;1),"дубль клеммы "&amp;EY165,""),IF(AND(FB165&lt;&gt;"",FB165&lt;&gt;"ok"),FB165,""),IF(FC165&lt;&gt;"",FC165,""),IF(AND(ISNUMBER(SEARCH("(5х",DS165)),N(DV165)=1),"5 жил на 1 фазе",""),IF(AND(AT165="R",AD165&lt;&gt;"",OR(N(EH165)=0,N(EH165)&gt;30)),"розетка без дифзащиты до 30 мА",""),IFERROR(IF(AND(ISNUMBER(CD165),CD165&gt;CE165),"потери "&amp;FIXED(CD165,1)&amp;" % &gt; "&amp;CE165&amp;" %",""),""),IFERROR(IF(LEFT(FJ165,4)="мало","Iкз мало — отключение &gt; 0,4 с",""),""),IF(AND(D165&lt;&gt;"",BD165=""),"не на схеме","")))</f>
        <v/>
      </c>
      <c r="FL165">
        <f>IF(AD165="","",_xlfn.LET(_xlpm.t,IFERROR(_xlfn.XLOOKUP(EP165,Каталог!$U$4:$U$500,Каталог!$G$4:$G$500),""),_xlpm.k,SEARCH("кА",_xlpm.t),IFERROR(--TRIM(RIGHT(SUBSTITUTE(MID(_xlpm.t,MAX(1,_xlpm.k-4),_xlpm.k-MAX(1,_xlpm.k-4))," ",REPT(" ",9)),5)),"")))</f>
        <v>6</v>
      </c>
      <c r="FM165" t="str">
        <f>IF(OR(FL165="",AD165=""),"",IF(_xlfn.XLOOKUP(A165,Щиты[Щит],Щиты[Iкз max на шинах, кА],"")="","",IF(FL165&lt;_xlfn.XLOOKUP(A165,Щиты[Щит],Щиты[Iкз max на шинах, кА]),"Icu "&amp;FL165&amp;" кА &lt; Iкз max","ok")))</f>
        <v/>
      </c>
      <c r="FN165" t="str">
        <f t="shared" si="242"/>
        <v>QFD11|XT11</v>
      </c>
      <c r="FO165" t="str">
        <f t="shared" si="243"/>
        <v>QFD11|XT11|кабель ВВГнг(А)-LS (3х2,5) → Розеточная группа Подвальный этаж Пом. №001А</v>
      </c>
      <c r="FP165" t="str" cm="1">
        <f t="array" ref="FP165">IF(FO165="","",_xlfn.LET(_xlpm.nd,_xlfn.TEXTSPLIT(FO165,"|"),IF(COLUMNS(_xlpm.nd)&gt;1,A165&amp;"¦"&amp;INDEX(_xlpm.nd,1)&amp;"¦"&amp;INDEX(_xlpm.nd,2),"")))</f>
        <v>ЩР-001¦QFD11¦XT11</v>
      </c>
      <c r="FQ165" t="str">
        <f t="shared" si="244"/>
        <v>R.00.001А.2¦Розеточная группа Подвальный этаж Пом. №001А</v>
      </c>
      <c r="FR165" t="str" cm="1">
        <f t="array" ref="FR165">IF(FO165="","",_xlfn.LET(_xlpm.nd,_xlfn.TEXTSPLIT(FO165,"|"),IF(COLUMNS(_xlpm.nd)&gt;2,A165&amp;"¦"&amp;INDEX(_xlpm.nd,2)&amp;"¦"&amp;INDEX(_xlpm.nd,3),"")))</f>
        <v>ЩР-001¦XT11¦кабель ВВГнг(А)-LS (3х2,5) → Розеточная группа Подвальный этаж Пом. №001А</v>
      </c>
      <c r="FS165" t="str">
        <f t="shared" si="245"/>
        <v>R.00.001А.2¦Розеточная группа Подвальный этаж Пом. №001А</v>
      </c>
      <c r="FT165" t="str" cm="1">
        <f t="array" ref="FT165">IF(FO165="","",_xlfn.LET(_xlpm.nd,_xlfn.TEXTSPLIT(FO165,"|"),IF(COLUMNS(_xlpm.nd)&gt;3,A165&amp;"¦"&amp;INDEX(_xlpm.nd,3)&amp;"¦"&amp;INDEX(_xlpm.nd,4),"")))</f>
        <v/>
      </c>
      <c r="FU165" t="str">
        <f t="shared" si="246"/>
        <v/>
      </c>
      <c r="FV165" t="str" cm="1">
        <f t="array" ref="FV165">IF(FO165="","",_xlfn.LET(_xlpm.nd,_xlfn.TEXTSPLIT(FO165,"|"),IF(COLUMNS(_xlpm.nd)&gt;4,A165&amp;"¦"&amp;INDEX(_xlpm.nd,4)&amp;"¦"&amp;INDEX(_xlpm.nd,5),"")))</f>
        <v/>
      </c>
      <c r="FW165" t="str">
        <f t="shared" si="247"/>
        <v/>
      </c>
      <c r="FX165" t="str" cm="1">
        <f t="array" ref="FX165">IF(FO165="","",_xlfn.LET(_xlpm.nd,_xlfn.TEXTSPLIT(FO165,"|"),IF(COLUMNS(_xlpm.nd)&gt;5,A165&amp;"¦"&amp;INDEX(_xlpm.nd,5)&amp;"¦"&amp;INDEX(_xlpm.nd,6),"")))</f>
        <v/>
      </c>
      <c r="FY165" t="str">
        <f t="shared" si="248"/>
        <v/>
      </c>
      <c r="FZ165" t="str" cm="1">
        <f t="array" ref="FZ165">IF(FO165="","",_xlfn.LET(_xlpm.nd,_xlfn.TEXTSPLIT(FO165,"|"),IF(COLUMNS(_xlpm.nd)&gt;6,A165&amp;"¦"&amp;INDEX(_xlpm.nd,6)&amp;"¦"&amp;INDEX(_xlpm.nd,7),"")))</f>
        <v/>
      </c>
      <c r="GA165" t="str">
        <f t="shared" si="249"/>
        <v/>
      </c>
      <c r="GB165" t="str">
        <f t="shared" si="250"/>
        <v/>
      </c>
      <c r="GC165" t="str">
        <f t="shared" si="251"/>
        <v>QFD11 → XT11</v>
      </c>
      <c r="GD165">
        <f t="shared" si="252"/>
        <v>1</v>
      </c>
      <c r="GE165">
        <f t="shared" si="253"/>
        <v>0</v>
      </c>
      <c r="GF165">
        <f t="shared" si="254"/>
        <v>1</v>
      </c>
      <c r="GG165" t="str">
        <f t="shared" si="255"/>
        <v/>
      </c>
      <c r="GH165" t="str">
        <f t="shared" si="256"/>
        <v/>
      </c>
      <c r="GI165" t="str">
        <f t="shared" si="257"/>
        <v/>
      </c>
      <c r="GJ165" t="str">
        <f t="shared" si="258"/>
        <v/>
      </c>
      <c r="GK165" t="str">
        <f>IF(D165="","",IFERROR(VLOOKUP(D165,УГО_спр,2,FALSE),IFERROR(VLOOKUP(AT165,УГО_спр,2,FALSE),IFERROR(VLOOKUP(LEFT(AT165,2),УГО_спр,2,FALSE),""))))</f>
        <v>Розетка</v>
      </c>
      <c r="GL165" t="str">
        <f>IF(D165="","",IF(OR(GK165="",GK165=0),"BOX",IFERROR(IF(VLOOKUP(GK165,УГО_блоки,3,FALSE)&amp;""&lt;&gt;"",VLOOKUP(GK165,УГО_блоки,3,FALSE),VLOOKUP(GK165,УГО_блоки,2,FALSE)),GK165)))</f>
        <v>SOCKET</v>
      </c>
      <c r="GM165">
        <f t="shared" si="259"/>
        <v>1</v>
      </c>
      <c r="GN165" t="str">
        <f>IF(EP165="","",IF(COUNTIF(EP$3:EP165,EP165)=1,MAX(GN$2:GN164)+1,""))</f>
        <v/>
      </c>
      <c r="GO165" t="str">
        <f>IF(AF165="","",IF(COUNTIF(AF$3:AF165,AF165)+COUNTIF(AG$2:AG164,AF165)+COUNTIF(AH$2:AH164,AF165)=1,MAX(GO$2:GQ164)+1,""))</f>
        <v/>
      </c>
      <c r="GP165" t="str">
        <f>IF(AG165="","",IF(COUNTIF(AF$3:AF165,AG165)+COUNTIF(AG$3:AG165,AG165)+COUNTIF(AH$2:AH164,AG165)=1,MAX(GO$2:GQ164,GO165)+1,""))</f>
        <v/>
      </c>
      <c r="GQ165" t="str">
        <f>IF(AH165="","",IF(COUNTIF(AF$3:AF165,AH165)+COUNTIF(AG$3:AG165,AH165)+COUNTIF(AH$3:AH165,AH165)=1,MAX(GO$2:GQ164,GO165,GP165)+1,""))</f>
        <v/>
      </c>
      <c r="GR165" t="str">
        <f t="shared" si="260"/>
        <v>3х2,5</v>
      </c>
      <c r="GS165" t="str">
        <f>IF(GR165="","",IF(COUNTIF(GR$3:GR165,GR165)=1,MAX(GS$2:GS164)+1,""))</f>
        <v/>
      </c>
      <c r="GT165" t="str">
        <f>IF(ES165="","",COUNTIF(ES$3:ES165,"?*"))</f>
        <v/>
      </c>
      <c r="GU165" t="str">
        <f>IF(OR(ES165="",EU165=""),"",IF(COUNTIFS(ES$3:ES165,"?*",EU$3:EU165,EU165)=1,MAX(GU$2:GU164)+1,""))</f>
        <v/>
      </c>
      <c r="GV165">
        <f t="shared" si="261"/>
        <v>0</v>
      </c>
      <c r="GW165">
        <f>IF(D165="","",COUNTIF(D$3:D165,"?*"))</f>
        <v>163</v>
      </c>
      <c r="GX165">
        <f>IF(EX165&lt;&gt;1,0,_xlfn.LET(_xlpm.k,MAX(IFERROR(--VLOOKUP(D165,УГО_спр,5,FALSE),0),IFERROR(--VLOOKUP(AT165,УГО_спр,5,FALSE),0),IFERROR(--VLOOKUP(LEFT(AT165,2),УГО_спр,5,FALSE),0)),IF(_xlpm.k&gt;0,_xlpm.k,IF(IFERROR(--LEFT(SUBSTITUTE(GR165,"x","х"),FIND("х",SUBSTITUTE(GR165,"x","х"))-1),3)&gt;3,Каталог!$S$9,1))))</f>
        <v>1</v>
      </c>
      <c r="GY165">
        <f t="shared" si="262"/>
        <v>0</v>
      </c>
    </row>
    <row r="166" spans="1:207" x14ac:dyDescent="0.3">
      <c r="A166" t="s">
        <v>758</v>
      </c>
      <c r="B166">
        <v>21</v>
      </c>
      <c r="C166" t="str">
        <f>IF(BD166="","",IF(BE166="вводной узел","узел ","")&amp;"л."&amp;(INT((BD166-1)/Столбцов_на_лист)+1)&amp;" / "&amp;(MOD(BD166-1,Столбцов_на_лист)+1))</f>
        <v>л.2 / 4</v>
      </c>
      <c r="D166" t="s">
        <v>1470</v>
      </c>
      <c r="E166" s="133" t="str">
        <f t="shared" si="263"/>
        <v>Розеточная группа Подвальный этаж Пом. №002</v>
      </c>
      <c r="G166">
        <v>0.12</v>
      </c>
      <c r="H166">
        <v>2</v>
      </c>
      <c r="I166">
        <v>1</v>
      </c>
      <c r="J166">
        <v>230</v>
      </c>
      <c r="K166" t="s">
        <v>566</v>
      </c>
      <c r="O166">
        <v>2</v>
      </c>
      <c r="P166">
        <v>44</v>
      </c>
      <c r="Q166">
        <v>29</v>
      </c>
      <c r="R166">
        <v>24</v>
      </c>
      <c r="S166">
        <v>0</v>
      </c>
      <c r="U166" t="s">
        <v>11</v>
      </c>
      <c r="V166">
        <v>3</v>
      </c>
      <c r="W166">
        <v>2.5</v>
      </c>
      <c r="X166">
        <v>16</v>
      </c>
      <c r="Z166" t="s">
        <v>565</v>
      </c>
      <c r="AA166" t="s">
        <v>818</v>
      </c>
      <c r="AD166" t="s">
        <v>517</v>
      </c>
      <c r="AK166" t="s">
        <v>488</v>
      </c>
      <c r="AR166" t="str">
        <f t="shared" si="176"/>
        <v/>
      </c>
      <c r="AS166" cm="1">
        <f t="array" ref="AS166">ROW()-ROW(Линии[#Headers])</f>
        <v>164</v>
      </c>
      <c r="AT166" t="str">
        <f t="shared" si="177"/>
        <v>R</v>
      </c>
      <c r="AU166" t="str">
        <f t="shared" si="178"/>
        <v>00.002.1А.1</v>
      </c>
      <c r="AV166" t="str">
        <f t="shared" si="179"/>
        <v>00</v>
      </c>
      <c r="AW166" t="str">
        <f t="shared" si="180"/>
        <v>002.1А.1</v>
      </c>
      <c r="AX166" t="str">
        <f t="shared" si="181"/>
        <v>002</v>
      </c>
      <c r="AY166" t="str">
        <f>IF(D166="","",IF(ISERROR(SEARCH(".",D166)),IFERROR(VLOOKUP(D166,Потребители_обозначение,2,FALSE)&amp;"",""),IFERROR(IF(VLOOKUP(AT166,Потребители_обозначение,4,FALSE)=1,VLOOKUP(AT166,Потребители_обозначение,2,FALSE)&amp;" "&amp;VLOOKUP(AV166,Этаж_обозначение,2,FALSE)&amp;" Пом. №"&amp;AX166,VLOOKUP(AT166,Потребители_обозначение,2,FALSE)&amp;" Шлейф №"&amp;AV166),IFERROR(VLOOKUP(D166,Потребители_обозначение,2,FALSE),""))))</f>
        <v>Розеточная группа Подвальный этаж Пом. №002</v>
      </c>
      <c r="AZ166" t="str">
        <f t="shared" si="182"/>
        <v>Розеточная группа Подвальный этаж Пом. №002</v>
      </c>
      <c r="BA166" t="str">
        <f>IF(F166&lt;&gt;"",F166,IF(AND(D166&lt;&gt;"",D166&lt;&gt;A166,ISNUMBER(_xlfn.XMATCH(D166,Щиты[Щит]))),D166,""))</f>
        <v/>
      </c>
      <c r="BB166">
        <f>IFERROR(_xlfn.XMATCH(A166,Щиты[Щит]),0)</f>
        <v>8</v>
      </c>
      <c r="BC166">
        <f>IFERROR(N(_xlfn.XLOOKUP(A166,Щиты[Щит],Щиты[Мест под вводной узел])),15)</f>
        <v>7</v>
      </c>
      <c r="BD166">
        <f t="shared" si="183"/>
        <v>21</v>
      </c>
      <c r="BE166" t="str">
        <f t="shared" si="184"/>
        <v>линии</v>
      </c>
      <c r="BF166">
        <f>IF(D166="","",IF(BA166&lt;&gt;"",IFERROR(_xlfn.XLOOKUP(BA166,Щиты[Щит],Щиты[Руст, кВт]),0),N(G166)))</f>
        <v>0.12</v>
      </c>
      <c r="BG166">
        <f>IF(J166&lt;&gt;"",J166,IF(D166="","",IFERROR(IF(VLOOKUP(AT166,Потребители_обозначение,8,FALSE)=0,"",VLOOKUP(AT166,Потребители_обозначение,8,FALSE)),"")))</f>
        <v>230</v>
      </c>
      <c r="BH166">
        <f>IF(I166&lt;&gt;"",I166,IF(D166="","",IFERROR(IF(VLOOKUP(AT166,Потребители_обозначение,9,FALSE)=0,"",VLOOKUP(AT166,Потребители_обозначение,9,FALSE)),"")))</f>
        <v>1</v>
      </c>
      <c r="BI166" t="str">
        <f>IF(U166&lt;&gt;"",U166,IF(D166="","",IFERROR(IF(VLOOKUP(AT166,Потребители_обозначение,6,FALSE)=0,"",VLOOKUP(AT166,Потребители_обозначение,6,FALSE)),"")))</f>
        <v>мс</v>
      </c>
      <c r="BJ166">
        <f>IF(V166&lt;&gt;"",V166,IF(D166="","",IFERROR(IF(VLOOKUP(AT166,Потребители_обозначение,7,FALSE)=0,"",VLOOKUP(AT166,Потребители_обозначение,7,FALSE)),"")))</f>
        <v>3</v>
      </c>
      <c r="BK166">
        <f>IF(W166&lt;&gt;"",W166,IF(D166="","",IFERROR(IF(VLOOKUP(AT166,Потребители_обозначение,10,FALSE)=0,"",VLOOKUP(AT166,Потребители_обозначение,10,FALSE)),"")))</f>
        <v>2.5</v>
      </c>
      <c r="BL166">
        <f>IFERROR(VLOOKUP(AT166,Потребители_обозначение,5,FALSE),0)</f>
        <v>1</v>
      </c>
      <c r="BM166" cm="1">
        <f t="array" ref="BM166">IF(D166="","",IF(BA166&lt;&gt;"",IFERROR(_xlfn.XLOOKUP(BA166,Щиты[Щит],Щиты[cos φ]),0.95),IF(ISNUMBER(M166),M166,IFERROR(IF(BL166=2,_xlfn.IFS(BH166=3,VLOOKUP(BF166,Справочная_двигатели,8,FALSE),BH166=1,VLOOKUP(BF166,Справочная_двигатели,10,TRUE)),IF(AND(Методика="нормы 2026",CN166="Сил"),0.8,0.95)),0.95))))</f>
        <v>0.95</v>
      </c>
      <c r="BN166" cm="1">
        <f t="array" ref="BN166">IF(D166="","",IF(BA166&lt;&gt;"",IFERROR(_xlfn.XLOOKUP(BA166,Щиты[Щит],Щиты[Iр, А]),""),IFERROR(_xlfn.IFS(BH166=1,BF166/((Uн_лин/SQRT(3))*BM166),BH166=3,BF166/(SQRT(3)*Uн_лин*BM166)),"")))</f>
        <v>0.54696341291648753</v>
      </c>
      <c r="BO166">
        <f>IF(D166="","",IF(N(X166)=0,IFERROR(VLOOKUP(BN166,Автомат_номиналы,2,TRUE),""),X166))</f>
        <v>16</v>
      </c>
      <c r="BP166">
        <f t="shared" si="185"/>
        <v>1</v>
      </c>
      <c r="BQ166">
        <f>IF(ISNUMBER(Y166),Y166,К_прокл)</f>
        <v>1</v>
      </c>
      <c r="BR166">
        <f t="shared" si="186"/>
        <v>2</v>
      </c>
      <c r="BS166" cm="1">
        <f t="array" ref="BS166">IF(D166="","",IF(N(BK166)&lt;&gt;0,BK166,IFERROR(_xlfn.LET(_xlpm.need,BO166/(BP166*BQ166),_xlpm.t,CHOOSE(BR166,Iдоп_1ж,Iдоп_2ж,Iдоп_3ж),_xlpm.k,_xlfn.XMATCH(_xlpm.need,_xlpm.t,1),IF(ISNA(_xlpm.k),"Не исп",INDEX(Iдоп_S,_xlpm.k))),"Не исп")))</f>
        <v>2.5</v>
      </c>
      <c r="BT166">
        <f>IFERROR(VLOOKUP(BS166,Кабель_сопротивление,3,FALSE),"")</f>
        <v>2.2499999999999999E-2</v>
      </c>
      <c r="BU166">
        <f>IFERROR(VLOOKUP(BS166,Кабель_сопротивление,2,FALSE),"")</f>
        <v>0.1</v>
      </c>
      <c r="BV166">
        <f t="shared" si="187"/>
        <v>44</v>
      </c>
      <c r="BW166">
        <f>IF(D166="","",IFERROR(IF(VLOOKUP(AT166,Потребители_обозначение,4,FALSE)=1,VLOOKUP(AT166,Потребители_обозначение,3,FALSE)*(H166*2-1)+BV166+VLOOKUP(AV166,Этаж_обозначение,3,FALSE)+VLOOKUP(AV166,Этаж_обозначение,4,FALSE),VLOOKUP(AT166,Потребители_обозначение,3,FALSE)*(H166*2-1)+BV166),BV166))</f>
        <v>53</v>
      </c>
      <c r="BX166">
        <f t="shared" si="188"/>
        <v>24</v>
      </c>
      <c r="BY166">
        <f t="shared" si="189"/>
        <v>0</v>
      </c>
      <c r="BZ166">
        <f t="shared" si="190"/>
        <v>2</v>
      </c>
      <c r="CA166">
        <f t="shared" si="191"/>
        <v>0.31</v>
      </c>
      <c r="CB166">
        <f t="shared" si="192"/>
        <v>0.49751026290105616</v>
      </c>
      <c r="CC166">
        <f>IFERROR(ROUNDUP(CB166/((Uн_лин/SQRT(3))*1000)*100,2),"")</f>
        <v>0.22</v>
      </c>
      <c r="CD166">
        <f>IF(ISNUMBER(CC166),CC166+IFERROR(_xlfn.XLOOKUP(A166,Щиты[Щит],Щиты[ΔU до шин, %]),0),"")</f>
        <v>1.79</v>
      </c>
      <c r="CE166">
        <f>IF(D166="","",IF(IFERROR(VLOOKUP(AT166,УГО_спр,2,FALSE),"")="Светильник",3,4)+IF(Методика="нормы 2026",MIN(0.5,MAX(0,N(BW166)-100)*0.005),0))</f>
        <v>4</v>
      </c>
      <c r="CF166" t="str">
        <f>IFERROR(VLOOKUP(BI166,Кабель_обозначение,2,FALSE),"")</f>
        <v>ВВГнг(А)-LS</v>
      </c>
      <c r="CG166" t="str">
        <f>IFERROR(IF(VLOOKUP(BI166,Кабель_обозначение,3,FALSE)=1,CF166&amp;" ("&amp;BJ166&amp;"х"&amp;BS166&amp;")",CF166),"")</f>
        <v>ВВГнг(А)-LS (3х2,5)</v>
      </c>
      <c r="CH166" t="str">
        <f t="shared" si="193"/>
        <v>ВВГнг(А)-LS (3х2,5)
L=53-0,22%</v>
      </c>
      <c r="CI166">
        <f>IFERROR(2*ρкз_Cu*BW166/BS166,"")</f>
        <v>1.1151199999999999</v>
      </c>
      <c r="CJ166">
        <f t="shared" si="194"/>
        <v>0.37100000000000005</v>
      </c>
      <c r="CK166" t="str">
        <f>IFERROR(IF(OR(D166="",NOT(ISNUMBER(BS166)),N(BW166)=0),"",_xlfn.XLOOKUP(A166,Щиты[Щит],Щиты[Zпетли на шинах, Ом])+CI166),"")</f>
        <v/>
      </c>
      <c r="CL166" t="str">
        <f>IF(ISNUMBER(CK166),c_min*(Uн_лин*1000/SQRT(3))/CK166,"")</f>
        <v/>
      </c>
      <c r="CM166" t="str">
        <f>IFERROR(IF(OR(D166="",NOT(ISNUMBER(BS166))),"",1.05*(Uн_лин*1000/SQRT(3))/(_xlfn.XLOOKUP(A166,Щиты[Щит],Щиты[Zmax на шинах, Ом])+CJ166)/1000),"")</f>
        <v/>
      </c>
      <c r="CN166" t="str">
        <f>IF(D166="","",IF(BA166&lt;&gt;"","Щит",IF(K166&lt;&gt;"",K166,IF(ISNUMBER(L166),"Сил",IF(IFERROR(_xlfn.XLOOKUP(AT166,Коды_код,Коды_группа)&amp;"","")="","Быт",_xlfn.XLOOKUP(AT166,Коды_код,Коды_группа)&amp;"")))))</f>
        <v>Быт</v>
      </c>
      <c r="CO166">
        <f>IF(CN166="Щит","щит",IF(CN166="","",IF(CN166="Быт",IFERROR(_xlfn.XLOOKUP(A166,Щиты[Щит],Щиты[Кс быт]),1),IF(CN166="Сил",IF(ISNUMBER(L166),L166,IF(Методика="нормы 2026",IFERROR(_xlfn.XLOOKUP(A166,Щиты[Щит],Щиты[Кс силовых (табл. 7.5)]),1),1)),IF(OR(CN166="Пост",CN166="Отоп"),1,IF(CN166="ВНГ",0.7,0))))))</f>
        <v>0.8</v>
      </c>
      <c r="CP166">
        <f t="shared" si="195"/>
        <v>1</v>
      </c>
      <c r="CQ166">
        <f t="shared" si="196"/>
        <v>0.12</v>
      </c>
      <c r="CR166">
        <f t="shared" si="197"/>
        <v>0.12</v>
      </c>
      <c r="CS166">
        <f t="shared" si="198"/>
        <v>0</v>
      </c>
      <c r="CT166">
        <f t="shared" si="199"/>
        <v>0</v>
      </c>
      <c r="CU166">
        <f t="shared" si="200"/>
        <v>0</v>
      </c>
      <c r="CV166">
        <f t="shared" si="201"/>
        <v>0</v>
      </c>
      <c r="CW166">
        <f t="shared" si="202"/>
        <v>0.12</v>
      </c>
      <c r="CX166">
        <f t="shared" si="203"/>
        <v>0.11399999999999999</v>
      </c>
      <c r="CY166">
        <f t="shared" si="204"/>
        <v>3</v>
      </c>
      <c r="CZ166" t="str">
        <f t="shared" si="205"/>
        <v>L3</v>
      </c>
      <c r="DA166" cm="1">
        <f t="array" ref="DA166">IFERROR(IF(BL166=2,_xlfn.IFS(BH166=3,VLOOKUP(BF166,Справочная_двигатели,3,FALSE),BH166=1,VLOOKUP(BF166,Справочная_двигатели,5,TRUE)),0),0)</f>
        <v>0</v>
      </c>
      <c r="DB166">
        <f>IFERROR(IF(BL166=3,VLOOKUP(BF166,Справочная_ЛЭД,2,TRUE),0),0)</f>
        <v>0</v>
      </c>
      <c r="DC166">
        <f t="shared" si="206"/>
        <v>0</v>
      </c>
      <c r="DD166" t="str">
        <f t="shared" si="207"/>
        <v>L2</v>
      </c>
      <c r="DE166" t="str" cm="1">
        <f t="array" ref="DE166">IF(D166="","",IFERROR(INDEX({"I особая","I","II","III"},MATCH(TRIM(AA166&amp;""),{"I особая","I","II","III"},0)),"III"))</f>
        <v>II</v>
      </c>
      <c r="DF166" t="str">
        <f>IF(D166="","",IF(TRIM(AB166&amp;"")&lt;&gt;"",IF(LOWER(TRIM(AB166&amp;""))="да","да","нет"),IF(IFERROR(_xlfn.XLOOKUP(AT166,Коды_код,Коды_пожарная),"")="да","да","нет")))</f>
        <v>нет</v>
      </c>
      <c r="DG166" t="str">
        <f t="shared" si="208"/>
        <v/>
      </c>
      <c r="DH166" t="str">
        <f t="shared" si="209"/>
        <v>основная</v>
      </c>
      <c r="DI166">
        <f t="shared" si="210"/>
        <v>1</v>
      </c>
      <c r="DJ166" t="str" cm="1">
        <f t="array" ref="DJ166">IF(D166="","",_xlfn.LET(_xlpm.t,IFERROR(_xlfn.XLOOKUP(1,(Шины[Шина]=DH166)*(((Шины[Щит]=A166)+(Шины[Щит]=""))&gt;0),Шины[Тип]),"")&amp;"",IF(_xlpm.t&lt;&gt;"",_xlpm.t,IF(ISNUMBER(SEARCH("ИБП",DH166)),"ИБП",IF(ISNUMBER(SEARCH("ДГУ",DH166)),"ДГУ","Ввод "&amp;DI166)))))</f>
        <v>Ввод 1</v>
      </c>
      <c r="DK166" t="str">
        <f t="shared" si="211"/>
        <v>Ввод 1</v>
      </c>
      <c r="DL166" t="str">
        <f>IF(D166="","",IF(OR(DJ166="ИБП",DJ166="ДГУ"),"I особая",IF(DJ166="Одиночная","III",_xlfn.XLOOKUP(A166,Щиты[Щит],Щиты[Категория шины «Ввод»],"III"))))</f>
        <v>II</v>
      </c>
      <c r="DM166">
        <f>IF(D166="",0,IFERROR(MATCH(DE166,{"III","II","I","I особая"},0),1))</f>
        <v>2</v>
      </c>
      <c r="DN166">
        <f t="shared" si="212"/>
        <v>2</v>
      </c>
      <c r="DO166" t="str">
        <f>IF(D166="","",IF(DM166&gt;IFERROR(MATCH(DL166,{"III","II","I","I особая"},0),1),"НЕ ОБЕСПЕЧЕНА","ОК"))</f>
        <v>ОК</v>
      </c>
      <c r="DP166" t="str">
        <f>IF(A166="","",_xlfn.XLOOKUP(A166,Щиты[Щит],Щиты[Путь],""))</f>
        <v>|ГРЩ-ЖД|ЩР-001|</v>
      </c>
      <c r="DQ166" t="str">
        <f>IF(D166="","",IF(Z166&lt;&gt;"",Z166,IF(IFERROR(_xlfn.XLOOKUP(AT166,Коды_код,Коды_вид)&amp;"","")="","Прочее",_xlfn.XLOOKUP(AT166,Коды_код,Коды_вид)&amp;"")))</f>
        <v>Розеточная сеть и бытовые приборы</v>
      </c>
      <c r="DR166">
        <f>IF(BD166="","",INT((BD166-1)/Столбцов_на_лист)+1)</f>
        <v>2</v>
      </c>
      <c r="DS166" t="str">
        <f t="shared" si="213"/>
        <v>ВВГнг(А)-LS (3х2,5) L=53-0,22%</v>
      </c>
      <c r="DT166">
        <f t="shared" si="214"/>
        <v>0.12</v>
      </c>
      <c r="DU166">
        <f t="shared" si="215"/>
        <v>0.55000000000000004</v>
      </c>
      <c r="DV166">
        <f t="shared" si="216"/>
        <v>1</v>
      </c>
      <c r="DW166">
        <f>IF(AT166="",0,_xlfn.LET(_xlpm.v,IFERROR(VLOOKUP(D166,УГО_спр,3,FALSE),IFERROR(VLOOKUP(AT166,УГО_спр,3,FALSE),IFERROR(VLOOKUP(LEFT(AT166,2),УГО_спр,3,FALSE),""))),IF(_xlpm.v="да",30,IF(ISNUMBER(_xlpm.v),_xlpm.v,0))))</f>
        <v>30</v>
      </c>
      <c r="DX166">
        <f t="shared" si="217"/>
        <v>0</v>
      </c>
      <c r="DY166">
        <f>IF(BD166="","",IF(AD166&lt;&gt;"",COUNTIFS(A$3:A166,A166,AD$3:AD166,"?*"),IF(OR(OR(AS166=1,A166&lt;&gt;A165),AL166="вручную"),"",IF(AS166=1,"",DZ165))))</f>
        <v>12</v>
      </c>
      <c r="DZ166">
        <f t="shared" si="218"/>
        <v>12</v>
      </c>
      <c r="EA166">
        <f>IF(D166="",0,MAX(IFERROR(--X166,0),IFERROR(--VLOOKUP(D166,УГО_спр,4,FALSE),IFERROR(--VLOOKUP(AT166,УГО_спр,4,FALSE),IFERROR(--VLOOKUP(LEFT(AT166,2),УГО_спр,4,FALSE),0)))))</f>
        <v>16</v>
      </c>
      <c r="EB166">
        <f>IF(D166="","",IFERROR(LOOKUP(INDEX(CHOOSE(BR166,Iдоп_1ж,Iдоп_2ж,Iдоп_3ж),MATCH(BS166,Iдоп_S,0))*BP166*BQ166,{6,10,16,20,25,32,40,50,63,80,100,125,160,200,250,315,400,500,630}),""))</f>
        <v>25</v>
      </c>
      <c r="EC166">
        <f>IF(AD166="","",SUMIFS(Линии[_Ток схемы],Линии[_гр.],DY166,Линии[Щит],A166,Линии[_в кабель выше],0))</f>
        <v>0.55000000000000004</v>
      </c>
      <c r="ED166">
        <f>IF(AD166="","",IFERROR(VLOOKUP(EC166,Автомат_номиналы,2,TRUE),""))</f>
        <v>6</v>
      </c>
      <c r="EE166">
        <f>IF(AD166="","",MAX(N(ED166),_xlfn.MAXIFS(Линии[_мин. по типу],Линии[_гр.],DY166,Линии[Щит],A166)))</f>
        <v>16</v>
      </c>
      <c r="EF166">
        <f>IF(AD166="","",_xlfn.MINIFS(Линии[_макс. автомат по кабелю],Линии[_гр.],DY166,Линии[Щит],A166))</f>
        <v>25</v>
      </c>
      <c r="EG166">
        <f>IF(AD166="","",MAX(1,_xlfn.MAXIFS(Линии[_фаз],Линии[_гр.],DY166,Линии[Щит],A166)))</f>
        <v>1</v>
      </c>
      <c r="EH166">
        <f>IF(AD166="","",IF(AND(AD166&lt;&gt;"авто",AD166&lt;&gt;"+"),IF(ISNUMBER(SEARCH("мА",AD166)),IFERROR(--TRIM(RIGHT(SUBSTITUTE(LEFT(AD166,SEARCH("мА",AD166)-1)," ",REPT(" ",9)),6)),30),0),IF(AE166="нет",0,IF(ISNUMBER(AE166),AE166,IF(AE166="да",30,_xlfn.MINIFS(Линии[_дифзащита по коду, мА],Линии[_гр.],DY166,Линии[Щит],A166,Линии[_дифзащита по коду, мА],"&gt;0"))))))</f>
        <v>30</v>
      </c>
      <c r="EI166">
        <f t="shared" si="219"/>
        <v>1</v>
      </c>
      <c r="EJ166" t="str">
        <f t="shared" si="220"/>
        <v>QFD12</v>
      </c>
      <c r="EK166" t="str">
        <f t="shared" si="221"/>
        <v>QFD12</v>
      </c>
      <c r="EL166" t="str">
        <f t="shared" si="222"/>
        <v/>
      </c>
      <c r="EM166">
        <f t="shared" si="223"/>
        <v>0</v>
      </c>
      <c r="EN166">
        <f>IF(AD166="","",IF(EM166=1,MAX(EE166,Мин_автомат_БП),EE166))</f>
        <v>16</v>
      </c>
      <c r="EO166" t="str">
        <f t="shared" si="224"/>
        <v>2P</v>
      </c>
      <c r="EP166" t="str">
        <f t="shared" si="225"/>
        <v>2P С16А 30мА</v>
      </c>
      <c r="EQ166">
        <f t="shared" si="226"/>
        <v>16</v>
      </c>
      <c r="ER166" t="str">
        <f>IF(OR(AI166="",AI166="-"),"",IFERROR(VLOOKUP(AI166,Модули_спр,2,FALSE),"R"))</f>
        <v/>
      </c>
      <c r="ES166" t="str">
        <f>IF(ER166="","",ER166&amp;"."&amp;COUNTIFS(A$3:A166,A166,ER$3:ER166,ER166))</f>
        <v/>
      </c>
      <c r="ET166" t="str">
        <f t="shared" si="227"/>
        <v/>
      </c>
      <c r="EU166" t="str">
        <f t="shared" si="228"/>
        <v/>
      </c>
      <c r="EV166" t="str">
        <f t="shared" si="229"/>
        <v/>
      </c>
      <c r="EW166" t="str">
        <f t="shared" si="230"/>
        <v/>
      </c>
      <c r="EX166">
        <f t="shared" si="231"/>
        <v>1</v>
      </c>
      <c r="EY166" t="str">
        <f>IF(AK166="нет","",IF(AK166&lt;&gt;"",AK166,IF(EX166=1,"XT"&amp;COUNTIFS(A$3:A166,A166,EX$3:EX166,1),"")))</f>
        <v/>
      </c>
      <c r="EZ166" t="str">
        <f t="shared" si="232"/>
        <v>QFD12</v>
      </c>
      <c r="FA166" t="str">
        <f t="shared" si="233"/>
        <v/>
      </c>
      <c r="FB166" t="str">
        <f t="shared" si="234"/>
        <v>ok</v>
      </c>
      <c r="FC166" t="str">
        <f>IF(OR(EV166="",ET166=""),"",IF(EV166&gt;IFERROR(VLOOKUP(EU166,Модули_спр,3,FALSE),99),"ЛИШНИЙ КАНАЛ",IF(AND(AJ166&lt;&gt;"=",COUNTIFS(Линии[_модуль гр.],ET166,Линии[Канал (итог)],EV166,Линии[Канал],"&lt;&gt;=",Линии[Щит],A166)&gt;1),"ДУБЛЬ КАНАЛА","")))</f>
        <v/>
      </c>
      <c r="FD166">
        <f t="shared" si="235"/>
        <v>16</v>
      </c>
      <c r="FE166" t="str">
        <f t="shared" si="236"/>
        <v>2P С16А 30мА</v>
      </c>
      <c r="FF166">
        <f t="shared" si="237"/>
        <v>1</v>
      </c>
      <c r="FG166">
        <f t="shared" si="238"/>
        <v>30</v>
      </c>
      <c r="FH166" t="str">
        <f t="shared" si="239"/>
        <v/>
      </c>
      <c r="FI166">
        <f t="shared" si="240"/>
        <v>10</v>
      </c>
      <c r="FJ166" t="str">
        <f t="shared" si="241"/>
        <v/>
      </c>
      <c r="FK166" t="str">
        <f>IF(AND(D166="",EZ166=""),"",_xlfn.TEXTJOIN("; ",TRUE,IF(AND(D166&lt;&gt;"",DD166=""),"нет фазы",""),IF(AND(D166&lt;&gt;"",N(DT166)=0,CN166&lt;&gt;"Нет"),"нет мощности",""),IF(AND(EY166&lt;&gt;"",COUNTIFS(Линии[Щит],A166,Линии[Клемма (итог)],EY166)&gt;1),"дубль клеммы "&amp;EY166,""),IF(AND(FB166&lt;&gt;"",FB166&lt;&gt;"ok"),FB166,""),IF(FC166&lt;&gt;"",FC166,""),IF(AND(ISNUMBER(SEARCH("(5х",DS166)),N(DV166)=1),"5 жил на 1 фазе",""),IF(AND(AT166="R",AD166&lt;&gt;"",OR(N(EH166)=0,N(EH166)&gt;30)),"розетка без дифзащиты до 30 мА",""),IFERROR(IF(AND(ISNUMBER(CD166),CD166&gt;CE166),"потери "&amp;FIXED(CD166,1)&amp;" % &gt; "&amp;CE166&amp;" %",""),""),IFERROR(IF(LEFT(FJ166,4)="мало","Iкз мало — отключение &gt; 0,4 с",""),""),IF(AND(D166&lt;&gt;"",BD166=""),"не на схеме","")))</f>
        <v/>
      </c>
      <c r="FL166">
        <f>IF(AD166="","",_xlfn.LET(_xlpm.t,IFERROR(_xlfn.XLOOKUP(EP166,Каталог!$U$4:$U$500,Каталог!$G$4:$G$500),""),_xlpm.k,SEARCH("кА",_xlpm.t),IFERROR(--TRIM(RIGHT(SUBSTITUTE(MID(_xlpm.t,MAX(1,_xlpm.k-4),_xlpm.k-MAX(1,_xlpm.k-4))," ",REPT(" ",9)),5)),"")))</f>
        <v>6</v>
      </c>
      <c r="FM166" t="str">
        <f>IF(OR(FL166="",AD166=""),"",IF(_xlfn.XLOOKUP(A166,Щиты[Щит],Щиты[Iкз max на шинах, кА],"")="","",IF(FL166&lt;_xlfn.XLOOKUP(A166,Щиты[Щит],Щиты[Iкз max на шинах, кА]),"Icu "&amp;FL166&amp;" кА &lt; Iкз max","ok")))</f>
        <v/>
      </c>
      <c r="FN166" t="str">
        <f t="shared" si="242"/>
        <v>QFD12</v>
      </c>
      <c r="FO166" t="str">
        <f t="shared" si="243"/>
        <v>QFD12|кабель ВВГнг(А)-LS (3х2,5) → Розеточная группа Подвальный этаж Пом. №002</v>
      </c>
      <c r="FP166" t="str" cm="1">
        <f t="array" ref="FP166">IF(FO166="","",_xlfn.LET(_xlpm.nd,_xlfn.TEXTSPLIT(FO166,"|"),IF(COLUMNS(_xlpm.nd)&gt;1,A166&amp;"¦"&amp;INDEX(_xlpm.nd,1)&amp;"¦"&amp;INDEX(_xlpm.nd,2),"")))</f>
        <v>ЩР-001¦QFD12¦кабель ВВГнг(А)-LS (3х2,5) → Розеточная группа Подвальный этаж Пом. №002</v>
      </c>
      <c r="FQ166" t="str">
        <f t="shared" si="244"/>
        <v>R.00.002.1А.1¦Розеточная группа Подвальный этаж Пом. №002</v>
      </c>
      <c r="FR166" t="str" cm="1">
        <f t="array" ref="FR166">IF(FO166="","",_xlfn.LET(_xlpm.nd,_xlfn.TEXTSPLIT(FO166,"|"),IF(COLUMNS(_xlpm.nd)&gt;2,A166&amp;"¦"&amp;INDEX(_xlpm.nd,2)&amp;"¦"&amp;INDEX(_xlpm.nd,3),"")))</f>
        <v/>
      </c>
      <c r="FS166" t="str">
        <f t="shared" si="245"/>
        <v/>
      </c>
      <c r="FT166" t="str" cm="1">
        <f t="array" ref="FT166">IF(FO166="","",_xlfn.LET(_xlpm.nd,_xlfn.TEXTSPLIT(FO166,"|"),IF(COLUMNS(_xlpm.nd)&gt;3,A166&amp;"¦"&amp;INDEX(_xlpm.nd,3)&amp;"¦"&amp;INDEX(_xlpm.nd,4),"")))</f>
        <v/>
      </c>
      <c r="FU166" t="str">
        <f t="shared" si="246"/>
        <v/>
      </c>
      <c r="FV166" t="str" cm="1">
        <f t="array" ref="FV166">IF(FO166="","",_xlfn.LET(_xlpm.nd,_xlfn.TEXTSPLIT(FO166,"|"),IF(COLUMNS(_xlpm.nd)&gt;4,A166&amp;"¦"&amp;INDEX(_xlpm.nd,4)&amp;"¦"&amp;INDEX(_xlpm.nd,5),"")))</f>
        <v/>
      </c>
      <c r="FW166" t="str">
        <f t="shared" si="247"/>
        <v/>
      </c>
      <c r="FX166" t="str" cm="1">
        <f t="array" ref="FX166">IF(FO166="","",_xlfn.LET(_xlpm.nd,_xlfn.TEXTSPLIT(FO166,"|"),IF(COLUMNS(_xlpm.nd)&gt;5,A166&amp;"¦"&amp;INDEX(_xlpm.nd,5)&amp;"¦"&amp;INDEX(_xlpm.nd,6),"")))</f>
        <v/>
      </c>
      <c r="FY166" t="str">
        <f t="shared" si="248"/>
        <v/>
      </c>
      <c r="FZ166" t="str" cm="1">
        <f t="array" ref="FZ166">IF(FO166="","",_xlfn.LET(_xlpm.nd,_xlfn.TEXTSPLIT(FO166,"|"),IF(COLUMNS(_xlpm.nd)&gt;6,A166&amp;"¦"&amp;INDEX(_xlpm.nd,6)&amp;"¦"&amp;INDEX(_xlpm.nd,7),"")))</f>
        <v/>
      </c>
      <c r="GA166" t="str">
        <f t="shared" si="249"/>
        <v/>
      </c>
      <c r="GB166" t="str">
        <f t="shared" si="250"/>
        <v/>
      </c>
      <c r="GC166" t="str">
        <f t="shared" si="251"/>
        <v>QFD12</v>
      </c>
      <c r="GD166">
        <f t="shared" si="252"/>
        <v>1</v>
      </c>
      <c r="GE166">
        <f t="shared" si="253"/>
        <v>0</v>
      </c>
      <c r="GF166">
        <f t="shared" si="254"/>
        <v>1</v>
      </c>
      <c r="GG166" t="str">
        <f t="shared" si="255"/>
        <v/>
      </c>
      <c r="GH166" t="str">
        <f t="shared" si="256"/>
        <v/>
      </c>
      <c r="GI166" t="str">
        <f t="shared" si="257"/>
        <v/>
      </c>
      <c r="GJ166" t="str">
        <f t="shared" si="258"/>
        <v/>
      </c>
      <c r="GK166" t="str">
        <f>IF(D166="","",IFERROR(VLOOKUP(D166,УГО_спр,2,FALSE),IFERROR(VLOOKUP(AT166,УГО_спр,2,FALSE),IFERROR(VLOOKUP(LEFT(AT166,2),УГО_спр,2,FALSE),""))))</f>
        <v>Розетка</v>
      </c>
      <c r="GL166" t="str">
        <f>IF(D166="","",IF(OR(GK166="",GK166=0),"BOX",IFERROR(IF(VLOOKUP(GK166,УГО_блоки,3,FALSE)&amp;""&lt;&gt;"",VLOOKUP(GK166,УГО_блоки,3,FALSE),VLOOKUP(GK166,УГО_блоки,2,FALSE)),GK166)))</f>
        <v>SOCKET</v>
      </c>
      <c r="GM166">
        <f t="shared" si="259"/>
        <v>1</v>
      </c>
      <c r="GN166" t="str">
        <f>IF(EP166="","",IF(COUNTIF(EP$3:EP166,EP166)=1,MAX(GN$2:GN165)+1,""))</f>
        <v/>
      </c>
      <c r="GO166" t="str">
        <f>IF(AF166="","",IF(COUNTIF(AF$3:AF166,AF166)+COUNTIF(AG$2:AG165,AF166)+COUNTIF(AH$2:AH165,AF166)=1,MAX(GO$2:GQ165)+1,""))</f>
        <v/>
      </c>
      <c r="GP166" t="str">
        <f>IF(AG166="","",IF(COUNTIF(AF$3:AF166,AG166)+COUNTIF(AG$3:AG166,AG166)+COUNTIF(AH$2:AH165,AG166)=1,MAX(GO$2:GQ165,GO166)+1,""))</f>
        <v/>
      </c>
      <c r="GQ166" t="str">
        <f>IF(AH166="","",IF(COUNTIF(AF$3:AF166,AH166)+COUNTIF(AG$3:AG166,AH166)+COUNTIF(AH$3:AH166,AH166)=1,MAX(GO$2:GQ165,GO166,GP166)+1,""))</f>
        <v/>
      </c>
      <c r="GR166" t="str">
        <f t="shared" si="260"/>
        <v>3х2,5</v>
      </c>
      <c r="GS166" t="str">
        <f>IF(GR166="","",IF(COUNTIF(GR$3:GR166,GR166)=1,MAX(GS$2:GS165)+1,""))</f>
        <v/>
      </c>
      <c r="GT166" t="str">
        <f>IF(ES166="","",COUNTIF(ES$3:ES166,"?*"))</f>
        <v/>
      </c>
      <c r="GU166" t="str">
        <f>IF(OR(ES166="",EU166=""),"",IF(COUNTIFS(ES$3:ES166,"?*",EU$3:EU166,EU166)=1,MAX(GU$2:GU165)+1,""))</f>
        <v/>
      </c>
      <c r="GV166">
        <f t="shared" si="261"/>
        <v>0</v>
      </c>
      <c r="GW166">
        <f>IF(D166="","",COUNTIF(D$3:D166,"?*"))</f>
        <v>164</v>
      </c>
      <c r="GX166">
        <f>IF(EX166&lt;&gt;1,0,_xlfn.LET(_xlpm.k,MAX(IFERROR(--VLOOKUP(D166,УГО_спр,5,FALSE),0),IFERROR(--VLOOKUP(AT166,УГО_спр,5,FALSE),0),IFERROR(--VLOOKUP(LEFT(AT166,2),УГО_спр,5,FALSE),0)),IF(_xlpm.k&gt;0,_xlpm.k,IF(IFERROR(--LEFT(SUBSTITUTE(GR166,"x","х"),FIND("х",SUBSTITUTE(GR166,"x","х"))-1),3)&gt;3,Каталог!$S$9,1))))</f>
        <v>1</v>
      </c>
      <c r="GY166">
        <f t="shared" si="262"/>
        <v>0</v>
      </c>
    </row>
    <row r="167" spans="1:207" x14ac:dyDescent="0.3">
      <c r="A167" t="s">
        <v>758</v>
      </c>
      <c r="B167">
        <v>22</v>
      </c>
      <c r="C167" t="str">
        <f>IF(BD167="","",IF(BE167="вводной узел","узел ","")&amp;"л."&amp;(INT((BD167-1)/Столбцов_на_лист)+1)&amp;" / "&amp;(MOD(BD167-1,Столбцов_на_лист)+1))</f>
        <v>л.2 / 5</v>
      </c>
      <c r="D167" t="s">
        <v>1471</v>
      </c>
      <c r="E167" s="133" t="str">
        <f t="shared" si="263"/>
        <v>Розеточная группа Подвальный этаж Пом. №006T</v>
      </c>
      <c r="G167">
        <v>0.12</v>
      </c>
      <c r="H167">
        <v>2</v>
      </c>
      <c r="I167">
        <v>1</v>
      </c>
      <c r="J167">
        <v>230</v>
      </c>
      <c r="K167" t="s">
        <v>566</v>
      </c>
      <c r="O167">
        <v>3</v>
      </c>
      <c r="P167">
        <v>60</v>
      </c>
      <c r="Q167">
        <v>33</v>
      </c>
      <c r="R167">
        <v>36</v>
      </c>
      <c r="S167">
        <v>18</v>
      </c>
      <c r="U167" t="s">
        <v>11</v>
      </c>
      <c r="V167">
        <v>3</v>
      </c>
      <c r="W167">
        <v>2.5</v>
      </c>
      <c r="X167">
        <v>16</v>
      </c>
      <c r="Z167" t="s">
        <v>565</v>
      </c>
      <c r="AA167" t="s">
        <v>818</v>
      </c>
      <c r="AD167" t="s">
        <v>517</v>
      </c>
      <c r="AK167" t="s">
        <v>488</v>
      </c>
      <c r="AR167" t="str">
        <f t="shared" si="176"/>
        <v/>
      </c>
      <c r="AS167" cm="1">
        <f t="array" ref="AS167">ROW()-ROW(Линии[#Headers])</f>
        <v>165</v>
      </c>
      <c r="AT167" t="str">
        <f t="shared" si="177"/>
        <v>R</v>
      </c>
      <c r="AU167" t="str">
        <f t="shared" si="178"/>
        <v>00.006T.1</v>
      </c>
      <c r="AV167" t="str">
        <f t="shared" si="179"/>
        <v>00</v>
      </c>
      <c r="AW167" t="str">
        <f t="shared" si="180"/>
        <v>006T.1</v>
      </c>
      <c r="AX167" t="str">
        <f t="shared" si="181"/>
        <v>006T</v>
      </c>
      <c r="AY167" t="str">
        <f>IF(D167="","",IF(ISERROR(SEARCH(".",D167)),IFERROR(VLOOKUP(D167,Потребители_обозначение,2,FALSE)&amp;"",""),IFERROR(IF(VLOOKUP(AT167,Потребители_обозначение,4,FALSE)=1,VLOOKUP(AT167,Потребители_обозначение,2,FALSE)&amp;" "&amp;VLOOKUP(AV167,Этаж_обозначение,2,FALSE)&amp;" Пом. №"&amp;AX167,VLOOKUP(AT167,Потребители_обозначение,2,FALSE)&amp;" Шлейф №"&amp;AV167),IFERROR(VLOOKUP(D167,Потребители_обозначение,2,FALSE),""))))</f>
        <v>Розеточная группа Подвальный этаж Пом. №006T</v>
      </c>
      <c r="AZ167" t="str">
        <f t="shared" si="182"/>
        <v>Розеточная группа Подвальный этаж Пом. №006T</v>
      </c>
      <c r="BA167" t="str">
        <f>IF(F167&lt;&gt;"",F167,IF(AND(D167&lt;&gt;"",D167&lt;&gt;A167,ISNUMBER(_xlfn.XMATCH(D167,Щиты[Щит]))),D167,""))</f>
        <v/>
      </c>
      <c r="BB167">
        <f>IFERROR(_xlfn.XMATCH(A167,Щиты[Щит]),0)</f>
        <v>8</v>
      </c>
      <c r="BC167">
        <f>IFERROR(N(_xlfn.XLOOKUP(A167,Щиты[Щит],Щиты[Мест под вводной узел])),15)</f>
        <v>7</v>
      </c>
      <c r="BD167">
        <f t="shared" si="183"/>
        <v>22</v>
      </c>
      <c r="BE167" t="str">
        <f t="shared" si="184"/>
        <v>линии</v>
      </c>
      <c r="BF167">
        <f>IF(D167="","",IF(BA167&lt;&gt;"",IFERROR(_xlfn.XLOOKUP(BA167,Щиты[Щит],Щиты[Руст, кВт]),0),N(G167)))</f>
        <v>0.12</v>
      </c>
      <c r="BG167">
        <f>IF(J167&lt;&gt;"",J167,IF(D167="","",IFERROR(IF(VLOOKUP(AT167,Потребители_обозначение,8,FALSE)=0,"",VLOOKUP(AT167,Потребители_обозначение,8,FALSE)),"")))</f>
        <v>230</v>
      </c>
      <c r="BH167">
        <f>IF(I167&lt;&gt;"",I167,IF(D167="","",IFERROR(IF(VLOOKUP(AT167,Потребители_обозначение,9,FALSE)=0,"",VLOOKUP(AT167,Потребители_обозначение,9,FALSE)),"")))</f>
        <v>1</v>
      </c>
      <c r="BI167" t="str">
        <f>IF(U167&lt;&gt;"",U167,IF(D167="","",IFERROR(IF(VLOOKUP(AT167,Потребители_обозначение,6,FALSE)=0,"",VLOOKUP(AT167,Потребители_обозначение,6,FALSE)),"")))</f>
        <v>мс</v>
      </c>
      <c r="BJ167">
        <f>IF(V167&lt;&gt;"",V167,IF(D167="","",IFERROR(IF(VLOOKUP(AT167,Потребители_обозначение,7,FALSE)=0,"",VLOOKUP(AT167,Потребители_обозначение,7,FALSE)),"")))</f>
        <v>3</v>
      </c>
      <c r="BK167">
        <f>IF(W167&lt;&gt;"",W167,IF(D167="","",IFERROR(IF(VLOOKUP(AT167,Потребители_обозначение,10,FALSE)=0,"",VLOOKUP(AT167,Потребители_обозначение,10,FALSE)),"")))</f>
        <v>2.5</v>
      </c>
      <c r="BL167">
        <f>IFERROR(VLOOKUP(AT167,Потребители_обозначение,5,FALSE),0)</f>
        <v>1</v>
      </c>
      <c r="BM167" cm="1">
        <f t="array" ref="BM167">IF(D167="","",IF(BA167&lt;&gt;"",IFERROR(_xlfn.XLOOKUP(BA167,Щиты[Щит],Щиты[cos φ]),0.95),IF(ISNUMBER(M167),M167,IFERROR(IF(BL167=2,_xlfn.IFS(BH167=3,VLOOKUP(BF167,Справочная_двигатели,8,FALSE),BH167=1,VLOOKUP(BF167,Справочная_двигатели,10,TRUE)),IF(AND(Методика="нормы 2026",CN167="Сил"),0.8,0.95)),0.95))))</f>
        <v>0.95</v>
      </c>
      <c r="BN167" cm="1">
        <f t="array" ref="BN167">IF(D167="","",IF(BA167&lt;&gt;"",IFERROR(_xlfn.XLOOKUP(BA167,Щиты[Щит],Щиты[Iр, А]),""),IFERROR(_xlfn.IFS(BH167=1,BF167/((Uн_лин/SQRT(3))*BM167),BH167=3,BF167/(SQRT(3)*Uн_лин*BM167)),"")))</f>
        <v>0.54696341291648753</v>
      </c>
      <c r="BO167">
        <f>IF(D167="","",IF(N(X167)=0,IFERROR(VLOOKUP(BN167,Автомат_номиналы,2,TRUE),""),X167))</f>
        <v>16</v>
      </c>
      <c r="BP167">
        <f t="shared" si="185"/>
        <v>1</v>
      </c>
      <c r="BQ167">
        <f>IF(ISNUMBER(Y167),Y167,К_прокл)</f>
        <v>1</v>
      </c>
      <c r="BR167">
        <f t="shared" si="186"/>
        <v>2</v>
      </c>
      <c r="BS167" cm="1">
        <f t="array" ref="BS167">IF(D167="","",IF(N(BK167)&lt;&gt;0,BK167,IFERROR(_xlfn.LET(_xlpm.need,BO167/(BP167*BQ167),_xlpm.t,CHOOSE(BR167,Iдоп_1ж,Iдоп_2ж,Iдоп_3ж),_xlpm.k,_xlfn.XMATCH(_xlpm.need,_xlpm.t,1),IF(ISNA(_xlpm.k),"Не исп",INDEX(Iдоп_S,_xlpm.k))),"Не исп")))</f>
        <v>2.5</v>
      </c>
      <c r="BT167">
        <f>IFERROR(VLOOKUP(BS167,Кабель_сопротивление,3,FALSE),"")</f>
        <v>2.2499999999999999E-2</v>
      </c>
      <c r="BU167">
        <f>IFERROR(VLOOKUP(BS167,Кабель_сопротивление,2,FALSE),"")</f>
        <v>0.1</v>
      </c>
      <c r="BV167">
        <f t="shared" si="187"/>
        <v>60</v>
      </c>
      <c r="BW167">
        <f>IF(D167="","",IFERROR(IF(VLOOKUP(AT167,Потребители_обозначение,4,FALSE)=1,VLOOKUP(AT167,Потребители_обозначение,3,FALSE)*(H167*2-1)+BV167+VLOOKUP(AV167,Этаж_обозначение,3,FALSE)+VLOOKUP(AV167,Этаж_обозначение,4,FALSE),VLOOKUP(AT167,Потребители_обозначение,3,FALSE)*(H167*2-1)+BV167),BV167))</f>
        <v>69</v>
      </c>
      <c r="BX167">
        <f t="shared" si="188"/>
        <v>36</v>
      </c>
      <c r="BY167">
        <f t="shared" si="189"/>
        <v>18</v>
      </c>
      <c r="BZ167">
        <f t="shared" si="190"/>
        <v>2</v>
      </c>
      <c r="CA167">
        <f t="shared" si="191"/>
        <v>0.31</v>
      </c>
      <c r="CB167">
        <f t="shared" si="192"/>
        <v>0.6477020403806204</v>
      </c>
      <c r="CC167">
        <f>IFERROR(ROUNDUP(CB167/((Uн_лин/SQRT(3))*1000)*100,2),"")</f>
        <v>0.29000000000000004</v>
      </c>
      <c r="CD167">
        <f>IF(ISNUMBER(CC167),CC167+IFERROR(_xlfn.XLOOKUP(A167,Щиты[Щит],Щиты[ΔU до шин, %]),0),"")</f>
        <v>1.86</v>
      </c>
      <c r="CE167">
        <f>IF(D167="","",IF(IFERROR(VLOOKUP(AT167,УГО_спр,2,FALSE),"")="Светильник",3,4)+IF(Методика="нормы 2026",MIN(0.5,MAX(0,N(BW167)-100)*0.005),0))</f>
        <v>4</v>
      </c>
      <c r="CF167" t="str">
        <f>IFERROR(VLOOKUP(BI167,Кабель_обозначение,2,FALSE),"")</f>
        <v>ВВГнг(А)-LS</v>
      </c>
      <c r="CG167" t="str">
        <f>IFERROR(IF(VLOOKUP(BI167,Кабель_обозначение,3,FALSE)=1,CF167&amp;" ("&amp;BJ167&amp;"х"&amp;BS167&amp;")",CF167),"")</f>
        <v>ВВГнг(А)-LS (3х2,5)</v>
      </c>
      <c r="CH167" t="str">
        <f t="shared" si="193"/>
        <v>ВВГнг(А)-LS (3х2,5)
L=69-0,29%</v>
      </c>
      <c r="CI167">
        <f>IFERROR(2*ρкз_Cu*BW167/BS167,"")</f>
        <v>1.4517599999999999</v>
      </c>
      <c r="CJ167">
        <f t="shared" si="194"/>
        <v>0.48299999999999998</v>
      </c>
      <c r="CK167" t="str">
        <f>IFERROR(IF(OR(D167="",NOT(ISNUMBER(BS167)),N(BW167)=0),"",_xlfn.XLOOKUP(A167,Щиты[Щит],Щиты[Zпетли на шинах, Ом])+CI167),"")</f>
        <v/>
      </c>
      <c r="CL167" t="str">
        <f>IF(ISNUMBER(CK167),c_min*(Uн_лин*1000/SQRT(3))/CK167,"")</f>
        <v/>
      </c>
      <c r="CM167" t="str">
        <f>IFERROR(IF(OR(D167="",NOT(ISNUMBER(BS167))),"",1.05*(Uн_лин*1000/SQRT(3))/(_xlfn.XLOOKUP(A167,Щиты[Щит],Щиты[Zmax на шинах, Ом])+CJ167)/1000),"")</f>
        <v/>
      </c>
      <c r="CN167" t="str">
        <f>IF(D167="","",IF(BA167&lt;&gt;"","Щит",IF(K167&lt;&gt;"",K167,IF(ISNUMBER(L167),"Сил",IF(IFERROR(_xlfn.XLOOKUP(AT167,Коды_код,Коды_группа)&amp;"","")="","Быт",_xlfn.XLOOKUP(AT167,Коды_код,Коды_группа)&amp;"")))))</f>
        <v>Быт</v>
      </c>
      <c r="CO167">
        <f>IF(CN167="Щит","щит",IF(CN167="","",IF(CN167="Быт",IFERROR(_xlfn.XLOOKUP(A167,Щиты[Щит],Щиты[Кс быт]),1),IF(CN167="Сил",IF(ISNUMBER(L167),L167,IF(Методика="нормы 2026",IFERROR(_xlfn.XLOOKUP(A167,Щиты[Щит],Щиты[Кс силовых (табл. 7.5)]),1),1)),IF(OR(CN167="Пост",CN167="Отоп"),1,IF(CN167="ВНГ",0.7,0))))))</f>
        <v>0.8</v>
      </c>
      <c r="CP167">
        <f t="shared" si="195"/>
        <v>1</v>
      </c>
      <c r="CQ167">
        <f t="shared" si="196"/>
        <v>0.12</v>
      </c>
      <c r="CR167">
        <f t="shared" si="197"/>
        <v>0.12</v>
      </c>
      <c r="CS167">
        <f t="shared" si="198"/>
        <v>0</v>
      </c>
      <c r="CT167">
        <f t="shared" si="199"/>
        <v>0</v>
      </c>
      <c r="CU167">
        <f t="shared" si="200"/>
        <v>0</v>
      </c>
      <c r="CV167">
        <f t="shared" si="201"/>
        <v>0</v>
      </c>
      <c r="CW167">
        <f t="shared" si="202"/>
        <v>0.12</v>
      </c>
      <c r="CX167">
        <f t="shared" si="203"/>
        <v>0.11399999999999999</v>
      </c>
      <c r="CY167">
        <f t="shared" si="204"/>
        <v>1</v>
      </c>
      <c r="CZ167" t="str">
        <f t="shared" si="205"/>
        <v>L1</v>
      </c>
      <c r="DA167" cm="1">
        <f t="array" ref="DA167">IFERROR(IF(BL167=2,_xlfn.IFS(BH167=3,VLOOKUP(BF167,Справочная_двигатели,3,FALSE),BH167=1,VLOOKUP(BF167,Справочная_двигатели,5,TRUE)),0),0)</f>
        <v>0</v>
      </c>
      <c r="DB167">
        <f>IFERROR(IF(BL167=3,VLOOKUP(BF167,Справочная_ЛЭД,2,TRUE),0),0)</f>
        <v>0</v>
      </c>
      <c r="DC167">
        <f t="shared" si="206"/>
        <v>0</v>
      </c>
      <c r="DD167" t="str">
        <f t="shared" si="207"/>
        <v>L3</v>
      </c>
      <c r="DE167" t="str" cm="1">
        <f t="array" ref="DE167">IF(D167="","",IFERROR(INDEX({"I особая","I","II","III"},MATCH(TRIM(AA167&amp;""),{"I особая","I","II","III"},0)),"III"))</f>
        <v>II</v>
      </c>
      <c r="DF167" t="str">
        <f>IF(D167="","",IF(TRIM(AB167&amp;"")&lt;&gt;"",IF(LOWER(TRIM(AB167&amp;""))="да","да","нет"),IF(IFERROR(_xlfn.XLOOKUP(AT167,Коды_код,Коды_пожарная),"")="да","да","нет")))</f>
        <v>нет</v>
      </c>
      <c r="DG167" t="str">
        <f t="shared" si="208"/>
        <v/>
      </c>
      <c r="DH167" t="str">
        <f t="shared" si="209"/>
        <v>основная</v>
      </c>
      <c r="DI167">
        <f t="shared" si="210"/>
        <v>1</v>
      </c>
      <c r="DJ167" t="str" cm="1">
        <f t="array" ref="DJ167">IF(D167="","",_xlfn.LET(_xlpm.t,IFERROR(_xlfn.XLOOKUP(1,(Шины[Шина]=DH167)*(((Шины[Щит]=A167)+(Шины[Щит]=""))&gt;0),Шины[Тип]),"")&amp;"",IF(_xlpm.t&lt;&gt;"",_xlpm.t,IF(ISNUMBER(SEARCH("ИБП",DH167)),"ИБП",IF(ISNUMBER(SEARCH("ДГУ",DH167)),"ДГУ","Ввод "&amp;DI167)))))</f>
        <v>Ввод 1</v>
      </c>
      <c r="DK167" t="str">
        <f t="shared" si="211"/>
        <v>Ввод 1</v>
      </c>
      <c r="DL167" t="str">
        <f>IF(D167="","",IF(OR(DJ167="ИБП",DJ167="ДГУ"),"I особая",IF(DJ167="Одиночная","III",_xlfn.XLOOKUP(A167,Щиты[Щит],Щиты[Категория шины «Ввод»],"III"))))</f>
        <v>II</v>
      </c>
      <c r="DM167">
        <f>IF(D167="",0,IFERROR(MATCH(DE167,{"III","II","I","I особая"},0),1))</f>
        <v>2</v>
      </c>
      <c r="DN167">
        <f t="shared" si="212"/>
        <v>2</v>
      </c>
      <c r="DO167" t="str">
        <f>IF(D167="","",IF(DM167&gt;IFERROR(MATCH(DL167,{"III","II","I","I особая"},0),1),"НЕ ОБЕСПЕЧЕНА","ОК"))</f>
        <v>ОК</v>
      </c>
      <c r="DP167" t="str">
        <f>IF(A167="","",_xlfn.XLOOKUP(A167,Щиты[Щит],Щиты[Путь],""))</f>
        <v>|ГРЩ-ЖД|ЩР-001|</v>
      </c>
      <c r="DQ167" t="str">
        <f>IF(D167="","",IF(Z167&lt;&gt;"",Z167,IF(IFERROR(_xlfn.XLOOKUP(AT167,Коды_код,Коды_вид)&amp;"","")="","Прочее",_xlfn.XLOOKUP(AT167,Коды_код,Коды_вид)&amp;"")))</f>
        <v>Розеточная сеть и бытовые приборы</v>
      </c>
      <c r="DR167">
        <f>IF(BD167="","",INT((BD167-1)/Столбцов_на_лист)+1)</f>
        <v>2</v>
      </c>
      <c r="DS167" t="str">
        <f t="shared" si="213"/>
        <v>ВВГнг(А)-LS (3х2,5) L=69-0,29%</v>
      </c>
      <c r="DT167">
        <f t="shared" si="214"/>
        <v>0.12</v>
      </c>
      <c r="DU167">
        <f t="shared" si="215"/>
        <v>0.55000000000000004</v>
      </c>
      <c r="DV167">
        <f t="shared" si="216"/>
        <v>1</v>
      </c>
      <c r="DW167">
        <f>IF(AT167="",0,_xlfn.LET(_xlpm.v,IFERROR(VLOOKUP(D167,УГО_спр,3,FALSE),IFERROR(VLOOKUP(AT167,УГО_спр,3,FALSE),IFERROR(VLOOKUP(LEFT(AT167,2),УГО_спр,3,FALSE),""))),IF(_xlpm.v="да",30,IF(ISNUMBER(_xlpm.v),_xlpm.v,0))))</f>
        <v>30</v>
      </c>
      <c r="DX167">
        <f t="shared" si="217"/>
        <v>0</v>
      </c>
      <c r="DY167">
        <f>IF(BD167="","",IF(AD167&lt;&gt;"",COUNTIFS(A$3:A167,A167,AD$3:AD167,"?*"),IF(OR(OR(AS167=1,A167&lt;&gt;A166),AL167="вручную"),"",IF(AS167=1,"",DZ166))))</f>
        <v>13</v>
      </c>
      <c r="DZ167">
        <f t="shared" si="218"/>
        <v>13</v>
      </c>
      <c r="EA167">
        <f>IF(D167="",0,MAX(IFERROR(--X167,0),IFERROR(--VLOOKUP(D167,УГО_спр,4,FALSE),IFERROR(--VLOOKUP(AT167,УГО_спр,4,FALSE),IFERROR(--VLOOKUP(LEFT(AT167,2),УГО_спр,4,FALSE),0)))))</f>
        <v>16</v>
      </c>
      <c r="EB167">
        <f>IF(D167="","",IFERROR(LOOKUP(INDEX(CHOOSE(BR167,Iдоп_1ж,Iдоп_2ж,Iдоп_3ж),MATCH(BS167,Iдоп_S,0))*BP167*BQ167,{6,10,16,20,25,32,40,50,63,80,100,125,160,200,250,315,400,500,630}),""))</f>
        <v>25</v>
      </c>
      <c r="EC167">
        <f>IF(AD167="","",SUMIFS(Линии[_Ток схемы],Линии[_гр.],DY167,Линии[Щит],A167,Линии[_в кабель выше],0))</f>
        <v>0.55000000000000004</v>
      </c>
      <c r="ED167">
        <f>IF(AD167="","",IFERROR(VLOOKUP(EC167,Автомат_номиналы,2,TRUE),""))</f>
        <v>6</v>
      </c>
      <c r="EE167">
        <f>IF(AD167="","",MAX(N(ED167),_xlfn.MAXIFS(Линии[_мин. по типу],Линии[_гр.],DY167,Линии[Щит],A167)))</f>
        <v>16</v>
      </c>
      <c r="EF167">
        <f>IF(AD167="","",_xlfn.MINIFS(Линии[_макс. автомат по кабелю],Линии[_гр.],DY167,Линии[Щит],A167))</f>
        <v>25</v>
      </c>
      <c r="EG167">
        <f>IF(AD167="","",MAX(1,_xlfn.MAXIFS(Линии[_фаз],Линии[_гр.],DY167,Линии[Щит],A167)))</f>
        <v>1</v>
      </c>
      <c r="EH167">
        <f>IF(AD167="","",IF(AND(AD167&lt;&gt;"авто",AD167&lt;&gt;"+"),IF(ISNUMBER(SEARCH("мА",AD167)),IFERROR(--TRIM(RIGHT(SUBSTITUTE(LEFT(AD167,SEARCH("мА",AD167)-1)," ",REPT(" ",9)),6)),30),0),IF(AE167="нет",0,IF(ISNUMBER(AE167),AE167,IF(AE167="да",30,_xlfn.MINIFS(Линии[_дифзащита по коду, мА],Линии[_гр.],DY167,Линии[Щит],A167,Линии[_дифзащита по коду, мА],"&gt;0"))))))</f>
        <v>30</v>
      </c>
      <c r="EI167">
        <f t="shared" si="219"/>
        <v>1</v>
      </c>
      <c r="EJ167" t="str">
        <f t="shared" si="220"/>
        <v>QFD13</v>
      </c>
      <c r="EK167" t="str">
        <f t="shared" si="221"/>
        <v>QFD13</v>
      </c>
      <c r="EL167" t="str">
        <f t="shared" si="222"/>
        <v/>
      </c>
      <c r="EM167">
        <f t="shared" si="223"/>
        <v>0</v>
      </c>
      <c r="EN167">
        <f>IF(AD167="","",IF(EM167=1,MAX(EE167,Мин_автомат_БП),EE167))</f>
        <v>16</v>
      </c>
      <c r="EO167" t="str">
        <f t="shared" si="224"/>
        <v>2P</v>
      </c>
      <c r="EP167" t="str">
        <f t="shared" si="225"/>
        <v>2P С16А 30мА</v>
      </c>
      <c r="EQ167">
        <f t="shared" si="226"/>
        <v>16</v>
      </c>
      <c r="ER167" t="str">
        <f>IF(OR(AI167="",AI167="-"),"",IFERROR(VLOOKUP(AI167,Модули_спр,2,FALSE),"R"))</f>
        <v/>
      </c>
      <c r="ES167" t="str">
        <f>IF(ER167="","",ER167&amp;"."&amp;COUNTIFS(A$3:A167,A167,ER$3:ER167,ER167))</f>
        <v/>
      </c>
      <c r="ET167" t="str">
        <f t="shared" si="227"/>
        <v/>
      </c>
      <c r="EU167" t="str">
        <f t="shared" si="228"/>
        <v/>
      </c>
      <c r="EV167" t="str">
        <f t="shared" si="229"/>
        <v/>
      </c>
      <c r="EW167" t="str">
        <f t="shared" si="230"/>
        <v/>
      </c>
      <c r="EX167">
        <f t="shared" si="231"/>
        <v>1</v>
      </c>
      <c r="EY167" t="str">
        <f>IF(AK167="нет","",IF(AK167&lt;&gt;"",AK167,IF(EX167=1,"XT"&amp;COUNTIFS(A$3:A167,A167,EX$3:EX167,1),"")))</f>
        <v/>
      </c>
      <c r="EZ167" t="str">
        <f t="shared" si="232"/>
        <v>QFD13</v>
      </c>
      <c r="FA167" t="str">
        <f t="shared" si="233"/>
        <v/>
      </c>
      <c r="FB167" t="str">
        <f t="shared" si="234"/>
        <v>ok</v>
      </c>
      <c r="FC167" t="str">
        <f>IF(OR(EV167="",ET167=""),"",IF(EV167&gt;IFERROR(VLOOKUP(EU167,Модули_спр,3,FALSE),99),"ЛИШНИЙ КАНАЛ",IF(AND(AJ167&lt;&gt;"=",COUNTIFS(Линии[_модуль гр.],ET167,Линии[Канал (итог)],EV167,Линии[Канал],"&lt;&gt;=",Линии[Щит],A167)&gt;1),"ДУБЛЬ КАНАЛА","")))</f>
        <v/>
      </c>
      <c r="FD167">
        <f t="shared" si="235"/>
        <v>16</v>
      </c>
      <c r="FE167" t="str">
        <f t="shared" si="236"/>
        <v>2P С16А 30мА</v>
      </c>
      <c r="FF167">
        <f t="shared" si="237"/>
        <v>1</v>
      </c>
      <c r="FG167">
        <f t="shared" si="238"/>
        <v>30</v>
      </c>
      <c r="FH167" t="str">
        <f t="shared" si="239"/>
        <v/>
      </c>
      <c r="FI167">
        <f t="shared" si="240"/>
        <v>10</v>
      </c>
      <c r="FJ167" t="str">
        <f t="shared" si="241"/>
        <v/>
      </c>
      <c r="FK167" t="str">
        <f>IF(AND(D167="",EZ167=""),"",_xlfn.TEXTJOIN("; ",TRUE,IF(AND(D167&lt;&gt;"",DD167=""),"нет фазы",""),IF(AND(D167&lt;&gt;"",N(DT167)=0,CN167&lt;&gt;"Нет"),"нет мощности",""),IF(AND(EY167&lt;&gt;"",COUNTIFS(Линии[Щит],A167,Линии[Клемма (итог)],EY167)&gt;1),"дубль клеммы "&amp;EY167,""),IF(AND(FB167&lt;&gt;"",FB167&lt;&gt;"ok"),FB167,""),IF(FC167&lt;&gt;"",FC167,""),IF(AND(ISNUMBER(SEARCH("(5х",DS167)),N(DV167)=1),"5 жил на 1 фазе",""),IF(AND(AT167="R",AD167&lt;&gt;"",OR(N(EH167)=0,N(EH167)&gt;30)),"розетка без дифзащиты до 30 мА",""),IFERROR(IF(AND(ISNUMBER(CD167),CD167&gt;CE167),"потери "&amp;FIXED(CD167,1)&amp;" % &gt; "&amp;CE167&amp;" %",""),""),IFERROR(IF(LEFT(FJ167,4)="мало","Iкз мало — отключение &gt; 0,4 с",""),""),IF(AND(D167&lt;&gt;"",BD167=""),"не на схеме","")))</f>
        <v/>
      </c>
      <c r="FL167">
        <f>IF(AD167="","",_xlfn.LET(_xlpm.t,IFERROR(_xlfn.XLOOKUP(EP167,Каталог!$U$4:$U$500,Каталог!$G$4:$G$500),""),_xlpm.k,SEARCH("кА",_xlpm.t),IFERROR(--TRIM(RIGHT(SUBSTITUTE(MID(_xlpm.t,MAX(1,_xlpm.k-4),_xlpm.k-MAX(1,_xlpm.k-4))," ",REPT(" ",9)),5)),"")))</f>
        <v>6</v>
      </c>
      <c r="FM167" t="str">
        <f>IF(OR(FL167="",AD167=""),"",IF(_xlfn.XLOOKUP(A167,Щиты[Щит],Щиты[Iкз max на шинах, кА],"")="","",IF(FL167&lt;_xlfn.XLOOKUP(A167,Щиты[Щит],Щиты[Iкз max на шинах, кА]),"Icu "&amp;FL167&amp;" кА &lt; Iкз max","ok")))</f>
        <v/>
      </c>
      <c r="FN167" t="str">
        <f t="shared" si="242"/>
        <v>QFD13</v>
      </c>
      <c r="FO167" t="str">
        <f t="shared" si="243"/>
        <v>QFD13|кабель ВВГнг(А)-LS (3х2,5) → Розеточная группа Подвальный этаж Пом. №006T</v>
      </c>
      <c r="FP167" t="str" cm="1">
        <f t="array" ref="FP167">IF(FO167="","",_xlfn.LET(_xlpm.nd,_xlfn.TEXTSPLIT(FO167,"|"),IF(COLUMNS(_xlpm.nd)&gt;1,A167&amp;"¦"&amp;INDEX(_xlpm.nd,1)&amp;"¦"&amp;INDEX(_xlpm.nd,2),"")))</f>
        <v>ЩР-001¦QFD13¦кабель ВВГнг(А)-LS (3х2,5) → Розеточная группа Подвальный этаж Пом. №006T</v>
      </c>
      <c r="FQ167" t="str">
        <f t="shared" si="244"/>
        <v>R.00.006T.1¦Розеточная группа Подвальный этаж Пом. №006T</v>
      </c>
      <c r="FR167" t="str" cm="1">
        <f t="array" ref="FR167">IF(FO167="","",_xlfn.LET(_xlpm.nd,_xlfn.TEXTSPLIT(FO167,"|"),IF(COLUMNS(_xlpm.nd)&gt;2,A167&amp;"¦"&amp;INDEX(_xlpm.nd,2)&amp;"¦"&amp;INDEX(_xlpm.nd,3),"")))</f>
        <v/>
      </c>
      <c r="FS167" t="str">
        <f t="shared" si="245"/>
        <v/>
      </c>
      <c r="FT167" t="str" cm="1">
        <f t="array" ref="FT167">IF(FO167="","",_xlfn.LET(_xlpm.nd,_xlfn.TEXTSPLIT(FO167,"|"),IF(COLUMNS(_xlpm.nd)&gt;3,A167&amp;"¦"&amp;INDEX(_xlpm.nd,3)&amp;"¦"&amp;INDEX(_xlpm.nd,4),"")))</f>
        <v/>
      </c>
      <c r="FU167" t="str">
        <f t="shared" si="246"/>
        <v/>
      </c>
      <c r="FV167" t="str" cm="1">
        <f t="array" ref="FV167">IF(FO167="","",_xlfn.LET(_xlpm.nd,_xlfn.TEXTSPLIT(FO167,"|"),IF(COLUMNS(_xlpm.nd)&gt;4,A167&amp;"¦"&amp;INDEX(_xlpm.nd,4)&amp;"¦"&amp;INDEX(_xlpm.nd,5),"")))</f>
        <v/>
      </c>
      <c r="FW167" t="str">
        <f t="shared" si="247"/>
        <v/>
      </c>
      <c r="FX167" t="str" cm="1">
        <f t="array" ref="FX167">IF(FO167="","",_xlfn.LET(_xlpm.nd,_xlfn.TEXTSPLIT(FO167,"|"),IF(COLUMNS(_xlpm.nd)&gt;5,A167&amp;"¦"&amp;INDEX(_xlpm.nd,5)&amp;"¦"&amp;INDEX(_xlpm.nd,6),"")))</f>
        <v/>
      </c>
      <c r="FY167" t="str">
        <f t="shared" si="248"/>
        <v/>
      </c>
      <c r="FZ167" t="str" cm="1">
        <f t="array" ref="FZ167">IF(FO167="","",_xlfn.LET(_xlpm.nd,_xlfn.TEXTSPLIT(FO167,"|"),IF(COLUMNS(_xlpm.nd)&gt;6,A167&amp;"¦"&amp;INDEX(_xlpm.nd,6)&amp;"¦"&amp;INDEX(_xlpm.nd,7),"")))</f>
        <v/>
      </c>
      <c r="GA167" t="str">
        <f t="shared" si="249"/>
        <v/>
      </c>
      <c r="GB167" t="str">
        <f t="shared" si="250"/>
        <v/>
      </c>
      <c r="GC167" t="str">
        <f t="shared" si="251"/>
        <v>QFD13</v>
      </c>
      <c r="GD167">
        <f t="shared" si="252"/>
        <v>1</v>
      </c>
      <c r="GE167">
        <f t="shared" si="253"/>
        <v>0</v>
      </c>
      <c r="GF167">
        <f t="shared" si="254"/>
        <v>1</v>
      </c>
      <c r="GG167" t="str">
        <f t="shared" si="255"/>
        <v/>
      </c>
      <c r="GH167" t="str">
        <f t="shared" si="256"/>
        <v/>
      </c>
      <c r="GI167" t="str">
        <f t="shared" si="257"/>
        <v/>
      </c>
      <c r="GJ167" t="str">
        <f t="shared" si="258"/>
        <v/>
      </c>
      <c r="GK167" t="str">
        <f>IF(D167="","",IFERROR(VLOOKUP(D167,УГО_спр,2,FALSE),IFERROR(VLOOKUP(AT167,УГО_спр,2,FALSE),IFERROR(VLOOKUP(LEFT(AT167,2),УГО_спр,2,FALSE),""))))</f>
        <v>Розетка</v>
      </c>
      <c r="GL167" t="str">
        <f>IF(D167="","",IF(OR(GK167="",GK167=0),"BOX",IFERROR(IF(VLOOKUP(GK167,УГО_блоки,3,FALSE)&amp;""&lt;&gt;"",VLOOKUP(GK167,УГО_блоки,3,FALSE),VLOOKUP(GK167,УГО_блоки,2,FALSE)),GK167)))</f>
        <v>SOCKET</v>
      </c>
      <c r="GM167">
        <f t="shared" si="259"/>
        <v>1</v>
      </c>
      <c r="GN167" t="str">
        <f>IF(EP167="","",IF(COUNTIF(EP$3:EP167,EP167)=1,MAX(GN$2:GN166)+1,""))</f>
        <v/>
      </c>
      <c r="GO167" t="str">
        <f>IF(AF167="","",IF(COUNTIF(AF$3:AF167,AF167)+COUNTIF(AG$2:AG166,AF167)+COUNTIF(AH$2:AH166,AF167)=1,MAX(GO$2:GQ166)+1,""))</f>
        <v/>
      </c>
      <c r="GP167" t="str">
        <f>IF(AG167="","",IF(COUNTIF(AF$3:AF167,AG167)+COUNTIF(AG$3:AG167,AG167)+COUNTIF(AH$2:AH166,AG167)=1,MAX(GO$2:GQ166,GO167)+1,""))</f>
        <v/>
      </c>
      <c r="GQ167" t="str">
        <f>IF(AH167="","",IF(COUNTIF(AF$3:AF167,AH167)+COUNTIF(AG$3:AG167,AH167)+COUNTIF(AH$3:AH167,AH167)=1,MAX(GO$2:GQ166,GO167,GP167)+1,""))</f>
        <v/>
      </c>
      <c r="GR167" t="str">
        <f t="shared" si="260"/>
        <v>3х2,5</v>
      </c>
      <c r="GS167" t="str">
        <f>IF(GR167="","",IF(COUNTIF(GR$3:GR167,GR167)=1,MAX(GS$2:GS166)+1,""))</f>
        <v/>
      </c>
      <c r="GT167" t="str">
        <f>IF(ES167="","",COUNTIF(ES$3:ES167,"?*"))</f>
        <v/>
      </c>
      <c r="GU167" t="str">
        <f>IF(OR(ES167="",EU167=""),"",IF(COUNTIFS(ES$3:ES167,"?*",EU$3:EU167,EU167)=1,MAX(GU$2:GU166)+1,""))</f>
        <v/>
      </c>
      <c r="GV167">
        <f t="shared" si="261"/>
        <v>0</v>
      </c>
      <c r="GW167">
        <f>IF(D167="","",COUNTIF(D$3:D167,"?*"))</f>
        <v>165</v>
      </c>
      <c r="GX167">
        <f>IF(EX167&lt;&gt;1,0,_xlfn.LET(_xlpm.k,MAX(IFERROR(--VLOOKUP(D167,УГО_спр,5,FALSE),0),IFERROR(--VLOOKUP(AT167,УГО_спр,5,FALSE),0),IFERROR(--VLOOKUP(LEFT(AT167,2),УГО_спр,5,FALSE),0)),IF(_xlpm.k&gt;0,_xlpm.k,IF(IFERROR(--LEFT(SUBSTITUTE(GR167,"x","х"),FIND("х",SUBSTITUTE(GR167,"x","х"))-1),3)&gt;3,Каталог!$S$9,1))))</f>
        <v>1</v>
      </c>
      <c r="GY167">
        <f t="shared" si="262"/>
        <v>0</v>
      </c>
    </row>
    <row r="168" spans="1:207" x14ac:dyDescent="0.3">
      <c r="A168" t="s">
        <v>758</v>
      </c>
      <c r="B168">
        <v>23</v>
      </c>
      <c r="C168" t="str">
        <f>IF(BD168="","",IF(BE168="вводной узел","узел ","")&amp;"л."&amp;(INT((BD168-1)/Столбцов_на_лист)+1)&amp;" / "&amp;(MOD(BD168-1,Столбцов_на_лист)+1))</f>
        <v>л.2 / 6</v>
      </c>
      <c r="D168" t="s">
        <v>1472</v>
      </c>
      <c r="E168" s="133" t="str">
        <f t="shared" si="263"/>
        <v>Розеточная группа Подвальный этаж Пом. №007Т</v>
      </c>
      <c r="G168">
        <v>0.06</v>
      </c>
      <c r="H168">
        <v>1</v>
      </c>
      <c r="I168">
        <v>1</v>
      </c>
      <c r="J168">
        <v>230</v>
      </c>
      <c r="K168" t="s">
        <v>566</v>
      </c>
      <c r="O168">
        <v>3</v>
      </c>
      <c r="P168">
        <v>23</v>
      </c>
      <c r="Q168">
        <v>15</v>
      </c>
      <c r="R168">
        <v>11</v>
      </c>
      <c r="S168">
        <v>0</v>
      </c>
      <c r="U168" t="s">
        <v>11</v>
      </c>
      <c r="V168">
        <v>3</v>
      </c>
      <c r="W168">
        <v>2.5</v>
      </c>
      <c r="X168">
        <v>16</v>
      </c>
      <c r="Z168" t="s">
        <v>565</v>
      </c>
      <c r="AA168" t="s">
        <v>818</v>
      </c>
      <c r="AD168" t="s">
        <v>517</v>
      </c>
      <c r="AK168" t="s">
        <v>488</v>
      </c>
      <c r="AR168" t="str">
        <f t="shared" si="176"/>
        <v/>
      </c>
      <c r="AS168" cm="1">
        <f t="array" ref="AS168">ROW()-ROW(Линии[#Headers])</f>
        <v>166</v>
      </c>
      <c r="AT168" t="str">
        <f t="shared" si="177"/>
        <v>R</v>
      </c>
      <c r="AU168" t="str">
        <f t="shared" si="178"/>
        <v>00.007Т.1</v>
      </c>
      <c r="AV168" t="str">
        <f t="shared" si="179"/>
        <v>00</v>
      </c>
      <c r="AW168" t="str">
        <f t="shared" si="180"/>
        <v>007Т.1</v>
      </c>
      <c r="AX168" t="str">
        <f t="shared" si="181"/>
        <v>007Т</v>
      </c>
      <c r="AY168" t="str">
        <f>IF(D168="","",IF(ISERROR(SEARCH(".",D168)),IFERROR(VLOOKUP(D168,Потребители_обозначение,2,FALSE)&amp;"",""),IFERROR(IF(VLOOKUP(AT168,Потребители_обозначение,4,FALSE)=1,VLOOKUP(AT168,Потребители_обозначение,2,FALSE)&amp;" "&amp;VLOOKUP(AV168,Этаж_обозначение,2,FALSE)&amp;" Пом. №"&amp;AX168,VLOOKUP(AT168,Потребители_обозначение,2,FALSE)&amp;" Шлейф №"&amp;AV168),IFERROR(VLOOKUP(D168,Потребители_обозначение,2,FALSE),""))))</f>
        <v>Розеточная группа Подвальный этаж Пом. №007Т</v>
      </c>
      <c r="AZ168" t="str">
        <f t="shared" si="182"/>
        <v>Розеточная группа Подвальный этаж Пом. №007Т</v>
      </c>
      <c r="BA168" t="str">
        <f>IF(F168&lt;&gt;"",F168,IF(AND(D168&lt;&gt;"",D168&lt;&gt;A168,ISNUMBER(_xlfn.XMATCH(D168,Щиты[Щит]))),D168,""))</f>
        <v/>
      </c>
      <c r="BB168">
        <f>IFERROR(_xlfn.XMATCH(A168,Щиты[Щит]),0)</f>
        <v>8</v>
      </c>
      <c r="BC168">
        <f>IFERROR(N(_xlfn.XLOOKUP(A168,Щиты[Щит],Щиты[Мест под вводной узел])),15)</f>
        <v>7</v>
      </c>
      <c r="BD168">
        <f t="shared" si="183"/>
        <v>23</v>
      </c>
      <c r="BE168" t="str">
        <f t="shared" si="184"/>
        <v>линии</v>
      </c>
      <c r="BF168">
        <f>IF(D168="","",IF(BA168&lt;&gt;"",IFERROR(_xlfn.XLOOKUP(BA168,Щиты[Щит],Щиты[Руст, кВт]),0),N(G168)))</f>
        <v>0.06</v>
      </c>
      <c r="BG168">
        <f>IF(J168&lt;&gt;"",J168,IF(D168="","",IFERROR(IF(VLOOKUP(AT168,Потребители_обозначение,8,FALSE)=0,"",VLOOKUP(AT168,Потребители_обозначение,8,FALSE)),"")))</f>
        <v>230</v>
      </c>
      <c r="BH168">
        <f>IF(I168&lt;&gt;"",I168,IF(D168="","",IFERROR(IF(VLOOKUP(AT168,Потребители_обозначение,9,FALSE)=0,"",VLOOKUP(AT168,Потребители_обозначение,9,FALSE)),"")))</f>
        <v>1</v>
      </c>
      <c r="BI168" t="str">
        <f>IF(U168&lt;&gt;"",U168,IF(D168="","",IFERROR(IF(VLOOKUP(AT168,Потребители_обозначение,6,FALSE)=0,"",VLOOKUP(AT168,Потребители_обозначение,6,FALSE)),"")))</f>
        <v>мс</v>
      </c>
      <c r="BJ168">
        <f>IF(V168&lt;&gt;"",V168,IF(D168="","",IFERROR(IF(VLOOKUP(AT168,Потребители_обозначение,7,FALSE)=0,"",VLOOKUP(AT168,Потребители_обозначение,7,FALSE)),"")))</f>
        <v>3</v>
      </c>
      <c r="BK168">
        <f>IF(W168&lt;&gt;"",W168,IF(D168="","",IFERROR(IF(VLOOKUP(AT168,Потребители_обозначение,10,FALSE)=0,"",VLOOKUP(AT168,Потребители_обозначение,10,FALSE)),"")))</f>
        <v>2.5</v>
      </c>
      <c r="BL168">
        <f>IFERROR(VLOOKUP(AT168,Потребители_обозначение,5,FALSE),0)</f>
        <v>1</v>
      </c>
      <c r="BM168" cm="1">
        <f t="array" ref="BM168">IF(D168="","",IF(BA168&lt;&gt;"",IFERROR(_xlfn.XLOOKUP(BA168,Щиты[Щит],Щиты[cos φ]),0.95),IF(ISNUMBER(M168),M168,IFERROR(IF(BL168=2,_xlfn.IFS(BH168=3,VLOOKUP(BF168,Справочная_двигатели,8,FALSE),BH168=1,VLOOKUP(BF168,Справочная_двигатели,10,TRUE)),IF(AND(Методика="нормы 2026",CN168="Сил"),0.8,0.95)),0.95))))</f>
        <v>0.95</v>
      </c>
      <c r="BN168" cm="1">
        <f t="array" ref="BN168">IF(D168="","",IF(BA168&lt;&gt;"",IFERROR(_xlfn.XLOOKUP(BA168,Щиты[Щит],Щиты[Iр, А]),""),IFERROR(_xlfn.IFS(BH168=1,BF168/((Uн_лин/SQRT(3))*BM168),BH168=3,BF168/(SQRT(3)*Uн_лин*BM168)),"")))</f>
        <v>0.27348170645824377</v>
      </c>
      <c r="BO168">
        <f>IF(D168="","",IF(N(X168)=0,IFERROR(VLOOKUP(BN168,Автомат_номиналы,2,TRUE),""),X168))</f>
        <v>16</v>
      </c>
      <c r="BP168">
        <f t="shared" si="185"/>
        <v>1</v>
      </c>
      <c r="BQ168">
        <f>IF(ISNUMBER(Y168),Y168,К_прокл)</f>
        <v>1</v>
      </c>
      <c r="BR168">
        <f t="shared" si="186"/>
        <v>2</v>
      </c>
      <c r="BS168" cm="1">
        <f t="array" ref="BS168">IF(D168="","",IF(N(BK168)&lt;&gt;0,BK168,IFERROR(_xlfn.LET(_xlpm.need,BO168/(BP168*BQ168),_xlpm.t,CHOOSE(BR168,Iдоп_1ж,Iдоп_2ж,Iдоп_3ж),_xlpm.k,_xlfn.XMATCH(_xlpm.need,_xlpm.t,1),IF(ISNA(_xlpm.k),"Не исп",INDEX(Iдоп_S,_xlpm.k))),"Не исп")))</f>
        <v>2.5</v>
      </c>
      <c r="BT168">
        <f>IFERROR(VLOOKUP(BS168,Кабель_сопротивление,3,FALSE),"")</f>
        <v>2.2499999999999999E-2</v>
      </c>
      <c r="BU168">
        <f>IFERROR(VLOOKUP(BS168,Кабель_сопротивление,2,FALSE),"")</f>
        <v>0.1</v>
      </c>
      <c r="BV168">
        <f t="shared" si="187"/>
        <v>23</v>
      </c>
      <c r="BW168">
        <f>IF(D168="","",IFERROR(IF(VLOOKUP(AT168,Потребители_обозначение,4,FALSE)=1,VLOOKUP(AT168,Потребители_обозначение,3,FALSE)*(H168*2-1)+BV168+VLOOKUP(AV168,Этаж_обозначение,3,FALSE)+VLOOKUP(AV168,Этаж_обозначение,4,FALSE),VLOOKUP(AT168,Потребители_обозначение,3,FALSE)*(H168*2-1)+BV168),BV168))</f>
        <v>26</v>
      </c>
      <c r="BX168">
        <f t="shared" si="188"/>
        <v>11</v>
      </c>
      <c r="BY168">
        <f t="shared" si="189"/>
        <v>0</v>
      </c>
      <c r="BZ168">
        <f t="shared" si="190"/>
        <v>2</v>
      </c>
      <c r="CA168">
        <f t="shared" si="191"/>
        <v>0.31</v>
      </c>
      <c r="CB168">
        <f t="shared" si="192"/>
        <v>0.12203081920214585</v>
      </c>
      <c r="CC168">
        <f>IFERROR(ROUNDUP(CB168/((Uн_лин/SQRT(3))*1000)*100,2),"")</f>
        <v>6.0000000000000005E-2</v>
      </c>
      <c r="CD168">
        <f>IF(ISNUMBER(CC168),CC168+IFERROR(_xlfn.XLOOKUP(A168,Щиты[Щит],Щиты[ΔU до шин, %]),0),"")</f>
        <v>1.6300000000000001</v>
      </c>
      <c r="CE168">
        <f>IF(D168="","",IF(IFERROR(VLOOKUP(AT168,УГО_спр,2,FALSE),"")="Светильник",3,4)+IF(Методика="нормы 2026",MIN(0.5,MAX(0,N(BW168)-100)*0.005),0))</f>
        <v>4</v>
      </c>
      <c r="CF168" t="str">
        <f>IFERROR(VLOOKUP(BI168,Кабель_обозначение,2,FALSE),"")</f>
        <v>ВВГнг(А)-LS</v>
      </c>
      <c r="CG168" t="str">
        <f>IFERROR(IF(VLOOKUP(BI168,Кабель_обозначение,3,FALSE)=1,CF168&amp;" ("&amp;BJ168&amp;"х"&amp;BS168&amp;")",CF168),"")</f>
        <v>ВВГнг(А)-LS (3х2,5)</v>
      </c>
      <c r="CH168" t="str">
        <f t="shared" si="193"/>
        <v>ВВГнг(А)-LS (3х2,5)
L=26-0,06%</v>
      </c>
      <c r="CI168">
        <f>IFERROR(2*ρкз_Cu*BW168/BS168,"")</f>
        <v>0.54703999999999997</v>
      </c>
      <c r="CJ168">
        <f t="shared" si="194"/>
        <v>0.18200000000000002</v>
      </c>
      <c r="CK168" t="str">
        <f>IFERROR(IF(OR(D168="",NOT(ISNUMBER(BS168)),N(BW168)=0),"",_xlfn.XLOOKUP(A168,Щиты[Щит],Щиты[Zпетли на шинах, Ом])+CI168),"")</f>
        <v/>
      </c>
      <c r="CL168" t="str">
        <f>IF(ISNUMBER(CK168),c_min*(Uн_лин*1000/SQRT(3))/CK168,"")</f>
        <v/>
      </c>
      <c r="CM168" t="str">
        <f>IFERROR(IF(OR(D168="",NOT(ISNUMBER(BS168))),"",1.05*(Uн_лин*1000/SQRT(3))/(_xlfn.XLOOKUP(A168,Щиты[Щит],Щиты[Zmax на шинах, Ом])+CJ168)/1000),"")</f>
        <v/>
      </c>
      <c r="CN168" t="str">
        <f>IF(D168="","",IF(BA168&lt;&gt;"","Щит",IF(K168&lt;&gt;"",K168,IF(ISNUMBER(L168),"Сил",IF(IFERROR(_xlfn.XLOOKUP(AT168,Коды_код,Коды_группа)&amp;"","")="","Быт",_xlfn.XLOOKUP(AT168,Коды_код,Коды_группа)&amp;"")))))</f>
        <v>Быт</v>
      </c>
      <c r="CO168">
        <f>IF(CN168="Щит","щит",IF(CN168="","",IF(CN168="Быт",IFERROR(_xlfn.XLOOKUP(A168,Щиты[Щит],Щиты[Кс быт]),1),IF(CN168="Сил",IF(ISNUMBER(L168),L168,IF(Методика="нормы 2026",IFERROR(_xlfn.XLOOKUP(A168,Щиты[Щит],Щиты[Кс силовых (табл. 7.5)]),1),1)),IF(OR(CN168="Пост",CN168="Отоп"),1,IF(CN168="ВНГ",0.7,0))))))</f>
        <v>0.8</v>
      </c>
      <c r="CP168">
        <f t="shared" si="195"/>
        <v>1</v>
      </c>
      <c r="CQ168">
        <f t="shared" si="196"/>
        <v>0.06</v>
      </c>
      <c r="CR168">
        <f t="shared" si="197"/>
        <v>0.06</v>
      </c>
      <c r="CS168">
        <f t="shared" si="198"/>
        <v>0</v>
      </c>
      <c r="CT168">
        <f t="shared" si="199"/>
        <v>0</v>
      </c>
      <c r="CU168">
        <f t="shared" si="200"/>
        <v>0</v>
      </c>
      <c r="CV168">
        <f t="shared" si="201"/>
        <v>0</v>
      </c>
      <c r="CW168">
        <f t="shared" si="202"/>
        <v>0.06</v>
      </c>
      <c r="CX168">
        <f t="shared" si="203"/>
        <v>5.6999999999999995E-2</v>
      </c>
      <c r="CY168">
        <f t="shared" si="204"/>
        <v>2</v>
      </c>
      <c r="CZ168" t="str">
        <f t="shared" si="205"/>
        <v>L2</v>
      </c>
      <c r="DA168" cm="1">
        <f t="array" ref="DA168">IFERROR(IF(BL168=2,_xlfn.IFS(BH168=3,VLOOKUP(BF168,Справочная_двигатели,3,FALSE),BH168=1,VLOOKUP(BF168,Справочная_двигатели,5,TRUE)),0),0)</f>
        <v>0</v>
      </c>
      <c r="DB168">
        <f>IFERROR(IF(BL168=3,VLOOKUP(BF168,Справочная_ЛЭД,2,TRUE),0),0)</f>
        <v>0</v>
      </c>
      <c r="DC168">
        <f t="shared" si="206"/>
        <v>0</v>
      </c>
      <c r="DD168" t="str">
        <f t="shared" si="207"/>
        <v>L3</v>
      </c>
      <c r="DE168" t="str" cm="1">
        <f t="array" ref="DE168">IF(D168="","",IFERROR(INDEX({"I особая","I","II","III"},MATCH(TRIM(AA168&amp;""),{"I особая","I","II","III"},0)),"III"))</f>
        <v>II</v>
      </c>
      <c r="DF168" t="str">
        <f>IF(D168="","",IF(TRIM(AB168&amp;"")&lt;&gt;"",IF(LOWER(TRIM(AB168&amp;""))="да","да","нет"),IF(IFERROR(_xlfn.XLOOKUP(AT168,Коды_код,Коды_пожарная),"")="да","да","нет")))</f>
        <v>нет</v>
      </c>
      <c r="DG168" t="str">
        <f t="shared" si="208"/>
        <v/>
      </c>
      <c r="DH168" t="str">
        <f t="shared" si="209"/>
        <v>основная</v>
      </c>
      <c r="DI168">
        <f t="shared" si="210"/>
        <v>1</v>
      </c>
      <c r="DJ168" t="str" cm="1">
        <f t="array" ref="DJ168">IF(D168="","",_xlfn.LET(_xlpm.t,IFERROR(_xlfn.XLOOKUP(1,(Шины[Шина]=DH168)*(((Шины[Щит]=A168)+(Шины[Щит]=""))&gt;0),Шины[Тип]),"")&amp;"",IF(_xlpm.t&lt;&gt;"",_xlpm.t,IF(ISNUMBER(SEARCH("ИБП",DH168)),"ИБП",IF(ISNUMBER(SEARCH("ДГУ",DH168)),"ДГУ","Ввод "&amp;DI168)))))</f>
        <v>Ввод 1</v>
      </c>
      <c r="DK168" t="str">
        <f t="shared" si="211"/>
        <v>Ввод 1</v>
      </c>
      <c r="DL168" t="str">
        <f>IF(D168="","",IF(OR(DJ168="ИБП",DJ168="ДГУ"),"I особая",IF(DJ168="Одиночная","III",_xlfn.XLOOKUP(A168,Щиты[Щит],Щиты[Категория шины «Ввод»],"III"))))</f>
        <v>II</v>
      </c>
      <c r="DM168">
        <f>IF(D168="",0,IFERROR(MATCH(DE168,{"III","II","I","I особая"},0),1))</f>
        <v>2</v>
      </c>
      <c r="DN168">
        <f t="shared" si="212"/>
        <v>2</v>
      </c>
      <c r="DO168" t="str">
        <f>IF(D168="","",IF(DM168&gt;IFERROR(MATCH(DL168,{"III","II","I","I особая"},0),1),"НЕ ОБЕСПЕЧЕНА","ОК"))</f>
        <v>ОК</v>
      </c>
      <c r="DP168" t="str">
        <f>IF(A168="","",_xlfn.XLOOKUP(A168,Щиты[Щит],Щиты[Путь],""))</f>
        <v>|ГРЩ-ЖД|ЩР-001|</v>
      </c>
      <c r="DQ168" t="str">
        <f>IF(D168="","",IF(Z168&lt;&gt;"",Z168,IF(IFERROR(_xlfn.XLOOKUP(AT168,Коды_код,Коды_вид)&amp;"","")="","Прочее",_xlfn.XLOOKUP(AT168,Коды_код,Коды_вид)&amp;"")))</f>
        <v>Розеточная сеть и бытовые приборы</v>
      </c>
      <c r="DR168">
        <f>IF(BD168="","",INT((BD168-1)/Столбцов_на_лист)+1)</f>
        <v>2</v>
      </c>
      <c r="DS168" t="str">
        <f t="shared" si="213"/>
        <v>ВВГнг(А)-LS (3х2,5) L=26-0,06%</v>
      </c>
      <c r="DT168">
        <f t="shared" si="214"/>
        <v>0.06</v>
      </c>
      <c r="DU168">
        <f t="shared" si="215"/>
        <v>0.28000000000000003</v>
      </c>
      <c r="DV168">
        <f t="shared" si="216"/>
        <v>1</v>
      </c>
      <c r="DW168">
        <f>IF(AT168="",0,_xlfn.LET(_xlpm.v,IFERROR(VLOOKUP(D168,УГО_спр,3,FALSE),IFERROR(VLOOKUP(AT168,УГО_спр,3,FALSE),IFERROR(VLOOKUP(LEFT(AT168,2),УГО_спр,3,FALSE),""))),IF(_xlpm.v="да",30,IF(ISNUMBER(_xlpm.v),_xlpm.v,0))))</f>
        <v>30</v>
      </c>
      <c r="DX168">
        <f t="shared" si="217"/>
        <v>0</v>
      </c>
      <c r="DY168">
        <f>IF(BD168="","",IF(AD168&lt;&gt;"",COUNTIFS(A$3:A168,A168,AD$3:AD168,"?*"),IF(OR(OR(AS168=1,A168&lt;&gt;A167),AL168="вручную"),"",IF(AS168=1,"",DZ167))))</f>
        <v>14</v>
      </c>
      <c r="DZ168">
        <f t="shared" si="218"/>
        <v>14</v>
      </c>
      <c r="EA168">
        <f>IF(D168="",0,MAX(IFERROR(--X168,0),IFERROR(--VLOOKUP(D168,УГО_спр,4,FALSE),IFERROR(--VLOOKUP(AT168,УГО_спр,4,FALSE),IFERROR(--VLOOKUP(LEFT(AT168,2),УГО_спр,4,FALSE),0)))))</f>
        <v>16</v>
      </c>
      <c r="EB168">
        <f>IF(D168="","",IFERROR(LOOKUP(INDEX(CHOOSE(BR168,Iдоп_1ж,Iдоп_2ж,Iдоп_3ж),MATCH(BS168,Iдоп_S,0))*BP168*BQ168,{6,10,16,20,25,32,40,50,63,80,100,125,160,200,250,315,400,500,630}),""))</f>
        <v>25</v>
      </c>
      <c r="EC168">
        <f>IF(AD168="","",SUMIFS(Линии[_Ток схемы],Линии[_гр.],DY168,Линии[Щит],A168,Линии[_в кабель выше],0))</f>
        <v>0.28000000000000003</v>
      </c>
      <c r="ED168">
        <f>IF(AD168="","",IFERROR(VLOOKUP(EC168,Автомат_номиналы,2,TRUE),""))</f>
        <v>6</v>
      </c>
      <c r="EE168">
        <f>IF(AD168="","",MAX(N(ED168),_xlfn.MAXIFS(Линии[_мин. по типу],Линии[_гр.],DY168,Линии[Щит],A168)))</f>
        <v>16</v>
      </c>
      <c r="EF168">
        <f>IF(AD168="","",_xlfn.MINIFS(Линии[_макс. автомат по кабелю],Линии[_гр.],DY168,Линии[Щит],A168))</f>
        <v>25</v>
      </c>
      <c r="EG168">
        <f>IF(AD168="","",MAX(1,_xlfn.MAXIFS(Линии[_фаз],Линии[_гр.],DY168,Линии[Щит],A168)))</f>
        <v>1</v>
      </c>
      <c r="EH168">
        <f>IF(AD168="","",IF(AND(AD168&lt;&gt;"авто",AD168&lt;&gt;"+"),IF(ISNUMBER(SEARCH("мА",AD168)),IFERROR(--TRIM(RIGHT(SUBSTITUTE(LEFT(AD168,SEARCH("мА",AD168)-1)," ",REPT(" ",9)),6)),30),0),IF(AE168="нет",0,IF(ISNUMBER(AE168),AE168,IF(AE168="да",30,_xlfn.MINIFS(Линии[_дифзащита по коду, мА],Линии[_гр.],DY168,Линии[Щит],A168,Линии[_дифзащита по коду, мА],"&gt;0"))))))</f>
        <v>30</v>
      </c>
      <c r="EI168">
        <f t="shared" si="219"/>
        <v>1</v>
      </c>
      <c r="EJ168" t="str">
        <f t="shared" si="220"/>
        <v>QFD14</v>
      </c>
      <c r="EK168" t="str">
        <f t="shared" si="221"/>
        <v>QFD14</v>
      </c>
      <c r="EL168" t="str">
        <f t="shared" si="222"/>
        <v/>
      </c>
      <c r="EM168">
        <f t="shared" si="223"/>
        <v>0</v>
      </c>
      <c r="EN168">
        <f>IF(AD168="","",IF(EM168=1,MAX(EE168,Мин_автомат_БП),EE168))</f>
        <v>16</v>
      </c>
      <c r="EO168" t="str">
        <f t="shared" si="224"/>
        <v>2P</v>
      </c>
      <c r="EP168" t="str">
        <f t="shared" si="225"/>
        <v>2P С16А 30мА</v>
      </c>
      <c r="EQ168">
        <f t="shared" si="226"/>
        <v>16</v>
      </c>
      <c r="ER168" t="str">
        <f>IF(OR(AI168="",AI168="-"),"",IFERROR(VLOOKUP(AI168,Модули_спр,2,FALSE),"R"))</f>
        <v/>
      </c>
      <c r="ES168" t="str">
        <f>IF(ER168="","",ER168&amp;"."&amp;COUNTIFS(A$3:A168,A168,ER$3:ER168,ER168))</f>
        <v/>
      </c>
      <c r="ET168" t="str">
        <f t="shared" si="227"/>
        <v/>
      </c>
      <c r="EU168" t="str">
        <f t="shared" si="228"/>
        <v/>
      </c>
      <c r="EV168" t="str">
        <f t="shared" si="229"/>
        <v/>
      </c>
      <c r="EW168" t="str">
        <f t="shared" si="230"/>
        <v/>
      </c>
      <c r="EX168">
        <f t="shared" si="231"/>
        <v>1</v>
      </c>
      <c r="EY168" t="str">
        <f>IF(AK168="нет","",IF(AK168&lt;&gt;"",AK168,IF(EX168=1,"XT"&amp;COUNTIFS(A$3:A168,A168,EX$3:EX168,1),"")))</f>
        <v/>
      </c>
      <c r="EZ168" t="str">
        <f t="shared" si="232"/>
        <v>QFD14</v>
      </c>
      <c r="FA168" t="str">
        <f t="shared" si="233"/>
        <v/>
      </c>
      <c r="FB168" t="str">
        <f t="shared" si="234"/>
        <v>ok</v>
      </c>
      <c r="FC168" t="str">
        <f>IF(OR(EV168="",ET168=""),"",IF(EV168&gt;IFERROR(VLOOKUP(EU168,Модули_спр,3,FALSE),99),"ЛИШНИЙ КАНАЛ",IF(AND(AJ168&lt;&gt;"=",COUNTIFS(Линии[_модуль гр.],ET168,Линии[Канал (итог)],EV168,Линии[Канал],"&lt;&gt;=",Линии[Щит],A168)&gt;1),"ДУБЛЬ КАНАЛА","")))</f>
        <v/>
      </c>
      <c r="FD168">
        <f t="shared" si="235"/>
        <v>16</v>
      </c>
      <c r="FE168" t="str">
        <f t="shared" si="236"/>
        <v>2P С16А 30мА</v>
      </c>
      <c r="FF168">
        <f t="shared" si="237"/>
        <v>1</v>
      </c>
      <c r="FG168">
        <f t="shared" si="238"/>
        <v>30</v>
      </c>
      <c r="FH168" t="str">
        <f t="shared" si="239"/>
        <v/>
      </c>
      <c r="FI168">
        <f t="shared" si="240"/>
        <v>10</v>
      </c>
      <c r="FJ168" t="str">
        <f t="shared" si="241"/>
        <v/>
      </c>
      <c r="FK168" t="str">
        <f>IF(AND(D168="",EZ168=""),"",_xlfn.TEXTJOIN("; ",TRUE,IF(AND(D168&lt;&gt;"",DD168=""),"нет фазы",""),IF(AND(D168&lt;&gt;"",N(DT168)=0,CN168&lt;&gt;"Нет"),"нет мощности",""),IF(AND(EY168&lt;&gt;"",COUNTIFS(Линии[Щит],A168,Линии[Клемма (итог)],EY168)&gt;1),"дубль клеммы "&amp;EY168,""),IF(AND(FB168&lt;&gt;"",FB168&lt;&gt;"ok"),FB168,""),IF(FC168&lt;&gt;"",FC168,""),IF(AND(ISNUMBER(SEARCH("(5х",DS168)),N(DV168)=1),"5 жил на 1 фазе",""),IF(AND(AT168="R",AD168&lt;&gt;"",OR(N(EH168)=0,N(EH168)&gt;30)),"розетка без дифзащиты до 30 мА",""),IFERROR(IF(AND(ISNUMBER(CD168),CD168&gt;CE168),"потери "&amp;FIXED(CD168,1)&amp;" % &gt; "&amp;CE168&amp;" %",""),""),IFERROR(IF(LEFT(FJ168,4)="мало","Iкз мало — отключение &gt; 0,4 с",""),""),IF(AND(D168&lt;&gt;"",BD168=""),"не на схеме","")))</f>
        <v/>
      </c>
      <c r="FL168">
        <f>IF(AD168="","",_xlfn.LET(_xlpm.t,IFERROR(_xlfn.XLOOKUP(EP168,Каталог!$U$4:$U$500,Каталог!$G$4:$G$500),""),_xlpm.k,SEARCH("кА",_xlpm.t),IFERROR(--TRIM(RIGHT(SUBSTITUTE(MID(_xlpm.t,MAX(1,_xlpm.k-4),_xlpm.k-MAX(1,_xlpm.k-4))," ",REPT(" ",9)),5)),"")))</f>
        <v>6</v>
      </c>
      <c r="FM168" t="str">
        <f>IF(OR(FL168="",AD168=""),"",IF(_xlfn.XLOOKUP(A168,Щиты[Щит],Щиты[Iкз max на шинах, кА],"")="","",IF(FL168&lt;_xlfn.XLOOKUP(A168,Щиты[Щит],Щиты[Iкз max на шинах, кА]),"Icu "&amp;FL168&amp;" кА &lt; Iкз max","ok")))</f>
        <v/>
      </c>
      <c r="FN168" t="str">
        <f t="shared" si="242"/>
        <v>QFD14</v>
      </c>
      <c r="FO168" t="str">
        <f t="shared" si="243"/>
        <v>QFD14|кабель ВВГнг(А)-LS (3х2,5) → Розеточная группа Подвальный этаж Пом. №007Т</v>
      </c>
      <c r="FP168" t="str" cm="1">
        <f t="array" ref="FP168">IF(FO168="","",_xlfn.LET(_xlpm.nd,_xlfn.TEXTSPLIT(FO168,"|"),IF(COLUMNS(_xlpm.nd)&gt;1,A168&amp;"¦"&amp;INDEX(_xlpm.nd,1)&amp;"¦"&amp;INDEX(_xlpm.nd,2),"")))</f>
        <v>ЩР-001¦QFD14¦кабель ВВГнг(А)-LS (3х2,5) → Розеточная группа Подвальный этаж Пом. №007Т</v>
      </c>
      <c r="FQ168" t="str">
        <f t="shared" si="244"/>
        <v>R.00.007Т.1¦Розеточная группа Подвальный этаж Пом. №007Т</v>
      </c>
      <c r="FR168" t="str" cm="1">
        <f t="array" ref="FR168">IF(FO168="","",_xlfn.LET(_xlpm.nd,_xlfn.TEXTSPLIT(FO168,"|"),IF(COLUMNS(_xlpm.nd)&gt;2,A168&amp;"¦"&amp;INDEX(_xlpm.nd,2)&amp;"¦"&amp;INDEX(_xlpm.nd,3),"")))</f>
        <v/>
      </c>
      <c r="FS168" t="str">
        <f t="shared" si="245"/>
        <v/>
      </c>
      <c r="FT168" t="str" cm="1">
        <f t="array" ref="FT168">IF(FO168="","",_xlfn.LET(_xlpm.nd,_xlfn.TEXTSPLIT(FO168,"|"),IF(COLUMNS(_xlpm.nd)&gt;3,A168&amp;"¦"&amp;INDEX(_xlpm.nd,3)&amp;"¦"&amp;INDEX(_xlpm.nd,4),"")))</f>
        <v/>
      </c>
      <c r="FU168" t="str">
        <f t="shared" si="246"/>
        <v/>
      </c>
      <c r="FV168" t="str" cm="1">
        <f t="array" ref="FV168">IF(FO168="","",_xlfn.LET(_xlpm.nd,_xlfn.TEXTSPLIT(FO168,"|"),IF(COLUMNS(_xlpm.nd)&gt;4,A168&amp;"¦"&amp;INDEX(_xlpm.nd,4)&amp;"¦"&amp;INDEX(_xlpm.nd,5),"")))</f>
        <v/>
      </c>
      <c r="FW168" t="str">
        <f t="shared" si="247"/>
        <v/>
      </c>
      <c r="FX168" t="str" cm="1">
        <f t="array" ref="FX168">IF(FO168="","",_xlfn.LET(_xlpm.nd,_xlfn.TEXTSPLIT(FO168,"|"),IF(COLUMNS(_xlpm.nd)&gt;5,A168&amp;"¦"&amp;INDEX(_xlpm.nd,5)&amp;"¦"&amp;INDEX(_xlpm.nd,6),"")))</f>
        <v/>
      </c>
      <c r="FY168" t="str">
        <f t="shared" si="248"/>
        <v/>
      </c>
      <c r="FZ168" t="str" cm="1">
        <f t="array" ref="FZ168">IF(FO168="","",_xlfn.LET(_xlpm.nd,_xlfn.TEXTSPLIT(FO168,"|"),IF(COLUMNS(_xlpm.nd)&gt;6,A168&amp;"¦"&amp;INDEX(_xlpm.nd,6)&amp;"¦"&amp;INDEX(_xlpm.nd,7),"")))</f>
        <v/>
      </c>
      <c r="GA168" t="str">
        <f t="shared" si="249"/>
        <v/>
      </c>
      <c r="GB168" t="str">
        <f t="shared" si="250"/>
        <v/>
      </c>
      <c r="GC168" t="str">
        <f t="shared" si="251"/>
        <v>QFD14</v>
      </c>
      <c r="GD168">
        <f t="shared" si="252"/>
        <v>1</v>
      </c>
      <c r="GE168">
        <f t="shared" si="253"/>
        <v>0</v>
      </c>
      <c r="GF168">
        <f t="shared" si="254"/>
        <v>1</v>
      </c>
      <c r="GG168" t="str">
        <f t="shared" si="255"/>
        <v/>
      </c>
      <c r="GH168" t="str">
        <f t="shared" si="256"/>
        <v/>
      </c>
      <c r="GI168" t="str">
        <f t="shared" si="257"/>
        <v/>
      </c>
      <c r="GJ168" t="str">
        <f t="shared" si="258"/>
        <v/>
      </c>
      <c r="GK168" t="str">
        <f>IF(D168="","",IFERROR(VLOOKUP(D168,УГО_спр,2,FALSE),IFERROR(VLOOKUP(AT168,УГО_спр,2,FALSE),IFERROR(VLOOKUP(LEFT(AT168,2),УГО_спр,2,FALSE),""))))</f>
        <v>Розетка</v>
      </c>
      <c r="GL168" t="str">
        <f>IF(D168="","",IF(OR(GK168="",GK168=0),"BOX",IFERROR(IF(VLOOKUP(GK168,УГО_блоки,3,FALSE)&amp;""&lt;&gt;"",VLOOKUP(GK168,УГО_блоки,3,FALSE),VLOOKUP(GK168,УГО_блоки,2,FALSE)),GK168)))</f>
        <v>SOCKET</v>
      </c>
      <c r="GM168">
        <f t="shared" si="259"/>
        <v>1</v>
      </c>
      <c r="GN168" t="str">
        <f>IF(EP168="","",IF(COUNTIF(EP$3:EP168,EP168)=1,MAX(GN$2:GN167)+1,""))</f>
        <v/>
      </c>
      <c r="GO168" t="str">
        <f>IF(AF168="","",IF(COUNTIF(AF$3:AF168,AF168)+COUNTIF(AG$2:AG167,AF168)+COUNTIF(AH$2:AH167,AF168)=1,MAX(GO$2:GQ167)+1,""))</f>
        <v/>
      </c>
      <c r="GP168" t="str">
        <f>IF(AG168="","",IF(COUNTIF(AF$3:AF168,AG168)+COUNTIF(AG$3:AG168,AG168)+COUNTIF(AH$2:AH167,AG168)=1,MAX(GO$2:GQ167,GO168)+1,""))</f>
        <v/>
      </c>
      <c r="GQ168" t="str">
        <f>IF(AH168="","",IF(COUNTIF(AF$3:AF168,AH168)+COUNTIF(AG$3:AG168,AH168)+COUNTIF(AH$3:AH168,AH168)=1,MAX(GO$2:GQ167,GO168,GP168)+1,""))</f>
        <v/>
      </c>
      <c r="GR168" t="str">
        <f t="shared" si="260"/>
        <v>3х2,5</v>
      </c>
      <c r="GS168" t="str">
        <f>IF(GR168="","",IF(COUNTIF(GR$3:GR168,GR168)=1,MAX(GS$2:GS167)+1,""))</f>
        <v/>
      </c>
      <c r="GT168" t="str">
        <f>IF(ES168="","",COUNTIF(ES$3:ES168,"?*"))</f>
        <v/>
      </c>
      <c r="GU168" t="str">
        <f>IF(OR(ES168="",EU168=""),"",IF(COUNTIFS(ES$3:ES168,"?*",EU$3:EU168,EU168)=1,MAX(GU$2:GU167)+1,""))</f>
        <v/>
      </c>
      <c r="GV168">
        <f t="shared" si="261"/>
        <v>0</v>
      </c>
      <c r="GW168">
        <f>IF(D168="","",COUNTIF(D$3:D168,"?*"))</f>
        <v>166</v>
      </c>
      <c r="GX168">
        <f>IF(EX168&lt;&gt;1,0,_xlfn.LET(_xlpm.k,MAX(IFERROR(--VLOOKUP(D168,УГО_спр,5,FALSE),0),IFERROR(--VLOOKUP(AT168,УГО_спр,5,FALSE),0),IFERROR(--VLOOKUP(LEFT(AT168,2),УГО_спр,5,FALSE),0)),IF(_xlpm.k&gt;0,_xlpm.k,IF(IFERROR(--LEFT(SUBSTITUTE(GR168,"x","х"),FIND("х",SUBSTITUTE(GR168,"x","х"))-1),3)&gt;3,Каталог!$S$9,1))))</f>
        <v>1</v>
      </c>
      <c r="GY168">
        <f t="shared" si="262"/>
        <v>0</v>
      </c>
    </row>
    <row r="169" spans="1:207" x14ac:dyDescent="0.3">
      <c r="A169" t="s">
        <v>758</v>
      </c>
      <c r="B169">
        <v>24</v>
      </c>
      <c r="C169" t="str">
        <f>IF(BD169="","",IF(BE169="вводной узел","узел ","")&amp;"л."&amp;(INT((BD169-1)/Столбцов_на_лист)+1)&amp;" / "&amp;(MOD(BD169-1,Столбцов_на_лист)+1))</f>
        <v>л.2 / 7</v>
      </c>
      <c r="D169" t="s">
        <v>1473</v>
      </c>
      <c r="E169" s="133" t="str">
        <f t="shared" si="263"/>
        <v>Розеточная группа Подвальный этаж Пом. №008T</v>
      </c>
      <c r="G169">
        <v>0.12</v>
      </c>
      <c r="H169">
        <v>2</v>
      </c>
      <c r="I169">
        <v>1</v>
      </c>
      <c r="J169">
        <v>230</v>
      </c>
      <c r="K169" t="s">
        <v>566</v>
      </c>
      <c r="O169">
        <v>1</v>
      </c>
      <c r="P169">
        <v>26</v>
      </c>
      <c r="Q169">
        <v>0</v>
      </c>
      <c r="R169">
        <v>0</v>
      </c>
      <c r="S169">
        <v>35</v>
      </c>
      <c r="U169" t="s">
        <v>11</v>
      </c>
      <c r="V169">
        <v>3</v>
      </c>
      <c r="W169">
        <v>2.5</v>
      </c>
      <c r="X169">
        <v>16</v>
      </c>
      <c r="Z169" t="s">
        <v>565</v>
      </c>
      <c r="AA169" t="s">
        <v>818</v>
      </c>
      <c r="AD169" t="s">
        <v>517</v>
      </c>
      <c r="AK169" t="s">
        <v>488</v>
      </c>
      <c r="AR169" t="str">
        <f t="shared" si="176"/>
        <v/>
      </c>
      <c r="AS169" cm="1">
        <f t="array" ref="AS169">ROW()-ROW(Линии[#Headers])</f>
        <v>167</v>
      </c>
      <c r="AT169" t="str">
        <f t="shared" si="177"/>
        <v>R</v>
      </c>
      <c r="AU169" t="str">
        <f t="shared" si="178"/>
        <v>00.008T.1</v>
      </c>
      <c r="AV169" t="str">
        <f t="shared" si="179"/>
        <v>00</v>
      </c>
      <c r="AW169" t="str">
        <f t="shared" si="180"/>
        <v>008T.1</v>
      </c>
      <c r="AX169" t="str">
        <f t="shared" si="181"/>
        <v>008T</v>
      </c>
      <c r="AY169" t="str">
        <f>IF(D169="","",IF(ISERROR(SEARCH(".",D169)),IFERROR(VLOOKUP(D169,Потребители_обозначение,2,FALSE)&amp;"",""),IFERROR(IF(VLOOKUP(AT169,Потребители_обозначение,4,FALSE)=1,VLOOKUP(AT169,Потребители_обозначение,2,FALSE)&amp;" "&amp;VLOOKUP(AV169,Этаж_обозначение,2,FALSE)&amp;" Пом. №"&amp;AX169,VLOOKUP(AT169,Потребители_обозначение,2,FALSE)&amp;" Шлейф №"&amp;AV169),IFERROR(VLOOKUP(D169,Потребители_обозначение,2,FALSE),""))))</f>
        <v>Розеточная группа Подвальный этаж Пом. №008T</v>
      </c>
      <c r="AZ169" t="str">
        <f t="shared" si="182"/>
        <v>Розеточная группа Подвальный этаж Пом. №008T</v>
      </c>
      <c r="BA169" t="str">
        <f>IF(F169&lt;&gt;"",F169,IF(AND(D169&lt;&gt;"",D169&lt;&gt;A169,ISNUMBER(_xlfn.XMATCH(D169,Щиты[Щит]))),D169,""))</f>
        <v/>
      </c>
      <c r="BB169">
        <f>IFERROR(_xlfn.XMATCH(A169,Щиты[Щит]),0)</f>
        <v>8</v>
      </c>
      <c r="BC169">
        <f>IFERROR(N(_xlfn.XLOOKUP(A169,Щиты[Щит],Щиты[Мест под вводной узел])),15)</f>
        <v>7</v>
      </c>
      <c r="BD169">
        <f t="shared" si="183"/>
        <v>24</v>
      </c>
      <c r="BE169" t="str">
        <f t="shared" si="184"/>
        <v>линии</v>
      </c>
      <c r="BF169">
        <f>IF(D169="","",IF(BA169&lt;&gt;"",IFERROR(_xlfn.XLOOKUP(BA169,Щиты[Щит],Щиты[Руст, кВт]),0),N(G169)))</f>
        <v>0.12</v>
      </c>
      <c r="BG169">
        <f>IF(J169&lt;&gt;"",J169,IF(D169="","",IFERROR(IF(VLOOKUP(AT169,Потребители_обозначение,8,FALSE)=0,"",VLOOKUP(AT169,Потребители_обозначение,8,FALSE)),"")))</f>
        <v>230</v>
      </c>
      <c r="BH169">
        <f>IF(I169&lt;&gt;"",I169,IF(D169="","",IFERROR(IF(VLOOKUP(AT169,Потребители_обозначение,9,FALSE)=0,"",VLOOKUP(AT169,Потребители_обозначение,9,FALSE)),"")))</f>
        <v>1</v>
      </c>
      <c r="BI169" t="str">
        <f>IF(U169&lt;&gt;"",U169,IF(D169="","",IFERROR(IF(VLOOKUP(AT169,Потребители_обозначение,6,FALSE)=0,"",VLOOKUP(AT169,Потребители_обозначение,6,FALSE)),"")))</f>
        <v>мс</v>
      </c>
      <c r="BJ169">
        <f>IF(V169&lt;&gt;"",V169,IF(D169="","",IFERROR(IF(VLOOKUP(AT169,Потребители_обозначение,7,FALSE)=0,"",VLOOKUP(AT169,Потребители_обозначение,7,FALSE)),"")))</f>
        <v>3</v>
      </c>
      <c r="BK169">
        <f>IF(W169&lt;&gt;"",W169,IF(D169="","",IFERROR(IF(VLOOKUP(AT169,Потребители_обозначение,10,FALSE)=0,"",VLOOKUP(AT169,Потребители_обозначение,10,FALSE)),"")))</f>
        <v>2.5</v>
      </c>
      <c r="BL169">
        <f>IFERROR(VLOOKUP(AT169,Потребители_обозначение,5,FALSE),0)</f>
        <v>1</v>
      </c>
      <c r="BM169" cm="1">
        <f t="array" ref="BM169">IF(D169="","",IF(BA169&lt;&gt;"",IFERROR(_xlfn.XLOOKUP(BA169,Щиты[Щит],Щиты[cos φ]),0.95),IF(ISNUMBER(M169),M169,IFERROR(IF(BL169=2,_xlfn.IFS(BH169=3,VLOOKUP(BF169,Справочная_двигатели,8,FALSE),BH169=1,VLOOKUP(BF169,Справочная_двигатели,10,TRUE)),IF(AND(Методика="нормы 2026",CN169="Сил"),0.8,0.95)),0.95))))</f>
        <v>0.95</v>
      </c>
      <c r="BN169" cm="1">
        <f t="array" ref="BN169">IF(D169="","",IF(BA169&lt;&gt;"",IFERROR(_xlfn.XLOOKUP(BA169,Щиты[Щит],Щиты[Iр, А]),""),IFERROR(_xlfn.IFS(BH169=1,BF169/((Uн_лин/SQRT(3))*BM169),BH169=3,BF169/(SQRT(3)*Uн_лин*BM169)),"")))</f>
        <v>0.54696341291648753</v>
      </c>
      <c r="BO169">
        <f>IF(D169="","",IF(N(X169)=0,IFERROR(VLOOKUP(BN169,Автомат_номиналы,2,TRUE),""),X169))</f>
        <v>16</v>
      </c>
      <c r="BP169">
        <f t="shared" si="185"/>
        <v>1</v>
      </c>
      <c r="BQ169">
        <f>IF(ISNUMBER(Y169),Y169,К_прокл)</f>
        <v>1</v>
      </c>
      <c r="BR169">
        <f t="shared" si="186"/>
        <v>2</v>
      </c>
      <c r="BS169" cm="1">
        <f t="array" ref="BS169">IF(D169="","",IF(N(BK169)&lt;&gt;0,BK169,IFERROR(_xlfn.LET(_xlpm.need,BO169/(BP169*BQ169),_xlpm.t,CHOOSE(BR169,Iдоп_1ж,Iдоп_2ж,Iдоп_3ж),_xlpm.k,_xlfn.XMATCH(_xlpm.need,_xlpm.t,1),IF(ISNA(_xlpm.k),"Не исп",INDEX(Iдоп_S,_xlpm.k))),"Не исп")))</f>
        <v>2.5</v>
      </c>
      <c r="BT169">
        <f>IFERROR(VLOOKUP(BS169,Кабель_сопротивление,3,FALSE),"")</f>
        <v>2.2499999999999999E-2</v>
      </c>
      <c r="BU169">
        <f>IFERROR(VLOOKUP(BS169,Кабель_сопротивление,2,FALSE),"")</f>
        <v>0.1</v>
      </c>
      <c r="BV169">
        <f t="shared" si="187"/>
        <v>26</v>
      </c>
      <c r="BW169">
        <f>IF(D169="","",IFERROR(IF(VLOOKUP(AT169,Потребители_обозначение,4,FALSE)=1,VLOOKUP(AT169,Потребители_обозначение,3,FALSE)*(H169*2-1)+BV169+VLOOKUP(AV169,Этаж_обозначение,3,FALSE)+VLOOKUP(AV169,Этаж_обозначение,4,FALSE),VLOOKUP(AT169,Потребители_обозначение,3,FALSE)*(H169*2-1)+BV169),BV169))</f>
        <v>35</v>
      </c>
      <c r="BX169">
        <f t="shared" si="188"/>
        <v>0</v>
      </c>
      <c r="BY169">
        <f t="shared" si="189"/>
        <v>35</v>
      </c>
      <c r="BZ169">
        <f t="shared" si="190"/>
        <v>2</v>
      </c>
      <c r="CA169">
        <f t="shared" si="191"/>
        <v>0.31</v>
      </c>
      <c r="CB169">
        <f t="shared" si="192"/>
        <v>0.32854451323654654</v>
      </c>
      <c r="CC169">
        <f>IFERROR(ROUNDUP(CB169/((Uн_лин/SQRT(3))*1000)*100,2),"")</f>
        <v>0.15000000000000002</v>
      </c>
      <c r="CD169">
        <f>IF(ISNUMBER(CC169),CC169+IFERROR(_xlfn.XLOOKUP(A169,Щиты[Щит],Щиты[ΔU до шин, %]),0),"")</f>
        <v>1.7200000000000002</v>
      </c>
      <c r="CE169">
        <f>IF(D169="","",IF(IFERROR(VLOOKUP(AT169,УГО_спр,2,FALSE),"")="Светильник",3,4)+IF(Методика="нормы 2026",MIN(0.5,MAX(0,N(BW169)-100)*0.005),0))</f>
        <v>4</v>
      </c>
      <c r="CF169" t="str">
        <f>IFERROR(VLOOKUP(BI169,Кабель_обозначение,2,FALSE),"")</f>
        <v>ВВГнг(А)-LS</v>
      </c>
      <c r="CG169" t="str">
        <f>IFERROR(IF(VLOOKUP(BI169,Кабель_обозначение,3,FALSE)=1,CF169&amp;" ("&amp;BJ169&amp;"х"&amp;BS169&amp;")",CF169),"")</f>
        <v>ВВГнг(А)-LS (3х2,5)</v>
      </c>
      <c r="CH169" t="str">
        <f t="shared" si="193"/>
        <v>ВВГнг(А)-LS (3х2,5)
L=35-0,15%</v>
      </c>
      <c r="CI169">
        <f>IFERROR(2*ρкз_Cu*BW169/BS169,"")</f>
        <v>0.73639999999999994</v>
      </c>
      <c r="CJ169">
        <f t="shared" si="194"/>
        <v>0.24500000000000002</v>
      </c>
      <c r="CK169" t="str">
        <f>IFERROR(IF(OR(D169="",NOT(ISNUMBER(BS169)),N(BW169)=0),"",_xlfn.XLOOKUP(A169,Щиты[Щит],Щиты[Zпетли на шинах, Ом])+CI169),"")</f>
        <v/>
      </c>
      <c r="CL169" t="str">
        <f>IF(ISNUMBER(CK169),c_min*(Uн_лин*1000/SQRT(3))/CK169,"")</f>
        <v/>
      </c>
      <c r="CM169" t="str">
        <f>IFERROR(IF(OR(D169="",NOT(ISNUMBER(BS169))),"",1.05*(Uн_лин*1000/SQRT(3))/(_xlfn.XLOOKUP(A169,Щиты[Щит],Щиты[Zmax на шинах, Ом])+CJ169)/1000),"")</f>
        <v/>
      </c>
      <c r="CN169" t="str">
        <f>IF(D169="","",IF(BA169&lt;&gt;"","Щит",IF(K169&lt;&gt;"",K169,IF(ISNUMBER(L169),"Сил",IF(IFERROR(_xlfn.XLOOKUP(AT169,Коды_код,Коды_группа)&amp;"","")="","Быт",_xlfn.XLOOKUP(AT169,Коды_код,Коды_группа)&amp;"")))))</f>
        <v>Быт</v>
      </c>
      <c r="CO169">
        <f>IF(CN169="Щит","щит",IF(CN169="","",IF(CN169="Быт",IFERROR(_xlfn.XLOOKUP(A169,Щиты[Щит],Щиты[Кс быт]),1),IF(CN169="Сил",IF(ISNUMBER(L169),L169,IF(Методика="нормы 2026",IFERROR(_xlfn.XLOOKUP(A169,Щиты[Щит],Щиты[Кс силовых (табл. 7.5)]),1),1)),IF(OR(CN169="Пост",CN169="Отоп"),1,IF(CN169="ВНГ",0.7,0))))))</f>
        <v>0.8</v>
      </c>
      <c r="CP169">
        <f t="shared" si="195"/>
        <v>1</v>
      </c>
      <c r="CQ169">
        <f t="shared" si="196"/>
        <v>0.12</v>
      </c>
      <c r="CR169">
        <f t="shared" si="197"/>
        <v>0.12</v>
      </c>
      <c r="CS169">
        <f t="shared" si="198"/>
        <v>0</v>
      </c>
      <c r="CT169">
        <f t="shared" si="199"/>
        <v>0</v>
      </c>
      <c r="CU169">
        <f t="shared" si="200"/>
        <v>0</v>
      </c>
      <c r="CV169">
        <f t="shared" si="201"/>
        <v>0</v>
      </c>
      <c r="CW169">
        <f t="shared" si="202"/>
        <v>0.12</v>
      </c>
      <c r="CX169">
        <f t="shared" si="203"/>
        <v>0.11399999999999999</v>
      </c>
      <c r="CY169">
        <f t="shared" si="204"/>
        <v>3</v>
      </c>
      <c r="CZ169" t="str">
        <f t="shared" si="205"/>
        <v>L3</v>
      </c>
      <c r="DA169" cm="1">
        <f t="array" ref="DA169">IFERROR(IF(BL169=2,_xlfn.IFS(BH169=3,VLOOKUP(BF169,Справочная_двигатели,3,FALSE),BH169=1,VLOOKUP(BF169,Справочная_двигатели,5,TRUE)),0),0)</f>
        <v>0</v>
      </c>
      <c r="DB169">
        <f>IFERROR(IF(BL169=3,VLOOKUP(BF169,Справочная_ЛЭД,2,TRUE),0),0)</f>
        <v>0</v>
      </c>
      <c r="DC169">
        <f t="shared" si="206"/>
        <v>0</v>
      </c>
      <c r="DD169" t="str">
        <f t="shared" si="207"/>
        <v>L1</v>
      </c>
      <c r="DE169" t="str" cm="1">
        <f t="array" ref="DE169">IF(D169="","",IFERROR(INDEX({"I особая","I","II","III"},MATCH(TRIM(AA169&amp;""),{"I особая","I","II","III"},0)),"III"))</f>
        <v>II</v>
      </c>
      <c r="DF169" t="str">
        <f>IF(D169="","",IF(TRIM(AB169&amp;"")&lt;&gt;"",IF(LOWER(TRIM(AB169&amp;""))="да","да","нет"),IF(IFERROR(_xlfn.XLOOKUP(AT169,Коды_код,Коды_пожарная),"")="да","да","нет")))</f>
        <v>нет</v>
      </c>
      <c r="DG169" t="str">
        <f t="shared" si="208"/>
        <v/>
      </c>
      <c r="DH169" t="str">
        <f t="shared" si="209"/>
        <v>основная</v>
      </c>
      <c r="DI169">
        <f t="shared" si="210"/>
        <v>1</v>
      </c>
      <c r="DJ169" t="str" cm="1">
        <f t="array" ref="DJ169">IF(D169="","",_xlfn.LET(_xlpm.t,IFERROR(_xlfn.XLOOKUP(1,(Шины[Шина]=DH169)*(((Шины[Щит]=A169)+(Шины[Щит]=""))&gt;0),Шины[Тип]),"")&amp;"",IF(_xlpm.t&lt;&gt;"",_xlpm.t,IF(ISNUMBER(SEARCH("ИБП",DH169)),"ИБП",IF(ISNUMBER(SEARCH("ДГУ",DH169)),"ДГУ","Ввод "&amp;DI169)))))</f>
        <v>Ввод 1</v>
      </c>
      <c r="DK169" t="str">
        <f t="shared" si="211"/>
        <v>Ввод 1</v>
      </c>
      <c r="DL169" t="str">
        <f>IF(D169="","",IF(OR(DJ169="ИБП",DJ169="ДГУ"),"I особая",IF(DJ169="Одиночная","III",_xlfn.XLOOKUP(A169,Щиты[Щит],Щиты[Категория шины «Ввод»],"III"))))</f>
        <v>II</v>
      </c>
      <c r="DM169">
        <f>IF(D169="",0,IFERROR(MATCH(DE169,{"III","II","I","I особая"},0),1))</f>
        <v>2</v>
      </c>
      <c r="DN169">
        <f t="shared" si="212"/>
        <v>2</v>
      </c>
      <c r="DO169" t="str">
        <f>IF(D169="","",IF(DM169&gt;IFERROR(MATCH(DL169,{"III","II","I","I особая"},0),1),"НЕ ОБЕСПЕЧЕНА","ОК"))</f>
        <v>ОК</v>
      </c>
      <c r="DP169" t="str">
        <f>IF(A169="","",_xlfn.XLOOKUP(A169,Щиты[Щит],Щиты[Путь],""))</f>
        <v>|ГРЩ-ЖД|ЩР-001|</v>
      </c>
      <c r="DQ169" t="str">
        <f>IF(D169="","",IF(Z169&lt;&gt;"",Z169,IF(IFERROR(_xlfn.XLOOKUP(AT169,Коды_код,Коды_вид)&amp;"","")="","Прочее",_xlfn.XLOOKUP(AT169,Коды_код,Коды_вид)&amp;"")))</f>
        <v>Розеточная сеть и бытовые приборы</v>
      </c>
      <c r="DR169">
        <f>IF(BD169="","",INT((BD169-1)/Столбцов_на_лист)+1)</f>
        <v>2</v>
      </c>
      <c r="DS169" t="str">
        <f t="shared" si="213"/>
        <v>ВВГнг(А)-LS (3х2,5) L=35-0,15%</v>
      </c>
      <c r="DT169">
        <f t="shared" si="214"/>
        <v>0.12</v>
      </c>
      <c r="DU169">
        <f t="shared" si="215"/>
        <v>0.55000000000000004</v>
      </c>
      <c r="DV169">
        <f t="shared" si="216"/>
        <v>1</v>
      </c>
      <c r="DW169">
        <f>IF(AT169="",0,_xlfn.LET(_xlpm.v,IFERROR(VLOOKUP(D169,УГО_спр,3,FALSE),IFERROR(VLOOKUP(AT169,УГО_спр,3,FALSE),IFERROR(VLOOKUP(LEFT(AT169,2),УГО_спр,3,FALSE),""))),IF(_xlpm.v="да",30,IF(ISNUMBER(_xlpm.v),_xlpm.v,0))))</f>
        <v>30</v>
      </c>
      <c r="DX169">
        <f t="shared" si="217"/>
        <v>0</v>
      </c>
      <c r="DY169">
        <f>IF(BD169="","",IF(AD169&lt;&gt;"",COUNTIFS(A$3:A169,A169,AD$3:AD169,"?*"),IF(OR(OR(AS169=1,A169&lt;&gt;A168),AL169="вручную"),"",IF(AS169=1,"",DZ168))))</f>
        <v>15</v>
      </c>
      <c r="DZ169">
        <f t="shared" si="218"/>
        <v>15</v>
      </c>
      <c r="EA169">
        <f>IF(D169="",0,MAX(IFERROR(--X169,0),IFERROR(--VLOOKUP(D169,УГО_спр,4,FALSE),IFERROR(--VLOOKUP(AT169,УГО_спр,4,FALSE),IFERROR(--VLOOKUP(LEFT(AT169,2),УГО_спр,4,FALSE),0)))))</f>
        <v>16</v>
      </c>
      <c r="EB169">
        <f>IF(D169="","",IFERROR(LOOKUP(INDEX(CHOOSE(BR169,Iдоп_1ж,Iдоп_2ж,Iдоп_3ж),MATCH(BS169,Iдоп_S,0))*BP169*BQ169,{6,10,16,20,25,32,40,50,63,80,100,125,160,200,250,315,400,500,630}),""))</f>
        <v>25</v>
      </c>
      <c r="EC169">
        <f>IF(AD169="","",SUMIFS(Линии[_Ток схемы],Линии[_гр.],DY169,Линии[Щит],A169,Линии[_в кабель выше],0))</f>
        <v>0.55000000000000004</v>
      </c>
      <c r="ED169">
        <f>IF(AD169="","",IFERROR(VLOOKUP(EC169,Автомат_номиналы,2,TRUE),""))</f>
        <v>6</v>
      </c>
      <c r="EE169">
        <f>IF(AD169="","",MAX(N(ED169),_xlfn.MAXIFS(Линии[_мин. по типу],Линии[_гр.],DY169,Линии[Щит],A169)))</f>
        <v>16</v>
      </c>
      <c r="EF169">
        <f>IF(AD169="","",_xlfn.MINIFS(Линии[_макс. автомат по кабелю],Линии[_гр.],DY169,Линии[Щит],A169))</f>
        <v>25</v>
      </c>
      <c r="EG169">
        <f>IF(AD169="","",MAX(1,_xlfn.MAXIFS(Линии[_фаз],Линии[_гр.],DY169,Линии[Щит],A169)))</f>
        <v>1</v>
      </c>
      <c r="EH169">
        <f>IF(AD169="","",IF(AND(AD169&lt;&gt;"авто",AD169&lt;&gt;"+"),IF(ISNUMBER(SEARCH("мА",AD169)),IFERROR(--TRIM(RIGHT(SUBSTITUTE(LEFT(AD169,SEARCH("мА",AD169)-1)," ",REPT(" ",9)),6)),30),0),IF(AE169="нет",0,IF(ISNUMBER(AE169),AE169,IF(AE169="да",30,_xlfn.MINIFS(Линии[_дифзащита по коду, мА],Линии[_гр.],DY169,Линии[Щит],A169,Линии[_дифзащита по коду, мА],"&gt;0"))))))</f>
        <v>30</v>
      </c>
      <c r="EI169">
        <f t="shared" si="219"/>
        <v>1</v>
      </c>
      <c r="EJ169" t="str">
        <f t="shared" si="220"/>
        <v>QFD15</v>
      </c>
      <c r="EK169" t="str">
        <f t="shared" si="221"/>
        <v>QFD15</v>
      </c>
      <c r="EL169" t="str">
        <f t="shared" si="222"/>
        <v/>
      </c>
      <c r="EM169">
        <f t="shared" si="223"/>
        <v>0</v>
      </c>
      <c r="EN169">
        <f>IF(AD169="","",IF(EM169=1,MAX(EE169,Мин_автомат_БП),EE169))</f>
        <v>16</v>
      </c>
      <c r="EO169" t="str">
        <f t="shared" si="224"/>
        <v>2P</v>
      </c>
      <c r="EP169" t="str">
        <f t="shared" si="225"/>
        <v>2P С16А 30мА</v>
      </c>
      <c r="EQ169">
        <f t="shared" si="226"/>
        <v>16</v>
      </c>
      <c r="ER169" t="str">
        <f>IF(OR(AI169="",AI169="-"),"",IFERROR(VLOOKUP(AI169,Модули_спр,2,FALSE),"R"))</f>
        <v/>
      </c>
      <c r="ES169" t="str">
        <f>IF(ER169="","",ER169&amp;"."&amp;COUNTIFS(A$3:A169,A169,ER$3:ER169,ER169))</f>
        <v/>
      </c>
      <c r="ET169" t="str">
        <f t="shared" si="227"/>
        <v/>
      </c>
      <c r="EU169" t="str">
        <f t="shared" si="228"/>
        <v/>
      </c>
      <c r="EV169" t="str">
        <f t="shared" si="229"/>
        <v/>
      </c>
      <c r="EW169" t="str">
        <f t="shared" si="230"/>
        <v/>
      </c>
      <c r="EX169">
        <f t="shared" si="231"/>
        <v>1</v>
      </c>
      <c r="EY169" t="str">
        <f>IF(AK169="нет","",IF(AK169&lt;&gt;"",AK169,IF(EX169=1,"XT"&amp;COUNTIFS(A$3:A169,A169,EX$3:EX169,1),"")))</f>
        <v/>
      </c>
      <c r="EZ169" t="str">
        <f t="shared" si="232"/>
        <v>QFD15</v>
      </c>
      <c r="FA169" t="str">
        <f t="shared" si="233"/>
        <v/>
      </c>
      <c r="FB169" t="str">
        <f t="shared" si="234"/>
        <v>ok</v>
      </c>
      <c r="FC169" t="str">
        <f>IF(OR(EV169="",ET169=""),"",IF(EV169&gt;IFERROR(VLOOKUP(EU169,Модули_спр,3,FALSE),99),"ЛИШНИЙ КАНАЛ",IF(AND(AJ169&lt;&gt;"=",COUNTIFS(Линии[_модуль гр.],ET169,Линии[Канал (итог)],EV169,Линии[Канал],"&lt;&gt;=",Линии[Щит],A169)&gt;1),"ДУБЛЬ КАНАЛА","")))</f>
        <v/>
      </c>
      <c r="FD169">
        <f t="shared" si="235"/>
        <v>16</v>
      </c>
      <c r="FE169" t="str">
        <f t="shared" si="236"/>
        <v>2P С16А 30мА</v>
      </c>
      <c r="FF169">
        <f t="shared" si="237"/>
        <v>1</v>
      </c>
      <c r="FG169">
        <f t="shared" si="238"/>
        <v>30</v>
      </c>
      <c r="FH169" t="str">
        <f t="shared" si="239"/>
        <v/>
      </c>
      <c r="FI169">
        <f t="shared" si="240"/>
        <v>10</v>
      </c>
      <c r="FJ169" t="str">
        <f t="shared" si="241"/>
        <v/>
      </c>
      <c r="FK169" t="str">
        <f>IF(AND(D169="",EZ169=""),"",_xlfn.TEXTJOIN("; ",TRUE,IF(AND(D169&lt;&gt;"",DD169=""),"нет фазы",""),IF(AND(D169&lt;&gt;"",N(DT169)=0,CN169&lt;&gt;"Нет"),"нет мощности",""),IF(AND(EY169&lt;&gt;"",COUNTIFS(Линии[Щит],A169,Линии[Клемма (итог)],EY169)&gt;1),"дубль клеммы "&amp;EY169,""),IF(AND(FB169&lt;&gt;"",FB169&lt;&gt;"ok"),FB169,""),IF(FC169&lt;&gt;"",FC169,""),IF(AND(ISNUMBER(SEARCH("(5х",DS169)),N(DV169)=1),"5 жил на 1 фазе",""),IF(AND(AT169="R",AD169&lt;&gt;"",OR(N(EH169)=0,N(EH169)&gt;30)),"розетка без дифзащиты до 30 мА",""),IFERROR(IF(AND(ISNUMBER(CD169),CD169&gt;CE169),"потери "&amp;FIXED(CD169,1)&amp;" % &gt; "&amp;CE169&amp;" %",""),""),IFERROR(IF(LEFT(FJ169,4)="мало","Iкз мало — отключение &gt; 0,4 с",""),""),IF(AND(D169&lt;&gt;"",BD169=""),"не на схеме","")))</f>
        <v/>
      </c>
      <c r="FL169">
        <f>IF(AD169="","",_xlfn.LET(_xlpm.t,IFERROR(_xlfn.XLOOKUP(EP169,Каталог!$U$4:$U$500,Каталог!$G$4:$G$500),""),_xlpm.k,SEARCH("кА",_xlpm.t),IFERROR(--TRIM(RIGHT(SUBSTITUTE(MID(_xlpm.t,MAX(1,_xlpm.k-4),_xlpm.k-MAX(1,_xlpm.k-4))," ",REPT(" ",9)),5)),"")))</f>
        <v>6</v>
      </c>
      <c r="FM169" t="str">
        <f>IF(OR(FL169="",AD169=""),"",IF(_xlfn.XLOOKUP(A169,Щиты[Щит],Щиты[Iкз max на шинах, кА],"")="","",IF(FL169&lt;_xlfn.XLOOKUP(A169,Щиты[Щит],Щиты[Iкз max на шинах, кА]),"Icu "&amp;FL169&amp;" кА &lt; Iкз max","ok")))</f>
        <v/>
      </c>
      <c r="FN169" t="str">
        <f t="shared" si="242"/>
        <v>QFD15</v>
      </c>
      <c r="FO169" t="str">
        <f t="shared" si="243"/>
        <v>QFD15|кабель ВВГнг(А)-LS (3х2,5) → Розеточная группа Подвальный этаж Пом. №008T</v>
      </c>
      <c r="FP169" t="str" cm="1">
        <f t="array" ref="FP169">IF(FO169="","",_xlfn.LET(_xlpm.nd,_xlfn.TEXTSPLIT(FO169,"|"),IF(COLUMNS(_xlpm.nd)&gt;1,A169&amp;"¦"&amp;INDEX(_xlpm.nd,1)&amp;"¦"&amp;INDEX(_xlpm.nd,2),"")))</f>
        <v>ЩР-001¦QFD15¦кабель ВВГнг(А)-LS (3х2,5) → Розеточная группа Подвальный этаж Пом. №008T</v>
      </c>
      <c r="FQ169" t="str">
        <f t="shared" si="244"/>
        <v>R.00.008T.1¦Розеточная группа Подвальный этаж Пом. №008T</v>
      </c>
      <c r="FR169" t="str" cm="1">
        <f t="array" ref="FR169">IF(FO169="","",_xlfn.LET(_xlpm.nd,_xlfn.TEXTSPLIT(FO169,"|"),IF(COLUMNS(_xlpm.nd)&gt;2,A169&amp;"¦"&amp;INDEX(_xlpm.nd,2)&amp;"¦"&amp;INDEX(_xlpm.nd,3),"")))</f>
        <v/>
      </c>
      <c r="FS169" t="str">
        <f t="shared" si="245"/>
        <v/>
      </c>
      <c r="FT169" t="str" cm="1">
        <f t="array" ref="FT169">IF(FO169="","",_xlfn.LET(_xlpm.nd,_xlfn.TEXTSPLIT(FO169,"|"),IF(COLUMNS(_xlpm.nd)&gt;3,A169&amp;"¦"&amp;INDEX(_xlpm.nd,3)&amp;"¦"&amp;INDEX(_xlpm.nd,4),"")))</f>
        <v/>
      </c>
      <c r="FU169" t="str">
        <f t="shared" si="246"/>
        <v/>
      </c>
      <c r="FV169" t="str" cm="1">
        <f t="array" ref="FV169">IF(FO169="","",_xlfn.LET(_xlpm.nd,_xlfn.TEXTSPLIT(FO169,"|"),IF(COLUMNS(_xlpm.nd)&gt;4,A169&amp;"¦"&amp;INDEX(_xlpm.nd,4)&amp;"¦"&amp;INDEX(_xlpm.nd,5),"")))</f>
        <v/>
      </c>
      <c r="FW169" t="str">
        <f t="shared" si="247"/>
        <v/>
      </c>
      <c r="FX169" t="str" cm="1">
        <f t="array" ref="FX169">IF(FO169="","",_xlfn.LET(_xlpm.nd,_xlfn.TEXTSPLIT(FO169,"|"),IF(COLUMNS(_xlpm.nd)&gt;5,A169&amp;"¦"&amp;INDEX(_xlpm.nd,5)&amp;"¦"&amp;INDEX(_xlpm.nd,6),"")))</f>
        <v/>
      </c>
      <c r="FY169" t="str">
        <f t="shared" si="248"/>
        <v/>
      </c>
      <c r="FZ169" t="str" cm="1">
        <f t="array" ref="FZ169">IF(FO169="","",_xlfn.LET(_xlpm.nd,_xlfn.TEXTSPLIT(FO169,"|"),IF(COLUMNS(_xlpm.nd)&gt;6,A169&amp;"¦"&amp;INDEX(_xlpm.nd,6)&amp;"¦"&amp;INDEX(_xlpm.nd,7),"")))</f>
        <v/>
      </c>
      <c r="GA169" t="str">
        <f t="shared" si="249"/>
        <v/>
      </c>
      <c r="GB169" t="str">
        <f t="shared" si="250"/>
        <v/>
      </c>
      <c r="GC169" t="str">
        <f t="shared" si="251"/>
        <v>QFD15</v>
      </c>
      <c r="GD169">
        <f t="shared" si="252"/>
        <v>1</v>
      </c>
      <c r="GE169">
        <f t="shared" si="253"/>
        <v>0</v>
      </c>
      <c r="GF169">
        <f t="shared" si="254"/>
        <v>1</v>
      </c>
      <c r="GG169" t="str">
        <f t="shared" si="255"/>
        <v/>
      </c>
      <c r="GH169" t="str">
        <f t="shared" si="256"/>
        <v/>
      </c>
      <c r="GI169" t="str">
        <f t="shared" si="257"/>
        <v/>
      </c>
      <c r="GJ169" t="str">
        <f t="shared" si="258"/>
        <v/>
      </c>
      <c r="GK169" t="str">
        <f>IF(D169="","",IFERROR(VLOOKUP(D169,УГО_спр,2,FALSE),IFERROR(VLOOKUP(AT169,УГО_спр,2,FALSE),IFERROR(VLOOKUP(LEFT(AT169,2),УГО_спр,2,FALSE),""))))</f>
        <v>Розетка</v>
      </c>
      <c r="GL169" t="str">
        <f>IF(D169="","",IF(OR(GK169="",GK169=0),"BOX",IFERROR(IF(VLOOKUP(GK169,УГО_блоки,3,FALSE)&amp;""&lt;&gt;"",VLOOKUP(GK169,УГО_блоки,3,FALSE),VLOOKUP(GK169,УГО_блоки,2,FALSE)),GK169)))</f>
        <v>SOCKET</v>
      </c>
      <c r="GM169">
        <f t="shared" si="259"/>
        <v>1</v>
      </c>
      <c r="GN169" t="str">
        <f>IF(EP169="","",IF(COUNTIF(EP$3:EP169,EP169)=1,MAX(GN$2:GN168)+1,""))</f>
        <v/>
      </c>
      <c r="GO169" t="str">
        <f>IF(AF169="","",IF(COUNTIF(AF$3:AF169,AF169)+COUNTIF(AG$2:AG168,AF169)+COUNTIF(AH$2:AH168,AF169)=1,MAX(GO$2:GQ168)+1,""))</f>
        <v/>
      </c>
      <c r="GP169" t="str">
        <f>IF(AG169="","",IF(COUNTIF(AF$3:AF169,AG169)+COUNTIF(AG$3:AG169,AG169)+COUNTIF(AH$2:AH168,AG169)=1,MAX(GO$2:GQ168,GO169)+1,""))</f>
        <v/>
      </c>
      <c r="GQ169" t="str">
        <f>IF(AH169="","",IF(COUNTIF(AF$3:AF169,AH169)+COUNTIF(AG$3:AG169,AH169)+COUNTIF(AH$3:AH169,AH169)=1,MAX(GO$2:GQ168,GO169,GP169)+1,""))</f>
        <v/>
      </c>
      <c r="GR169" t="str">
        <f t="shared" si="260"/>
        <v>3х2,5</v>
      </c>
      <c r="GS169" t="str">
        <f>IF(GR169="","",IF(COUNTIF(GR$3:GR169,GR169)=1,MAX(GS$2:GS168)+1,""))</f>
        <v/>
      </c>
      <c r="GT169" t="str">
        <f>IF(ES169="","",COUNTIF(ES$3:ES169,"?*"))</f>
        <v/>
      </c>
      <c r="GU169" t="str">
        <f>IF(OR(ES169="",EU169=""),"",IF(COUNTIFS(ES$3:ES169,"?*",EU$3:EU169,EU169)=1,MAX(GU$2:GU168)+1,""))</f>
        <v/>
      </c>
      <c r="GV169">
        <f t="shared" si="261"/>
        <v>0</v>
      </c>
      <c r="GW169">
        <f>IF(D169="","",COUNTIF(D$3:D169,"?*"))</f>
        <v>167</v>
      </c>
      <c r="GX169">
        <f>IF(EX169&lt;&gt;1,0,_xlfn.LET(_xlpm.k,MAX(IFERROR(--VLOOKUP(D169,УГО_спр,5,FALSE),0),IFERROR(--VLOOKUP(AT169,УГО_спр,5,FALSE),0),IFERROR(--VLOOKUP(LEFT(AT169,2),УГО_спр,5,FALSE),0)),IF(_xlpm.k&gt;0,_xlpm.k,IF(IFERROR(--LEFT(SUBSTITUTE(GR169,"x","х"),FIND("х",SUBSTITUTE(GR169,"x","х"))-1),3)&gt;3,Каталог!$S$9,1))))</f>
        <v>1</v>
      </c>
      <c r="GY169">
        <f t="shared" si="262"/>
        <v>0</v>
      </c>
    </row>
    <row r="170" spans="1:207" x14ac:dyDescent="0.3">
      <c r="A170" t="s">
        <v>758</v>
      </c>
      <c r="B170">
        <v>25</v>
      </c>
      <c r="C170" t="str">
        <f>IF(BD170="","",IF(BE170="вводной узел","узел ","")&amp;"л."&amp;(INT((BD170-1)/Столбцов_на_лист)+1)&amp;" / "&amp;(MOD(BD170-1,Столбцов_на_лист)+1))</f>
        <v>л.2 / 8</v>
      </c>
      <c r="D170" t="s">
        <v>1474</v>
      </c>
      <c r="E170" s="133" t="str">
        <f t="shared" si="263"/>
        <v>Розеточная группа Подвальный этаж Пом. №002Tб</v>
      </c>
      <c r="G170">
        <v>0.06</v>
      </c>
      <c r="H170">
        <v>1</v>
      </c>
      <c r="I170">
        <v>1</v>
      </c>
      <c r="J170">
        <v>230</v>
      </c>
      <c r="K170" t="s">
        <v>566</v>
      </c>
      <c r="O170">
        <v>1</v>
      </c>
      <c r="P170">
        <v>28</v>
      </c>
      <c r="Q170">
        <v>0</v>
      </c>
      <c r="R170">
        <v>0</v>
      </c>
      <c r="S170">
        <v>28</v>
      </c>
      <c r="U170" t="s">
        <v>11</v>
      </c>
      <c r="V170">
        <v>3</v>
      </c>
      <c r="W170">
        <v>2.5</v>
      </c>
      <c r="X170">
        <v>16</v>
      </c>
      <c r="Z170" t="s">
        <v>565</v>
      </c>
      <c r="AA170" t="s">
        <v>818</v>
      </c>
      <c r="AD170" t="s">
        <v>517</v>
      </c>
      <c r="AK170" t="s">
        <v>488</v>
      </c>
      <c r="AR170" t="str">
        <f t="shared" si="176"/>
        <v/>
      </c>
      <c r="AS170" cm="1">
        <f t="array" ref="AS170">ROW()-ROW(Линии[#Headers])</f>
        <v>168</v>
      </c>
      <c r="AT170" t="str">
        <f t="shared" si="177"/>
        <v>R</v>
      </c>
      <c r="AU170" t="str">
        <f t="shared" si="178"/>
        <v>00.002Tб.1</v>
      </c>
      <c r="AV170" t="str">
        <f t="shared" si="179"/>
        <v>00</v>
      </c>
      <c r="AW170" t="str">
        <f t="shared" si="180"/>
        <v>002Tб.1</v>
      </c>
      <c r="AX170" t="str">
        <f t="shared" si="181"/>
        <v>002Tб</v>
      </c>
      <c r="AY170" t="str">
        <f>IF(D170="","",IF(ISERROR(SEARCH(".",D170)),IFERROR(VLOOKUP(D170,Потребители_обозначение,2,FALSE)&amp;"",""),IFERROR(IF(VLOOKUP(AT170,Потребители_обозначение,4,FALSE)=1,VLOOKUP(AT170,Потребители_обозначение,2,FALSE)&amp;" "&amp;VLOOKUP(AV170,Этаж_обозначение,2,FALSE)&amp;" Пом. №"&amp;AX170,VLOOKUP(AT170,Потребители_обозначение,2,FALSE)&amp;" Шлейф №"&amp;AV170),IFERROR(VLOOKUP(D170,Потребители_обозначение,2,FALSE),""))))</f>
        <v>Розеточная группа Подвальный этаж Пом. №002Tб</v>
      </c>
      <c r="AZ170" t="str">
        <f t="shared" si="182"/>
        <v>Розеточная группа Подвальный этаж Пом. №002Tб</v>
      </c>
      <c r="BA170" t="str">
        <f>IF(F170&lt;&gt;"",F170,IF(AND(D170&lt;&gt;"",D170&lt;&gt;A170,ISNUMBER(_xlfn.XMATCH(D170,Щиты[Щит]))),D170,""))</f>
        <v/>
      </c>
      <c r="BB170">
        <f>IFERROR(_xlfn.XMATCH(A170,Щиты[Щит]),0)</f>
        <v>8</v>
      </c>
      <c r="BC170">
        <f>IFERROR(N(_xlfn.XLOOKUP(A170,Щиты[Щит],Щиты[Мест под вводной узел])),15)</f>
        <v>7</v>
      </c>
      <c r="BD170">
        <f t="shared" si="183"/>
        <v>25</v>
      </c>
      <c r="BE170" t="str">
        <f t="shared" si="184"/>
        <v>линии</v>
      </c>
      <c r="BF170">
        <f>IF(D170="","",IF(BA170&lt;&gt;"",IFERROR(_xlfn.XLOOKUP(BA170,Щиты[Щит],Щиты[Руст, кВт]),0),N(G170)))</f>
        <v>0.06</v>
      </c>
      <c r="BG170">
        <f>IF(J170&lt;&gt;"",J170,IF(D170="","",IFERROR(IF(VLOOKUP(AT170,Потребители_обозначение,8,FALSE)=0,"",VLOOKUP(AT170,Потребители_обозначение,8,FALSE)),"")))</f>
        <v>230</v>
      </c>
      <c r="BH170">
        <f>IF(I170&lt;&gt;"",I170,IF(D170="","",IFERROR(IF(VLOOKUP(AT170,Потребители_обозначение,9,FALSE)=0,"",VLOOKUP(AT170,Потребители_обозначение,9,FALSE)),"")))</f>
        <v>1</v>
      </c>
      <c r="BI170" t="str">
        <f>IF(U170&lt;&gt;"",U170,IF(D170="","",IFERROR(IF(VLOOKUP(AT170,Потребители_обозначение,6,FALSE)=0,"",VLOOKUP(AT170,Потребители_обозначение,6,FALSE)),"")))</f>
        <v>мс</v>
      </c>
      <c r="BJ170">
        <f>IF(V170&lt;&gt;"",V170,IF(D170="","",IFERROR(IF(VLOOKUP(AT170,Потребители_обозначение,7,FALSE)=0,"",VLOOKUP(AT170,Потребители_обозначение,7,FALSE)),"")))</f>
        <v>3</v>
      </c>
      <c r="BK170">
        <f>IF(W170&lt;&gt;"",W170,IF(D170="","",IFERROR(IF(VLOOKUP(AT170,Потребители_обозначение,10,FALSE)=0,"",VLOOKUP(AT170,Потребители_обозначение,10,FALSE)),"")))</f>
        <v>2.5</v>
      </c>
      <c r="BL170">
        <f>IFERROR(VLOOKUP(AT170,Потребители_обозначение,5,FALSE),0)</f>
        <v>1</v>
      </c>
      <c r="BM170" cm="1">
        <f t="array" ref="BM170">IF(D170="","",IF(BA170&lt;&gt;"",IFERROR(_xlfn.XLOOKUP(BA170,Щиты[Щит],Щиты[cos φ]),0.95),IF(ISNUMBER(M170),M170,IFERROR(IF(BL170=2,_xlfn.IFS(BH170=3,VLOOKUP(BF170,Справочная_двигатели,8,FALSE),BH170=1,VLOOKUP(BF170,Справочная_двигатели,10,TRUE)),IF(AND(Методика="нормы 2026",CN170="Сил"),0.8,0.95)),0.95))))</f>
        <v>0.95</v>
      </c>
      <c r="BN170" cm="1">
        <f t="array" ref="BN170">IF(D170="","",IF(BA170&lt;&gt;"",IFERROR(_xlfn.XLOOKUP(BA170,Щиты[Щит],Щиты[Iр, А]),""),IFERROR(_xlfn.IFS(BH170=1,BF170/((Uн_лин/SQRT(3))*BM170),BH170=3,BF170/(SQRT(3)*Uн_лин*BM170)),"")))</f>
        <v>0.27348170645824377</v>
      </c>
      <c r="BO170">
        <f>IF(D170="","",IF(N(X170)=0,IFERROR(VLOOKUP(BN170,Автомат_номиналы,2,TRUE),""),X170))</f>
        <v>16</v>
      </c>
      <c r="BP170">
        <f t="shared" si="185"/>
        <v>1</v>
      </c>
      <c r="BQ170">
        <f>IF(ISNUMBER(Y170),Y170,К_прокл)</f>
        <v>1</v>
      </c>
      <c r="BR170">
        <f t="shared" si="186"/>
        <v>2</v>
      </c>
      <c r="BS170" cm="1">
        <f t="array" ref="BS170">IF(D170="","",IF(N(BK170)&lt;&gt;0,BK170,IFERROR(_xlfn.LET(_xlpm.need,BO170/(BP170*BQ170),_xlpm.t,CHOOSE(BR170,Iдоп_1ж,Iдоп_2ж,Iдоп_3ж),_xlpm.k,_xlfn.XMATCH(_xlpm.need,_xlpm.t,1),IF(ISNA(_xlpm.k),"Не исп",INDEX(Iдоп_S,_xlpm.k))),"Не исп")))</f>
        <v>2.5</v>
      </c>
      <c r="BT170">
        <f>IFERROR(VLOOKUP(BS170,Кабель_сопротивление,3,FALSE),"")</f>
        <v>2.2499999999999999E-2</v>
      </c>
      <c r="BU170">
        <f>IFERROR(VLOOKUP(BS170,Кабель_сопротивление,2,FALSE),"")</f>
        <v>0.1</v>
      </c>
      <c r="BV170">
        <f t="shared" si="187"/>
        <v>28</v>
      </c>
      <c r="BW170">
        <f>IF(D170="","",IFERROR(IF(VLOOKUP(AT170,Потребители_обозначение,4,FALSE)=1,VLOOKUP(AT170,Потребители_обозначение,3,FALSE)*(H170*2-1)+BV170+VLOOKUP(AV170,Этаж_обозначение,3,FALSE)+VLOOKUP(AV170,Этаж_обозначение,4,FALSE),VLOOKUP(AT170,Потребители_обозначение,3,FALSE)*(H170*2-1)+BV170),BV170))</f>
        <v>31</v>
      </c>
      <c r="BX170">
        <f t="shared" si="188"/>
        <v>0</v>
      </c>
      <c r="BY170">
        <f t="shared" si="189"/>
        <v>28</v>
      </c>
      <c r="BZ170">
        <f t="shared" si="190"/>
        <v>2</v>
      </c>
      <c r="CA170">
        <f t="shared" si="191"/>
        <v>0.31</v>
      </c>
      <c r="CB170">
        <f t="shared" si="192"/>
        <v>0.14549828443332777</v>
      </c>
      <c r="CC170">
        <f>IFERROR(ROUNDUP(CB170/((Uн_лин/SQRT(3))*1000)*100,2),"")</f>
        <v>6.9999999999999993E-2</v>
      </c>
      <c r="CD170">
        <f>IF(ISNUMBER(CC170),CC170+IFERROR(_xlfn.XLOOKUP(A170,Щиты[Щит],Щиты[ΔU до шин, %]),0),"")</f>
        <v>1.6400000000000001</v>
      </c>
      <c r="CE170">
        <f>IF(D170="","",IF(IFERROR(VLOOKUP(AT170,УГО_спр,2,FALSE),"")="Светильник",3,4)+IF(Методика="нормы 2026",MIN(0.5,MAX(0,N(BW170)-100)*0.005),0))</f>
        <v>4</v>
      </c>
      <c r="CF170" t="str">
        <f>IFERROR(VLOOKUP(BI170,Кабель_обозначение,2,FALSE),"")</f>
        <v>ВВГнг(А)-LS</v>
      </c>
      <c r="CG170" t="str">
        <f>IFERROR(IF(VLOOKUP(BI170,Кабель_обозначение,3,FALSE)=1,CF170&amp;" ("&amp;BJ170&amp;"х"&amp;BS170&amp;")",CF170),"")</f>
        <v>ВВГнг(А)-LS (3х2,5)</v>
      </c>
      <c r="CH170" t="str">
        <f t="shared" si="193"/>
        <v>ВВГнг(А)-LS (3х2,5)
L=31-0,07%</v>
      </c>
      <c r="CI170">
        <f>IFERROR(2*ρкз_Cu*BW170/BS170,"")</f>
        <v>0.65224000000000004</v>
      </c>
      <c r="CJ170">
        <f t="shared" si="194"/>
        <v>0.21700000000000003</v>
      </c>
      <c r="CK170" t="str">
        <f>IFERROR(IF(OR(D170="",NOT(ISNUMBER(BS170)),N(BW170)=0),"",_xlfn.XLOOKUP(A170,Щиты[Щит],Щиты[Zпетли на шинах, Ом])+CI170),"")</f>
        <v/>
      </c>
      <c r="CL170" t="str">
        <f>IF(ISNUMBER(CK170),c_min*(Uн_лин*1000/SQRT(3))/CK170,"")</f>
        <v/>
      </c>
      <c r="CM170" t="str">
        <f>IFERROR(IF(OR(D170="",NOT(ISNUMBER(BS170))),"",1.05*(Uн_лин*1000/SQRT(3))/(_xlfn.XLOOKUP(A170,Щиты[Щит],Щиты[Zmax на шинах, Ом])+CJ170)/1000),"")</f>
        <v/>
      </c>
      <c r="CN170" t="str">
        <f>IF(D170="","",IF(BA170&lt;&gt;"","Щит",IF(K170&lt;&gt;"",K170,IF(ISNUMBER(L170),"Сил",IF(IFERROR(_xlfn.XLOOKUP(AT170,Коды_код,Коды_группа)&amp;"","")="","Быт",_xlfn.XLOOKUP(AT170,Коды_код,Коды_группа)&amp;"")))))</f>
        <v>Быт</v>
      </c>
      <c r="CO170">
        <f>IF(CN170="Щит","щит",IF(CN170="","",IF(CN170="Быт",IFERROR(_xlfn.XLOOKUP(A170,Щиты[Щит],Щиты[Кс быт]),1),IF(CN170="Сил",IF(ISNUMBER(L170),L170,IF(Методика="нормы 2026",IFERROR(_xlfn.XLOOKUP(A170,Щиты[Щит],Щиты[Кс силовых (табл. 7.5)]),1),1)),IF(OR(CN170="Пост",CN170="Отоп"),1,IF(CN170="ВНГ",0.7,0))))))</f>
        <v>0.8</v>
      </c>
      <c r="CP170">
        <f t="shared" si="195"/>
        <v>1</v>
      </c>
      <c r="CQ170">
        <f t="shared" si="196"/>
        <v>0.06</v>
      </c>
      <c r="CR170">
        <f t="shared" si="197"/>
        <v>0.06</v>
      </c>
      <c r="CS170">
        <f t="shared" si="198"/>
        <v>0</v>
      </c>
      <c r="CT170">
        <f t="shared" si="199"/>
        <v>0</v>
      </c>
      <c r="CU170">
        <f t="shared" si="200"/>
        <v>0</v>
      </c>
      <c r="CV170">
        <f t="shared" si="201"/>
        <v>0</v>
      </c>
      <c r="CW170">
        <f t="shared" si="202"/>
        <v>0.06</v>
      </c>
      <c r="CX170">
        <f t="shared" si="203"/>
        <v>5.6999999999999995E-2</v>
      </c>
      <c r="CY170">
        <f t="shared" si="204"/>
        <v>1</v>
      </c>
      <c r="CZ170" t="str">
        <f t="shared" si="205"/>
        <v>L1</v>
      </c>
      <c r="DA170" cm="1">
        <f t="array" ref="DA170">IFERROR(IF(BL170=2,_xlfn.IFS(BH170=3,VLOOKUP(BF170,Справочная_двигатели,3,FALSE),BH170=1,VLOOKUP(BF170,Справочная_двигатели,5,TRUE)),0),0)</f>
        <v>0</v>
      </c>
      <c r="DB170">
        <f>IFERROR(IF(BL170=3,VLOOKUP(BF170,Справочная_ЛЭД,2,TRUE),0),0)</f>
        <v>0</v>
      </c>
      <c r="DC170">
        <f t="shared" si="206"/>
        <v>0</v>
      </c>
      <c r="DD170" t="str">
        <f t="shared" si="207"/>
        <v>L1</v>
      </c>
      <c r="DE170" t="str" cm="1">
        <f t="array" ref="DE170">IF(D170="","",IFERROR(INDEX({"I особая","I","II","III"},MATCH(TRIM(AA170&amp;""),{"I особая","I","II","III"},0)),"III"))</f>
        <v>II</v>
      </c>
      <c r="DF170" t="str">
        <f>IF(D170="","",IF(TRIM(AB170&amp;"")&lt;&gt;"",IF(LOWER(TRIM(AB170&amp;""))="да","да","нет"),IF(IFERROR(_xlfn.XLOOKUP(AT170,Коды_код,Коды_пожарная),"")="да","да","нет")))</f>
        <v>нет</v>
      </c>
      <c r="DG170" t="str">
        <f t="shared" si="208"/>
        <v/>
      </c>
      <c r="DH170" t="str">
        <f t="shared" si="209"/>
        <v>основная</v>
      </c>
      <c r="DI170">
        <f t="shared" si="210"/>
        <v>1</v>
      </c>
      <c r="DJ170" t="str" cm="1">
        <f t="array" ref="DJ170">IF(D170="","",_xlfn.LET(_xlpm.t,IFERROR(_xlfn.XLOOKUP(1,(Шины[Шина]=DH170)*(((Шины[Щит]=A170)+(Шины[Щит]=""))&gt;0),Шины[Тип]),"")&amp;"",IF(_xlpm.t&lt;&gt;"",_xlpm.t,IF(ISNUMBER(SEARCH("ИБП",DH170)),"ИБП",IF(ISNUMBER(SEARCH("ДГУ",DH170)),"ДГУ","Ввод "&amp;DI170)))))</f>
        <v>Ввод 1</v>
      </c>
      <c r="DK170" t="str">
        <f t="shared" si="211"/>
        <v>Ввод 1</v>
      </c>
      <c r="DL170" t="str">
        <f>IF(D170="","",IF(OR(DJ170="ИБП",DJ170="ДГУ"),"I особая",IF(DJ170="Одиночная","III",_xlfn.XLOOKUP(A170,Щиты[Щит],Щиты[Категория шины «Ввод»],"III"))))</f>
        <v>II</v>
      </c>
      <c r="DM170">
        <f>IF(D170="",0,IFERROR(MATCH(DE170,{"III","II","I","I особая"},0),1))</f>
        <v>2</v>
      </c>
      <c r="DN170">
        <f t="shared" si="212"/>
        <v>2</v>
      </c>
      <c r="DO170" t="str">
        <f>IF(D170="","",IF(DM170&gt;IFERROR(MATCH(DL170,{"III","II","I","I особая"},0),1),"НЕ ОБЕСПЕЧЕНА","ОК"))</f>
        <v>ОК</v>
      </c>
      <c r="DP170" t="str">
        <f>IF(A170="","",_xlfn.XLOOKUP(A170,Щиты[Щит],Щиты[Путь],""))</f>
        <v>|ГРЩ-ЖД|ЩР-001|</v>
      </c>
      <c r="DQ170" t="str">
        <f>IF(D170="","",IF(Z170&lt;&gt;"",Z170,IF(IFERROR(_xlfn.XLOOKUP(AT170,Коды_код,Коды_вид)&amp;"","")="","Прочее",_xlfn.XLOOKUP(AT170,Коды_код,Коды_вид)&amp;"")))</f>
        <v>Розеточная сеть и бытовые приборы</v>
      </c>
      <c r="DR170">
        <f>IF(BD170="","",INT((BD170-1)/Столбцов_на_лист)+1)</f>
        <v>2</v>
      </c>
      <c r="DS170" t="str">
        <f t="shared" si="213"/>
        <v>ВВГнг(А)-LS (3х2,5) L=31-0,07%</v>
      </c>
      <c r="DT170">
        <f t="shared" si="214"/>
        <v>0.06</v>
      </c>
      <c r="DU170">
        <f t="shared" si="215"/>
        <v>0.28000000000000003</v>
      </c>
      <c r="DV170">
        <f t="shared" si="216"/>
        <v>1</v>
      </c>
      <c r="DW170">
        <f>IF(AT170="",0,_xlfn.LET(_xlpm.v,IFERROR(VLOOKUP(D170,УГО_спр,3,FALSE),IFERROR(VLOOKUP(AT170,УГО_спр,3,FALSE),IFERROR(VLOOKUP(LEFT(AT170,2),УГО_спр,3,FALSE),""))),IF(_xlpm.v="да",30,IF(ISNUMBER(_xlpm.v),_xlpm.v,0))))</f>
        <v>30</v>
      </c>
      <c r="DX170">
        <f t="shared" si="217"/>
        <v>0</v>
      </c>
      <c r="DY170">
        <f>IF(BD170="","",IF(AD170&lt;&gt;"",COUNTIFS(A$3:A170,A170,AD$3:AD170,"?*"),IF(OR(OR(AS170=1,A170&lt;&gt;A169),AL170="вручную"),"",IF(AS170=1,"",DZ169))))</f>
        <v>16</v>
      </c>
      <c r="DZ170">
        <f t="shared" si="218"/>
        <v>16</v>
      </c>
      <c r="EA170">
        <f>IF(D170="",0,MAX(IFERROR(--X170,0),IFERROR(--VLOOKUP(D170,УГО_спр,4,FALSE),IFERROR(--VLOOKUP(AT170,УГО_спр,4,FALSE),IFERROR(--VLOOKUP(LEFT(AT170,2),УГО_спр,4,FALSE),0)))))</f>
        <v>16</v>
      </c>
      <c r="EB170">
        <f>IF(D170="","",IFERROR(LOOKUP(INDEX(CHOOSE(BR170,Iдоп_1ж,Iдоп_2ж,Iдоп_3ж),MATCH(BS170,Iдоп_S,0))*BP170*BQ170,{6,10,16,20,25,32,40,50,63,80,100,125,160,200,250,315,400,500,630}),""))</f>
        <v>25</v>
      </c>
      <c r="EC170">
        <f>IF(AD170="","",SUMIFS(Линии[_Ток схемы],Линии[_гр.],DY170,Линии[Щит],A170,Линии[_в кабель выше],0))</f>
        <v>0.28000000000000003</v>
      </c>
      <c r="ED170">
        <f>IF(AD170="","",IFERROR(VLOOKUP(EC170,Автомат_номиналы,2,TRUE),""))</f>
        <v>6</v>
      </c>
      <c r="EE170">
        <f>IF(AD170="","",MAX(N(ED170),_xlfn.MAXIFS(Линии[_мин. по типу],Линии[_гр.],DY170,Линии[Щит],A170)))</f>
        <v>16</v>
      </c>
      <c r="EF170">
        <f>IF(AD170="","",_xlfn.MINIFS(Линии[_макс. автомат по кабелю],Линии[_гр.],DY170,Линии[Щит],A170))</f>
        <v>25</v>
      </c>
      <c r="EG170">
        <f>IF(AD170="","",MAX(1,_xlfn.MAXIFS(Линии[_фаз],Линии[_гр.],DY170,Линии[Щит],A170)))</f>
        <v>1</v>
      </c>
      <c r="EH170">
        <f>IF(AD170="","",IF(AND(AD170&lt;&gt;"авто",AD170&lt;&gt;"+"),IF(ISNUMBER(SEARCH("мА",AD170)),IFERROR(--TRIM(RIGHT(SUBSTITUTE(LEFT(AD170,SEARCH("мА",AD170)-1)," ",REPT(" ",9)),6)),30),0),IF(AE170="нет",0,IF(ISNUMBER(AE170),AE170,IF(AE170="да",30,_xlfn.MINIFS(Линии[_дифзащита по коду, мА],Линии[_гр.],DY170,Линии[Щит],A170,Линии[_дифзащита по коду, мА],"&gt;0"))))))</f>
        <v>30</v>
      </c>
      <c r="EI170">
        <f t="shared" si="219"/>
        <v>1</v>
      </c>
      <c r="EJ170" t="str">
        <f t="shared" si="220"/>
        <v>QFD16</v>
      </c>
      <c r="EK170" t="str">
        <f t="shared" si="221"/>
        <v>QFD16</v>
      </c>
      <c r="EL170" t="str">
        <f t="shared" si="222"/>
        <v/>
      </c>
      <c r="EM170">
        <f t="shared" si="223"/>
        <v>0</v>
      </c>
      <c r="EN170">
        <f>IF(AD170="","",IF(EM170=1,MAX(EE170,Мин_автомат_БП),EE170))</f>
        <v>16</v>
      </c>
      <c r="EO170" t="str">
        <f t="shared" si="224"/>
        <v>2P</v>
      </c>
      <c r="EP170" t="str">
        <f t="shared" si="225"/>
        <v>2P С16А 30мА</v>
      </c>
      <c r="EQ170">
        <f t="shared" si="226"/>
        <v>16</v>
      </c>
      <c r="ER170" t="str">
        <f>IF(OR(AI170="",AI170="-"),"",IFERROR(VLOOKUP(AI170,Модули_спр,2,FALSE),"R"))</f>
        <v/>
      </c>
      <c r="ES170" t="str">
        <f>IF(ER170="","",ER170&amp;"."&amp;COUNTIFS(A$3:A170,A170,ER$3:ER170,ER170))</f>
        <v/>
      </c>
      <c r="ET170" t="str">
        <f t="shared" si="227"/>
        <v/>
      </c>
      <c r="EU170" t="str">
        <f t="shared" si="228"/>
        <v/>
      </c>
      <c r="EV170" t="str">
        <f t="shared" si="229"/>
        <v/>
      </c>
      <c r="EW170" t="str">
        <f t="shared" si="230"/>
        <v/>
      </c>
      <c r="EX170">
        <f t="shared" si="231"/>
        <v>1</v>
      </c>
      <c r="EY170" t="str">
        <f>IF(AK170="нет","",IF(AK170&lt;&gt;"",AK170,IF(EX170=1,"XT"&amp;COUNTIFS(A$3:A170,A170,EX$3:EX170,1),"")))</f>
        <v/>
      </c>
      <c r="EZ170" t="str">
        <f t="shared" si="232"/>
        <v>QFD16</v>
      </c>
      <c r="FA170" t="str">
        <f t="shared" si="233"/>
        <v/>
      </c>
      <c r="FB170" t="str">
        <f t="shared" si="234"/>
        <v>ok</v>
      </c>
      <c r="FC170" t="str">
        <f>IF(OR(EV170="",ET170=""),"",IF(EV170&gt;IFERROR(VLOOKUP(EU170,Модули_спр,3,FALSE),99),"ЛИШНИЙ КАНАЛ",IF(AND(AJ170&lt;&gt;"=",COUNTIFS(Линии[_модуль гр.],ET170,Линии[Канал (итог)],EV170,Линии[Канал],"&lt;&gt;=",Линии[Щит],A170)&gt;1),"ДУБЛЬ КАНАЛА","")))</f>
        <v/>
      </c>
      <c r="FD170">
        <f t="shared" si="235"/>
        <v>16</v>
      </c>
      <c r="FE170" t="str">
        <f t="shared" si="236"/>
        <v>2P С16А 30мА</v>
      </c>
      <c r="FF170">
        <f t="shared" si="237"/>
        <v>1</v>
      </c>
      <c r="FG170">
        <f t="shared" si="238"/>
        <v>30</v>
      </c>
      <c r="FH170" t="str">
        <f t="shared" si="239"/>
        <v/>
      </c>
      <c r="FI170">
        <f t="shared" si="240"/>
        <v>10</v>
      </c>
      <c r="FJ170" t="str">
        <f t="shared" si="241"/>
        <v/>
      </c>
      <c r="FK170" t="str">
        <f>IF(AND(D170="",EZ170=""),"",_xlfn.TEXTJOIN("; ",TRUE,IF(AND(D170&lt;&gt;"",DD170=""),"нет фазы",""),IF(AND(D170&lt;&gt;"",N(DT170)=0,CN170&lt;&gt;"Нет"),"нет мощности",""),IF(AND(EY170&lt;&gt;"",COUNTIFS(Линии[Щит],A170,Линии[Клемма (итог)],EY170)&gt;1),"дубль клеммы "&amp;EY170,""),IF(AND(FB170&lt;&gt;"",FB170&lt;&gt;"ok"),FB170,""),IF(FC170&lt;&gt;"",FC170,""),IF(AND(ISNUMBER(SEARCH("(5х",DS170)),N(DV170)=1),"5 жил на 1 фазе",""),IF(AND(AT170="R",AD170&lt;&gt;"",OR(N(EH170)=0,N(EH170)&gt;30)),"розетка без дифзащиты до 30 мА",""),IFERROR(IF(AND(ISNUMBER(CD170),CD170&gt;CE170),"потери "&amp;FIXED(CD170,1)&amp;" % &gt; "&amp;CE170&amp;" %",""),""),IFERROR(IF(LEFT(FJ170,4)="мало","Iкз мало — отключение &gt; 0,4 с",""),""),IF(AND(D170&lt;&gt;"",BD170=""),"не на схеме","")))</f>
        <v/>
      </c>
      <c r="FL170">
        <f>IF(AD170="","",_xlfn.LET(_xlpm.t,IFERROR(_xlfn.XLOOKUP(EP170,Каталог!$U$4:$U$500,Каталог!$G$4:$G$500),""),_xlpm.k,SEARCH("кА",_xlpm.t),IFERROR(--TRIM(RIGHT(SUBSTITUTE(MID(_xlpm.t,MAX(1,_xlpm.k-4),_xlpm.k-MAX(1,_xlpm.k-4))," ",REPT(" ",9)),5)),"")))</f>
        <v>6</v>
      </c>
      <c r="FM170" t="str">
        <f>IF(OR(FL170="",AD170=""),"",IF(_xlfn.XLOOKUP(A170,Щиты[Щит],Щиты[Iкз max на шинах, кА],"")="","",IF(FL170&lt;_xlfn.XLOOKUP(A170,Щиты[Щит],Щиты[Iкз max на шинах, кА]),"Icu "&amp;FL170&amp;" кА &lt; Iкз max","ok")))</f>
        <v/>
      </c>
      <c r="FN170" t="str">
        <f t="shared" si="242"/>
        <v>QFD16</v>
      </c>
      <c r="FO170" t="str">
        <f t="shared" si="243"/>
        <v>QFD16|кабель ВВГнг(А)-LS (3х2,5) → Розеточная группа Подвальный этаж Пом. №002Tб</v>
      </c>
      <c r="FP170" t="str" cm="1">
        <f t="array" ref="FP170">IF(FO170="","",_xlfn.LET(_xlpm.nd,_xlfn.TEXTSPLIT(FO170,"|"),IF(COLUMNS(_xlpm.nd)&gt;1,A170&amp;"¦"&amp;INDEX(_xlpm.nd,1)&amp;"¦"&amp;INDEX(_xlpm.nd,2),"")))</f>
        <v>ЩР-001¦QFD16¦кабель ВВГнг(А)-LS (3х2,5) → Розеточная группа Подвальный этаж Пом. №002Tб</v>
      </c>
      <c r="FQ170" t="str">
        <f t="shared" si="244"/>
        <v>R.00.002Tб.1¦Розеточная группа Подвальный этаж Пом. №002Tб</v>
      </c>
      <c r="FR170" t="str" cm="1">
        <f t="array" ref="FR170">IF(FO170="","",_xlfn.LET(_xlpm.nd,_xlfn.TEXTSPLIT(FO170,"|"),IF(COLUMNS(_xlpm.nd)&gt;2,A170&amp;"¦"&amp;INDEX(_xlpm.nd,2)&amp;"¦"&amp;INDEX(_xlpm.nd,3),"")))</f>
        <v/>
      </c>
      <c r="FS170" t="str">
        <f t="shared" si="245"/>
        <v/>
      </c>
      <c r="FT170" t="str" cm="1">
        <f t="array" ref="FT170">IF(FO170="","",_xlfn.LET(_xlpm.nd,_xlfn.TEXTSPLIT(FO170,"|"),IF(COLUMNS(_xlpm.nd)&gt;3,A170&amp;"¦"&amp;INDEX(_xlpm.nd,3)&amp;"¦"&amp;INDEX(_xlpm.nd,4),"")))</f>
        <v/>
      </c>
      <c r="FU170" t="str">
        <f t="shared" si="246"/>
        <v/>
      </c>
      <c r="FV170" t="str" cm="1">
        <f t="array" ref="FV170">IF(FO170="","",_xlfn.LET(_xlpm.nd,_xlfn.TEXTSPLIT(FO170,"|"),IF(COLUMNS(_xlpm.nd)&gt;4,A170&amp;"¦"&amp;INDEX(_xlpm.nd,4)&amp;"¦"&amp;INDEX(_xlpm.nd,5),"")))</f>
        <v/>
      </c>
      <c r="FW170" t="str">
        <f t="shared" si="247"/>
        <v/>
      </c>
      <c r="FX170" t="str" cm="1">
        <f t="array" ref="FX170">IF(FO170="","",_xlfn.LET(_xlpm.nd,_xlfn.TEXTSPLIT(FO170,"|"),IF(COLUMNS(_xlpm.nd)&gt;5,A170&amp;"¦"&amp;INDEX(_xlpm.nd,5)&amp;"¦"&amp;INDEX(_xlpm.nd,6),"")))</f>
        <v/>
      </c>
      <c r="FY170" t="str">
        <f t="shared" si="248"/>
        <v/>
      </c>
      <c r="FZ170" t="str" cm="1">
        <f t="array" ref="FZ170">IF(FO170="","",_xlfn.LET(_xlpm.nd,_xlfn.TEXTSPLIT(FO170,"|"),IF(COLUMNS(_xlpm.nd)&gt;6,A170&amp;"¦"&amp;INDEX(_xlpm.nd,6)&amp;"¦"&amp;INDEX(_xlpm.nd,7),"")))</f>
        <v/>
      </c>
      <c r="GA170" t="str">
        <f t="shared" si="249"/>
        <v/>
      </c>
      <c r="GB170" t="str">
        <f t="shared" si="250"/>
        <v/>
      </c>
      <c r="GC170" t="str">
        <f t="shared" si="251"/>
        <v>QFD16</v>
      </c>
      <c r="GD170">
        <f t="shared" si="252"/>
        <v>1</v>
      </c>
      <c r="GE170">
        <f t="shared" si="253"/>
        <v>0</v>
      </c>
      <c r="GF170">
        <f t="shared" si="254"/>
        <v>1</v>
      </c>
      <c r="GG170" t="str">
        <f t="shared" si="255"/>
        <v/>
      </c>
      <c r="GH170" t="str">
        <f t="shared" si="256"/>
        <v/>
      </c>
      <c r="GI170" t="str">
        <f t="shared" si="257"/>
        <v/>
      </c>
      <c r="GJ170" t="str">
        <f t="shared" si="258"/>
        <v/>
      </c>
      <c r="GK170" t="str">
        <f>IF(D170="","",IFERROR(VLOOKUP(D170,УГО_спр,2,FALSE),IFERROR(VLOOKUP(AT170,УГО_спр,2,FALSE),IFERROR(VLOOKUP(LEFT(AT170,2),УГО_спр,2,FALSE),""))))</f>
        <v>Розетка</v>
      </c>
      <c r="GL170" t="str">
        <f>IF(D170="","",IF(OR(GK170="",GK170=0),"BOX",IFERROR(IF(VLOOKUP(GK170,УГО_блоки,3,FALSE)&amp;""&lt;&gt;"",VLOOKUP(GK170,УГО_блоки,3,FALSE),VLOOKUP(GK170,УГО_блоки,2,FALSE)),GK170)))</f>
        <v>SOCKET</v>
      </c>
      <c r="GM170">
        <f t="shared" si="259"/>
        <v>1</v>
      </c>
      <c r="GN170" t="str">
        <f>IF(EP170="","",IF(COUNTIF(EP$3:EP170,EP170)=1,MAX(GN$2:GN169)+1,""))</f>
        <v/>
      </c>
      <c r="GO170" t="str">
        <f>IF(AF170="","",IF(COUNTIF(AF$3:AF170,AF170)+COUNTIF(AG$2:AG169,AF170)+COUNTIF(AH$2:AH169,AF170)=1,MAX(GO$2:GQ169)+1,""))</f>
        <v/>
      </c>
      <c r="GP170" t="str">
        <f>IF(AG170="","",IF(COUNTIF(AF$3:AF170,AG170)+COUNTIF(AG$3:AG170,AG170)+COUNTIF(AH$2:AH169,AG170)=1,MAX(GO$2:GQ169,GO170)+1,""))</f>
        <v/>
      </c>
      <c r="GQ170" t="str">
        <f>IF(AH170="","",IF(COUNTIF(AF$3:AF170,AH170)+COUNTIF(AG$3:AG170,AH170)+COUNTIF(AH$3:AH170,AH170)=1,MAX(GO$2:GQ169,GO170,GP170)+1,""))</f>
        <v/>
      </c>
      <c r="GR170" t="str">
        <f t="shared" si="260"/>
        <v>3х2,5</v>
      </c>
      <c r="GS170" t="str">
        <f>IF(GR170="","",IF(COUNTIF(GR$3:GR170,GR170)=1,MAX(GS$2:GS169)+1,""))</f>
        <v/>
      </c>
      <c r="GT170" t="str">
        <f>IF(ES170="","",COUNTIF(ES$3:ES170,"?*"))</f>
        <v/>
      </c>
      <c r="GU170" t="str">
        <f>IF(OR(ES170="",EU170=""),"",IF(COUNTIFS(ES$3:ES170,"?*",EU$3:EU170,EU170)=1,MAX(GU$2:GU169)+1,""))</f>
        <v/>
      </c>
      <c r="GV170">
        <f t="shared" si="261"/>
        <v>0</v>
      </c>
      <c r="GW170">
        <f>IF(D170="","",COUNTIF(D$3:D170,"?*"))</f>
        <v>168</v>
      </c>
      <c r="GX170">
        <f>IF(EX170&lt;&gt;1,0,_xlfn.LET(_xlpm.k,MAX(IFERROR(--VLOOKUP(D170,УГО_спр,5,FALSE),0),IFERROR(--VLOOKUP(AT170,УГО_спр,5,FALSE),0),IFERROR(--VLOOKUP(LEFT(AT170,2),УГО_спр,5,FALSE),0)),IF(_xlpm.k&gt;0,_xlpm.k,IF(IFERROR(--LEFT(SUBSTITUTE(GR170,"x","х"),FIND("х",SUBSTITUTE(GR170,"x","х"))-1),3)&gt;3,Каталог!$S$9,1))))</f>
        <v>1</v>
      </c>
      <c r="GY170">
        <f t="shared" si="262"/>
        <v>0</v>
      </c>
    </row>
    <row r="171" spans="1:207" x14ac:dyDescent="0.3">
      <c r="A171" t="s">
        <v>758</v>
      </c>
      <c r="B171">
        <v>26</v>
      </c>
      <c r="C171" t="str">
        <f>IF(BD171="","",IF(BE171="вводной узел","узел ","")&amp;"л."&amp;(INT((BD171-1)/Столбцов_на_лист)+1)&amp;" / "&amp;(MOD(BD171-1,Столбцов_на_лист)+1))</f>
        <v>л.2 / 9</v>
      </c>
      <c r="D171" t="s">
        <v>1475</v>
      </c>
      <c r="E171" s="133" t="str">
        <f t="shared" si="263"/>
        <v>Розеточная группа Подвальный этаж Пом. №007Б</v>
      </c>
      <c r="G171">
        <v>0.54</v>
      </c>
      <c r="H171">
        <v>4</v>
      </c>
      <c r="I171">
        <v>1</v>
      </c>
      <c r="J171">
        <v>230</v>
      </c>
      <c r="K171" t="s">
        <v>566</v>
      </c>
      <c r="O171">
        <v>3</v>
      </c>
      <c r="P171">
        <v>62</v>
      </c>
      <c r="Q171">
        <v>32</v>
      </c>
      <c r="R171">
        <v>21</v>
      </c>
      <c r="S171">
        <v>30</v>
      </c>
      <c r="U171" t="s">
        <v>11</v>
      </c>
      <c r="V171">
        <v>3</v>
      </c>
      <c r="W171">
        <v>2.5</v>
      </c>
      <c r="X171">
        <v>16</v>
      </c>
      <c r="Z171" t="s">
        <v>565</v>
      </c>
      <c r="AA171" t="s">
        <v>818</v>
      </c>
      <c r="AD171" t="s">
        <v>517</v>
      </c>
      <c r="AK171" t="s">
        <v>488</v>
      </c>
      <c r="AR171" t="str">
        <f t="shared" si="176"/>
        <v/>
      </c>
      <c r="AS171" cm="1">
        <f t="array" ref="AS171">ROW()-ROW(Линии[#Headers])</f>
        <v>169</v>
      </c>
      <c r="AT171" t="str">
        <f t="shared" si="177"/>
        <v>R</v>
      </c>
      <c r="AU171" t="str">
        <f t="shared" si="178"/>
        <v>00.007Б.1</v>
      </c>
      <c r="AV171" t="str">
        <f t="shared" si="179"/>
        <v>00</v>
      </c>
      <c r="AW171" t="str">
        <f t="shared" si="180"/>
        <v>007Б.1</v>
      </c>
      <c r="AX171" t="str">
        <f t="shared" si="181"/>
        <v>007Б</v>
      </c>
      <c r="AY171" t="str">
        <f>IF(D171="","",IF(ISERROR(SEARCH(".",D171)),IFERROR(VLOOKUP(D171,Потребители_обозначение,2,FALSE)&amp;"",""),IFERROR(IF(VLOOKUP(AT171,Потребители_обозначение,4,FALSE)=1,VLOOKUP(AT171,Потребители_обозначение,2,FALSE)&amp;" "&amp;VLOOKUP(AV171,Этаж_обозначение,2,FALSE)&amp;" Пом. №"&amp;AX171,VLOOKUP(AT171,Потребители_обозначение,2,FALSE)&amp;" Шлейф №"&amp;AV171),IFERROR(VLOOKUP(D171,Потребители_обозначение,2,FALSE),""))))</f>
        <v>Розеточная группа Подвальный этаж Пом. №007Б</v>
      </c>
      <c r="AZ171" t="str">
        <f t="shared" si="182"/>
        <v>Розеточная группа Подвальный этаж Пом. №007Б</v>
      </c>
      <c r="BA171" t="str">
        <f>IF(F171&lt;&gt;"",F171,IF(AND(D171&lt;&gt;"",D171&lt;&gt;A171,ISNUMBER(_xlfn.XMATCH(D171,Щиты[Щит]))),D171,""))</f>
        <v/>
      </c>
      <c r="BB171">
        <f>IFERROR(_xlfn.XMATCH(A171,Щиты[Щит]),0)</f>
        <v>8</v>
      </c>
      <c r="BC171">
        <f>IFERROR(N(_xlfn.XLOOKUP(A171,Щиты[Щит],Щиты[Мест под вводной узел])),15)</f>
        <v>7</v>
      </c>
      <c r="BD171">
        <f t="shared" si="183"/>
        <v>26</v>
      </c>
      <c r="BE171" t="str">
        <f t="shared" si="184"/>
        <v>линии</v>
      </c>
      <c r="BF171">
        <f>IF(D171="","",IF(BA171&lt;&gt;"",IFERROR(_xlfn.XLOOKUP(BA171,Щиты[Щит],Щиты[Руст, кВт]),0),N(G171)))</f>
        <v>0.54</v>
      </c>
      <c r="BG171">
        <f>IF(J171&lt;&gt;"",J171,IF(D171="","",IFERROR(IF(VLOOKUP(AT171,Потребители_обозначение,8,FALSE)=0,"",VLOOKUP(AT171,Потребители_обозначение,8,FALSE)),"")))</f>
        <v>230</v>
      </c>
      <c r="BH171">
        <f>IF(I171&lt;&gt;"",I171,IF(D171="","",IFERROR(IF(VLOOKUP(AT171,Потребители_обозначение,9,FALSE)=0,"",VLOOKUP(AT171,Потребители_обозначение,9,FALSE)),"")))</f>
        <v>1</v>
      </c>
      <c r="BI171" t="str">
        <f>IF(U171&lt;&gt;"",U171,IF(D171="","",IFERROR(IF(VLOOKUP(AT171,Потребители_обозначение,6,FALSE)=0,"",VLOOKUP(AT171,Потребители_обозначение,6,FALSE)),"")))</f>
        <v>мс</v>
      </c>
      <c r="BJ171">
        <f>IF(V171&lt;&gt;"",V171,IF(D171="","",IFERROR(IF(VLOOKUP(AT171,Потребители_обозначение,7,FALSE)=0,"",VLOOKUP(AT171,Потребители_обозначение,7,FALSE)),"")))</f>
        <v>3</v>
      </c>
      <c r="BK171">
        <f>IF(W171&lt;&gt;"",W171,IF(D171="","",IFERROR(IF(VLOOKUP(AT171,Потребители_обозначение,10,FALSE)=0,"",VLOOKUP(AT171,Потребители_обозначение,10,FALSE)),"")))</f>
        <v>2.5</v>
      </c>
      <c r="BL171">
        <f>IFERROR(VLOOKUP(AT171,Потребители_обозначение,5,FALSE),0)</f>
        <v>1</v>
      </c>
      <c r="BM171" cm="1">
        <f t="array" ref="BM171">IF(D171="","",IF(BA171&lt;&gt;"",IFERROR(_xlfn.XLOOKUP(BA171,Щиты[Щит],Щиты[cos φ]),0.95),IF(ISNUMBER(M171),M171,IFERROR(IF(BL171=2,_xlfn.IFS(BH171=3,VLOOKUP(BF171,Справочная_двигатели,8,FALSE),BH171=1,VLOOKUP(BF171,Справочная_двигатели,10,TRUE)),IF(AND(Методика="нормы 2026",CN171="Сил"),0.8,0.95)),0.95))))</f>
        <v>0.95</v>
      </c>
      <c r="BN171" cm="1">
        <f t="array" ref="BN171">IF(D171="","",IF(BA171&lt;&gt;"",IFERROR(_xlfn.XLOOKUP(BA171,Щиты[Щит],Щиты[Iр, А]),""),IFERROR(_xlfn.IFS(BH171=1,BF171/((Uн_лин/SQRT(3))*BM171),BH171=3,BF171/(SQRT(3)*Uн_лин*BM171)),"")))</f>
        <v>2.4613353581241939</v>
      </c>
      <c r="BO171">
        <f>IF(D171="","",IF(N(X171)=0,IFERROR(VLOOKUP(BN171,Автомат_номиналы,2,TRUE),""),X171))</f>
        <v>16</v>
      </c>
      <c r="BP171">
        <f t="shared" si="185"/>
        <v>1</v>
      </c>
      <c r="BQ171">
        <f>IF(ISNUMBER(Y171),Y171,К_прокл)</f>
        <v>1</v>
      </c>
      <c r="BR171">
        <f t="shared" si="186"/>
        <v>2</v>
      </c>
      <c r="BS171" cm="1">
        <f t="array" ref="BS171">IF(D171="","",IF(N(BK171)&lt;&gt;0,BK171,IFERROR(_xlfn.LET(_xlpm.need,BO171/(BP171*BQ171),_xlpm.t,CHOOSE(BR171,Iдоп_1ж,Iдоп_2ж,Iдоп_3ж),_xlpm.k,_xlfn.XMATCH(_xlpm.need,_xlpm.t,1),IF(ISNA(_xlpm.k),"Не исп",INDEX(Iдоп_S,_xlpm.k))),"Не исп")))</f>
        <v>2.5</v>
      </c>
      <c r="BT171">
        <f>IFERROR(VLOOKUP(BS171,Кабель_сопротивление,3,FALSE),"")</f>
        <v>2.2499999999999999E-2</v>
      </c>
      <c r="BU171">
        <f>IFERROR(VLOOKUP(BS171,Кабель_сопротивление,2,FALSE),"")</f>
        <v>0.1</v>
      </c>
      <c r="BV171">
        <f t="shared" si="187"/>
        <v>62</v>
      </c>
      <c r="BW171">
        <f>IF(D171="","",IFERROR(IF(VLOOKUP(AT171,Потребители_обозначение,4,FALSE)=1,VLOOKUP(AT171,Потребители_обозначение,3,FALSE)*(H171*2-1)+BV171+VLOOKUP(AV171,Этаж_обозначение,3,FALSE)+VLOOKUP(AV171,Этаж_обозначение,4,FALSE),VLOOKUP(AT171,Потребители_обозначение,3,FALSE)*(H171*2-1)+BV171),BV171))</f>
        <v>83</v>
      </c>
      <c r="BX171">
        <f t="shared" si="188"/>
        <v>21</v>
      </c>
      <c r="BY171">
        <f t="shared" si="189"/>
        <v>30</v>
      </c>
      <c r="BZ171">
        <f t="shared" si="190"/>
        <v>2</v>
      </c>
      <c r="CA171">
        <f t="shared" si="191"/>
        <v>0.31</v>
      </c>
      <c r="CB171">
        <f t="shared" si="192"/>
        <v>3.5060393055385757</v>
      </c>
      <c r="CC171">
        <f>IFERROR(ROUNDUP(CB171/((Uн_лин/SQRT(3))*1000)*100,2),"")</f>
        <v>1.52</v>
      </c>
      <c r="CD171">
        <f>IF(ISNUMBER(CC171),CC171+IFERROR(_xlfn.XLOOKUP(A171,Щиты[Щит],Щиты[ΔU до шин, %]),0),"")</f>
        <v>3.09</v>
      </c>
      <c r="CE171">
        <f>IF(D171="","",IF(IFERROR(VLOOKUP(AT171,УГО_спр,2,FALSE),"")="Светильник",3,4)+IF(Методика="нормы 2026",MIN(0.5,MAX(0,N(BW171)-100)*0.005),0))</f>
        <v>4</v>
      </c>
      <c r="CF171" t="str">
        <f>IFERROR(VLOOKUP(BI171,Кабель_обозначение,2,FALSE),"")</f>
        <v>ВВГнг(А)-LS</v>
      </c>
      <c r="CG171" t="str">
        <f>IFERROR(IF(VLOOKUP(BI171,Кабель_обозначение,3,FALSE)=1,CF171&amp;" ("&amp;BJ171&amp;"х"&amp;BS171&amp;")",CF171),"")</f>
        <v>ВВГнг(А)-LS (3х2,5)</v>
      </c>
      <c r="CH171" t="str">
        <f t="shared" si="193"/>
        <v>ВВГнг(А)-LS (3х2,5)
L=83-1,52%</v>
      </c>
      <c r="CI171">
        <f>IFERROR(2*ρкз_Cu*BW171/BS171,"")</f>
        <v>1.7463200000000001</v>
      </c>
      <c r="CJ171">
        <f t="shared" si="194"/>
        <v>0.58100000000000007</v>
      </c>
      <c r="CK171" t="str">
        <f>IFERROR(IF(OR(D171="",NOT(ISNUMBER(BS171)),N(BW171)=0),"",_xlfn.XLOOKUP(A171,Щиты[Щит],Щиты[Zпетли на шинах, Ом])+CI171),"")</f>
        <v/>
      </c>
      <c r="CL171" t="str">
        <f>IF(ISNUMBER(CK171),c_min*(Uн_лин*1000/SQRT(3))/CK171,"")</f>
        <v/>
      </c>
      <c r="CM171" t="str">
        <f>IFERROR(IF(OR(D171="",NOT(ISNUMBER(BS171))),"",1.05*(Uн_лин*1000/SQRT(3))/(_xlfn.XLOOKUP(A171,Щиты[Щит],Щиты[Zmax на шинах, Ом])+CJ171)/1000),"")</f>
        <v/>
      </c>
      <c r="CN171" t="str">
        <f>IF(D171="","",IF(BA171&lt;&gt;"","Щит",IF(K171&lt;&gt;"",K171,IF(ISNUMBER(L171),"Сил",IF(IFERROR(_xlfn.XLOOKUP(AT171,Коды_код,Коды_группа)&amp;"","")="","Быт",_xlfn.XLOOKUP(AT171,Коды_код,Коды_группа)&amp;"")))))</f>
        <v>Быт</v>
      </c>
      <c r="CO171">
        <f>IF(CN171="Щит","щит",IF(CN171="","",IF(CN171="Быт",IFERROR(_xlfn.XLOOKUP(A171,Щиты[Щит],Щиты[Кс быт]),1),IF(CN171="Сил",IF(ISNUMBER(L171),L171,IF(Методика="нормы 2026",IFERROR(_xlfn.XLOOKUP(A171,Щиты[Щит],Щиты[Кс силовых (табл. 7.5)]),1),1)),IF(OR(CN171="Пост",CN171="Отоп"),1,IF(CN171="ВНГ",0.7,0))))))</f>
        <v>0.8</v>
      </c>
      <c r="CP171">
        <f t="shared" si="195"/>
        <v>1</v>
      </c>
      <c r="CQ171">
        <f t="shared" si="196"/>
        <v>0.54</v>
      </c>
      <c r="CR171">
        <f t="shared" si="197"/>
        <v>0.54</v>
      </c>
      <c r="CS171">
        <f t="shared" si="198"/>
        <v>0</v>
      </c>
      <c r="CT171">
        <f t="shared" si="199"/>
        <v>0</v>
      </c>
      <c r="CU171">
        <f t="shared" si="200"/>
        <v>0</v>
      </c>
      <c r="CV171">
        <f t="shared" si="201"/>
        <v>0</v>
      </c>
      <c r="CW171">
        <f t="shared" si="202"/>
        <v>0.54</v>
      </c>
      <c r="CX171">
        <f t="shared" si="203"/>
        <v>0.51300000000000001</v>
      </c>
      <c r="CY171">
        <f t="shared" si="204"/>
        <v>2</v>
      </c>
      <c r="CZ171" t="str">
        <f t="shared" si="205"/>
        <v>L2</v>
      </c>
      <c r="DA171" cm="1">
        <f t="array" ref="DA171">IFERROR(IF(BL171=2,_xlfn.IFS(BH171=3,VLOOKUP(BF171,Справочная_двигатели,3,FALSE),BH171=1,VLOOKUP(BF171,Справочная_двигатели,5,TRUE)),0),0)</f>
        <v>0</v>
      </c>
      <c r="DB171">
        <f>IFERROR(IF(BL171=3,VLOOKUP(BF171,Справочная_ЛЭД,2,TRUE),0),0)</f>
        <v>0</v>
      </c>
      <c r="DC171">
        <f t="shared" si="206"/>
        <v>0</v>
      </c>
      <c r="DD171" t="str">
        <f t="shared" si="207"/>
        <v>L3</v>
      </c>
      <c r="DE171" t="str" cm="1">
        <f t="array" ref="DE171">IF(D171="","",IFERROR(INDEX({"I особая","I","II","III"},MATCH(TRIM(AA171&amp;""),{"I особая","I","II","III"},0)),"III"))</f>
        <v>II</v>
      </c>
      <c r="DF171" t="str">
        <f>IF(D171="","",IF(TRIM(AB171&amp;"")&lt;&gt;"",IF(LOWER(TRIM(AB171&amp;""))="да","да","нет"),IF(IFERROR(_xlfn.XLOOKUP(AT171,Коды_код,Коды_пожарная),"")="да","да","нет")))</f>
        <v>нет</v>
      </c>
      <c r="DG171" t="str">
        <f t="shared" si="208"/>
        <v/>
      </c>
      <c r="DH171" t="str">
        <f t="shared" si="209"/>
        <v>основная</v>
      </c>
      <c r="DI171">
        <f t="shared" si="210"/>
        <v>1</v>
      </c>
      <c r="DJ171" t="str" cm="1">
        <f t="array" ref="DJ171">IF(D171="","",_xlfn.LET(_xlpm.t,IFERROR(_xlfn.XLOOKUP(1,(Шины[Шина]=DH171)*(((Шины[Щит]=A171)+(Шины[Щит]=""))&gt;0),Шины[Тип]),"")&amp;"",IF(_xlpm.t&lt;&gt;"",_xlpm.t,IF(ISNUMBER(SEARCH("ИБП",DH171)),"ИБП",IF(ISNUMBER(SEARCH("ДГУ",DH171)),"ДГУ","Ввод "&amp;DI171)))))</f>
        <v>Ввод 1</v>
      </c>
      <c r="DK171" t="str">
        <f t="shared" si="211"/>
        <v>Ввод 1</v>
      </c>
      <c r="DL171" t="str">
        <f>IF(D171="","",IF(OR(DJ171="ИБП",DJ171="ДГУ"),"I особая",IF(DJ171="Одиночная","III",_xlfn.XLOOKUP(A171,Щиты[Щит],Щиты[Категория шины «Ввод»],"III"))))</f>
        <v>II</v>
      </c>
      <c r="DM171">
        <f>IF(D171="",0,IFERROR(MATCH(DE171,{"III","II","I","I особая"},0),1))</f>
        <v>2</v>
      </c>
      <c r="DN171">
        <f t="shared" si="212"/>
        <v>2</v>
      </c>
      <c r="DO171" t="str">
        <f>IF(D171="","",IF(DM171&gt;IFERROR(MATCH(DL171,{"III","II","I","I особая"},0),1),"НЕ ОБЕСПЕЧЕНА","ОК"))</f>
        <v>ОК</v>
      </c>
      <c r="DP171" t="str">
        <f>IF(A171="","",_xlfn.XLOOKUP(A171,Щиты[Щит],Щиты[Путь],""))</f>
        <v>|ГРЩ-ЖД|ЩР-001|</v>
      </c>
      <c r="DQ171" t="str">
        <f>IF(D171="","",IF(Z171&lt;&gt;"",Z171,IF(IFERROR(_xlfn.XLOOKUP(AT171,Коды_код,Коды_вид)&amp;"","")="","Прочее",_xlfn.XLOOKUP(AT171,Коды_код,Коды_вид)&amp;"")))</f>
        <v>Розеточная сеть и бытовые приборы</v>
      </c>
      <c r="DR171">
        <f>IF(BD171="","",INT((BD171-1)/Столбцов_на_лист)+1)</f>
        <v>2</v>
      </c>
      <c r="DS171" t="str">
        <f t="shared" si="213"/>
        <v>ВВГнг(А)-LS (3х2,5) L=83-1,52%</v>
      </c>
      <c r="DT171">
        <f t="shared" si="214"/>
        <v>0.54</v>
      </c>
      <c r="DU171">
        <f t="shared" si="215"/>
        <v>2.4699999999999998</v>
      </c>
      <c r="DV171">
        <f t="shared" si="216"/>
        <v>1</v>
      </c>
      <c r="DW171">
        <f>IF(AT171="",0,_xlfn.LET(_xlpm.v,IFERROR(VLOOKUP(D171,УГО_спр,3,FALSE),IFERROR(VLOOKUP(AT171,УГО_спр,3,FALSE),IFERROR(VLOOKUP(LEFT(AT171,2),УГО_спр,3,FALSE),""))),IF(_xlpm.v="да",30,IF(ISNUMBER(_xlpm.v),_xlpm.v,0))))</f>
        <v>30</v>
      </c>
      <c r="DX171">
        <f t="shared" si="217"/>
        <v>0</v>
      </c>
      <c r="DY171">
        <f>IF(BD171="","",IF(AD171&lt;&gt;"",COUNTIFS(A$3:A171,A171,AD$3:AD171,"?*"),IF(OR(OR(AS171=1,A171&lt;&gt;A170),AL171="вручную"),"",IF(AS171=1,"",DZ170))))</f>
        <v>17</v>
      </c>
      <c r="DZ171">
        <f t="shared" si="218"/>
        <v>17</v>
      </c>
      <c r="EA171">
        <f>IF(D171="",0,MAX(IFERROR(--X171,0),IFERROR(--VLOOKUP(D171,УГО_спр,4,FALSE),IFERROR(--VLOOKUP(AT171,УГО_спр,4,FALSE),IFERROR(--VLOOKUP(LEFT(AT171,2),УГО_спр,4,FALSE),0)))))</f>
        <v>16</v>
      </c>
      <c r="EB171">
        <f>IF(D171="","",IFERROR(LOOKUP(INDEX(CHOOSE(BR171,Iдоп_1ж,Iдоп_2ж,Iдоп_3ж),MATCH(BS171,Iдоп_S,0))*BP171*BQ171,{6,10,16,20,25,32,40,50,63,80,100,125,160,200,250,315,400,500,630}),""))</f>
        <v>25</v>
      </c>
      <c r="EC171">
        <f>IF(AD171="","",SUMIFS(Линии[_Ток схемы],Линии[_гр.],DY171,Линии[Щит],A171,Линии[_в кабель выше],0))</f>
        <v>2.4699999999999998</v>
      </c>
      <c r="ED171">
        <f>IF(AD171="","",IFERROR(VLOOKUP(EC171,Автомат_номиналы,2,TRUE),""))</f>
        <v>6</v>
      </c>
      <c r="EE171">
        <f>IF(AD171="","",MAX(N(ED171),_xlfn.MAXIFS(Линии[_мин. по типу],Линии[_гр.],DY171,Линии[Щит],A171)))</f>
        <v>16</v>
      </c>
      <c r="EF171">
        <f>IF(AD171="","",_xlfn.MINIFS(Линии[_макс. автомат по кабелю],Линии[_гр.],DY171,Линии[Щит],A171))</f>
        <v>25</v>
      </c>
      <c r="EG171">
        <f>IF(AD171="","",MAX(1,_xlfn.MAXIFS(Линии[_фаз],Линии[_гр.],DY171,Линии[Щит],A171)))</f>
        <v>1</v>
      </c>
      <c r="EH171">
        <f>IF(AD171="","",IF(AND(AD171&lt;&gt;"авто",AD171&lt;&gt;"+"),IF(ISNUMBER(SEARCH("мА",AD171)),IFERROR(--TRIM(RIGHT(SUBSTITUTE(LEFT(AD171,SEARCH("мА",AD171)-1)," ",REPT(" ",9)),6)),30),0),IF(AE171="нет",0,IF(ISNUMBER(AE171),AE171,IF(AE171="да",30,_xlfn.MINIFS(Линии[_дифзащита по коду, мА],Линии[_гр.],DY171,Линии[Щит],A171,Линии[_дифзащита по коду, мА],"&gt;0"))))))</f>
        <v>30</v>
      </c>
      <c r="EI171">
        <f t="shared" si="219"/>
        <v>1</v>
      </c>
      <c r="EJ171" t="str">
        <f t="shared" si="220"/>
        <v>QFD17</v>
      </c>
      <c r="EK171" t="str">
        <f t="shared" si="221"/>
        <v>QFD17</v>
      </c>
      <c r="EL171" t="str">
        <f t="shared" si="222"/>
        <v/>
      </c>
      <c r="EM171">
        <f t="shared" si="223"/>
        <v>0</v>
      </c>
      <c r="EN171">
        <f>IF(AD171="","",IF(EM171=1,MAX(EE171,Мин_автомат_БП),EE171))</f>
        <v>16</v>
      </c>
      <c r="EO171" t="str">
        <f t="shared" si="224"/>
        <v>2P</v>
      </c>
      <c r="EP171" t="str">
        <f t="shared" si="225"/>
        <v>2P С16А 30мА</v>
      </c>
      <c r="EQ171">
        <f t="shared" si="226"/>
        <v>16</v>
      </c>
      <c r="ER171" t="str">
        <f>IF(OR(AI171="",AI171="-"),"",IFERROR(VLOOKUP(AI171,Модули_спр,2,FALSE),"R"))</f>
        <v/>
      </c>
      <c r="ES171" t="str">
        <f>IF(ER171="","",ER171&amp;"."&amp;COUNTIFS(A$3:A171,A171,ER$3:ER171,ER171))</f>
        <v/>
      </c>
      <c r="ET171" t="str">
        <f t="shared" si="227"/>
        <v/>
      </c>
      <c r="EU171" t="str">
        <f t="shared" si="228"/>
        <v/>
      </c>
      <c r="EV171" t="str">
        <f t="shared" si="229"/>
        <v/>
      </c>
      <c r="EW171" t="str">
        <f t="shared" si="230"/>
        <v/>
      </c>
      <c r="EX171">
        <f t="shared" si="231"/>
        <v>1</v>
      </c>
      <c r="EY171" t="str">
        <f>IF(AK171="нет","",IF(AK171&lt;&gt;"",AK171,IF(EX171=1,"XT"&amp;COUNTIFS(A$3:A171,A171,EX$3:EX171,1),"")))</f>
        <v/>
      </c>
      <c r="EZ171" t="str">
        <f t="shared" si="232"/>
        <v>QFD17</v>
      </c>
      <c r="FA171" t="str">
        <f t="shared" si="233"/>
        <v/>
      </c>
      <c r="FB171" t="str">
        <f t="shared" si="234"/>
        <v>ok</v>
      </c>
      <c r="FC171" t="str">
        <f>IF(OR(EV171="",ET171=""),"",IF(EV171&gt;IFERROR(VLOOKUP(EU171,Модули_спр,3,FALSE),99),"ЛИШНИЙ КАНАЛ",IF(AND(AJ171&lt;&gt;"=",COUNTIFS(Линии[_модуль гр.],ET171,Линии[Канал (итог)],EV171,Линии[Канал],"&lt;&gt;=",Линии[Щит],A171)&gt;1),"ДУБЛЬ КАНАЛА","")))</f>
        <v/>
      </c>
      <c r="FD171">
        <f t="shared" si="235"/>
        <v>16</v>
      </c>
      <c r="FE171" t="str">
        <f t="shared" si="236"/>
        <v>2P С16А 30мА</v>
      </c>
      <c r="FF171">
        <f t="shared" si="237"/>
        <v>1</v>
      </c>
      <c r="FG171">
        <f t="shared" si="238"/>
        <v>30</v>
      </c>
      <c r="FH171" t="str">
        <f t="shared" si="239"/>
        <v/>
      </c>
      <c r="FI171">
        <f t="shared" si="240"/>
        <v>10</v>
      </c>
      <c r="FJ171" t="str">
        <f t="shared" si="241"/>
        <v/>
      </c>
      <c r="FK171" t="str">
        <f>IF(AND(D171="",EZ171=""),"",_xlfn.TEXTJOIN("; ",TRUE,IF(AND(D171&lt;&gt;"",DD171=""),"нет фазы",""),IF(AND(D171&lt;&gt;"",N(DT171)=0,CN171&lt;&gt;"Нет"),"нет мощности",""),IF(AND(EY171&lt;&gt;"",COUNTIFS(Линии[Щит],A171,Линии[Клемма (итог)],EY171)&gt;1),"дубль клеммы "&amp;EY171,""),IF(AND(FB171&lt;&gt;"",FB171&lt;&gt;"ok"),FB171,""),IF(FC171&lt;&gt;"",FC171,""),IF(AND(ISNUMBER(SEARCH("(5х",DS171)),N(DV171)=1),"5 жил на 1 фазе",""),IF(AND(AT171="R",AD171&lt;&gt;"",OR(N(EH171)=0,N(EH171)&gt;30)),"розетка без дифзащиты до 30 мА",""),IFERROR(IF(AND(ISNUMBER(CD171),CD171&gt;CE171),"потери "&amp;FIXED(CD171,1)&amp;" % &gt; "&amp;CE171&amp;" %",""),""),IFERROR(IF(LEFT(FJ171,4)="мало","Iкз мало — отключение &gt; 0,4 с",""),""),IF(AND(D171&lt;&gt;"",BD171=""),"не на схеме","")))</f>
        <v/>
      </c>
      <c r="FL171">
        <f>IF(AD171="","",_xlfn.LET(_xlpm.t,IFERROR(_xlfn.XLOOKUP(EP171,Каталог!$U$4:$U$500,Каталог!$G$4:$G$500),""),_xlpm.k,SEARCH("кА",_xlpm.t),IFERROR(--TRIM(RIGHT(SUBSTITUTE(MID(_xlpm.t,MAX(1,_xlpm.k-4),_xlpm.k-MAX(1,_xlpm.k-4))," ",REPT(" ",9)),5)),"")))</f>
        <v>6</v>
      </c>
      <c r="FM171" t="str">
        <f>IF(OR(FL171="",AD171=""),"",IF(_xlfn.XLOOKUP(A171,Щиты[Щит],Щиты[Iкз max на шинах, кА],"")="","",IF(FL171&lt;_xlfn.XLOOKUP(A171,Щиты[Щит],Щиты[Iкз max на шинах, кА]),"Icu "&amp;FL171&amp;" кА &lt; Iкз max","ok")))</f>
        <v/>
      </c>
      <c r="FN171" t="str">
        <f t="shared" si="242"/>
        <v>QFD17</v>
      </c>
      <c r="FO171" t="str">
        <f t="shared" si="243"/>
        <v>QFD17|кабель ВВГнг(А)-LS (3х2,5) → Розеточная группа Подвальный этаж Пом. №007Б</v>
      </c>
      <c r="FP171" t="str" cm="1">
        <f t="array" ref="FP171">IF(FO171="","",_xlfn.LET(_xlpm.nd,_xlfn.TEXTSPLIT(FO171,"|"),IF(COLUMNS(_xlpm.nd)&gt;1,A171&amp;"¦"&amp;INDEX(_xlpm.nd,1)&amp;"¦"&amp;INDEX(_xlpm.nd,2),"")))</f>
        <v>ЩР-001¦QFD17¦кабель ВВГнг(А)-LS (3х2,5) → Розеточная группа Подвальный этаж Пом. №007Б</v>
      </c>
      <c r="FQ171" t="str">
        <f t="shared" si="244"/>
        <v>R.00.007Б.1¦Розеточная группа Подвальный этаж Пом. №007Б</v>
      </c>
      <c r="FR171" t="str" cm="1">
        <f t="array" ref="FR171">IF(FO171="","",_xlfn.LET(_xlpm.nd,_xlfn.TEXTSPLIT(FO171,"|"),IF(COLUMNS(_xlpm.nd)&gt;2,A171&amp;"¦"&amp;INDEX(_xlpm.nd,2)&amp;"¦"&amp;INDEX(_xlpm.nd,3),"")))</f>
        <v/>
      </c>
      <c r="FS171" t="str">
        <f t="shared" si="245"/>
        <v/>
      </c>
      <c r="FT171" t="str" cm="1">
        <f t="array" ref="FT171">IF(FO171="","",_xlfn.LET(_xlpm.nd,_xlfn.TEXTSPLIT(FO171,"|"),IF(COLUMNS(_xlpm.nd)&gt;3,A171&amp;"¦"&amp;INDEX(_xlpm.nd,3)&amp;"¦"&amp;INDEX(_xlpm.nd,4),"")))</f>
        <v/>
      </c>
      <c r="FU171" t="str">
        <f t="shared" si="246"/>
        <v/>
      </c>
      <c r="FV171" t="str" cm="1">
        <f t="array" ref="FV171">IF(FO171="","",_xlfn.LET(_xlpm.nd,_xlfn.TEXTSPLIT(FO171,"|"),IF(COLUMNS(_xlpm.nd)&gt;4,A171&amp;"¦"&amp;INDEX(_xlpm.nd,4)&amp;"¦"&amp;INDEX(_xlpm.nd,5),"")))</f>
        <v/>
      </c>
      <c r="FW171" t="str">
        <f t="shared" si="247"/>
        <v/>
      </c>
      <c r="FX171" t="str" cm="1">
        <f t="array" ref="FX171">IF(FO171="","",_xlfn.LET(_xlpm.nd,_xlfn.TEXTSPLIT(FO171,"|"),IF(COLUMNS(_xlpm.nd)&gt;5,A171&amp;"¦"&amp;INDEX(_xlpm.nd,5)&amp;"¦"&amp;INDEX(_xlpm.nd,6),"")))</f>
        <v/>
      </c>
      <c r="FY171" t="str">
        <f t="shared" si="248"/>
        <v/>
      </c>
      <c r="FZ171" t="str" cm="1">
        <f t="array" ref="FZ171">IF(FO171="","",_xlfn.LET(_xlpm.nd,_xlfn.TEXTSPLIT(FO171,"|"),IF(COLUMNS(_xlpm.nd)&gt;6,A171&amp;"¦"&amp;INDEX(_xlpm.nd,6)&amp;"¦"&amp;INDEX(_xlpm.nd,7),"")))</f>
        <v/>
      </c>
      <c r="GA171" t="str">
        <f t="shared" si="249"/>
        <v/>
      </c>
      <c r="GB171" t="str">
        <f t="shared" si="250"/>
        <v/>
      </c>
      <c r="GC171" t="str">
        <f t="shared" si="251"/>
        <v>QFD17</v>
      </c>
      <c r="GD171">
        <f t="shared" si="252"/>
        <v>1</v>
      </c>
      <c r="GE171">
        <f t="shared" si="253"/>
        <v>0</v>
      </c>
      <c r="GF171">
        <f t="shared" si="254"/>
        <v>1</v>
      </c>
      <c r="GG171" t="str">
        <f t="shared" si="255"/>
        <v/>
      </c>
      <c r="GH171" t="str">
        <f t="shared" si="256"/>
        <v/>
      </c>
      <c r="GI171" t="str">
        <f t="shared" si="257"/>
        <v/>
      </c>
      <c r="GJ171" t="str">
        <f t="shared" si="258"/>
        <v/>
      </c>
      <c r="GK171" t="str">
        <f>IF(D171="","",IFERROR(VLOOKUP(D171,УГО_спр,2,FALSE),IFERROR(VLOOKUP(AT171,УГО_спр,2,FALSE),IFERROR(VLOOKUP(LEFT(AT171,2),УГО_спр,2,FALSE),""))))</f>
        <v>Розетка</v>
      </c>
      <c r="GL171" t="str">
        <f>IF(D171="","",IF(OR(GK171="",GK171=0),"BOX",IFERROR(IF(VLOOKUP(GK171,УГО_блоки,3,FALSE)&amp;""&lt;&gt;"",VLOOKUP(GK171,УГО_блоки,3,FALSE),VLOOKUP(GK171,УГО_блоки,2,FALSE)),GK171)))</f>
        <v>SOCKET</v>
      </c>
      <c r="GM171">
        <f t="shared" si="259"/>
        <v>1</v>
      </c>
      <c r="GN171" t="str">
        <f>IF(EP171="","",IF(COUNTIF(EP$3:EP171,EP171)=1,MAX(GN$2:GN170)+1,""))</f>
        <v/>
      </c>
      <c r="GO171" t="str">
        <f>IF(AF171="","",IF(COUNTIF(AF$3:AF171,AF171)+COUNTIF(AG$2:AG170,AF171)+COUNTIF(AH$2:AH170,AF171)=1,MAX(GO$2:GQ170)+1,""))</f>
        <v/>
      </c>
      <c r="GP171" t="str">
        <f>IF(AG171="","",IF(COUNTIF(AF$3:AF171,AG171)+COUNTIF(AG$3:AG171,AG171)+COUNTIF(AH$2:AH170,AG171)=1,MAX(GO$2:GQ170,GO171)+1,""))</f>
        <v/>
      </c>
      <c r="GQ171" t="str">
        <f>IF(AH171="","",IF(COUNTIF(AF$3:AF171,AH171)+COUNTIF(AG$3:AG171,AH171)+COUNTIF(AH$3:AH171,AH171)=1,MAX(GO$2:GQ170,GO171,GP171)+1,""))</f>
        <v/>
      </c>
      <c r="GR171" t="str">
        <f t="shared" si="260"/>
        <v>3х2,5</v>
      </c>
      <c r="GS171" t="str">
        <f>IF(GR171="","",IF(COUNTIF(GR$3:GR171,GR171)=1,MAX(GS$2:GS170)+1,""))</f>
        <v/>
      </c>
      <c r="GT171" t="str">
        <f>IF(ES171="","",COUNTIF(ES$3:ES171,"?*"))</f>
        <v/>
      </c>
      <c r="GU171" t="str">
        <f>IF(OR(ES171="",EU171=""),"",IF(COUNTIFS(ES$3:ES171,"?*",EU$3:EU171,EU171)=1,MAX(GU$2:GU170)+1,""))</f>
        <v/>
      </c>
      <c r="GV171">
        <f t="shared" si="261"/>
        <v>0</v>
      </c>
      <c r="GW171">
        <f>IF(D171="","",COUNTIF(D$3:D171,"?*"))</f>
        <v>169</v>
      </c>
      <c r="GX171">
        <f>IF(EX171&lt;&gt;1,0,_xlfn.LET(_xlpm.k,MAX(IFERROR(--VLOOKUP(D171,УГО_спр,5,FALSE),0),IFERROR(--VLOOKUP(AT171,УГО_спр,5,FALSE),0),IFERROR(--VLOOKUP(LEFT(AT171,2),УГО_спр,5,FALSE),0)),IF(_xlpm.k&gt;0,_xlpm.k,IF(IFERROR(--LEFT(SUBSTITUTE(GR171,"x","х"),FIND("х",SUBSTITUTE(GR171,"x","х"))-1),3)&gt;3,Каталог!$S$9,1))))</f>
        <v>1</v>
      </c>
      <c r="GY171">
        <f t="shared" si="262"/>
        <v>0</v>
      </c>
    </row>
    <row r="172" spans="1:207" x14ac:dyDescent="0.3">
      <c r="A172" t="s">
        <v>758</v>
      </c>
      <c r="B172">
        <v>27</v>
      </c>
      <c r="C172" t="str">
        <f>IF(BD172="","",IF(BE172="вводной узел","узел ","")&amp;"л."&amp;(INT((BD172-1)/Столбцов_на_лист)+1)&amp;" / "&amp;(MOD(BD172-1,Столбцов_на_лист)+1))</f>
        <v>л.2 / 10</v>
      </c>
      <c r="D172" t="s">
        <v>1476</v>
      </c>
      <c r="E172" s="133" t="str">
        <f t="shared" si="263"/>
        <v>Розеточная группа Подвальный этаж Пом. №004Б</v>
      </c>
      <c r="G172">
        <v>0.54</v>
      </c>
      <c r="H172">
        <v>4</v>
      </c>
      <c r="I172">
        <v>1</v>
      </c>
      <c r="J172">
        <v>230</v>
      </c>
      <c r="K172" t="s">
        <v>566</v>
      </c>
      <c r="O172">
        <v>2</v>
      </c>
      <c r="P172">
        <v>55</v>
      </c>
      <c r="Q172">
        <v>32</v>
      </c>
      <c r="R172">
        <v>0</v>
      </c>
      <c r="S172">
        <v>21</v>
      </c>
      <c r="U172" t="s">
        <v>11</v>
      </c>
      <c r="V172">
        <v>3</v>
      </c>
      <c r="W172">
        <v>2.5</v>
      </c>
      <c r="X172">
        <v>16</v>
      </c>
      <c r="Z172" t="s">
        <v>565</v>
      </c>
      <c r="AA172" t="s">
        <v>818</v>
      </c>
      <c r="AD172" t="s">
        <v>517</v>
      </c>
      <c r="AK172" t="s">
        <v>488</v>
      </c>
      <c r="AR172" t="str">
        <f t="shared" si="176"/>
        <v/>
      </c>
      <c r="AS172" cm="1">
        <f t="array" ref="AS172">ROW()-ROW(Линии[#Headers])</f>
        <v>170</v>
      </c>
      <c r="AT172" t="str">
        <f t="shared" si="177"/>
        <v>R</v>
      </c>
      <c r="AU172" t="str">
        <f t="shared" si="178"/>
        <v>00.004Б.1</v>
      </c>
      <c r="AV172" t="str">
        <f t="shared" si="179"/>
        <v>00</v>
      </c>
      <c r="AW172" t="str">
        <f t="shared" si="180"/>
        <v>004Б.1</v>
      </c>
      <c r="AX172" t="str">
        <f t="shared" si="181"/>
        <v>004Б</v>
      </c>
      <c r="AY172" t="str">
        <f>IF(D172="","",IF(ISERROR(SEARCH(".",D172)),IFERROR(VLOOKUP(D172,Потребители_обозначение,2,FALSE)&amp;"",""),IFERROR(IF(VLOOKUP(AT172,Потребители_обозначение,4,FALSE)=1,VLOOKUP(AT172,Потребители_обозначение,2,FALSE)&amp;" "&amp;VLOOKUP(AV172,Этаж_обозначение,2,FALSE)&amp;" Пом. №"&amp;AX172,VLOOKUP(AT172,Потребители_обозначение,2,FALSE)&amp;" Шлейф №"&amp;AV172),IFERROR(VLOOKUP(D172,Потребители_обозначение,2,FALSE),""))))</f>
        <v>Розеточная группа Подвальный этаж Пом. №004Б</v>
      </c>
      <c r="AZ172" t="str">
        <f t="shared" si="182"/>
        <v>Розеточная группа Подвальный этаж Пом. №004Б</v>
      </c>
      <c r="BA172" t="str">
        <f>IF(F172&lt;&gt;"",F172,IF(AND(D172&lt;&gt;"",D172&lt;&gt;A172,ISNUMBER(_xlfn.XMATCH(D172,Щиты[Щит]))),D172,""))</f>
        <v/>
      </c>
      <c r="BB172">
        <f>IFERROR(_xlfn.XMATCH(A172,Щиты[Щит]),0)</f>
        <v>8</v>
      </c>
      <c r="BC172">
        <f>IFERROR(N(_xlfn.XLOOKUP(A172,Щиты[Щит],Щиты[Мест под вводной узел])),15)</f>
        <v>7</v>
      </c>
      <c r="BD172">
        <f t="shared" si="183"/>
        <v>27</v>
      </c>
      <c r="BE172" t="str">
        <f t="shared" si="184"/>
        <v>линии</v>
      </c>
      <c r="BF172">
        <f>IF(D172="","",IF(BA172&lt;&gt;"",IFERROR(_xlfn.XLOOKUP(BA172,Щиты[Щит],Щиты[Руст, кВт]),0),N(G172)))</f>
        <v>0.54</v>
      </c>
      <c r="BG172">
        <f>IF(J172&lt;&gt;"",J172,IF(D172="","",IFERROR(IF(VLOOKUP(AT172,Потребители_обозначение,8,FALSE)=0,"",VLOOKUP(AT172,Потребители_обозначение,8,FALSE)),"")))</f>
        <v>230</v>
      </c>
      <c r="BH172">
        <f>IF(I172&lt;&gt;"",I172,IF(D172="","",IFERROR(IF(VLOOKUP(AT172,Потребители_обозначение,9,FALSE)=0,"",VLOOKUP(AT172,Потребители_обозначение,9,FALSE)),"")))</f>
        <v>1</v>
      </c>
      <c r="BI172" t="str">
        <f>IF(U172&lt;&gt;"",U172,IF(D172="","",IFERROR(IF(VLOOKUP(AT172,Потребители_обозначение,6,FALSE)=0,"",VLOOKUP(AT172,Потребители_обозначение,6,FALSE)),"")))</f>
        <v>мс</v>
      </c>
      <c r="BJ172">
        <f>IF(V172&lt;&gt;"",V172,IF(D172="","",IFERROR(IF(VLOOKUP(AT172,Потребители_обозначение,7,FALSE)=0,"",VLOOKUP(AT172,Потребители_обозначение,7,FALSE)),"")))</f>
        <v>3</v>
      </c>
      <c r="BK172">
        <f>IF(W172&lt;&gt;"",W172,IF(D172="","",IFERROR(IF(VLOOKUP(AT172,Потребители_обозначение,10,FALSE)=0,"",VLOOKUP(AT172,Потребители_обозначение,10,FALSE)),"")))</f>
        <v>2.5</v>
      </c>
      <c r="BL172">
        <f>IFERROR(VLOOKUP(AT172,Потребители_обозначение,5,FALSE),0)</f>
        <v>1</v>
      </c>
      <c r="BM172" cm="1">
        <f t="array" ref="BM172">IF(D172="","",IF(BA172&lt;&gt;"",IFERROR(_xlfn.XLOOKUP(BA172,Щиты[Щит],Щиты[cos φ]),0.95),IF(ISNUMBER(M172),M172,IFERROR(IF(BL172=2,_xlfn.IFS(BH172=3,VLOOKUP(BF172,Справочная_двигатели,8,FALSE),BH172=1,VLOOKUP(BF172,Справочная_двигатели,10,TRUE)),IF(AND(Методика="нормы 2026",CN172="Сил"),0.8,0.95)),0.95))))</f>
        <v>0.95</v>
      </c>
      <c r="BN172" cm="1">
        <f t="array" ref="BN172">IF(D172="","",IF(BA172&lt;&gt;"",IFERROR(_xlfn.XLOOKUP(BA172,Щиты[Щит],Щиты[Iр, А]),""),IFERROR(_xlfn.IFS(BH172=1,BF172/((Uн_лин/SQRT(3))*BM172),BH172=3,BF172/(SQRT(3)*Uн_лин*BM172)),"")))</f>
        <v>2.4613353581241939</v>
      </c>
      <c r="BO172">
        <f>IF(D172="","",IF(N(X172)=0,IFERROR(VLOOKUP(BN172,Автомат_номиналы,2,TRUE),""),X172))</f>
        <v>16</v>
      </c>
      <c r="BP172">
        <f t="shared" si="185"/>
        <v>1</v>
      </c>
      <c r="BQ172">
        <f>IF(ISNUMBER(Y172),Y172,К_прокл)</f>
        <v>1</v>
      </c>
      <c r="BR172">
        <f t="shared" si="186"/>
        <v>2</v>
      </c>
      <c r="BS172" cm="1">
        <f t="array" ref="BS172">IF(D172="","",IF(N(BK172)&lt;&gt;0,BK172,IFERROR(_xlfn.LET(_xlpm.need,BO172/(BP172*BQ172),_xlpm.t,CHOOSE(BR172,Iдоп_1ж,Iдоп_2ж,Iдоп_3ж),_xlpm.k,_xlfn.XMATCH(_xlpm.need,_xlpm.t,1),IF(ISNA(_xlpm.k),"Не исп",INDEX(Iдоп_S,_xlpm.k))),"Не исп")))</f>
        <v>2.5</v>
      </c>
      <c r="BT172">
        <f>IFERROR(VLOOKUP(BS172,Кабель_сопротивление,3,FALSE),"")</f>
        <v>2.2499999999999999E-2</v>
      </c>
      <c r="BU172">
        <f>IFERROR(VLOOKUP(BS172,Кабель_сопротивление,2,FALSE),"")</f>
        <v>0.1</v>
      </c>
      <c r="BV172">
        <f t="shared" si="187"/>
        <v>55</v>
      </c>
      <c r="BW172">
        <f>IF(D172="","",IFERROR(IF(VLOOKUP(AT172,Потребители_обозначение,4,FALSE)=1,VLOOKUP(AT172,Потребители_обозначение,3,FALSE)*(H172*2-1)+BV172+VLOOKUP(AV172,Этаж_обозначение,3,FALSE)+VLOOKUP(AV172,Этаж_обозначение,4,FALSE),VLOOKUP(AT172,Потребители_обозначение,3,FALSE)*(H172*2-1)+BV172),BV172))</f>
        <v>76</v>
      </c>
      <c r="BX172">
        <f t="shared" si="188"/>
        <v>0</v>
      </c>
      <c r="BY172">
        <f t="shared" si="189"/>
        <v>21</v>
      </c>
      <c r="BZ172">
        <f t="shared" si="190"/>
        <v>2</v>
      </c>
      <c r="CA172">
        <f t="shared" si="191"/>
        <v>0.31</v>
      </c>
      <c r="CB172">
        <f t="shared" si="192"/>
        <v>3.2103492436256835</v>
      </c>
      <c r="CC172">
        <f>IFERROR(ROUNDUP(CB172/((Uн_лин/SQRT(3))*1000)*100,2),"")</f>
        <v>1.4</v>
      </c>
      <c r="CD172">
        <f>IF(ISNUMBER(CC172),CC172+IFERROR(_xlfn.XLOOKUP(A172,Щиты[Щит],Щиты[ΔU до шин, %]),0),"")</f>
        <v>2.9699999999999998</v>
      </c>
      <c r="CE172">
        <f>IF(D172="","",IF(IFERROR(VLOOKUP(AT172,УГО_спр,2,FALSE),"")="Светильник",3,4)+IF(Методика="нормы 2026",MIN(0.5,MAX(0,N(BW172)-100)*0.005),0))</f>
        <v>4</v>
      </c>
      <c r="CF172" t="str">
        <f>IFERROR(VLOOKUP(BI172,Кабель_обозначение,2,FALSE),"")</f>
        <v>ВВГнг(А)-LS</v>
      </c>
      <c r="CG172" t="str">
        <f>IFERROR(IF(VLOOKUP(BI172,Кабель_обозначение,3,FALSE)=1,CF172&amp;" ("&amp;BJ172&amp;"х"&amp;BS172&amp;")",CF172),"")</f>
        <v>ВВГнг(А)-LS (3х2,5)</v>
      </c>
      <c r="CH172" t="str">
        <f t="shared" si="193"/>
        <v>ВВГнг(А)-LS (3х2,5)
L=76-1,4%</v>
      </c>
      <c r="CI172">
        <f>IFERROR(2*ρкз_Cu*BW172/BS172,"")</f>
        <v>1.59904</v>
      </c>
      <c r="CJ172">
        <f t="shared" si="194"/>
        <v>0.53200000000000003</v>
      </c>
      <c r="CK172" t="str">
        <f>IFERROR(IF(OR(D172="",NOT(ISNUMBER(BS172)),N(BW172)=0),"",_xlfn.XLOOKUP(A172,Щиты[Щит],Щиты[Zпетли на шинах, Ом])+CI172),"")</f>
        <v/>
      </c>
      <c r="CL172" t="str">
        <f>IF(ISNUMBER(CK172),c_min*(Uн_лин*1000/SQRT(3))/CK172,"")</f>
        <v/>
      </c>
      <c r="CM172" t="str">
        <f>IFERROR(IF(OR(D172="",NOT(ISNUMBER(BS172))),"",1.05*(Uн_лин*1000/SQRT(3))/(_xlfn.XLOOKUP(A172,Щиты[Щит],Щиты[Zmax на шинах, Ом])+CJ172)/1000),"")</f>
        <v/>
      </c>
      <c r="CN172" t="str">
        <f>IF(D172="","",IF(BA172&lt;&gt;"","Щит",IF(K172&lt;&gt;"",K172,IF(ISNUMBER(L172),"Сил",IF(IFERROR(_xlfn.XLOOKUP(AT172,Коды_код,Коды_группа)&amp;"","")="","Быт",_xlfn.XLOOKUP(AT172,Коды_код,Коды_группа)&amp;"")))))</f>
        <v>Быт</v>
      </c>
      <c r="CO172">
        <f>IF(CN172="Щит","щит",IF(CN172="","",IF(CN172="Быт",IFERROR(_xlfn.XLOOKUP(A172,Щиты[Щит],Щиты[Кс быт]),1),IF(CN172="Сил",IF(ISNUMBER(L172),L172,IF(Методика="нормы 2026",IFERROR(_xlfn.XLOOKUP(A172,Щиты[Щит],Щиты[Кс силовых (табл. 7.5)]),1),1)),IF(OR(CN172="Пост",CN172="Отоп"),1,IF(CN172="ВНГ",0.7,0))))))</f>
        <v>0.8</v>
      </c>
      <c r="CP172">
        <f t="shared" si="195"/>
        <v>1</v>
      </c>
      <c r="CQ172">
        <f t="shared" si="196"/>
        <v>0.54</v>
      </c>
      <c r="CR172">
        <f t="shared" si="197"/>
        <v>0.54</v>
      </c>
      <c r="CS172">
        <f t="shared" si="198"/>
        <v>0</v>
      </c>
      <c r="CT172">
        <f t="shared" si="199"/>
        <v>0</v>
      </c>
      <c r="CU172">
        <f t="shared" si="200"/>
        <v>0</v>
      </c>
      <c r="CV172">
        <f t="shared" si="201"/>
        <v>0</v>
      </c>
      <c r="CW172">
        <f t="shared" si="202"/>
        <v>0.54</v>
      </c>
      <c r="CX172">
        <f t="shared" si="203"/>
        <v>0.51300000000000001</v>
      </c>
      <c r="CY172">
        <f t="shared" si="204"/>
        <v>3</v>
      </c>
      <c r="CZ172" t="str">
        <f t="shared" si="205"/>
        <v>L3</v>
      </c>
      <c r="DA172" cm="1">
        <f t="array" ref="DA172">IFERROR(IF(BL172=2,_xlfn.IFS(BH172=3,VLOOKUP(BF172,Справочная_двигатели,3,FALSE),BH172=1,VLOOKUP(BF172,Справочная_двигатели,5,TRUE)),0),0)</f>
        <v>0</v>
      </c>
      <c r="DB172">
        <f>IFERROR(IF(BL172=3,VLOOKUP(BF172,Справочная_ЛЭД,2,TRUE),0),0)</f>
        <v>0</v>
      </c>
      <c r="DC172">
        <f t="shared" si="206"/>
        <v>0</v>
      </c>
      <c r="DD172" t="str">
        <f t="shared" si="207"/>
        <v>L2</v>
      </c>
      <c r="DE172" t="str" cm="1">
        <f t="array" ref="DE172">IF(D172="","",IFERROR(INDEX({"I особая","I","II","III"},MATCH(TRIM(AA172&amp;""),{"I особая","I","II","III"},0)),"III"))</f>
        <v>II</v>
      </c>
      <c r="DF172" t="str">
        <f>IF(D172="","",IF(TRIM(AB172&amp;"")&lt;&gt;"",IF(LOWER(TRIM(AB172&amp;""))="да","да","нет"),IF(IFERROR(_xlfn.XLOOKUP(AT172,Коды_код,Коды_пожарная),"")="да","да","нет")))</f>
        <v>нет</v>
      </c>
      <c r="DG172" t="str">
        <f t="shared" si="208"/>
        <v/>
      </c>
      <c r="DH172" t="str">
        <f t="shared" si="209"/>
        <v>основная</v>
      </c>
      <c r="DI172">
        <f t="shared" si="210"/>
        <v>1</v>
      </c>
      <c r="DJ172" t="str" cm="1">
        <f t="array" ref="DJ172">IF(D172="","",_xlfn.LET(_xlpm.t,IFERROR(_xlfn.XLOOKUP(1,(Шины[Шина]=DH172)*(((Шины[Щит]=A172)+(Шины[Щит]=""))&gt;0),Шины[Тип]),"")&amp;"",IF(_xlpm.t&lt;&gt;"",_xlpm.t,IF(ISNUMBER(SEARCH("ИБП",DH172)),"ИБП",IF(ISNUMBER(SEARCH("ДГУ",DH172)),"ДГУ","Ввод "&amp;DI172)))))</f>
        <v>Ввод 1</v>
      </c>
      <c r="DK172" t="str">
        <f t="shared" si="211"/>
        <v>Ввод 1</v>
      </c>
      <c r="DL172" t="str">
        <f>IF(D172="","",IF(OR(DJ172="ИБП",DJ172="ДГУ"),"I особая",IF(DJ172="Одиночная","III",_xlfn.XLOOKUP(A172,Щиты[Щит],Щиты[Категория шины «Ввод»],"III"))))</f>
        <v>II</v>
      </c>
      <c r="DM172">
        <f>IF(D172="",0,IFERROR(MATCH(DE172,{"III","II","I","I особая"},0),1))</f>
        <v>2</v>
      </c>
      <c r="DN172">
        <f t="shared" si="212"/>
        <v>2</v>
      </c>
      <c r="DO172" t="str">
        <f>IF(D172="","",IF(DM172&gt;IFERROR(MATCH(DL172,{"III","II","I","I особая"},0),1),"НЕ ОБЕСПЕЧЕНА","ОК"))</f>
        <v>ОК</v>
      </c>
      <c r="DP172" t="str">
        <f>IF(A172="","",_xlfn.XLOOKUP(A172,Щиты[Щит],Щиты[Путь],""))</f>
        <v>|ГРЩ-ЖД|ЩР-001|</v>
      </c>
      <c r="DQ172" t="str">
        <f>IF(D172="","",IF(Z172&lt;&gt;"",Z172,IF(IFERROR(_xlfn.XLOOKUP(AT172,Коды_код,Коды_вид)&amp;"","")="","Прочее",_xlfn.XLOOKUP(AT172,Коды_код,Коды_вид)&amp;"")))</f>
        <v>Розеточная сеть и бытовые приборы</v>
      </c>
      <c r="DR172">
        <f>IF(BD172="","",INT((BD172-1)/Столбцов_на_лист)+1)</f>
        <v>2</v>
      </c>
      <c r="DS172" t="str">
        <f t="shared" si="213"/>
        <v>ВВГнг(А)-LS (3х2,5) L=76-1,4%</v>
      </c>
      <c r="DT172">
        <f t="shared" si="214"/>
        <v>0.54</v>
      </c>
      <c r="DU172">
        <f t="shared" si="215"/>
        <v>2.4699999999999998</v>
      </c>
      <c r="DV172">
        <f t="shared" si="216"/>
        <v>1</v>
      </c>
      <c r="DW172">
        <f>IF(AT172="",0,_xlfn.LET(_xlpm.v,IFERROR(VLOOKUP(D172,УГО_спр,3,FALSE),IFERROR(VLOOKUP(AT172,УГО_спр,3,FALSE),IFERROR(VLOOKUP(LEFT(AT172,2),УГО_спр,3,FALSE),""))),IF(_xlpm.v="да",30,IF(ISNUMBER(_xlpm.v),_xlpm.v,0))))</f>
        <v>30</v>
      </c>
      <c r="DX172">
        <f t="shared" si="217"/>
        <v>0</v>
      </c>
      <c r="DY172">
        <f>IF(BD172="","",IF(AD172&lt;&gt;"",COUNTIFS(A$3:A172,A172,AD$3:AD172,"?*"),IF(OR(OR(AS172=1,A172&lt;&gt;A171),AL172="вручную"),"",IF(AS172=1,"",DZ171))))</f>
        <v>18</v>
      </c>
      <c r="DZ172">
        <f t="shared" si="218"/>
        <v>18</v>
      </c>
      <c r="EA172">
        <f>IF(D172="",0,MAX(IFERROR(--X172,0),IFERROR(--VLOOKUP(D172,УГО_спр,4,FALSE),IFERROR(--VLOOKUP(AT172,УГО_спр,4,FALSE),IFERROR(--VLOOKUP(LEFT(AT172,2),УГО_спр,4,FALSE),0)))))</f>
        <v>16</v>
      </c>
      <c r="EB172">
        <f>IF(D172="","",IFERROR(LOOKUP(INDEX(CHOOSE(BR172,Iдоп_1ж,Iдоп_2ж,Iдоп_3ж),MATCH(BS172,Iдоп_S,0))*BP172*BQ172,{6,10,16,20,25,32,40,50,63,80,100,125,160,200,250,315,400,500,630}),""))</f>
        <v>25</v>
      </c>
      <c r="EC172">
        <f>IF(AD172="","",SUMIFS(Линии[_Ток схемы],Линии[_гр.],DY172,Линии[Щит],A172,Линии[_в кабель выше],0))</f>
        <v>2.4699999999999998</v>
      </c>
      <c r="ED172">
        <f>IF(AD172="","",IFERROR(VLOOKUP(EC172,Автомат_номиналы,2,TRUE),""))</f>
        <v>6</v>
      </c>
      <c r="EE172">
        <f>IF(AD172="","",MAX(N(ED172),_xlfn.MAXIFS(Линии[_мин. по типу],Линии[_гр.],DY172,Линии[Щит],A172)))</f>
        <v>16</v>
      </c>
      <c r="EF172">
        <f>IF(AD172="","",_xlfn.MINIFS(Линии[_макс. автомат по кабелю],Линии[_гр.],DY172,Линии[Щит],A172))</f>
        <v>25</v>
      </c>
      <c r="EG172">
        <f>IF(AD172="","",MAX(1,_xlfn.MAXIFS(Линии[_фаз],Линии[_гр.],DY172,Линии[Щит],A172)))</f>
        <v>1</v>
      </c>
      <c r="EH172">
        <f>IF(AD172="","",IF(AND(AD172&lt;&gt;"авто",AD172&lt;&gt;"+"),IF(ISNUMBER(SEARCH("мА",AD172)),IFERROR(--TRIM(RIGHT(SUBSTITUTE(LEFT(AD172,SEARCH("мА",AD172)-1)," ",REPT(" ",9)),6)),30),0),IF(AE172="нет",0,IF(ISNUMBER(AE172),AE172,IF(AE172="да",30,_xlfn.MINIFS(Линии[_дифзащита по коду, мА],Линии[_гр.],DY172,Линии[Щит],A172,Линии[_дифзащита по коду, мА],"&gt;0"))))))</f>
        <v>30</v>
      </c>
      <c r="EI172">
        <f t="shared" si="219"/>
        <v>1</v>
      </c>
      <c r="EJ172" t="str">
        <f t="shared" si="220"/>
        <v>QFD18</v>
      </c>
      <c r="EK172" t="str">
        <f t="shared" si="221"/>
        <v>QFD18</v>
      </c>
      <c r="EL172" t="str">
        <f t="shared" si="222"/>
        <v/>
      </c>
      <c r="EM172">
        <f t="shared" si="223"/>
        <v>0</v>
      </c>
      <c r="EN172">
        <f>IF(AD172="","",IF(EM172=1,MAX(EE172,Мин_автомат_БП),EE172))</f>
        <v>16</v>
      </c>
      <c r="EO172" t="str">
        <f t="shared" si="224"/>
        <v>2P</v>
      </c>
      <c r="EP172" t="str">
        <f t="shared" si="225"/>
        <v>2P С16А 30мА</v>
      </c>
      <c r="EQ172">
        <f t="shared" si="226"/>
        <v>16</v>
      </c>
      <c r="ER172" t="str">
        <f>IF(OR(AI172="",AI172="-"),"",IFERROR(VLOOKUP(AI172,Модули_спр,2,FALSE),"R"))</f>
        <v/>
      </c>
      <c r="ES172" t="str">
        <f>IF(ER172="","",ER172&amp;"."&amp;COUNTIFS(A$3:A172,A172,ER$3:ER172,ER172))</f>
        <v/>
      </c>
      <c r="ET172" t="str">
        <f t="shared" si="227"/>
        <v/>
      </c>
      <c r="EU172" t="str">
        <f t="shared" si="228"/>
        <v/>
      </c>
      <c r="EV172" t="str">
        <f t="shared" si="229"/>
        <v/>
      </c>
      <c r="EW172" t="str">
        <f t="shared" si="230"/>
        <v/>
      </c>
      <c r="EX172">
        <f t="shared" si="231"/>
        <v>1</v>
      </c>
      <c r="EY172" t="str">
        <f>IF(AK172="нет","",IF(AK172&lt;&gt;"",AK172,IF(EX172=1,"XT"&amp;COUNTIFS(A$3:A172,A172,EX$3:EX172,1),"")))</f>
        <v/>
      </c>
      <c r="EZ172" t="str">
        <f t="shared" si="232"/>
        <v>QFD18</v>
      </c>
      <c r="FA172" t="str">
        <f t="shared" si="233"/>
        <v/>
      </c>
      <c r="FB172" t="str">
        <f t="shared" si="234"/>
        <v>ok</v>
      </c>
      <c r="FC172" t="str">
        <f>IF(OR(EV172="",ET172=""),"",IF(EV172&gt;IFERROR(VLOOKUP(EU172,Модули_спр,3,FALSE),99),"ЛИШНИЙ КАНАЛ",IF(AND(AJ172&lt;&gt;"=",COUNTIFS(Линии[_модуль гр.],ET172,Линии[Канал (итог)],EV172,Линии[Канал],"&lt;&gt;=",Линии[Щит],A172)&gt;1),"ДУБЛЬ КАНАЛА","")))</f>
        <v/>
      </c>
      <c r="FD172">
        <f t="shared" si="235"/>
        <v>16</v>
      </c>
      <c r="FE172" t="str">
        <f t="shared" si="236"/>
        <v>2P С16А 30мА</v>
      </c>
      <c r="FF172">
        <f t="shared" si="237"/>
        <v>1</v>
      </c>
      <c r="FG172">
        <f t="shared" si="238"/>
        <v>30</v>
      </c>
      <c r="FH172" t="str">
        <f t="shared" si="239"/>
        <v/>
      </c>
      <c r="FI172">
        <f t="shared" si="240"/>
        <v>10</v>
      </c>
      <c r="FJ172" t="str">
        <f t="shared" si="241"/>
        <v/>
      </c>
      <c r="FK172" t="str">
        <f>IF(AND(D172="",EZ172=""),"",_xlfn.TEXTJOIN("; ",TRUE,IF(AND(D172&lt;&gt;"",DD172=""),"нет фазы",""),IF(AND(D172&lt;&gt;"",N(DT172)=0,CN172&lt;&gt;"Нет"),"нет мощности",""),IF(AND(EY172&lt;&gt;"",COUNTIFS(Линии[Щит],A172,Линии[Клемма (итог)],EY172)&gt;1),"дубль клеммы "&amp;EY172,""),IF(AND(FB172&lt;&gt;"",FB172&lt;&gt;"ok"),FB172,""),IF(FC172&lt;&gt;"",FC172,""),IF(AND(ISNUMBER(SEARCH("(5х",DS172)),N(DV172)=1),"5 жил на 1 фазе",""),IF(AND(AT172="R",AD172&lt;&gt;"",OR(N(EH172)=0,N(EH172)&gt;30)),"розетка без дифзащиты до 30 мА",""),IFERROR(IF(AND(ISNUMBER(CD172),CD172&gt;CE172),"потери "&amp;FIXED(CD172,1)&amp;" % &gt; "&amp;CE172&amp;" %",""),""),IFERROR(IF(LEFT(FJ172,4)="мало","Iкз мало — отключение &gt; 0,4 с",""),""),IF(AND(D172&lt;&gt;"",BD172=""),"не на схеме","")))</f>
        <v/>
      </c>
      <c r="FL172">
        <f>IF(AD172="","",_xlfn.LET(_xlpm.t,IFERROR(_xlfn.XLOOKUP(EP172,Каталог!$U$4:$U$500,Каталог!$G$4:$G$500),""),_xlpm.k,SEARCH("кА",_xlpm.t),IFERROR(--TRIM(RIGHT(SUBSTITUTE(MID(_xlpm.t,MAX(1,_xlpm.k-4),_xlpm.k-MAX(1,_xlpm.k-4))," ",REPT(" ",9)),5)),"")))</f>
        <v>6</v>
      </c>
      <c r="FM172" t="str">
        <f>IF(OR(FL172="",AD172=""),"",IF(_xlfn.XLOOKUP(A172,Щиты[Щит],Щиты[Iкз max на шинах, кА],"")="","",IF(FL172&lt;_xlfn.XLOOKUP(A172,Щиты[Щит],Щиты[Iкз max на шинах, кА]),"Icu "&amp;FL172&amp;" кА &lt; Iкз max","ok")))</f>
        <v/>
      </c>
      <c r="FN172" t="str">
        <f t="shared" si="242"/>
        <v>QFD18</v>
      </c>
      <c r="FO172" t="str">
        <f t="shared" si="243"/>
        <v>QFD18|кабель ВВГнг(А)-LS (3х2,5) → Розеточная группа Подвальный этаж Пом. №004Б</v>
      </c>
      <c r="FP172" t="str" cm="1">
        <f t="array" ref="FP172">IF(FO172="","",_xlfn.LET(_xlpm.nd,_xlfn.TEXTSPLIT(FO172,"|"),IF(COLUMNS(_xlpm.nd)&gt;1,A172&amp;"¦"&amp;INDEX(_xlpm.nd,1)&amp;"¦"&amp;INDEX(_xlpm.nd,2),"")))</f>
        <v>ЩР-001¦QFD18¦кабель ВВГнг(А)-LS (3х2,5) → Розеточная группа Подвальный этаж Пом. №004Б</v>
      </c>
      <c r="FQ172" t="str">
        <f t="shared" si="244"/>
        <v>R.00.004Б.1¦Розеточная группа Подвальный этаж Пом. №004Б</v>
      </c>
      <c r="FR172" t="str" cm="1">
        <f t="array" ref="FR172">IF(FO172="","",_xlfn.LET(_xlpm.nd,_xlfn.TEXTSPLIT(FO172,"|"),IF(COLUMNS(_xlpm.nd)&gt;2,A172&amp;"¦"&amp;INDEX(_xlpm.nd,2)&amp;"¦"&amp;INDEX(_xlpm.nd,3),"")))</f>
        <v/>
      </c>
      <c r="FS172" t="str">
        <f t="shared" si="245"/>
        <v/>
      </c>
      <c r="FT172" t="str" cm="1">
        <f t="array" ref="FT172">IF(FO172="","",_xlfn.LET(_xlpm.nd,_xlfn.TEXTSPLIT(FO172,"|"),IF(COLUMNS(_xlpm.nd)&gt;3,A172&amp;"¦"&amp;INDEX(_xlpm.nd,3)&amp;"¦"&amp;INDEX(_xlpm.nd,4),"")))</f>
        <v/>
      </c>
      <c r="FU172" t="str">
        <f t="shared" si="246"/>
        <v/>
      </c>
      <c r="FV172" t="str" cm="1">
        <f t="array" ref="FV172">IF(FO172="","",_xlfn.LET(_xlpm.nd,_xlfn.TEXTSPLIT(FO172,"|"),IF(COLUMNS(_xlpm.nd)&gt;4,A172&amp;"¦"&amp;INDEX(_xlpm.nd,4)&amp;"¦"&amp;INDEX(_xlpm.nd,5),"")))</f>
        <v/>
      </c>
      <c r="FW172" t="str">
        <f t="shared" si="247"/>
        <v/>
      </c>
      <c r="FX172" t="str" cm="1">
        <f t="array" ref="FX172">IF(FO172="","",_xlfn.LET(_xlpm.nd,_xlfn.TEXTSPLIT(FO172,"|"),IF(COLUMNS(_xlpm.nd)&gt;5,A172&amp;"¦"&amp;INDEX(_xlpm.nd,5)&amp;"¦"&amp;INDEX(_xlpm.nd,6),"")))</f>
        <v/>
      </c>
      <c r="FY172" t="str">
        <f t="shared" si="248"/>
        <v/>
      </c>
      <c r="FZ172" t="str" cm="1">
        <f t="array" ref="FZ172">IF(FO172="","",_xlfn.LET(_xlpm.nd,_xlfn.TEXTSPLIT(FO172,"|"),IF(COLUMNS(_xlpm.nd)&gt;6,A172&amp;"¦"&amp;INDEX(_xlpm.nd,6)&amp;"¦"&amp;INDEX(_xlpm.nd,7),"")))</f>
        <v/>
      </c>
      <c r="GA172" t="str">
        <f t="shared" si="249"/>
        <v/>
      </c>
      <c r="GB172" t="str">
        <f t="shared" si="250"/>
        <v/>
      </c>
      <c r="GC172" t="str">
        <f t="shared" si="251"/>
        <v>QFD18</v>
      </c>
      <c r="GD172">
        <f t="shared" si="252"/>
        <v>1</v>
      </c>
      <c r="GE172">
        <f t="shared" si="253"/>
        <v>0</v>
      </c>
      <c r="GF172">
        <f t="shared" si="254"/>
        <v>1</v>
      </c>
      <c r="GG172" t="str">
        <f t="shared" si="255"/>
        <v/>
      </c>
      <c r="GH172" t="str">
        <f t="shared" si="256"/>
        <v/>
      </c>
      <c r="GI172" t="str">
        <f t="shared" si="257"/>
        <v/>
      </c>
      <c r="GJ172" t="str">
        <f t="shared" si="258"/>
        <v/>
      </c>
      <c r="GK172" t="str">
        <f>IF(D172="","",IFERROR(VLOOKUP(D172,УГО_спр,2,FALSE),IFERROR(VLOOKUP(AT172,УГО_спр,2,FALSE),IFERROR(VLOOKUP(LEFT(AT172,2),УГО_спр,2,FALSE),""))))</f>
        <v>Розетка</v>
      </c>
      <c r="GL172" t="str">
        <f>IF(D172="","",IF(OR(GK172="",GK172=0),"BOX",IFERROR(IF(VLOOKUP(GK172,УГО_блоки,3,FALSE)&amp;""&lt;&gt;"",VLOOKUP(GK172,УГО_блоки,3,FALSE),VLOOKUP(GK172,УГО_блоки,2,FALSE)),GK172)))</f>
        <v>SOCKET</v>
      </c>
      <c r="GM172">
        <f t="shared" si="259"/>
        <v>1</v>
      </c>
      <c r="GN172" t="str">
        <f>IF(EP172="","",IF(COUNTIF(EP$3:EP172,EP172)=1,MAX(GN$2:GN171)+1,""))</f>
        <v/>
      </c>
      <c r="GO172" t="str">
        <f>IF(AF172="","",IF(COUNTIF(AF$3:AF172,AF172)+COUNTIF(AG$2:AG171,AF172)+COUNTIF(AH$2:AH171,AF172)=1,MAX(GO$2:GQ171)+1,""))</f>
        <v/>
      </c>
      <c r="GP172" t="str">
        <f>IF(AG172="","",IF(COUNTIF(AF$3:AF172,AG172)+COUNTIF(AG$3:AG172,AG172)+COUNTIF(AH$2:AH171,AG172)=1,MAX(GO$2:GQ171,GO172)+1,""))</f>
        <v/>
      </c>
      <c r="GQ172" t="str">
        <f>IF(AH172="","",IF(COUNTIF(AF$3:AF172,AH172)+COUNTIF(AG$3:AG172,AH172)+COUNTIF(AH$3:AH172,AH172)=1,MAX(GO$2:GQ171,GO172,GP172)+1,""))</f>
        <v/>
      </c>
      <c r="GR172" t="str">
        <f t="shared" si="260"/>
        <v>3х2,5</v>
      </c>
      <c r="GS172" t="str">
        <f>IF(GR172="","",IF(COUNTIF(GR$3:GR172,GR172)=1,MAX(GS$2:GS171)+1,""))</f>
        <v/>
      </c>
      <c r="GT172" t="str">
        <f>IF(ES172="","",COUNTIF(ES$3:ES172,"?*"))</f>
        <v/>
      </c>
      <c r="GU172" t="str">
        <f>IF(OR(ES172="",EU172=""),"",IF(COUNTIFS(ES$3:ES172,"?*",EU$3:EU172,EU172)=1,MAX(GU$2:GU171)+1,""))</f>
        <v/>
      </c>
      <c r="GV172">
        <f t="shared" si="261"/>
        <v>0</v>
      </c>
      <c r="GW172">
        <f>IF(D172="","",COUNTIF(D$3:D172,"?*"))</f>
        <v>170</v>
      </c>
      <c r="GX172">
        <f>IF(EX172&lt;&gt;1,0,_xlfn.LET(_xlpm.k,MAX(IFERROR(--VLOOKUP(D172,УГО_спр,5,FALSE),0),IFERROR(--VLOOKUP(AT172,УГО_спр,5,FALSE),0),IFERROR(--VLOOKUP(LEFT(AT172,2),УГО_спр,5,FALSE),0)),IF(_xlpm.k&gt;0,_xlpm.k,IF(IFERROR(--LEFT(SUBSTITUTE(GR172,"x","х"),FIND("х",SUBSTITUTE(GR172,"x","х"))-1),3)&gt;3,Каталог!$S$9,1))))</f>
        <v>1</v>
      </c>
      <c r="GY172">
        <f t="shared" si="262"/>
        <v>0</v>
      </c>
    </row>
    <row r="173" spans="1:207" x14ac:dyDescent="0.3">
      <c r="A173" t="s">
        <v>758</v>
      </c>
      <c r="B173">
        <v>28</v>
      </c>
      <c r="C173" t="str">
        <f>IF(BD173="","",IF(BE173="вводной узел","узел ","")&amp;"л."&amp;(INT((BD173-1)/Столбцов_на_лист)+1)&amp;" / "&amp;(MOD(BD173-1,Столбцов_на_лист)+1))</f>
        <v>л.2 / 11</v>
      </c>
      <c r="D173" t="s">
        <v>1477</v>
      </c>
      <c r="E173" s="133" t="str">
        <f t="shared" si="263"/>
        <v>Розеточная группа Подвальный этаж Пом. №005Б</v>
      </c>
      <c r="G173">
        <v>0.48</v>
      </c>
      <c r="H173">
        <v>4</v>
      </c>
      <c r="I173">
        <v>1</v>
      </c>
      <c r="J173">
        <v>230</v>
      </c>
      <c r="K173" t="s">
        <v>566</v>
      </c>
      <c r="O173">
        <v>3</v>
      </c>
      <c r="P173">
        <v>50</v>
      </c>
      <c r="Q173">
        <v>26</v>
      </c>
      <c r="R173">
        <v>0</v>
      </c>
      <c r="S173">
        <v>14</v>
      </c>
      <c r="U173" t="s">
        <v>11</v>
      </c>
      <c r="V173">
        <v>3</v>
      </c>
      <c r="W173">
        <v>2.5</v>
      </c>
      <c r="X173">
        <v>16</v>
      </c>
      <c r="Z173" t="s">
        <v>565</v>
      </c>
      <c r="AA173" t="s">
        <v>818</v>
      </c>
      <c r="AD173" t="s">
        <v>517</v>
      </c>
      <c r="AK173" t="s">
        <v>488</v>
      </c>
      <c r="AR173" t="str">
        <f t="shared" si="176"/>
        <v/>
      </c>
      <c r="AS173" cm="1">
        <f t="array" ref="AS173">ROW()-ROW(Линии[#Headers])</f>
        <v>171</v>
      </c>
      <c r="AT173" t="str">
        <f t="shared" si="177"/>
        <v>R</v>
      </c>
      <c r="AU173" t="str">
        <f t="shared" si="178"/>
        <v>00.005Б.1</v>
      </c>
      <c r="AV173" t="str">
        <f t="shared" si="179"/>
        <v>00</v>
      </c>
      <c r="AW173" t="str">
        <f t="shared" si="180"/>
        <v>005Б.1</v>
      </c>
      <c r="AX173" t="str">
        <f t="shared" si="181"/>
        <v>005Б</v>
      </c>
      <c r="AY173" t="str">
        <f>IF(D173="","",IF(ISERROR(SEARCH(".",D173)),IFERROR(VLOOKUP(D173,Потребители_обозначение,2,FALSE)&amp;"",""),IFERROR(IF(VLOOKUP(AT173,Потребители_обозначение,4,FALSE)=1,VLOOKUP(AT173,Потребители_обозначение,2,FALSE)&amp;" "&amp;VLOOKUP(AV173,Этаж_обозначение,2,FALSE)&amp;" Пом. №"&amp;AX173,VLOOKUP(AT173,Потребители_обозначение,2,FALSE)&amp;" Шлейф №"&amp;AV173),IFERROR(VLOOKUP(D173,Потребители_обозначение,2,FALSE),""))))</f>
        <v>Розеточная группа Подвальный этаж Пом. №005Б</v>
      </c>
      <c r="AZ173" t="str">
        <f t="shared" si="182"/>
        <v>Розеточная группа Подвальный этаж Пом. №005Б</v>
      </c>
      <c r="BA173" t="str">
        <f>IF(F173&lt;&gt;"",F173,IF(AND(D173&lt;&gt;"",D173&lt;&gt;A173,ISNUMBER(_xlfn.XMATCH(D173,Щиты[Щит]))),D173,""))</f>
        <v/>
      </c>
      <c r="BB173">
        <f>IFERROR(_xlfn.XMATCH(A173,Щиты[Щит]),0)</f>
        <v>8</v>
      </c>
      <c r="BC173">
        <f>IFERROR(N(_xlfn.XLOOKUP(A173,Щиты[Щит],Щиты[Мест под вводной узел])),15)</f>
        <v>7</v>
      </c>
      <c r="BD173">
        <f t="shared" si="183"/>
        <v>28</v>
      </c>
      <c r="BE173" t="str">
        <f t="shared" si="184"/>
        <v>линии</v>
      </c>
      <c r="BF173">
        <f>IF(D173="","",IF(BA173&lt;&gt;"",IFERROR(_xlfn.XLOOKUP(BA173,Щиты[Щит],Щиты[Руст, кВт]),0),N(G173)))</f>
        <v>0.48</v>
      </c>
      <c r="BG173">
        <f>IF(J173&lt;&gt;"",J173,IF(D173="","",IFERROR(IF(VLOOKUP(AT173,Потребители_обозначение,8,FALSE)=0,"",VLOOKUP(AT173,Потребители_обозначение,8,FALSE)),"")))</f>
        <v>230</v>
      </c>
      <c r="BH173">
        <f>IF(I173&lt;&gt;"",I173,IF(D173="","",IFERROR(IF(VLOOKUP(AT173,Потребители_обозначение,9,FALSE)=0,"",VLOOKUP(AT173,Потребители_обозначение,9,FALSE)),"")))</f>
        <v>1</v>
      </c>
      <c r="BI173" t="str">
        <f>IF(U173&lt;&gt;"",U173,IF(D173="","",IFERROR(IF(VLOOKUP(AT173,Потребители_обозначение,6,FALSE)=0,"",VLOOKUP(AT173,Потребители_обозначение,6,FALSE)),"")))</f>
        <v>мс</v>
      </c>
      <c r="BJ173">
        <f>IF(V173&lt;&gt;"",V173,IF(D173="","",IFERROR(IF(VLOOKUP(AT173,Потребители_обозначение,7,FALSE)=0,"",VLOOKUP(AT173,Потребители_обозначение,7,FALSE)),"")))</f>
        <v>3</v>
      </c>
      <c r="BK173">
        <f>IF(W173&lt;&gt;"",W173,IF(D173="","",IFERROR(IF(VLOOKUP(AT173,Потребители_обозначение,10,FALSE)=0,"",VLOOKUP(AT173,Потребители_обозначение,10,FALSE)),"")))</f>
        <v>2.5</v>
      </c>
      <c r="BL173">
        <f>IFERROR(VLOOKUP(AT173,Потребители_обозначение,5,FALSE),0)</f>
        <v>1</v>
      </c>
      <c r="BM173" cm="1">
        <f t="array" ref="BM173">IF(D173="","",IF(BA173&lt;&gt;"",IFERROR(_xlfn.XLOOKUP(BA173,Щиты[Щит],Щиты[cos φ]),0.95),IF(ISNUMBER(M173),M173,IFERROR(IF(BL173=2,_xlfn.IFS(BH173=3,VLOOKUP(BF173,Справочная_двигатели,8,FALSE),BH173=1,VLOOKUP(BF173,Справочная_двигатели,10,TRUE)),IF(AND(Методика="нормы 2026",CN173="Сил"),0.8,0.95)),0.95))))</f>
        <v>0.95</v>
      </c>
      <c r="BN173" cm="1">
        <f t="array" ref="BN173">IF(D173="","",IF(BA173&lt;&gt;"",IFERROR(_xlfn.XLOOKUP(BA173,Щиты[Щит],Щиты[Iр, А]),""),IFERROR(_xlfn.IFS(BH173=1,BF173/((Uн_лин/SQRT(3))*BM173),BH173=3,BF173/(SQRT(3)*Uн_лин*BM173)),"")))</f>
        <v>2.1878536516659501</v>
      </c>
      <c r="BO173">
        <f>IF(D173="","",IF(N(X173)=0,IFERROR(VLOOKUP(BN173,Автомат_номиналы,2,TRUE),""),X173))</f>
        <v>16</v>
      </c>
      <c r="BP173">
        <f t="shared" si="185"/>
        <v>1</v>
      </c>
      <c r="BQ173">
        <f>IF(ISNUMBER(Y173),Y173,К_прокл)</f>
        <v>1</v>
      </c>
      <c r="BR173">
        <f t="shared" si="186"/>
        <v>2</v>
      </c>
      <c r="BS173" cm="1">
        <f t="array" ref="BS173">IF(D173="","",IF(N(BK173)&lt;&gt;0,BK173,IFERROR(_xlfn.LET(_xlpm.need,BO173/(BP173*BQ173),_xlpm.t,CHOOSE(BR173,Iдоп_1ж,Iдоп_2ж,Iдоп_3ж),_xlpm.k,_xlfn.XMATCH(_xlpm.need,_xlpm.t,1),IF(ISNA(_xlpm.k),"Не исп",INDEX(Iдоп_S,_xlpm.k))),"Не исп")))</f>
        <v>2.5</v>
      </c>
      <c r="BT173">
        <f>IFERROR(VLOOKUP(BS173,Кабель_сопротивление,3,FALSE),"")</f>
        <v>2.2499999999999999E-2</v>
      </c>
      <c r="BU173">
        <f>IFERROR(VLOOKUP(BS173,Кабель_сопротивление,2,FALSE),"")</f>
        <v>0.1</v>
      </c>
      <c r="BV173">
        <f t="shared" si="187"/>
        <v>50</v>
      </c>
      <c r="BW173">
        <f>IF(D173="","",IFERROR(IF(VLOOKUP(AT173,Потребители_обозначение,4,FALSE)=1,VLOOKUP(AT173,Потребители_обозначение,3,FALSE)*(H173*2-1)+BV173+VLOOKUP(AV173,Этаж_обозначение,3,FALSE)+VLOOKUP(AV173,Этаж_обозначение,4,FALSE),VLOOKUP(AT173,Потребители_обозначение,3,FALSE)*(H173*2-1)+BV173),BV173))</f>
        <v>71</v>
      </c>
      <c r="BX173">
        <f t="shared" si="188"/>
        <v>0</v>
      </c>
      <c r="BY173">
        <f t="shared" si="189"/>
        <v>14</v>
      </c>
      <c r="BZ173">
        <f t="shared" si="190"/>
        <v>2</v>
      </c>
      <c r="CA173">
        <f t="shared" si="191"/>
        <v>0.31</v>
      </c>
      <c r="CB173">
        <f t="shared" si="192"/>
        <v>2.6659040502622635</v>
      </c>
      <c r="CC173">
        <f>IFERROR(ROUNDUP(CB173/((Uн_лин/SQRT(3))*1000)*100,2),"")</f>
        <v>1.1599999999999999</v>
      </c>
      <c r="CD173">
        <f>IF(ISNUMBER(CC173),CC173+IFERROR(_xlfn.XLOOKUP(A173,Щиты[Щит],Щиты[ΔU до шин, %]),0),"")</f>
        <v>2.73</v>
      </c>
      <c r="CE173">
        <f>IF(D173="","",IF(IFERROR(VLOOKUP(AT173,УГО_спр,2,FALSE),"")="Светильник",3,4)+IF(Методика="нормы 2026",MIN(0.5,MAX(0,N(BW173)-100)*0.005),0))</f>
        <v>4</v>
      </c>
      <c r="CF173" t="str">
        <f>IFERROR(VLOOKUP(BI173,Кабель_обозначение,2,FALSE),"")</f>
        <v>ВВГнг(А)-LS</v>
      </c>
      <c r="CG173" t="str">
        <f>IFERROR(IF(VLOOKUP(BI173,Кабель_обозначение,3,FALSE)=1,CF173&amp;" ("&amp;BJ173&amp;"х"&amp;BS173&amp;")",CF173),"")</f>
        <v>ВВГнг(А)-LS (3х2,5)</v>
      </c>
      <c r="CH173" t="str">
        <f t="shared" si="193"/>
        <v>ВВГнг(А)-LS (3х2,5)
L=71-1,16%</v>
      </c>
      <c r="CI173">
        <f>IFERROR(2*ρкз_Cu*BW173/BS173,"")</f>
        <v>1.4938400000000001</v>
      </c>
      <c r="CJ173">
        <f t="shared" si="194"/>
        <v>0.49700000000000005</v>
      </c>
      <c r="CK173" t="str">
        <f>IFERROR(IF(OR(D173="",NOT(ISNUMBER(BS173)),N(BW173)=0),"",_xlfn.XLOOKUP(A173,Щиты[Щит],Щиты[Zпетли на шинах, Ом])+CI173),"")</f>
        <v/>
      </c>
      <c r="CL173" t="str">
        <f>IF(ISNUMBER(CK173),c_min*(Uн_лин*1000/SQRT(3))/CK173,"")</f>
        <v/>
      </c>
      <c r="CM173" t="str">
        <f>IFERROR(IF(OR(D173="",NOT(ISNUMBER(BS173))),"",1.05*(Uн_лин*1000/SQRT(3))/(_xlfn.XLOOKUP(A173,Щиты[Щит],Щиты[Zmax на шинах, Ом])+CJ173)/1000),"")</f>
        <v/>
      </c>
      <c r="CN173" t="str">
        <f>IF(D173="","",IF(BA173&lt;&gt;"","Щит",IF(K173&lt;&gt;"",K173,IF(ISNUMBER(L173),"Сил",IF(IFERROR(_xlfn.XLOOKUP(AT173,Коды_код,Коды_группа)&amp;"","")="","Быт",_xlfn.XLOOKUP(AT173,Коды_код,Коды_группа)&amp;"")))))</f>
        <v>Быт</v>
      </c>
      <c r="CO173">
        <f>IF(CN173="Щит","щит",IF(CN173="","",IF(CN173="Быт",IFERROR(_xlfn.XLOOKUP(A173,Щиты[Щит],Щиты[Кс быт]),1),IF(CN173="Сил",IF(ISNUMBER(L173),L173,IF(Методика="нормы 2026",IFERROR(_xlfn.XLOOKUP(A173,Щиты[Щит],Щиты[Кс силовых (табл. 7.5)]),1),1)),IF(OR(CN173="Пост",CN173="Отоп"),1,IF(CN173="ВНГ",0.7,0))))))</f>
        <v>0.8</v>
      </c>
      <c r="CP173">
        <f t="shared" si="195"/>
        <v>1</v>
      </c>
      <c r="CQ173">
        <f t="shared" si="196"/>
        <v>0.48</v>
      </c>
      <c r="CR173">
        <f t="shared" si="197"/>
        <v>0.48</v>
      </c>
      <c r="CS173">
        <f t="shared" si="198"/>
        <v>0</v>
      </c>
      <c r="CT173">
        <f t="shared" si="199"/>
        <v>0</v>
      </c>
      <c r="CU173">
        <f t="shared" si="200"/>
        <v>0</v>
      </c>
      <c r="CV173">
        <f t="shared" si="201"/>
        <v>0</v>
      </c>
      <c r="CW173">
        <f t="shared" si="202"/>
        <v>0.48</v>
      </c>
      <c r="CX173">
        <f t="shared" si="203"/>
        <v>0.45599999999999996</v>
      </c>
      <c r="CY173">
        <f t="shared" si="204"/>
        <v>1</v>
      </c>
      <c r="CZ173" t="str">
        <f t="shared" si="205"/>
        <v>L1</v>
      </c>
      <c r="DA173" cm="1">
        <f t="array" ref="DA173">IFERROR(IF(BL173=2,_xlfn.IFS(BH173=3,VLOOKUP(BF173,Справочная_двигатели,3,FALSE),BH173=1,VLOOKUP(BF173,Справочная_двигатели,5,TRUE)),0),0)</f>
        <v>0</v>
      </c>
      <c r="DB173">
        <f>IFERROR(IF(BL173=3,VLOOKUP(BF173,Справочная_ЛЭД,2,TRUE),0),0)</f>
        <v>0</v>
      </c>
      <c r="DC173">
        <f t="shared" si="206"/>
        <v>0</v>
      </c>
      <c r="DD173" t="str">
        <f t="shared" si="207"/>
        <v>L3</v>
      </c>
      <c r="DE173" t="str" cm="1">
        <f t="array" ref="DE173">IF(D173="","",IFERROR(INDEX({"I особая","I","II","III"},MATCH(TRIM(AA173&amp;""),{"I особая","I","II","III"},0)),"III"))</f>
        <v>II</v>
      </c>
      <c r="DF173" t="str">
        <f>IF(D173="","",IF(TRIM(AB173&amp;"")&lt;&gt;"",IF(LOWER(TRIM(AB173&amp;""))="да","да","нет"),IF(IFERROR(_xlfn.XLOOKUP(AT173,Коды_код,Коды_пожарная),"")="да","да","нет")))</f>
        <v>нет</v>
      </c>
      <c r="DG173" t="str">
        <f t="shared" si="208"/>
        <v/>
      </c>
      <c r="DH173" t="str">
        <f t="shared" si="209"/>
        <v>основная</v>
      </c>
      <c r="DI173">
        <f t="shared" si="210"/>
        <v>1</v>
      </c>
      <c r="DJ173" t="str" cm="1">
        <f t="array" ref="DJ173">IF(D173="","",_xlfn.LET(_xlpm.t,IFERROR(_xlfn.XLOOKUP(1,(Шины[Шина]=DH173)*(((Шины[Щит]=A173)+(Шины[Щит]=""))&gt;0),Шины[Тип]),"")&amp;"",IF(_xlpm.t&lt;&gt;"",_xlpm.t,IF(ISNUMBER(SEARCH("ИБП",DH173)),"ИБП",IF(ISNUMBER(SEARCH("ДГУ",DH173)),"ДГУ","Ввод "&amp;DI173)))))</f>
        <v>Ввод 1</v>
      </c>
      <c r="DK173" t="str">
        <f t="shared" si="211"/>
        <v>Ввод 1</v>
      </c>
      <c r="DL173" t="str">
        <f>IF(D173="","",IF(OR(DJ173="ИБП",DJ173="ДГУ"),"I особая",IF(DJ173="Одиночная","III",_xlfn.XLOOKUP(A173,Щиты[Щит],Щиты[Категория шины «Ввод»],"III"))))</f>
        <v>II</v>
      </c>
      <c r="DM173">
        <f>IF(D173="",0,IFERROR(MATCH(DE173,{"III","II","I","I особая"},0),1))</f>
        <v>2</v>
      </c>
      <c r="DN173">
        <f t="shared" si="212"/>
        <v>2</v>
      </c>
      <c r="DO173" t="str">
        <f>IF(D173="","",IF(DM173&gt;IFERROR(MATCH(DL173,{"III","II","I","I особая"},0),1),"НЕ ОБЕСПЕЧЕНА","ОК"))</f>
        <v>ОК</v>
      </c>
      <c r="DP173" t="str">
        <f>IF(A173="","",_xlfn.XLOOKUP(A173,Щиты[Щит],Щиты[Путь],""))</f>
        <v>|ГРЩ-ЖД|ЩР-001|</v>
      </c>
      <c r="DQ173" t="str">
        <f>IF(D173="","",IF(Z173&lt;&gt;"",Z173,IF(IFERROR(_xlfn.XLOOKUP(AT173,Коды_код,Коды_вид)&amp;"","")="","Прочее",_xlfn.XLOOKUP(AT173,Коды_код,Коды_вид)&amp;"")))</f>
        <v>Розеточная сеть и бытовые приборы</v>
      </c>
      <c r="DR173">
        <f>IF(BD173="","",INT((BD173-1)/Столбцов_на_лист)+1)</f>
        <v>2</v>
      </c>
      <c r="DS173" t="str">
        <f t="shared" si="213"/>
        <v>ВВГнг(А)-LS (3х2,5) L=71-1,16%</v>
      </c>
      <c r="DT173">
        <f t="shared" si="214"/>
        <v>0.48</v>
      </c>
      <c r="DU173">
        <f t="shared" si="215"/>
        <v>2.19</v>
      </c>
      <c r="DV173">
        <f t="shared" si="216"/>
        <v>1</v>
      </c>
      <c r="DW173">
        <f>IF(AT173="",0,_xlfn.LET(_xlpm.v,IFERROR(VLOOKUP(D173,УГО_спр,3,FALSE),IFERROR(VLOOKUP(AT173,УГО_спр,3,FALSE),IFERROR(VLOOKUP(LEFT(AT173,2),УГО_спр,3,FALSE),""))),IF(_xlpm.v="да",30,IF(ISNUMBER(_xlpm.v),_xlpm.v,0))))</f>
        <v>30</v>
      </c>
      <c r="DX173">
        <f t="shared" si="217"/>
        <v>0</v>
      </c>
      <c r="DY173">
        <f>IF(BD173="","",IF(AD173&lt;&gt;"",COUNTIFS(A$3:A173,A173,AD$3:AD173,"?*"),IF(OR(OR(AS173=1,A173&lt;&gt;A172),AL173="вручную"),"",IF(AS173=1,"",DZ172))))</f>
        <v>19</v>
      </c>
      <c r="DZ173">
        <f t="shared" si="218"/>
        <v>19</v>
      </c>
      <c r="EA173">
        <f>IF(D173="",0,MAX(IFERROR(--X173,0),IFERROR(--VLOOKUP(D173,УГО_спр,4,FALSE),IFERROR(--VLOOKUP(AT173,УГО_спр,4,FALSE),IFERROR(--VLOOKUP(LEFT(AT173,2),УГО_спр,4,FALSE),0)))))</f>
        <v>16</v>
      </c>
      <c r="EB173">
        <f>IF(D173="","",IFERROR(LOOKUP(INDEX(CHOOSE(BR173,Iдоп_1ж,Iдоп_2ж,Iдоп_3ж),MATCH(BS173,Iдоп_S,0))*BP173*BQ173,{6,10,16,20,25,32,40,50,63,80,100,125,160,200,250,315,400,500,630}),""))</f>
        <v>25</v>
      </c>
      <c r="EC173">
        <f>IF(AD173="","",SUMIFS(Линии[_Ток схемы],Линии[_гр.],DY173,Линии[Щит],A173,Линии[_в кабель выше],0))</f>
        <v>2.19</v>
      </c>
      <c r="ED173">
        <f>IF(AD173="","",IFERROR(VLOOKUP(EC173,Автомат_номиналы,2,TRUE),""))</f>
        <v>6</v>
      </c>
      <c r="EE173">
        <f>IF(AD173="","",MAX(N(ED173),_xlfn.MAXIFS(Линии[_мин. по типу],Линии[_гр.],DY173,Линии[Щит],A173)))</f>
        <v>16</v>
      </c>
      <c r="EF173">
        <f>IF(AD173="","",_xlfn.MINIFS(Линии[_макс. автомат по кабелю],Линии[_гр.],DY173,Линии[Щит],A173))</f>
        <v>25</v>
      </c>
      <c r="EG173">
        <f>IF(AD173="","",MAX(1,_xlfn.MAXIFS(Линии[_фаз],Линии[_гр.],DY173,Линии[Щит],A173)))</f>
        <v>1</v>
      </c>
      <c r="EH173">
        <f>IF(AD173="","",IF(AND(AD173&lt;&gt;"авто",AD173&lt;&gt;"+"),IF(ISNUMBER(SEARCH("мА",AD173)),IFERROR(--TRIM(RIGHT(SUBSTITUTE(LEFT(AD173,SEARCH("мА",AD173)-1)," ",REPT(" ",9)),6)),30),0),IF(AE173="нет",0,IF(ISNUMBER(AE173),AE173,IF(AE173="да",30,_xlfn.MINIFS(Линии[_дифзащита по коду, мА],Линии[_гр.],DY173,Линии[Щит],A173,Линии[_дифзащита по коду, мА],"&gt;0"))))))</f>
        <v>30</v>
      </c>
      <c r="EI173">
        <f t="shared" si="219"/>
        <v>1</v>
      </c>
      <c r="EJ173" t="str">
        <f t="shared" si="220"/>
        <v>QFD19</v>
      </c>
      <c r="EK173" t="str">
        <f t="shared" si="221"/>
        <v>QFD19</v>
      </c>
      <c r="EL173" t="str">
        <f t="shared" si="222"/>
        <v/>
      </c>
      <c r="EM173">
        <f t="shared" si="223"/>
        <v>0</v>
      </c>
      <c r="EN173">
        <f>IF(AD173="","",IF(EM173=1,MAX(EE173,Мин_автомат_БП),EE173))</f>
        <v>16</v>
      </c>
      <c r="EO173" t="str">
        <f t="shared" si="224"/>
        <v>2P</v>
      </c>
      <c r="EP173" t="str">
        <f t="shared" si="225"/>
        <v>2P С16А 30мА</v>
      </c>
      <c r="EQ173">
        <f t="shared" si="226"/>
        <v>16</v>
      </c>
      <c r="ER173" t="str">
        <f>IF(OR(AI173="",AI173="-"),"",IFERROR(VLOOKUP(AI173,Модули_спр,2,FALSE),"R"))</f>
        <v/>
      </c>
      <c r="ES173" t="str">
        <f>IF(ER173="","",ER173&amp;"."&amp;COUNTIFS(A$3:A173,A173,ER$3:ER173,ER173))</f>
        <v/>
      </c>
      <c r="ET173" t="str">
        <f t="shared" si="227"/>
        <v/>
      </c>
      <c r="EU173" t="str">
        <f t="shared" si="228"/>
        <v/>
      </c>
      <c r="EV173" t="str">
        <f t="shared" si="229"/>
        <v/>
      </c>
      <c r="EW173" t="str">
        <f t="shared" si="230"/>
        <v/>
      </c>
      <c r="EX173">
        <f t="shared" si="231"/>
        <v>1</v>
      </c>
      <c r="EY173" t="str">
        <f>IF(AK173="нет","",IF(AK173&lt;&gt;"",AK173,IF(EX173=1,"XT"&amp;COUNTIFS(A$3:A173,A173,EX$3:EX173,1),"")))</f>
        <v/>
      </c>
      <c r="EZ173" t="str">
        <f t="shared" si="232"/>
        <v>QFD19</v>
      </c>
      <c r="FA173" t="str">
        <f t="shared" si="233"/>
        <v/>
      </c>
      <c r="FB173" t="str">
        <f t="shared" si="234"/>
        <v>ok</v>
      </c>
      <c r="FC173" t="str">
        <f>IF(OR(EV173="",ET173=""),"",IF(EV173&gt;IFERROR(VLOOKUP(EU173,Модули_спр,3,FALSE),99),"ЛИШНИЙ КАНАЛ",IF(AND(AJ173&lt;&gt;"=",COUNTIFS(Линии[_модуль гр.],ET173,Линии[Канал (итог)],EV173,Линии[Канал],"&lt;&gt;=",Линии[Щит],A173)&gt;1),"ДУБЛЬ КАНАЛА","")))</f>
        <v/>
      </c>
      <c r="FD173">
        <f t="shared" si="235"/>
        <v>16</v>
      </c>
      <c r="FE173" t="str">
        <f t="shared" si="236"/>
        <v>2P С16А 30мА</v>
      </c>
      <c r="FF173">
        <f t="shared" si="237"/>
        <v>1</v>
      </c>
      <c r="FG173">
        <f t="shared" si="238"/>
        <v>30</v>
      </c>
      <c r="FH173" t="str">
        <f t="shared" si="239"/>
        <v/>
      </c>
      <c r="FI173">
        <f t="shared" si="240"/>
        <v>10</v>
      </c>
      <c r="FJ173" t="str">
        <f t="shared" si="241"/>
        <v/>
      </c>
      <c r="FK173" t="str">
        <f>IF(AND(D173="",EZ173=""),"",_xlfn.TEXTJOIN("; ",TRUE,IF(AND(D173&lt;&gt;"",DD173=""),"нет фазы",""),IF(AND(D173&lt;&gt;"",N(DT173)=0,CN173&lt;&gt;"Нет"),"нет мощности",""),IF(AND(EY173&lt;&gt;"",COUNTIFS(Линии[Щит],A173,Линии[Клемма (итог)],EY173)&gt;1),"дубль клеммы "&amp;EY173,""),IF(AND(FB173&lt;&gt;"",FB173&lt;&gt;"ok"),FB173,""),IF(FC173&lt;&gt;"",FC173,""),IF(AND(ISNUMBER(SEARCH("(5х",DS173)),N(DV173)=1),"5 жил на 1 фазе",""),IF(AND(AT173="R",AD173&lt;&gt;"",OR(N(EH173)=0,N(EH173)&gt;30)),"розетка без дифзащиты до 30 мА",""),IFERROR(IF(AND(ISNUMBER(CD173),CD173&gt;CE173),"потери "&amp;FIXED(CD173,1)&amp;" % &gt; "&amp;CE173&amp;" %",""),""),IFERROR(IF(LEFT(FJ173,4)="мало","Iкз мало — отключение &gt; 0,4 с",""),""),IF(AND(D173&lt;&gt;"",BD173=""),"не на схеме","")))</f>
        <v/>
      </c>
      <c r="FL173">
        <f>IF(AD173="","",_xlfn.LET(_xlpm.t,IFERROR(_xlfn.XLOOKUP(EP173,Каталог!$U$4:$U$500,Каталог!$G$4:$G$500),""),_xlpm.k,SEARCH("кА",_xlpm.t),IFERROR(--TRIM(RIGHT(SUBSTITUTE(MID(_xlpm.t,MAX(1,_xlpm.k-4),_xlpm.k-MAX(1,_xlpm.k-4))," ",REPT(" ",9)),5)),"")))</f>
        <v>6</v>
      </c>
      <c r="FM173" t="str">
        <f>IF(OR(FL173="",AD173=""),"",IF(_xlfn.XLOOKUP(A173,Щиты[Щит],Щиты[Iкз max на шинах, кА],"")="","",IF(FL173&lt;_xlfn.XLOOKUP(A173,Щиты[Щит],Щиты[Iкз max на шинах, кА]),"Icu "&amp;FL173&amp;" кА &lt; Iкз max","ok")))</f>
        <v/>
      </c>
      <c r="FN173" t="str">
        <f t="shared" si="242"/>
        <v>QFD19</v>
      </c>
      <c r="FO173" t="str">
        <f t="shared" si="243"/>
        <v>QFD19|кабель ВВГнг(А)-LS (3х2,5) → Розеточная группа Подвальный этаж Пом. №005Б</v>
      </c>
      <c r="FP173" t="str" cm="1">
        <f t="array" ref="FP173">IF(FO173="","",_xlfn.LET(_xlpm.nd,_xlfn.TEXTSPLIT(FO173,"|"),IF(COLUMNS(_xlpm.nd)&gt;1,A173&amp;"¦"&amp;INDEX(_xlpm.nd,1)&amp;"¦"&amp;INDEX(_xlpm.nd,2),"")))</f>
        <v>ЩР-001¦QFD19¦кабель ВВГнг(А)-LS (3х2,5) → Розеточная группа Подвальный этаж Пом. №005Б</v>
      </c>
      <c r="FQ173" t="str">
        <f t="shared" si="244"/>
        <v>R.00.005Б.1¦Розеточная группа Подвальный этаж Пом. №005Б</v>
      </c>
      <c r="FR173" t="str" cm="1">
        <f t="array" ref="FR173">IF(FO173="","",_xlfn.LET(_xlpm.nd,_xlfn.TEXTSPLIT(FO173,"|"),IF(COLUMNS(_xlpm.nd)&gt;2,A173&amp;"¦"&amp;INDEX(_xlpm.nd,2)&amp;"¦"&amp;INDEX(_xlpm.nd,3),"")))</f>
        <v/>
      </c>
      <c r="FS173" t="str">
        <f t="shared" si="245"/>
        <v/>
      </c>
      <c r="FT173" t="str" cm="1">
        <f t="array" ref="FT173">IF(FO173="","",_xlfn.LET(_xlpm.nd,_xlfn.TEXTSPLIT(FO173,"|"),IF(COLUMNS(_xlpm.nd)&gt;3,A173&amp;"¦"&amp;INDEX(_xlpm.nd,3)&amp;"¦"&amp;INDEX(_xlpm.nd,4),"")))</f>
        <v/>
      </c>
      <c r="FU173" t="str">
        <f t="shared" si="246"/>
        <v/>
      </c>
      <c r="FV173" t="str" cm="1">
        <f t="array" ref="FV173">IF(FO173="","",_xlfn.LET(_xlpm.nd,_xlfn.TEXTSPLIT(FO173,"|"),IF(COLUMNS(_xlpm.nd)&gt;4,A173&amp;"¦"&amp;INDEX(_xlpm.nd,4)&amp;"¦"&amp;INDEX(_xlpm.nd,5),"")))</f>
        <v/>
      </c>
      <c r="FW173" t="str">
        <f t="shared" si="247"/>
        <v/>
      </c>
      <c r="FX173" t="str" cm="1">
        <f t="array" ref="FX173">IF(FO173="","",_xlfn.LET(_xlpm.nd,_xlfn.TEXTSPLIT(FO173,"|"),IF(COLUMNS(_xlpm.nd)&gt;5,A173&amp;"¦"&amp;INDEX(_xlpm.nd,5)&amp;"¦"&amp;INDEX(_xlpm.nd,6),"")))</f>
        <v/>
      </c>
      <c r="FY173" t="str">
        <f t="shared" si="248"/>
        <v/>
      </c>
      <c r="FZ173" t="str" cm="1">
        <f t="array" ref="FZ173">IF(FO173="","",_xlfn.LET(_xlpm.nd,_xlfn.TEXTSPLIT(FO173,"|"),IF(COLUMNS(_xlpm.nd)&gt;6,A173&amp;"¦"&amp;INDEX(_xlpm.nd,6)&amp;"¦"&amp;INDEX(_xlpm.nd,7),"")))</f>
        <v/>
      </c>
      <c r="GA173" t="str">
        <f t="shared" si="249"/>
        <v/>
      </c>
      <c r="GB173" t="str">
        <f t="shared" si="250"/>
        <v/>
      </c>
      <c r="GC173" t="str">
        <f t="shared" si="251"/>
        <v>QFD19</v>
      </c>
      <c r="GD173">
        <f t="shared" si="252"/>
        <v>1</v>
      </c>
      <c r="GE173">
        <f t="shared" si="253"/>
        <v>0</v>
      </c>
      <c r="GF173">
        <f t="shared" si="254"/>
        <v>1</v>
      </c>
      <c r="GG173" t="str">
        <f t="shared" si="255"/>
        <v/>
      </c>
      <c r="GH173" t="str">
        <f t="shared" si="256"/>
        <v/>
      </c>
      <c r="GI173" t="str">
        <f t="shared" si="257"/>
        <v/>
      </c>
      <c r="GJ173" t="str">
        <f t="shared" si="258"/>
        <v/>
      </c>
      <c r="GK173" t="str">
        <f>IF(D173="","",IFERROR(VLOOKUP(D173,УГО_спр,2,FALSE),IFERROR(VLOOKUP(AT173,УГО_спр,2,FALSE),IFERROR(VLOOKUP(LEFT(AT173,2),УГО_спр,2,FALSE),""))))</f>
        <v>Розетка</v>
      </c>
      <c r="GL173" t="str">
        <f>IF(D173="","",IF(OR(GK173="",GK173=0),"BOX",IFERROR(IF(VLOOKUP(GK173,УГО_блоки,3,FALSE)&amp;""&lt;&gt;"",VLOOKUP(GK173,УГО_блоки,3,FALSE),VLOOKUP(GK173,УГО_блоки,2,FALSE)),GK173)))</f>
        <v>SOCKET</v>
      </c>
      <c r="GM173">
        <f t="shared" si="259"/>
        <v>1</v>
      </c>
      <c r="GN173" t="str">
        <f>IF(EP173="","",IF(COUNTIF(EP$3:EP173,EP173)=1,MAX(GN$2:GN172)+1,""))</f>
        <v/>
      </c>
      <c r="GO173" t="str">
        <f>IF(AF173="","",IF(COUNTIF(AF$3:AF173,AF173)+COUNTIF(AG$2:AG172,AF173)+COUNTIF(AH$2:AH172,AF173)=1,MAX(GO$2:GQ172)+1,""))</f>
        <v/>
      </c>
      <c r="GP173" t="str">
        <f>IF(AG173="","",IF(COUNTIF(AF$3:AF173,AG173)+COUNTIF(AG$3:AG173,AG173)+COUNTIF(AH$2:AH172,AG173)=1,MAX(GO$2:GQ172,GO173)+1,""))</f>
        <v/>
      </c>
      <c r="GQ173" t="str">
        <f>IF(AH173="","",IF(COUNTIF(AF$3:AF173,AH173)+COUNTIF(AG$3:AG173,AH173)+COUNTIF(AH$3:AH173,AH173)=1,MAX(GO$2:GQ172,GO173,GP173)+1,""))</f>
        <v/>
      </c>
      <c r="GR173" t="str">
        <f t="shared" si="260"/>
        <v>3х2,5</v>
      </c>
      <c r="GS173" t="str">
        <f>IF(GR173="","",IF(COUNTIF(GR$3:GR173,GR173)=1,MAX(GS$2:GS172)+1,""))</f>
        <v/>
      </c>
      <c r="GT173" t="str">
        <f>IF(ES173="","",COUNTIF(ES$3:ES173,"?*"))</f>
        <v/>
      </c>
      <c r="GU173" t="str">
        <f>IF(OR(ES173="",EU173=""),"",IF(COUNTIFS(ES$3:ES173,"?*",EU$3:EU173,EU173)=1,MAX(GU$2:GU172)+1,""))</f>
        <v/>
      </c>
      <c r="GV173">
        <f t="shared" si="261"/>
        <v>0</v>
      </c>
      <c r="GW173">
        <f>IF(D173="","",COUNTIF(D$3:D173,"?*"))</f>
        <v>171</v>
      </c>
      <c r="GX173">
        <f>IF(EX173&lt;&gt;1,0,_xlfn.LET(_xlpm.k,MAX(IFERROR(--VLOOKUP(D173,УГО_спр,5,FALSE),0),IFERROR(--VLOOKUP(AT173,УГО_спр,5,FALSE),0),IFERROR(--VLOOKUP(LEFT(AT173,2),УГО_спр,5,FALSE),0)),IF(_xlpm.k&gt;0,_xlpm.k,IF(IFERROR(--LEFT(SUBSTITUTE(GR173,"x","х"),FIND("х",SUBSTITUTE(GR173,"x","х"))-1),3)&gt;3,Каталог!$S$9,1))))</f>
        <v>1</v>
      </c>
      <c r="GY173">
        <f t="shared" si="262"/>
        <v>0</v>
      </c>
    </row>
    <row r="174" spans="1:207" x14ac:dyDescent="0.3">
      <c r="A174" t="s">
        <v>758</v>
      </c>
      <c r="B174">
        <v>29</v>
      </c>
      <c r="C174" t="str">
        <f>IF(BD174="","",IF(BE174="вводной узел","узел ","")&amp;"л."&amp;(INT((BD174-1)/Столбцов_на_лист)+1)&amp;" / "&amp;(MOD(BD174-1,Столбцов_на_лист)+1))</f>
        <v>л.2 / 12</v>
      </c>
      <c r="D174" t="s">
        <v>1478</v>
      </c>
      <c r="E174" s="133" t="str">
        <f t="shared" si="263"/>
        <v>Розеточная группа Подвальный этаж Пом. №009Б</v>
      </c>
      <c r="G174">
        <v>0.12</v>
      </c>
      <c r="H174">
        <v>2</v>
      </c>
      <c r="I174">
        <v>1</v>
      </c>
      <c r="J174">
        <v>230</v>
      </c>
      <c r="K174" t="s">
        <v>566</v>
      </c>
      <c r="O174">
        <v>2</v>
      </c>
      <c r="P174">
        <v>20</v>
      </c>
      <c r="Q174">
        <v>11</v>
      </c>
      <c r="R174">
        <v>14</v>
      </c>
      <c r="S174">
        <v>4</v>
      </c>
      <c r="U174" t="s">
        <v>11</v>
      </c>
      <c r="V174">
        <v>3</v>
      </c>
      <c r="W174">
        <v>2.5</v>
      </c>
      <c r="X174">
        <v>16</v>
      </c>
      <c r="Z174" t="s">
        <v>565</v>
      </c>
      <c r="AA174" t="s">
        <v>818</v>
      </c>
      <c r="AD174" t="s">
        <v>517</v>
      </c>
      <c r="AK174" t="s">
        <v>488</v>
      </c>
      <c r="AR174" t="str">
        <f t="shared" si="176"/>
        <v/>
      </c>
      <c r="AS174" cm="1">
        <f t="array" ref="AS174">ROW()-ROW(Линии[#Headers])</f>
        <v>172</v>
      </c>
      <c r="AT174" t="str">
        <f t="shared" si="177"/>
        <v>R</v>
      </c>
      <c r="AU174" t="str">
        <f t="shared" si="178"/>
        <v>00.009Б.1</v>
      </c>
      <c r="AV174" t="str">
        <f t="shared" si="179"/>
        <v>00</v>
      </c>
      <c r="AW174" t="str">
        <f t="shared" si="180"/>
        <v>009Б.1</v>
      </c>
      <c r="AX174" t="str">
        <f t="shared" si="181"/>
        <v>009Б</v>
      </c>
      <c r="AY174" t="str">
        <f>IF(D174="","",IF(ISERROR(SEARCH(".",D174)),IFERROR(VLOOKUP(D174,Потребители_обозначение,2,FALSE)&amp;"",""),IFERROR(IF(VLOOKUP(AT174,Потребители_обозначение,4,FALSE)=1,VLOOKUP(AT174,Потребители_обозначение,2,FALSE)&amp;" "&amp;VLOOKUP(AV174,Этаж_обозначение,2,FALSE)&amp;" Пом. №"&amp;AX174,VLOOKUP(AT174,Потребители_обозначение,2,FALSE)&amp;" Шлейф №"&amp;AV174),IFERROR(VLOOKUP(D174,Потребители_обозначение,2,FALSE),""))))</f>
        <v>Розеточная группа Подвальный этаж Пом. №009Б</v>
      </c>
      <c r="AZ174" t="str">
        <f t="shared" si="182"/>
        <v>Розеточная группа Подвальный этаж Пом. №009Б</v>
      </c>
      <c r="BA174" t="str">
        <f>IF(F174&lt;&gt;"",F174,IF(AND(D174&lt;&gt;"",D174&lt;&gt;A174,ISNUMBER(_xlfn.XMATCH(D174,Щиты[Щит]))),D174,""))</f>
        <v/>
      </c>
      <c r="BB174">
        <f>IFERROR(_xlfn.XMATCH(A174,Щиты[Щит]),0)</f>
        <v>8</v>
      </c>
      <c r="BC174">
        <f>IFERROR(N(_xlfn.XLOOKUP(A174,Щиты[Щит],Щиты[Мест под вводной узел])),15)</f>
        <v>7</v>
      </c>
      <c r="BD174">
        <f t="shared" si="183"/>
        <v>29</v>
      </c>
      <c r="BE174" t="str">
        <f t="shared" si="184"/>
        <v>линии</v>
      </c>
      <c r="BF174">
        <f>IF(D174="","",IF(BA174&lt;&gt;"",IFERROR(_xlfn.XLOOKUP(BA174,Щиты[Щит],Щиты[Руст, кВт]),0),N(G174)))</f>
        <v>0.12</v>
      </c>
      <c r="BG174">
        <f>IF(J174&lt;&gt;"",J174,IF(D174="","",IFERROR(IF(VLOOKUP(AT174,Потребители_обозначение,8,FALSE)=0,"",VLOOKUP(AT174,Потребители_обозначение,8,FALSE)),"")))</f>
        <v>230</v>
      </c>
      <c r="BH174">
        <f>IF(I174&lt;&gt;"",I174,IF(D174="","",IFERROR(IF(VLOOKUP(AT174,Потребители_обозначение,9,FALSE)=0,"",VLOOKUP(AT174,Потребители_обозначение,9,FALSE)),"")))</f>
        <v>1</v>
      </c>
      <c r="BI174" t="str">
        <f>IF(U174&lt;&gt;"",U174,IF(D174="","",IFERROR(IF(VLOOKUP(AT174,Потребители_обозначение,6,FALSE)=0,"",VLOOKUP(AT174,Потребители_обозначение,6,FALSE)),"")))</f>
        <v>мс</v>
      </c>
      <c r="BJ174">
        <f>IF(V174&lt;&gt;"",V174,IF(D174="","",IFERROR(IF(VLOOKUP(AT174,Потребители_обозначение,7,FALSE)=0,"",VLOOKUP(AT174,Потребители_обозначение,7,FALSE)),"")))</f>
        <v>3</v>
      </c>
      <c r="BK174">
        <f>IF(W174&lt;&gt;"",W174,IF(D174="","",IFERROR(IF(VLOOKUP(AT174,Потребители_обозначение,10,FALSE)=0,"",VLOOKUP(AT174,Потребители_обозначение,10,FALSE)),"")))</f>
        <v>2.5</v>
      </c>
      <c r="BL174">
        <f>IFERROR(VLOOKUP(AT174,Потребители_обозначение,5,FALSE),0)</f>
        <v>1</v>
      </c>
      <c r="BM174" cm="1">
        <f t="array" ref="BM174">IF(D174="","",IF(BA174&lt;&gt;"",IFERROR(_xlfn.XLOOKUP(BA174,Щиты[Щит],Щиты[cos φ]),0.95),IF(ISNUMBER(M174),M174,IFERROR(IF(BL174=2,_xlfn.IFS(BH174=3,VLOOKUP(BF174,Справочная_двигатели,8,FALSE),BH174=1,VLOOKUP(BF174,Справочная_двигатели,10,TRUE)),IF(AND(Методика="нормы 2026",CN174="Сил"),0.8,0.95)),0.95))))</f>
        <v>0.95</v>
      </c>
      <c r="BN174" cm="1">
        <f t="array" ref="BN174">IF(D174="","",IF(BA174&lt;&gt;"",IFERROR(_xlfn.XLOOKUP(BA174,Щиты[Щит],Щиты[Iр, А]),""),IFERROR(_xlfn.IFS(BH174=1,BF174/((Uн_лин/SQRT(3))*BM174),BH174=3,BF174/(SQRT(3)*Uн_лин*BM174)),"")))</f>
        <v>0.54696341291648753</v>
      </c>
      <c r="BO174">
        <f>IF(D174="","",IF(N(X174)=0,IFERROR(VLOOKUP(BN174,Автомат_номиналы,2,TRUE),""),X174))</f>
        <v>16</v>
      </c>
      <c r="BP174">
        <f t="shared" si="185"/>
        <v>1</v>
      </c>
      <c r="BQ174">
        <f>IF(ISNUMBER(Y174),Y174,К_прокл)</f>
        <v>1</v>
      </c>
      <c r="BR174">
        <f t="shared" si="186"/>
        <v>2</v>
      </c>
      <c r="BS174" cm="1">
        <f t="array" ref="BS174">IF(D174="","",IF(N(BK174)&lt;&gt;0,BK174,IFERROR(_xlfn.LET(_xlpm.need,BO174/(BP174*BQ174),_xlpm.t,CHOOSE(BR174,Iдоп_1ж,Iдоп_2ж,Iдоп_3ж),_xlpm.k,_xlfn.XMATCH(_xlpm.need,_xlpm.t,1),IF(ISNA(_xlpm.k),"Не исп",INDEX(Iдоп_S,_xlpm.k))),"Не исп")))</f>
        <v>2.5</v>
      </c>
      <c r="BT174">
        <f>IFERROR(VLOOKUP(BS174,Кабель_сопротивление,3,FALSE),"")</f>
        <v>2.2499999999999999E-2</v>
      </c>
      <c r="BU174">
        <f>IFERROR(VLOOKUP(BS174,Кабель_сопротивление,2,FALSE),"")</f>
        <v>0.1</v>
      </c>
      <c r="BV174">
        <f t="shared" si="187"/>
        <v>20</v>
      </c>
      <c r="BW174">
        <f>IF(D174="","",IFERROR(IF(VLOOKUP(AT174,Потребители_обозначение,4,FALSE)=1,VLOOKUP(AT174,Потребители_обозначение,3,FALSE)*(H174*2-1)+BV174+VLOOKUP(AV174,Этаж_обозначение,3,FALSE)+VLOOKUP(AV174,Этаж_обозначение,4,FALSE),VLOOKUP(AT174,Потребители_обозначение,3,FALSE)*(H174*2-1)+BV174),BV174))</f>
        <v>29</v>
      </c>
      <c r="BX174">
        <f t="shared" si="188"/>
        <v>14</v>
      </c>
      <c r="BY174">
        <f t="shared" si="189"/>
        <v>4</v>
      </c>
      <c r="BZ174">
        <f t="shared" si="190"/>
        <v>2</v>
      </c>
      <c r="CA174">
        <f t="shared" si="191"/>
        <v>0.31</v>
      </c>
      <c r="CB174">
        <f t="shared" si="192"/>
        <v>0.27222259668171001</v>
      </c>
      <c r="CC174">
        <f>IFERROR(ROUNDUP(CB174/((Uн_лин/SQRT(3))*1000)*100,2),"")</f>
        <v>0.12</v>
      </c>
      <c r="CD174">
        <f>IF(ISNUMBER(CC174),CC174+IFERROR(_xlfn.XLOOKUP(A174,Щиты[Щит],Щиты[ΔU до шин, %]),0),"")</f>
        <v>1.69</v>
      </c>
      <c r="CE174">
        <f>IF(D174="","",IF(IFERROR(VLOOKUP(AT174,УГО_спр,2,FALSE),"")="Светильник",3,4)+IF(Методика="нормы 2026",MIN(0.5,MAX(0,N(BW174)-100)*0.005),0))</f>
        <v>4</v>
      </c>
      <c r="CF174" t="str">
        <f>IFERROR(VLOOKUP(BI174,Кабель_обозначение,2,FALSE),"")</f>
        <v>ВВГнг(А)-LS</v>
      </c>
      <c r="CG174" t="str">
        <f>IFERROR(IF(VLOOKUP(BI174,Кабель_обозначение,3,FALSE)=1,CF174&amp;" ("&amp;BJ174&amp;"х"&amp;BS174&amp;")",CF174),"")</f>
        <v>ВВГнг(А)-LS (3х2,5)</v>
      </c>
      <c r="CH174" t="str">
        <f t="shared" si="193"/>
        <v>ВВГнг(А)-LS (3х2,5)
L=29-0,12%</v>
      </c>
      <c r="CI174">
        <f>IFERROR(2*ρкз_Cu*BW174/BS174,"")</f>
        <v>0.61016000000000004</v>
      </c>
      <c r="CJ174">
        <f t="shared" si="194"/>
        <v>0.20300000000000001</v>
      </c>
      <c r="CK174" t="str">
        <f>IFERROR(IF(OR(D174="",NOT(ISNUMBER(BS174)),N(BW174)=0),"",_xlfn.XLOOKUP(A174,Щиты[Щит],Щиты[Zпетли на шинах, Ом])+CI174),"")</f>
        <v/>
      </c>
      <c r="CL174" t="str">
        <f>IF(ISNUMBER(CK174),c_min*(Uн_лин*1000/SQRT(3))/CK174,"")</f>
        <v/>
      </c>
      <c r="CM174" t="str">
        <f>IFERROR(IF(OR(D174="",NOT(ISNUMBER(BS174))),"",1.05*(Uн_лин*1000/SQRT(3))/(_xlfn.XLOOKUP(A174,Щиты[Щит],Щиты[Zmax на шинах, Ом])+CJ174)/1000),"")</f>
        <v/>
      </c>
      <c r="CN174" t="str">
        <f>IF(D174="","",IF(BA174&lt;&gt;"","Щит",IF(K174&lt;&gt;"",K174,IF(ISNUMBER(L174),"Сил",IF(IFERROR(_xlfn.XLOOKUP(AT174,Коды_код,Коды_группа)&amp;"","")="","Быт",_xlfn.XLOOKUP(AT174,Коды_код,Коды_группа)&amp;"")))))</f>
        <v>Быт</v>
      </c>
      <c r="CO174">
        <f>IF(CN174="Щит","щит",IF(CN174="","",IF(CN174="Быт",IFERROR(_xlfn.XLOOKUP(A174,Щиты[Щит],Щиты[Кс быт]),1),IF(CN174="Сил",IF(ISNUMBER(L174),L174,IF(Методика="нормы 2026",IFERROR(_xlfn.XLOOKUP(A174,Щиты[Щит],Щиты[Кс силовых (табл. 7.5)]),1),1)),IF(OR(CN174="Пост",CN174="Отоп"),1,IF(CN174="ВНГ",0.7,0))))))</f>
        <v>0.8</v>
      </c>
      <c r="CP174">
        <f t="shared" si="195"/>
        <v>1</v>
      </c>
      <c r="CQ174">
        <f t="shared" si="196"/>
        <v>0.12</v>
      </c>
      <c r="CR174">
        <f t="shared" si="197"/>
        <v>0.12</v>
      </c>
      <c r="CS174">
        <f t="shared" si="198"/>
        <v>0</v>
      </c>
      <c r="CT174">
        <f t="shared" si="199"/>
        <v>0</v>
      </c>
      <c r="CU174">
        <f t="shared" si="200"/>
        <v>0</v>
      </c>
      <c r="CV174">
        <f t="shared" si="201"/>
        <v>0</v>
      </c>
      <c r="CW174">
        <f t="shared" si="202"/>
        <v>0.12</v>
      </c>
      <c r="CX174">
        <f t="shared" si="203"/>
        <v>0.11399999999999999</v>
      </c>
      <c r="CY174">
        <f t="shared" si="204"/>
        <v>2</v>
      </c>
      <c r="CZ174" t="str">
        <f t="shared" si="205"/>
        <v>L2</v>
      </c>
      <c r="DA174" cm="1">
        <f t="array" ref="DA174">IFERROR(IF(BL174=2,_xlfn.IFS(BH174=3,VLOOKUP(BF174,Справочная_двигатели,3,FALSE),BH174=1,VLOOKUP(BF174,Справочная_двигатели,5,TRUE)),0),0)</f>
        <v>0</v>
      </c>
      <c r="DB174">
        <f>IFERROR(IF(BL174=3,VLOOKUP(BF174,Справочная_ЛЭД,2,TRUE),0),0)</f>
        <v>0</v>
      </c>
      <c r="DC174">
        <f t="shared" si="206"/>
        <v>0</v>
      </c>
      <c r="DD174" t="str">
        <f t="shared" si="207"/>
        <v>L2</v>
      </c>
      <c r="DE174" t="str" cm="1">
        <f t="array" ref="DE174">IF(D174="","",IFERROR(INDEX({"I особая","I","II","III"},MATCH(TRIM(AA174&amp;""),{"I особая","I","II","III"},0)),"III"))</f>
        <v>II</v>
      </c>
      <c r="DF174" t="str">
        <f>IF(D174="","",IF(TRIM(AB174&amp;"")&lt;&gt;"",IF(LOWER(TRIM(AB174&amp;""))="да","да","нет"),IF(IFERROR(_xlfn.XLOOKUP(AT174,Коды_код,Коды_пожарная),"")="да","да","нет")))</f>
        <v>нет</v>
      </c>
      <c r="DG174" t="str">
        <f t="shared" si="208"/>
        <v/>
      </c>
      <c r="DH174" t="str">
        <f t="shared" si="209"/>
        <v>основная</v>
      </c>
      <c r="DI174">
        <f t="shared" si="210"/>
        <v>1</v>
      </c>
      <c r="DJ174" t="str" cm="1">
        <f t="array" ref="DJ174">IF(D174="","",_xlfn.LET(_xlpm.t,IFERROR(_xlfn.XLOOKUP(1,(Шины[Шина]=DH174)*(((Шины[Щит]=A174)+(Шины[Щит]=""))&gt;0),Шины[Тип]),"")&amp;"",IF(_xlpm.t&lt;&gt;"",_xlpm.t,IF(ISNUMBER(SEARCH("ИБП",DH174)),"ИБП",IF(ISNUMBER(SEARCH("ДГУ",DH174)),"ДГУ","Ввод "&amp;DI174)))))</f>
        <v>Ввод 1</v>
      </c>
      <c r="DK174" t="str">
        <f t="shared" si="211"/>
        <v>Ввод 1</v>
      </c>
      <c r="DL174" t="str">
        <f>IF(D174="","",IF(OR(DJ174="ИБП",DJ174="ДГУ"),"I особая",IF(DJ174="Одиночная","III",_xlfn.XLOOKUP(A174,Щиты[Щит],Щиты[Категория шины «Ввод»],"III"))))</f>
        <v>II</v>
      </c>
      <c r="DM174">
        <f>IF(D174="",0,IFERROR(MATCH(DE174,{"III","II","I","I особая"},0),1))</f>
        <v>2</v>
      </c>
      <c r="DN174">
        <f t="shared" si="212"/>
        <v>2</v>
      </c>
      <c r="DO174" t="str">
        <f>IF(D174="","",IF(DM174&gt;IFERROR(MATCH(DL174,{"III","II","I","I особая"},0),1),"НЕ ОБЕСПЕЧЕНА","ОК"))</f>
        <v>ОК</v>
      </c>
      <c r="DP174" t="str">
        <f>IF(A174="","",_xlfn.XLOOKUP(A174,Щиты[Щит],Щиты[Путь],""))</f>
        <v>|ГРЩ-ЖД|ЩР-001|</v>
      </c>
      <c r="DQ174" t="str">
        <f>IF(D174="","",IF(Z174&lt;&gt;"",Z174,IF(IFERROR(_xlfn.XLOOKUP(AT174,Коды_код,Коды_вид)&amp;"","")="","Прочее",_xlfn.XLOOKUP(AT174,Коды_код,Коды_вид)&amp;"")))</f>
        <v>Розеточная сеть и бытовые приборы</v>
      </c>
      <c r="DR174">
        <f>IF(BD174="","",INT((BD174-1)/Столбцов_на_лист)+1)</f>
        <v>2</v>
      </c>
      <c r="DS174" t="str">
        <f t="shared" si="213"/>
        <v>ВВГнг(А)-LS (3х2,5) L=29-0,12%</v>
      </c>
      <c r="DT174">
        <f t="shared" si="214"/>
        <v>0.12</v>
      </c>
      <c r="DU174">
        <f t="shared" si="215"/>
        <v>0.55000000000000004</v>
      </c>
      <c r="DV174">
        <f t="shared" si="216"/>
        <v>1</v>
      </c>
      <c r="DW174">
        <f>IF(AT174="",0,_xlfn.LET(_xlpm.v,IFERROR(VLOOKUP(D174,УГО_спр,3,FALSE),IFERROR(VLOOKUP(AT174,УГО_спр,3,FALSE),IFERROR(VLOOKUP(LEFT(AT174,2),УГО_спр,3,FALSE),""))),IF(_xlpm.v="да",30,IF(ISNUMBER(_xlpm.v),_xlpm.v,0))))</f>
        <v>30</v>
      </c>
      <c r="DX174">
        <f t="shared" si="217"/>
        <v>0</v>
      </c>
      <c r="DY174">
        <f>IF(BD174="","",IF(AD174&lt;&gt;"",COUNTIFS(A$3:A174,A174,AD$3:AD174,"?*"),IF(OR(OR(AS174=1,A174&lt;&gt;A173),AL174="вручную"),"",IF(AS174=1,"",DZ173))))</f>
        <v>20</v>
      </c>
      <c r="DZ174">
        <f t="shared" si="218"/>
        <v>20</v>
      </c>
      <c r="EA174">
        <f>IF(D174="",0,MAX(IFERROR(--X174,0),IFERROR(--VLOOKUP(D174,УГО_спр,4,FALSE),IFERROR(--VLOOKUP(AT174,УГО_спр,4,FALSE),IFERROR(--VLOOKUP(LEFT(AT174,2),УГО_спр,4,FALSE),0)))))</f>
        <v>16</v>
      </c>
      <c r="EB174">
        <f>IF(D174="","",IFERROR(LOOKUP(INDEX(CHOOSE(BR174,Iдоп_1ж,Iдоп_2ж,Iдоп_3ж),MATCH(BS174,Iдоп_S,0))*BP174*BQ174,{6,10,16,20,25,32,40,50,63,80,100,125,160,200,250,315,400,500,630}),""))</f>
        <v>25</v>
      </c>
      <c r="EC174">
        <f>IF(AD174="","",SUMIFS(Линии[_Ток схемы],Линии[_гр.],DY174,Линии[Щит],A174,Линии[_в кабель выше],0))</f>
        <v>0.55000000000000004</v>
      </c>
      <c r="ED174">
        <f>IF(AD174="","",IFERROR(VLOOKUP(EC174,Автомат_номиналы,2,TRUE),""))</f>
        <v>6</v>
      </c>
      <c r="EE174">
        <f>IF(AD174="","",MAX(N(ED174),_xlfn.MAXIFS(Линии[_мин. по типу],Линии[_гр.],DY174,Линии[Щит],A174)))</f>
        <v>16</v>
      </c>
      <c r="EF174">
        <f>IF(AD174="","",_xlfn.MINIFS(Линии[_макс. автомат по кабелю],Линии[_гр.],DY174,Линии[Щит],A174))</f>
        <v>25</v>
      </c>
      <c r="EG174">
        <f>IF(AD174="","",MAX(1,_xlfn.MAXIFS(Линии[_фаз],Линии[_гр.],DY174,Линии[Щит],A174)))</f>
        <v>1</v>
      </c>
      <c r="EH174">
        <f>IF(AD174="","",IF(AND(AD174&lt;&gt;"авто",AD174&lt;&gt;"+"),IF(ISNUMBER(SEARCH("мА",AD174)),IFERROR(--TRIM(RIGHT(SUBSTITUTE(LEFT(AD174,SEARCH("мА",AD174)-1)," ",REPT(" ",9)),6)),30),0),IF(AE174="нет",0,IF(ISNUMBER(AE174),AE174,IF(AE174="да",30,_xlfn.MINIFS(Линии[_дифзащита по коду, мА],Линии[_гр.],DY174,Линии[Щит],A174,Линии[_дифзащита по коду, мА],"&gt;0"))))))</f>
        <v>30</v>
      </c>
      <c r="EI174">
        <f t="shared" si="219"/>
        <v>1</v>
      </c>
      <c r="EJ174" t="str">
        <f t="shared" si="220"/>
        <v>QFD20</v>
      </c>
      <c r="EK174" t="str">
        <f t="shared" si="221"/>
        <v>QFD20</v>
      </c>
      <c r="EL174" t="str">
        <f t="shared" si="222"/>
        <v/>
      </c>
      <c r="EM174">
        <f t="shared" si="223"/>
        <v>0</v>
      </c>
      <c r="EN174">
        <f>IF(AD174="","",IF(EM174=1,MAX(EE174,Мин_автомат_БП),EE174))</f>
        <v>16</v>
      </c>
      <c r="EO174" t="str">
        <f t="shared" si="224"/>
        <v>2P</v>
      </c>
      <c r="EP174" t="str">
        <f t="shared" si="225"/>
        <v>2P С16А 30мА</v>
      </c>
      <c r="EQ174">
        <f t="shared" si="226"/>
        <v>16</v>
      </c>
      <c r="ER174" t="str">
        <f>IF(OR(AI174="",AI174="-"),"",IFERROR(VLOOKUP(AI174,Модули_спр,2,FALSE),"R"))</f>
        <v/>
      </c>
      <c r="ES174" t="str">
        <f>IF(ER174="","",ER174&amp;"."&amp;COUNTIFS(A$3:A174,A174,ER$3:ER174,ER174))</f>
        <v/>
      </c>
      <c r="ET174" t="str">
        <f t="shared" si="227"/>
        <v/>
      </c>
      <c r="EU174" t="str">
        <f t="shared" si="228"/>
        <v/>
      </c>
      <c r="EV174" t="str">
        <f t="shared" si="229"/>
        <v/>
      </c>
      <c r="EW174" t="str">
        <f t="shared" si="230"/>
        <v/>
      </c>
      <c r="EX174">
        <f t="shared" si="231"/>
        <v>1</v>
      </c>
      <c r="EY174" t="str">
        <f>IF(AK174="нет","",IF(AK174&lt;&gt;"",AK174,IF(EX174=1,"XT"&amp;COUNTIFS(A$3:A174,A174,EX$3:EX174,1),"")))</f>
        <v/>
      </c>
      <c r="EZ174" t="str">
        <f t="shared" si="232"/>
        <v>QFD20</v>
      </c>
      <c r="FA174" t="str">
        <f t="shared" si="233"/>
        <v/>
      </c>
      <c r="FB174" t="str">
        <f t="shared" si="234"/>
        <v>ok</v>
      </c>
      <c r="FC174" t="str">
        <f>IF(OR(EV174="",ET174=""),"",IF(EV174&gt;IFERROR(VLOOKUP(EU174,Модули_спр,3,FALSE),99),"ЛИШНИЙ КАНАЛ",IF(AND(AJ174&lt;&gt;"=",COUNTIFS(Линии[_модуль гр.],ET174,Линии[Канал (итог)],EV174,Линии[Канал],"&lt;&gt;=",Линии[Щит],A174)&gt;1),"ДУБЛЬ КАНАЛА","")))</f>
        <v/>
      </c>
      <c r="FD174">
        <f t="shared" si="235"/>
        <v>16</v>
      </c>
      <c r="FE174" t="str">
        <f t="shared" si="236"/>
        <v>2P С16А 30мА</v>
      </c>
      <c r="FF174">
        <f t="shared" si="237"/>
        <v>1</v>
      </c>
      <c r="FG174">
        <f t="shared" si="238"/>
        <v>30</v>
      </c>
      <c r="FH174" t="str">
        <f t="shared" si="239"/>
        <v/>
      </c>
      <c r="FI174">
        <f t="shared" si="240"/>
        <v>10</v>
      </c>
      <c r="FJ174" t="str">
        <f t="shared" si="241"/>
        <v/>
      </c>
      <c r="FK174" t="str">
        <f>IF(AND(D174="",EZ174=""),"",_xlfn.TEXTJOIN("; ",TRUE,IF(AND(D174&lt;&gt;"",DD174=""),"нет фазы",""),IF(AND(D174&lt;&gt;"",N(DT174)=0,CN174&lt;&gt;"Нет"),"нет мощности",""),IF(AND(EY174&lt;&gt;"",COUNTIFS(Линии[Щит],A174,Линии[Клемма (итог)],EY174)&gt;1),"дубль клеммы "&amp;EY174,""),IF(AND(FB174&lt;&gt;"",FB174&lt;&gt;"ok"),FB174,""),IF(FC174&lt;&gt;"",FC174,""),IF(AND(ISNUMBER(SEARCH("(5х",DS174)),N(DV174)=1),"5 жил на 1 фазе",""),IF(AND(AT174="R",AD174&lt;&gt;"",OR(N(EH174)=0,N(EH174)&gt;30)),"розетка без дифзащиты до 30 мА",""),IFERROR(IF(AND(ISNUMBER(CD174),CD174&gt;CE174),"потери "&amp;FIXED(CD174,1)&amp;" % &gt; "&amp;CE174&amp;" %",""),""),IFERROR(IF(LEFT(FJ174,4)="мало","Iкз мало — отключение &gt; 0,4 с",""),""),IF(AND(D174&lt;&gt;"",BD174=""),"не на схеме","")))</f>
        <v/>
      </c>
      <c r="FL174">
        <f>IF(AD174="","",_xlfn.LET(_xlpm.t,IFERROR(_xlfn.XLOOKUP(EP174,Каталог!$U$4:$U$500,Каталог!$G$4:$G$500),""),_xlpm.k,SEARCH("кА",_xlpm.t),IFERROR(--TRIM(RIGHT(SUBSTITUTE(MID(_xlpm.t,MAX(1,_xlpm.k-4),_xlpm.k-MAX(1,_xlpm.k-4))," ",REPT(" ",9)),5)),"")))</f>
        <v>6</v>
      </c>
      <c r="FM174" t="str">
        <f>IF(OR(FL174="",AD174=""),"",IF(_xlfn.XLOOKUP(A174,Щиты[Щит],Щиты[Iкз max на шинах, кА],"")="","",IF(FL174&lt;_xlfn.XLOOKUP(A174,Щиты[Щит],Щиты[Iкз max на шинах, кА]),"Icu "&amp;FL174&amp;" кА &lt; Iкз max","ok")))</f>
        <v/>
      </c>
      <c r="FN174" t="str">
        <f t="shared" si="242"/>
        <v>QFD20</v>
      </c>
      <c r="FO174" t="str">
        <f t="shared" si="243"/>
        <v>QFD20|кабель ВВГнг(А)-LS (3х2,5) → Розеточная группа Подвальный этаж Пом. №009Б</v>
      </c>
      <c r="FP174" t="str" cm="1">
        <f t="array" ref="FP174">IF(FO174="","",_xlfn.LET(_xlpm.nd,_xlfn.TEXTSPLIT(FO174,"|"),IF(COLUMNS(_xlpm.nd)&gt;1,A174&amp;"¦"&amp;INDEX(_xlpm.nd,1)&amp;"¦"&amp;INDEX(_xlpm.nd,2),"")))</f>
        <v>ЩР-001¦QFD20¦кабель ВВГнг(А)-LS (3х2,5) → Розеточная группа Подвальный этаж Пом. №009Б</v>
      </c>
      <c r="FQ174" t="str">
        <f t="shared" si="244"/>
        <v>R.00.009Б.1¦Розеточная группа Подвальный этаж Пом. №009Б</v>
      </c>
      <c r="FR174" t="str" cm="1">
        <f t="array" ref="FR174">IF(FO174="","",_xlfn.LET(_xlpm.nd,_xlfn.TEXTSPLIT(FO174,"|"),IF(COLUMNS(_xlpm.nd)&gt;2,A174&amp;"¦"&amp;INDEX(_xlpm.nd,2)&amp;"¦"&amp;INDEX(_xlpm.nd,3),"")))</f>
        <v/>
      </c>
      <c r="FS174" t="str">
        <f t="shared" si="245"/>
        <v/>
      </c>
      <c r="FT174" t="str" cm="1">
        <f t="array" ref="FT174">IF(FO174="","",_xlfn.LET(_xlpm.nd,_xlfn.TEXTSPLIT(FO174,"|"),IF(COLUMNS(_xlpm.nd)&gt;3,A174&amp;"¦"&amp;INDEX(_xlpm.nd,3)&amp;"¦"&amp;INDEX(_xlpm.nd,4),"")))</f>
        <v/>
      </c>
      <c r="FU174" t="str">
        <f t="shared" si="246"/>
        <v/>
      </c>
      <c r="FV174" t="str" cm="1">
        <f t="array" ref="FV174">IF(FO174="","",_xlfn.LET(_xlpm.nd,_xlfn.TEXTSPLIT(FO174,"|"),IF(COLUMNS(_xlpm.nd)&gt;4,A174&amp;"¦"&amp;INDEX(_xlpm.nd,4)&amp;"¦"&amp;INDEX(_xlpm.nd,5),"")))</f>
        <v/>
      </c>
      <c r="FW174" t="str">
        <f t="shared" si="247"/>
        <v/>
      </c>
      <c r="FX174" t="str" cm="1">
        <f t="array" ref="FX174">IF(FO174="","",_xlfn.LET(_xlpm.nd,_xlfn.TEXTSPLIT(FO174,"|"),IF(COLUMNS(_xlpm.nd)&gt;5,A174&amp;"¦"&amp;INDEX(_xlpm.nd,5)&amp;"¦"&amp;INDEX(_xlpm.nd,6),"")))</f>
        <v/>
      </c>
      <c r="FY174" t="str">
        <f t="shared" si="248"/>
        <v/>
      </c>
      <c r="FZ174" t="str" cm="1">
        <f t="array" ref="FZ174">IF(FO174="","",_xlfn.LET(_xlpm.nd,_xlfn.TEXTSPLIT(FO174,"|"),IF(COLUMNS(_xlpm.nd)&gt;6,A174&amp;"¦"&amp;INDEX(_xlpm.nd,6)&amp;"¦"&amp;INDEX(_xlpm.nd,7),"")))</f>
        <v/>
      </c>
      <c r="GA174" t="str">
        <f t="shared" si="249"/>
        <v/>
      </c>
      <c r="GB174" t="str">
        <f t="shared" si="250"/>
        <v/>
      </c>
      <c r="GC174" t="str">
        <f t="shared" si="251"/>
        <v>QFD20</v>
      </c>
      <c r="GD174">
        <f t="shared" si="252"/>
        <v>1</v>
      </c>
      <c r="GE174">
        <f t="shared" si="253"/>
        <v>0</v>
      </c>
      <c r="GF174">
        <f t="shared" si="254"/>
        <v>1</v>
      </c>
      <c r="GG174" t="str">
        <f t="shared" si="255"/>
        <v/>
      </c>
      <c r="GH174" t="str">
        <f t="shared" si="256"/>
        <v/>
      </c>
      <c r="GI174" t="str">
        <f t="shared" si="257"/>
        <v/>
      </c>
      <c r="GJ174" t="str">
        <f t="shared" si="258"/>
        <v/>
      </c>
      <c r="GK174" t="str">
        <f>IF(D174="","",IFERROR(VLOOKUP(D174,УГО_спр,2,FALSE),IFERROR(VLOOKUP(AT174,УГО_спр,2,FALSE),IFERROR(VLOOKUP(LEFT(AT174,2),УГО_спр,2,FALSE),""))))</f>
        <v>Розетка</v>
      </c>
      <c r="GL174" t="str">
        <f>IF(D174="","",IF(OR(GK174="",GK174=0),"BOX",IFERROR(IF(VLOOKUP(GK174,УГО_блоки,3,FALSE)&amp;""&lt;&gt;"",VLOOKUP(GK174,УГО_блоки,3,FALSE),VLOOKUP(GK174,УГО_блоки,2,FALSE)),GK174)))</f>
        <v>SOCKET</v>
      </c>
      <c r="GM174">
        <f t="shared" si="259"/>
        <v>1</v>
      </c>
      <c r="GN174" t="str">
        <f>IF(EP174="","",IF(COUNTIF(EP$3:EP174,EP174)=1,MAX(GN$2:GN173)+1,""))</f>
        <v/>
      </c>
      <c r="GO174" t="str">
        <f>IF(AF174="","",IF(COUNTIF(AF$3:AF174,AF174)+COUNTIF(AG$2:AG173,AF174)+COUNTIF(AH$2:AH173,AF174)=1,MAX(GO$2:GQ173)+1,""))</f>
        <v/>
      </c>
      <c r="GP174" t="str">
        <f>IF(AG174="","",IF(COUNTIF(AF$3:AF174,AG174)+COUNTIF(AG$3:AG174,AG174)+COUNTIF(AH$2:AH173,AG174)=1,MAX(GO$2:GQ173,GO174)+1,""))</f>
        <v/>
      </c>
      <c r="GQ174" t="str">
        <f>IF(AH174="","",IF(COUNTIF(AF$3:AF174,AH174)+COUNTIF(AG$3:AG174,AH174)+COUNTIF(AH$3:AH174,AH174)=1,MAX(GO$2:GQ173,GO174,GP174)+1,""))</f>
        <v/>
      </c>
      <c r="GR174" t="str">
        <f t="shared" si="260"/>
        <v>3х2,5</v>
      </c>
      <c r="GS174" t="str">
        <f>IF(GR174="","",IF(COUNTIF(GR$3:GR174,GR174)=1,MAX(GS$2:GS173)+1,""))</f>
        <v/>
      </c>
      <c r="GT174" t="str">
        <f>IF(ES174="","",COUNTIF(ES$3:ES174,"?*"))</f>
        <v/>
      </c>
      <c r="GU174" t="str">
        <f>IF(OR(ES174="",EU174=""),"",IF(COUNTIFS(ES$3:ES174,"?*",EU$3:EU174,EU174)=1,MAX(GU$2:GU173)+1,""))</f>
        <v/>
      </c>
      <c r="GV174">
        <f t="shared" si="261"/>
        <v>0</v>
      </c>
      <c r="GW174">
        <f>IF(D174="","",COUNTIF(D$3:D174,"?*"))</f>
        <v>172</v>
      </c>
      <c r="GX174">
        <f>IF(EX174&lt;&gt;1,0,_xlfn.LET(_xlpm.k,MAX(IFERROR(--VLOOKUP(D174,УГО_спр,5,FALSE),0),IFERROR(--VLOOKUP(AT174,УГО_спр,5,FALSE),0),IFERROR(--VLOOKUP(LEFT(AT174,2),УГО_спр,5,FALSE),0)),IF(_xlpm.k&gt;0,_xlpm.k,IF(IFERROR(--LEFT(SUBSTITUTE(GR174,"x","х"),FIND("х",SUBSTITUTE(GR174,"x","х"))-1),3)&gt;3,Каталог!$S$9,1))))</f>
        <v>1</v>
      </c>
      <c r="GY174">
        <f t="shared" si="262"/>
        <v>0</v>
      </c>
    </row>
    <row r="175" spans="1:207" x14ac:dyDescent="0.3">
      <c r="A175" t="s">
        <v>758</v>
      </c>
      <c r="B175">
        <v>30</v>
      </c>
      <c r="C175" t="str">
        <f>IF(BD175="","",IF(BE175="вводной узел","узел ","")&amp;"л."&amp;(INT((BD175-1)/Столбцов_на_лист)+1)&amp;" / "&amp;(MOD(BD175-1,Столбцов_на_лист)+1))</f>
        <v>л.2 / 13</v>
      </c>
      <c r="D175" t="s">
        <v>1479</v>
      </c>
      <c r="E175" s="133" t="str">
        <f t="shared" si="263"/>
        <v>Розеточная группа Подвальный этаж Пом. №006Б</v>
      </c>
      <c r="G175">
        <v>0.12</v>
      </c>
      <c r="H175">
        <v>2</v>
      </c>
      <c r="I175">
        <v>1</v>
      </c>
      <c r="J175">
        <v>230</v>
      </c>
      <c r="K175" t="s">
        <v>566</v>
      </c>
      <c r="O175">
        <v>3</v>
      </c>
      <c r="P175">
        <v>21</v>
      </c>
      <c r="Q175">
        <v>11</v>
      </c>
      <c r="R175">
        <v>14</v>
      </c>
      <c r="S175">
        <v>5</v>
      </c>
      <c r="U175" t="s">
        <v>11</v>
      </c>
      <c r="V175">
        <v>3</v>
      </c>
      <c r="W175">
        <v>2.5</v>
      </c>
      <c r="X175">
        <v>16</v>
      </c>
      <c r="Z175" t="s">
        <v>565</v>
      </c>
      <c r="AA175" t="s">
        <v>818</v>
      </c>
      <c r="AD175" t="s">
        <v>517</v>
      </c>
      <c r="AK175" t="s">
        <v>488</v>
      </c>
      <c r="AR175" t="str">
        <f t="shared" si="176"/>
        <v/>
      </c>
      <c r="AS175" cm="1">
        <f t="array" ref="AS175">ROW()-ROW(Линии[#Headers])</f>
        <v>173</v>
      </c>
      <c r="AT175" t="str">
        <f t="shared" si="177"/>
        <v>R</v>
      </c>
      <c r="AU175" t="str">
        <f t="shared" si="178"/>
        <v>00.006Б.1</v>
      </c>
      <c r="AV175" t="str">
        <f t="shared" si="179"/>
        <v>00</v>
      </c>
      <c r="AW175" t="str">
        <f t="shared" si="180"/>
        <v>006Б.1</v>
      </c>
      <c r="AX175" t="str">
        <f t="shared" si="181"/>
        <v>006Б</v>
      </c>
      <c r="AY175" t="str">
        <f>IF(D175="","",IF(ISERROR(SEARCH(".",D175)),IFERROR(VLOOKUP(D175,Потребители_обозначение,2,FALSE)&amp;"",""),IFERROR(IF(VLOOKUP(AT175,Потребители_обозначение,4,FALSE)=1,VLOOKUP(AT175,Потребители_обозначение,2,FALSE)&amp;" "&amp;VLOOKUP(AV175,Этаж_обозначение,2,FALSE)&amp;" Пом. №"&amp;AX175,VLOOKUP(AT175,Потребители_обозначение,2,FALSE)&amp;" Шлейф №"&amp;AV175),IFERROR(VLOOKUP(D175,Потребители_обозначение,2,FALSE),""))))</f>
        <v>Розеточная группа Подвальный этаж Пом. №006Б</v>
      </c>
      <c r="AZ175" t="str">
        <f t="shared" si="182"/>
        <v>Розеточная группа Подвальный этаж Пом. №006Б</v>
      </c>
      <c r="BA175" t="str">
        <f>IF(F175&lt;&gt;"",F175,IF(AND(D175&lt;&gt;"",D175&lt;&gt;A175,ISNUMBER(_xlfn.XMATCH(D175,Щиты[Щит]))),D175,""))</f>
        <v/>
      </c>
      <c r="BB175">
        <f>IFERROR(_xlfn.XMATCH(A175,Щиты[Щит]),0)</f>
        <v>8</v>
      </c>
      <c r="BC175">
        <f>IFERROR(N(_xlfn.XLOOKUP(A175,Щиты[Щит],Щиты[Мест под вводной узел])),15)</f>
        <v>7</v>
      </c>
      <c r="BD175">
        <f t="shared" si="183"/>
        <v>30</v>
      </c>
      <c r="BE175" t="str">
        <f t="shared" si="184"/>
        <v>линии</v>
      </c>
      <c r="BF175">
        <f>IF(D175="","",IF(BA175&lt;&gt;"",IFERROR(_xlfn.XLOOKUP(BA175,Щиты[Щит],Щиты[Руст, кВт]),0),N(G175)))</f>
        <v>0.12</v>
      </c>
      <c r="BG175">
        <f>IF(J175&lt;&gt;"",J175,IF(D175="","",IFERROR(IF(VLOOKUP(AT175,Потребители_обозначение,8,FALSE)=0,"",VLOOKUP(AT175,Потребители_обозначение,8,FALSE)),"")))</f>
        <v>230</v>
      </c>
      <c r="BH175">
        <f>IF(I175&lt;&gt;"",I175,IF(D175="","",IFERROR(IF(VLOOKUP(AT175,Потребители_обозначение,9,FALSE)=0,"",VLOOKUP(AT175,Потребители_обозначение,9,FALSE)),"")))</f>
        <v>1</v>
      </c>
      <c r="BI175" t="str">
        <f>IF(U175&lt;&gt;"",U175,IF(D175="","",IFERROR(IF(VLOOKUP(AT175,Потребители_обозначение,6,FALSE)=0,"",VLOOKUP(AT175,Потребители_обозначение,6,FALSE)),"")))</f>
        <v>мс</v>
      </c>
      <c r="BJ175">
        <f>IF(V175&lt;&gt;"",V175,IF(D175="","",IFERROR(IF(VLOOKUP(AT175,Потребители_обозначение,7,FALSE)=0,"",VLOOKUP(AT175,Потребители_обозначение,7,FALSE)),"")))</f>
        <v>3</v>
      </c>
      <c r="BK175">
        <f>IF(W175&lt;&gt;"",W175,IF(D175="","",IFERROR(IF(VLOOKUP(AT175,Потребители_обозначение,10,FALSE)=0,"",VLOOKUP(AT175,Потребители_обозначение,10,FALSE)),"")))</f>
        <v>2.5</v>
      </c>
      <c r="BL175">
        <f>IFERROR(VLOOKUP(AT175,Потребители_обозначение,5,FALSE),0)</f>
        <v>1</v>
      </c>
      <c r="BM175" cm="1">
        <f t="array" ref="BM175">IF(D175="","",IF(BA175&lt;&gt;"",IFERROR(_xlfn.XLOOKUP(BA175,Щиты[Щит],Щиты[cos φ]),0.95),IF(ISNUMBER(M175),M175,IFERROR(IF(BL175=2,_xlfn.IFS(BH175=3,VLOOKUP(BF175,Справочная_двигатели,8,FALSE),BH175=1,VLOOKUP(BF175,Справочная_двигатели,10,TRUE)),IF(AND(Методика="нормы 2026",CN175="Сил"),0.8,0.95)),0.95))))</f>
        <v>0.95</v>
      </c>
      <c r="BN175" cm="1">
        <f t="array" ref="BN175">IF(D175="","",IF(BA175&lt;&gt;"",IFERROR(_xlfn.XLOOKUP(BA175,Щиты[Щит],Щиты[Iр, А]),""),IFERROR(_xlfn.IFS(BH175=1,BF175/((Uн_лин/SQRT(3))*BM175),BH175=3,BF175/(SQRT(3)*Uн_лин*BM175)),"")))</f>
        <v>0.54696341291648753</v>
      </c>
      <c r="BO175">
        <f>IF(D175="","",IF(N(X175)=0,IFERROR(VLOOKUP(BN175,Автомат_номиналы,2,TRUE),""),X175))</f>
        <v>16</v>
      </c>
      <c r="BP175">
        <f t="shared" si="185"/>
        <v>1</v>
      </c>
      <c r="BQ175">
        <f>IF(ISNUMBER(Y175),Y175,К_прокл)</f>
        <v>1</v>
      </c>
      <c r="BR175">
        <f t="shared" si="186"/>
        <v>2</v>
      </c>
      <c r="BS175" cm="1">
        <f t="array" ref="BS175">IF(D175="","",IF(N(BK175)&lt;&gt;0,BK175,IFERROR(_xlfn.LET(_xlpm.need,BO175/(BP175*BQ175),_xlpm.t,CHOOSE(BR175,Iдоп_1ж,Iдоп_2ж,Iдоп_3ж),_xlpm.k,_xlfn.XMATCH(_xlpm.need,_xlpm.t,1),IF(ISNA(_xlpm.k),"Не исп",INDEX(Iдоп_S,_xlpm.k))),"Не исп")))</f>
        <v>2.5</v>
      </c>
      <c r="BT175">
        <f>IFERROR(VLOOKUP(BS175,Кабель_сопротивление,3,FALSE),"")</f>
        <v>2.2499999999999999E-2</v>
      </c>
      <c r="BU175">
        <f>IFERROR(VLOOKUP(BS175,Кабель_сопротивление,2,FALSE),"")</f>
        <v>0.1</v>
      </c>
      <c r="BV175">
        <f t="shared" si="187"/>
        <v>21</v>
      </c>
      <c r="BW175">
        <f>IF(D175="","",IFERROR(IF(VLOOKUP(AT175,Потребители_обозначение,4,FALSE)=1,VLOOKUP(AT175,Потребители_обозначение,3,FALSE)*(H175*2-1)+BV175+VLOOKUP(AV175,Этаж_обозначение,3,FALSE)+VLOOKUP(AV175,Этаж_обозначение,4,FALSE),VLOOKUP(AT175,Потребители_обозначение,3,FALSE)*(H175*2-1)+BV175),BV175))</f>
        <v>30</v>
      </c>
      <c r="BX175">
        <f t="shared" si="188"/>
        <v>14</v>
      </c>
      <c r="BY175">
        <f t="shared" si="189"/>
        <v>5</v>
      </c>
      <c r="BZ175">
        <f t="shared" si="190"/>
        <v>2</v>
      </c>
      <c r="CA175">
        <f t="shared" si="191"/>
        <v>0.31</v>
      </c>
      <c r="CB175">
        <f t="shared" si="192"/>
        <v>0.28160958277418269</v>
      </c>
      <c r="CC175">
        <f>IFERROR(ROUNDUP(CB175/((Uн_лин/SQRT(3))*1000)*100,2),"")</f>
        <v>0.13</v>
      </c>
      <c r="CD175">
        <f>IF(ISNUMBER(CC175),CC175+IFERROR(_xlfn.XLOOKUP(A175,Щиты[Щит],Щиты[ΔU до шин, %]),0),"")</f>
        <v>1.7000000000000002</v>
      </c>
      <c r="CE175">
        <f>IF(D175="","",IF(IFERROR(VLOOKUP(AT175,УГО_спр,2,FALSE),"")="Светильник",3,4)+IF(Методика="нормы 2026",MIN(0.5,MAX(0,N(BW175)-100)*0.005),0))</f>
        <v>4</v>
      </c>
      <c r="CF175" t="str">
        <f>IFERROR(VLOOKUP(BI175,Кабель_обозначение,2,FALSE),"")</f>
        <v>ВВГнг(А)-LS</v>
      </c>
      <c r="CG175" t="str">
        <f>IFERROR(IF(VLOOKUP(BI175,Кабель_обозначение,3,FALSE)=1,CF175&amp;" ("&amp;BJ175&amp;"х"&amp;BS175&amp;")",CF175),"")</f>
        <v>ВВГнг(А)-LS (3х2,5)</v>
      </c>
      <c r="CH175" t="str">
        <f t="shared" si="193"/>
        <v>ВВГнг(А)-LS (3х2,5)
L=30-0,13%</v>
      </c>
      <c r="CI175">
        <f>IFERROR(2*ρкз_Cu*BW175/BS175,"")</f>
        <v>0.63119999999999998</v>
      </c>
      <c r="CJ175">
        <f t="shared" si="194"/>
        <v>0.21000000000000002</v>
      </c>
      <c r="CK175" t="str">
        <f>IFERROR(IF(OR(D175="",NOT(ISNUMBER(BS175)),N(BW175)=0),"",_xlfn.XLOOKUP(A175,Щиты[Щит],Щиты[Zпетли на шинах, Ом])+CI175),"")</f>
        <v/>
      </c>
      <c r="CL175" t="str">
        <f>IF(ISNUMBER(CK175),c_min*(Uн_лин*1000/SQRT(3))/CK175,"")</f>
        <v/>
      </c>
      <c r="CM175" t="str">
        <f>IFERROR(IF(OR(D175="",NOT(ISNUMBER(BS175))),"",1.05*(Uн_лин*1000/SQRT(3))/(_xlfn.XLOOKUP(A175,Щиты[Щит],Щиты[Zmax на шинах, Ом])+CJ175)/1000),"")</f>
        <v/>
      </c>
      <c r="CN175" t="str">
        <f>IF(D175="","",IF(BA175&lt;&gt;"","Щит",IF(K175&lt;&gt;"",K175,IF(ISNUMBER(L175),"Сил",IF(IFERROR(_xlfn.XLOOKUP(AT175,Коды_код,Коды_группа)&amp;"","")="","Быт",_xlfn.XLOOKUP(AT175,Коды_код,Коды_группа)&amp;"")))))</f>
        <v>Быт</v>
      </c>
      <c r="CO175">
        <f>IF(CN175="Щит","щит",IF(CN175="","",IF(CN175="Быт",IFERROR(_xlfn.XLOOKUP(A175,Щиты[Щит],Щиты[Кс быт]),1),IF(CN175="Сил",IF(ISNUMBER(L175),L175,IF(Методика="нормы 2026",IFERROR(_xlfn.XLOOKUP(A175,Щиты[Щит],Щиты[Кс силовых (табл. 7.5)]),1),1)),IF(OR(CN175="Пост",CN175="Отоп"),1,IF(CN175="ВНГ",0.7,0))))))</f>
        <v>0.8</v>
      </c>
      <c r="CP175">
        <f t="shared" si="195"/>
        <v>1</v>
      </c>
      <c r="CQ175">
        <f t="shared" si="196"/>
        <v>0.12</v>
      </c>
      <c r="CR175">
        <f t="shared" si="197"/>
        <v>0.12</v>
      </c>
      <c r="CS175">
        <f t="shared" si="198"/>
        <v>0</v>
      </c>
      <c r="CT175">
        <f t="shared" si="199"/>
        <v>0</v>
      </c>
      <c r="CU175">
        <f t="shared" si="200"/>
        <v>0</v>
      </c>
      <c r="CV175">
        <f t="shared" si="201"/>
        <v>0</v>
      </c>
      <c r="CW175">
        <f t="shared" si="202"/>
        <v>0.12</v>
      </c>
      <c r="CX175">
        <f t="shared" si="203"/>
        <v>0.11399999999999999</v>
      </c>
      <c r="CY175">
        <f t="shared" si="204"/>
        <v>3</v>
      </c>
      <c r="CZ175" t="str">
        <f t="shared" si="205"/>
        <v>L3</v>
      </c>
      <c r="DA175" cm="1">
        <f t="array" ref="DA175">IFERROR(IF(BL175=2,_xlfn.IFS(BH175=3,VLOOKUP(BF175,Справочная_двигатели,3,FALSE),BH175=1,VLOOKUP(BF175,Справочная_двигатели,5,TRUE)),0),0)</f>
        <v>0</v>
      </c>
      <c r="DB175">
        <f>IFERROR(IF(BL175=3,VLOOKUP(BF175,Справочная_ЛЭД,2,TRUE),0),0)</f>
        <v>0</v>
      </c>
      <c r="DC175">
        <f t="shared" si="206"/>
        <v>0</v>
      </c>
      <c r="DD175" t="str">
        <f t="shared" si="207"/>
        <v>L3</v>
      </c>
      <c r="DE175" t="str" cm="1">
        <f t="array" ref="DE175">IF(D175="","",IFERROR(INDEX({"I особая","I","II","III"},MATCH(TRIM(AA175&amp;""),{"I особая","I","II","III"},0)),"III"))</f>
        <v>II</v>
      </c>
      <c r="DF175" t="str">
        <f>IF(D175="","",IF(TRIM(AB175&amp;"")&lt;&gt;"",IF(LOWER(TRIM(AB175&amp;""))="да","да","нет"),IF(IFERROR(_xlfn.XLOOKUP(AT175,Коды_код,Коды_пожарная),"")="да","да","нет")))</f>
        <v>нет</v>
      </c>
      <c r="DG175" t="str">
        <f t="shared" si="208"/>
        <v/>
      </c>
      <c r="DH175" t="str">
        <f t="shared" si="209"/>
        <v>основная</v>
      </c>
      <c r="DI175">
        <f t="shared" si="210"/>
        <v>1</v>
      </c>
      <c r="DJ175" t="str" cm="1">
        <f t="array" ref="DJ175">IF(D175="","",_xlfn.LET(_xlpm.t,IFERROR(_xlfn.XLOOKUP(1,(Шины[Шина]=DH175)*(((Шины[Щит]=A175)+(Шины[Щит]=""))&gt;0),Шины[Тип]),"")&amp;"",IF(_xlpm.t&lt;&gt;"",_xlpm.t,IF(ISNUMBER(SEARCH("ИБП",DH175)),"ИБП",IF(ISNUMBER(SEARCH("ДГУ",DH175)),"ДГУ","Ввод "&amp;DI175)))))</f>
        <v>Ввод 1</v>
      </c>
      <c r="DK175" t="str">
        <f t="shared" si="211"/>
        <v>Ввод 1</v>
      </c>
      <c r="DL175" t="str">
        <f>IF(D175="","",IF(OR(DJ175="ИБП",DJ175="ДГУ"),"I особая",IF(DJ175="Одиночная","III",_xlfn.XLOOKUP(A175,Щиты[Щит],Щиты[Категория шины «Ввод»],"III"))))</f>
        <v>II</v>
      </c>
      <c r="DM175">
        <f>IF(D175="",0,IFERROR(MATCH(DE175,{"III","II","I","I особая"},0),1))</f>
        <v>2</v>
      </c>
      <c r="DN175">
        <f t="shared" si="212"/>
        <v>2</v>
      </c>
      <c r="DO175" t="str">
        <f>IF(D175="","",IF(DM175&gt;IFERROR(MATCH(DL175,{"III","II","I","I особая"},0),1),"НЕ ОБЕСПЕЧЕНА","ОК"))</f>
        <v>ОК</v>
      </c>
      <c r="DP175" t="str">
        <f>IF(A175="","",_xlfn.XLOOKUP(A175,Щиты[Щит],Щиты[Путь],""))</f>
        <v>|ГРЩ-ЖД|ЩР-001|</v>
      </c>
      <c r="DQ175" t="str">
        <f>IF(D175="","",IF(Z175&lt;&gt;"",Z175,IF(IFERROR(_xlfn.XLOOKUP(AT175,Коды_код,Коды_вид)&amp;"","")="","Прочее",_xlfn.XLOOKUP(AT175,Коды_код,Коды_вид)&amp;"")))</f>
        <v>Розеточная сеть и бытовые приборы</v>
      </c>
      <c r="DR175">
        <f>IF(BD175="","",INT((BD175-1)/Столбцов_на_лист)+1)</f>
        <v>2</v>
      </c>
      <c r="DS175" t="str">
        <f t="shared" si="213"/>
        <v>ВВГнг(А)-LS (3х2,5) L=30-0,13%</v>
      </c>
      <c r="DT175">
        <f t="shared" si="214"/>
        <v>0.12</v>
      </c>
      <c r="DU175">
        <f t="shared" si="215"/>
        <v>0.55000000000000004</v>
      </c>
      <c r="DV175">
        <f t="shared" si="216"/>
        <v>1</v>
      </c>
      <c r="DW175">
        <f>IF(AT175="",0,_xlfn.LET(_xlpm.v,IFERROR(VLOOKUP(D175,УГО_спр,3,FALSE),IFERROR(VLOOKUP(AT175,УГО_спр,3,FALSE),IFERROR(VLOOKUP(LEFT(AT175,2),УГО_спр,3,FALSE),""))),IF(_xlpm.v="да",30,IF(ISNUMBER(_xlpm.v),_xlpm.v,0))))</f>
        <v>30</v>
      </c>
      <c r="DX175">
        <f t="shared" si="217"/>
        <v>0</v>
      </c>
      <c r="DY175">
        <f>IF(BD175="","",IF(AD175&lt;&gt;"",COUNTIFS(A$3:A175,A175,AD$3:AD175,"?*"),IF(OR(OR(AS175=1,A175&lt;&gt;A174),AL175="вручную"),"",IF(AS175=1,"",DZ174))))</f>
        <v>21</v>
      </c>
      <c r="DZ175">
        <f t="shared" si="218"/>
        <v>21</v>
      </c>
      <c r="EA175">
        <f>IF(D175="",0,MAX(IFERROR(--X175,0),IFERROR(--VLOOKUP(D175,УГО_спр,4,FALSE),IFERROR(--VLOOKUP(AT175,УГО_спр,4,FALSE),IFERROR(--VLOOKUP(LEFT(AT175,2),УГО_спр,4,FALSE),0)))))</f>
        <v>16</v>
      </c>
      <c r="EB175">
        <f>IF(D175="","",IFERROR(LOOKUP(INDEX(CHOOSE(BR175,Iдоп_1ж,Iдоп_2ж,Iдоп_3ж),MATCH(BS175,Iдоп_S,0))*BP175*BQ175,{6,10,16,20,25,32,40,50,63,80,100,125,160,200,250,315,400,500,630}),""))</f>
        <v>25</v>
      </c>
      <c r="EC175">
        <f>IF(AD175="","",SUMIFS(Линии[_Ток схемы],Линии[_гр.],DY175,Линии[Щит],A175,Линии[_в кабель выше],0))</f>
        <v>0.55000000000000004</v>
      </c>
      <c r="ED175">
        <f>IF(AD175="","",IFERROR(VLOOKUP(EC175,Автомат_номиналы,2,TRUE),""))</f>
        <v>6</v>
      </c>
      <c r="EE175">
        <f>IF(AD175="","",MAX(N(ED175),_xlfn.MAXIFS(Линии[_мин. по типу],Линии[_гр.],DY175,Линии[Щит],A175)))</f>
        <v>16</v>
      </c>
      <c r="EF175">
        <f>IF(AD175="","",_xlfn.MINIFS(Линии[_макс. автомат по кабелю],Линии[_гр.],DY175,Линии[Щит],A175))</f>
        <v>25</v>
      </c>
      <c r="EG175">
        <f>IF(AD175="","",MAX(1,_xlfn.MAXIFS(Линии[_фаз],Линии[_гр.],DY175,Линии[Щит],A175)))</f>
        <v>1</v>
      </c>
      <c r="EH175">
        <f>IF(AD175="","",IF(AND(AD175&lt;&gt;"авто",AD175&lt;&gt;"+"),IF(ISNUMBER(SEARCH("мА",AD175)),IFERROR(--TRIM(RIGHT(SUBSTITUTE(LEFT(AD175,SEARCH("мА",AD175)-1)," ",REPT(" ",9)),6)),30),0),IF(AE175="нет",0,IF(ISNUMBER(AE175),AE175,IF(AE175="да",30,_xlfn.MINIFS(Линии[_дифзащита по коду, мА],Линии[_гр.],DY175,Линии[Щит],A175,Линии[_дифзащита по коду, мА],"&gt;0"))))))</f>
        <v>30</v>
      </c>
      <c r="EI175">
        <f t="shared" si="219"/>
        <v>1</v>
      </c>
      <c r="EJ175" t="str">
        <f t="shared" si="220"/>
        <v>QFD21</v>
      </c>
      <c r="EK175" t="str">
        <f t="shared" si="221"/>
        <v>QFD21</v>
      </c>
      <c r="EL175" t="str">
        <f t="shared" si="222"/>
        <v/>
      </c>
      <c r="EM175">
        <f t="shared" si="223"/>
        <v>0</v>
      </c>
      <c r="EN175">
        <f>IF(AD175="","",IF(EM175=1,MAX(EE175,Мин_автомат_БП),EE175))</f>
        <v>16</v>
      </c>
      <c r="EO175" t="str">
        <f t="shared" si="224"/>
        <v>2P</v>
      </c>
      <c r="EP175" t="str">
        <f t="shared" si="225"/>
        <v>2P С16А 30мА</v>
      </c>
      <c r="EQ175">
        <f t="shared" si="226"/>
        <v>16</v>
      </c>
      <c r="ER175" t="str">
        <f>IF(OR(AI175="",AI175="-"),"",IFERROR(VLOOKUP(AI175,Модули_спр,2,FALSE),"R"))</f>
        <v/>
      </c>
      <c r="ES175" t="str">
        <f>IF(ER175="","",ER175&amp;"."&amp;COUNTIFS(A$3:A175,A175,ER$3:ER175,ER175))</f>
        <v/>
      </c>
      <c r="ET175" t="str">
        <f t="shared" si="227"/>
        <v/>
      </c>
      <c r="EU175" t="str">
        <f t="shared" si="228"/>
        <v/>
      </c>
      <c r="EV175" t="str">
        <f t="shared" si="229"/>
        <v/>
      </c>
      <c r="EW175" t="str">
        <f t="shared" si="230"/>
        <v/>
      </c>
      <c r="EX175">
        <f t="shared" si="231"/>
        <v>1</v>
      </c>
      <c r="EY175" t="str">
        <f>IF(AK175="нет","",IF(AK175&lt;&gt;"",AK175,IF(EX175=1,"XT"&amp;COUNTIFS(A$3:A175,A175,EX$3:EX175,1),"")))</f>
        <v/>
      </c>
      <c r="EZ175" t="str">
        <f t="shared" si="232"/>
        <v>QFD21</v>
      </c>
      <c r="FA175" t="str">
        <f t="shared" si="233"/>
        <v/>
      </c>
      <c r="FB175" t="str">
        <f t="shared" si="234"/>
        <v>ok</v>
      </c>
      <c r="FC175" t="str">
        <f>IF(OR(EV175="",ET175=""),"",IF(EV175&gt;IFERROR(VLOOKUP(EU175,Модули_спр,3,FALSE),99),"ЛИШНИЙ КАНАЛ",IF(AND(AJ175&lt;&gt;"=",COUNTIFS(Линии[_модуль гр.],ET175,Линии[Канал (итог)],EV175,Линии[Канал],"&lt;&gt;=",Линии[Щит],A175)&gt;1),"ДУБЛЬ КАНАЛА","")))</f>
        <v/>
      </c>
      <c r="FD175">
        <f t="shared" si="235"/>
        <v>16</v>
      </c>
      <c r="FE175" t="str">
        <f t="shared" si="236"/>
        <v>2P С16А 30мА</v>
      </c>
      <c r="FF175">
        <f t="shared" si="237"/>
        <v>1</v>
      </c>
      <c r="FG175">
        <f t="shared" si="238"/>
        <v>30</v>
      </c>
      <c r="FH175" t="str">
        <f t="shared" si="239"/>
        <v/>
      </c>
      <c r="FI175">
        <f t="shared" si="240"/>
        <v>10</v>
      </c>
      <c r="FJ175" t="str">
        <f t="shared" si="241"/>
        <v/>
      </c>
      <c r="FK175" t="str">
        <f>IF(AND(D175="",EZ175=""),"",_xlfn.TEXTJOIN("; ",TRUE,IF(AND(D175&lt;&gt;"",DD175=""),"нет фазы",""),IF(AND(D175&lt;&gt;"",N(DT175)=0,CN175&lt;&gt;"Нет"),"нет мощности",""),IF(AND(EY175&lt;&gt;"",COUNTIFS(Линии[Щит],A175,Линии[Клемма (итог)],EY175)&gt;1),"дубль клеммы "&amp;EY175,""),IF(AND(FB175&lt;&gt;"",FB175&lt;&gt;"ok"),FB175,""),IF(FC175&lt;&gt;"",FC175,""),IF(AND(ISNUMBER(SEARCH("(5х",DS175)),N(DV175)=1),"5 жил на 1 фазе",""),IF(AND(AT175="R",AD175&lt;&gt;"",OR(N(EH175)=0,N(EH175)&gt;30)),"розетка без дифзащиты до 30 мА",""),IFERROR(IF(AND(ISNUMBER(CD175),CD175&gt;CE175),"потери "&amp;FIXED(CD175,1)&amp;" % &gt; "&amp;CE175&amp;" %",""),""),IFERROR(IF(LEFT(FJ175,4)="мало","Iкз мало — отключение &gt; 0,4 с",""),""),IF(AND(D175&lt;&gt;"",BD175=""),"не на схеме","")))</f>
        <v/>
      </c>
      <c r="FL175">
        <f>IF(AD175="","",_xlfn.LET(_xlpm.t,IFERROR(_xlfn.XLOOKUP(EP175,Каталог!$U$4:$U$500,Каталог!$G$4:$G$500),""),_xlpm.k,SEARCH("кА",_xlpm.t),IFERROR(--TRIM(RIGHT(SUBSTITUTE(MID(_xlpm.t,MAX(1,_xlpm.k-4),_xlpm.k-MAX(1,_xlpm.k-4))," ",REPT(" ",9)),5)),"")))</f>
        <v>6</v>
      </c>
      <c r="FM175" t="str">
        <f>IF(OR(FL175="",AD175=""),"",IF(_xlfn.XLOOKUP(A175,Щиты[Щит],Щиты[Iкз max на шинах, кА],"")="","",IF(FL175&lt;_xlfn.XLOOKUP(A175,Щиты[Щит],Щиты[Iкз max на шинах, кА]),"Icu "&amp;FL175&amp;" кА &lt; Iкз max","ok")))</f>
        <v/>
      </c>
      <c r="FN175" t="str">
        <f t="shared" si="242"/>
        <v>QFD21</v>
      </c>
      <c r="FO175" t="str">
        <f t="shared" si="243"/>
        <v>QFD21|кабель ВВГнг(А)-LS (3х2,5) → Розеточная группа Подвальный этаж Пом. №006Б</v>
      </c>
      <c r="FP175" t="str" cm="1">
        <f t="array" ref="FP175">IF(FO175="","",_xlfn.LET(_xlpm.nd,_xlfn.TEXTSPLIT(FO175,"|"),IF(COLUMNS(_xlpm.nd)&gt;1,A175&amp;"¦"&amp;INDEX(_xlpm.nd,1)&amp;"¦"&amp;INDEX(_xlpm.nd,2),"")))</f>
        <v>ЩР-001¦QFD21¦кабель ВВГнг(А)-LS (3х2,5) → Розеточная группа Подвальный этаж Пом. №006Б</v>
      </c>
      <c r="FQ175" t="str">
        <f t="shared" si="244"/>
        <v>R.00.006Б.1¦Розеточная группа Подвальный этаж Пом. №006Б</v>
      </c>
      <c r="FR175" t="str" cm="1">
        <f t="array" ref="FR175">IF(FO175="","",_xlfn.LET(_xlpm.nd,_xlfn.TEXTSPLIT(FO175,"|"),IF(COLUMNS(_xlpm.nd)&gt;2,A175&amp;"¦"&amp;INDEX(_xlpm.nd,2)&amp;"¦"&amp;INDEX(_xlpm.nd,3),"")))</f>
        <v/>
      </c>
      <c r="FS175" t="str">
        <f t="shared" si="245"/>
        <v/>
      </c>
      <c r="FT175" t="str" cm="1">
        <f t="array" ref="FT175">IF(FO175="","",_xlfn.LET(_xlpm.nd,_xlfn.TEXTSPLIT(FO175,"|"),IF(COLUMNS(_xlpm.nd)&gt;3,A175&amp;"¦"&amp;INDEX(_xlpm.nd,3)&amp;"¦"&amp;INDEX(_xlpm.nd,4),"")))</f>
        <v/>
      </c>
      <c r="FU175" t="str">
        <f t="shared" si="246"/>
        <v/>
      </c>
      <c r="FV175" t="str" cm="1">
        <f t="array" ref="FV175">IF(FO175="","",_xlfn.LET(_xlpm.nd,_xlfn.TEXTSPLIT(FO175,"|"),IF(COLUMNS(_xlpm.nd)&gt;4,A175&amp;"¦"&amp;INDEX(_xlpm.nd,4)&amp;"¦"&amp;INDEX(_xlpm.nd,5),"")))</f>
        <v/>
      </c>
      <c r="FW175" t="str">
        <f t="shared" si="247"/>
        <v/>
      </c>
      <c r="FX175" t="str" cm="1">
        <f t="array" ref="FX175">IF(FO175="","",_xlfn.LET(_xlpm.nd,_xlfn.TEXTSPLIT(FO175,"|"),IF(COLUMNS(_xlpm.nd)&gt;5,A175&amp;"¦"&amp;INDEX(_xlpm.nd,5)&amp;"¦"&amp;INDEX(_xlpm.nd,6),"")))</f>
        <v/>
      </c>
      <c r="FY175" t="str">
        <f t="shared" si="248"/>
        <v/>
      </c>
      <c r="FZ175" t="str" cm="1">
        <f t="array" ref="FZ175">IF(FO175="","",_xlfn.LET(_xlpm.nd,_xlfn.TEXTSPLIT(FO175,"|"),IF(COLUMNS(_xlpm.nd)&gt;6,A175&amp;"¦"&amp;INDEX(_xlpm.nd,6)&amp;"¦"&amp;INDEX(_xlpm.nd,7),"")))</f>
        <v/>
      </c>
      <c r="GA175" t="str">
        <f t="shared" si="249"/>
        <v/>
      </c>
      <c r="GB175" t="str">
        <f t="shared" si="250"/>
        <v/>
      </c>
      <c r="GC175" t="str">
        <f t="shared" si="251"/>
        <v>QFD21</v>
      </c>
      <c r="GD175">
        <f t="shared" si="252"/>
        <v>1</v>
      </c>
      <c r="GE175">
        <f t="shared" si="253"/>
        <v>0</v>
      </c>
      <c r="GF175">
        <f t="shared" si="254"/>
        <v>1</v>
      </c>
      <c r="GG175" t="str">
        <f t="shared" si="255"/>
        <v/>
      </c>
      <c r="GH175" t="str">
        <f t="shared" si="256"/>
        <v/>
      </c>
      <c r="GI175" t="str">
        <f t="shared" si="257"/>
        <v/>
      </c>
      <c r="GJ175" t="str">
        <f t="shared" si="258"/>
        <v/>
      </c>
      <c r="GK175" t="str">
        <f>IF(D175="","",IFERROR(VLOOKUP(D175,УГО_спр,2,FALSE),IFERROR(VLOOKUP(AT175,УГО_спр,2,FALSE),IFERROR(VLOOKUP(LEFT(AT175,2),УГО_спр,2,FALSE),""))))</f>
        <v>Розетка</v>
      </c>
      <c r="GL175" t="str">
        <f>IF(D175="","",IF(OR(GK175="",GK175=0),"BOX",IFERROR(IF(VLOOKUP(GK175,УГО_блоки,3,FALSE)&amp;""&lt;&gt;"",VLOOKUP(GK175,УГО_блоки,3,FALSE),VLOOKUP(GK175,УГО_блоки,2,FALSE)),GK175)))</f>
        <v>SOCKET</v>
      </c>
      <c r="GM175">
        <f t="shared" si="259"/>
        <v>1</v>
      </c>
      <c r="GN175" t="str">
        <f>IF(EP175="","",IF(COUNTIF(EP$3:EP175,EP175)=1,MAX(GN$2:GN174)+1,""))</f>
        <v/>
      </c>
      <c r="GO175" t="str">
        <f>IF(AF175="","",IF(COUNTIF(AF$3:AF175,AF175)+COUNTIF(AG$2:AG174,AF175)+COUNTIF(AH$2:AH174,AF175)=1,MAX(GO$2:GQ174)+1,""))</f>
        <v/>
      </c>
      <c r="GP175" t="str">
        <f>IF(AG175="","",IF(COUNTIF(AF$3:AF175,AG175)+COUNTIF(AG$3:AG175,AG175)+COUNTIF(AH$2:AH174,AG175)=1,MAX(GO$2:GQ174,GO175)+1,""))</f>
        <v/>
      </c>
      <c r="GQ175" t="str">
        <f>IF(AH175="","",IF(COUNTIF(AF$3:AF175,AH175)+COUNTIF(AG$3:AG175,AH175)+COUNTIF(AH$3:AH175,AH175)=1,MAX(GO$2:GQ174,GO175,GP175)+1,""))</f>
        <v/>
      </c>
      <c r="GR175" t="str">
        <f t="shared" si="260"/>
        <v>3х2,5</v>
      </c>
      <c r="GS175" t="str">
        <f>IF(GR175="","",IF(COUNTIF(GR$3:GR175,GR175)=1,MAX(GS$2:GS174)+1,""))</f>
        <v/>
      </c>
      <c r="GT175" t="str">
        <f>IF(ES175="","",COUNTIF(ES$3:ES175,"?*"))</f>
        <v/>
      </c>
      <c r="GU175" t="str">
        <f>IF(OR(ES175="",EU175=""),"",IF(COUNTIFS(ES$3:ES175,"?*",EU$3:EU175,EU175)=1,MAX(GU$2:GU174)+1,""))</f>
        <v/>
      </c>
      <c r="GV175">
        <f t="shared" si="261"/>
        <v>0</v>
      </c>
      <c r="GW175">
        <f>IF(D175="","",COUNTIF(D$3:D175,"?*"))</f>
        <v>173</v>
      </c>
      <c r="GX175">
        <f>IF(EX175&lt;&gt;1,0,_xlfn.LET(_xlpm.k,MAX(IFERROR(--VLOOKUP(D175,УГО_спр,5,FALSE),0),IFERROR(--VLOOKUP(AT175,УГО_спр,5,FALSE),0),IFERROR(--VLOOKUP(LEFT(AT175,2),УГО_спр,5,FALSE),0)),IF(_xlpm.k&gt;0,_xlpm.k,IF(IFERROR(--LEFT(SUBSTITUTE(GR175,"x","х"),FIND("х",SUBSTITUTE(GR175,"x","х"))-1),3)&gt;3,Каталог!$S$9,1))))</f>
        <v>1</v>
      </c>
      <c r="GY175">
        <f t="shared" si="262"/>
        <v>0</v>
      </c>
    </row>
    <row r="176" spans="1:207" x14ac:dyDescent="0.3">
      <c r="A176" t="s">
        <v>758</v>
      </c>
      <c r="B176">
        <v>31</v>
      </c>
      <c r="C176" t="str">
        <f>IF(BD176="","",IF(BE176="вводной узел","узел ","")&amp;"л."&amp;(INT((BD176-1)/Столбцов_на_лист)+1)&amp;" / "&amp;(MOD(BD176-1,Столбцов_на_лист)+1))</f>
        <v>л.2 / 14</v>
      </c>
      <c r="D176" t="s">
        <v>1480</v>
      </c>
      <c r="E176" s="133" t="str">
        <f t="shared" si="263"/>
        <v>Розеточная группа Подвальный этаж Пом. №007А</v>
      </c>
      <c r="G176">
        <v>0.3</v>
      </c>
      <c r="H176">
        <v>4</v>
      </c>
      <c r="I176">
        <v>1</v>
      </c>
      <c r="J176">
        <v>230</v>
      </c>
      <c r="K176" t="s">
        <v>566</v>
      </c>
      <c r="O176">
        <v>3</v>
      </c>
      <c r="P176">
        <v>59</v>
      </c>
      <c r="Q176">
        <v>41</v>
      </c>
      <c r="R176">
        <v>23</v>
      </c>
      <c r="S176">
        <v>16</v>
      </c>
      <c r="U176" t="s">
        <v>11</v>
      </c>
      <c r="V176">
        <v>3</v>
      </c>
      <c r="W176">
        <v>2.5</v>
      </c>
      <c r="X176">
        <v>16</v>
      </c>
      <c r="Z176" t="s">
        <v>565</v>
      </c>
      <c r="AA176" t="s">
        <v>818</v>
      </c>
      <c r="AD176" t="s">
        <v>517</v>
      </c>
      <c r="AK176" t="s">
        <v>488</v>
      </c>
      <c r="AR176" t="str">
        <f t="shared" si="176"/>
        <v/>
      </c>
      <c r="AS176" cm="1">
        <f t="array" ref="AS176">ROW()-ROW(Линии[#Headers])</f>
        <v>174</v>
      </c>
      <c r="AT176" t="str">
        <f t="shared" si="177"/>
        <v>R</v>
      </c>
      <c r="AU176" t="str">
        <f t="shared" si="178"/>
        <v>00.007А.1</v>
      </c>
      <c r="AV176" t="str">
        <f t="shared" si="179"/>
        <v>00</v>
      </c>
      <c r="AW176" t="str">
        <f t="shared" si="180"/>
        <v>007А.1</v>
      </c>
      <c r="AX176" t="str">
        <f t="shared" si="181"/>
        <v>007А</v>
      </c>
      <c r="AY176" t="str">
        <f>IF(D176="","",IF(ISERROR(SEARCH(".",D176)),IFERROR(VLOOKUP(D176,Потребители_обозначение,2,FALSE)&amp;"",""),IFERROR(IF(VLOOKUP(AT176,Потребители_обозначение,4,FALSE)=1,VLOOKUP(AT176,Потребители_обозначение,2,FALSE)&amp;" "&amp;VLOOKUP(AV176,Этаж_обозначение,2,FALSE)&amp;" Пом. №"&amp;AX176,VLOOKUP(AT176,Потребители_обозначение,2,FALSE)&amp;" Шлейф №"&amp;AV176),IFERROR(VLOOKUP(D176,Потребители_обозначение,2,FALSE),""))))</f>
        <v>Розеточная группа Подвальный этаж Пом. №007А</v>
      </c>
      <c r="AZ176" t="str">
        <f t="shared" si="182"/>
        <v>Розеточная группа Подвальный этаж Пом. №007А</v>
      </c>
      <c r="BA176" t="str">
        <f>IF(F176&lt;&gt;"",F176,IF(AND(D176&lt;&gt;"",D176&lt;&gt;A176,ISNUMBER(_xlfn.XMATCH(D176,Щиты[Щит]))),D176,""))</f>
        <v/>
      </c>
      <c r="BB176">
        <f>IFERROR(_xlfn.XMATCH(A176,Щиты[Щит]),0)</f>
        <v>8</v>
      </c>
      <c r="BC176">
        <f>IFERROR(N(_xlfn.XLOOKUP(A176,Щиты[Щит],Щиты[Мест под вводной узел])),15)</f>
        <v>7</v>
      </c>
      <c r="BD176">
        <f t="shared" si="183"/>
        <v>31</v>
      </c>
      <c r="BE176" t="str">
        <f t="shared" si="184"/>
        <v>линии</v>
      </c>
      <c r="BF176">
        <f>IF(D176="","",IF(BA176&lt;&gt;"",IFERROR(_xlfn.XLOOKUP(BA176,Щиты[Щит],Щиты[Руст, кВт]),0),N(G176)))</f>
        <v>0.3</v>
      </c>
      <c r="BG176">
        <f>IF(J176&lt;&gt;"",J176,IF(D176="","",IFERROR(IF(VLOOKUP(AT176,Потребители_обозначение,8,FALSE)=0,"",VLOOKUP(AT176,Потребители_обозначение,8,FALSE)),"")))</f>
        <v>230</v>
      </c>
      <c r="BH176">
        <f>IF(I176&lt;&gt;"",I176,IF(D176="","",IFERROR(IF(VLOOKUP(AT176,Потребители_обозначение,9,FALSE)=0,"",VLOOKUP(AT176,Потребители_обозначение,9,FALSE)),"")))</f>
        <v>1</v>
      </c>
      <c r="BI176" t="str">
        <f>IF(U176&lt;&gt;"",U176,IF(D176="","",IFERROR(IF(VLOOKUP(AT176,Потребители_обозначение,6,FALSE)=0,"",VLOOKUP(AT176,Потребители_обозначение,6,FALSE)),"")))</f>
        <v>мс</v>
      </c>
      <c r="BJ176">
        <f>IF(V176&lt;&gt;"",V176,IF(D176="","",IFERROR(IF(VLOOKUP(AT176,Потребители_обозначение,7,FALSE)=0,"",VLOOKUP(AT176,Потребители_обозначение,7,FALSE)),"")))</f>
        <v>3</v>
      </c>
      <c r="BK176">
        <f>IF(W176&lt;&gt;"",W176,IF(D176="","",IFERROR(IF(VLOOKUP(AT176,Потребители_обозначение,10,FALSE)=0,"",VLOOKUP(AT176,Потребители_обозначение,10,FALSE)),"")))</f>
        <v>2.5</v>
      </c>
      <c r="BL176">
        <f>IFERROR(VLOOKUP(AT176,Потребители_обозначение,5,FALSE),0)</f>
        <v>1</v>
      </c>
      <c r="BM176" cm="1">
        <f t="array" ref="BM176">IF(D176="","",IF(BA176&lt;&gt;"",IFERROR(_xlfn.XLOOKUP(BA176,Щиты[Щит],Щиты[cos φ]),0.95),IF(ISNUMBER(M176),M176,IFERROR(IF(BL176=2,_xlfn.IFS(BH176=3,VLOOKUP(BF176,Справочная_двигатели,8,FALSE),BH176=1,VLOOKUP(BF176,Справочная_двигатели,10,TRUE)),IF(AND(Методика="нормы 2026",CN176="Сил"),0.8,0.95)),0.95))))</f>
        <v>0.95</v>
      </c>
      <c r="BN176" cm="1">
        <f t="array" ref="BN176">IF(D176="","",IF(BA176&lt;&gt;"",IFERROR(_xlfn.XLOOKUP(BA176,Щиты[Щит],Щиты[Iр, А]),""),IFERROR(_xlfn.IFS(BH176=1,BF176/((Uн_лин/SQRT(3))*BM176),BH176=3,BF176/(SQRT(3)*Uн_лин*BM176)),"")))</f>
        <v>1.3674085322912188</v>
      </c>
      <c r="BO176">
        <f>IF(D176="","",IF(N(X176)=0,IFERROR(VLOOKUP(BN176,Автомат_номиналы,2,TRUE),""),X176))</f>
        <v>16</v>
      </c>
      <c r="BP176">
        <f t="shared" si="185"/>
        <v>1</v>
      </c>
      <c r="BQ176">
        <f>IF(ISNUMBER(Y176),Y176,К_прокл)</f>
        <v>1</v>
      </c>
      <c r="BR176">
        <f t="shared" si="186"/>
        <v>2</v>
      </c>
      <c r="BS176" cm="1">
        <f t="array" ref="BS176">IF(D176="","",IF(N(BK176)&lt;&gt;0,BK176,IFERROR(_xlfn.LET(_xlpm.need,BO176/(BP176*BQ176),_xlpm.t,CHOOSE(BR176,Iдоп_1ж,Iдоп_2ж,Iдоп_3ж),_xlpm.k,_xlfn.XMATCH(_xlpm.need,_xlpm.t,1),IF(ISNA(_xlpm.k),"Не исп",INDEX(Iдоп_S,_xlpm.k))),"Не исп")))</f>
        <v>2.5</v>
      </c>
      <c r="BT176">
        <f>IFERROR(VLOOKUP(BS176,Кабель_сопротивление,3,FALSE),"")</f>
        <v>2.2499999999999999E-2</v>
      </c>
      <c r="BU176">
        <f>IFERROR(VLOOKUP(BS176,Кабель_сопротивление,2,FALSE),"")</f>
        <v>0.1</v>
      </c>
      <c r="BV176">
        <f t="shared" si="187"/>
        <v>59</v>
      </c>
      <c r="BW176">
        <f>IF(D176="","",IFERROR(IF(VLOOKUP(AT176,Потребители_обозначение,4,FALSE)=1,VLOOKUP(AT176,Потребители_обозначение,3,FALSE)*(H176*2-1)+BV176+VLOOKUP(AV176,Этаж_обозначение,3,FALSE)+VLOOKUP(AV176,Этаж_обозначение,4,FALSE),VLOOKUP(AT176,Потребители_обозначение,3,FALSE)*(H176*2-1)+BV176),BV176))</f>
        <v>80</v>
      </c>
      <c r="BX176">
        <f t="shared" si="188"/>
        <v>23</v>
      </c>
      <c r="BY176">
        <f t="shared" si="189"/>
        <v>16</v>
      </c>
      <c r="BZ176">
        <f t="shared" si="190"/>
        <v>2</v>
      </c>
      <c r="CA176">
        <f t="shared" si="191"/>
        <v>0.31</v>
      </c>
      <c r="CB176">
        <f t="shared" si="192"/>
        <v>1.8773972184945518</v>
      </c>
      <c r="CC176">
        <f>IFERROR(ROUNDUP(CB176/((Uн_лин/SQRT(3))*1000)*100,2),"")</f>
        <v>0.82000000000000006</v>
      </c>
      <c r="CD176">
        <f>IF(ISNUMBER(CC176),CC176+IFERROR(_xlfn.XLOOKUP(A176,Щиты[Щит],Щиты[ΔU до шин, %]),0),"")</f>
        <v>2.39</v>
      </c>
      <c r="CE176">
        <f>IF(D176="","",IF(IFERROR(VLOOKUP(AT176,УГО_спр,2,FALSE),"")="Светильник",3,4)+IF(Методика="нормы 2026",MIN(0.5,MAX(0,N(BW176)-100)*0.005),0))</f>
        <v>4</v>
      </c>
      <c r="CF176" t="str">
        <f>IFERROR(VLOOKUP(BI176,Кабель_обозначение,2,FALSE),"")</f>
        <v>ВВГнг(А)-LS</v>
      </c>
      <c r="CG176" t="str">
        <f>IFERROR(IF(VLOOKUP(BI176,Кабель_обозначение,3,FALSE)=1,CF176&amp;" ("&amp;BJ176&amp;"х"&amp;BS176&amp;")",CF176),"")</f>
        <v>ВВГнг(А)-LS (3х2,5)</v>
      </c>
      <c r="CH176" t="str">
        <f t="shared" si="193"/>
        <v>ВВГнг(А)-LS (3х2,5)
L=80-0,82%</v>
      </c>
      <c r="CI176">
        <f>IFERROR(2*ρкз_Cu*BW176/BS176,"")</f>
        <v>1.6832</v>
      </c>
      <c r="CJ176">
        <f t="shared" si="194"/>
        <v>0.56000000000000005</v>
      </c>
      <c r="CK176" t="str">
        <f>IFERROR(IF(OR(D176="",NOT(ISNUMBER(BS176)),N(BW176)=0),"",_xlfn.XLOOKUP(A176,Щиты[Щит],Щиты[Zпетли на шинах, Ом])+CI176),"")</f>
        <v/>
      </c>
      <c r="CL176" t="str">
        <f>IF(ISNUMBER(CK176),c_min*(Uн_лин*1000/SQRT(3))/CK176,"")</f>
        <v/>
      </c>
      <c r="CM176" t="str">
        <f>IFERROR(IF(OR(D176="",NOT(ISNUMBER(BS176))),"",1.05*(Uн_лин*1000/SQRT(3))/(_xlfn.XLOOKUP(A176,Щиты[Щит],Щиты[Zmax на шинах, Ом])+CJ176)/1000),"")</f>
        <v/>
      </c>
      <c r="CN176" t="str">
        <f>IF(D176="","",IF(BA176&lt;&gt;"","Щит",IF(K176&lt;&gt;"",K176,IF(ISNUMBER(L176),"Сил",IF(IFERROR(_xlfn.XLOOKUP(AT176,Коды_код,Коды_группа)&amp;"","")="","Быт",_xlfn.XLOOKUP(AT176,Коды_код,Коды_группа)&amp;"")))))</f>
        <v>Быт</v>
      </c>
      <c r="CO176">
        <f>IF(CN176="Щит","щит",IF(CN176="","",IF(CN176="Быт",IFERROR(_xlfn.XLOOKUP(A176,Щиты[Щит],Щиты[Кс быт]),1),IF(CN176="Сил",IF(ISNUMBER(L176),L176,IF(Методика="нормы 2026",IFERROR(_xlfn.XLOOKUP(A176,Щиты[Щит],Щиты[Кс силовых (табл. 7.5)]),1),1)),IF(OR(CN176="Пост",CN176="Отоп"),1,IF(CN176="ВНГ",0.7,0))))))</f>
        <v>0.8</v>
      </c>
      <c r="CP176">
        <f t="shared" si="195"/>
        <v>1</v>
      </c>
      <c r="CQ176">
        <f t="shared" si="196"/>
        <v>0.3</v>
      </c>
      <c r="CR176">
        <f t="shared" si="197"/>
        <v>0.3</v>
      </c>
      <c r="CS176">
        <f t="shared" si="198"/>
        <v>0</v>
      </c>
      <c r="CT176">
        <f t="shared" si="199"/>
        <v>0</v>
      </c>
      <c r="CU176">
        <f t="shared" si="200"/>
        <v>0</v>
      </c>
      <c r="CV176">
        <f t="shared" si="201"/>
        <v>0</v>
      </c>
      <c r="CW176">
        <f t="shared" si="202"/>
        <v>0.3</v>
      </c>
      <c r="CX176">
        <f t="shared" si="203"/>
        <v>0.28499999999999998</v>
      </c>
      <c r="CY176">
        <f t="shared" si="204"/>
        <v>1</v>
      </c>
      <c r="CZ176" t="str">
        <f t="shared" si="205"/>
        <v>L1</v>
      </c>
      <c r="DA176" cm="1">
        <f t="array" ref="DA176">IFERROR(IF(BL176=2,_xlfn.IFS(BH176=3,VLOOKUP(BF176,Справочная_двигатели,3,FALSE),BH176=1,VLOOKUP(BF176,Справочная_двигатели,5,TRUE)),0),0)</f>
        <v>0</v>
      </c>
      <c r="DB176">
        <f>IFERROR(IF(BL176=3,VLOOKUP(BF176,Справочная_ЛЭД,2,TRUE),0),0)</f>
        <v>0</v>
      </c>
      <c r="DC176">
        <f t="shared" si="206"/>
        <v>0</v>
      </c>
      <c r="DD176" t="str">
        <f t="shared" si="207"/>
        <v>L3</v>
      </c>
      <c r="DE176" t="str" cm="1">
        <f t="array" ref="DE176">IF(D176="","",IFERROR(INDEX({"I особая","I","II","III"},MATCH(TRIM(AA176&amp;""),{"I особая","I","II","III"},0)),"III"))</f>
        <v>II</v>
      </c>
      <c r="DF176" t="str">
        <f>IF(D176="","",IF(TRIM(AB176&amp;"")&lt;&gt;"",IF(LOWER(TRIM(AB176&amp;""))="да","да","нет"),IF(IFERROR(_xlfn.XLOOKUP(AT176,Коды_код,Коды_пожарная),"")="да","да","нет")))</f>
        <v>нет</v>
      </c>
      <c r="DG176" t="str">
        <f t="shared" si="208"/>
        <v/>
      </c>
      <c r="DH176" t="str">
        <f t="shared" si="209"/>
        <v>основная</v>
      </c>
      <c r="DI176">
        <f t="shared" si="210"/>
        <v>1</v>
      </c>
      <c r="DJ176" t="str" cm="1">
        <f t="array" ref="DJ176">IF(D176="","",_xlfn.LET(_xlpm.t,IFERROR(_xlfn.XLOOKUP(1,(Шины[Шина]=DH176)*(((Шины[Щит]=A176)+(Шины[Щит]=""))&gt;0),Шины[Тип]),"")&amp;"",IF(_xlpm.t&lt;&gt;"",_xlpm.t,IF(ISNUMBER(SEARCH("ИБП",DH176)),"ИБП",IF(ISNUMBER(SEARCH("ДГУ",DH176)),"ДГУ","Ввод "&amp;DI176)))))</f>
        <v>Ввод 1</v>
      </c>
      <c r="DK176" t="str">
        <f t="shared" si="211"/>
        <v>Ввод 1</v>
      </c>
      <c r="DL176" t="str">
        <f>IF(D176="","",IF(OR(DJ176="ИБП",DJ176="ДГУ"),"I особая",IF(DJ176="Одиночная","III",_xlfn.XLOOKUP(A176,Щиты[Щит],Щиты[Категория шины «Ввод»],"III"))))</f>
        <v>II</v>
      </c>
      <c r="DM176">
        <f>IF(D176="",0,IFERROR(MATCH(DE176,{"III","II","I","I особая"},0),1))</f>
        <v>2</v>
      </c>
      <c r="DN176">
        <f t="shared" si="212"/>
        <v>2</v>
      </c>
      <c r="DO176" t="str">
        <f>IF(D176="","",IF(DM176&gt;IFERROR(MATCH(DL176,{"III","II","I","I особая"},0),1),"НЕ ОБЕСПЕЧЕНА","ОК"))</f>
        <v>ОК</v>
      </c>
      <c r="DP176" t="str">
        <f>IF(A176="","",_xlfn.XLOOKUP(A176,Щиты[Щит],Щиты[Путь],""))</f>
        <v>|ГРЩ-ЖД|ЩР-001|</v>
      </c>
      <c r="DQ176" t="str">
        <f>IF(D176="","",IF(Z176&lt;&gt;"",Z176,IF(IFERROR(_xlfn.XLOOKUP(AT176,Коды_код,Коды_вид)&amp;"","")="","Прочее",_xlfn.XLOOKUP(AT176,Коды_код,Коды_вид)&amp;"")))</f>
        <v>Розеточная сеть и бытовые приборы</v>
      </c>
      <c r="DR176">
        <f>IF(BD176="","",INT((BD176-1)/Столбцов_на_лист)+1)</f>
        <v>2</v>
      </c>
      <c r="DS176" t="str">
        <f t="shared" si="213"/>
        <v>ВВГнг(А)-LS (3х2,5) L=80-0,82%</v>
      </c>
      <c r="DT176">
        <f t="shared" si="214"/>
        <v>0.3</v>
      </c>
      <c r="DU176">
        <f t="shared" si="215"/>
        <v>1.37</v>
      </c>
      <c r="DV176">
        <f t="shared" si="216"/>
        <v>1</v>
      </c>
      <c r="DW176">
        <f>IF(AT176="",0,_xlfn.LET(_xlpm.v,IFERROR(VLOOKUP(D176,УГО_спр,3,FALSE),IFERROR(VLOOKUP(AT176,УГО_спр,3,FALSE),IFERROR(VLOOKUP(LEFT(AT176,2),УГО_спр,3,FALSE),""))),IF(_xlpm.v="да",30,IF(ISNUMBER(_xlpm.v),_xlpm.v,0))))</f>
        <v>30</v>
      </c>
      <c r="DX176">
        <f t="shared" si="217"/>
        <v>0</v>
      </c>
      <c r="DY176">
        <f>IF(BD176="","",IF(AD176&lt;&gt;"",COUNTIFS(A$3:A176,A176,AD$3:AD176,"?*"),IF(OR(OR(AS176=1,A176&lt;&gt;A175),AL176="вручную"),"",IF(AS176=1,"",DZ175))))</f>
        <v>22</v>
      </c>
      <c r="DZ176">
        <f t="shared" si="218"/>
        <v>22</v>
      </c>
      <c r="EA176">
        <f>IF(D176="",0,MAX(IFERROR(--X176,0),IFERROR(--VLOOKUP(D176,УГО_спр,4,FALSE),IFERROR(--VLOOKUP(AT176,УГО_спр,4,FALSE),IFERROR(--VLOOKUP(LEFT(AT176,2),УГО_спр,4,FALSE),0)))))</f>
        <v>16</v>
      </c>
      <c r="EB176">
        <f>IF(D176="","",IFERROR(LOOKUP(INDEX(CHOOSE(BR176,Iдоп_1ж,Iдоп_2ж,Iдоп_3ж),MATCH(BS176,Iдоп_S,0))*BP176*BQ176,{6,10,16,20,25,32,40,50,63,80,100,125,160,200,250,315,400,500,630}),""))</f>
        <v>25</v>
      </c>
      <c r="EC176">
        <f>IF(AD176="","",SUMIFS(Линии[_Ток схемы],Линии[_гр.],DY176,Линии[Щит],A176,Линии[_в кабель выше],0))</f>
        <v>1.37</v>
      </c>
      <c r="ED176">
        <f>IF(AD176="","",IFERROR(VLOOKUP(EC176,Автомат_номиналы,2,TRUE),""))</f>
        <v>6</v>
      </c>
      <c r="EE176">
        <f>IF(AD176="","",MAX(N(ED176),_xlfn.MAXIFS(Линии[_мин. по типу],Линии[_гр.],DY176,Линии[Щит],A176)))</f>
        <v>16</v>
      </c>
      <c r="EF176">
        <f>IF(AD176="","",_xlfn.MINIFS(Линии[_макс. автомат по кабелю],Линии[_гр.],DY176,Линии[Щит],A176))</f>
        <v>25</v>
      </c>
      <c r="EG176">
        <f>IF(AD176="","",MAX(1,_xlfn.MAXIFS(Линии[_фаз],Линии[_гр.],DY176,Линии[Щит],A176)))</f>
        <v>1</v>
      </c>
      <c r="EH176">
        <f>IF(AD176="","",IF(AND(AD176&lt;&gt;"авто",AD176&lt;&gt;"+"),IF(ISNUMBER(SEARCH("мА",AD176)),IFERROR(--TRIM(RIGHT(SUBSTITUTE(LEFT(AD176,SEARCH("мА",AD176)-1)," ",REPT(" ",9)),6)),30),0),IF(AE176="нет",0,IF(ISNUMBER(AE176),AE176,IF(AE176="да",30,_xlfn.MINIFS(Линии[_дифзащита по коду, мА],Линии[_гр.],DY176,Линии[Щит],A176,Линии[_дифзащита по коду, мА],"&gt;0"))))))</f>
        <v>30</v>
      </c>
      <c r="EI176">
        <f t="shared" si="219"/>
        <v>1</v>
      </c>
      <c r="EJ176" t="str">
        <f t="shared" si="220"/>
        <v>QFD22</v>
      </c>
      <c r="EK176" t="str">
        <f t="shared" si="221"/>
        <v>QFD22</v>
      </c>
      <c r="EL176" t="str">
        <f t="shared" si="222"/>
        <v/>
      </c>
      <c r="EM176">
        <f t="shared" si="223"/>
        <v>0</v>
      </c>
      <c r="EN176">
        <f>IF(AD176="","",IF(EM176=1,MAX(EE176,Мин_автомат_БП),EE176))</f>
        <v>16</v>
      </c>
      <c r="EO176" t="str">
        <f t="shared" si="224"/>
        <v>2P</v>
      </c>
      <c r="EP176" t="str">
        <f t="shared" si="225"/>
        <v>2P С16А 30мА</v>
      </c>
      <c r="EQ176">
        <f t="shared" si="226"/>
        <v>16</v>
      </c>
      <c r="ER176" t="str">
        <f>IF(OR(AI176="",AI176="-"),"",IFERROR(VLOOKUP(AI176,Модули_спр,2,FALSE),"R"))</f>
        <v/>
      </c>
      <c r="ES176" t="str">
        <f>IF(ER176="","",ER176&amp;"."&amp;COUNTIFS(A$3:A176,A176,ER$3:ER176,ER176))</f>
        <v/>
      </c>
      <c r="ET176" t="str">
        <f t="shared" si="227"/>
        <v/>
      </c>
      <c r="EU176" t="str">
        <f t="shared" si="228"/>
        <v/>
      </c>
      <c r="EV176" t="str">
        <f t="shared" si="229"/>
        <v/>
      </c>
      <c r="EW176" t="str">
        <f t="shared" si="230"/>
        <v/>
      </c>
      <c r="EX176">
        <f t="shared" si="231"/>
        <v>1</v>
      </c>
      <c r="EY176" t="str">
        <f>IF(AK176="нет","",IF(AK176&lt;&gt;"",AK176,IF(EX176=1,"XT"&amp;COUNTIFS(A$3:A176,A176,EX$3:EX176,1),"")))</f>
        <v/>
      </c>
      <c r="EZ176" t="str">
        <f t="shared" si="232"/>
        <v>QFD22</v>
      </c>
      <c r="FA176" t="str">
        <f t="shared" si="233"/>
        <v/>
      </c>
      <c r="FB176" t="str">
        <f t="shared" si="234"/>
        <v>ok</v>
      </c>
      <c r="FC176" t="str">
        <f>IF(OR(EV176="",ET176=""),"",IF(EV176&gt;IFERROR(VLOOKUP(EU176,Модули_спр,3,FALSE),99),"ЛИШНИЙ КАНАЛ",IF(AND(AJ176&lt;&gt;"=",COUNTIFS(Линии[_модуль гр.],ET176,Линии[Канал (итог)],EV176,Линии[Канал],"&lt;&gt;=",Линии[Щит],A176)&gt;1),"ДУБЛЬ КАНАЛА","")))</f>
        <v/>
      </c>
      <c r="FD176">
        <f t="shared" si="235"/>
        <v>16</v>
      </c>
      <c r="FE176" t="str">
        <f t="shared" si="236"/>
        <v>2P С16А 30мА</v>
      </c>
      <c r="FF176">
        <f t="shared" si="237"/>
        <v>1</v>
      </c>
      <c r="FG176">
        <f t="shared" si="238"/>
        <v>30</v>
      </c>
      <c r="FH176" t="str">
        <f t="shared" si="239"/>
        <v/>
      </c>
      <c r="FI176">
        <f t="shared" si="240"/>
        <v>10</v>
      </c>
      <c r="FJ176" t="str">
        <f t="shared" si="241"/>
        <v/>
      </c>
      <c r="FK176" t="str">
        <f>IF(AND(D176="",EZ176=""),"",_xlfn.TEXTJOIN("; ",TRUE,IF(AND(D176&lt;&gt;"",DD176=""),"нет фазы",""),IF(AND(D176&lt;&gt;"",N(DT176)=0,CN176&lt;&gt;"Нет"),"нет мощности",""),IF(AND(EY176&lt;&gt;"",COUNTIFS(Линии[Щит],A176,Линии[Клемма (итог)],EY176)&gt;1),"дубль клеммы "&amp;EY176,""),IF(AND(FB176&lt;&gt;"",FB176&lt;&gt;"ok"),FB176,""),IF(FC176&lt;&gt;"",FC176,""),IF(AND(ISNUMBER(SEARCH("(5х",DS176)),N(DV176)=1),"5 жил на 1 фазе",""),IF(AND(AT176="R",AD176&lt;&gt;"",OR(N(EH176)=0,N(EH176)&gt;30)),"розетка без дифзащиты до 30 мА",""),IFERROR(IF(AND(ISNUMBER(CD176),CD176&gt;CE176),"потери "&amp;FIXED(CD176,1)&amp;" % &gt; "&amp;CE176&amp;" %",""),""),IFERROR(IF(LEFT(FJ176,4)="мало","Iкз мало — отключение &gt; 0,4 с",""),""),IF(AND(D176&lt;&gt;"",BD176=""),"не на схеме","")))</f>
        <v/>
      </c>
      <c r="FL176">
        <f>IF(AD176="","",_xlfn.LET(_xlpm.t,IFERROR(_xlfn.XLOOKUP(EP176,Каталог!$U$4:$U$500,Каталог!$G$4:$G$500),""),_xlpm.k,SEARCH("кА",_xlpm.t),IFERROR(--TRIM(RIGHT(SUBSTITUTE(MID(_xlpm.t,MAX(1,_xlpm.k-4),_xlpm.k-MAX(1,_xlpm.k-4))," ",REPT(" ",9)),5)),"")))</f>
        <v>6</v>
      </c>
      <c r="FM176" t="str">
        <f>IF(OR(FL176="",AD176=""),"",IF(_xlfn.XLOOKUP(A176,Щиты[Щит],Щиты[Iкз max на шинах, кА],"")="","",IF(FL176&lt;_xlfn.XLOOKUP(A176,Щиты[Щит],Щиты[Iкз max на шинах, кА]),"Icu "&amp;FL176&amp;" кА &lt; Iкз max","ok")))</f>
        <v/>
      </c>
      <c r="FN176" t="str">
        <f t="shared" si="242"/>
        <v>QFD22</v>
      </c>
      <c r="FO176" t="str">
        <f t="shared" si="243"/>
        <v>QFD22|кабель ВВГнг(А)-LS (3х2,5) → Розеточная группа Подвальный этаж Пом. №007А</v>
      </c>
      <c r="FP176" t="str" cm="1">
        <f t="array" ref="FP176">IF(FO176="","",_xlfn.LET(_xlpm.nd,_xlfn.TEXTSPLIT(FO176,"|"),IF(COLUMNS(_xlpm.nd)&gt;1,A176&amp;"¦"&amp;INDEX(_xlpm.nd,1)&amp;"¦"&amp;INDEX(_xlpm.nd,2),"")))</f>
        <v>ЩР-001¦QFD22¦кабель ВВГнг(А)-LS (3х2,5) → Розеточная группа Подвальный этаж Пом. №007А</v>
      </c>
      <c r="FQ176" t="str">
        <f t="shared" si="244"/>
        <v>R.00.007А.1¦Розеточная группа Подвальный этаж Пом. №007А</v>
      </c>
      <c r="FR176" t="str" cm="1">
        <f t="array" ref="FR176">IF(FO176="","",_xlfn.LET(_xlpm.nd,_xlfn.TEXTSPLIT(FO176,"|"),IF(COLUMNS(_xlpm.nd)&gt;2,A176&amp;"¦"&amp;INDEX(_xlpm.nd,2)&amp;"¦"&amp;INDEX(_xlpm.nd,3),"")))</f>
        <v/>
      </c>
      <c r="FS176" t="str">
        <f t="shared" si="245"/>
        <v/>
      </c>
      <c r="FT176" t="str" cm="1">
        <f t="array" ref="FT176">IF(FO176="","",_xlfn.LET(_xlpm.nd,_xlfn.TEXTSPLIT(FO176,"|"),IF(COLUMNS(_xlpm.nd)&gt;3,A176&amp;"¦"&amp;INDEX(_xlpm.nd,3)&amp;"¦"&amp;INDEX(_xlpm.nd,4),"")))</f>
        <v/>
      </c>
      <c r="FU176" t="str">
        <f t="shared" si="246"/>
        <v/>
      </c>
      <c r="FV176" t="str" cm="1">
        <f t="array" ref="FV176">IF(FO176="","",_xlfn.LET(_xlpm.nd,_xlfn.TEXTSPLIT(FO176,"|"),IF(COLUMNS(_xlpm.nd)&gt;4,A176&amp;"¦"&amp;INDEX(_xlpm.nd,4)&amp;"¦"&amp;INDEX(_xlpm.nd,5),"")))</f>
        <v/>
      </c>
      <c r="FW176" t="str">
        <f t="shared" si="247"/>
        <v/>
      </c>
      <c r="FX176" t="str" cm="1">
        <f t="array" ref="FX176">IF(FO176="","",_xlfn.LET(_xlpm.nd,_xlfn.TEXTSPLIT(FO176,"|"),IF(COLUMNS(_xlpm.nd)&gt;5,A176&amp;"¦"&amp;INDEX(_xlpm.nd,5)&amp;"¦"&amp;INDEX(_xlpm.nd,6),"")))</f>
        <v/>
      </c>
      <c r="FY176" t="str">
        <f t="shared" si="248"/>
        <v/>
      </c>
      <c r="FZ176" t="str" cm="1">
        <f t="array" ref="FZ176">IF(FO176="","",_xlfn.LET(_xlpm.nd,_xlfn.TEXTSPLIT(FO176,"|"),IF(COLUMNS(_xlpm.nd)&gt;6,A176&amp;"¦"&amp;INDEX(_xlpm.nd,6)&amp;"¦"&amp;INDEX(_xlpm.nd,7),"")))</f>
        <v/>
      </c>
      <c r="GA176" t="str">
        <f t="shared" si="249"/>
        <v/>
      </c>
      <c r="GB176" t="str">
        <f t="shared" si="250"/>
        <v/>
      </c>
      <c r="GC176" t="str">
        <f t="shared" si="251"/>
        <v>QFD22</v>
      </c>
      <c r="GD176">
        <f t="shared" si="252"/>
        <v>1</v>
      </c>
      <c r="GE176">
        <f t="shared" si="253"/>
        <v>0</v>
      </c>
      <c r="GF176">
        <f t="shared" si="254"/>
        <v>1</v>
      </c>
      <c r="GG176" t="str">
        <f t="shared" si="255"/>
        <v/>
      </c>
      <c r="GH176" t="str">
        <f t="shared" si="256"/>
        <v/>
      </c>
      <c r="GI176" t="str">
        <f t="shared" si="257"/>
        <v/>
      </c>
      <c r="GJ176" t="str">
        <f t="shared" si="258"/>
        <v/>
      </c>
      <c r="GK176" t="str">
        <f>IF(D176="","",IFERROR(VLOOKUP(D176,УГО_спр,2,FALSE),IFERROR(VLOOKUP(AT176,УГО_спр,2,FALSE),IFERROR(VLOOKUP(LEFT(AT176,2),УГО_спр,2,FALSE),""))))</f>
        <v>Розетка</v>
      </c>
      <c r="GL176" t="str">
        <f>IF(D176="","",IF(OR(GK176="",GK176=0),"BOX",IFERROR(IF(VLOOKUP(GK176,УГО_блоки,3,FALSE)&amp;""&lt;&gt;"",VLOOKUP(GK176,УГО_блоки,3,FALSE),VLOOKUP(GK176,УГО_блоки,2,FALSE)),GK176)))</f>
        <v>SOCKET</v>
      </c>
      <c r="GM176">
        <f t="shared" si="259"/>
        <v>1</v>
      </c>
      <c r="GN176" t="str">
        <f>IF(EP176="","",IF(COUNTIF(EP$3:EP176,EP176)=1,MAX(GN$2:GN175)+1,""))</f>
        <v/>
      </c>
      <c r="GO176" t="str">
        <f>IF(AF176="","",IF(COUNTIF(AF$3:AF176,AF176)+COUNTIF(AG$2:AG175,AF176)+COUNTIF(AH$2:AH175,AF176)=1,MAX(GO$2:GQ175)+1,""))</f>
        <v/>
      </c>
      <c r="GP176" t="str">
        <f>IF(AG176="","",IF(COUNTIF(AF$3:AF176,AG176)+COUNTIF(AG$3:AG176,AG176)+COUNTIF(AH$2:AH175,AG176)=1,MAX(GO$2:GQ175,GO176)+1,""))</f>
        <v/>
      </c>
      <c r="GQ176" t="str">
        <f>IF(AH176="","",IF(COUNTIF(AF$3:AF176,AH176)+COUNTIF(AG$3:AG176,AH176)+COUNTIF(AH$3:AH176,AH176)=1,MAX(GO$2:GQ175,GO176,GP176)+1,""))</f>
        <v/>
      </c>
      <c r="GR176" t="str">
        <f t="shared" si="260"/>
        <v>3х2,5</v>
      </c>
      <c r="GS176" t="str">
        <f>IF(GR176="","",IF(COUNTIF(GR$3:GR176,GR176)=1,MAX(GS$2:GS175)+1,""))</f>
        <v/>
      </c>
      <c r="GT176" t="str">
        <f>IF(ES176="","",COUNTIF(ES$3:ES176,"?*"))</f>
        <v/>
      </c>
      <c r="GU176" t="str">
        <f>IF(OR(ES176="",EU176=""),"",IF(COUNTIFS(ES$3:ES176,"?*",EU$3:EU176,EU176)=1,MAX(GU$2:GU175)+1,""))</f>
        <v/>
      </c>
      <c r="GV176">
        <f t="shared" si="261"/>
        <v>0</v>
      </c>
      <c r="GW176">
        <f>IF(D176="","",COUNTIF(D$3:D176,"?*"))</f>
        <v>174</v>
      </c>
      <c r="GX176">
        <f>IF(EX176&lt;&gt;1,0,_xlfn.LET(_xlpm.k,MAX(IFERROR(--VLOOKUP(D176,УГО_спр,5,FALSE),0),IFERROR(--VLOOKUP(AT176,УГО_спр,5,FALSE),0),IFERROR(--VLOOKUP(LEFT(AT176,2),УГО_спр,5,FALSE),0)),IF(_xlpm.k&gt;0,_xlpm.k,IF(IFERROR(--LEFT(SUBSTITUTE(GR176,"x","х"),FIND("х",SUBSTITUTE(GR176,"x","х"))-1),3)&gt;3,Каталог!$S$9,1))))</f>
        <v>1</v>
      </c>
      <c r="GY176">
        <f t="shared" si="262"/>
        <v>0</v>
      </c>
    </row>
    <row r="177" spans="1:207" x14ac:dyDescent="0.3">
      <c r="A177" t="s">
        <v>758</v>
      </c>
      <c r="B177">
        <v>32</v>
      </c>
      <c r="C177" t="str">
        <f>IF(BD177="","",IF(BE177="вводной узел","узел ","")&amp;"л."&amp;(INT((BD177-1)/Столбцов_на_лист)+1)&amp;" / "&amp;(MOD(BD177-1,Столбцов_на_лист)+1))</f>
        <v>л.2 / 15</v>
      </c>
      <c r="D177" t="s">
        <v>1481</v>
      </c>
      <c r="E177" s="133" t="str">
        <f t="shared" si="263"/>
        <v>Розеточная группа Подвальный этаж Пом. №008А</v>
      </c>
      <c r="G177">
        <v>0.12</v>
      </c>
      <c r="H177">
        <v>1</v>
      </c>
      <c r="I177">
        <v>1</v>
      </c>
      <c r="J177">
        <v>230</v>
      </c>
      <c r="K177" t="s">
        <v>566</v>
      </c>
      <c r="O177">
        <v>1</v>
      </c>
      <c r="P177">
        <v>44</v>
      </c>
      <c r="Q177">
        <v>41</v>
      </c>
      <c r="R177">
        <v>6</v>
      </c>
      <c r="S177">
        <v>0</v>
      </c>
      <c r="U177" t="s">
        <v>11</v>
      </c>
      <c r="V177">
        <v>3</v>
      </c>
      <c r="W177">
        <v>2.5</v>
      </c>
      <c r="X177">
        <v>16</v>
      </c>
      <c r="Z177" t="s">
        <v>565</v>
      </c>
      <c r="AA177" t="s">
        <v>818</v>
      </c>
      <c r="AD177" t="s">
        <v>517</v>
      </c>
      <c r="AK177" t="s">
        <v>488</v>
      </c>
      <c r="AR177" t="str">
        <f t="shared" si="176"/>
        <v/>
      </c>
      <c r="AS177" cm="1">
        <f t="array" ref="AS177">ROW()-ROW(Линии[#Headers])</f>
        <v>175</v>
      </c>
      <c r="AT177" t="str">
        <f t="shared" si="177"/>
        <v>R</v>
      </c>
      <c r="AU177" t="str">
        <f t="shared" si="178"/>
        <v>00.008А.1</v>
      </c>
      <c r="AV177" t="str">
        <f t="shared" si="179"/>
        <v>00</v>
      </c>
      <c r="AW177" t="str">
        <f t="shared" si="180"/>
        <v>008А.1</v>
      </c>
      <c r="AX177" t="str">
        <f t="shared" si="181"/>
        <v>008А</v>
      </c>
      <c r="AY177" t="str">
        <f>IF(D177="","",IF(ISERROR(SEARCH(".",D177)),IFERROR(VLOOKUP(D177,Потребители_обозначение,2,FALSE)&amp;"",""),IFERROR(IF(VLOOKUP(AT177,Потребители_обозначение,4,FALSE)=1,VLOOKUP(AT177,Потребители_обозначение,2,FALSE)&amp;" "&amp;VLOOKUP(AV177,Этаж_обозначение,2,FALSE)&amp;" Пом. №"&amp;AX177,VLOOKUP(AT177,Потребители_обозначение,2,FALSE)&amp;" Шлейф №"&amp;AV177),IFERROR(VLOOKUP(D177,Потребители_обозначение,2,FALSE),""))))</f>
        <v>Розеточная группа Подвальный этаж Пом. №008А</v>
      </c>
      <c r="AZ177" t="str">
        <f t="shared" si="182"/>
        <v>Розеточная группа Подвальный этаж Пом. №008А</v>
      </c>
      <c r="BA177" t="str">
        <f>IF(F177&lt;&gt;"",F177,IF(AND(D177&lt;&gt;"",D177&lt;&gt;A177,ISNUMBER(_xlfn.XMATCH(D177,Щиты[Щит]))),D177,""))</f>
        <v/>
      </c>
      <c r="BB177">
        <f>IFERROR(_xlfn.XMATCH(A177,Щиты[Щит]),0)</f>
        <v>8</v>
      </c>
      <c r="BC177">
        <f>IFERROR(N(_xlfn.XLOOKUP(A177,Щиты[Щит],Щиты[Мест под вводной узел])),15)</f>
        <v>7</v>
      </c>
      <c r="BD177">
        <f t="shared" si="183"/>
        <v>32</v>
      </c>
      <c r="BE177" t="str">
        <f t="shared" si="184"/>
        <v>линии</v>
      </c>
      <c r="BF177">
        <f>IF(D177="","",IF(BA177&lt;&gt;"",IFERROR(_xlfn.XLOOKUP(BA177,Щиты[Щит],Щиты[Руст, кВт]),0),N(G177)))</f>
        <v>0.12</v>
      </c>
      <c r="BG177">
        <f>IF(J177&lt;&gt;"",J177,IF(D177="","",IFERROR(IF(VLOOKUP(AT177,Потребители_обозначение,8,FALSE)=0,"",VLOOKUP(AT177,Потребители_обозначение,8,FALSE)),"")))</f>
        <v>230</v>
      </c>
      <c r="BH177">
        <f>IF(I177&lt;&gt;"",I177,IF(D177="","",IFERROR(IF(VLOOKUP(AT177,Потребители_обозначение,9,FALSE)=0,"",VLOOKUP(AT177,Потребители_обозначение,9,FALSE)),"")))</f>
        <v>1</v>
      </c>
      <c r="BI177" t="str">
        <f>IF(U177&lt;&gt;"",U177,IF(D177="","",IFERROR(IF(VLOOKUP(AT177,Потребители_обозначение,6,FALSE)=0,"",VLOOKUP(AT177,Потребители_обозначение,6,FALSE)),"")))</f>
        <v>мс</v>
      </c>
      <c r="BJ177">
        <f>IF(V177&lt;&gt;"",V177,IF(D177="","",IFERROR(IF(VLOOKUP(AT177,Потребители_обозначение,7,FALSE)=0,"",VLOOKUP(AT177,Потребители_обозначение,7,FALSE)),"")))</f>
        <v>3</v>
      </c>
      <c r="BK177">
        <f>IF(W177&lt;&gt;"",W177,IF(D177="","",IFERROR(IF(VLOOKUP(AT177,Потребители_обозначение,10,FALSE)=0,"",VLOOKUP(AT177,Потребители_обозначение,10,FALSE)),"")))</f>
        <v>2.5</v>
      </c>
      <c r="BL177">
        <f>IFERROR(VLOOKUP(AT177,Потребители_обозначение,5,FALSE),0)</f>
        <v>1</v>
      </c>
      <c r="BM177" cm="1">
        <f t="array" ref="BM177">IF(D177="","",IF(BA177&lt;&gt;"",IFERROR(_xlfn.XLOOKUP(BA177,Щиты[Щит],Щиты[cos φ]),0.95),IF(ISNUMBER(M177),M177,IFERROR(IF(BL177=2,_xlfn.IFS(BH177=3,VLOOKUP(BF177,Справочная_двигатели,8,FALSE),BH177=1,VLOOKUP(BF177,Справочная_двигатели,10,TRUE)),IF(AND(Методика="нормы 2026",CN177="Сил"),0.8,0.95)),0.95))))</f>
        <v>0.95</v>
      </c>
      <c r="BN177" cm="1">
        <f t="array" ref="BN177">IF(D177="","",IF(BA177&lt;&gt;"",IFERROR(_xlfn.XLOOKUP(BA177,Щиты[Щит],Щиты[Iр, А]),""),IFERROR(_xlfn.IFS(BH177=1,BF177/((Uн_лин/SQRT(3))*BM177),BH177=3,BF177/(SQRT(3)*Uн_лин*BM177)),"")))</f>
        <v>0.54696341291648753</v>
      </c>
      <c r="BO177">
        <f>IF(D177="","",IF(N(X177)=0,IFERROR(VLOOKUP(BN177,Автомат_номиналы,2,TRUE),""),X177))</f>
        <v>16</v>
      </c>
      <c r="BP177">
        <f t="shared" si="185"/>
        <v>1</v>
      </c>
      <c r="BQ177">
        <f>IF(ISNUMBER(Y177),Y177,К_прокл)</f>
        <v>1</v>
      </c>
      <c r="BR177">
        <f t="shared" si="186"/>
        <v>2</v>
      </c>
      <c r="BS177" cm="1">
        <f t="array" ref="BS177">IF(D177="","",IF(N(BK177)&lt;&gt;0,BK177,IFERROR(_xlfn.LET(_xlpm.need,BO177/(BP177*BQ177),_xlpm.t,CHOOSE(BR177,Iдоп_1ж,Iдоп_2ж,Iдоп_3ж),_xlpm.k,_xlfn.XMATCH(_xlpm.need,_xlpm.t,1),IF(ISNA(_xlpm.k),"Не исп",INDEX(Iдоп_S,_xlpm.k))),"Не исп")))</f>
        <v>2.5</v>
      </c>
      <c r="BT177">
        <f>IFERROR(VLOOKUP(BS177,Кабель_сопротивление,3,FALSE),"")</f>
        <v>2.2499999999999999E-2</v>
      </c>
      <c r="BU177">
        <f>IFERROR(VLOOKUP(BS177,Кабель_сопротивление,2,FALSE),"")</f>
        <v>0.1</v>
      </c>
      <c r="BV177">
        <f t="shared" si="187"/>
        <v>44</v>
      </c>
      <c r="BW177">
        <f>IF(D177="","",IFERROR(IF(VLOOKUP(AT177,Потребители_обозначение,4,FALSE)=1,VLOOKUP(AT177,Потребители_обозначение,3,FALSE)*(H177*2-1)+BV177+VLOOKUP(AV177,Этаж_обозначение,3,FALSE)+VLOOKUP(AV177,Этаж_обозначение,4,FALSE),VLOOKUP(AT177,Потребители_обозначение,3,FALSE)*(H177*2-1)+BV177),BV177))</f>
        <v>47</v>
      </c>
      <c r="BX177">
        <f t="shared" si="188"/>
        <v>6</v>
      </c>
      <c r="BY177">
        <f t="shared" si="189"/>
        <v>0</v>
      </c>
      <c r="BZ177">
        <f t="shared" si="190"/>
        <v>2</v>
      </c>
      <c r="CA177">
        <f t="shared" si="191"/>
        <v>0.31</v>
      </c>
      <c r="CB177">
        <f t="shared" si="192"/>
        <v>0.44118834634621956</v>
      </c>
      <c r="CC177">
        <f>IFERROR(ROUNDUP(CB177/((Uн_лин/SQRT(3))*1000)*100,2),"")</f>
        <v>0.2</v>
      </c>
      <c r="CD177">
        <f>IF(ISNUMBER(CC177),CC177+IFERROR(_xlfn.XLOOKUP(A177,Щиты[Щит],Щиты[ΔU до шин, %]),0),"")</f>
        <v>1.77</v>
      </c>
      <c r="CE177">
        <f>IF(D177="","",IF(IFERROR(VLOOKUP(AT177,УГО_спр,2,FALSE),"")="Светильник",3,4)+IF(Методика="нормы 2026",MIN(0.5,MAX(0,N(BW177)-100)*0.005),0))</f>
        <v>4</v>
      </c>
      <c r="CF177" t="str">
        <f>IFERROR(VLOOKUP(BI177,Кабель_обозначение,2,FALSE),"")</f>
        <v>ВВГнг(А)-LS</v>
      </c>
      <c r="CG177" t="str">
        <f>IFERROR(IF(VLOOKUP(BI177,Кабель_обозначение,3,FALSE)=1,CF177&amp;" ("&amp;BJ177&amp;"х"&amp;BS177&amp;")",CF177),"")</f>
        <v>ВВГнг(А)-LS (3х2,5)</v>
      </c>
      <c r="CH177" t="str">
        <f t="shared" si="193"/>
        <v>ВВГнг(А)-LS (3х2,5)
L=47-0,2%</v>
      </c>
      <c r="CI177">
        <f>IFERROR(2*ρкз_Cu*BW177/BS177,"")</f>
        <v>0.98887999999999998</v>
      </c>
      <c r="CJ177">
        <f t="shared" si="194"/>
        <v>0.32900000000000007</v>
      </c>
      <c r="CK177" t="str">
        <f>IFERROR(IF(OR(D177="",NOT(ISNUMBER(BS177)),N(BW177)=0),"",_xlfn.XLOOKUP(A177,Щиты[Щит],Щиты[Zпетли на шинах, Ом])+CI177),"")</f>
        <v/>
      </c>
      <c r="CL177" t="str">
        <f>IF(ISNUMBER(CK177),c_min*(Uн_лин*1000/SQRT(3))/CK177,"")</f>
        <v/>
      </c>
      <c r="CM177" t="str">
        <f>IFERROR(IF(OR(D177="",NOT(ISNUMBER(BS177))),"",1.05*(Uн_лин*1000/SQRT(3))/(_xlfn.XLOOKUP(A177,Щиты[Щит],Щиты[Zmax на шинах, Ом])+CJ177)/1000),"")</f>
        <v/>
      </c>
      <c r="CN177" t="str">
        <f>IF(D177="","",IF(BA177&lt;&gt;"","Щит",IF(K177&lt;&gt;"",K177,IF(ISNUMBER(L177),"Сил",IF(IFERROR(_xlfn.XLOOKUP(AT177,Коды_код,Коды_группа)&amp;"","")="","Быт",_xlfn.XLOOKUP(AT177,Коды_код,Коды_группа)&amp;"")))))</f>
        <v>Быт</v>
      </c>
      <c r="CO177">
        <f>IF(CN177="Щит","щит",IF(CN177="","",IF(CN177="Быт",IFERROR(_xlfn.XLOOKUP(A177,Щиты[Щит],Щиты[Кс быт]),1),IF(CN177="Сил",IF(ISNUMBER(L177),L177,IF(Методика="нормы 2026",IFERROR(_xlfn.XLOOKUP(A177,Щиты[Щит],Щиты[Кс силовых (табл. 7.5)]),1),1)),IF(OR(CN177="Пост",CN177="Отоп"),1,IF(CN177="ВНГ",0.7,0))))))</f>
        <v>0.8</v>
      </c>
      <c r="CP177">
        <f t="shared" si="195"/>
        <v>1</v>
      </c>
      <c r="CQ177">
        <f t="shared" si="196"/>
        <v>0.12</v>
      </c>
      <c r="CR177">
        <f t="shared" si="197"/>
        <v>0.12</v>
      </c>
      <c r="CS177">
        <f t="shared" si="198"/>
        <v>0</v>
      </c>
      <c r="CT177">
        <f t="shared" si="199"/>
        <v>0</v>
      </c>
      <c r="CU177">
        <f t="shared" si="200"/>
        <v>0</v>
      </c>
      <c r="CV177">
        <f t="shared" si="201"/>
        <v>0</v>
      </c>
      <c r="CW177">
        <f t="shared" si="202"/>
        <v>0.12</v>
      </c>
      <c r="CX177">
        <f t="shared" si="203"/>
        <v>0.11399999999999999</v>
      </c>
      <c r="CY177">
        <f t="shared" si="204"/>
        <v>2</v>
      </c>
      <c r="CZ177" t="str">
        <f t="shared" si="205"/>
        <v>L2</v>
      </c>
      <c r="DA177" cm="1">
        <f t="array" ref="DA177">IFERROR(IF(BL177=2,_xlfn.IFS(BH177=3,VLOOKUP(BF177,Справочная_двигатели,3,FALSE),BH177=1,VLOOKUP(BF177,Справочная_двигатели,5,TRUE)),0),0)</f>
        <v>0</v>
      </c>
      <c r="DB177">
        <f>IFERROR(IF(BL177=3,VLOOKUP(BF177,Справочная_ЛЭД,2,TRUE),0),0)</f>
        <v>0</v>
      </c>
      <c r="DC177">
        <f t="shared" si="206"/>
        <v>0</v>
      </c>
      <c r="DD177" t="str">
        <f t="shared" si="207"/>
        <v>L1</v>
      </c>
      <c r="DE177" t="str" cm="1">
        <f t="array" ref="DE177">IF(D177="","",IFERROR(INDEX({"I особая","I","II","III"},MATCH(TRIM(AA177&amp;""),{"I особая","I","II","III"},0)),"III"))</f>
        <v>II</v>
      </c>
      <c r="DF177" t="str">
        <f>IF(D177="","",IF(TRIM(AB177&amp;"")&lt;&gt;"",IF(LOWER(TRIM(AB177&amp;""))="да","да","нет"),IF(IFERROR(_xlfn.XLOOKUP(AT177,Коды_код,Коды_пожарная),"")="да","да","нет")))</f>
        <v>нет</v>
      </c>
      <c r="DG177" t="str">
        <f t="shared" si="208"/>
        <v/>
      </c>
      <c r="DH177" t="str">
        <f t="shared" si="209"/>
        <v>основная</v>
      </c>
      <c r="DI177">
        <f t="shared" si="210"/>
        <v>1</v>
      </c>
      <c r="DJ177" t="str" cm="1">
        <f t="array" ref="DJ177">IF(D177="","",_xlfn.LET(_xlpm.t,IFERROR(_xlfn.XLOOKUP(1,(Шины[Шина]=DH177)*(((Шины[Щит]=A177)+(Шины[Щит]=""))&gt;0),Шины[Тип]),"")&amp;"",IF(_xlpm.t&lt;&gt;"",_xlpm.t,IF(ISNUMBER(SEARCH("ИБП",DH177)),"ИБП",IF(ISNUMBER(SEARCH("ДГУ",DH177)),"ДГУ","Ввод "&amp;DI177)))))</f>
        <v>Ввод 1</v>
      </c>
      <c r="DK177" t="str">
        <f t="shared" si="211"/>
        <v>Ввод 1</v>
      </c>
      <c r="DL177" t="str">
        <f>IF(D177="","",IF(OR(DJ177="ИБП",DJ177="ДГУ"),"I особая",IF(DJ177="Одиночная","III",_xlfn.XLOOKUP(A177,Щиты[Щит],Щиты[Категория шины «Ввод»],"III"))))</f>
        <v>II</v>
      </c>
      <c r="DM177">
        <f>IF(D177="",0,IFERROR(MATCH(DE177,{"III","II","I","I особая"},0),1))</f>
        <v>2</v>
      </c>
      <c r="DN177">
        <f t="shared" si="212"/>
        <v>2</v>
      </c>
      <c r="DO177" t="str">
        <f>IF(D177="","",IF(DM177&gt;IFERROR(MATCH(DL177,{"III","II","I","I особая"},0),1),"НЕ ОБЕСПЕЧЕНА","ОК"))</f>
        <v>ОК</v>
      </c>
      <c r="DP177" t="str">
        <f>IF(A177="","",_xlfn.XLOOKUP(A177,Щиты[Щит],Щиты[Путь],""))</f>
        <v>|ГРЩ-ЖД|ЩР-001|</v>
      </c>
      <c r="DQ177" t="str">
        <f>IF(D177="","",IF(Z177&lt;&gt;"",Z177,IF(IFERROR(_xlfn.XLOOKUP(AT177,Коды_код,Коды_вид)&amp;"","")="","Прочее",_xlfn.XLOOKUP(AT177,Коды_код,Коды_вид)&amp;"")))</f>
        <v>Розеточная сеть и бытовые приборы</v>
      </c>
      <c r="DR177">
        <f>IF(BD177="","",INT((BD177-1)/Столбцов_на_лист)+1)</f>
        <v>2</v>
      </c>
      <c r="DS177" t="str">
        <f t="shared" si="213"/>
        <v>ВВГнг(А)-LS (3х2,5) L=47-0,2%</v>
      </c>
      <c r="DT177">
        <f t="shared" si="214"/>
        <v>0.12</v>
      </c>
      <c r="DU177">
        <f t="shared" si="215"/>
        <v>0.55000000000000004</v>
      </c>
      <c r="DV177">
        <f t="shared" si="216"/>
        <v>1</v>
      </c>
      <c r="DW177">
        <f>IF(AT177="",0,_xlfn.LET(_xlpm.v,IFERROR(VLOOKUP(D177,УГО_спр,3,FALSE),IFERROR(VLOOKUP(AT177,УГО_спр,3,FALSE),IFERROR(VLOOKUP(LEFT(AT177,2),УГО_спр,3,FALSE),""))),IF(_xlpm.v="да",30,IF(ISNUMBER(_xlpm.v),_xlpm.v,0))))</f>
        <v>30</v>
      </c>
      <c r="DX177">
        <f t="shared" si="217"/>
        <v>0</v>
      </c>
      <c r="DY177">
        <f>IF(BD177="","",IF(AD177&lt;&gt;"",COUNTIFS(A$3:A177,A177,AD$3:AD177,"?*"),IF(OR(OR(AS177=1,A177&lt;&gt;A176),AL177="вручную"),"",IF(AS177=1,"",DZ176))))</f>
        <v>23</v>
      </c>
      <c r="DZ177">
        <f t="shared" si="218"/>
        <v>23</v>
      </c>
      <c r="EA177">
        <f>IF(D177="",0,MAX(IFERROR(--X177,0),IFERROR(--VLOOKUP(D177,УГО_спр,4,FALSE),IFERROR(--VLOOKUP(AT177,УГО_спр,4,FALSE),IFERROR(--VLOOKUP(LEFT(AT177,2),УГО_спр,4,FALSE),0)))))</f>
        <v>16</v>
      </c>
      <c r="EB177">
        <f>IF(D177="","",IFERROR(LOOKUP(INDEX(CHOOSE(BR177,Iдоп_1ж,Iдоп_2ж,Iдоп_3ж),MATCH(BS177,Iдоп_S,0))*BP177*BQ177,{6,10,16,20,25,32,40,50,63,80,100,125,160,200,250,315,400,500,630}),""))</f>
        <v>25</v>
      </c>
      <c r="EC177">
        <f>IF(AD177="","",SUMIFS(Линии[_Ток схемы],Линии[_гр.],DY177,Линии[Щит],A177,Линии[_в кабель выше],0))</f>
        <v>0.55000000000000004</v>
      </c>
      <c r="ED177">
        <f>IF(AD177="","",IFERROR(VLOOKUP(EC177,Автомат_номиналы,2,TRUE),""))</f>
        <v>6</v>
      </c>
      <c r="EE177">
        <f>IF(AD177="","",MAX(N(ED177),_xlfn.MAXIFS(Линии[_мин. по типу],Линии[_гр.],DY177,Линии[Щит],A177)))</f>
        <v>16</v>
      </c>
      <c r="EF177">
        <f>IF(AD177="","",_xlfn.MINIFS(Линии[_макс. автомат по кабелю],Линии[_гр.],DY177,Линии[Щит],A177))</f>
        <v>25</v>
      </c>
      <c r="EG177">
        <f>IF(AD177="","",MAX(1,_xlfn.MAXIFS(Линии[_фаз],Линии[_гр.],DY177,Линии[Щит],A177)))</f>
        <v>1</v>
      </c>
      <c r="EH177">
        <f>IF(AD177="","",IF(AND(AD177&lt;&gt;"авто",AD177&lt;&gt;"+"),IF(ISNUMBER(SEARCH("мА",AD177)),IFERROR(--TRIM(RIGHT(SUBSTITUTE(LEFT(AD177,SEARCH("мА",AD177)-1)," ",REPT(" ",9)),6)),30),0),IF(AE177="нет",0,IF(ISNUMBER(AE177),AE177,IF(AE177="да",30,_xlfn.MINIFS(Линии[_дифзащита по коду, мА],Линии[_гр.],DY177,Линии[Щит],A177,Линии[_дифзащита по коду, мА],"&gt;0"))))))</f>
        <v>30</v>
      </c>
      <c r="EI177">
        <f t="shared" si="219"/>
        <v>1</v>
      </c>
      <c r="EJ177" t="str">
        <f t="shared" si="220"/>
        <v>QFD23</v>
      </c>
      <c r="EK177" t="str">
        <f t="shared" si="221"/>
        <v>QFD23</v>
      </c>
      <c r="EL177" t="str">
        <f t="shared" si="222"/>
        <v/>
      </c>
      <c r="EM177">
        <f t="shared" si="223"/>
        <v>0</v>
      </c>
      <c r="EN177">
        <f>IF(AD177="","",IF(EM177=1,MAX(EE177,Мин_автомат_БП),EE177))</f>
        <v>16</v>
      </c>
      <c r="EO177" t="str">
        <f t="shared" si="224"/>
        <v>2P</v>
      </c>
      <c r="EP177" t="str">
        <f t="shared" si="225"/>
        <v>2P С16А 30мА</v>
      </c>
      <c r="EQ177">
        <f t="shared" si="226"/>
        <v>16</v>
      </c>
      <c r="ER177" t="str">
        <f>IF(OR(AI177="",AI177="-"),"",IFERROR(VLOOKUP(AI177,Модули_спр,2,FALSE),"R"))</f>
        <v/>
      </c>
      <c r="ES177" t="str">
        <f>IF(ER177="","",ER177&amp;"."&amp;COUNTIFS(A$3:A177,A177,ER$3:ER177,ER177))</f>
        <v/>
      </c>
      <c r="ET177" t="str">
        <f t="shared" si="227"/>
        <v/>
      </c>
      <c r="EU177" t="str">
        <f t="shared" si="228"/>
        <v/>
      </c>
      <c r="EV177" t="str">
        <f t="shared" si="229"/>
        <v/>
      </c>
      <c r="EW177" t="str">
        <f t="shared" si="230"/>
        <v/>
      </c>
      <c r="EX177">
        <f t="shared" si="231"/>
        <v>1</v>
      </c>
      <c r="EY177" t="str">
        <f>IF(AK177="нет","",IF(AK177&lt;&gt;"",AK177,IF(EX177=1,"XT"&amp;COUNTIFS(A$3:A177,A177,EX$3:EX177,1),"")))</f>
        <v/>
      </c>
      <c r="EZ177" t="str">
        <f t="shared" si="232"/>
        <v>QFD23</v>
      </c>
      <c r="FA177" t="str">
        <f t="shared" si="233"/>
        <v/>
      </c>
      <c r="FB177" t="str">
        <f t="shared" si="234"/>
        <v>ok</v>
      </c>
      <c r="FC177" t="str">
        <f>IF(OR(EV177="",ET177=""),"",IF(EV177&gt;IFERROR(VLOOKUP(EU177,Модули_спр,3,FALSE),99),"ЛИШНИЙ КАНАЛ",IF(AND(AJ177&lt;&gt;"=",COUNTIFS(Линии[_модуль гр.],ET177,Линии[Канал (итог)],EV177,Линии[Канал],"&lt;&gt;=",Линии[Щит],A177)&gt;1),"ДУБЛЬ КАНАЛА","")))</f>
        <v/>
      </c>
      <c r="FD177">
        <f t="shared" si="235"/>
        <v>16</v>
      </c>
      <c r="FE177" t="str">
        <f t="shared" si="236"/>
        <v>2P С16А 30мА</v>
      </c>
      <c r="FF177">
        <f t="shared" si="237"/>
        <v>1</v>
      </c>
      <c r="FG177">
        <f t="shared" si="238"/>
        <v>30</v>
      </c>
      <c r="FH177" t="str">
        <f t="shared" si="239"/>
        <v/>
      </c>
      <c r="FI177">
        <f t="shared" si="240"/>
        <v>10</v>
      </c>
      <c r="FJ177" t="str">
        <f t="shared" si="241"/>
        <v/>
      </c>
      <c r="FK177" t="str">
        <f>IF(AND(D177="",EZ177=""),"",_xlfn.TEXTJOIN("; ",TRUE,IF(AND(D177&lt;&gt;"",DD177=""),"нет фазы",""),IF(AND(D177&lt;&gt;"",N(DT177)=0,CN177&lt;&gt;"Нет"),"нет мощности",""),IF(AND(EY177&lt;&gt;"",COUNTIFS(Линии[Щит],A177,Линии[Клемма (итог)],EY177)&gt;1),"дубль клеммы "&amp;EY177,""),IF(AND(FB177&lt;&gt;"",FB177&lt;&gt;"ok"),FB177,""),IF(FC177&lt;&gt;"",FC177,""),IF(AND(ISNUMBER(SEARCH("(5х",DS177)),N(DV177)=1),"5 жил на 1 фазе",""),IF(AND(AT177="R",AD177&lt;&gt;"",OR(N(EH177)=0,N(EH177)&gt;30)),"розетка без дифзащиты до 30 мА",""),IFERROR(IF(AND(ISNUMBER(CD177),CD177&gt;CE177),"потери "&amp;FIXED(CD177,1)&amp;" % &gt; "&amp;CE177&amp;" %",""),""),IFERROR(IF(LEFT(FJ177,4)="мало","Iкз мало — отключение &gt; 0,4 с",""),""),IF(AND(D177&lt;&gt;"",BD177=""),"не на схеме","")))</f>
        <v/>
      </c>
      <c r="FL177">
        <f>IF(AD177="","",_xlfn.LET(_xlpm.t,IFERROR(_xlfn.XLOOKUP(EP177,Каталог!$U$4:$U$500,Каталог!$G$4:$G$500),""),_xlpm.k,SEARCH("кА",_xlpm.t),IFERROR(--TRIM(RIGHT(SUBSTITUTE(MID(_xlpm.t,MAX(1,_xlpm.k-4),_xlpm.k-MAX(1,_xlpm.k-4))," ",REPT(" ",9)),5)),"")))</f>
        <v>6</v>
      </c>
      <c r="FM177" t="str">
        <f>IF(OR(FL177="",AD177=""),"",IF(_xlfn.XLOOKUP(A177,Щиты[Щит],Щиты[Iкз max на шинах, кА],"")="","",IF(FL177&lt;_xlfn.XLOOKUP(A177,Щиты[Щит],Щиты[Iкз max на шинах, кА]),"Icu "&amp;FL177&amp;" кА &lt; Iкз max","ok")))</f>
        <v/>
      </c>
      <c r="FN177" t="str">
        <f t="shared" si="242"/>
        <v>QFD23</v>
      </c>
      <c r="FO177" t="str">
        <f t="shared" si="243"/>
        <v>QFD23|кабель ВВГнг(А)-LS (3х2,5) → Розеточная группа Подвальный этаж Пом. №008А</v>
      </c>
      <c r="FP177" t="str" cm="1">
        <f t="array" ref="FP177">IF(FO177="","",_xlfn.LET(_xlpm.nd,_xlfn.TEXTSPLIT(FO177,"|"),IF(COLUMNS(_xlpm.nd)&gt;1,A177&amp;"¦"&amp;INDEX(_xlpm.nd,1)&amp;"¦"&amp;INDEX(_xlpm.nd,2),"")))</f>
        <v>ЩР-001¦QFD23¦кабель ВВГнг(А)-LS (3х2,5) → Розеточная группа Подвальный этаж Пом. №008А</v>
      </c>
      <c r="FQ177" t="str">
        <f t="shared" si="244"/>
        <v>R.00.008А.1¦Розеточная группа Подвальный этаж Пом. №008А</v>
      </c>
      <c r="FR177" t="str" cm="1">
        <f t="array" ref="FR177">IF(FO177="","",_xlfn.LET(_xlpm.nd,_xlfn.TEXTSPLIT(FO177,"|"),IF(COLUMNS(_xlpm.nd)&gt;2,A177&amp;"¦"&amp;INDEX(_xlpm.nd,2)&amp;"¦"&amp;INDEX(_xlpm.nd,3),"")))</f>
        <v/>
      </c>
      <c r="FS177" t="str">
        <f t="shared" si="245"/>
        <v/>
      </c>
      <c r="FT177" t="str" cm="1">
        <f t="array" ref="FT177">IF(FO177="","",_xlfn.LET(_xlpm.nd,_xlfn.TEXTSPLIT(FO177,"|"),IF(COLUMNS(_xlpm.nd)&gt;3,A177&amp;"¦"&amp;INDEX(_xlpm.nd,3)&amp;"¦"&amp;INDEX(_xlpm.nd,4),"")))</f>
        <v/>
      </c>
      <c r="FU177" t="str">
        <f t="shared" si="246"/>
        <v/>
      </c>
      <c r="FV177" t="str" cm="1">
        <f t="array" ref="FV177">IF(FO177="","",_xlfn.LET(_xlpm.nd,_xlfn.TEXTSPLIT(FO177,"|"),IF(COLUMNS(_xlpm.nd)&gt;4,A177&amp;"¦"&amp;INDEX(_xlpm.nd,4)&amp;"¦"&amp;INDEX(_xlpm.nd,5),"")))</f>
        <v/>
      </c>
      <c r="FW177" t="str">
        <f t="shared" si="247"/>
        <v/>
      </c>
      <c r="FX177" t="str" cm="1">
        <f t="array" ref="FX177">IF(FO177="","",_xlfn.LET(_xlpm.nd,_xlfn.TEXTSPLIT(FO177,"|"),IF(COLUMNS(_xlpm.nd)&gt;5,A177&amp;"¦"&amp;INDEX(_xlpm.nd,5)&amp;"¦"&amp;INDEX(_xlpm.nd,6),"")))</f>
        <v/>
      </c>
      <c r="FY177" t="str">
        <f t="shared" si="248"/>
        <v/>
      </c>
      <c r="FZ177" t="str" cm="1">
        <f t="array" ref="FZ177">IF(FO177="","",_xlfn.LET(_xlpm.nd,_xlfn.TEXTSPLIT(FO177,"|"),IF(COLUMNS(_xlpm.nd)&gt;6,A177&amp;"¦"&amp;INDEX(_xlpm.nd,6)&amp;"¦"&amp;INDEX(_xlpm.nd,7),"")))</f>
        <v/>
      </c>
      <c r="GA177" t="str">
        <f t="shared" si="249"/>
        <v/>
      </c>
      <c r="GB177" t="str">
        <f t="shared" si="250"/>
        <v/>
      </c>
      <c r="GC177" t="str">
        <f t="shared" si="251"/>
        <v>QFD23</v>
      </c>
      <c r="GD177">
        <f t="shared" si="252"/>
        <v>1</v>
      </c>
      <c r="GE177">
        <f t="shared" si="253"/>
        <v>0</v>
      </c>
      <c r="GF177">
        <f t="shared" si="254"/>
        <v>1</v>
      </c>
      <c r="GG177" t="str">
        <f t="shared" si="255"/>
        <v/>
      </c>
      <c r="GH177" t="str">
        <f t="shared" si="256"/>
        <v/>
      </c>
      <c r="GI177" t="str">
        <f t="shared" si="257"/>
        <v/>
      </c>
      <c r="GJ177" t="str">
        <f t="shared" si="258"/>
        <v/>
      </c>
      <c r="GK177" t="str">
        <f>IF(D177="","",IFERROR(VLOOKUP(D177,УГО_спр,2,FALSE),IFERROR(VLOOKUP(AT177,УГО_спр,2,FALSE),IFERROR(VLOOKUP(LEFT(AT177,2),УГО_спр,2,FALSE),""))))</f>
        <v>Розетка</v>
      </c>
      <c r="GL177" t="str">
        <f>IF(D177="","",IF(OR(GK177="",GK177=0),"BOX",IFERROR(IF(VLOOKUP(GK177,УГО_блоки,3,FALSE)&amp;""&lt;&gt;"",VLOOKUP(GK177,УГО_блоки,3,FALSE),VLOOKUP(GK177,УГО_блоки,2,FALSE)),GK177)))</f>
        <v>SOCKET</v>
      </c>
      <c r="GM177">
        <f t="shared" si="259"/>
        <v>1</v>
      </c>
      <c r="GN177" t="str">
        <f>IF(EP177="","",IF(COUNTIF(EP$3:EP177,EP177)=1,MAX(GN$2:GN176)+1,""))</f>
        <v/>
      </c>
      <c r="GO177" t="str">
        <f>IF(AF177="","",IF(COUNTIF(AF$3:AF177,AF177)+COUNTIF(AG$2:AG176,AF177)+COUNTIF(AH$2:AH176,AF177)=1,MAX(GO$2:GQ176)+1,""))</f>
        <v/>
      </c>
      <c r="GP177" t="str">
        <f>IF(AG177="","",IF(COUNTIF(AF$3:AF177,AG177)+COUNTIF(AG$3:AG177,AG177)+COUNTIF(AH$2:AH176,AG177)=1,MAX(GO$2:GQ176,GO177)+1,""))</f>
        <v/>
      </c>
      <c r="GQ177" t="str">
        <f>IF(AH177="","",IF(COUNTIF(AF$3:AF177,AH177)+COUNTIF(AG$3:AG177,AH177)+COUNTIF(AH$3:AH177,AH177)=1,MAX(GO$2:GQ176,GO177,GP177)+1,""))</f>
        <v/>
      </c>
      <c r="GR177" t="str">
        <f t="shared" si="260"/>
        <v>3х2,5</v>
      </c>
      <c r="GS177" t="str">
        <f>IF(GR177="","",IF(COUNTIF(GR$3:GR177,GR177)=1,MAX(GS$2:GS176)+1,""))</f>
        <v/>
      </c>
      <c r="GT177" t="str">
        <f>IF(ES177="","",COUNTIF(ES$3:ES177,"?*"))</f>
        <v/>
      </c>
      <c r="GU177" t="str">
        <f>IF(OR(ES177="",EU177=""),"",IF(COUNTIFS(ES$3:ES177,"?*",EU$3:EU177,EU177)=1,MAX(GU$2:GU176)+1,""))</f>
        <v/>
      </c>
      <c r="GV177">
        <f t="shared" si="261"/>
        <v>0</v>
      </c>
      <c r="GW177">
        <f>IF(D177="","",COUNTIF(D$3:D177,"?*"))</f>
        <v>175</v>
      </c>
      <c r="GX177">
        <f>IF(EX177&lt;&gt;1,0,_xlfn.LET(_xlpm.k,MAX(IFERROR(--VLOOKUP(D177,УГО_спр,5,FALSE),0),IFERROR(--VLOOKUP(AT177,УГО_спр,5,FALSE),0),IFERROR(--VLOOKUP(LEFT(AT177,2),УГО_спр,5,FALSE),0)),IF(_xlpm.k&gt;0,_xlpm.k,IF(IFERROR(--LEFT(SUBSTITUTE(GR177,"x","х"),FIND("х",SUBSTITUTE(GR177,"x","х"))-1),3)&gt;3,Каталог!$S$9,1))))</f>
        <v>1</v>
      </c>
      <c r="GY177">
        <f t="shared" si="262"/>
        <v>0</v>
      </c>
    </row>
    <row r="178" spans="1:207" x14ac:dyDescent="0.3">
      <c r="A178" t="s">
        <v>758</v>
      </c>
      <c r="B178">
        <v>33</v>
      </c>
      <c r="C178" t="str">
        <f>IF(BD178="","",IF(BE178="вводной узел","узел ","")&amp;"л."&amp;(INT((BD178-1)/Столбцов_на_лист)+1)&amp;" / "&amp;(MOD(BD178-1,Столбцов_на_лист)+1))</f>
        <v>л.2 / 16</v>
      </c>
      <c r="D178" t="s">
        <v>1482</v>
      </c>
      <c r="E178" s="133" t="str">
        <f t="shared" si="263"/>
        <v>Розеточная группа Подвальный этаж Пом. №002Б</v>
      </c>
      <c r="G178">
        <v>0.06</v>
      </c>
      <c r="H178">
        <v>1</v>
      </c>
      <c r="I178">
        <v>1</v>
      </c>
      <c r="J178">
        <v>230</v>
      </c>
      <c r="K178" t="s">
        <v>566</v>
      </c>
      <c r="O178">
        <v>3</v>
      </c>
      <c r="P178">
        <v>28</v>
      </c>
      <c r="Q178">
        <v>24</v>
      </c>
      <c r="R178">
        <v>7</v>
      </c>
      <c r="S178">
        <v>0</v>
      </c>
      <c r="U178" t="s">
        <v>11</v>
      </c>
      <c r="V178">
        <v>3</v>
      </c>
      <c r="W178">
        <v>2.5</v>
      </c>
      <c r="X178">
        <v>16</v>
      </c>
      <c r="Z178" t="s">
        <v>565</v>
      </c>
      <c r="AA178" t="s">
        <v>818</v>
      </c>
      <c r="AD178" t="s">
        <v>517</v>
      </c>
      <c r="AK178" t="s">
        <v>488</v>
      </c>
      <c r="AR178" t="str">
        <f t="shared" si="176"/>
        <v/>
      </c>
      <c r="AS178" cm="1">
        <f t="array" ref="AS178">ROW()-ROW(Линии[#Headers])</f>
        <v>176</v>
      </c>
      <c r="AT178" t="str">
        <f t="shared" si="177"/>
        <v>R</v>
      </c>
      <c r="AU178" t="str">
        <f t="shared" si="178"/>
        <v>00.002Б.1</v>
      </c>
      <c r="AV178" t="str">
        <f t="shared" si="179"/>
        <v>00</v>
      </c>
      <c r="AW178" t="str">
        <f t="shared" si="180"/>
        <v>002Б.1</v>
      </c>
      <c r="AX178" t="str">
        <f t="shared" si="181"/>
        <v>002Б</v>
      </c>
      <c r="AY178" t="str">
        <f>IF(D178="","",IF(ISERROR(SEARCH(".",D178)),IFERROR(VLOOKUP(D178,Потребители_обозначение,2,FALSE)&amp;"",""),IFERROR(IF(VLOOKUP(AT178,Потребители_обозначение,4,FALSE)=1,VLOOKUP(AT178,Потребители_обозначение,2,FALSE)&amp;" "&amp;VLOOKUP(AV178,Этаж_обозначение,2,FALSE)&amp;" Пом. №"&amp;AX178,VLOOKUP(AT178,Потребители_обозначение,2,FALSE)&amp;" Шлейф №"&amp;AV178),IFERROR(VLOOKUP(D178,Потребители_обозначение,2,FALSE),""))))</f>
        <v>Розеточная группа Подвальный этаж Пом. №002Б</v>
      </c>
      <c r="AZ178" t="str">
        <f t="shared" si="182"/>
        <v>Розеточная группа Подвальный этаж Пом. №002Б</v>
      </c>
      <c r="BA178" t="str">
        <f>IF(F178&lt;&gt;"",F178,IF(AND(D178&lt;&gt;"",D178&lt;&gt;A178,ISNUMBER(_xlfn.XMATCH(D178,Щиты[Щит]))),D178,""))</f>
        <v/>
      </c>
      <c r="BB178">
        <f>IFERROR(_xlfn.XMATCH(A178,Щиты[Щит]),0)</f>
        <v>8</v>
      </c>
      <c r="BC178">
        <f>IFERROR(N(_xlfn.XLOOKUP(A178,Щиты[Щит],Щиты[Мест под вводной узел])),15)</f>
        <v>7</v>
      </c>
      <c r="BD178">
        <f t="shared" si="183"/>
        <v>33</v>
      </c>
      <c r="BE178" t="str">
        <f t="shared" si="184"/>
        <v>линии</v>
      </c>
      <c r="BF178">
        <f>IF(D178="","",IF(BA178&lt;&gt;"",IFERROR(_xlfn.XLOOKUP(BA178,Щиты[Щит],Щиты[Руст, кВт]),0),N(G178)))</f>
        <v>0.06</v>
      </c>
      <c r="BG178">
        <f>IF(J178&lt;&gt;"",J178,IF(D178="","",IFERROR(IF(VLOOKUP(AT178,Потребители_обозначение,8,FALSE)=0,"",VLOOKUP(AT178,Потребители_обозначение,8,FALSE)),"")))</f>
        <v>230</v>
      </c>
      <c r="BH178">
        <f>IF(I178&lt;&gt;"",I178,IF(D178="","",IFERROR(IF(VLOOKUP(AT178,Потребители_обозначение,9,FALSE)=0,"",VLOOKUP(AT178,Потребители_обозначение,9,FALSE)),"")))</f>
        <v>1</v>
      </c>
      <c r="BI178" t="str">
        <f>IF(U178&lt;&gt;"",U178,IF(D178="","",IFERROR(IF(VLOOKUP(AT178,Потребители_обозначение,6,FALSE)=0,"",VLOOKUP(AT178,Потребители_обозначение,6,FALSE)),"")))</f>
        <v>мс</v>
      </c>
      <c r="BJ178">
        <f>IF(V178&lt;&gt;"",V178,IF(D178="","",IFERROR(IF(VLOOKUP(AT178,Потребители_обозначение,7,FALSE)=0,"",VLOOKUP(AT178,Потребители_обозначение,7,FALSE)),"")))</f>
        <v>3</v>
      </c>
      <c r="BK178">
        <f>IF(W178&lt;&gt;"",W178,IF(D178="","",IFERROR(IF(VLOOKUP(AT178,Потребители_обозначение,10,FALSE)=0,"",VLOOKUP(AT178,Потребители_обозначение,10,FALSE)),"")))</f>
        <v>2.5</v>
      </c>
      <c r="BL178">
        <f>IFERROR(VLOOKUP(AT178,Потребители_обозначение,5,FALSE),0)</f>
        <v>1</v>
      </c>
      <c r="BM178" cm="1">
        <f t="array" ref="BM178">IF(D178="","",IF(BA178&lt;&gt;"",IFERROR(_xlfn.XLOOKUP(BA178,Щиты[Щит],Щиты[cos φ]),0.95),IF(ISNUMBER(M178),M178,IFERROR(IF(BL178=2,_xlfn.IFS(BH178=3,VLOOKUP(BF178,Справочная_двигатели,8,FALSE),BH178=1,VLOOKUP(BF178,Справочная_двигатели,10,TRUE)),IF(AND(Методика="нормы 2026",CN178="Сил"),0.8,0.95)),0.95))))</f>
        <v>0.95</v>
      </c>
      <c r="BN178" cm="1">
        <f t="array" ref="BN178">IF(D178="","",IF(BA178&lt;&gt;"",IFERROR(_xlfn.XLOOKUP(BA178,Щиты[Щит],Щиты[Iр, А]),""),IFERROR(_xlfn.IFS(BH178=1,BF178/((Uн_лин/SQRT(3))*BM178),BH178=3,BF178/(SQRT(3)*Uн_лин*BM178)),"")))</f>
        <v>0.27348170645824377</v>
      </c>
      <c r="BO178">
        <f>IF(D178="","",IF(N(X178)=0,IFERROR(VLOOKUP(BN178,Автомат_номиналы,2,TRUE),""),X178))</f>
        <v>16</v>
      </c>
      <c r="BP178">
        <f t="shared" si="185"/>
        <v>1</v>
      </c>
      <c r="BQ178">
        <f>IF(ISNUMBER(Y178),Y178,К_прокл)</f>
        <v>1</v>
      </c>
      <c r="BR178">
        <f t="shared" si="186"/>
        <v>2</v>
      </c>
      <c r="BS178" cm="1">
        <f t="array" ref="BS178">IF(D178="","",IF(N(BK178)&lt;&gt;0,BK178,IFERROR(_xlfn.LET(_xlpm.need,BO178/(BP178*BQ178),_xlpm.t,CHOOSE(BR178,Iдоп_1ж,Iдоп_2ж,Iдоп_3ж),_xlpm.k,_xlfn.XMATCH(_xlpm.need,_xlpm.t,1),IF(ISNA(_xlpm.k),"Не исп",INDEX(Iдоп_S,_xlpm.k))),"Не исп")))</f>
        <v>2.5</v>
      </c>
      <c r="BT178">
        <f>IFERROR(VLOOKUP(BS178,Кабель_сопротивление,3,FALSE),"")</f>
        <v>2.2499999999999999E-2</v>
      </c>
      <c r="BU178">
        <f>IFERROR(VLOOKUP(BS178,Кабель_сопротивление,2,FALSE),"")</f>
        <v>0.1</v>
      </c>
      <c r="BV178">
        <f t="shared" si="187"/>
        <v>28</v>
      </c>
      <c r="BW178">
        <f>IF(D178="","",IFERROR(IF(VLOOKUP(AT178,Потребители_обозначение,4,FALSE)=1,VLOOKUP(AT178,Потребители_обозначение,3,FALSE)*(H178*2-1)+BV178+VLOOKUP(AV178,Этаж_обозначение,3,FALSE)+VLOOKUP(AV178,Этаж_обозначение,4,FALSE),VLOOKUP(AT178,Потребители_обозначение,3,FALSE)*(H178*2-1)+BV178),BV178))</f>
        <v>31</v>
      </c>
      <c r="BX178">
        <f t="shared" si="188"/>
        <v>7</v>
      </c>
      <c r="BY178">
        <f t="shared" si="189"/>
        <v>0</v>
      </c>
      <c r="BZ178">
        <f t="shared" si="190"/>
        <v>2</v>
      </c>
      <c r="CA178">
        <f t="shared" si="191"/>
        <v>0.31</v>
      </c>
      <c r="CB178">
        <f t="shared" si="192"/>
        <v>0.14549828443332777</v>
      </c>
      <c r="CC178">
        <f>IFERROR(ROUNDUP(CB178/((Uн_лин/SQRT(3))*1000)*100,2),"")</f>
        <v>6.9999999999999993E-2</v>
      </c>
      <c r="CD178">
        <f>IF(ISNUMBER(CC178),CC178+IFERROR(_xlfn.XLOOKUP(A178,Щиты[Щит],Щиты[ΔU до шин, %]),0),"")</f>
        <v>1.6400000000000001</v>
      </c>
      <c r="CE178">
        <f>IF(D178="","",IF(IFERROR(VLOOKUP(AT178,УГО_спр,2,FALSE),"")="Светильник",3,4)+IF(Методика="нормы 2026",MIN(0.5,MAX(0,N(BW178)-100)*0.005),0))</f>
        <v>4</v>
      </c>
      <c r="CF178" t="str">
        <f>IFERROR(VLOOKUP(BI178,Кабель_обозначение,2,FALSE),"")</f>
        <v>ВВГнг(А)-LS</v>
      </c>
      <c r="CG178" t="str">
        <f>IFERROR(IF(VLOOKUP(BI178,Кабель_обозначение,3,FALSE)=1,CF178&amp;" ("&amp;BJ178&amp;"х"&amp;BS178&amp;")",CF178),"")</f>
        <v>ВВГнг(А)-LS (3х2,5)</v>
      </c>
      <c r="CH178" t="str">
        <f t="shared" si="193"/>
        <v>ВВГнг(А)-LS (3х2,5)
L=31-0,07%</v>
      </c>
      <c r="CI178">
        <f>IFERROR(2*ρкз_Cu*BW178/BS178,"")</f>
        <v>0.65224000000000004</v>
      </c>
      <c r="CJ178">
        <f t="shared" si="194"/>
        <v>0.21700000000000003</v>
      </c>
      <c r="CK178" t="str">
        <f>IFERROR(IF(OR(D178="",NOT(ISNUMBER(BS178)),N(BW178)=0),"",_xlfn.XLOOKUP(A178,Щиты[Щит],Щиты[Zпетли на шинах, Ом])+CI178),"")</f>
        <v/>
      </c>
      <c r="CL178" t="str">
        <f>IF(ISNUMBER(CK178),c_min*(Uн_лин*1000/SQRT(3))/CK178,"")</f>
        <v/>
      </c>
      <c r="CM178" t="str">
        <f>IFERROR(IF(OR(D178="",NOT(ISNUMBER(BS178))),"",1.05*(Uн_лин*1000/SQRT(3))/(_xlfn.XLOOKUP(A178,Щиты[Щит],Щиты[Zmax на шинах, Ом])+CJ178)/1000),"")</f>
        <v/>
      </c>
      <c r="CN178" t="str">
        <f>IF(D178="","",IF(BA178&lt;&gt;"","Щит",IF(K178&lt;&gt;"",K178,IF(ISNUMBER(L178),"Сил",IF(IFERROR(_xlfn.XLOOKUP(AT178,Коды_код,Коды_группа)&amp;"","")="","Быт",_xlfn.XLOOKUP(AT178,Коды_код,Коды_группа)&amp;"")))))</f>
        <v>Быт</v>
      </c>
      <c r="CO178">
        <f>IF(CN178="Щит","щит",IF(CN178="","",IF(CN178="Быт",IFERROR(_xlfn.XLOOKUP(A178,Щиты[Щит],Щиты[Кс быт]),1),IF(CN178="Сил",IF(ISNUMBER(L178),L178,IF(Методика="нормы 2026",IFERROR(_xlfn.XLOOKUP(A178,Щиты[Щит],Щиты[Кс силовых (табл. 7.5)]),1),1)),IF(OR(CN178="Пост",CN178="Отоп"),1,IF(CN178="ВНГ",0.7,0))))))</f>
        <v>0.8</v>
      </c>
      <c r="CP178">
        <f t="shared" si="195"/>
        <v>1</v>
      </c>
      <c r="CQ178">
        <f t="shared" si="196"/>
        <v>0.06</v>
      </c>
      <c r="CR178">
        <f t="shared" si="197"/>
        <v>0.06</v>
      </c>
      <c r="CS178">
        <f t="shared" si="198"/>
        <v>0</v>
      </c>
      <c r="CT178">
        <f t="shared" si="199"/>
        <v>0</v>
      </c>
      <c r="CU178">
        <f t="shared" si="200"/>
        <v>0</v>
      </c>
      <c r="CV178">
        <f t="shared" si="201"/>
        <v>0</v>
      </c>
      <c r="CW178">
        <f t="shared" si="202"/>
        <v>0.06</v>
      </c>
      <c r="CX178">
        <f t="shared" si="203"/>
        <v>5.6999999999999995E-2</v>
      </c>
      <c r="CY178">
        <f t="shared" si="204"/>
        <v>3</v>
      </c>
      <c r="CZ178" t="str">
        <f t="shared" si="205"/>
        <v>L3</v>
      </c>
      <c r="DA178" cm="1">
        <f t="array" ref="DA178">IFERROR(IF(BL178=2,_xlfn.IFS(BH178=3,VLOOKUP(BF178,Справочная_двигатели,3,FALSE),BH178=1,VLOOKUP(BF178,Справочная_двигатели,5,TRUE)),0),0)</f>
        <v>0</v>
      </c>
      <c r="DB178">
        <f>IFERROR(IF(BL178=3,VLOOKUP(BF178,Справочная_ЛЭД,2,TRUE),0),0)</f>
        <v>0</v>
      </c>
      <c r="DC178">
        <f t="shared" si="206"/>
        <v>0</v>
      </c>
      <c r="DD178" t="str">
        <f t="shared" si="207"/>
        <v>L3</v>
      </c>
      <c r="DE178" t="str" cm="1">
        <f t="array" ref="DE178">IF(D178="","",IFERROR(INDEX({"I особая","I","II","III"},MATCH(TRIM(AA178&amp;""),{"I особая","I","II","III"},0)),"III"))</f>
        <v>II</v>
      </c>
      <c r="DF178" t="str">
        <f>IF(D178="","",IF(TRIM(AB178&amp;"")&lt;&gt;"",IF(LOWER(TRIM(AB178&amp;""))="да","да","нет"),IF(IFERROR(_xlfn.XLOOKUP(AT178,Коды_код,Коды_пожарная),"")="да","да","нет")))</f>
        <v>нет</v>
      </c>
      <c r="DG178" t="str">
        <f t="shared" si="208"/>
        <v/>
      </c>
      <c r="DH178" t="str">
        <f t="shared" si="209"/>
        <v>основная</v>
      </c>
      <c r="DI178">
        <f t="shared" si="210"/>
        <v>1</v>
      </c>
      <c r="DJ178" t="str" cm="1">
        <f t="array" ref="DJ178">IF(D178="","",_xlfn.LET(_xlpm.t,IFERROR(_xlfn.XLOOKUP(1,(Шины[Шина]=DH178)*(((Шины[Щит]=A178)+(Шины[Щит]=""))&gt;0),Шины[Тип]),"")&amp;"",IF(_xlpm.t&lt;&gt;"",_xlpm.t,IF(ISNUMBER(SEARCH("ИБП",DH178)),"ИБП",IF(ISNUMBER(SEARCH("ДГУ",DH178)),"ДГУ","Ввод "&amp;DI178)))))</f>
        <v>Ввод 1</v>
      </c>
      <c r="DK178" t="str">
        <f t="shared" si="211"/>
        <v>Ввод 1</v>
      </c>
      <c r="DL178" t="str">
        <f>IF(D178="","",IF(OR(DJ178="ИБП",DJ178="ДГУ"),"I особая",IF(DJ178="Одиночная","III",_xlfn.XLOOKUP(A178,Щиты[Щит],Щиты[Категория шины «Ввод»],"III"))))</f>
        <v>II</v>
      </c>
      <c r="DM178">
        <f>IF(D178="",0,IFERROR(MATCH(DE178,{"III","II","I","I особая"},0),1))</f>
        <v>2</v>
      </c>
      <c r="DN178">
        <f t="shared" si="212"/>
        <v>2</v>
      </c>
      <c r="DO178" t="str">
        <f>IF(D178="","",IF(DM178&gt;IFERROR(MATCH(DL178,{"III","II","I","I особая"},0),1),"НЕ ОБЕСПЕЧЕНА","ОК"))</f>
        <v>ОК</v>
      </c>
      <c r="DP178" t="str">
        <f>IF(A178="","",_xlfn.XLOOKUP(A178,Щиты[Щит],Щиты[Путь],""))</f>
        <v>|ГРЩ-ЖД|ЩР-001|</v>
      </c>
      <c r="DQ178" t="str">
        <f>IF(D178="","",IF(Z178&lt;&gt;"",Z178,IF(IFERROR(_xlfn.XLOOKUP(AT178,Коды_код,Коды_вид)&amp;"","")="","Прочее",_xlfn.XLOOKUP(AT178,Коды_код,Коды_вид)&amp;"")))</f>
        <v>Розеточная сеть и бытовые приборы</v>
      </c>
      <c r="DR178">
        <f>IF(BD178="","",INT((BD178-1)/Столбцов_на_лист)+1)</f>
        <v>2</v>
      </c>
      <c r="DS178" t="str">
        <f t="shared" si="213"/>
        <v>ВВГнг(А)-LS (3х2,5) L=31-0,07%</v>
      </c>
      <c r="DT178">
        <f t="shared" si="214"/>
        <v>0.06</v>
      </c>
      <c r="DU178">
        <f t="shared" si="215"/>
        <v>0.28000000000000003</v>
      </c>
      <c r="DV178">
        <f t="shared" si="216"/>
        <v>1</v>
      </c>
      <c r="DW178">
        <f>IF(AT178="",0,_xlfn.LET(_xlpm.v,IFERROR(VLOOKUP(D178,УГО_спр,3,FALSE),IFERROR(VLOOKUP(AT178,УГО_спр,3,FALSE),IFERROR(VLOOKUP(LEFT(AT178,2),УГО_спр,3,FALSE),""))),IF(_xlpm.v="да",30,IF(ISNUMBER(_xlpm.v),_xlpm.v,0))))</f>
        <v>30</v>
      </c>
      <c r="DX178">
        <f t="shared" si="217"/>
        <v>0</v>
      </c>
      <c r="DY178">
        <f>IF(BD178="","",IF(AD178&lt;&gt;"",COUNTIFS(A$3:A178,A178,AD$3:AD178,"?*"),IF(OR(OR(AS178=1,A178&lt;&gt;A177),AL178="вручную"),"",IF(AS178=1,"",DZ177))))</f>
        <v>24</v>
      </c>
      <c r="DZ178">
        <f t="shared" si="218"/>
        <v>24</v>
      </c>
      <c r="EA178">
        <f>IF(D178="",0,MAX(IFERROR(--X178,0),IFERROR(--VLOOKUP(D178,УГО_спр,4,FALSE),IFERROR(--VLOOKUP(AT178,УГО_спр,4,FALSE),IFERROR(--VLOOKUP(LEFT(AT178,2),УГО_спр,4,FALSE),0)))))</f>
        <v>16</v>
      </c>
      <c r="EB178">
        <f>IF(D178="","",IFERROR(LOOKUP(INDEX(CHOOSE(BR178,Iдоп_1ж,Iдоп_2ж,Iдоп_3ж),MATCH(BS178,Iдоп_S,0))*BP178*BQ178,{6,10,16,20,25,32,40,50,63,80,100,125,160,200,250,315,400,500,630}),""))</f>
        <v>25</v>
      </c>
      <c r="EC178">
        <f>IF(AD178="","",SUMIFS(Линии[_Ток схемы],Линии[_гр.],DY178,Линии[Щит],A178,Линии[_в кабель выше],0))</f>
        <v>0.28000000000000003</v>
      </c>
      <c r="ED178">
        <f>IF(AD178="","",IFERROR(VLOOKUP(EC178,Автомат_номиналы,2,TRUE),""))</f>
        <v>6</v>
      </c>
      <c r="EE178">
        <f>IF(AD178="","",MAX(N(ED178),_xlfn.MAXIFS(Линии[_мин. по типу],Линии[_гр.],DY178,Линии[Щит],A178)))</f>
        <v>16</v>
      </c>
      <c r="EF178">
        <f>IF(AD178="","",_xlfn.MINIFS(Линии[_макс. автомат по кабелю],Линии[_гр.],DY178,Линии[Щит],A178))</f>
        <v>25</v>
      </c>
      <c r="EG178">
        <f>IF(AD178="","",MAX(1,_xlfn.MAXIFS(Линии[_фаз],Линии[_гр.],DY178,Линии[Щит],A178)))</f>
        <v>1</v>
      </c>
      <c r="EH178">
        <f>IF(AD178="","",IF(AND(AD178&lt;&gt;"авто",AD178&lt;&gt;"+"),IF(ISNUMBER(SEARCH("мА",AD178)),IFERROR(--TRIM(RIGHT(SUBSTITUTE(LEFT(AD178,SEARCH("мА",AD178)-1)," ",REPT(" ",9)),6)),30),0),IF(AE178="нет",0,IF(ISNUMBER(AE178),AE178,IF(AE178="да",30,_xlfn.MINIFS(Линии[_дифзащита по коду, мА],Линии[_гр.],DY178,Линии[Щит],A178,Линии[_дифзащита по коду, мА],"&gt;0"))))))</f>
        <v>30</v>
      </c>
      <c r="EI178">
        <f t="shared" si="219"/>
        <v>1</v>
      </c>
      <c r="EJ178" t="str">
        <f t="shared" si="220"/>
        <v>QFD24</v>
      </c>
      <c r="EK178" t="str">
        <f t="shared" si="221"/>
        <v>QFD24</v>
      </c>
      <c r="EL178" t="str">
        <f t="shared" si="222"/>
        <v/>
      </c>
      <c r="EM178">
        <f t="shared" si="223"/>
        <v>0</v>
      </c>
      <c r="EN178">
        <f>IF(AD178="","",IF(EM178=1,MAX(EE178,Мин_автомат_БП),EE178))</f>
        <v>16</v>
      </c>
      <c r="EO178" t="str">
        <f t="shared" si="224"/>
        <v>2P</v>
      </c>
      <c r="EP178" t="str">
        <f t="shared" si="225"/>
        <v>2P С16А 30мА</v>
      </c>
      <c r="EQ178">
        <f t="shared" si="226"/>
        <v>16</v>
      </c>
      <c r="ER178" t="str">
        <f>IF(OR(AI178="",AI178="-"),"",IFERROR(VLOOKUP(AI178,Модули_спр,2,FALSE),"R"))</f>
        <v/>
      </c>
      <c r="ES178" t="str">
        <f>IF(ER178="","",ER178&amp;"."&amp;COUNTIFS(A$3:A178,A178,ER$3:ER178,ER178))</f>
        <v/>
      </c>
      <c r="ET178" t="str">
        <f t="shared" si="227"/>
        <v/>
      </c>
      <c r="EU178" t="str">
        <f t="shared" si="228"/>
        <v/>
      </c>
      <c r="EV178" t="str">
        <f t="shared" si="229"/>
        <v/>
      </c>
      <c r="EW178" t="str">
        <f t="shared" si="230"/>
        <v/>
      </c>
      <c r="EX178">
        <f t="shared" si="231"/>
        <v>1</v>
      </c>
      <c r="EY178" t="str">
        <f>IF(AK178="нет","",IF(AK178&lt;&gt;"",AK178,IF(EX178=1,"XT"&amp;COUNTIFS(A$3:A178,A178,EX$3:EX178,1),"")))</f>
        <v/>
      </c>
      <c r="EZ178" t="str">
        <f t="shared" si="232"/>
        <v>QFD24</v>
      </c>
      <c r="FA178" t="str">
        <f t="shared" si="233"/>
        <v/>
      </c>
      <c r="FB178" t="str">
        <f t="shared" si="234"/>
        <v>ok</v>
      </c>
      <c r="FC178" t="str">
        <f>IF(OR(EV178="",ET178=""),"",IF(EV178&gt;IFERROR(VLOOKUP(EU178,Модули_спр,3,FALSE),99),"ЛИШНИЙ КАНАЛ",IF(AND(AJ178&lt;&gt;"=",COUNTIFS(Линии[_модуль гр.],ET178,Линии[Канал (итог)],EV178,Линии[Канал],"&lt;&gt;=",Линии[Щит],A178)&gt;1),"ДУБЛЬ КАНАЛА","")))</f>
        <v/>
      </c>
      <c r="FD178">
        <f t="shared" si="235"/>
        <v>16</v>
      </c>
      <c r="FE178" t="str">
        <f t="shared" si="236"/>
        <v>2P С16А 30мА</v>
      </c>
      <c r="FF178">
        <f t="shared" si="237"/>
        <v>1</v>
      </c>
      <c r="FG178">
        <f t="shared" si="238"/>
        <v>30</v>
      </c>
      <c r="FH178" t="str">
        <f t="shared" si="239"/>
        <v/>
      </c>
      <c r="FI178">
        <f t="shared" si="240"/>
        <v>10</v>
      </c>
      <c r="FJ178" t="str">
        <f t="shared" si="241"/>
        <v/>
      </c>
      <c r="FK178" t="str">
        <f>IF(AND(D178="",EZ178=""),"",_xlfn.TEXTJOIN("; ",TRUE,IF(AND(D178&lt;&gt;"",DD178=""),"нет фазы",""),IF(AND(D178&lt;&gt;"",N(DT178)=0,CN178&lt;&gt;"Нет"),"нет мощности",""),IF(AND(EY178&lt;&gt;"",COUNTIFS(Линии[Щит],A178,Линии[Клемма (итог)],EY178)&gt;1),"дубль клеммы "&amp;EY178,""),IF(AND(FB178&lt;&gt;"",FB178&lt;&gt;"ok"),FB178,""),IF(FC178&lt;&gt;"",FC178,""),IF(AND(ISNUMBER(SEARCH("(5х",DS178)),N(DV178)=1),"5 жил на 1 фазе",""),IF(AND(AT178="R",AD178&lt;&gt;"",OR(N(EH178)=0,N(EH178)&gt;30)),"розетка без дифзащиты до 30 мА",""),IFERROR(IF(AND(ISNUMBER(CD178),CD178&gt;CE178),"потери "&amp;FIXED(CD178,1)&amp;" % &gt; "&amp;CE178&amp;" %",""),""),IFERROR(IF(LEFT(FJ178,4)="мало","Iкз мало — отключение &gt; 0,4 с",""),""),IF(AND(D178&lt;&gt;"",BD178=""),"не на схеме","")))</f>
        <v/>
      </c>
      <c r="FL178">
        <f>IF(AD178="","",_xlfn.LET(_xlpm.t,IFERROR(_xlfn.XLOOKUP(EP178,Каталог!$U$4:$U$500,Каталог!$G$4:$G$500),""),_xlpm.k,SEARCH("кА",_xlpm.t),IFERROR(--TRIM(RIGHT(SUBSTITUTE(MID(_xlpm.t,MAX(1,_xlpm.k-4),_xlpm.k-MAX(1,_xlpm.k-4))," ",REPT(" ",9)),5)),"")))</f>
        <v>6</v>
      </c>
      <c r="FM178" t="str">
        <f>IF(OR(FL178="",AD178=""),"",IF(_xlfn.XLOOKUP(A178,Щиты[Щит],Щиты[Iкз max на шинах, кА],"")="","",IF(FL178&lt;_xlfn.XLOOKUP(A178,Щиты[Щит],Щиты[Iкз max на шинах, кА]),"Icu "&amp;FL178&amp;" кА &lt; Iкз max","ok")))</f>
        <v/>
      </c>
      <c r="FN178" t="str">
        <f t="shared" si="242"/>
        <v>QFD24</v>
      </c>
      <c r="FO178" t="str">
        <f t="shared" si="243"/>
        <v>QFD24|кабель ВВГнг(А)-LS (3х2,5) → Розеточная группа Подвальный этаж Пом. №002Б</v>
      </c>
      <c r="FP178" t="str" cm="1">
        <f t="array" ref="FP178">IF(FO178="","",_xlfn.LET(_xlpm.nd,_xlfn.TEXTSPLIT(FO178,"|"),IF(COLUMNS(_xlpm.nd)&gt;1,A178&amp;"¦"&amp;INDEX(_xlpm.nd,1)&amp;"¦"&amp;INDEX(_xlpm.nd,2),"")))</f>
        <v>ЩР-001¦QFD24¦кабель ВВГнг(А)-LS (3х2,5) → Розеточная группа Подвальный этаж Пом. №002Б</v>
      </c>
      <c r="FQ178" t="str">
        <f t="shared" si="244"/>
        <v>R.00.002Б.1¦Розеточная группа Подвальный этаж Пом. №002Б</v>
      </c>
      <c r="FR178" t="str" cm="1">
        <f t="array" ref="FR178">IF(FO178="","",_xlfn.LET(_xlpm.nd,_xlfn.TEXTSPLIT(FO178,"|"),IF(COLUMNS(_xlpm.nd)&gt;2,A178&amp;"¦"&amp;INDEX(_xlpm.nd,2)&amp;"¦"&amp;INDEX(_xlpm.nd,3),"")))</f>
        <v/>
      </c>
      <c r="FS178" t="str">
        <f t="shared" si="245"/>
        <v/>
      </c>
      <c r="FT178" t="str" cm="1">
        <f t="array" ref="FT178">IF(FO178="","",_xlfn.LET(_xlpm.nd,_xlfn.TEXTSPLIT(FO178,"|"),IF(COLUMNS(_xlpm.nd)&gt;3,A178&amp;"¦"&amp;INDEX(_xlpm.nd,3)&amp;"¦"&amp;INDEX(_xlpm.nd,4),"")))</f>
        <v/>
      </c>
      <c r="FU178" t="str">
        <f t="shared" si="246"/>
        <v/>
      </c>
      <c r="FV178" t="str" cm="1">
        <f t="array" ref="FV178">IF(FO178="","",_xlfn.LET(_xlpm.nd,_xlfn.TEXTSPLIT(FO178,"|"),IF(COLUMNS(_xlpm.nd)&gt;4,A178&amp;"¦"&amp;INDEX(_xlpm.nd,4)&amp;"¦"&amp;INDEX(_xlpm.nd,5),"")))</f>
        <v/>
      </c>
      <c r="FW178" t="str">
        <f t="shared" si="247"/>
        <v/>
      </c>
      <c r="FX178" t="str" cm="1">
        <f t="array" ref="FX178">IF(FO178="","",_xlfn.LET(_xlpm.nd,_xlfn.TEXTSPLIT(FO178,"|"),IF(COLUMNS(_xlpm.nd)&gt;5,A178&amp;"¦"&amp;INDEX(_xlpm.nd,5)&amp;"¦"&amp;INDEX(_xlpm.nd,6),"")))</f>
        <v/>
      </c>
      <c r="FY178" t="str">
        <f t="shared" si="248"/>
        <v/>
      </c>
      <c r="FZ178" t="str" cm="1">
        <f t="array" ref="FZ178">IF(FO178="","",_xlfn.LET(_xlpm.nd,_xlfn.TEXTSPLIT(FO178,"|"),IF(COLUMNS(_xlpm.nd)&gt;6,A178&amp;"¦"&amp;INDEX(_xlpm.nd,6)&amp;"¦"&amp;INDEX(_xlpm.nd,7),"")))</f>
        <v/>
      </c>
      <c r="GA178" t="str">
        <f t="shared" si="249"/>
        <v/>
      </c>
      <c r="GB178" t="str">
        <f t="shared" si="250"/>
        <v/>
      </c>
      <c r="GC178" t="str">
        <f t="shared" si="251"/>
        <v>QFD24</v>
      </c>
      <c r="GD178">
        <f t="shared" si="252"/>
        <v>1</v>
      </c>
      <c r="GE178">
        <f t="shared" si="253"/>
        <v>0</v>
      </c>
      <c r="GF178">
        <f t="shared" si="254"/>
        <v>1</v>
      </c>
      <c r="GG178" t="str">
        <f t="shared" si="255"/>
        <v/>
      </c>
      <c r="GH178" t="str">
        <f t="shared" si="256"/>
        <v/>
      </c>
      <c r="GI178" t="str">
        <f t="shared" si="257"/>
        <v/>
      </c>
      <c r="GJ178" t="str">
        <f t="shared" si="258"/>
        <v/>
      </c>
      <c r="GK178" t="str">
        <f>IF(D178="","",IFERROR(VLOOKUP(D178,УГО_спр,2,FALSE),IFERROR(VLOOKUP(AT178,УГО_спр,2,FALSE),IFERROR(VLOOKUP(LEFT(AT178,2),УГО_спр,2,FALSE),""))))</f>
        <v>Розетка</v>
      </c>
      <c r="GL178" t="str">
        <f>IF(D178="","",IF(OR(GK178="",GK178=0),"BOX",IFERROR(IF(VLOOKUP(GK178,УГО_блоки,3,FALSE)&amp;""&lt;&gt;"",VLOOKUP(GK178,УГО_блоки,3,FALSE),VLOOKUP(GK178,УГО_блоки,2,FALSE)),GK178)))</f>
        <v>SOCKET</v>
      </c>
      <c r="GM178">
        <f t="shared" si="259"/>
        <v>1</v>
      </c>
      <c r="GN178" t="str">
        <f>IF(EP178="","",IF(COUNTIF(EP$3:EP178,EP178)=1,MAX(GN$2:GN177)+1,""))</f>
        <v/>
      </c>
      <c r="GO178" t="str">
        <f>IF(AF178="","",IF(COUNTIF(AF$3:AF178,AF178)+COUNTIF(AG$2:AG177,AF178)+COUNTIF(AH$2:AH177,AF178)=1,MAX(GO$2:GQ177)+1,""))</f>
        <v/>
      </c>
      <c r="GP178" t="str">
        <f>IF(AG178="","",IF(COUNTIF(AF$3:AF178,AG178)+COUNTIF(AG$3:AG178,AG178)+COUNTIF(AH$2:AH177,AG178)=1,MAX(GO$2:GQ177,GO178)+1,""))</f>
        <v/>
      </c>
      <c r="GQ178" t="str">
        <f>IF(AH178="","",IF(COUNTIF(AF$3:AF178,AH178)+COUNTIF(AG$3:AG178,AH178)+COUNTIF(AH$3:AH178,AH178)=1,MAX(GO$2:GQ177,GO178,GP178)+1,""))</f>
        <v/>
      </c>
      <c r="GR178" t="str">
        <f t="shared" si="260"/>
        <v>3х2,5</v>
      </c>
      <c r="GS178" t="str">
        <f>IF(GR178="","",IF(COUNTIF(GR$3:GR178,GR178)=1,MAX(GS$2:GS177)+1,""))</f>
        <v/>
      </c>
      <c r="GT178" t="str">
        <f>IF(ES178="","",COUNTIF(ES$3:ES178,"?*"))</f>
        <v/>
      </c>
      <c r="GU178" t="str">
        <f>IF(OR(ES178="",EU178=""),"",IF(COUNTIFS(ES$3:ES178,"?*",EU$3:EU178,EU178)=1,MAX(GU$2:GU177)+1,""))</f>
        <v/>
      </c>
      <c r="GV178">
        <f t="shared" si="261"/>
        <v>0</v>
      </c>
      <c r="GW178">
        <f>IF(D178="","",COUNTIF(D$3:D178,"?*"))</f>
        <v>176</v>
      </c>
      <c r="GX178">
        <f>IF(EX178&lt;&gt;1,0,_xlfn.LET(_xlpm.k,MAX(IFERROR(--VLOOKUP(D178,УГО_спр,5,FALSE),0),IFERROR(--VLOOKUP(AT178,УГО_спр,5,FALSE),0),IFERROR(--VLOOKUP(LEFT(AT178,2),УГО_спр,5,FALSE),0)),IF(_xlpm.k&gt;0,_xlpm.k,IF(IFERROR(--LEFT(SUBSTITUTE(GR178,"x","х"),FIND("х",SUBSTITUTE(GR178,"x","х"))-1),3)&gt;3,Каталог!$S$9,1))))</f>
        <v>1</v>
      </c>
      <c r="GY178">
        <f t="shared" si="262"/>
        <v>0</v>
      </c>
    </row>
    <row r="179" spans="1:207" x14ac:dyDescent="0.3">
      <c r="A179" t="s">
        <v>758</v>
      </c>
      <c r="B179">
        <v>36</v>
      </c>
      <c r="C179" t="str">
        <f>IF(BD179="","",IF(BE179="вводной узел","узел ","")&amp;"л."&amp;(INT((BD179-1)/Столбцов_на_лист)+1)&amp;" / "&amp;(MOD(BD179-1,Столбцов_на_лист)+1))</f>
        <v>л.3 / 2</v>
      </c>
      <c r="D179" t="s">
        <v>1483</v>
      </c>
      <c r="E179" s="133" t="s">
        <v>1484</v>
      </c>
      <c r="G179">
        <v>0.6</v>
      </c>
      <c r="H179">
        <v>1</v>
      </c>
      <c r="I179">
        <v>1</v>
      </c>
      <c r="J179">
        <v>230</v>
      </c>
      <c r="K179" t="s">
        <v>577</v>
      </c>
      <c r="O179">
        <v>3</v>
      </c>
      <c r="P179">
        <v>36</v>
      </c>
      <c r="Q179">
        <v>17</v>
      </c>
      <c r="R179">
        <v>11</v>
      </c>
      <c r="U179" t="s">
        <v>11</v>
      </c>
      <c r="V179">
        <v>3</v>
      </c>
      <c r="W179">
        <v>2.5</v>
      </c>
      <c r="X179">
        <v>16</v>
      </c>
      <c r="Z179" t="s">
        <v>576</v>
      </c>
      <c r="AA179" t="s">
        <v>818</v>
      </c>
      <c r="AD179" t="s">
        <v>517</v>
      </c>
      <c r="AR179" t="str">
        <f t="shared" si="176"/>
        <v/>
      </c>
      <c r="AS179" cm="1">
        <f t="array" ref="AS179">ROW()-ROW(Линии[#Headers])</f>
        <v>177</v>
      </c>
      <c r="AT179" t="str">
        <f t="shared" si="177"/>
        <v>ШТК-0</v>
      </c>
      <c r="AU179" t="str">
        <f t="shared" si="178"/>
        <v/>
      </c>
      <c r="AV179" t="str">
        <f t="shared" si="179"/>
        <v/>
      </c>
      <c r="AW179" t="str">
        <f t="shared" si="180"/>
        <v/>
      </c>
      <c r="AX179" t="str">
        <f t="shared" si="181"/>
        <v/>
      </c>
      <c r="AY179" t="str">
        <f>IF(D179="","",IF(ISERROR(SEARCH(".",D179)),IFERROR(VLOOKUP(D179,Потребители_обозначение,2,FALSE)&amp;"",""),IFERROR(IF(VLOOKUP(AT179,Потребители_обозначение,4,FALSE)=1,VLOOKUP(AT179,Потребители_обозначение,2,FALSE)&amp;" "&amp;VLOOKUP(AV179,Этаж_обозначение,2,FALSE)&amp;" Пом. №"&amp;AX179,VLOOKUP(AT179,Потребители_обозначение,2,FALSE)&amp;" Шлейф №"&amp;AV179),IFERROR(VLOOKUP(D179,Потребители_обозначение,2,FALSE),""))))</f>
        <v/>
      </c>
      <c r="AZ179" t="str">
        <f t="shared" si="182"/>
        <v>Шкаф телекоммуникационный ШТК-0 Подвальный этаж Пом. №007Т</v>
      </c>
      <c r="BA179" t="str">
        <f>IF(F179&lt;&gt;"",F179,IF(AND(D179&lt;&gt;"",D179&lt;&gt;A179,ISNUMBER(_xlfn.XMATCH(D179,Щиты[Щит]))),D179,""))</f>
        <v/>
      </c>
      <c r="BB179">
        <f>IFERROR(_xlfn.XMATCH(A179,Щиты[Щит]),0)</f>
        <v>8</v>
      </c>
      <c r="BC179">
        <f>IFERROR(N(_xlfn.XLOOKUP(A179,Щиты[Щит],Щиты[Мест под вводной узел])),15)</f>
        <v>7</v>
      </c>
      <c r="BD179">
        <f t="shared" si="183"/>
        <v>36</v>
      </c>
      <c r="BE179" t="str">
        <f t="shared" si="184"/>
        <v>линии</v>
      </c>
      <c r="BF179">
        <f>IF(D179="","",IF(BA179&lt;&gt;"",IFERROR(_xlfn.XLOOKUP(BA179,Щиты[Щит],Щиты[Руст, кВт]),0),N(G179)))</f>
        <v>0.6</v>
      </c>
      <c r="BG179">
        <f>IF(J179&lt;&gt;"",J179,IF(D179="","",IFERROR(IF(VLOOKUP(AT179,Потребители_обозначение,8,FALSE)=0,"",VLOOKUP(AT179,Потребители_обозначение,8,FALSE)),"")))</f>
        <v>230</v>
      </c>
      <c r="BH179">
        <f>IF(I179&lt;&gt;"",I179,IF(D179="","",IFERROR(IF(VLOOKUP(AT179,Потребители_обозначение,9,FALSE)=0,"",VLOOKUP(AT179,Потребители_обозначение,9,FALSE)),"")))</f>
        <v>1</v>
      </c>
      <c r="BI179" t="str">
        <f>IF(U179&lt;&gt;"",U179,IF(D179="","",IFERROR(IF(VLOOKUP(AT179,Потребители_обозначение,6,FALSE)=0,"",VLOOKUP(AT179,Потребители_обозначение,6,FALSE)),"")))</f>
        <v>мс</v>
      </c>
      <c r="BJ179">
        <f>IF(V179&lt;&gt;"",V179,IF(D179="","",IFERROR(IF(VLOOKUP(AT179,Потребители_обозначение,7,FALSE)=0,"",VLOOKUP(AT179,Потребители_обозначение,7,FALSE)),"")))</f>
        <v>3</v>
      </c>
      <c r="BK179">
        <f>IF(W179&lt;&gt;"",W179,IF(D179="","",IFERROR(IF(VLOOKUP(AT179,Потребители_обозначение,10,FALSE)=0,"",VLOOKUP(AT179,Потребители_обозначение,10,FALSE)),"")))</f>
        <v>2.5</v>
      </c>
      <c r="BL179">
        <f>IFERROR(VLOOKUP(AT179,Потребители_обозначение,5,FALSE),0)</f>
        <v>0</v>
      </c>
      <c r="BM179" cm="1">
        <f t="array" ref="BM179">IF(D179="","",IF(BA179&lt;&gt;"",IFERROR(_xlfn.XLOOKUP(BA179,Щиты[Щит],Щиты[cos φ]),0.95),IF(ISNUMBER(M179),M179,IFERROR(IF(BL179=2,_xlfn.IFS(BH179=3,VLOOKUP(BF179,Справочная_двигатели,8,FALSE),BH179=1,VLOOKUP(BF179,Справочная_двигатели,10,TRUE)),IF(AND(Методика="нормы 2026",CN179="Сил"),0.8,0.95)),0.95))))</f>
        <v>0.95</v>
      </c>
      <c r="BN179" cm="1">
        <f t="array" ref="BN179">IF(D179="","",IF(BA179&lt;&gt;"",IFERROR(_xlfn.XLOOKUP(BA179,Щиты[Щит],Щиты[Iр, А]),""),IFERROR(_xlfn.IFS(BH179=1,BF179/((Uн_лин/SQRT(3))*BM179),BH179=3,BF179/(SQRT(3)*Uн_лин*BM179)),"")))</f>
        <v>2.7348170645824377</v>
      </c>
      <c r="BO179">
        <f>IF(D179="","",IF(N(X179)=0,IFERROR(VLOOKUP(BN179,Автомат_номиналы,2,TRUE),""),X179))</f>
        <v>16</v>
      </c>
      <c r="BP179">
        <f t="shared" si="185"/>
        <v>1</v>
      </c>
      <c r="BQ179">
        <f>IF(ISNUMBER(Y179),Y179,К_прокл)</f>
        <v>1</v>
      </c>
      <c r="BR179">
        <f t="shared" si="186"/>
        <v>2</v>
      </c>
      <c r="BS179" cm="1">
        <f t="array" ref="BS179">IF(D179="","",IF(N(BK179)&lt;&gt;0,BK179,IFERROR(_xlfn.LET(_xlpm.need,BO179/(BP179*BQ179),_xlpm.t,CHOOSE(BR179,Iдоп_1ж,Iдоп_2ж,Iдоп_3ж),_xlpm.k,_xlfn.XMATCH(_xlpm.need,_xlpm.t,1),IF(ISNA(_xlpm.k),"Не исп",INDEX(Iдоп_S,_xlpm.k))),"Не исп")))</f>
        <v>2.5</v>
      </c>
      <c r="BT179">
        <f>IFERROR(VLOOKUP(BS179,Кабель_сопротивление,3,FALSE),"")</f>
        <v>2.2499999999999999E-2</v>
      </c>
      <c r="BU179">
        <f>IFERROR(VLOOKUP(BS179,Кабель_сопротивление,2,FALSE),"")</f>
        <v>0.1</v>
      </c>
      <c r="BV179">
        <f t="shared" si="187"/>
        <v>36</v>
      </c>
      <c r="BW179">
        <f>IF(D179="","",IFERROR(IF(VLOOKUP(AT179,Потребители_обозначение,4,FALSE)=1,VLOOKUP(AT179,Потребители_обозначение,3,FALSE)*(H179*2-1)+BV179+VLOOKUP(AV179,Этаж_обозначение,3,FALSE)+VLOOKUP(AV179,Этаж_обозначение,4,FALSE),VLOOKUP(AT179,Потребители_обозначение,3,FALSE)*(H179*2-1)+BV179),BV179))</f>
        <v>36</v>
      </c>
      <c r="BX179">
        <f t="shared" si="188"/>
        <v>11</v>
      </c>
      <c r="BY179" t="str">
        <f t="shared" si="189"/>
        <v/>
      </c>
      <c r="BZ179">
        <f t="shared" si="190"/>
        <v>2</v>
      </c>
      <c r="CA179">
        <f t="shared" si="191"/>
        <v>0.31</v>
      </c>
      <c r="CB179">
        <f t="shared" si="192"/>
        <v>1.6896574966450966</v>
      </c>
      <c r="CC179">
        <f>IFERROR(ROUNDUP(CB179/((Uн_лин/SQRT(3))*1000)*100,2),"")</f>
        <v>0.74</v>
      </c>
      <c r="CD179">
        <f>IF(ISNUMBER(CC179),CC179+IFERROR(_xlfn.XLOOKUP(A179,Щиты[Щит],Щиты[ΔU до шин, %]),0),"")</f>
        <v>2.31</v>
      </c>
      <c r="CE179">
        <f>IF(D179="","",IF(IFERROR(VLOOKUP(AT179,УГО_спр,2,FALSE),"")="Светильник",3,4)+IF(Методика="нормы 2026",MIN(0.5,MAX(0,N(BW179)-100)*0.005),0))</f>
        <v>4</v>
      </c>
      <c r="CF179" t="str">
        <f>IFERROR(VLOOKUP(BI179,Кабель_обозначение,2,FALSE),"")</f>
        <v>ВВГнг(А)-LS</v>
      </c>
      <c r="CG179" t="str">
        <f>IFERROR(IF(VLOOKUP(BI179,Кабель_обозначение,3,FALSE)=1,CF179&amp;" ("&amp;BJ179&amp;"х"&amp;BS179&amp;")",CF179),"")</f>
        <v>ВВГнг(А)-LS (3х2,5)</v>
      </c>
      <c r="CH179" t="str">
        <f t="shared" si="193"/>
        <v>ВВГнг(А)-LS (3х2,5)
L=36-0,74%</v>
      </c>
      <c r="CI179">
        <f>IFERROR(2*ρкз_Cu*BW179/BS179,"")</f>
        <v>0.75744</v>
      </c>
      <c r="CJ179">
        <f t="shared" si="194"/>
        <v>0.25200000000000006</v>
      </c>
      <c r="CK179" t="str">
        <f>IFERROR(IF(OR(D179="",NOT(ISNUMBER(BS179)),N(BW179)=0),"",_xlfn.XLOOKUP(A179,Щиты[Щит],Щиты[Zпетли на шинах, Ом])+CI179),"")</f>
        <v/>
      </c>
      <c r="CL179" t="str">
        <f>IF(ISNUMBER(CK179),c_min*(Uн_лин*1000/SQRT(3))/CK179,"")</f>
        <v/>
      </c>
      <c r="CM179" t="str">
        <f>IFERROR(IF(OR(D179="",NOT(ISNUMBER(BS179))),"",1.05*(Uн_лин*1000/SQRT(3))/(_xlfn.XLOOKUP(A179,Щиты[Щит],Щиты[Zmax на шинах, Ом])+CJ179)/1000),"")</f>
        <v/>
      </c>
      <c r="CN179" t="str">
        <f>IF(D179="","",IF(BA179&lt;&gt;"","Щит",IF(K179&lt;&gt;"",K179,IF(ISNUMBER(L179),"Сил",IF(IFERROR(_xlfn.XLOOKUP(AT179,Коды_код,Коды_группа)&amp;"","")="","Быт",_xlfn.XLOOKUP(AT179,Коды_код,Коды_группа)&amp;"")))))</f>
        <v>Пост</v>
      </c>
      <c r="CO179">
        <f>IF(CN179="Щит","щит",IF(CN179="","",IF(CN179="Быт",IFERROR(_xlfn.XLOOKUP(A179,Щиты[Щит],Щиты[Кс быт]),1),IF(CN179="Сил",IF(ISNUMBER(L179),L179,IF(Методика="нормы 2026",IFERROR(_xlfn.XLOOKUP(A179,Щиты[Щит],Щиты[Кс силовых (табл. 7.5)]),1),1)),IF(OR(CN179="Пост",CN179="Отоп"),1,IF(CN179="ВНГ",0.7,0))))))</f>
        <v>1</v>
      </c>
      <c r="CP179">
        <f t="shared" si="195"/>
        <v>1</v>
      </c>
      <c r="CQ179">
        <f t="shared" si="196"/>
        <v>0.6</v>
      </c>
      <c r="CR179">
        <f t="shared" si="197"/>
        <v>0</v>
      </c>
      <c r="CS179">
        <f t="shared" si="198"/>
        <v>0</v>
      </c>
      <c r="CT179">
        <f t="shared" si="199"/>
        <v>0.6</v>
      </c>
      <c r="CU179">
        <f t="shared" si="200"/>
        <v>0</v>
      </c>
      <c r="CV179">
        <f t="shared" si="201"/>
        <v>0</v>
      </c>
      <c r="CW179">
        <f t="shared" si="202"/>
        <v>0.6</v>
      </c>
      <c r="CX179">
        <f t="shared" si="203"/>
        <v>0.56999999999999995</v>
      </c>
      <c r="CY179">
        <f t="shared" si="204"/>
        <v>1</v>
      </c>
      <c r="CZ179" t="str">
        <f t="shared" si="205"/>
        <v>L1</v>
      </c>
      <c r="DA179" cm="1">
        <f t="array" ref="DA179">IFERROR(IF(BL179=2,_xlfn.IFS(BH179=3,VLOOKUP(BF179,Справочная_двигатели,3,FALSE),BH179=1,VLOOKUP(BF179,Справочная_двигатели,5,TRUE)),0),0)</f>
        <v>0</v>
      </c>
      <c r="DB179">
        <f>IFERROR(IF(BL179=3,VLOOKUP(BF179,Справочная_ЛЭД,2,TRUE),0),0)</f>
        <v>0</v>
      </c>
      <c r="DC179">
        <f t="shared" si="206"/>
        <v>0</v>
      </c>
      <c r="DD179" t="str">
        <f t="shared" si="207"/>
        <v>L3</v>
      </c>
      <c r="DE179" t="str" cm="1">
        <f t="array" ref="DE179">IF(D179="","",IFERROR(INDEX({"I особая","I","II","III"},MATCH(TRIM(AA179&amp;""),{"I особая","I","II","III"},0)),"III"))</f>
        <v>II</v>
      </c>
      <c r="DF179" t="str">
        <f>IF(D179="","",IF(TRIM(AB179&amp;"")&lt;&gt;"",IF(LOWER(TRIM(AB179&amp;""))="да","да","нет"),IF(IFERROR(_xlfn.XLOOKUP(AT179,Коды_код,Коды_пожарная),"")="да","да","нет")))</f>
        <v>нет</v>
      </c>
      <c r="DG179" t="str">
        <f t="shared" si="208"/>
        <v/>
      </c>
      <c r="DH179" t="str">
        <f t="shared" si="209"/>
        <v>основная</v>
      </c>
      <c r="DI179">
        <f t="shared" si="210"/>
        <v>1</v>
      </c>
      <c r="DJ179" t="str" cm="1">
        <f t="array" ref="DJ179">IF(D179="","",_xlfn.LET(_xlpm.t,IFERROR(_xlfn.XLOOKUP(1,(Шины[Шина]=DH179)*(((Шины[Щит]=A179)+(Шины[Щит]=""))&gt;0),Шины[Тип]),"")&amp;"",IF(_xlpm.t&lt;&gt;"",_xlpm.t,IF(ISNUMBER(SEARCH("ИБП",DH179)),"ИБП",IF(ISNUMBER(SEARCH("ДГУ",DH179)),"ДГУ","Ввод "&amp;DI179)))))</f>
        <v>Ввод 1</v>
      </c>
      <c r="DK179" t="str">
        <f t="shared" si="211"/>
        <v>Ввод 1</v>
      </c>
      <c r="DL179" t="str">
        <f>IF(D179="","",IF(OR(DJ179="ИБП",DJ179="ДГУ"),"I особая",IF(DJ179="Одиночная","III",_xlfn.XLOOKUP(A179,Щиты[Щит],Щиты[Категория шины «Ввод»],"III"))))</f>
        <v>II</v>
      </c>
      <c r="DM179">
        <f>IF(D179="",0,IFERROR(MATCH(DE179,{"III","II","I","I особая"},0),1))</f>
        <v>2</v>
      </c>
      <c r="DN179">
        <f t="shared" si="212"/>
        <v>2</v>
      </c>
      <c r="DO179" t="str">
        <f>IF(D179="","",IF(DM179&gt;IFERROR(MATCH(DL179,{"III","II","I","I особая"},0),1),"НЕ ОБЕСПЕЧЕНА","ОК"))</f>
        <v>ОК</v>
      </c>
      <c r="DP179" t="str">
        <f>IF(A179="","",_xlfn.XLOOKUP(A179,Щиты[Щит],Щиты[Путь],""))</f>
        <v>|ГРЩ-ЖД|ЩР-001|</v>
      </c>
      <c r="DQ179" t="str">
        <f>IF(D179="","",IF(Z179&lt;&gt;"",Z179,IF(IFERROR(_xlfn.XLOOKUP(AT179,Коды_код,Коды_вид)&amp;"","")="","Прочее",_xlfn.XLOOKUP(AT179,Коды_код,Коды_вид)&amp;"")))</f>
        <v>Слаботочные системы, автоматизация, KNX</v>
      </c>
      <c r="DR179">
        <f>IF(BD179="","",INT((BD179-1)/Столбцов_на_лист)+1)</f>
        <v>3</v>
      </c>
      <c r="DS179" t="str">
        <f t="shared" si="213"/>
        <v>ВВГнг(А)-LS (3х2,5) L=36-0,74%</v>
      </c>
      <c r="DT179">
        <f t="shared" si="214"/>
        <v>0.6</v>
      </c>
      <c r="DU179">
        <f t="shared" si="215"/>
        <v>2.7399999999999998</v>
      </c>
      <c r="DV179">
        <f t="shared" si="216"/>
        <v>1</v>
      </c>
      <c r="DW179">
        <f>IF(AT179="",0,_xlfn.LET(_xlpm.v,IFERROR(VLOOKUP(D179,УГО_спр,3,FALSE),IFERROR(VLOOKUP(AT179,УГО_спр,3,FALSE),IFERROR(VLOOKUP(LEFT(AT179,2),УГО_спр,3,FALSE),""))),IF(_xlpm.v="да",30,IF(ISNUMBER(_xlpm.v),_xlpm.v,0))))</f>
        <v>0</v>
      </c>
      <c r="DX179">
        <f t="shared" si="217"/>
        <v>0</v>
      </c>
      <c r="DY179">
        <f>IF(BD179="","",IF(AD179&lt;&gt;"",COUNTIFS(A$3:A179,A179,AD$3:AD179,"?*"),IF(OR(OR(AS179=1,A179&lt;&gt;A178),AL179="вручную"),"",IF(AS179=1,"",DZ178))))</f>
        <v>25</v>
      </c>
      <c r="DZ179">
        <f t="shared" si="218"/>
        <v>25</v>
      </c>
      <c r="EA179">
        <f>IF(D179="",0,MAX(IFERROR(--X179,0),IFERROR(--VLOOKUP(D179,УГО_спр,4,FALSE),IFERROR(--VLOOKUP(AT179,УГО_спр,4,FALSE),IFERROR(--VLOOKUP(LEFT(AT179,2),УГО_спр,4,FALSE),0)))))</f>
        <v>16</v>
      </c>
      <c r="EB179">
        <f>IF(D179="","",IFERROR(LOOKUP(INDEX(CHOOSE(BR179,Iдоп_1ж,Iдоп_2ж,Iдоп_3ж),MATCH(BS179,Iдоп_S,0))*BP179*BQ179,{6,10,16,20,25,32,40,50,63,80,100,125,160,200,250,315,400,500,630}),""))</f>
        <v>25</v>
      </c>
      <c r="EC179">
        <f>IF(AD179="","",SUMIFS(Линии[_Ток схемы],Линии[_гр.],DY179,Линии[Щит],A179,Линии[_в кабель выше],0))</f>
        <v>2.7399999999999998</v>
      </c>
      <c r="ED179">
        <f>IF(AD179="","",IFERROR(VLOOKUP(EC179,Автомат_номиналы,2,TRUE),""))</f>
        <v>6</v>
      </c>
      <c r="EE179">
        <f>IF(AD179="","",MAX(N(ED179),_xlfn.MAXIFS(Линии[_мин. по типу],Линии[_гр.],DY179,Линии[Щит],A179)))</f>
        <v>16</v>
      </c>
      <c r="EF179">
        <f>IF(AD179="","",_xlfn.MINIFS(Линии[_макс. автомат по кабелю],Линии[_гр.],DY179,Линии[Щит],A179))</f>
        <v>25</v>
      </c>
      <c r="EG179">
        <f>IF(AD179="","",MAX(1,_xlfn.MAXIFS(Линии[_фаз],Линии[_гр.],DY179,Линии[Щит],A179)))</f>
        <v>1</v>
      </c>
      <c r="EH179">
        <f>IF(AD179="","",IF(AND(AD179&lt;&gt;"авто",AD179&lt;&gt;"+"),IF(ISNUMBER(SEARCH("мА",AD179)),IFERROR(--TRIM(RIGHT(SUBSTITUTE(LEFT(AD179,SEARCH("мА",AD179)-1)," ",REPT(" ",9)),6)),30),0),IF(AE179="нет",0,IF(ISNUMBER(AE179),AE179,IF(AE179="да",30,_xlfn.MINIFS(Линии[_дифзащита по коду, мА],Линии[_гр.],DY179,Линии[Щит],A179,Линии[_дифзащита по коду, мА],"&gt;0"))))))</f>
        <v>0</v>
      </c>
      <c r="EI179">
        <f t="shared" si="219"/>
        <v>0</v>
      </c>
      <c r="EJ179" t="str">
        <f t="shared" si="220"/>
        <v>QF25</v>
      </c>
      <c r="EK179" t="str">
        <f t="shared" si="221"/>
        <v>QF25</v>
      </c>
      <c r="EL179" t="str">
        <f t="shared" si="222"/>
        <v/>
      </c>
      <c r="EM179">
        <f t="shared" si="223"/>
        <v>0</v>
      </c>
      <c r="EN179">
        <f>IF(AD179="","",IF(EM179=1,MAX(EE179,Мин_автомат_БП),EE179))</f>
        <v>16</v>
      </c>
      <c r="EO179" t="str">
        <f t="shared" si="224"/>
        <v>1P</v>
      </c>
      <c r="EP179" t="str">
        <f t="shared" si="225"/>
        <v>1P С16А</v>
      </c>
      <c r="EQ179">
        <f t="shared" si="226"/>
        <v>16</v>
      </c>
      <c r="ER179" t="str">
        <f>IF(OR(AI179="",AI179="-"),"",IFERROR(VLOOKUP(AI179,Модули_спр,2,FALSE),"R"))</f>
        <v/>
      </c>
      <c r="ES179" t="str">
        <f>IF(ER179="","",ER179&amp;"."&amp;COUNTIFS(A$3:A179,A179,ER$3:ER179,ER179))</f>
        <v/>
      </c>
      <c r="ET179" t="str">
        <f t="shared" si="227"/>
        <v/>
      </c>
      <c r="EU179" t="str">
        <f t="shared" si="228"/>
        <v/>
      </c>
      <c r="EV179" t="str">
        <f t="shared" si="229"/>
        <v/>
      </c>
      <c r="EW179" t="str">
        <f t="shared" si="230"/>
        <v/>
      </c>
      <c r="EX179">
        <f t="shared" si="231"/>
        <v>1</v>
      </c>
      <c r="EY179" t="str">
        <f>IF(AK179="нет","",IF(AK179&lt;&gt;"",AK179,IF(EX179=1,"XT"&amp;COUNTIFS(A$3:A179,A179,EX$3:EX179,1),"")))</f>
        <v>XT25</v>
      </c>
      <c r="EZ179" t="str">
        <f t="shared" si="232"/>
        <v>QF25</v>
      </c>
      <c r="FA179" t="str">
        <f t="shared" si="233"/>
        <v/>
      </c>
      <c r="FB179" t="str">
        <f t="shared" si="234"/>
        <v>ok</v>
      </c>
      <c r="FC179" t="str">
        <f>IF(OR(EV179="",ET179=""),"",IF(EV179&gt;IFERROR(VLOOKUP(EU179,Модули_спр,3,FALSE),99),"ЛИШНИЙ КАНАЛ",IF(AND(AJ179&lt;&gt;"=",COUNTIFS(Линии[_модуль гр.],ET179,Линии[Канал (итог)],EV179,Линии[Канал],"&lt;&gt;=",Линии[Щит],A179)&gt;1),"ДУБЛЬ КАНАЛА","")))</f>
        <v/>
      </c>
      <c r="FD179">
        <f t="shared" si="235"/>
        <v>16</v>
      </c>
      <c r="FE179" t="str">
        <f t="shared" si="236"/>
        <v>1P С16А</v>
      </c>
      <c r="FF179">
        <f t="shared" si="237"/>
        <v>0</v>
      </c>
      <c r="FG179">
        <f t="shared" si="238"/>
        <v>0</v>
      </c>
      <c r="FH179" t="str">
        <f t="shared" si="239"/>
        <v/>
      </c>
      <c r="FI179">
        <f t="shared" si="240"/>
        <v>10</v>
      </c>
      <c r="FJ179" t="str">
        <f t="shared" si="241"/>
        <v/>
      </c>
      <c r="FK179" t="str">
        <f>IF(AND(D179="",EZ179=""),"",_xlfn.TEXTJOIN("; ",TRUE,IF(AND(D179&lt;&gt;"",DD179=""),"нет фазы",""),IF(AND(D179&lt;&gt;"",N(DT179)=0,CN179&lt;&gt;"Нет"),"нет мощности",""),IF(AND(EY179&lt;&gt;"",COUNTIFS(Линии[Щит],A179,Линии[Клемма (итог)],EY179)&gt;1),"дубль клеммы "&amp;EY179,""),IF(AND(FB179&lt;&gt;"",FB179&lt;&gt;"ok"),FB179,""),IF(FC179&lt;&gt;"",FC179,""),IF(AND(ISNUMBER(SEARCH("(5х",DS179)),N(DV179)=1),"5 жил на 1 фазе",""),IF(AND(AT179="R",AD179&lt;&gt;"",OR(N(EH179)=0,N(EH179)&gt;30)),"розетка без дифзащиты до 30 мА",""),IFERROR(IF(AND(ISNUMBER(CD179),CD179&gt;CE179),"потери "&amp;FIXED(CD179,1)&amp;" % &gt; "&amp;CE179&amp;" %",""),""),IFERROR(IF(LEFT(FJ179,4)="мало","Iкз мало — отключение &gt; 0,4 с",""),""),IF(AND(D179&lt;&gt;"",BD179=""),"не на схеме","")))</f>
        <v/>
      </c>
      <c r="FL179">
        <f>IF(AD179="","",_xlfn.LET(_xlpm.t,IFERROR(_xlfn.XLOOKUP(EP179,Каталог!$U$4:$U$500,Каталог!$G$4:$G$500),""),_xlpm.k,SEARCH("кА",_xlpm.t),IFERROR(--TRIM(RIGHT(SUBSTITUTE(MID(_xlpm.t,MAX(1,_xlpm.k-4),_xlpm.k-MAX(1,_xlpm.k-4))," ",REPT(" ",9)),5)),"")))</f>
        <v>6</v>
      </c>
      <c r="FM179" t="str">
        <f>IF(OR(FL179="",AD179=""),"",IF(_xlfn.XLOOKUP(A179,Щиты[Щит],Щиты[Iкз max на шинах, кА],"")="","",IF(FL179&lt;_xlfn.XLOOKUP(A179,Щиты[Щит],Щиты[Iкз max на шинах, кА]),"Icu "&amp;FL179&amp;" кА &lt; Iкз max","ok")))</f>
        <v/>
      </c>
      <c r="FN179" t="str">
        <f t="shared" si="242"/>
        <v>QF25|XT25</v>
      </c>
      <c r="FO179" t="str">
        <f t="shared" si="243"/>
        <v>QF25|XT25|кабель ВВГнг(А)-LS (3х2,5) → Шкаф телекоммуникационный ШТК-0 Подвальный этаж Пом. №007Т</v>
      </c>
      <c r="FP179" t="str" cm="1">
        <f t="array" ref="FP179">IF(FO179="","",_xlfn.LET(_xlpm.nd,_xlfn.TEXTSPLIT(FO179,"|"),IF(COLUMNS(_xlpm.nd)&gt;1,A179&amp;"¦"&amp;INDEX(_xlpm.nd,1)&amp;"¦"&amp;INDEX(_xlpm.nd,2),"")))</f>
        <v>ЩР-001¦QF25¦XT25</v>
      </c>
      <c r="FQ179" t="str">
        <f t="shared" si="244"/>
        <v>ШТК-0¦Шкаф телекоммуникационный ШТК-0 Подвальный этаж Пом. №007Т</v>
      </c>
      <c r="FR179" t="str" cm="1">
        <f t="array" ref="FR179">IF(FO179="","",_xlfn.LET(_xlpm.nd,_xlfn.TEXTSPLIT(FO179,"|"),IF(COLUMNS(_xlpm.nd)&gt;2,A179&amp;"¦"&amp;INDEX(_xlpm.nd,2)&amp;"¦"&amp;INDEX(_xlpm.nd,3),"")))</f>
        <v>ЩР-001¦XT25¦кабель ВВГнг(А)-LS (3х2,5) → Шкаф телекоммуникационный ШТК-0 Подвальный этаж Пом. №007Т</v>
      </c>
      <c r="FS179" t="str">
        <f t="shared" si="245"/>
        <v>ШТК-0¦Шкаф телекоммуникационный ШТК-0 Подвальный этаж Пом. №007Т</v>
      </c>
      <c r="FT179" t="str" cm="1">
        <f t="array" ref="FT179">IF(FO179="","",_xlfn.LET(_xlpm.nd,_xlfn.TEXTSPLIT(FO179,"|"),IF(COLUMNS(_xlpm.nd)&gt;3,A179&amp;"¦"&amp;INDEX(_xlpm.nd,3)&amp;"¦"&amp;INDEX(_xlpm.nd,4),"")))</f>
        <v/>
      </c>
      <c r="FU179" t="str">
        <f t="shared" si="246"/>
        <v/>
      </c>
      <c r="FV179" t="str" cm="1">
        <f t="array" ref="FV179">IF(FO179="","",_xlfn.LET(_xlpm.nd,_xlfn.TEXTSPLIT(FO179,"|"),IF(COLUMNS(_xlpm.nd)&gt;4,A179&amp;"¦"&amp;INDEX(_xlpm.nd,4)&amp;"¦"&amp;INDEX(_xlpm.nd,5),"")))</f>
        <v/>
      </c>
      <c r="FW179" t="str">
        <f t="shared" si="247"/>
        <v/>
      </c>
      <c r="FX179" t="str" cm="1">
        <f t="array" ref="FX179">IF(FO179="","",_xlfn.LET(_xlpm.nd,_xlfn.TEXTSPLIT(FO179,"|"),IF(COLUMNS(_xlpm.nd)&gt;5,A179&amp;"¦"&amp;INDEX(_xlpm.nd,5)&amp;"¦"&amp;INDEX(_xlpm.nd,6),"")))</f>
        <v/>
      </c>
      <c r="FY179" t="str">
        <f t="shared" si="248"/>
        <v/>
      </c>
      <c r="FZ179" t="str" cm="1">
        <f t="array" ref="FZ179">IF(FO179="","",_xlfn.LET(_xlpm.nd,_xlfn.TEXTSPLIT(FO179,"|"),IF(COLUMNS(_xlpm.nd)&gt;6,A179&amp;"¦"&amp;INDEX(_xlpm.nd,6)&amp;"¦"&amp;INDEX(_xlpm.nd,7),"")))</f>
        <v/>
      </c>
      <c r="GA179" t="str">
        <f t="shared" si="249"/>
        <v/>
      </c>
      <c r="GB179" t="str">
        <f t="shared" si="250"/>
        <v/>
      </c>
      <c r="GC179" t="str">
        <f t="shared" si="251"/>
        <v>QF25 → XT25</v>
      </c>
      <c r="GD179">
        <f t="shared" si="252"/>
        <v>1</v>
      </c>
      <c r="GE179">
        <f t="shared" si="253"/>
        <v>0</v>
      </c>
      <c r="GF179">
        <f t="shared" si="254"/>
        <v>0</v>
      </c>
      <c r="GG179" t="str">
        <f t="shared" si="255"/>
        <v/>
      </c>
      <c r="GH179" t="str">
        <f t="shared" si="256"/>
        <v/>
      </c>
      <c r="GI179" t="str">
        <f t="shared" si="257"/>
        <v/>
      </c>
      <c r="GJ179" t="str">
        <f t="shared" si="258"/>
        <v/>
      </c>
      <c r="GK179" t="str">
        <f>IF(D179="","",IFERROR(VLOOKUP(D179,УГО_спр,2,FALSE),IFERROR(VLOOKUP(AT179,УГО_спр,2,FALSE),IFERROR(VLOOKUP(LEFT(AT179,2),УГО_спр,2,FALSE),""))))</f>
        <v/>
      </c>
      <c r="GL179" t="str">
        <f>IF(D179="","",IF(OR(GK179="",GK179=0),"BOX",IFERROR(IF(VLOOKUP(GK179,УГО_блоки,3,FALSE)&amp;""&lt;&gt;"",VLOOKUP(GK179,УГО_блоки,3,FALSE),VLOOKUP(GK179,УГО_блоки,2,FALSE)),GK179)))</f>
        <v>BOX</v>
      </c>
      <c r="GM179">
        <f t="shared" si="259"/>
        <v>1</v>
      </c>
      <c r="GN179" t="str">
        <f>IF(EP179="","",IF(COUNTIF(EP$3:EP179,EP179)=1,MAX(GN$2:GN178)+1,""))</f>
        <v/>
      </c>
      <c r="GO179" t="str">
        <f>IF(AF179="","",IF(COUNTIF(AF$3:AF179,AF179)+COUNTIF(AG$2:AG178,AF179)+COUNTIF(AH$2:AH178,AF179)=1,MAX(GO$2:GQ178)+1,""))</f>
        <v/>
      </c>
      <c r="GP179" t="str">
        <f>IF(AG179="","",IF(COUNTIF(AF$3:AF179,AG179)+COUNTIF(AG$3:AG179,AG179)+COUNTIF(AH$2:AH178,AG179)=1,MAX(GO$2:GQ178,GO179)+1,""))</f>
        <v/>
      </c>
      <c r="GQ179" t="str">
        <f>IF(AH179="","",IF(COUNTIF(AF$3:AF179,AH179)+COUNTIF(AG$3:AG179,AH179)+COUNTIF(AH$3:AH179,AH179)=1,MAX(GO$2:GQ178,GO179,GP179)+1,""))</f>
        <v/>
      </c>
      <c r="GR179" t="str">
        <f t="shared" si="260"/>
        <v>3х2,5</v>
      </c>
      <c r="GS179" t="str">
        <f>IF(GR179="","",IF(COUNTIF(GR$3:GR179,GR179)=1,MAX(GS$2:GS178)+1,""))</f>
        <v/>
      </c>
      <c r="GT179" t="str">
        <f>IF(ES179="","",COUNTIF(ES$3:ES179,"?*"))</f>
        <v/>
      </c>
      <c r="GU179" t="str">
        <f>IF(OR(ES179="",EU179=""),"",IF(COUNTIFS(ES$3:ES179,"?*",EU$3:EU179,EU179)=1,MAX(GU$2:GU178)+1,""))</f>
        <v/>
      </c>
      <c r="GV179">
        <f t="shared" si="261"/>
        <v>0</v>
      </c>
      <c r="GW179">
        <f>IF(D179="","",COUNTIF(D$3:D179,"?*"))</f>
        <v>177</v>
      </c>
      <c r="GX179">
        <f>IF(EX179&lt;&gt;1,0,_xlfn.LET(_xlpm.k,MAX(IFERROR(--VLOOKUP(D179,УГО_спр,5,FALSE),0),IFERROR(--VLOOKUP(AT179,УГО_спр,5,FALSE),0),IFERROR(--VLOOKUP(LEFT(AT179,2),УГО_спр,5,FALSE),0)),IF(_xlpm.k&gt;0,_xlpm.k,IF(IFERROR(--LEFT(SUBSTITUTE(GR179,"x","х"),FIND("х",SUBSTITUTE(GR179,"x","х"))-1),3)&gt;3,Каталог!$S$9,1))))</f>
        <v>1</v>
      </c>
      <c r="GY179">
        <f t="shared" si="262"/>
        <v>0</v>
      </c>
    </row>
    <row r="180" spans="1:207" x14ac:dyDescent="0.3">
      <c r="A180" t="s">
        <v>758</v>
      </c>
      <c r="B180">
        <v>37</v>
      </c>
      <c r="C180" t="str">
        <f>IF(BD180="","",IF(BE180="вводной узел","узел ","")&amp;"л."&amp;(INT((BD180-1)/Столбцов_на_лист)+1)&amp;" / "&amp;(MOD(BD180-1,Столбцов_на_лист)+1))</f>
        <v>л.3 / 3</v>
      </c>
      <c r="D180" t="s">
        <v>1485</v>
      </c>
      <c r="E180" s="133" t="s">
        <v>1486</v>
      </c>
      <c r="G180">
        <v>2.7</v>
      </c>
      <c r="H180">
        <v>1</v>
      </c>
      <c r="I180">
        <v>1</v>
      </c>
      <c r="J180">
        <v>230</v>
      </c>
      <c r="K180" t="s">
        <v>577</v>
      </c>
      <c r="O180">
        <v>1</v>
      </c>
      <c r="P180">
        <v>35</v>
      </c>
      <c r="Q180">
        <v>17</v>
      </c>
      <c r="R180">
        <v>13</v>
      </c>
      <c r="U180" t="s">
        <v>11</v>
      </c>
      <c r="V180">
        <v>3</v>
      </c>
      <c r="W180">
        <v>2.5</v>
      </c>
      <c r="X180">
        <v>16</v>
      </c>
      <c r="Z180" t="s">
        <v>576</v>
      </c>
      <c r="AA180" t="s">
        <v>818</v>
      </c>
      <c r="AD180" t="s">
        <v>517</v>
      </c>
      <c r="AR180" t="str">
        <f t="shared" si="176"/>
        <v>потери 5,1 % &gt; 4 %</v>
      </c>
      <c r="AS180" cm="1">
        <f t="array" ref="AS180">ROW()-ROW(Линии[#Headers])</f>
        <v>178</v>
      </c>
      <c r="AT180" t="str">
        <f t="shared" si="177"/>
        <v>ШТК-ЛВС</v>
      </c>
      <c r="AU180" t="str">
        <f t="shared" si="178"/>
        <v>00</v>
      </c>
      <c r="AV180" t="str">
        <f t="shared" si="179"/>
        <v>00</v>
      </c>
      <c r="AW180" t="str">
        <f t="shared" si="180"/>
        <v/>
      </c>
      <c r="AX180" t="str">
        <f t="shared" si="181"/>
        <v/>
      </c>
      <c r="AY180" t="str">
        <f>IF(D180="","",IF(ISERROR(SEARCH(".",D180)),IFERROR(VLOOKUP(D180,Потребители_обозначение,2,FALSE)&amp;"",""),IFERROR(IF(VLOOKUP(AT180,Потребители_обозначение,4,FALSE)=1,VLOOKUP(AT180,Потребители_обозначение,2,FALSE)&amp;" "&amp;VLOOKUP(AV180,Этаж_обозначение,2,FALSE)&amp;" Пом. №"&amp;AX180,VLOOKUP(AT180,Потребители_обозначение,2,FALSE)&amp;" Шлейф №"&amp;AV180),IFERROR(VLOOKUP(D180,Потребители_обозначение,2,FALSE),""))))</f>
        <v>Шкаф телекоммуникационный ЛВС Шлейф №00</v>
      </c>
      <c r="AZ180" t="str">
        <f t="shared" si="182"/>
        <v>Шкаф телекоммуникационный ШТК-ЛВС.00  Подвальный этаж Пом. №007Т</v>
      </c>
      <c r="BA180" t="str">
        <f>IF(F180&lt;&gt;"",F180,IF(AND(D180&lt;&gt;"",D180&lt;&gt;A180,ISNUMBER(_xlfn.XMATCH(D180,Щиты[Щит]))),D180,""))</f>
        <v/>
      </c>
      <c r="BB180">
        <f>IFERROR(_xlfn.XMATCH(A180,Щиты[Щит]),0)</f>
        <v>8</v>
      </c>
      <c r="BC180">
        <f>IFERROR(N(_xlfn.XLOOKUP(A180,Щиты[Щит],Щиты[Мест под вводной узел])),15)</f>
        <v>7</v>
      </c>
      <c r="BD180">
        <f t="shared" si="183"/>
        <v>37</v>
      </c>
      <c r="BE180" t="str">
        <f t="shared" si="184"/>
        <v>линии</v>
      </c>
      <c r="BF180">
        <f>IF(D180="","",IF(BA180&lt;&gt;"",IFERROR(_xlfn.XLOOKUP(BA180,Щиты[Щит],Щиты[Руст, кВт]),0),N(G180)))</f>
        <v>2.7</v>
      </c>
      <c r="BG180">
        <f>IF(J180&lt;&gt;"",J180,IF(D180="","",IFERROR(IF(VLOOKUP(AT180,Потребители_обозначение,8,FALSE)=0,"",VLOOKUP(AT180,Потребители_обозначение,8,FALSE)),"")))</f>
        <v>230</v>
      </c>
      <c r="BH180">
        <f>IF(I180&lt;&gt;"",I180,IF(D180="","",IFERROR(IF(VLOOKUP(AT180,Потребители_обозначение,9,FALSE)=0,"",VLOOKUP(AT180,Потребители_обозначение,9,FALSE)),"")))</f>
        <v>1</v>
      </c>
      <c r="BI180" t="str">
        <f>IF(U180&lt;&gt;"",U180,IF(D180="","",IFERROR(IF(VLOOKUP(AT180,Потребители_обозначение,6,FALSE)=0,"",VLOOKUP(AT180,Потребители_обозначение,6,FALSE)),"")))</f>
        <v>мс</v>
      </c>
      <c r="BJ180">
        <f>IF(V180&lt;&gt;"",V180,IF(D180="","",IFERROR(IF(VLOOKUP(AT180,Потребители_обозначение,7,FALSE)=0,"",VLOOKUP(AT180,Потребители_обозначение,7,FALSE)),"")))</f>
        <v>3</v>
      </c>
      <c r="BK180">
        <f>IF(W180&lt;&gt;"",W180,IF(D180="","",IFERROR(IF(VLOOKUP(AT180,Потребители_обозначение,10,FALSE)=0,"",VLOOKUP(AT180,Потребители_обозначение,10,FALSE)),"")))</f>
        <v>2.5</v>
      </c>
      <c r="BL180">
        <f>IFERROR(VLOOKUP(AT180,Потребители_обозначение,5,FALSE),0)</f>
        <v>1</v>
      </c>
      <c r="BM180" cm="1">
        <f t="array" ref="BM180">IF(D180="","",IF(BA180&lt;&gt;"",IFERROR(_xlfn.XLOOKUP(BA180,Щиты[Щит],Щиты[cos φ]),0.95),IF(ISNUMBER(M180),M180,IFERROR(IF(BL180=2,_xlfn.IFS(BH180=3,VLOOKUP(BF180,Справочная_двигатели,8,FALSE),BH180=1,VLOOKUP(BF180,Справочная_двигатели,10,TRUE)),IF(AND(Методика="нормы 2026",CN180="Сил"),0.8,0.95)),0.95))))</f>
        <v>0.95</v>
      </c>
      <c r="BN180" cm="1">
        <f t="array" ref="BN180">IF(D180="","",IF(BA180&lt;&gt;"",IFERROR(_xlfn.XLOOKUP(BA180,Щиты[Щит],Щиты[Iр, А]),""),IFERROR(_xlfn.IFS(BH180=1,BF180/((Uн_лин/SQRT(3))*BM180),BH180=3,BF180/(SQRT(3)*Uн_лин*BM180)),"")))</f>
        <v>12.306676790620971</v>
      </c>
      <c r="BO180">
        <f>IF(D180="","",IF(N(X180)=0,IFERROR(VLOOKUP(BN180,Автомат_номиналы,2,TRUE),""),X180))</f>
        <v>16</v>
      </c>
      <c r="BP180">
        <f t="shared" si="185"/>
        <v>1</v>
      </c>
      <c r="BQ180">
        <f>IF(ISNUMBER(Y180),Y180,К_прокл)</f>
        <v>1</v>
      </c>
      <c r="BR180">
        <f t="shared" si="186"/>
        <v>2</v>
      </c>
      <c r="BS180" cm="1">
        <f t="array" ref="BS180">IF(D180="","",IF(N(BK180)&lt;&gt;0,BK180,IFERROR(_xlfn.LET(_xlpm.need,BO180/(BP180*BQ180),_xlpm.t,CHOOSE(BR180,Iдоп_1ж,Iдоп_2ж,Iдоп_3ж),_xlpm.k,_xlfn.XMATCH(_xlpm.need,_xlpm.t,1),IF(ISNA(_xlpm.k),"Не исп",INDEX(Iдоп_S,_xlpm.k))),"Не исп")))</f>
        <v>2.5</v>
      </c>
      <c r="BT180">
        <f>IFERROR(VLOOKUP(BS180,Кабель_сопротивление,3,FALSE),"")</f>
        <v>2.2499999999999999E-2</v>
      </c>
      <c r="BU180">
        <f>IFERROR(VLOOKUP(BS180,Кабель_сопротивление,2,FALSE),"")</f>
        <v>0.1</v>
      </c>
      <c r="BV180">
        <f t="shared" si="187"/>
        <v>35</v>
      </c>
      <c r="BW180">
        <f>IF(D180="","",IFERROR(IF(VLOOKUP(AT180,Потребители_обозначение,4,FALSE)=1,VLOOKUP(AT180,Потребители_обозначение,3,FALSE)*(H180*2-1)+BV180+VLOOKUP(AV180,Этаж_обозначение,3,FALSE)+VLOOKUP(AV180,Этаж_обозначение,4,FALSE),VLOOKUP(AT180,Потребители_обозначение,3,FALSE)*(H180*2-1)+BV180),BV180))</f>
        <v>38</v>
      </c>
      <c r="BX180">
        <f t="shared" si="188"/>
        <v>13</v>
      </c>
      <c r="BY180" t="str">
        <f t="shared" si="189"/>
        <v/>
      </c>
      <c r="BZ180">
        <f t="shared" si="190"/>
        <v>2</v>
      </c>
      <c r="CA180">
        <f t="shared" si="191"/>
        <v>0.31</v>
      </c>
      <c r="CB180">
        <f t="shared" si="192"/>
        <v>8.025873109064209</v>
      </c>
      <c r="CC180">
        <f>IFERROR(ROUNDUP(CB180/((Uн_лин/SQRT(3))*1000)*100,2),"")</f>
        <v>3.48</v>
      </c>
      <c r="CD180">
        <f>IF(ISNUMBER(CC180),CC180+IFERROR(_xlfn.XLOOKUP(A180,Щиты[Щит],Щиты[ΔU до шин, %]),0),"")</f>
        <v>5.05</v>
      </c>
      <c r="CE180">
        <f>IF(D180="","",IF(IFERROR(VLOOKUP(AT180,УГО_спр,2,FALSE),"")="Светильник",3,4)+IF(Методика="нормы 2026",MIN(0.5,MAX(0,N(BW180)-100)*0.005),0))</f>
        <v>4</v>
      </c>
      <c r="CF180" t="str">
        <f>IFERROR(VLOOKUP(BI180,Кабель_обозначение,2,FALSE),"")</f>
        <v>ВВГнг(А)-LS</v>
      </c>
      <c r="CG180" t="str">
        <f>IFERROR(IF(VLOOKUP(BI180,Кабель_обозначение,3,FALSE)=1,CF180&amp;" ("&amp;BJ180&amp;"х"&amp;BS180&amp;")",CF180),"")</f>
        <v>ВВГнг(А)-LS (3х2,5)</v>
      </c>
      <c r="CH180" t="str">
        <f t="shared" si="193"/>
        <v>ВВГнг(А)-LS (3х2,5)
L=38-3,48%</v>
      </c>
      <c r="CI180">
        <f>IFERROR(2*ρкз_Cu*BW180/BS180,"")</f>
        <v>0.79952000000000001</v>
      </c>
      <c r="CJ180">
        <f t="shared" si="194"/>
        <v>0.26600000000000001</v>
      </c>
      <c r="CK180" t="str">
        <f>IFERROR(IF(OR(D180="",NOT(ISNUMBER(BS180)),N(BW180)=0),"",_xlfn.XLOOKUP(A180,Щиты[Щит],Щиты[Zпетли на шинах, Ом])+CI180),"")</f>
        <v/>
      </c>
      <c r="CL180" t="str">
        <f>IF(ISNUMBER(CK180),c_min*(Uн_лин*1000/SQRT(3))/CK180,"")</f>
        <v/>
      </c>
      <c r="CM180" t="str">
        <f>IFERROR(IF(OR(D180="",NOT(ISNUMBER(BS180))),"",1.05*(Uн_лин*1000/SQRT(3))/(_xlfn.XLOOKUP(A180,Щиты[Щит],Щиты[Zmax на шинах, Ом])+CJ180)/1000),"")</f>
        <v/>
      </c>
      <c r="CN180" t="str">
        <f>IF(D180="","",IF(BA180&lt;&gt;"","Щит",IF(K180&lt;&gt;"",K180,IF(ISNUMBER(L180),"Сил",IF(IFERROR(_xlfn.XLOOKUP(AT180,Коды_код,Коды_группа)&amp;"","")="","Быт",_xlfn.XLOOKUP(AT180,Коды_код,Коды_группа)&amp;"")))))</f>
        <v>Пост</v>
      </c>
      <c r="CO180">
        <f>IF(CN180="Щит","щит",IF(CN180="","",IF(CN180="Быт",IFERROR(_xlfn.XLOOKUP(A180,Щиты[Щит],Щиты[Кс быт]),1),IF(CN180="Сил",IF(ISNUMBER(L180),L180,IF(Методика="нормы 2026",IFERROR(_xlfn.XLOOKUP(A180,Щиты[Щит],Щиты[Кс силовых (табл. 7.5)]),1),1)),IF(OR(CN180="Пост",CN180="Отоп"),1,IF(CN180="ВНГ",0.7,0))))))</f>
        <v>1</v>
      </c>
      <c r="CP180">
        <f t="shared" si="195"/>
        <v>1</v>
      </c>
      <c r="CQ180">
        <f t="shared" si="196"/>
        <v>2.7</v>
      </c>
      <c r="CR180">
        <f t="shared" si="197"/>
        <v>0</v>
      </c>
      <c r="CS180">
        <f t="shared" si="198"/>
        <v>0</v>
      </c>
      <c r="CT180">
        <f t="shared" si="199"/>
        <v>2.7</v>
      </c>
      <c r="CU180">
        <f t="shared" si="200"/>
        <v>0</v>
      </c>
      <c r="CV180">
        <f t="shared" si="201"/>
        <v>0</v>
      </c>
      <c r="CW180">
        <f t="shared" si="202"/>
        <v>2.7</v>
      </c>
      <c r="CX180">
        <f t="shared" si="203"/>
        <v>2.5649999999999999</v>
      </c>
      <c r="CY180">
        <f t="shared" si="204"/>
        <v>2</v>
      </c>
      <c r="CZ180" t="str">
        <f t="shared" si="205"/>
        <v>L2</v>
      </c>
      <c r="DA180" cm="1">
        <f t="array" ref="DA180">IFERROR(IF(BL180=2,_xlfn.IFS(BH180=3,VLOOKUP(BF180,Справочная_двигатели,3,FALSE),BH180=1,VLOOKUP(BF180,Справочная_двигатели,5,TRUE)),0),0)</f>
        <v>0</v>
      </c>
      <c r="DB180">
        <f>IFERROR(IF(BL180=3,VLOOKUP(BF180,Справочная_ЛЭД,2,TRUE),0),0)</f>
        <v>0</v>
      </c>
      <c r="DC180">
        <f t="shared" si="206"/>
        <v>0</v>
      </c>
      <c r="DD180" t="str">
        <f t="shared" si="207"/>
        <v>L1</v>
      </c>
      <c r="DE180" t="str" cm="1">
        <f t="array" ref="DE180">IF(D180="","",IFERROR(INDEX({"I особая","I","II","III"},MATCH(TRIM(AA180&amp;""),{"I особая","I","II","III"},0)),"III"))</f>
        <v>II</v>
      </c>
      <c r="DF180" t="str">
        <f>IF(D180="","",IF(TRIM(AB180&amp;"")&lt;&gt;"",IF(LOWER(TRIM(AB180&amp;""))="да","да","нет"),IF(IFERROR(_xlfn.XLOOKUP(AT180,Коды_код,Коды_пожарная),"")="да","да","нет")))</f>
        <v>нет</v>
      </c>
      <c r="DG180" t="str">
        <f t="shared" si="208"/>
        <v/>
      </c>
      <c r="DH180" t="str">
        <f t="shared" si="209"/>
        <v>основная</v>
      </c>
      <c r="DI180">
        <f t="shared" si="210"/>
        <v>1</v>
      </c>
      <c r="DJ180" t="str" cm="1">
        <f t="array" ref="DJ180">IF(D180="","",_xlfn.LET(_xlpm.t,IFERROR(_xlfn.XLOOKUP(1,(Шины[Шина]=DH180)*(((Шины[Щит]=A180)+(Шины[Щит]=""))&gt;0),Шины[Тип]),"")&amp;"",IF(_xlpm.t&lt;&gt;"",_xlpm.t,IF(ISNUMBER(SEARCH("ИБП",DH180)),"ИБП",IF(ISNUMBER(SEARCH("ДГУ",DH180)),"ДГУ","Ввод "&amp;DI180)))))</f>
        <v>Ввод 1</v>
      </c>
      <c r="DK180" t="str">
        <f t="shared" si="211"/>
        <v>Ввод 1</v>
      </c>
      <c r="DL180" t="str">
        <f>IF(D180="","",IF(OR(DJ180="ИБП",DJ180="ДГУ"),"I особая",IF(DJ180="Одиночная","III",_xlfn.XLOOKUP(A180,Щиты[Щит],Щиты[Категория шины «Ввод»],"III"))))</f>
        <v>II</v>
      </c>
      <c r="DM180">
        <f>IF(D180="",0,IFERROR(MATCH(DE180,{"III","II","I","I особая"},0),1))</f>
        <v>2</v>
      </c>
      <c r="DN180">
        <f t="shared" si="212"/>
        <v>2</v>
      </c>
      <c r="DO180" t="str">
        <f>IF(D180="","",IF(DM180&gt;IFERROR(MATCH(DL180,{"III","II","I","I особая"},0),1),"НЕ ОБЕСПЕЧЕНА","ОК"))</f>
        <v>ОК</v>
      </c>
      <c r="DP180" t="str">
        <f>IF(A180="","",_xlfn.XLOOKUP(A180,Щиты[Щит],Щиты[Путь],""))</f>
        <v>|ГРЩ-ЖД|ЩР-001|</v>
      </c>
      <c r="DQ180" t="str">
        <f>IF(D180="","",IF(Z180&lt;&gt;"",Z180,IF(IFERROR(_xlfn.XLOOKUP(AT180,Коды_код,Коды_вид)&amp;"","")="","Прочее",_xlfn.XLOOKUP(AT180,Коды_код,Коды_вид)&amp;"")))</f>
        <v>Слаботочные системы, автоматизация, KNX</v>
      </c>
      <c r="DR180">
        <f>IF(BD180="","",INT((BD180-1)/Столбцов_на_лист)+1)</f>
        <v>3</v>
      </c>
      <c r="DS180" t="str">
        <f t="shared" si="213"/>
        <v>ВВГнг(А)-LS (3х2,5) L=38-3,48%</v>
      </c>
      <c r="DT180">
        <f t="shared" si="214"/>
        <v>2.7</v>
      </c>
      <c r="DU180">
        <f t="shared" si="215"/>
        <v>12.31</v>
      </c>
      <c r="DV180">
        <f t="shared" si="216"/>
        <v>1</v>
      </c>
      <c r="DW180">
        <f>IF(AT180="",0,_xlfn.LET(_xlpm.v,IFERROR(VLOOKUP(D180,УГО_спр,3,FALSE),IFERROR(VLOOKUP(AT180,УГО_спр,3,FALSE),IFERROR(VLOOKUP(LEFT(AT180,2),УГО_спр,3,FALSE),""))),IF(_xlpm.v="да",30,IF(ISNUMBER(_xlpm.v),_xlpm.v,0))))</f>
        <v>0</v>
      </c>
      <c r="DX180">
        <f t="shared" si="217"/>
        <v>0</v>
      </c>
      <c r="DY180">
        <f>IF(BD180="","",IF(AD180&lt;&gt;"",COUNTIFS(A$3:A180,A180,AD$3:AD180,"?*"),IF(OR(OR(AS180=1,A180&lt;&gt;A179),AL180="вручную"),"",IF(AS180=1,"",DZ179))))</f>
        <v>26</v>
      </c>
      <c r="DZ180">
        <f t="shared" si="218"/>
        <v>26</v>
      </c>
      <c r="EA180">
        <f>IF(D180="",0,MAX(IFERROR(--X180,0),IFERROR(--VLOOKUP(D180,УГО_спр,4,FALSE),IFERROR(--VLOOKUP(AT180,УГО_спр,4,FALSE),IFERROR(--VLOOKUP(LEFT(AT180,2),УГО_спр,4,FALSE),0)))))</f>
        <v>16</v>
      </c>
      <c r="EB180">
        <f>IF(D180="","",IFERROR(LOOKUP(INDEX(CHOOSE(BR180,Iдоп_1ж,Iдоп_2ж,Iдоп_3ж),MATCH(BS180,Iдоп_S,0))*BP180*BQ180,{6,10,16,20,25,32,40,50,63,80,100,125,160,200,250,315,400,500,630}),""))</f>
        <v>25</v>
      </c>
      <c r="EC180">
        <f>IF(AD180="","",SUMIFS(Линии[_Ток схемы],Линии[_гр.],DY180,Линии[Щит],A180,Линии[_в кабель выше],0))</f>
        <v>12.31</v>
      </c>
      <c r="ED180">
        <f>IF(AD180="","",IFERROR(VLOOKUP(EC180,Автомат_номиналы,2,TRUE),""))</f>
        <v>16</v>
      </c>
      <c r="EE180">
        <f>IF(AD180="","",MAX(N(ED180),_xlfn.MAXIFS(Линии[_мин. по типу],Линии[_гр.],DY180,Линии[Щит],A180)))</f>
        <v>16</v>
      </c>
      <c r="EF180">
        <f>IF(AD180="","",_xlfn.MINIFS(Линии[_макс. автомат по кабелю],Линии[_гр.],DY180,Линии[Щит],A180))</f>
        <v>25</v>
      </c>
      <c r="EG180">
        <f>IF(AD180="","",MAX(1,_xlfn.MAXIFS(Линии[_фаз],Линии[_гр.],DY180,Линии[Щит],A180)))</f>
        <v>1</v>
      </c>
      <c r="EH180">
        <f>IF(AD180="","",IF(AND(AD180&lt;&gt;"авто",AD180&lt;&gt;"+"),IF(ISNUMBER(SEARCH("мА",AD180)),IFERROR(--TRIM(RIGHT(SUBSTITUTE(LEFT(AD180,SEARCH("мА",AD180)-1)," ",REPT(" ",9)),6)),30),0),IF(AE180="нет",0,IF(ISNUMBER(AE180),AE180,IF(AE180="да",30,_xlfn.MINIFS(Линии[_дифзащита по коду, мА],Линии[_гр.],DY180,Линии[Щит],A180,Линии[_дифзащита по коду, мА],"&gt;0"))))))</f>
        <v>0</v>
      </c>
      <c r="EI180">
        <f t="shared" si="219"/>
        <v>0</v>
      </c>
      <c r="EJ180" t="str">
        <f t="shared" si="220"/>
        <v>QF26</v>
      </c>
      <c r="EK180" t="str">
        <f t="shared" si="221"/>
        <v>QF26</v>
      </c>
      <c r="EL180" t="str">
        <f t="shared" si="222"/>
        <v/>
      </c>
      <c r="EM180">
        <f t="shared" si="223"/>
        <v>0</v>
      </c>
      <c r="EN180">
        <f>IF(AD180="","",IF(EM180=1,MAX(EE180,Мин_автомат_БП),EE180))</f>
        <v>16</v>
      </c>
      <c r="EO180" t="str">
        <f t="shared" si="224"/>
        <v>1P</v>
      </c>
      <c r="EP180" t="str">
        <f t="shared" si="225"/>
        <v>1P С16А</v>
      </c>
      <c r="EQ180">
        <f t="shared" si="226"/>
        <v>16</v>
      </c>
      <c r="ER180" t="str">
        <f>IF(OR(AI180="",AI180="-"),"",IFERROR(VLOOKUP(AI180,Модули_спр,2,FALSE),"R"))</f>
        <v/>
      </c>
      <c r="ES180" t="str">
        <f>IF(ER180="","",ER180&amp;"."&amp;COUNTIFS(A$3:A180,A180,ER$3:ER180,ER180))</f>
        <v/>
      </c>
      <c r="ET180" t="str">
        <f t="shared" si="227"/>
        <v/>
      </c>
      <c r="EU180" t="str">
        <f t="shared" si="228"/>
        <v/>
      </c>
      <c r="EV180" t="str">
        <f t="shared" si="229"/>
        <v/>
      </c>
      <c r="EW180" t="str">
        <f t="shared" si="230"/>
        <v/>
      </c>
      <c r="EX180">
        <f t="shared" si="231"/>
        <v>1</v>
      </c>
      <c r="EY180" t="str">
        <f>IF(AK180="нет","",IF(AK180&lt;&gt;"",AK180,IF(EX180=1,"XT"&amp;COUNTIFS(A$3:A180,A180,EX$3:EX180,1),"")))</f>
        <v>XT26</v>
      </c>
      <c r="EZ180" t="str">
        <f t="shared" si="232"/>
        <v>QF26</v>
      </c>
      <c r="FA180" t="str">
        <f t="shared" si="233"/>
        <v/>
      </c>
      <c r="FB180" t="str">
        <f t="shared" si="234"/>
        <v>ok</v>
      </c>
      <c r="FC180" t="str">
        <f>IF(OR(EV180="",ET180=""),"",IF(EV180&gt;IFERROR(VLOOKUP(EU180,Модули_спр,3,FALSE),99),"ЛИШНИЙ КАНАЛ",IF(AND(AJ180&lt;&gt;"=",COUNTIFS(Линии[_модуль гр.],ET180,Линии[Канал (итог)],EV180,Линии[Канал],"&lt;&gt;=",Линии[Щит],A180)&gt;1),"ДУБЛЬ КАНАЛА","")))</f>
        <v/>
      </c>
      <c r="FD180">
        <f t="shared" si="235"/>
        <v>16</v>
      </c>
      <c r="FE180" t="str">
        <f t="shared" si="236"/>
        <v>1P С16А</v>
      </c>
      <c r="FF180">
        <f t="shared" si="237"/>
        <v>0</v>
      </c>
      <c r="FG180">
        <f t="shared" si="238"/>
        <v>0</v>
      </c>
      <c r="FH180" t="str">
        <f t="shared" si="239"/>
        <v/>
      </c>
      <c r="FI180">
        <f t="shared" si="240"/>
        <v>10</v>
      </c>
      <c r="FJ180" t="str">
        <f t="shared" si="241"/>
        <v/>
      </c>
      <c r="FK180" t="str">
        <f>IF(AND(D180="",EZ180=""),"",_xlfn.TEXTJOIN("; ",TRUE,IF(AND(D180&lt;&gt;"",DD180=""),"нет фазы",""),IF(AND(D180&lt;&gt;"",N(DT180)=0,CN180&lt;&gt;"Нет"),"нет мощности",""),IF(AND(EY180&lt;&gt;"",COUNTIFS(Линии[Щит],A180,Линии[Клемма (итог)],EY180)&gt;1),"дубль клеммы "&amp;EY180,""),IF(AND(FB180&lt;&gt;"",FB180&lt;&gt;"ok"),FB180,""),IF(FC180&lt;&gt;"",FC180,""),IF(AND(ISNUMBER(SEARCH("(5х",DS180)),N(DV180)=1),"5 жил на 1 фазе",""),IF(AND(AT180="R",AD180&lt;&gt;"",OR(N(EH180)=0,N(EH180)&gt;30)),"розетка без дифзащиты до 30 мА",""),IFERROR(IF(AND(ISNUMBER(CD180),CD180&gt;CE180),"потери "&amp;FIXED(CD180,1)&amp;" % &gt; "&amp;CE180&amp;" %",""),""),IFERROR(IF(LEFT(FJ180,4)="мало","Iкз мало — отключение &gt; 0,4 с",""),""),IF(AND(D180&lt;&gt;"",BD180=""),"не на схеме","")))</f>
        <v>потери 5,1 % &gt; 4 %</v>
      </c>
      <c r="FL180">
        <f>IF(AD180="","",_xlfn.LET(_xlpm.t,IFERROR(_xlfn.XLOOKUP(EP180,Каталог!$U$4:$U$500,Каталог!$G$4:$G$500),""),_xlpm.k,SEARCH("кА",_xlpm.t),IFERROR(--TRIM(RIGHT(SUBSTITUTE(MID(_xlpm.t,MAX(1,_xlpm.k-4),_xlpm.k-MAX(1,_xlpm.k-4))," ",REPT(" ",9)),5)),"")))</f>
        <v>6</v>
      </c>
      <c r="FM180" t="str">
        <f>IF(OR(FL180="",AD180=""),"",IF(_xlfn.XLOOKUP(A180,Щиты[Щит],Щиты[Iкз max на шинах, кА],"")="","",IF(FL180&lt;_xlfn.XLOOKUP(A180,Щиты[Щит],Щиты[Iкз max на шинах, кА]),"Icu "&amp;FL180&amp;" кА &lt; Iкз max","ok")))</f>
        <v/>
      </c>
      <c r="FN180" t="str">
        <f t="shared" si="242"/>
        <v>QF26|XT26</v>
      </c>
      <c r="FO180" t="str">
        <f t="shared" si="243"/>
        <v>QF26|XT26|кабель ВВГнг(А)-LS (3х2,5) → Шкаф телекоммуникационный ШТК-ЛВС.00  Подвальный этаж Пом. №007Т</v>
      </c>
      <c r="FP180" t="str" cm="1">
        <f t="array" ref="FP180">IF(FO180="","",_xlfn.LET(_xlpm.nd,_xlfn.TEXTSPLIT(FO180,"|"),IF(COLUMNS(_xlpm.nd)&gt;1,A180&amp;"¦"&amp;INDEX(_xlpm.nd,1)&amp;"¦"&amp;INDEX(_xlpm.nd,2),"")))</f>
        <v>ЩР-001¦QF26¦XT26</v>
      </c>
      <c r="FQ180" t="str">
        <f t="shared" si="244"/>
        <v>ШТК-ЛВС.00¦Шкаф телекоммуникационный ШТК-ЛВС.00  Подвальный этаж Пом. №007Т</v>
      </c>
      <c r="FR180" t="str" cm="1">
        <f t="array" ref="FR180">IF(FO180="","",_xlfn.LET(_xlpm.nd,_xlfn.TEXTSPLIT(FO180,"|"),IF(COLUMNS(_xlpm.nd)&gt;2,A180&amp;"¦"&amp;INDEX(_xlpm.nd,2)&amp;"¦"&amp;INDEX(_xlpm.nd,3),"")))</f>
        <v>ЩР-001¦XT26¦кабель ВВГнг(А)-LS (3х2,5) → Шкаф телекоммуникационный ШТК-ЛВС.00  Подвальный этаж Пом. №007Т</v>
      </c>
      <c r="FS180" t="str">
        <f t="shared" si="245"/>
        <v>ШТК-ЛВС.00¦Шкаф телекоммуникационный ШТК-ЛВС.00  Подвальный этаж Пом. №007Т</v>
      </c>
      <c r="FT180" t="str" cm="1">
        <f t="array" ref="FT180">IF(FO180="","",_xlfn.LET(_xlpm.nd,_xlfn.TEXTSPLIT(FO180,"|"),IF(COLUMNS(_xlpm.nd)&gt;3,A180&amp;"¦"&amp;INDEX(_xlpm.nd,3)&amp;"¦"&amp;INDEX(_xlpm.nd,4),"")))</f>
        <v/>
      </c>
      <c r="FU180" t="str">
        <f t="shared" si="246"/>
        <v/>
      </c>
      <c r="FV180" t="str" cm="1">
        <f t="array" ref="FV180">IF(FO180="","",_xlfn.LET(_xlpm.nd,_xlfn.TEXTSPLIT(FO180,"|"),IF(COLUMNS(_xlpm.nd)&gt;4,A180&amp;"¦"&amp;INDEX(_xlpm.nd,4)&amp;"¦"&amp;INDEX(_xlpm.nd,5),"")))</f>
        <v/>
      </c>
      <c r="FW180" t="str">
        <f t="shared" si="247"/>
        <v/>
      </c>
      <c r="FX180" t="str" cm="1">
        <f t="array" ref="FX180">IF(FO180="","",_xlfn.LET(_xlpm.nd,_xlfn.TEXTSPLIT(FO180,"|"),IF(COLUMNS(_xlpm.nd)&gt;5,A180&amp;"¦"&amp;INDEX(_xlpm.nd,5)&amp;"¦"&amp;INDEX(_xlpm.nd,6),"")))</f>
        <v/>
      </c>
      <c r="FY180" t="str">
        <f t="shared" si="248"/>
        <v/>
      </c>
      <c r="FZ180" t="str" cm="1">
        <f t="array" ref="FZ180">IF(FO180="","",_xlfn.LET(_xlpm.nd,_xlfn.TEXTSPLIT(FO180,"|"),IF(COLUMNS(_xlpm.nd)&gt;6,A180&amp;"¦"&amp;INDEX(_xlpm.nd,6)&amp;"¦"&amp;INDEX(_xlpm.nd,7),"")))</f>
        <v/>
      </c>
      <c r="GA180" t="str">
        <f t="shared" si="249"/>
        <v/>
      </c>
      <c r="GB180" t="str">
        <f t="shared" si="250"/>
        <v/>
      </c>
      <c r="GC180" t="str">
        <f t="shared" si="251"/>
        <v>QF26 → XT26</v>
      </c>
      <c r="GD180">
        <f t="shared" si="252"/>
        <v>1</v>
      </c>
      <c r="GE180">
        <f t="shared" si="253"/>
        <v>0</v>
      </c>
      <c r="GF180">
        <f t="shared" si="254"/>
        <v>0</v>
      </c>
      <c r="GG180" t="str">
        <f t="shared" si="255"/>
        <v/>
      </c>
      <c r="GH180" t="str">
        <f t="shared" si="256"/>
        <v/>
      </c>
      <c r="GI180" t="str">
        <f t="shared" si="257"/>
        <v/>
      </c>
      <c r="GJ180" t="str">
        <f t="shared" si="258"/>
        <v/>
      </c>
      <c r="GK180">
        <f>IF(D180="","",IFERROR(VLOOKUP(D180,УГО_спр,2,FALSE),IFERROR(VLOOKUP(AT180,УГО_спр,2,FALSE),IFERROR(VLOOKUP(LEFT(AT180,2),УГО_спр,2,FALSE),""))))</f>
        <v>0</v>
      </c>
      <c r="GL180" t="str">
        <f>IF(D180="","",IF(OR(GK180="",GK180=0),"BOX",IFERROR(IF(VLOOKUP(GK180,УГО_блоки,3,FALSE)&amp;""&lt;&gt;"",VLOOKUP(GK180,УГО_блоки,3,FALSE),VLOOKUP(GK180,УГО_блоки,2,FALSE)),GK180)))</f>
        <v>BOX</v>
      </c>
      <c r="GM180">
        <f t="shared" si="259"/>
        <v>1</v>
      </c>
      <c r="GN180" t="str">
        <f>IF(EP180="","",IF(COUNTIF(EP$3:EP180,EP180)=1,MAX(GN$2:GN179)+1,""))</f>
        <v/>
      </c>
      <c r="GO180" t="str">
        <f>IF(AF180="","",IF(COUNTIF(AF$3:AF180,AF180)+COUNTIF(AG$2:AG179,AF180)+COUNTIF(AH$2:AH179,AF180)=1,MAX(GO$2:GQ179)+1,""))</f>
        <v/>
      </c>
      <c r="GP180" t="str">
        <f>IF(AG180="","",IF(COUNTIF(AF$3:AF180,AG180)+COUNTIF(AG$3:AG180,AG180)+COUNTIF(AH$2:AH179,AG180)=1,MAX(GO$2:GQ179,GO180)+1,""))</f>
        <v/>
      </c>
      <c r="GQ180" t="str">
        <f>IF(AH180="","",IF(COUNTIF(AF$3:AF180,AH180)+COUNTIF(AG$3:AG180,AH180)+COUNTIF(AH$3:AH180,AH180)=1,MAX(GO$2:GQ179,GO180,GP180)+1,""))</f>
        <v/>
      </c>
      <c r="GR180" t="str">
        <f t="shared" si="260"/>
        <v>3х2,5</v>
      </c>
      <c r="GS180" t="str">
        <f>IF(GR180="","",IF(COUNTIF(GR$3:GR180,GR180)=1,MAX(GS$2:GS179)+1,""))</f>
        <v/>
      </c>
      <c r="GT180" t="str">
        <f>IF(ES180="","",COUNTIF(ES$3:ES180,"?*"))</f>
        <v/>
      </c>
      <c r="GU180" t="str">
        <f>IF(OR(ES180="",EU180=""),"",IF(COUNTIFS(ES$3:ES180,"?*",EU$3:EU180,EU180)=1,MAX(GU$2:GU179)+1,""))</f>
        <v/>
      </c>
      <c r="GV180">
        <f t="shared" si="261"/>
        <v>1</v>
      </c>
      <c r="GW180">
        <f>IF(D180="","",COUNTIF(D$3:D180,"?*"))</f>
        <v>178</v>
      </c>
      <c r="GX180">
        <f>IF(EX180&lt;&gt;1,0,_xlfn.LET(_xlpm.k,MAX(IFERROR(--VLOOKUP(D180,УГО_спр,5,FALSE),0),IFERROR(--VLOOKUP(AT180,УГО_спр,5,FALSE),0),IFERROR(--VLOOKUP(LEFT(AT180,2),УГО_спр,5,FALSE),0)),IF(_xlpm.k&gt;0,_xlpm.k,IF(IFERROR(--LEFT(SUBSTITUTE(GR180,"x","х"),FIND("х",SUBSTITUTE(GR180,"x","х"))-1),3)&gt;3,Каталог!$S$9,1))))</f>
        <v>1</v>
      </c>
      <c r="GY180">
        <f t="shared" si="262"/>
        <v>0</v>
      </c>
    </row>
    <row r="181" spans="1:207" x14ac:dyDescent="0.3">
      <c r="A181" t="s">
        <v>758</v>
      </c>
      <c r="B181">
        <v>38</v>
      </c>
      <c r="C181" t="str">
        <f>IF(BD181="","",IF(BE181="вводной узел","узел ","")&amp;"л."&amp;(INT((BD181-1)/Столбцов_на_лист)+1)&amp;" / "&amp;(MOD(BD181-1,Столбцов_на_лист)+1))</f>
        <v>л.3 / 4</v>
      </c>
      <c r="D181" t="s">
        <v>1487</v>
      </c>
      <c r="E181" s="133" t="s">
        <v>1488</v>
      </c>
      <c r="G181">
        <v>2</v>
      </c>
      <c r="H181">
        <v>1</v>
      </c>
      <c r="I181">
        <v>1</v>
      </c>
      <c r="J181">
        <v>230</v>
      </c>
      <c r="K181" t="s">
        <v>577</v>
      </c>
      <c r="O181">
        <v>2</v>
      </c>
      <c r="P181">
        <v>36</v>
      </c>
      <c r="Q181">
        <v>17</v>
      </c>
      <c r="R181">
        <v>14</v>
      </c>
      <c r="U181" t="s">
        <v>11</v>
      </c>
      <c r="V181">
        <v>3</v>
      </c>
      <c r="W181">
        <v>2.5</v>
      </c>
      <c r="X181">
        <v>16</v>
      </c>
      <c r="Z181" t="s">
        <v>576</v>
      </c>
      <c r="AA181" t="s">
        <v>818</v>
      </c>
      <c r="AD181" t="s">
        <v>517</v>
      </c>
      <c r="AK181" t="s">
        <v>488</v>
      </c>
      <c r="AR181" t="str">
        <f t="shared" si="176"/>
        <v>потери 4,2 % &gt; 4 %</v>
      </c>
      <c r="AS181" cm="1">
        <f t="array" ref="AS181">ROW()-ROW(Линии[#Headers])</f>
        <v>179</v>
      </c>
      <c r="AT181" t="str">
        <f t="shared" si="177"/>
        <v>ШТК-СОТ</v>
      </c>
      <c r="AU181" t="str">
        <f t="shared" si="178"/>
        <v>00</v>
      </c>
      <c r="AV181" t="str">
        <f t="shared" si="179"/>
        <v>00</v>
      </c>
      <c r="AW181" t="str">
        <f t="shared" si="180"/>
        <v/>
      </c>
      <c r="AX181" t="str">
        <f t="shared" si="181"/>
        <v/>
      </c>
      <c r="AY181" t="str">
        <f>IF(D181="","",IF(ISERROR(SEARCH(".",D181)),IFERROR(VLOOKUP(D181,Потребители_обозначение,2,FALSE)&amp;"",""),IFERROR(IF(VLOOKUP(AT181,Потребители_обозначение,4,FALSE)=1,VLOOKUP(AT181,Потребители_обозначение,2,FALSE)&amp;" "&amp;VLOOKUP(AV181,Этаж_обозначение,2,FALSE)&amp;" Пом. №"&amp;AX181,VLOOKUP(AT181,Потребители_обозначение,2,FALSE)&amp;" Шлейф №"&amp;AV181),IFERROR(VLOOKUP(D181,Потребители_обозначение,2,FALSE),""))))</f>
        <v>Шкаф телекоммуникационный СОТ Шлейф №00</v>
      </c>
      <c r="AZ181" t="str">
        <f t="shared" si="182"/>
        <v>Шкаф телекоммуникационный ШТК-СОТ.00  Подвальный этаж Пом. №007Т</v>
      </c>
      <c r="BA181" t="str">
        <f>IF(F181&lt;&gt;"",F181,IF(AND(D181&lt;&gt;"",D181&lt;&gt;A181,ISNUMBER(_xlfn.XMATCH(D181,Щиты[Щит]))),D181,""))</f>
        <v/>
      </c>
      <c r="BB181">
        <f>IFERROR(_xlfn.XMATCH(A181,Щиты[Щит]),0)</f>
        <v>8</v>
      </c>
      <c r="BC181">
        <f>IFERROR(N(_xlfn.XLOOKUP(A181,Щиты[Щит],Щиты[Мест под вводной узел])),15)</f>
        <v>7</v>
      </c>
      <c r="BD181">
        <f t="shared" si="183"/>
        <v>38</v>
      </c>
      <c r="BE181" t="str">
        <f t="shared" si="184"/>
        <v>линии</v>
      </c>
      <c r="BF181">
        <f>IF(D181="","",IF(BA181&lt;&gt;"",IFERROR(_xlfn.XLOOKUP(BA181,Щиты[Щит],Щиты[Руст, кВт]),0),N(G181)))</f>
        <v>2</v>
      </c>
      <c r="BG181">
        <f>IF(J181&lt;&gt;"",J181,IF(D181="","",IFERROR(IF(VLOOKUP(AT181,Потребители_обозначение,8,FALSE)=0,"",VLOOKUP(AT181,Потребители_обозначение,8,FALSE)),"")))</f>
        <v>230</v>
      </c>
      <c r="BH181">
        <f>IF(I181&lt;&gt;"",I181,IF(D181="","",IFERROR(IF(VLOOKUP(AT181,Потребители_обозначение,9,FALSE)=0,"",VLOOKUP(AT181,Потребители_обозначение,9,FALSE)),"")))</f>
        <v>1</v>
      </c>
      <c r="BI181" t="str">
        <f>IF(U181&lt;&gt;"",U181,IF(D181="","",IFERROR(IF(VLOOKUP(AT181,Потребители_обозначение,6,FALSE)=0,"",VLOOKUP(AT181,Потребители_обозначение,6,FALSE)),"")))</f>
        <v>мс</v>
      </c>
      <c r="BJ181">
        <f>IF(V181&lt;&gt;"",V181,IF(D181="","",IFERROR(IF(VLOOKUP(AT181,Потребители_обозначение,7,FALSE)=0,"",VLOOKUP(AT181,Потребители_обозначение,7,FALSE)),"")))</f>
        <v>3</v>
      </c>
      <c r="BK181">
        <f>IF(W181&lt;&gt;"",W181,IF(D181="","",IFERROR(IF(VLOOKUP(AT181,Потребители_обозначение,10,FALSE)=0,"",VLOOKUP(AT181,Потребители_обозначение,10,FALSE)),"")))</f>
        <v>2.5</v>
      </c>
      <c r="BL181">
        <f>IFERROR(VLOOKUP(AT181,Потребители_обозначение,5,FALSE),0)</f>
        <v>1</v>
      </c>
      <c r="BM181" cm="1">
        <f t="array" ref="BM181">IF(D181="","",IF(BA181&lt;&gt;"",IFERROR(_xlfn.XLOOKUP(BA181,Щиты[Щит],Щиты[cos φ]),0.95),IF(ISNUMBER(M181),M181,IFERROR(IF(BL181=2,_xlfn.IFS(BH181=3,VLOOKUP(BF181,Справочная_двигатели,8,FALSE),BH181=1,VLOOKUP(BF181,Справочная_двигатели,10,TRUE)),IF(AND(Методика="нормы 2026",CN181="Сил"),0.8,0.95)),0.95))))</f>
        <v>0.95</v>
      </c>
      <c r="BN181" cm="1">
        <f t="array" ref="BN181">IF(D181="","",IF(BA181&lt;&gt;"",IFERROR(_xlfn.XLOOKUP(BA181,Щиты[Щит],Щиты[Iр, А]),""),IFERROR(_xlfn.IFS(BH181=1,BF181/((Uн_лин/SQRT(3))*BM181),BH181=3,BF181/(SQRT(3)*Uн_лин*BM181)),"")))</f>
        <v>9.1160568819414589</v>
      </c>
      <c r="BO181">
        <f>IF(D181="","",IF(N(X181)=0,IFERROR(VLOOKUP(BN181,Автомат_номиналы,2,TRUE),""),X181))</f>
        <v>16</v>
      </c>
      <c r="BP181">
        <f t="shared" si="185"/>
        <v>1</v>
      </c>
      <c r="BQ181">
        <f>IF(ISNUMBER(Y181),Y181,К_прокл)</f>
        <v>1</v>
      </c>
      <c r="BR181">
        <f t="shared" si="186"/>
        <v>2</v>
      </c>
      <c r="BS181" cm="1">
        <f t="array" ref="BS181">IF(D181="","",IF(N(BK181)&lt;&gt;0,BK181,IFERROR(_xlfn.LET(_xlpm.need,BO181/(BP181*BQ181),_xlpm.t,CHOOSE(BR181,Iдоп_1ж,Iдоп_2ж,Iдоп_3ж),_xlpm.k,_xlfn.XMATCH(_xlpm.need,_xlpm.t,1),IF(ISNA(_xlpm.k),"Не исп",INDEX(Iдоп_S,_xlpm.k))),"Не исп")))</f>
        <v>2.5</v>
      </c>
      <c r="BT181">
        <f>IFERROR(VLOOKUP(BS181,Кабель_сопротивление,3,FALSE),"")</f>
        <v>2.2499999999999999E-2</v>
      </c>
      <c r="BU181">
        <f>IFERROR(VLOOKUP(BS181,Кабель_сопротивление,2,FALSE),"")</f>
        <v>0.1</v>
      </c>
      <c r="BV181">
        <f t="shared" si="187"/>
        <v>36</v>
      </c>
      <c r="BW181">
        <f>IF(D181="","",IFERROR(IF(VLOOKUP(AT181,Потребители_обозначение,4,FALSE)=1,VLOOKUP(AT181,Потребители_обозначение,3,FALSE)*(H181*2-1)+BV181+VLOOKUP(AV181,Этаж_обозначение,3,FALSE)+VLOOKUP(AV181,Этаж_обозначение,4,FALSE),VLOOKUP(AT181,Потребители_обозначение,3,FALSE)*(H181*2-1)+BV181),BV181))</f>
        <v>39</v>
      </c>
      <c r="BX181">
        <f t="shared" si="188"/>
        <v>14</v>
      </c>
      <c r="BY181" t="str">
        <f t="shared" si="189"/>
        <v/>
      </c>
      <c r="BZ181">
        <f t="shared" si="190"/>
        <v>2</v>
      </c>
      <c r="CA181">
        <f t="shared" si="191"/>
        <v>0.31</v>
      </c>
      <c r="CB181">
        <f t="shared" si="192"/>
        <v>6.1015409601072932</v>
      </c>
      <c r="CC181">
        <f>IFERROR(ROUNDUP(CB181/((Uн_лин/SQRT(3))*1000)*100,2),"")</f>
        <v>2.65</v>
      </c>
      <c r="CD181">
        <f>IF(ISNUMBER(CC181),CC181+IFERROR(_xlfn.XLOOKUP(A181,Щиты[Щит],Щиты[ΔU до шин, %]),0),"")</f>
        <v>4.22</v>
      </c>
      <c r="CE181">
        <f>IF(D181="","",IF(IFERROR(VLOOKUP(AT181,УГО_спр,2,FALSE),"")="Светильник",3,4)+IF(Методика="нормы 2026",MIN(0.5,MAX(0,N(BW181)-100)*0.005),0))</f>
        <v>4</v>
      </c>
      <c r="CF181" t="str">
        <f>IFERROR(VLOOKUP(BI181,Кабель_обозначение,2,FALSE),"")</f>
        <v>ВВГнг(А)-LS</v>
      </c>
      <c r="CG181" t="str">
        <f>IFERROR(IF(VLOOKUP(BI181,Кабель_обозначение,3,FALSE)=1,CF181&amp;" ("&amp;BJ181&amp;"х"&amp;BS181&amp;")",CF181),"")</f>
        <v>ВВГнг(А)-LS (3х2,5)</v>
      </c>
      <c r="CH181" t="str">
        <f t="shared" si="193"/>
        <v>ВВГнг(А)-LS (3х2,5)
L=39-2,65%</v>
      </c>
      <c r="CI181">
        <f>IFERROR(2*ρкз_Cu*BW181/BS181,"")</f>
        <v>0.82056000000000007</v>
      </c>
      <c r="CJ181">
        <f t="shared" si="194"/>
        <v>0.27300000000000002</v>
      </c>
      <c r="CK181" t="str">
        <f>IFERROR(IF(OR(D181="",NOT(ISNUMBER(BS181)),N(BW181)=0),"",_xlfn.XLOOKUP(A181,Щиты[Щит],Щиты[Zпетли на шинах, Ом])+CI181),"")</f>
        <v/>
      </c>
      <c r="CL181" t="str">
        <f>IF(ISNUMBER(CK181),c_min*(Uн_лин*1000/SQRT(3))/CK181,"")</f>
        <v/>
      </c>
      <c r="CM181" t="str">
        <f>IFERROR(IF(OR(D181="",NOT(ISNUMBER(BS181))),"",1.05*(Uн_лин*1000/SQRT(3))/(_xlfn.XLOOKUP(A181,Щиты[Щит],Щиты[Zmax на шинах, Ом])+CJ181)/1000),"")</f>
        <v/>
      </c>
      <c r="CN181" t="str">
        <f>IF(D181="","",IF(BA181&lt;&gt;"","Щит",IF(K181&lt;&gt;"",K181,IF(ISNUMBER(L181),"Сил",IF(IFERROR(_xlfn.XLOOKUP(AT181,Коды_код,Коды_группа)&amp;"","")="","Быт",_xlfn.XLOOKUP(AT181,Коды_код,Коды_группа)&amp;"")))))</f>
        <v>Пост</v>
      </c>
      <c r="CO181">
        <f>IF(CN181="Щит","щит",IF(CN181="","",IF(CN181="Быт",IFERROR(_xlfn.XLOOKUP(A181,Щиты[Щит],Щиты[Кс быт]),1),IF(CN181="Сил",IF(ISNUMBER(L181),L181,IF(Методика="нормы 2026",IFERROR(_xlfn.XLOOKUP(A181,Щиты[Щит],Щиты[Кс силовых (табл. 7.5)]),1),1)),IF(OR(CN181="Пост",CN181="Отоп"),1,IF(CN181="ВНГ",0.7,0))))))</f>
        <v>1</v>
      </c>
      <c r="CP181">
        <f t="shared" si="195"/>
        <v>1</v>
      </c>
      <c r="CQ181">
        <f t="shared" si="196"/>
        <v>2</v>
      </c>
      <c r="CR181">
        <f t="shared" si="197"/>
        <v>0</v>
      </c>
      <c r="CS181">
        <f t="shared" si="198"/>
        <v>0</v>
      </c>
      <c r="CT181">
        <f t="shared" si="199"/>
        <v>2</v>
      </c>
      <c r="CU181">
        <f t="shared" si="200"/>
        <v>0</v>
      </c>
      <c r="CV181">
        <f t="shared" si="201"/>
        <v>0</v>
      </c>
      <c r="CW181">
        <f t="shared" si="202"/>
        <v>2</v>
      </c>
      <c r="CX181">
        <f t="shared" si="203"/>
        <v>1.9</v>
      </c>
      <c r="CY181">
        <f t="shared" si="204"/>
        <v>3</v>
      </c>
      <c r="CZ181" t="str">
        <f t="shared" si="205"/>
        <v>L3</v>
      </c>
      <c r="DA181" cm="1">
        <f t="array" ref="DA181">IFERROR(IF(BL181=2,_xlfn.IFS(BH181=3,VLOOKUP(BF181,Справочная_двигатели,3,FALSE),BH181=1,VLOOKUP(BF181,Справочная_двигатели,5,TRUE)),0),0)</f>
        <v>0</v>
      </c>
      <c r="DB181">
        <f>IFERROR(IF(BL181=3,VLOOKUP(BF181,Справочная_ЛЭД,2,TRUE),0),0)</f>
        <v>0</v>
      </c>
      <c r="DC181">
        <f t="shared" si="206"/>
        <v>0</v>
      </c>
      <c r="DD181" t="str">
        <f t="shared" si="207"/>
        <v>L2</v>
      </c>
      <c r="DE181" t="str" cm="1">
        <f t="array" ref="DE181">IF(D181="","",IFERROR(INDEX({"I особая","I","II","III"},MATCH(TRIM(AA181&amp;""),{"I особая","I","II","III"},0)),"III"))</f>
        <v>II</v>
      </c>
      <c r="DF181" t="str">
        <f>IF(D181="","",IF(TRIM(AB181&amp;"")&lt;&gt;"",IF(LOWER(TRIM(AB181&amp;""))="да","да","нет"),IF(IFERROR(_xlfn.XLOOKUP(AT181,Коды_код,Коды_пожарная),"")="да","да","нет")))</f>
        <v>нет</v>
      </c>
      <c r="DG181" t="str">
        <f t="shared" si="208"/>
        <v/>
      </c>
      <c r="DH181" t="str">
        <f t="shared" si="209"/>
        <v>основная</v>
      </c>
      <c r="DI181">
        <f t="shared" si="210"/>
        <v>1</v>
      </c>
      <c r="DJ181" t="str" cm="1">
        <f t="array" ref="DJ181">IF(D181="","",_xlfn.LET(_xlpm.t,IFERROR(_xlfn.XLOOKUP(1,(Шины[Шина]=DH181)*(((Шины[Щит]=A181)+(Шины[Щит]=""))&gt;0),Шины[Тип]),"")&amp;"",IF(_xlpm.t&lt;&gt;"",_xlpm.t,IF(ISNUMBER(SEARCH("ИБП",DH181)),"ИБП",IF(ISNUMBER(SEARCH("ДГУ",DH181)),"ДГУ","Ввод "&amp;DI181)))))</f>
        <v>Ввод 1</v>
      </c>
      <c r="DK181" t="str">
        <f t="shared" si="211"/>
        <v>Ввод 1</v>
      </c>
      <c r="DL181" t="str">
        <f>IF(D181="","",IF(OR(DJ181="ИБП",DJ181="ДГУ"),"I особая",IF(DJ181="Одиночная","III",_xlfn.XLOOKUP(A181,Щиты[Щит],Щиты[Категория шины «Ввод»],"III"))))</f>
        <v>II</v>
      </c>
      <c r="DM181">
        <f>IF(D181="",0,IFERROR(MATCH(DE181,{"III","II","I","I особая"},0),1))</f>
        <v>2</v>
      </c>
      <c r="DN181">
        <f t="shared" si="212"/>
        <v>2</v>
      </c>
      <c r="DO181" t="str">
        <f>IF(D181="","",IF(DM181&gt;IFERROR(MATCH(DL181,{"III","II","I","I особая"},0),1),"НЕ ОБЕСПЕЧЕНА","ОК"))</f>
        <v>ОК</v>
      </c>
      <c r="DP181" t="str">
        <f>IF(A181="","",_xlfn.XLOOKUP(A181,Щиты[Щит],Щиты[Путь],""))</f>
        <v>|ГРЩ-ЖД|ЩР-001|</v>
      </c>
      <c r="DQ181" t="str">
        <f>IF(D181="","",IF(Z181&lt;&gt;"",Z181,IF(IFERROR(_xlfn.XLOOKUP(AT181,Коды_код,Коды_вид)&amp;"","")="","Прочее",_xlfn.XLOOKUP(AT181,Коды_код,Коды_вид)&amp;"")))</f>
        <v>Слаботочные системы, автоматизация, KNX</v>
      </c>
      <c r="DR181">
        <f>IF(BD181="","",INT((BD181-1)/Столбцов_на_лист)+1)</f>
        <v>3</v>
      </c>
      <c r="DS181" t="str">
        <f t="shared" si="213"/>
        <v>ВВГнг(А)-LS (3х2,5) L=39-2,65%</v>
      </c>
      <c r="DT181">
        <f t="shared" si="214"/>
        <v>2</v>
      </c>
      <c r="DU181">
        <f t="shared" si="215"/>
        <v>9.1199999999999992</v>
      </c>
      <c r="DV181">
        <f t="shared" si="216"/>
        <v>1</v>
      </c>
      <c r="DW181">
        <f>IF(AT181="",0,_xlfn.LET(_xlpm.v,IFERROR(VLOOKUP(D181,УГО_спр,3,FALSE),IFERROR(VLOOKUP(AT181,УГО_спр,3,FALSE),IFERROR(VLOOKUP(LEFT(AT181,2),УГО_спр,3,FALSE),""))),IF(_xlpm.v="да",30,IF(ISNUMBER(_xlpm.v),_xlpm.v,0))))</f>
        <v>0</v>
      </c>
      <c r="DX181">
        <f t="shared" si="217"/>
        <v>0</v>
      </c>
      <c r="DY181">
        <f>IF(BD181="","",IF(AD181&lt;&gt;"",COUNTIFS(A$3:A181,A181,AD$3:AD181,"?*"),IF(OR(OR(AS181=1,A181&lt;&gt;A180),AL181="вручную"),"",IF(AS181=1,"",DZ180))))</f>
        <v>27</v>
      </c>
      <c r="DZ181">
        <f t="shared" si="218"/>
        <v>27</v>
      </c>
      <c r="EA181">
        <f>IF(D181="",0,MAX(IFERROR(--X181,0),IFERROR(--VLOOKUP(D181,УГО_спр,4,FALSE),IFERROR(--VLOOKUP(AT181,УГО_спр,4,FALSE),IFERROR(--VLOOKUP(LEFT(AT181,2),УГО_спр,4,FALSE),0)))))</f>
        <v>16</v>
      </c>
      <c r="EB181">
        <f>IF(D181="","",IFERROR(LOOKUP(INDEX(CHOOSE(BR181,Iдоп_1ж,Iдоп_2ж,Iдоп_3ж),MATCH(BS181,Iдоп_S,0))*BP181*BQ181,{6,10,16,20,25,32,40,50,63,80,100,125,160,200,250,315,400,500,630}),""))</f>
        <v>25</v>
      </c>
      <c r="EC181">
        <f>IF(AD181="","",SUMIFS(Линии[_Ток схемы],Линии[_гр.],DY181,Линии[Щит],A181,Линии[_в кабель выше],0))</f>
        <v>9.1199999999999992</v>
      </c>
      <c r="ED181">
        <f>IF(AD181="","",IFERROR(VLOOKUP(EC181,Автомат_номиналы,2,TRUE),""))</f>
        <v>16</v>
      </c>
      <c r="EE181">
        <f>IF(AD181="","",MAX(N(ED181),_xlfn.MAXIFS(Линии[_мин. по типу],Линии[_гр.],DY181,Линии[Щит],A181)))</f>
        <v>16</v>
      </c>
      <c r="EF181">
        <f>IF(AD181="","",_xlfn.MINIFS(Линии[_макс. автомат по кабелю],Линии[_гр.],DY181,Линии[Щит],A181))</f>
        <v>25</v>
      </c>
      <c r="EG181">
        <f>IF(AD181="","",MAX(1,_xlfn.MAXIFS(Линии[_фаз],Линии[_гр.],DY181,Линии[Щит],A181)))</f>
        <v>1</v>
      </c>
      <c r="EH181">
        <f>IF(AD181="","",IF(AND(AD181&lt;&gt;"авто",AD181&lt;&gt;"+"),IF(ISNUMBER(SEARCH("мА",AD181)),IFERROR(--TRIM(RIGHT(SUBSTITUTE(LEFT(AD181,SEARCH("мА",AD181)-1)," ",REPT(" ",9)),6)),30),0),IF(AE181="нет",0,IF(ISNUMBER(AE181),AE181,IF(AE181="да",30,_xlfn.MINIFS(Линии[_дифзащита по коду, мА],Линии[_гр.],DY181,Линии[Щит],A181,Линии[_дифзащита по коду, мА],"&gt;0"))))))</f>
        <v>0</v>
      </c>
      <c r="EI181">
        <f t="shared" si="219"/>
        <v>0</v>
      </c>
      <c r="EJ181" t="str">
        <f t="shared" si="220"/>
        <v>QF27</v>
      </c>
      <c r="EK181" t="str">
        <f t="shared" si="221"/>
        <v>QF27</v>
      </c>
      <c r="EL181" t="str">
        <f t="shared" si="222"/>
        <v/>
      </c>
      <c r="EM181">
        <f t="shared" si="223"/>
        <v>0</v>
      </c>
      <c r="EN181">
        <f>IF(AD181="","",IF(EM181=1,MAX(EE181,Мин_автомат_БП),EE181))</f>
        <v>16</v>
      </c>
      <c r="EO181" t="str">
        <f t="shared" si="224"/>
        <v>1P</v>
      </c>
      <c r="EP181" t="str">
        <f t="shared" si="225"/>
        <v>1P С16А</v>
      </c>
      <c r="EQ181">
        <f t="shared" si="226"/>
        <v>16</v>
      </c>
      <c r="ER181" t="str">
        <f>IF(OR(AI181="",AI181="-"),"",IFERROR(VLOOKUP(AI181,Модули_спр,2,FALSE),"R"))</f>
        <v/>
      </c>
      <c r="ES181" t="str">
        <f>IF(ER181="","",ER181&amp;"."&amp;COUNTIFS(A$3:A181,A181,ER$3:ER181,ER181))</f>
        <v/>
      </c>
      <c r="ET181" t="str">
        <f t="shared" si="227"/>
        <v/>
      </c>
      <c r="EU181" t="str">
        <f t="shared" si="228"/>
        <v/>
      </c>
      <c r="EV181" t="str">
        <f t="shared" si="229"/>
        <v/>
      </c>
      <c r="EW181" t="str">
        <f t="shared" si="230"/>
        <v/>
      </c>
      <c r="EX181">
        <f t="shared" si="231"/>
        <v>1</v>
      </c>
      <c r="EY181" t="str">
        <f>IF(AK181="нет","",IF(AK181&lt;&gt;"",AK181,IF(EX181=1,"XT"&amp;COUNTIFS(A$3:A181,A181,EX$3:EX181,1),"")))</f>
        <v/>
      </c>
      <c r="EZ181" t="str">
        <f t="shared" si="232"/>
        <v>QF27</v>
      </c>
      <c r="FA181" t="str">
        <f t="shared" si="233"/>
        <v/>
      </c>
      <c r="FB181" t="str">
        <f t="shared" si="234"/>
        <v>ok</v>
      </c>
      <c r="FC181" t="str">
        <f>IF(OR(EV181="",ET181=""),"",IF(EV181&gt;IFERROR(VLOOKUP(EU181,Модули_спр,3,FALSE),99),"ЛИШНИЙ КАНАЛ",IF(AND(AJ181&lt;&gt;"=",COUNTIFS(Линии[_модуль гр.],ET181,Линии[Канал (итог)],EV181,Линии[Канал],"&lt;&gt;=",Линии[Щит],A181)&gt;1),"ДУБЛЬ КАНАЛА","")))</f>
        <v/>
      </c>
      <c r="FD181">
        <f t="shared" si="235"/>
        <v>16</v>
      </c>
      <c r="FE181" t="str">
        <f t="shared" si="236"/>
        <v>1P С16А</v>
      </c>
      <c r="FF181">
        <f t="shared" si="237"/>
        <v>0</v>
      </c>
      <c r="FG181">
        <f t="shared" si="238"/>
        <v>0</v>
      </c>
      <c r="FH181" t="str">
        <f t="shared" si="239"/>
        <v/>
      </c>
      <c r="FI181">
        <f t="shared" si="240"/>
        <v>10</v>
      </c>
      <c r="FJ181" t="str">
        <f t="shared" si="241"/>
        <v/>
      </c>
      <c r="FK181" t="str">
        <f>IF(AND(D181="",EZ181=""),"",_xlfn.TEXTJOIN("; ",TRUE,IF(AND(D181&lt;&gt;"",DD181=""),"нет фазы",""),IF(AND(D181&lt;&gt;"",N(DT181)=0,CN181&lt;&gt;"Нет"),"нет мощности",""),IF(AND(EY181&lt;&gt;"",COUNTIFS(Линии[Щит],A181,Линии[Клемма (итог)],EY181)&gt;1),"дубль клеммы "&amp;EY181,""),IF(AND(FB181&lt;&gt;"",FB181&lt;&gt;"ok"),FB181,""),IF(FC181&lt;&gt;"",FC181,""),IF(AND(ISNUMBER(SEARCH("(5х",DS181)),N(DV181)=1),"5 жил на 1 фазе",""),IF(AND(AT181="R",AD181&lt;&gt;"",OR(N(EH181)=0,N(EH181)&gt;30)),"розетка без дифзащиты до 30 мА",""),IFERROR(IF(AND(ISNUMBER(CD181),CD181&gt;CE181),"потери "&amp;FIXED(CD181,1)&amp;" % &gt; "&amp;CE181&amp;" %",""),""),IFERROR(IF(LEFT(FJ181,4)="мало","Iкз мало — отключение &gt; 0,4 с",""),""),IF(AND(D181&lt;&gt;"",BD181=""),"не на схеме","")))</f>
        <v>потери 4,2 % &gt; 4 %</v>
      </c>
      <c r="FL181">
        <f>IF(AD181="","",_xlfn.LET(_xlpm.t,IFERROR(_xlfn.XLOOKUP(EP181,Каталог!$U$4:$U$500,Каталог!$G$4:$G$500),""),_xlpm.k,SEARCH("кА",_xlpm.t),IFERROR(--TRIM(RIGHT(SUBSTITUTE(MID(_xlpm.t,MAX(1,_xlpm.k-4),_xlpm.k-MAX(1,_xlpm.k-4))," ",REPT(" ",9)),5)),"")))</f>
        <v>6</v>
      </c>
      <c r="FM181" t="str">
        <f>IF(OR(FL181="",AD181=""),"",IF(_xlfn.XLOOKUP(A181,Щиты[Щит],Щиты[Iкз max на шинах, кА],"")="","",IF(FL181&lt;_xlfn.XLOOKUP(A181,Щиты[Щит],Щиты[Iкз max на шинах, кА]),"Icu "&amp;FL181&amp;" кА &lt; Iкз max","ok")))</f>
        <v/>
      </c>
      <c r="FN181" t="str">
        <f t="shared" si="242"/>
        <v>QF27</v>
      </c>
      <c r="FO181" t="str">
        <f t="shared" si="243"/>
        <v>QF27|кабель ВВГнг(А)-LS (3х2,5) → Шкаф телекоммуникационный ШТК-СОТ.00  Подвальный этаж Пом. №007Т</v>
      </c>
      <c r="FP181" t="str" cm="1">
        <f t="array" ref="FP181">IF(FO181="","",_xlfn.LET(_xlpm.nd,_xlfn.TEXTSPLIT(FO181,"|"),IF(COLUMNS(_xlpm.nd)&gt;1,A181&amp;"¦"&amp;INDEX(_xlpm.nd,1)&amp;"¦"&amp;INDEX(_xlpm.nd,2),"")))</f>
        <v>ЩР-001¦QF27¦кабель ВВГнг(А)-LS (3х2,5) → Шкаф телекоммуникационный ШТК-СОТ.00  Подвальный этаж Пом. №007Т</v>
      </c>
      <c r="FQ181" t="str">
        <f t="shared" si="244"/>
        <v>ШТК-СОТ.00¦Шкаф телекоммуникационный ШТК-СОТ.00  Подвальный этаж Пом. №007Т</v>
      </c>
      <c r="FR181" t="str" cm="1">
        <f t="array" ref="FR181">IF(FO181="","",_xlfn.LET(_xlpm.nd,_xlfn.TEXTSPLIT(FO181,"|"),IF(COLUMNS(_xlpm.nd)&gt;2,A181&amp;"¦"&amp;INDEX(_xlpm.nd,2)&amp;"¦"&amp;INDEX(_xlpm.nd,3),"")))</f>
        <v/>
      </c>
      <c r="FS181" t="str">
        <f t="shared" si="245"/>
        <v/>
      </c>
      <c r="FT181" t="str" cm="1">
        <f t="array" ref="FT181">IF(FO181="","",_xlfn.LET(_xlpm.nd,_xlfn.TEXTSPLIT(FO181,"|"),IF(COLUMNS(_xlpm.nd)&gt;3,A181&amp;"¦"&amp;INDEX(_xlpm.nd,3)&amp;"¦"&amp;INDEX(_xlpm.nd,4),"")))</f>
        <v/>
      </c>
      <c r="FU181" t="str">
        <f t="shared" si="246"/>
        <v/>
      </c>
      <c r="FV181" t="str" cm="1">
        <f t="array" ref="FV181">IF(FO181="","",_xlfn.LET(_xlpm.nd,_xlfn.TEXTSPLIT(FO181,"|"),IF(COLUMNS(_xlpm.nd)&gt;4,A181&amp;"¦"&amp;INDEX(_xlpm.nd,4)&amp;"¦"&amp;INDEX(_xlpm.nd,5),"")))</f>
        <v/>
      </c>
      <c r="FW181" t="str">
        <f t="shared" si="247"/>
        <v/>
      </c>
      <c r="FX181" t="str" cm="1">
        <f t="array" ref="FX181">IF(FO181="","",_xlfn.LET(_xlpm.nd,_xlfn.TEXTSPLIT(FO181,"|"),IF(COLUMNS(_xlpm.nd)&gt;5,A181&amp;"¦"&amp;INDEX(_xlpm.nd,5)&amp;"¦"&amp;INDEX(_xlpm.nd,6),"")))</f>
        <v/>
      </c>
      <c r="FY181" t="str">
        <f t="shared" si="248"/>
        <v/>
      </c>
      <c r="FZ181" t="str" cm="1">
        <f t="array" ref="FZ181">IF(FO181="","",_xlfn.LET(_xlpm.nd,_xlfn.TEXTSPLIT(FO181,"|"),IF(COLUMNS(_xlpm.nd)&gt;6,A181&amp;"¦"&amp;INDEX(_xlpm.nd,6)&amp;"¦"&amp;INDEX(_xlpm.nd,7),"")))</f>
        <v/>
      </c>
      <c r="GA181" t="str">
        <f t="shared" si="249"/>
        <v/>
      </c>
      <c r="GB181" t="str">
        <f t="shared" si="250"/>
        <v/>
      </c>
      <c r="GC181" t="str">
        <f t="shared" si="251"/>
        <v>QF27</v>
      </c>
      <c r="GD181">
        <f t="shared" si="252"/>
        <v>1</v>
      </c>
      <c r="GE181">
        <f t="shared" si="253"/>
        <v>0</v>
      </c>
      <c r="GF181">
        <f t="shared" si="254"/>
        <v>0</v>
      </c>
      <c r="GG181" t="str">
        <f t="shared" si="255"/>
        <v/>
      </c>
      <c r="GH181" t="str">
        <f t="shared" si="256"/>
        <v/>
      </c>
      <c r="GI181" t="str">
        <f t="shared" si="257"/>
        <v/>
      </c>
      <c r="GJ181" t="str">
        <f t="shared" si="258"/>
        <v/>
      </c>
      <c r="GK181">
        <f>IF(D181="","",IFERROR(VLOOKUP(D181,УГО_спр,2,FALSE),IFERROR(VLOOKUP(AT181,УГО_спр,2,FALSE),IFERROR(VLOOKUP(LEFT(AT181,2),УГО_спр,2,FALSE),""))))</f>
        <v>0</v>
      </c>
      <c r="GL181" t="str">
        <f>IF(D181="","",IF(OR(GK181="",GK181=0),"BOX",IFERROR(IF(VLOOKUP(GK181,УГО_блоки,3,FALSE)&amp;""&lt;&gt;"",VLOOKUP(GK181,УГО_блоки,3,FALSE),VLOOKUP(GK181,УГО_блоки,2,FALSE)),GK181)))</f>
        <v>BOX</v>
      </c>
      <c r="GM181">
        <f t="shared" si="259"/>
        <v>1</v>
      </c>
      <c r="GN181" t="str">
        <f>IF(EP181="","",IF(COUNTIF(EP$3:EP181,EP181)=1,MAX(GN$2:GN180)+1,""))</f>
        <v/>
      </c>
      <c r="GO181" t="str">
        <f>IF(AF181="","",IF(COUNTIF(AF$3:AF181,AF181)+COUNTIF(AG$2:AG180,AF181)+COUNTIF(AH$2:AH180,AF181)=1,MAX(GO$2:GQ180)+1,""))</f>
        <v/>
      </c>
      <c r="GP181" t="str">
        <f>IF(AG181="","",IF(COUNTIF(AF$3:AF181,AG181)+COUNTIF(AG$3:AG181,AG181)+COUNTIF(AH$2:AH180,AG181)=1,MAX(GO$2:GQ180,GO181)+1,""))</f>
        <v/>
      </c>
      <c r="GQ181" t="str">
        <f>IF(AH181="","",IF(COUNTIF(AF$3:AF181,AH181)+COUNTIF(AG$3:AG181,AH181)+COUNTIF(AH$3:AH181,AH181)=1,MAX(GO$2:GQ180,GO181,GP181)+1,""))</f>
        <v/>
      </c>
      <c r="GR181" t="str">
        <f t="shared" si="260"/>
        <v>3х2,5</v>
      </c>
      <c r="GS181" t="str">
        <f>IF(GR181="","",IF(COUNTIF(GR$3:GR181,GR181)=1,MAX(GS$2:GS180)+1,""))</f>
        <v/>
      </c>
      <c r="GT181" t="str">
        <f>IF(ES181="","",COUNTIF(ES$3:ES181,"?*"))</f>
        <v/>
      </c>
      <c r="GU181" t="str">
        <f>IF(OR(ES181="",EU181=""),"",IF(COUNTIFS(ES$3:ES181,"?*",EU$3:EU181,EU181)=1,MAX(GU$2:GU180)+1,""))</f>
        <v/>
      </c>
      <c r="GV181">
        <f t="shared" si="261"/>
        <v>1</v>
      </c>
      <c r="GW181">
        <f>IF(D181="","",COUNTIF(D$3:D181,"?*"))</f>
        <v>179</v>
      </c>
      <c r="GX181">
        <f>IF(EX181&lt;&gt;1,0,_xlfn.LET(_xlpm.k,MAX(IFERROR(--VLOOKUP(D181,УГО_спр,5,FALSE),0),IFERROR(--VLOOKUP(AT181,УГО_спр,5,FALSE),0),IFERROR(--VLOOKUP(LEFT(AT181,2),УГО_спр,5,FALSE),0)),IF(_xlpm.k&gt;0,_xlpm.k,IF(IFERROR(--LEFT(SUBSTITUTE(GR181,"x","х"),FIND("х",SUBSTITUTE(GR181,"x","х"))-1),3)&gt;3,Каталог!$S$9,1))))</f>
        <v>1</v>
      </c>
      <c r="GY181">
        <f t="shared" si="262"/>
        <v>0</v>
      </c>
    </row>
    <row r="182" spans="1:207" x14ac:dyDescent="0.3">
      <c r="A182" t="s">
        <v>758</v>
      </c>
      <c r="B182">
        <v>40</v>
      </c>
      <c r="C182" t="str">
        <f>IF(BD182="","",IF(BE182="вводной узел","узел ","")&amp;"л."&amp;(INT((BD182-1)/Столбцов_на_лист)+1)&amp;" / "&amp;(MOD(BD182-1,Столбцов_на_лист)+1))</f>
        <v>л.3 / 6</v>
      </c>
      <c r="D182" t="s">
        <v>1489</v>
      </c>
      <c r="E182" s="133" t="s">
        <v>1490</v>
      </c>
      <c r="G182">
        <v>0.3</v>
      </c>
      <c r="H182">
        <v>1</v>
      </c>
      <c r="I182">
        <v>1</v>
      </c>
      <c r="J182">
        <v>230</v>
      </c>
      <c r="K182" t="s">
        <v>577</v>
      </c>
      <c r="O182">
        <v>2</v>
      </c>
      <c r="P182">
        <v>98</v>
      </c>
      <c r="Q182">
        <v>32</v>
      </c>
      <c r="R182">
        <v>56</v>
      </c>
      <c r="U182" t="s">
        <v>11</v>
      </c>
      <c r="V182">
        <v>3</v>
      </c>
      <c r="W182">
        <v>2.5</v>
      </c>
      <c r="X182">
        <v>16</v>
      </c>
      <c r="Z182" t="s">
        <v>581</v>
      </c>
      <c r="AA182" t="s">
        <v>818</v>
      </c>
      <c r="AD182" t="s">
        <v>517</v>
      </c>
      <c r="AK182" t="s">
        <v>488</v>
      </c>
      <c r="AR182" t="str">
        <f t="shared" si="176"/>
        <v/>
      </c>
      <c r="AS182" cm="1">
        <f t="array" ref="AS182">ROW()-ROW(Линии[#Headers])</f>
        <v>180</v>
      </c>
      <c r="AT182" t="str">
        <f t="shared" si="177"/>
        <v>ЩКД-6</v>
      </c>
      <c r="AU182" t="str">
        <f t="shared" si="178"/>
        <v/>
      </c>
      <c r="AV182" t="str">
        <f t="shared" si="179"/>
        <v/>
      </c>
      <c r="AW182" t="str">
        <f t="shared" si="180"/>
        <v/>
      </c>
      <c r="AX182" t="str">
        <f t="shared" si="181"/>
        <v/>
      </c>
      <c r="AY182" t="str">
        <f>IF(D182="","",IF(ISERROR(SEARCH(".",D182)),IFERROR(VLOOKUP(D182,Потребители_обозначение,2,FALSE)&amp;"",""),IFERROR(IF(VLOOKUP(AT182,Потребители_обозначение,4,FALSE)=1,VLOOKUP(AT182,Потребители_обозначение,2,FALSE)&amp;" "&amp;VLOOKUP(AV182,Этаж_обозначение,2,FALSE)&amp;" Пом. №"&amp;AX182,VLOOKUP(AT182,Потребители_обозначение,2,FALSE)&amp;" Шлейф №"&amp;AV182),IFERROR(VLOOKUP(D182,Потребители_обозначение,2,FALSE),""))))</f>
        <v/>
      </c>
      <c r="AZ182" t="str">
        <f t="shared" si="182"/>
        <v>Щит контроля доступа ШДК-06. Пом. Венткиосок</v>
      </c>
      <c r="BA182" t="str">
        <f>IF(F182&lt;&gt;"",F182,IF(AND(D182&lt;&gt;"",D182&lt;&gt;A182,ISNUMBER(_xlfn.XMATCH(D182,Щиты[Щит]))),D182,""))</f>
        <v/>
      </c>
      <c r="BB182">
        <f>IFERROR(_xlfn.XMATCH(A182,Щиты[Щит]),0)</f>
        <v>8</v>
      </c>
      <c r="BC182">
        <f>IFERROR(N(_xlfn.XLOOKUP(A182,Щиты[Щит],Щиты[Мест под вводной узел])),15)</f>
        <v>7</v>
      </c>
      <c r="BD182">
        <f t="shared" si="183"/>
        <v>40</v>
      </c>
      <c r="BE182" t="str">
        <f t="shared" si="184"/>
        <v>линии</v>
      </c>
      <c r="BF182">
        <f>IF(D182="","",IF(BA182&lt;&gt;"",IFERROR(_xlfn.XLOOKUP(BA182,Щиты[Щит],Щиты[Руст, кВт]),0),N(G182)))</f>
        <v>0.3</v>
      </c>
      <c r="BG182">
        <f>IF(J182&lt;&gt;"",J182,IF(D182="","",IFERROR(IF(VLOOKUP(AT182,Потребители_обозначение,8,FALSE)=0,"",VLOOKUP(AT182,Потребители_обозначение,8,FALSE)),"")))</f>
        <v>230</v>
      </c>
      <c r="BH182">
        <f>IF(I182&lt;&gt;"",I182,IF(D182="","",IFERROR(IF(VLOOKUP(AT182,Потребители_обозначение,9,FALSE)=0,"",VLOOKUP(AT182,Потребители_обозначение,9,FALSE)),"")))</f>
        <v>1</v>
      </c>
      <c r="BI182" t="str">
        <f>IF(U182&lt;&gt;"",U182,IF(D182="","",IFERROR(IF(VLOOKUP(AT182,Потребители_обозначение,6,FALSE)=0,"",VLOOKUP(AT182,Потребители_обозначение,6,FALSE)),"")))</f>
        <v>мс</v>
      </c>
      <c r="BJ182">
        <f>IF(V182&lt;&gt;"",V182,IF(D182="","",IFERROR(IF(VLOOKUP(AT182,Потребители_обозначение,7,FALSE)=0,"",VLOOKUP(AT182,Потребители_обозначение,7,FALSE)),"")))</f>
        <v>3</v>
      </c>
      <c r="BK182">
        <f>IF(W182&lt;&gt;"",W182,IF(D182="","",IFERROR(IF(VLOOKUP(AT182,Потребители_обозначение,10,FALSE)=0,"",VLOOKUP(AT182,Потребители_обозначение,10,FALSE)),"")))</f>
        <v>2.5</v>
      </c>
      <c r="BL182">
        <f>IFERROR(VLOOKUP(AT182,Потребители_обозначение,5,FALSE),0)</f>
        <v>0</v>
      </c>
      <c r="BM182" cm="1">
        <f t="array" ref="BM182">IF(D182="","",IF(BA182&lt;&gt;"",IFERROR(_xlfn.XLOOKUP(BA182,Щиты[Щит],Щиты[cos φ]),0.95),IF(ISNUMBER(M182),M182,IFERROR(IF(BL182=2,_xlfn.IFS(BH182=3,VLOOKUP(BF182,Справочная_двигатели,8,FALSE),BH182=1,VLOOKUP(BF182,Справочная_двигатели,10,TRUE)),IF(AND(Методика="нормы 2026",CN182="Сил"),0.8,0.95)),0.95))))</f>
        <v>0.95</v>
      </c>
      <c r="BN182" cm="1">
        <f t="array" ref="BN182">IF(D182="","",IF(BA182&lt;&gt;"",IFERROR(_xlfn.XLOOKUP(BA182,Щиты[Щит],Щиты[Iр, А]),""),IFERROR(_xlfn.IFS(BH182=1,BF182/((Uн_лин/SQRT(3))*BM182),BH182=3,BF182/(SQRT(3)*Uн_лин*BM182)),"")))</f>
        <v>1.3674085322912188</v>
      </c>
      <c r="BO182">
        <f>IF(D182="","",IF(N(X182)=0,IFERROR(VLOOKUP(BN182,Автомат_номиналы,2,TRUE),""),X182))</f>
        <v>16</v>
      </c>
      <c r="BP182">
        <f t="shared" si="185"/>
        <v>1</v>
      </c>
      <c r="BQ182">
        <f>IF(ISNUMBER(Y182),Y182,К_прокл)</f>
        <v>1</v>
      </c>
      <c r="BR182">
        <f t="shared" si="186"/>
        <v>2</v>
      </c>
      <c r="BS182" cm="1">
        <f t="array" ref="BS182">IF(D182="","",IF(N(BK182)&lt;&gt;0,BK182,IFERROR(_xlfn.LET(_xlpm.need,BO182/(BP182*BQ182),_xlpm.t,CHOOSE(BR182,Iдоп_1ж,Iдоп_2ж,Iдоп_3ж),_xlpm.k,_xlfn.XMATCH(_xlpm.need,_xlpm.t,1),IF(ISNA(_xlpm.k),"Не исп",INDEX(Iдоп_S,_xlpm.k))),"Не исп")))</f>
        <v>2.5</v>
      </c>
      <c r="BT182">
        <f>IFERROR(VLOOKUP(BS182,Кабель_сопротивление,3,FALSE),"")</f>
        <v>2.2499999999999999E-2</v>
      </c>
      <c r="BU182">
        <f>IFERROR(VLOOKUP(BS182,Кабель_сопротивление,2,FALSE),"")</f>
        <v>0.1</v>
      </c>
      <c r="BV182">
        <f t="shared" si="187"/>
        <v>98</v>
      </c>
      <c r="BW182">
        <f>IF(D182="","",IFERROR(IF(VLOOKUP(AT182,Потребители_обозначение,4,FALSE)=1,VLOOKUP(AT182,Потребители_обозначение,3,FALSE)*(H182*2-1)+BV182+VLOOKUP(AV182,Этаж_обозначение,3,FALSE)+VLOOKUP(AV182,Этаж_обозначение,4,FALSE),VLOOKUP(AT182,Потребители_обозначение,3,FALSE)*(H182*2-1)+BV182),BV182))</f>
        <v>98</v>
      </c>
      <c r="BX182">
        <f t="shared" si="188"/>
        <v>56</v>
      </c>
      <c r="BY182" t="str">
        <f t="shared" si="189"/>
        <v/>
      </c>
      <c r="BZ182">
        <f t="shared" si="190"/>
        <v>2</v>
      </c>
      <c r="CA182">
        <f t="shared" si="191"/>
        <v>0.31</v>
      </c>
      <c r="CB182">
        <f t="shared" si="192"/>
        <v>2.2998115926558258</v>
      </c>
      <c r="CC182">
        <f>IFERROR(ROUNDUP(CB182/((Uн_лин/SQRT(3))*1000)*100,2),"")</f>
        <v>1</v>
      </c>
      <c r="CD182">
        <f>IF(ISNUMBER(CC182),CC182+IFERROR(_xlfn.XLOOKUP(A182,Щиты[Щит],Щиты[ΔU до шин, %]),0),"")</f>
        <v>2.5700000000000003</v>
      </c>
      <c r="CE182">
        <f>IF(D182="","",IF(IFERROR(VLOOKUP(AT182,УГО_спр,2,FALSE),"")="Светильник",3,4)+IF(Методика="нормы 2026",MIN(0.5,MAX(0,N(BW182)-100)*0.005),0))</f>
        <v>4</v>
      </c>
      <c r="CF182" t="str">
        <f>IFERROR(VLOOKUP(BI182,Кабель_обозначение,2,FALSE),"")</f>
        <v>ВВГнг(А)-LS</v>
      </c>
      <c r="CG182" t="str">
        <f>IFERROR(IF(VLOOKUP(BI182,Кабель_обозначение,3,FALSE)=1,CF182&amp;" ("&amp;BJ182&amp;"х"&amp;BS182&amp;")",CF182),"")</f>
        <v>ВВГнг(А)-LS (3х2,5)</v>
      </c>
      <c r="CH182" t="str">
        <f t="shared" si="193"/>
        <v>ВВГнг(А)-LS (3х2,5)
L=98-1%</v>
      </c>
      <c r="CI182">
        <f>IFERROR(2*ρкз_Cu*BW182/BS182,"")</f>
        <v>2.0619199999999998</v>
      </c>
      <c r="CJ182">
        <f t="shared" si="194"/>
        <v>0.68600000000000005</v>
      </c>
      <c r="CK182" t="str">
        <f>IFERROR(IF(OR(D182="",NOT(ISNUMBER(BS182)),N(BW182)=0),"",_xlfn.XLOOKUP(A182,Щиты[Щит],Щиты[Zпетли на шинах, Ом])+CI182),"")</f>
        <v/>
      </c>
      <c r="CL182" t="str">
        <f>IF(ISNUMBER(CK182),c_min*(Uн_лин*1000/SQRT(3))/CK182,"")</f>
        <v/>
      </c>
      <c r="CM182" t="str">
        <f>IFERROR(IF(OR(D182="",NOT(ISNUMBER(BS182))),"",1.05*(Uн_лин*1000/SQRT(3))/(_xlfn.XLOOKUP(A182,Щиты[Щит],Щиты[Zmax на шинах, Ом])+CJ182)/1000),"")</f>
        <v/>
      </c>
      <c r="CN182" t="str">
        <f>IF(D182="","",IF(BA182&lt;&gt;"","Щит",IF(K182&lt;&gt;"",K182,IF(ISNUMBER(L182),"Сил",IF(IFERROR(_xlfn.XLOOKUP(AT182,Коды_код,Коды_группа)&amp;"","")="","Быт",_xlfn.XLOOKUP(AT182,Коды_код,Коды_группа)&amp;"")))))</f>
        <v>Пост</v>
      </c>
      <c r="CO182">
        <f>IF(CN182="Щит","щит",IF(CN182="","",IF(CN182="Быт",IFERROR(_xlfn.XLOOKUP(A182,Щиты[Щит],Щиты[Кс быт]),1),IF(CN182="Сил",IF(ISNUMBER(L182),L182,IF(Методика="нормы 2026",IFERROR(_xlfn.XLOOKUP(A182,Щиты[Щит],Щиты[Кс силовых (табл. 7.5)]),1),1)),IF(OR(CN182="Пост",CN182="Отоп"),1,IF(CN182="ВНГ",0.7,0))))))</f>
        <v>1</v>
      </c>
      <c r="CP182">
        <f t="shared" si="195"/>
        <v>1</v>
      </c>
      <c r="CQ182">
        <f t="shared" si="196"/>
        <v>0.3</v>
      </c>
      <c r="CR182">
        <f t="shared" si="197"/>
        <v>0</v>
      </c>
      <c r="CS182">
        <f t="shared" si="198"/>
        <v>0</v>
      </c>
      <c r="CT182">
        <f t="shared" si="199"/>
        <v>0.3</v>
      </c>
      <c r="CU182">
        <f t="shared" si="200"/>
        <v>0</v>
      </c>
      <c r="CV182">
        <f t="shared" si="201"/>
        <v>0</v>
      </c>
      <c r="CW182">
        <f t="shared" si="202"/>
        <v>0.3</v>
      </c>
      <c r="CX182">
        <f t="shared" si="203"/>
        <v>0.28499999999999998</v>
      </c>
      <c r="CY182">
        <f t="shared" si="204"/>
        <v>1</v>
      </c>
      <c r="CZ182" t="str">
        <f t="shared" si="205"/>
        <v>L1</v>
      </c>
      <c r="DA182" cm="1">
        <f t="array" ref="DA182">IFERROR(IF(BL182=2,_xlfn.IFS(BH182=3,VLOOKUP(BF182,Справочная_двигатели,3,FALSE),BH182=1,VLOOKUP(BF182,Справочная_двигатели,5,TRUE)),0),0)</f>
        <v>0</v>
      </c>
      <c r="DB182">
        <f>IFERROR(IF(BL182=3,VLOOKUP(BF182,Справочная_ЛЭД,2,TRUE),0),0)</f>
        <v>0</v>
      </c>
      <c r="DC182">
        <f t="shared" si="206"/>
        <v>0</v>
      </c>
      <c r="DD182" t="str">
        <f t="shared" si="207"/>
        <v>L2</v>
      </c>
      <c r="DE182" t="str" cm="1">
        <f t="array" ref="DE182">IF(D182="","",IFERROR(INDEX({"I особая","I","II","III"},MATCH(TRIM(AA182&amp;""),{"I особая","I","II","III"},0)),"III"))</f>
        <v>II</v>
      </c>
      <c r="DF182" t="str">
        <f>IF(D182="","",IF(TRIM(AB182&amp;"")&lt;&gt;"",IF(LOWER(TRIM(AB182&amp;""))="да","да","нет"),IF(IFERROR(_xlfn.XLOOKUP(AT182,Коды_код,Коды_пожарная),"")="да","да","нет")))</f>
        <v>нет</v>
      </c>
      <c r="DG182" t="str">
        <f t="shared" si="208"/>
        <v/>
      </c>
      <c r="DH182" t="str">
        <f t="shared" si="209"/>
        <v>основная</v>
      </c>
      <c r="DI182">
        <f t="shared" si="210"/>
        <v>1</v>
      </c>
      <c r="DJ182" t="str" cm="1">
        <f t="array" ref="DJ182">IF(D182="","",_xlfn.LET(_xlpm.t,IFERROR(_xlfn.XLOOKUP(1,(Шины[Шина]=DH182)*(((Шины[Щит]=A182)+(Шины[Щит]=""))&gt;0),Шины[Тип]),"")&amp;"",IF(_xlpm.t&lt;&gt;"",_xlpm.t,IF(ISNUMBER(SEARCH("ИБП",DH182)),"ИБП",IF(ISNUMBER(SEARCH("ДГУ",DH182)),"ДГУ","Ввод "&amp;DI182)))))</f>
        <v>Ввод 1</v>
      </c>
      <c r="DK182" t="str">
        <f t="shared" si="211"/>
        <v>Ввод 1</v>
      </c>
      <c r="DL182" t="str">
        <f>IF(D182="","",IF(OR(DJ182="ИБП",DJ182="ДГУ"),"I особая",IF(DJ182="Одиночная","III",_xlfn.XLOOKUP(A182,Щиты[Щит],Щиты[Категория шины «Ввод»],"III"))))</f>
        <v>II</v>
      </c>
      <c r="DM182">
        <f>IF(D182="",0,IFERROR(MATCH(DE182,{"III","II","I","I особая"},0),1))</f>
        <v>2</v>
      </c>
      <c r="DN182">
        <f t="shared" si="212"/>
        <v>2</v>
      </c>
      <c r="DO182" t="str">
        <f>IF(D182="","",IF(DM182&gt;IFERROR(MATCH(DL182,{"III","II","I","I особая"},0),1),"НЕ ОБЕСПЕЧЕНА","ОК"))</f>
        <v>ОК</v>
      </c>
      <c r="DP182" t="str">
        <f>IF(A182="","",_xlfn.XLOOKUP(A182,Щиты[Щит],Щиты[Путь],""))</f>
        <v>|ГРЩ-ЖД|ЩР-001|</v>
      </c>
      <c r="DQ182" t="str">
        <f>IF(D182="","",IF(Z182&lt;&gt;"",Z182,IF(IFERROR(_xlfn.XLOOKUP(AT182,Коды_код,Коды_вид)&amp;"","")="","Прочее",_xlfn.XLOOKUP(AT182,Коды_код,Коды_вид)&amp;"")))</f>
        <v>Системы безопасности и связи</v>
      </c>
      <c r="DR182">
        <f>IF(BD182="","",INT((BD182-1)/Столбцов_на_лист)+1)</f>
        <v>3</v>
      </c>
      <c r="DS182" t="str">
        <f t="shared" si="213"/>
        <v>ВВГнг(А)-LS (3х2,5) L=98-1%</v>
      </c>
      <c r="DT182">
        <f t="shared" si="214"/>
        <v>0.3</v>
      </c>
      <c r="DU182">
        <f t="shared" si="215"/>
        <v>1.37</v>
      </c>
      <c r="DV182">
        <f t="shared" si="216"/>
        <v>1</v>
      </c>
      <c r="DW182">
        <f>IF(AT182="",0,_xlfn.LET(_xlpm.v,IFERROR(VLOOKUP(D182,УГО_спр,3,FALSE),IFERROR(VLOOKUP(AT182,УГО_спр,3,FALSE),IFERROR(VLOOKUP(LEFT(AT182,2),УГО_спр,3,FALSE),""))),IF(_xlpm.v="да",30,IF(ISNUMBER(_xlpm.v),_xlpm.v,0))))</f>
        <v>0</v>
      </c>
      <c r="DX182">
        <f t="shared" si="217"/>
        <v>0</v>
      </c>
      <c r="DY182">
        <f>IF(BD182="","",IF(AD182&lt;&gt;"",COUNTIFS(A$3:A182,A182,AD$3:AD182,"?*"),IF(OR(OR(AS182=1,A182&lt;&gt;A181),AL182="вручную"),"",IF(AS182=1,"",DZ181))))</f>
        <v>28</v>
      </c>
      <c r="DZ182">
        <f t="shared" si="218"/>
        <v>28</v>
      </c>
      <c r="EA182">
        <f>IF(D182="",0,MAX(IFERROR(--X182,0),IFERROR(--VLOOKUP(D182,УГО_спр,4,FALSE),IFERROR(--VLOOKUP(AT182,УГО_спр,4,FALSE),IFERROR(--VLOOKUP(LEFT(AT182,2),УГО_спр,4,FALSE),0)))))</f>
        <v>16</v>
      </c>
      <c r="EB182">
        <f>IF(D182="","",IFERROR(LOOKUP(INDEX(CHOOSE(BR182,Iдоп_1ж,Iдоп_2ж,Iдоп_3ж),MATCH(BS182,Iдоп_S,0))*BP182*BQ182,{6,10,16,20,25,32,40,50,63,80,100,125,160,200,250,315,400,500,630}),""))</f>
        <v>25</v>
      </c>
      <c r="EC182">
        <f>IF(AD182="","",SUMIFS(Линии[_Ток схемы],Линии[_гр.],DY182,Линии[Щит],A182,Линии[_в кабель выше],0))</f>
        <v>1.37</v>
      </c>
      <c r="ED182">
        <f>IF(AD182="","",IFERROR(VLOOKUP(EC182,Автомат_номиналы,2,TRUE),""))</f>
        <v>6</v>
      </c>
      <c r="EE182">
        <f>IF(AD182="","",MAX(N(ED182),_xlfn.MAXIFS(Линии[_мин. по типу],Линии[_гр.],DY182,Линии[Щит],A182)))</f>
        <v>16</v>
      </c>
      <c r="EF182">
        <f>IF(AD182="","",_xlfn.MINIFS(Линии[_макс. автомат по кабелю],Линии[_гр.],DY182,Линии[Щит],A182))</f>
        <v>25</v>
      </c>
      <c r="EG182">
        <f>IF(AD182="","",MAX(1,_xlfn.MAXIFS(Линии[_фаз],Линии[_гр.],DY182,Линии[Щит],A182)))</f>
        <v>1</v>
      </c>
      <c r="EH182">
        <f>IF(AD182="","",IF(AND(AD182&lt;&gt;"авто",AD182&lt;&gt;"+"),IF(ISNUMBER(SEARCH("мА",AD182)),IFERROR(--TRIM(RIGHT(SUBSTITUTE(LEFT(AD182,SEARCH("мА",AD182)-1)," ",REPT(" ",9)),6)),30),0),IF(AE182="нет",0,IF(ISNUMBER(AE182),AE182,IF(AE182="да",30,_xlfn.MINIFS(Линии[_дифзащита по коду, мА],Линии[_гр.],DY182,Линии[Щит],A182,Линии[_дифзащита по коду, мА],"&gt;0"))))))</f>
        <v>0</v>
      </c>
      <c r="EI182">
        <f t="shared" si="219"/>
        <v>0</v>
      </c>
      <c r="EJ182" t="str">
        <f t="shared" si="220"/>
        <v>QF28</v>
      </c>
      <c r="EK182" t="str">
        <f t="shared" si="221"/>
        <v>QF28</v>
      </c>
      <c r="EL182" t="str">
        <f t="shared" si="222"/>
        <v/>
      </c>
      <c r="EM182">
        <f t="shared" si="223"/>
        <v>0</v>
      </c>
      <c r="EN182">
        <f>IF(AD182="","",IF(EM182=1,MAX(EE182,Мин_автомат_БП),EE182))</f>
        <v>16</v>
      </c>
      <c r="EO182" t="str">
        <f t="shared" si="224"/>
        <v>1P</v>
      </c>
      <c r="EP182" t="str">
        <f t="shared" si="225"/>
        <v>1P С16А</v>
      </c>
      <c r="EQ182">
        <f t="shared" si="226"/>
        <v>16</v>
      </c>
      <c r="ER182" t="str">
        <f>IF(OR(AI182="",AI182="-"),"",IFERROR(VLOOKUP(AI182,Модули_спр,2,FALSE),"R"))</f>
        <v/>
      </c>
      <c r="ES182" t="str">
        <f>IF(ER182="","",ER182&amp;"."&amp;COUNTIFS(A$3:A182,A182,ER$3:ER182,ER182))</f>
        <v/>
      </c>
      <c r="ET182" t="str">
        <f t="shared" si="227"/>
        <v/>
      </c>
      <c r="EU182" t="str">
        <f t="shared" si="228"/>
        <v/>
      </c>
      <c r="EV182" t="str">
        <f t="shared" si="229"/>
        <v/>
      </c>
      <c r="EW182" t="str">
        <f t="shared" si="230"/>
        <v/>
      </c>
      <c r="EX182">
        <f t="shared" si="231"/>
        <v>1</v>
      </c>
      <c r="EY182" t="str">
        <f>IF(AK182="нет","",IF(AK182&lt;&gt;"",AK182,IF(EX182=1,"XT"&amp;COUNTIFS(A$3:A182,A182,EX$3:EX182,1),"")))</f>
        <v/>
      </c>
      <c r="EZ182" t="str">
        <f t="shared" si="232"/>
        <v>QF28</v>
      </c>
      <c r="FA182" t="str">
        <f t="shared" si="233"/>
        <v/>
      </c>
      <c r="FB182" t="str">
        <f t="shared" si="234"/>
        <v>ok</v>
      </c>
      <c r="FC182" t="str">
        <f>IF(OR(EV182="",ET182=""),"",IF(EV182&gt;IFERROR(VLOOKUP(EU182,Модули_спр,3,FALSE),99),"ЛИШНИЙ КАНАЛ",IF(AND(AJ182&lt;&gt;"=",COUNTIFS(Линии[_модуль гр.],ET182,Линии[Канал (итог)],EV182,Линии[Канал],"&lt;&gt;=",Линии[Щит],A182)&gt;1),"ДУБЛЬ КАНАЛА","")))</f>
        <v/>
      </c>
      <c r="FD182">
        <f t="shared" si="235"/>
        <v>16</v>
      </c>
      <c r="FE182" t="str">
        <f t="shared" si="236"/>
        <v>1P С16А</v>
      </c>
      <c r="FF182">
        <f t="shared" si="237"/>
        <v>0</v>
      </c>
      <c r="FG182">
        <f t="shared" si="238"/>
        <v>0</v>
      </c>
      <c r="FH182" t="str">
        <f t="shared" si="239"/>
        <v/>
      </c>
      <c r="FI182">
        <f t="shared" si="240"/>
        <v>10</v>
      </c>
      <c r="FJ182" t="str">
        <f t="shared" si="241"/>
        <v/>
      </c>
      <c r="FK182" t="str">
        <f>IF(AND(D182="",EZ182=""),"",_xlfn.TEXTJOIN("; ",TRUE,IF(AND(D182&lt;&gt;"",DD182=""),"нет фазы",""),IF(AND(D182&lt;&gt;"",N(DT182)=0,CN182&lt;&gt;"Нет"),"нет мощности",""),IF(AND(EY182&lt;&gt;"",COUNTIFS(Линии[Щит],A182,Линии[Клемма (итог)],EY182)&gt;1),"дубль клеммы "&amp;EY182,""),IF(AND(FB182&lt;&gt;"",FB182&lt;&gt;"ok"),FB182,""),IF(FC182&lt;&gt;"",FC182,""),IF(AND(ISNUMBER(SEARCH("(5х",DS182)),N(DV182)=1),"5 жил на 1 фазе",""),IF(AND(AT182="R",AD182&lt;&gt;"",OR(N(EH182)=0,N(EH182)&gt;30)),"розетка без дифзащиты до 30 мА",""),IFERROR(IF(AND(ISNUMBER(CD182),CD182&gt;CE182),"потери "&amp;FIXED(CD182,1)&amp;" % &gt; "&amp;CE182&amp;" %",""),""),IFERROR(IF(LEFT(FJ182,4)="мало","Iкз мало — отключение &gt; 0,4 с",""),""),IF(AND(D182&lt;&gt;"",BD182=""),"не на схеме","")))</f>
        <v/>
      </c>
      <c r="FL182">
        <f>IF(AD182="","",_xlfn.LET(_xlpm.t,IFERROR(_xlfn.XLOOKUP(EP182,Каталог!$U$4:$U$500,Каталог!$G$4:$G$500),""),_xlpm.k,SEARCH("кА",_xlpm.t),IFERROR(--TRIM(RIGHT(SUBSTITUTE(MID(_xlpm.t,MAX(1,_xlpm.k-4),_xlpm.k-MAX(1,_xlpm.k-4))," ",REPT(" ",9)),5)),"")))</f>
        <v>6</v>
      </c>
      <c r="FM182" t="str">
        <f>IF(OR(FL182="",AD182=""),"",IF(_xlfn.XLOOKUP(A182,Щиты[Щит],Щиты[Iкз max на шинах, кА],"")="","",IF(FL182&lt;_xlfn.XLOOKUP(A182,Щиты[Щит],Щиты[Iкз max на шинах, кА]),"Icu "&amp;FL182&amp;" кА &lt; Iкз max","ok")))</f>
        <v/>
      </c>
      <c r="FN182" t="str">
        <f t="shared" si="242"/>
        <v>QF28</v>
      </c>
      <c r="FO182" t="str">
        <f t="shared" si="243"/>
        <v>QF28|кабель ВВГнг(А)-LS (3х2,5) → Щит контроля доступа ШДК-06. Пом. Венткиосок</v>
      </c>
      <c r="FP182" t="str" cm="1">
        <f t="array" ref="FP182">IF(FO182="","",_xlfn.LET(_xlpm.nd,_xlfn.TEXTSPLIT(FO182,"|"),IF(COLUMNS(_xlpm.nd)&gt;1,A182&amp;"¦"&amp;INDEX(_xlpm.nd,1)&amp;"¦"&amp;INDEX(_xlpm.nd,2),"")))</f>
        <v>ЩР-001¦QF28¦кабель ВВГнг(А)-LS (3х2,5) → Щит контроля доступа ШДК-06. Пом. Венткиосок</v>
      </c>
      <c r="FQ182" t="str">
        <f t="shared" si="244"/>
        <v>ЩКД-6¦Щит контроля доступа ШДК-06. Пом. Венткиосок</v>
      </c>
      <c r="FR182" t="str" cm="1">
        <f t="array" ref="FR182">IF(FO182="","",_xlfn.LET(_xlpm.nd,_xlfn.TEXTSPLIT(FO182,"|"),IF(COLUMNS(_xlpm.nd)&gt;2,A182&amp;"¦"&amp;INDEX(_xlpm.nd,2)&amp;"¦"&amp;INDEX(_xlpm.nd,3),"")))</f>
        <v/>
      </c>
      <c r="FS182" t="str">
        <f t="shared" si="245"/>
        <v/>
      </c>
      <c r="FT182" t="str" cm="1">
        <f t="array" ref="FT182">IF(FO182="","",_xlfn.LET(_xlpm.nd,_xlfn.TEXTSPLIT(FO182,"|"),IF(COLUMNS(_xlpm.nd)&gt;3,A182&amp;"¦"&amp;INDEX(_xlpm.nd,3)&amp;"¦"&amp;INDEX(_xlpm.nd,4),"")))</f>
        <v/>
      </c>
      <c r="FU182" t="str">
        <f t="shared" si="246"/>
        <v/>
      </c>
      <c r="FV182" t="str" cm="1">
        <f t="array" ref="FV182">IF(FO182="","",_xlfn.LET(_xlpm.nd,_xlfn.TEXTSPLIT(FO182,"|"),IF(COLUMNS(_xlpm.nd)&gt;4,A182&amp;"¦"&amp;INDEX(_xlpm.nd,4)&amp;"¦"&amp;INDEX(_xlpm.nd,5),"")))</f>
        <v/>
      </c>
      <c r="FW182" t="str">
        <f t="shared" si="247"/>
        <v/>
      </c>
      <c r="FX182" t="str" cm="1">
        <f t="array" ref="FX182">IF(FO182="","",_xlfn.LET(_xlpm.nd,_xlfn.TEXTSPLIT(FO182,"|"),IF(COLUMNS(_xlpm.nd)&gt;5,A182&amp;"¦"&amp;INDEX(_xlpm.nd,5)&amp;"¦"&amp;INDEX(_xlpm.nd,6),"")))</f>
        <v/>
      </c>
      <c r="FY182" t="str">
        <f t="shared" si="248"/>
        <v/>
      </c>
      <c r="FZ182" t="str" cm="1">
        <f t="array" ref="FZ182">IF(FO182="","",_xlfn.LET(_xlpm.nd,_xlfn.TEXTSPLIT(FO182,"|"),IF(COLUMNS(_xlpm.nd)&gt;6,A182&amp;"¦"&amp;INDEX(_xlpm.nd,6)&amp;"¦"&amp;INDEX(_xlpm.nd,7),"")))</f>
        <v/>
      </c>
      <c r="GA182" t="str">
        <f t="shared" si="249"/>
        <v/>
      </c>
      <c r="GB182" t="str">
        <f t="shared" si="250"/>
        <v/>
      </c>
      <c r="GC182" t="str">
        <f t="shared" si="251"/>
        <v>QF28</v>
      </c>
      <c r="GD182">
        <f t="shared" si="252"/>
        <v>1</v>
      </c>
      <c r="GE182">
        <f t="shared" si="253"/>
        <v>0</v>
      </c>
      <c r="GF182">
        <f t="shared" si="254"/>
        <v>0</v>
      </c>
      <c r="GG182" t="str">
        <f t="shared" si="255"/>
        <v/>
      </c>
      <c r="GH182" t="str">
        <f t="shared" si="256"/>
        <v/>
      </c>
      <c r="GI182" t="str">
        <f t="shared" si="257"/>
        <v/>
      </c>
      <c r="GJ182" t="str">
        <f t="shared" si="258"/>
        <v/>
      </c>
      <c r="GK182" t="str">
        <f>IF(D182="","",IFERROR(VLOOKUP(D182,УГО_спр,2,FALSE),IFERROR(VLOOKUP(AT182,УГО_спр,2,FALSE),IFERROR(VLOOKUP(LEFT(AT182,2),УГО_спр,2,FALSE),""))))</f>
        <v/>
      </c>
      <c r="GL182" t="str">
        <f>IF(D182="","",IF(OR(GK182="",GK182=0),"BOX",IFERROR(IF(VLOOKUP(GK182,УГО_блоки,3,FALSE)&amp;""&lt;&gt;"",VLOOKUP(GK182,УГО_блоки,3,FALSE),VLOOKUP(GK182,УГО_блоки,2,FALSE)),GK182)))</f>
        <v>BOX</v>
      </c>
      <c r="GM182">
        <f t="shared" si="259"/>
        <v>1</v>
      </c>
      <c r="GN182" t="str">
        <f>IF(EP182="","",IF(COUNTIF(EP$3:EP182,EP182)=1,MAX(GN$2:GN181)+1,""))</f>
        <v/>
      </c>
      <c r="GO182" t="str">
        <f>IF(AF182="","",IF(COUNTIF(AF$3:AF182,AF182)+COUNTIF(AG$2:AG181,AF182)+COUNTIF(AH$2:AH181,AF182)=1,MAX(GO$2:GQ181)+1,""))</f>
        <v/>
      </c>
      <c r="GP182" t="str">
        <f>IF(AG182="","",IF(COUNTIF(AF$3:AF182,AG182)+COUNTIF(AG$3:AG182,AG182)+COUNTIF(AH$2:AH181,AG182)=1,MAX(GO$2:GQ181,GO182)+1,""))</f>
        <v/>
      </c>
      <c r="GQ182" t="str">
        <f>IF(AH182="","",IF(COUNTIF(AF$3:AF182,AH182)+COUNTIF(AG$3:AG182,AH182)+COUNTIF(AH$3:AH182,AH182)=1,MAX(GO$2:GQ181,GO182,GP182)+1,""))</f>
        <v/>
      </c>
      <c r="GR182" t="str">
        <f t="shared" si="260"/>
        <v>3х2,5</v>
      </c>
      <c r="GS182" t="str">
        <f>IF(GR182="","",IF(COUNTIF(GR$3:GR182,GR182)=1,MAX(GS$2:GS181)+1,""))</f>
        <v/>
      </c>
      <c r="GT182" t="str">
        <f>IF(ES182="","",COUNTIF(ES$3:ES182,"?*"))</f>
        <v/>
      </c>
      <c r="GU182" t="str">
        <f>IF(OR(ES182="",EU182=""),"",IF(COUNTIFS(ES$3:ES182,"?*",EU$3:EU182,EU182)=1,MAX(GU$2:GU181)+1,""))</f>
        <v/>
      </c>
      <c r="GV182">
        <f t="shared" si="261"/>
        <v>0</v>
      </c>
      <c r="GW182">
        <f>IF(D182="","",COUNTIF(D$3:D182,"?*"))</f>
        <v>180</v>
      </c>
      <c r="GX182">
        <f>IF(EX182&lt;&gt;1,0,_xlfn.LET(_xlpm.k,MAX(IFERROR(--VLOOKUP(D182,УГО_спр,5,FALSE),0),IFERROR(--VLOOKUP(AT182,УГО_спр,5,FALSE),0),IFERROR(--VLOOKUP(LEFT(AT182,2),УГО_спр,5,FALSE),0)),IF(_xlpm.k&gt;0,_xlpm.k,IF(IFERROR(--LEFT(SUBSTITUTE(GR182,"x","х"),FIND("х",SUBSTITUTE(GR182,"x","х"))-1),3)&gt;3,Каталог!$S$9,1))))</f>
        <v>1</v>
      </c>
      <c r="GY182">
        <f t="shared" si="262"/>
        <v>0</v>
      </c>
    </row>
    <row r="183" spans="1:207" x14ac:dyDescent="0.3">
      <c r="A183" t="s">
        <v>758</v>
      </c>
      <c r="B183">
        <v>41</v>
      </c>
      <c r="C183" t="str">
        <f>IF(BD183="","",IF(BE183="вводной узел","узел ","")&amp;"л."&amp;(INT((BD183-1)/Столбцов_на_лист)+1)&amp;" / "&amp;(MOD(BD183-1,Столбцов_на_лист)+1))</f>
        <v>л.3 / 7</v>
      </c>
      <c r="D183" t="s">
        <v>1491</v>
      </c>
      <c r="E183" s="133" t="s">
        <v>1492</v>
      </c>
      <c r="G183">
        <v>0.5</v>
      </c>
      <c r="H183">
        <v>1</v>
      </c>
      <c r="I183">
        <v>1</v>
      </c>
      <c r="J183">
        <v>230</v>
      </c>
      <c r="K183" t="s">
        <v>577</v>
      </c>
      <c r="O183">
        <v>3</v>
      </c>
      <c r="P183">
        <v>12</v>
      </c>
      <c r="R183">
        <v>12</v>
      </c>
      <c r="U183" t="s">
        <v>11</v>
      </c>
      <c r="V183">
        <v>3</v>
      </c>
      <c r="W183">
        <v>2.5</v>
      </c>
      <c r="X183">
        <v>16</v>
      </c>
      <c r="Z183" t="s">
        <v>581</v>
      </c>
      <c r="AA183" t="s">
        <v>818</v>
      </c>
      <c r="AD183" t="s">
        <v>517</v>
      </c>
      <c r="AK183" t="s">
        <v>488</v>
      </c>
      <c r="AR183" t="str">
        <f t="shared" si="176"/>
        <v/>
      </c>
      <c r="AS183" cm="1">
        <f t="array" ref="AS183">ROW()-ROW(Линии[#Headers])</f>
        <v>181</v>
      </c>
      <c r="AT183" t="str">
        <f t="shared" si="177"/>
        <v>ЩКД-001</v>
      </c>
      <c r="AU183" t="str">
        <f t="shared" si="178"/>
        <v/>
      </c>
      <c r="AV183" t="str">
        <f t="shared" si="179"/>
        <v/>
      </c>
      <c r="AW183" t="str">
        <f t="shared" si="180"/>
        <v/>
      </c>
      <c r="AX183" t="str">
        <f t="shared" si="181"/>
        <v/>
      </c>
      <c r="AY183" t="str">
        <f>IF(D183="","",IF(ISERROR(SEARCH(".",D183)),IFERROR(VLOOKUP(D183,Потребители_обозначение,2,FALSE)&amp;"",""),IFERROR(IF(VLOOKUP(AT183,Потребители_обозначение,4,FALSE)=1,VLOOKUP(AT183,Потребители_обозначение,2,FALSE)&amp;" "&amp;VLOOKUP(AV183,Этаж_обозначение,2,FALSE)&amp;" Пом. №"&amp;AX183,VLOOKUP(AT183,Потребители_обозначение,2,FALSE)&amp;" Шлейф №"&amp;AV183),IFERROR(VLOOKUP(D183,Потребители_обозначение,2,FALSE),""))))</f>
        <v/>
      </c>
      <c r="AZ183" t="str">
        <f t="shared" si="182"/>
        <v>Щит контроля доступа ШДК-001 Подвальный этаж Пом. №004Т</v>
      </c>
      <c r="BA183" t="str">
        <f>IF(F183&lt;&gt;"",F183,IF(AND(D183&lt;&gt;"",D183&lt;&gt;A183,ISNUMBER(_xlfn.XMATCH(D183,Щиты[Щит]))),D183,""))</f>
        <v/>
      </c>
      <c r="BB183">
        <f>IFERROR(_xlfn.XMATCH(A183,Щиты[Щит]),0)</f>
        <v>8</v>
      </c>
      <c r="BC183">
        <f>IFERROR(N(_xlfn.XLOOKUP(A183,Щиты[Щит],Щиты[Мест под вводной узел])),15)</f>
        <v>7</v>
      </c>
      <c r="BD183">
        <f t="shared" si="183"/>
        <v>41</v>
      </c>
      <c r="BE183" t="str">
        <f t="shared" si="184"/>
        <v>линии</v>
      </c>
      <c r="BF183">
        <f>IF(D183="","",IF(BA183&lt;&gt;"",IFERROR(_xlfn.XLOOKUP(BA183,Щиты[Щит],Щиты[Руст, кВт]),0),N(G183)))</f>
        <v>0.5</v>
      </c>
      <c r="BG183">
        <f>IF(J183&lt;&gt;"",J183,IF(D183="","",IFERROR(IF(VLOOKUP(AT183,Потребители_обозначение,8,FALSE)=0,"",VLOOKUP(AT183,Потребители_обозначение,8,FALSE)),"")))</f>
        <v>230</v>
      </c>
      <c r="BH183">
        <f>IF(I183&lt;&gt;"",I183,IF(D183="","",IFERROR(IF(VLOOKUP(AT183,Потребители_обозначение,9,FALSE)=0,"",VLOOKUP(AT183,Потребители_обозначение,9,FALSE)),"")))</f>
        <v>1</v>
      </c>
      <c r="BI183" t="str">
        <f>IF(U183&lt;&gt;"",U183,IF(D183="","",IFERROR(IF(VLOOKUP(AT183,Потребители_обозначение,6,FALSE)=0,"",VLOOKUP(AT183,Потребители_обозначение,6,FALSE)),"")))</f>
        <v>мс</v>
      </c>
      <c r="BJ183">
        <f>IF(V183&lt;&gt;"",V183,IF(D183="","",IFERROR(IF(VLOOKUP(AT183,Потребители_обозначение,7,FALSE)=0,"",VLOOKUP(AT183,Потребители_обозначение,7,FALSE)),"")))</f>
        <v>3</v>
      </c>
      <c r="BK183">
        <f>IF(W183&lt;&gt;"",W183,IF(D183="","",IFERROR(IF(VLOOKUP(AT183,Потребители_обозначение,10,FALSE)=0,"",VLOOKUP(AT183,Потребители_обозначение,10,FALSE)),"")))</f>
        <v>2.5</v>
      </c>
      <c r="BL183">
        <f>IFERROR(VLOOKUP(AT183,Потребители_обозначение,5,FALSE),0)</f>
        <v>0</v>
      </c>
      <c r="BM183" cm="1">
        <f t="array" ref="BM183">IF(D183="","",IF(BA183&lt;&gt;"",IFERROR(_xlfn.XLOOKUP(BA183,Щиты[Щит],Щиты[cos φ]),0.95),IF(ISNUMBER(M183),M183,IFERROR(IF(BL183=2,_xlfn.IFS(BH183=3,VLOOKUP(BF183,Справочная_двигатели,8,FALSE),BH183=1,VLOOKUP(BF183,Справочная_двигатели,10,TRUE)),IF(AND(Методика="нормы 2026",CN183="Сил"),0.8,0.95)),0.95))))</f>
        <v>0.95</v>
      </c>
      <c r="BN183" cm="1">
        <f t="array" ref="BN183">IF(D183="","",IF(BA183&lt;&gt;"",IFERROR(_xlfn.XLOOKUP(BA183,Щиты[Щит],Щиты[Iр, А]),""),IFERROR(_xlfn.IFS(BH183=1,BF183/((Uн_лин/SQRT(3))*BM183),BH183=3,BF183/(SQRT(3)*Uн_лин*BM183)),"")))</f>
        <v>2.2790142204853647</v>
      </c>
      <c r="BO183">
        <f>IF(D183="","",IF(N(X183)=0,IFERROR(VLOOKUP(BN183,Автомат_номиналы,2,TRUE),""),X183))</f>
        <v>16</v>
      </c>
      <c r="BP183">
        <f t="shared" si="185"/>
        <v>1</v>
      </c>
      <c r="BQ183">
        <f>IF(ISNUMBER(Y183),Y183,К_прокл)</f>
        <v>1</v>
      </c>
      <c r="BR183">
        <f t="shared" si="186"/>
        <v>2</v>
      </c>
      <c r="BS183" cm="1">
        <f t="array" ref="BS183">IF(D183="","",IF(N(BK183)&lt;&gt;0,BK183,IFERROR(_xlfn.LET(_xlpm.need,BO183/(BP183*BQ183),_xlpm.t,CHOOSE(BR183,Iдоп_1ж,Iдоп_2ж,Iдоп_3ж),_xlpm.k,_xlfn.XMATCH(_xlpm.need,_xlpm.t,1),IF(ISNA(_xlpm.k),"Не исп",INDEX(Iдоп_S,_xlpm.k))),"Не исп")))</f>
        <v>2.5</v>
      </c>
      <c r="BT183">
        <f>IFERROR(VLOOKUP(BS183,Кабель_сопротивление,3,FALSE),"")</f>
        <v>2.2499999999999999E-2</v>
      </c>
      <c r="BU183">
        <f>IFERROR(VLOOKUP(BS183,Кабель_сопротивление,2,FALSE),"")</f>
        <v>0.1</v>
      </c>
      <c r="BV183">
        <f t="shared" si="187"/>
        <v>12</v>
      </c>
      <c r="BW183">
        <f>IF(D183="","",IFERROR(IF(VLOOKUP(AT183,Потребители_обозначение,4,FALSE)=1,VLOOKUP(AT183,Потребители_обозначение,3,FALSE)*(H183*2-1)+BV183+VLOOKUP(AV183,Этаж_обозначение,3,FALSE)+VLOOKUP(AV183,Этаж_обозначение,4,FALSE),VLOOKUP(AT183,Потребители_обозначение,3,FALSE)*(H183*2-1)+BV183),BV183))</f>
        <v>12</v>
      </c>
      <c r="BX183">
        <f t="shared" si="188"/>
        <v>12</v>
      </c>
      <c r="BY183" t="str">
        <f t="shared" si="189"/>
        <v/>
      </c>
      <c r="BZ183">
        <f t="shared" si="190"/>
        <v>2</v>
      </c>
      <c r="CA183">
        <f t="shared" si="191"/>
        <v>0.31</v>
      </c>
      <c r="CB183">
        <f t="shared" si="192"/>
        <v>0.469349304623638</v>
      </c>
      <c r="CC183">
        <f>IFERROR(ROUNDUP(CB183/((Uн_лин/SQRT(3))*1000)*100,2),"")</f>
        <v>0.21000000000000002</v>
      </c>
      <c r="CD183">
        <f>IF(ISNUMBER(CC183),CC183+IFERROR(_xlfn.XLOOKUP(A183,Щиты[Щит],Щиты[ΔU до шин, %]),0),"")</f>
        <v>1.78</v>
      </c>
      <c r="CE183">
        <f>IF(D183="","",IF(IFERROR(VLOOKUP(AT183,УГО_спр,2,FALSE),"")="Светильник",3,4)+IF(Методика="нормы 2026",MIN(0.5,MAX(0,N(BW183)-100)*0.005),0))</f>
        <v>4</v>
      </c>
      <c r="CF183" t="str">
        <f>IFERROR(VLOOKUP(BI183,Кабель_обозначение,2,FALSE),"")</f>
        <v>ВВГнг(А)-LS</v>
      </c>
      <c r="CG183" t="str">
        <f>IFERROR(IF(VLOOKUP(BI183,Кабель_обозначение,3,FALSE)=1,CF183&amp;" ("&amp;BJ183&amp;"х"&amp;BS183&amp;")",CF183),"")</f>
        <v>ВВГнг(А)-LS (3х2,5)</v>
      </c>
      <c r="CH183" t="str">
        <f t="shared" si="193"/>
        <v>ВВГнг(А)-LS (3х2,5)
L=12-0,21%</v>
      </c>
      <c r="CI183">
        <f>IFERROR(2*ρкз_Cu*BW183/BS183,"")</f>
        <v>0.25247999999999998</v>
      </c>
      <c r="CJ183">
        <f t="shared" si="194"/>
        <v>8.4000000000000005E-2</v>
      </c>
      <c r="CK183" t="str">
        <f>IFERROR(IF(OR(D183="",NOT(ISNUMBER(BS183)),N(BW183)=0),"",_xlfn.XLOOKUP(A183,Щиты[Щит],Щиты[Zпетли на шинах, Ом])+CI183),"")</f>
        <v/>
      </c>
      <c r="CL183" t="str">
        <f>IF(ISNUMBER(CK183),c_min*(Uн_лин*1000/SQRT(3))/CK183,"")</f>
        <v/>
      </c>
      <c r="CM183" t="str">
        <f>IFERROR(IF(OR(D183="",NOT(ISNUMBER(BS183))),"",1.05*(Uн_лин*1000/SQRT(3))/(_xlfn.XLOOKUP(A183,Щиты[Щит],Щиты[Zmax на шинах, Ом])+CJ183)/1000),"")</f>
        <v/>
      </c>
      <c r="CN183" t="str">
        <f>IF(D183="","",IF(BA183&lt;&gt;"","Щит",IF(K183&lt;&gt;"",K183,IF(ISNUMBER(L183),"Сил",IF(IFERROR(_xlfn.XLOOKUP(AT183,Коды_код,Коды_группа)&amp;"","")="","Быт",_xlfn.XLOOKUP(AT183,Коды_код,Коды_группа)&amp;"")))))</f>
        <v>Пост</v>
      </c>
      <c r="CO183">
        <f>IF(CN183="Щит","щит",IF(CN183="","",IF(CN183="Быт",IFERROR(_xlfn.XLOOKUP(A183,Щиты[Щит],Щиты[Кс быт]),1),IF(CN183="Сил",IF(ISNUMBER(L183),L183,IF(Методика="нормы 2026",IFERROR(_xlfn.XLOOKUP(A183,Щиты[Щит],Щиты[Кс силовых (табл. 7.5)]),1),1)),IF(OR(CN183="Пост",CN183="Отоп"),1,IF(CN183="ВНГ",0.7,0))))))</f>
        <v>1</v>
      </c>
      <c r="CP183">
        <f t="shared" si="195"/>
        <v>1</v>
      </c>
      <c r="CQ183">
        <f t="shared" si="196"/>
        <v>0.5</v>
      </c>
      <c r="CR183">
        <f t="shared" si="197"/>
        <v>0</v>
      </c>
      <c r="CS183">
        <f t="shared" si="198"/>
        <v>0</v>
      </c>
      <c r="CT183">
        <f t="shared" si="199"/>
        <v>0.5</v>
      </c>
      <c r="CU183">
        <f t="shared" si="200"/>
        <v>0</v>
      </c>
      <c r="CV183">
        <f t="shared" si="201"/>
        <v>0</v>
      </c>
      <c r="CW183">
        <f t="shared" si="202"/>
        <v>0.5</v>
      </c>
      <c r="CX183">
        <f t="shared" si="203"/>
        <v>0.47499999999999998</v>
      </c>
      <c r="CY183">
        <f t="shared" si="204"/>
        <v>2</v>
      </c>
      <c r="CZ183" t="str">
        <f t="shared" si="205"/>
        <v>L2</v>
      </c>
      <c r="DA183" cm="1">
        <f t="array" ref="DA183">IFERROR(IF(BL183=2,_xlfn.IFS(BH183=3,VLOOKUP(BF183,Справочная_двигатели,3,FALSE),BH183=1,VLOOKUP(BF183,Справочная_двигатели,5,TRUE)),0),0)</f>
        <v>0</v>
      </c>
      <c r="DB183">
        <f>IFERROR(IF(BL183=3,VLOOKUP(BF183,Справочная_ЛЭД,2,TRUE),0),0)</f>
        <v>0</v>
      </c>
      <c r="DC183">
        <f t="shared" si="206"/>
        <v>0</v>
      </c>
      <c r="DD183" t="str">
        <f t="shared" si="207"/>
        <v>L3</v>
      </c>
      <c r="DE183" t="str" cm="1">
        <f t="array" ref="DE183">IF(D183="","",IFERROR(INDEX({"I особая","I","II","III"},MATCH(TRIM(AA183&amp;""),{"I особая","I","II","III"},0)),"III"))</f>
        <v>II</v>
      </c>
      <c r="DF183" t="str">
        <f>IF(D183="","",IF(TRIM(AB183&amp;"")&lt;&gt;"",IF(LOWER(TRIM(AB183&amp;""))="да","да","нет"),IF(IFERROR(_xlfn.XLOOKUP(AT183,Коды_код,Коды_пожарная),"")="да","да","нет")))</f>
        <v>нет</v>
      </c>
      <c r="DG183" t="str">
        <f t="shared" si="208"/>
        <v/>
      </c>
      <c r="DH183" t="str">
        <f t="shared" si="209"/>
        <v>основная</v>
      </c>
      <c r="DI183">
        <f t="shared" si="210"/>
        <v>1</v>
      </c>
      <c r="DJ183" t="str" cm="1">
        <f t="array" ref="DJ183">IF(D183="","",_xlfn.LET(_xlpm.t,IFERROR(_xlfn.XLOOKUP(1,(Шины[Шина]=DH183)*(((Шины[Щит]=A183)+(Шины[Щит]=""))&gt;0),Шины[Тип]),"")&amp;"",IF(_xlpm.t&lt;&gt;"",_xlpm.t,IF(ISNUMBER(SEARCH("ИБП",DH183)),"ИБП",IF(ISNUMBER(SEARCH("ДГУ",DH183)),"ДГУ","Ввод "&amp;DI183)))))</f>
        <v>Ввод 1</v>
      </c>
      <c r="DK183" t="str">
        <f t="shared" si="211"/>
        <v>Ввод 1</v>
      </c>
      <c r="DL183" t="str">
        <f>IF(D183="","",IF(OR(DJ183="ИБП",DJ183="ДГУ"),"I особая",IF(DJ183="Одиночная","III",_xlfn.XLOOKUP(A183,Щиты[Щит],Щиты[Категория шины «Ввод»],"III"))))</f>
        <v>II</v>
      </c>
      <c r="DM183">
        <f>IF(D183="",0,IFERROR(MATCH(DE183,{"III","II","I","I особая"},0),1))</f>
        <v>2</v>
      </c>
      <c r="DN183">
        <f t="shared" si="212"/>
        <v>2</v>
      </c>
      <c r="DO183" t="str">
        <f>IF(D183="","",IF(DM183&gt;IFERROR(MATCH(DL183,{"III","II","I","I особая"},0),1),"НЕ ОБЕСПЕЧЕНА","ОК"))</f>
        <v>ОК</v>
      </c>
      <c r="DP183" t="str">
        <f>IF(A183="","",_xlfn.XLOOKUP(A183,Щиты[Щит],Щиты[Путь],""))</f>
        <v>|ГРЩ-ЖД|ЩР-001|</v>
      </c>
      <c r="DQ183" t="str">
        <f>IF(D183="","",IF(Z183&lt;&gt;"",Z183,IF(IFERROR(_xlfn.XLOOKUP(AT183,Коды_код,Коды_вид)&amp;"","")="","Прочее",_xlfn.XLOOKUP(AT183,Коды_код,Коды_вид)&amp;"")))</f>
        <v>Системы безопасности и связи</v>
      </c>
      <c r="DR183">
        <f>IF(BD183="","",INT((BD183-1)/Столбцов_на_лист)+1)</f>
        <v>3</v>
      </c>
      <c r="DS183" t="str">
        <f t="shared" si="213"/>
        <v>ВВГнг(А)-LS (3х2,5) L=12-0,21%</v>
      </c>
      <c r="DT183">
        <f t="shared" si="214"/>
        <v>0.5</v>
      </c>
      <c r="DU183">
        <f t="shared" si="215"/>
        <v>2.2799999999999998</v>
      </c>
      <c r="DV183">
        <f t="shared" si="216"/>
        <v>1</v>
      </c>
      <c r="DW183">
        <f>IF(AT183="",0,_xlfn.LET(_xlpm.v,IFERROR(VLOOKUP(D183,УГО_спр,3,FALSE),IFERROR(VLOOKUP(AT183,УГО_спр,3,FALSE),IFERROR(VLOOKUP(LEFT(AT183,2),УГО_спр,3,FALSE),""))),IF(_xlpm.v="да",30,IF(ISNUMBER(_xlpm.v),_xlpm.v,0))))</f>
        <v>0</v>
      </c>
      <c r="DX183">
        <f t="shared" si="217"/>
        <v>0</v>
      </c>
      <c r="DY183">
        <f>IF(BD183="","",IF(AD183&lt;&gt;"",COUNTIFS(A$3:A183,A183,AD$3:AD183,"?*"),IF(OR(OR(AS183=1,A183&lt;&gt;A182),AL183="вручную"),"",IF(AS183=1,"",DZ182))))</f>
        <v>29</v>
      </c>
      <c r="DZ183">
        <f t="shared" si="218"/>
        <v>29</v>
      </c>
      <c r="EA183">
        <f>IF(D183="",0,MAX(IFERROR(--X183,0),IFERROR(--VLOOKUP(D183,УГО_спр,4,FALSE),IFERROR(--VLOOKUP(AT183,УГО_спр,4,FALSE),IFERROR(--VLOOKUP(LEFT(AT183,2),УГО_спр,4,FALSE),0)))))</f>
        <v>16</v>
      </c>
      <c r="EB183">
        <f>IF(D183="","",IFERROR(LOOKUP(INDEX(CHOOSE(BR183,Iдоп_1ж,Iдоп_2ж,Iдоп_3ж),MATCH(BS183,Iдоп_S,0))*BP183*BQ183,{6,10,16,20,25,32,40,50,63,80,100,125,160,200,250,315,400,500,630}),""))</f>
        <v>25</v>
      </c>
      <c r="EC183">
        <f>IF(AD183="","",SUMIFS(Линии[_Ток схемы],Линии[_гр.],DY183,Линии[Щит],A183,Линии[_в кабель выше],0))</f>
        <v>2.2799999999999998</v>
      </c>
      <c r="ED183">
        <f>IF(AD183="","",IFERROR(VLOOKUP(EC183,Автомат_номиналы,2,TRUE),""))</f>
        <v>6</v>
      </c>
      <c r="EE183">
        <f>IF(AD183="","",MAX(N(ED183),_xlfn.MAXIFS(Линии[_мин. по типу],Линии[_гр.],DY183,Линии[Щит],A183)))</f>
        <v>16</v>
      </c>
      <c r="EF183">
        <f>IF(AD183="","",_xlfn.MINIFS(Линии[_макс. автомат по кабелю],Линии[_гр.],DY183,Линии[Щит],A183))</f>
        <v>25</v>
      </c>
      <c r="EG183">
        <f>IF(AD183="","",MAX(1,_xlfn.MAXIFS(Линии[_фаз],Линии[_гр.],DY183,Линии[Щит],A183)))</f>
        <v>1</v>
      </c>
      <c r="EH183">
        <f>IF(AD183="","",IF(AND(AD183&lt;&gt;"авто",AD183&lt;&gt;"+"),IF(ISNUMBER(SEARCH("мА",AD183)),IFERROR(--TRIM(RIGHT(SUBSTITUTE(LEFT(AD183,SEARCH("мА",AD183)-1)," ",REPT(" ",9)),6)),30),0),IF(AE183="нет",0,IF(ISNUMBER(AE183),AE183,IF(AE183="да",30,_xlfn.MINIFS(Линии[_дифзащита по коду, мА],Линии[_гр.],DY183,Линии[Щит],A183,Линии[_дифзащита по коду, мА],"&gt;0"))))))</f>
        <v>0</v>
      </c>
      <c r="EI183">
        <f t="shared" si="219"/>
        <v>0</v>
      </c>
      <c r="EJ183" t="str">
        <f t="shared" si="220"/>
        <v>QF29</v>
      </c>
      <c r="EK183" t="str">
        <f t="shared" si="221"/>
        <v>QF29</v>
      </c>
      <c r="EL183" t="str">
        <f t="shared" si="222"/>
        <v/>
      </c>
      <c r="EM183">
        <f t="shared" si="223"/>
        <v>0</v>
      </c>
      <c r="EN183">
        <f>IF(AD183="","",IF(EM183=1,MAX(EE183,Мин_автомат_БП),EE183))</f>
        <v>16</v>
      </c>
      <c r="EO183" t="str">
        <f t="shared" si="224"/>
        <v>1P</v>
      </c>
      <c r="EP183" t="str">
        <f t="shared" si="225"/>
        <v>1P С16А</v>
      </c>
      <c r="EQ183">
        <f t="shared" si="226"/>
        <v>16</v>
      </c>
      <c r="ER183" t="str">
        <f>IF(OR(AI183="",AI183="-"),"",IFERROR(VLOOKUP(AI183,Модули_спр,2,FALSE),"R"))</f>
        <v/>
      </c>
      <c r="ES183" t="str">
        <f>IF(ER183="","",ER183&amp;"."&amp;COUNTIFS(A$3:A183,A183,ER$3:ER183,ER183))</f>
        <v/>
      </c>
      <c r="ET183" t="str">
        <f t="shared" si="227"/>
        <v/>
      </c>
      <c r="EU183" t="str">
        <f t="shared" si="228"/>
        <v/>
      </c>
      <c r="EV183" t="str">
        <f t="shared" si="229"/>
        <v/>
      </c>
      <c r="EW183" t="str">
        <f t="shared" si="230"/>
        <v/>
      </c>
      <c r="EX183">
        <f t="shared" si="231"/>
        <v>1</v>
      </c>
      <c r="EY183" t="str">
        <f>IF(AK183="нет","",IF(AK183&lt;&gt;"",AK183,IF(EX183=1,"XT"&amp;COUNTIFS(A$3:A183,A183,EX$3:EX183,1),"")))</f>
        <v/>
      </c>
      <c r="EZ183" t="str">
        <f t="shared" si="232"/>
        <v>QF29</v>
      </c>
      <c r="FA183" t="str">
        <f t="shared" si="233"/>
        <v/>
      </c>
      <c r="FB183" t="str">
        <f t="shared" si="234"/>
        <v>ok</v>
      </c>
      <c r="FC183" t="str">
        <f>IF(OR(EV183="",ET183=""),"",IF(EV183&gt;IFERROR(VLOOKUP(EU183,Модули_спр,3,FALSE),99),"ЛИШНИЙ КАНАЛ",IF(AND(AJ183&lt;&gt;"=",COUNTIFS(Линии[_модуль гр.],ET183,Линии[Канал (итог)],EV183,Линии[Канал],"&lt;&gt;=",Линии[Щит],A183)&gt;1),"ДУБЛЬ КАНАЛА","")))</f>
        <v/>
      </c>
      <c r="FD183">
        <f t="shared" si="235"/>
        <v>16</v>
      </c>
      <c r="FE183" t="str">
        <f t="shared" si="236"/>
        <v>1P С16А</v>
      </c>
      <c r="FF183">
        <f t="shared" si="237"/>
        <v>0</v>
      </c>
      <c r="FG183">
        <f t="shared" si="238"/>
        <v>0</v>
      </c>
      <c r="FH183" t="str">
        <f t="shared" si="239"/>
        <v/>
      </c>
      <c r="FI183">
        <f t="shared" si="240"/>
        <v>10</v>
      </c>
      <c r="FJ183" t="str">
        <f t="shared" si="241"/>
        <v/>
      </c>
      <c r="FK183" t="str">
        <f>IF(AND(D183="",EZ183=""),"",_xlfn.TEXTJOIN("; ",TRUE,IF(AND(D183&lt;&gt;"",DD183=""),"нет фазы",""),IF(AND(D183&lt;&gt;"",N(DT183)=0,CN183&lt;&gt;"Нет"),"нет мощности",""),IF(AND(EY183&lt;&gt;"",COUNTIFS(Линии[Щит],A183,Линии[Клемма (итог)],EY183)&gt;1),"дубль клеммы "&amp;EY183,""),IF(AND(FB183&lt;&gt;"",FB183&lt;&gt;"ok"),FB183,""),IF(FC183&lt;&gt;"",FC183,""),IF(AND(ISNUMBER(SEARCH("(5х",DS183)),N(DV183)=1),"5 жил на 1 фазе",""),IF(AND(AT183="R",AD183&lt;&gt;"",OR(N(EH183)=0,N(EH183)&gt;30)),"розетка без дифзащиты до 30 мА",""),IFERROR(IF(AND(ISNUMBER(CD183),CD183&gt;CE183),"потери "&amp;FIXED(CD183,1)&amp;" % &gt; "&amp;CE183&amp;" %",""),""),IFERROR(IF(LEFT(FJ183,4)="мало","Iкз мало — отключение &gt; 0,4 с",""),""),IF(AND(D183&lt;&gt;"",BD183=""),"не на схеме","")))</f>
        <v/>
      </c>
      <c r="FL183">
        <f>IF(AD183="","",_xlfn.LET(_xlpm.t,IFERROR(_xlfn.XLOOKUP(EP183,Каталог!$U$4:$U$500,Каталог!$G$4:$G$500),""),_xlpm.k,SEARCH("кА",_xlpm.t),IFERROR(--TRIM(RIGHT(SUBSTITUTE(MID(_xlpm.t,MAX(1,_xlpm.k-4),_xlpm.k-MAX(1,_xlpm.k-4))," ",REPT(" ",9)),5)),"")))</f>
        <v>6</v>
      </c>
      <c r="FM183" t="str">
        <f>IF(OR(FL183="",AD183=""),"",IF(_xlfn.XLOOKUP(A183,Щиты[Щит],Щиты[Iкз max на шинах, кА],"")="","",IF(FL183&lt;_xlfn.XLOOKUP(A183,Щиты[Щит],Щиты[Iкз max на шинах, кА]),"Icu "&amp;FL183&amp;" кА &lt; Iкз max","ok")))</f>
        <v/>
      </c>
      <c r="FN183" t="str">
        <f t="shared" si="242"/>
        <v>QF29</v>
      </c>
      <c r="FO183" t="str">
        <f t="shared" si="243"/>
        <v>QF29|кабель ВВГнг(А)-LS (3х2,5) → Щит контроля доступа ШДК-001 Подвальный этаж Пом. №004Т</v>
      </c>
      <c r="FP183" t="str" cm="1">
        <f t="array" ref="FP183">IF(FO183="","",_xlfn.LET(_xlpm.nd,_xlfn.TEXTSPLIT(FO183,"|"),IF(COLUMNS(_xlpm.nd)&gt;1,A183&amp;"¦"&amp;INDEX(_xlpm.nd,1)&amp;"¦"&amp;INDEX(_xlpm.nd,2),"")))</f>
        <v>ЩР-001¦QF29¦кабель ВВГнг(А)-LS (3х2,5) → Щит контроля доступа ШДК-001 Подвальный этаж Пом. №004Т</v>
      </c>
      <c r="FQ183" t="str">
        <f t="shared" si="244"/>
        <v>ЩКД-001¦Щит контроля доступа ШДК-001 Подвальный этаж Пом. №004Т</v>
      </c>
      <c r="FR183" t="str" cm="1">
        <f t="array" ref="FR183">IF(FO183="","",_xlfn.LET(_xlpm.nd,_xlfn.TEXTSPLIT(FO183,"|"),IF(COLUMNS(_xlpm.nd)&gt;2,A183&amp;"¦"&amp;INDEX(_xlpm.nd,2)&amp;"¦"&amp;INDEX(_xlpm.nd,3),"")))</f>
        <v/>
      </c>
      <c r="FS183" t="str">
        <f t="shared" si="245"/>
        <v/>
      </c>
      <c r="FT183" t="str" cm="1">
        <f t="array" ref="FT183">IF(FO183="","",_xlfn.LET(_xlpm.nd,_xlfn.TEXTSPLIT(FO183,"|"),IF(COLUMNS(_xlpm.nd)&gt;3,A183&amp;"¦"&amp;INDEX(_xlpm.nd,3)&amp;"¦"&amp;INDEX(_xlpm.nd,4),"")))</f>
        <v/>
      </c>
      <c r="FU183" t="str">
        <f t="shared" si="246"/>
        <v/>
      </c>
      <c r="FV183" t="str" cm="1">
        <f t="array" ref="FV183">IF(FO183="","",_xlfn.LET(_xlpm.nd,_xlfn.TEXTSPLIT(FO183,"|"),IF(COLUMNS(_xlpm.nd)&gt;4,A183&amp;"¦"&amp;INDEX(_xlpm.nd,4)&amp;"¦"&amp;INDEX(_xlpm.nd,5),"")))</f>
        <v/>
      </c>
      <c r="FW183" t="str">
        <f t="shared" si="247"/>
        <v/>
      </c>
      <c r="FX183" t="str" cm="1">
        <f t="array" ref="FX183">IF(FO183="","",_xlfn.LET(_xlpm.nd,_xlfn.TEXTSPLIT(FO183,"|"),IF(COLUMNS(_xlpm.nd)&gt;5,A183&amp;"¦"&amp;INDEX(_xlpm.nd,5)&amp;"¦"&amp;INDEX(_xlpm.nd,6),"")))</f>
        <v/>
      </c>
      <c r="FY183" t="str">
        <f t="shared" si="248"/>
        <v/>
      </c>
      <c r="FZ183" t="str" cm="1">
        <f t="array" ref="FZ183">IF(FO183="","",_xlfn.LET(_xlpm.nd,_xlfn.TEXTSPLIT(FO183,"|"),IF(COLUMNS(_xlpm.nd)&gt;6,A183&amp;"¦"&amp;INDEX(_xlpm.nd,6)&amp;"¦"&amp;INDEX(_xlpm.nd,7),"")))</f>
        <v/>
      </c>
      <c r="GA183" t="str">
        <f t="shared" si="249"/>
        <v/>
      </c>
      <c r="GB183" t="str">
        <f t="shared" si="250"/>
        <v/>
      </c>
      <c r="GC183" t="str">
        <f t="shared" si="251"/>
        <v>QF29</v>
      </c>
      <c r="GD183">
        <f t="shared" si="252"/>
        <v>1</v>
      </c>
      <c r="GE183">
        <f t="shared" si="253"/>
        <v>0</v>
      </c>
      <c r="GF183">
        <f t="shared" si="254"/>
        <v>0</v>
      </c>
      <c r="GG183" t="str">
        <f t="shared" si="255"/>
        <v/>
      </c>
      <c r="GH183" t="str">
        <f t="shared" si="256"/>
        <v/>
      </c>
      <c r="GI183" t="str">
        <f t="shared" si="257"/>
        <v/>
      </c>
      <c r="GJ183" t="str">
        <f t="shared" si="258"/>
        <v/>
      </c>
      <c r="GK183" t="str">
        <f>IF(D183="","",IFERROR(VLOOKUP(D183,УГО_спр,2,FALSE),IFERROR(VLOOKUP(AT183,УГО_спр,2,FALSE),IFERROR(VLOOKUP(LEFT(AT183,2),УГО_спр,2,FALSE),""))))</f>
        <v/>
      </c>
      <c r="GL183" t="str">
        <f>IF(D183="","",IF(OR(GK183="",GK183=0),"BOX",IFERROR(IF(VLOOKUP(GK183,УГО_блоки,3,FALSE)&amp;""&lt;&gt;"",VLOOKUP(GK183,УГО_блоки,3,FALSE),VLOOKUP(GK183,УГО_блоки,2,FALSE)),GK183)))</f>
        <v>BOX</v>
      </c>
      <c r="GM183">
        <f t="shared" si="259"/>
        <v>1</v>
      </c>
      <c r="GN183" t="str">
        <f>IF(EP183="","",IF(COUNTIF(EP$3:EP183,EP183)=1,MAX(GN$2:GN182)+1,""))</f>
        <v/>
      </c>
      <c r="GO183" t="str">
        <f>IF(AF183="","",IF(COUNTIF(AF$3:AF183,AF183)+COUNTIF(AG$2:AG182,AF183)+COUNTIF(AH$2:AH182,AF183)=1,MAX(GO$2:GQ182)+1,""))</f>
        <v/>
      </c>
      <c r="GP183" t="str">
        <f>IF(AG183="","",IF(COUNTIF(AF$3:AF183,AG183)+COUNTIF(AG$3:AG183,AG183)+COUNTIF(AH$2:AH182,AG183)=1,MAX(GO$2:GQ182,GO183)+1,""))</f>
        <v/>
      </c>
      <c r="GQ183" t="str">
        <f>IF(AH183="","",IF(COUNTIF(AF$3:AF183,AH183)+COUNTIF(AG$3:AG183,AH183)+COUNTIF(AH$3:AH183,AH183)=1,MAX(GO$2:GQ182,GO183,GP183)+1,""))</f>
        <v/>
      </c>
      <c r="GR183" t="str">
        <f t="shared" si="260"/>
        <v>3х2,5</v>
      </c>
      <c r="GS183" t="str">
        <f>IF(GR183="","",IF(COUNTIF(GR$3:GR183,GR183)=1,MAX(GS$2:GS182)+1,""))</f>
        <v/>
      </c>
      <c r="GT183" t="str">
        <f>IF(ES183="","",COUNTIF(ES$3:ES183,"?*"))</f>
        <v/>
      </c>
      <c r="GU183" t="str">
        <f>IF(OR(ES183="",EU183=""),"",IF(COUNTIFS(ES$3:ES183,"?*",EU$3:EU183,EU183)=1,MAX(GU$2:GU182)+1,""))</f>
        <v/>
      </c>
      <c r="GV183">
        <f t="shared" si="261"/>
        <v>0</v>
      </c>
      <c r="GW183">
        <f>IF(D183="","",COUNTIF(D$3:D183,"?*"))</f>
        <v>181</v>
      </c>
      <c r="GX183">
        <f>IF(EX183&lt;&gt;1,0,_xlfn.LET(_xlpm.k,MAX(IFERROR(--VLOOKUP(D183,УГО_спр,5,FALSE),0),IFERROR(--VLOOKUP(AT183,УГО_спр,5,FALSE),0),IFERROR(--VLOOKUP(LEFT(AT183,2),УГО_спр,5,FALSE),0)),IF(_xlpm.k&gt;0,_xlpm.k,IF(IFERROR(--LEFT(SUBSTITUTE(GR183,"x","х"),FIND("х",SUBSTITUTE(GR183,"x","х"))-1),3)&gt;3,Каталог!$S$9,1))))</f>
        <v>1</v>
      </c>
      <c r="GY183">
        <f t="shared" si="262"/>
        <v>0</v>
      </c>
    </row>
    <row r="184" spans="1:207" x14ac:dyDescent="0.3">
      <c r="A184" t="s">
        <v>760</v>
      </c>
      <c r="B184">
        <v>2</v>
      </c>
      <c r="C184" t="str">
        <f>IF(BD184="","",IF(BE184="вводной узел","узел ","")&amp;"л."&amp;(INT((BD184-1)/Столбцов_на_лист)+1)&amp;" / "&amp;(MOD(BD184-1,Столбцов_на_лист)+1))</f>
        <v>узел л.1 / 2</v>
      </c>
      <c r="D184" t="s">
        <v>746</v>
      </c>
      <c r="E184" s="133" t="s">
        <v>58</v>
      </c>
      <c r="G184" t="s">
        <v>18</v>
      </c>
      <c r="H184">
        <v>1</v>
      </c>
      <c r="I184">
        <v>3</v>
      </c>
      <c r="J184">
        <v>400</v>
      </c>
      <c r="K184" t="s">
        <v>551</v>
      </c>
      <c r="O184" t="s">
        <v>1298</v>
      </c>
      <c r="U184" t="s">
        <v>11</v>
      </c>
      <c r="V184">
        <v>5</v>
      </c>
      <c r="W184">
        <v>10</v>
      </c>
      <c r="X184">
        <v>40</v>
      </c>
      <c r="AL184" t="s">
        <v>1301</v>
      </c>
      <c r="AR184" t="str">
        <f t="shared" si="176"/>
        <v/>
      </c>
      <c r="AS184" cm="1">
        <f t="array" ref="AS184">ROW()-ROW(Линии[#Headers])</f>
        <v>182</v>
      </c>
      <c r="AT184" t="str">
        <f t="shared" si="177"/>
        <v>Ввод</v>
      </c>
      <c r="AU184" t="str">
        <f t="shared" si="178"/>
        <v>1</v>
      </c>
      <c r="AV184" t="str">
        <f t="shared" si="179"/>
        <v>1</v>
      </c>
      <c r="AW184" t="str">
        <f t="shared" si="180"/>
        <v/>
      </c>
      <c r="AX184" t="str">
        <f t="shared" si="181"/>
        <v/>
      </c>
      <c r="AY184" t="str">
        <f>IF(D184="","",IF(ISERROR(SEARCH(".",D184)),IFERROR(VLOOKUP(D184,Потребители_обозначение,2,FALSE)&amp;"",""),IFERROR(IF(VLOOKUP(AT184,Потребители_обозначение,4,FALSE)=1,VLOOKUP(AT184,Потребители_обозначение,2,FALSE)&amp;" "&amp;VLOOKUP(AV184,Этаж_обозначение,2,FALSE)&amp;" Пом. №"&amp;AX184,VLOOKUP(AT184,Потребители_обозначение,2,FALSE)&amp;" Шлейф №"&amp;AV184),IFERROR(VLOOKUP(D184,Потребители_обозначение,2,FALSE),""))))</f>
        <v>Вводной кабель Шлейф №1</v>
      </c>
      <c r="AZ184" t="str">
        <f t="shared" si="182"/>
        <v>Ввод</v>
      </c>
      <c r="BA184" t="str">
        <f>IF(F184&lt;&gt;"",F184,IF(AND(D184&lt;&gt;"",D184&lt;&gt;A184,ISNUMBER(_xlfn.XMATCH(D184,Щиты[Щит]))),D184,""))</f>
        <v/>
      </c>
      <c r="BB184">
        <f>IFERROR(_xlfn.XMATCH(A184,Щиты[Щит]),0)</f>
        <v>9</v>
      </c>
      <c r="BC184">
        <f>IFERROR(N(_xlfn.XLOOKUP(A184,Щиты[Щит],Щиты[Мест под вводной узел])),15)</f>
        <v>8</v>
      </c>
      <c r="BD184">
        <f t="shared" si="183"/>
        <v>2</v>
      </c>
      <c r="BE184" t="str">
        <f t="shared" si="184"/>
        <v>вводной узел</v>
      </c>
      <c r="BF184">
        <f>IF(D184="","",IF(BA184&lt;&gt;"",IFERROR(_xlfn.XLOOKUP(BA184,Щиты[Щит],Щиты[Руст, кВт]),0),N(G184)))</f>
        <v>0</v>
      </c>
      <c r="BG184">
        <f>IF(J184&lt;&gt;"",J184,IF(D184="","",IFERROR(IF(VLOOKUP(AT184,Потребители_обозначение,8,FALSE)=0,"",VLOOKUP(AT184,Потребители_обозначение,8,FALSE)),"")))</f>
        <v>400</v>
      </c>
      <c r="BH184">
        <f>IF(I184&lt;&gt;"",I184,IF(D184="","",IFERROR(IF(VLOOKUP(AT184,Потребители_обозначение,9,FALSE)=0,"",VLOOKUP(AT184,Потребители_обозначение,9,FALSE)),"")))</f>
        <v>3</v>
      </c>
      <c r="BI184" t="str">
        <f>IF(U184&lt;&gt;"",U184,IF(D184="","",IFERROR(IF(VLOOKUP(AT184,Потребители_обозначение,6,FALSE)=0,"",VLOOKUP(AT184,Потребители_обозначение,6,FALSE)),"")))</f>
        <v>мс</v>
      </c>
      <c r="BJ184">
        <f>IF(V184&lt;&gt;"",V184,IF(D184="","",IFERROR(IF(VLOOKUP(AT184,Потребители_обозначение,7,FALSE)=0,"",VLOOKUP(AT184,Потребители_обозначение,7,FALSE)),"")))</f>
        <v>5</v>
      </c>
      <c r="BK184">
        <f>IF(W184&lt;&gt;"",W184,IF(D184="","",IFERROR(IF(VLOOKUP(AT184,Потребители_обозначение,10,FALSE)=0,"",VLOOKUP(AT184,Потребители_обозначение,10,FALSE)),"")))</f>
        <v>10</v>
      </c>
      <c r="BL184">
        <f>IFERROR(VLOOKUP(AT184,Потребители_обозначение,5,FALSE),0)</f>
        <v>1</v>
      </c>
      <c r="BM184" cm="1">
        <f t="array" ref="BM184">IF(D184="","",IF(BA184&lt;&gt;"",IFERROR(_xlfn.XLOOKUP(BA184,Щиты[Щит],Щиты[cos φ]),0.95),IF(ISNUMBER(M184),M184,IFERROR(IF(BL184=2,_xlfn.IFS(BH184=3,VLOOKUP(BF184,Справочная_двигатели,8,FALSE),BH184=1,VLOOKUP(BF184,Справочная_двигатели,10,TRUE)),IF(AND(Методика="нормы 2026",CN184="Сил"),0.8,0.95)),0.95))))</f>
        <v>0.95</v>
      </c>
      <c r="BN184" cm="1">
        <f t="array" ref="BN184">IF(D184="","",IF(BA184&lt;&gt;"",IFERROR(_xlfn.XLOOKUP(BA184,Щиты[Щит],Щиты[Iр, А]),""),IFERROR(_xlfn.IFS(BH184=1,BF184/((Uн_лин/SQRT(3))*BM184),BH184=3,BF184/(SQRT(3)*Uн_лин*BM184)),"")))</f>
        <v>0</v>
      </c>
      <c r="BO184">
        <f>IF(D184="","",IF(N(X184)=0,IFERROR(VLOOKUP(BN184,Автомат_номиналы,2,TRUE),""),X184))</f>
        <v>40</v>
      </c>
      <c r="BP184">
        <f t="shared" si="185"/>
        <v>0.92</v>
      </c>
      <c r="BQ184">
        <f>IF(ISNUMBER(Y184),Y184,К_прокл)</f>
        <v>1</v>
      </c>
      <c r="BR184">
        <f t="shared" si="186"/>
        <v>3</v>
      </c>
      <c r="BS184" cm="1">
        <f t="array" ref="BS184">IF(D184="","",IF(N(BK184)&lt;&gt;0,BK184,IFERROR(_xlfn.LET(_xlpm.need,BO184/(BP184*BQ184),_xlpm.t,CHOOSE(BR184,Iдоп_1ж,Iдоп_2ж,Iдоп_3ж),_xlpm.k,_xlfn.XMATCH(_xlpm.need,_xlpm.t,1),IF(ISNA(_xlpm.k),"Не исп",INDEX(Iдоп_S,_xlpm.k))),"Не исп")))</f>
        <v>10</v>
      </c>
      <c r="BT184">
        <f>IFERROR(VLOOKUP(BS184,Кабель_сопротивление,3,FALSE),"")</f>
        <v>2.2499999999999999E-2</v>
      </c>
      <c r="BU184">
        <f>IFERROR(VLOOKUP(BS184,Кабель_сопротивление,2,FALSE),"")</f>
        <v>7.2999999999999995E-2</v>
      </c>
      <c r="BV184" t="str">
        <f t="shared" si="187"/>
        <v/>
      </c>
      <c r="BW184" t="str">
        <f>IF(D184="","",IFERROR(IF(VLOOKUP(AT184,Потребители_обозначение,4,FALSE)=1,VLOOKUP(AT184,Потребители_обозначение,3,FALSE)*(H184*2-1)+BV184+VLOOKUP(AV184,Этаж_обозначение,3,FALSE)+VLOOKUP(AV184,Этаж_обозначение,4,FALSE),VLOOKUP(AT184,Потребители_обозначение,3,FALSE)*(H184*2-1)+BV184),BV184))</f>
        <v/>
      </c>
      <c r="BX184" t="str">
        <f t="shared" si="188"/>
        <v/>
      </c>
      <c r="BY184" t="str">
        <f t="shared" si="189"/>
        <v/>
      </c>
      <c r="BZ184">
        <f t="shared" si="190"/>
        <v>1</v>
      </c>
      <c r="CA184">
        <f t="shared" si="191"/>
        <v>0.31</v>
      </c>
      <c r="CB184" t="str">
        <f t="shared" si="192"/>
        <v/>
      </c>
      <c r="CC184" t="str">
        <f>IFERROR(ROUNDUP(CB184/((Uн_лин/SQRT(3))*1000)*100,2),"")</f>
        <v/>
      </c>
      <c r="CD184" t="str">
        <f>IF(ISNUMBER(CC184),CC184+IFERROR(_xlfn.XLOOKUP(A184,Щиты[Щит],Щиты[ΔU до шин, %]),0),"")</f>
        <v/>
      </c>
      <c r="CE184">
        <f>IF(D184="","",IF(IFERROR(VLOOKUP(AT184,УГО_спр,2,FALSE),"")="Светильник",3,4)+IF(Методика="нормы 2026",MIN(0.5,MAX(0,N(BW184)-100)*0.005),0))</f>
        <v>4</v>
      </c>
      <c r="CF184" t="str">
        <f>IFERROR(VLOOKUP(BI184,Кабель_обозначение,2,FALSE),"")</f>
        <v>ВВГнг(А)-LS</v>
      </c>
      <c r="CG184" t="str">
        <f>IFERROR(IF(VLOOKUP(BI184,Кабель_обозначение,3,FALSE)=1,CF184&amp;" ("&amp;BJ184&amp;"х"&amp;BS184&amp;")",CF184),"")</f>
        <v>ВВГнг(А)-LS (5х10)</v>
      </c>
      <c r="CH184" t="str">
        <f t="shared" si="193"/>
        <v/>
      </c>
      <c r="CI184" t="str">
        <f>IFERROR(2*ρкз_Cu*BW184/BS184,"")</f>
        <v/>
      </c>
      <c r="CJ184">
        <f t="shared" si="194"/>
        <v>0</v>
      </c>
      <c r="CK184" t="str">
        <f>IFERROR(IF(OR(D184="",NOT(ISNUMBER(BS184)),N(BW184)=0),"",_xlfn.XLOOKUP(A184,Щиты[Щит],Щиты[Zпетли на шинах, Ом])+CI184),"")</f>
        <v/>
      </c>
      <c r="CL184" t="str">
        <f>IF(ISNUMBER(CK184),c_min*(Uн_лин*1000/SQRT(3))/CK184,"")</f>
        <v/>
      </c>
      <c r="CM184" t="str">
        <f>IFERROR(IF(OR(D184="",NOT(ISNUMBER(BS184))),"",1.05*(Uн_лин*1000/SQRT(3))/(_xlfn.XLOOKUP(A184,Щиты[Щит],Щиты[Zmax на шинах, Ом])+CJ184)/1000),"")</f>
        <v/>
      </c>
      <c r="CN184" t="str">
        <f>IF(D184="","",IF(BA184&lt;&gt;"","Щит",IF(K184&lt;&gt;"",K184,IF(ISNUMBER(L184),"Сил",IF(IFERROR(_xlfn.XLOOKUP(AT184,Коды_код,Коды_группа)&amp;"","")="","Быт",_xlfn.XLOOKUP(AT184,Коды_код,Коды_группа)&amp;"")))))</f>
        <v>Нет</v>
      </c>
      <c r="CO184">
        <f>IF(CN184="Щит","щит",IF(CN184="","",IF(CN184="Быт",IFERROR(_xlfn.XLOOKUP(A184,Щиты[Щит],Щиты[Кс быт]),1),IF(CN184="Сил",IF(ISNUMBER(L184),L184,IF(Методика="нормы 2026",IFERROR(_xlfn.XLOOKUP(A184,Щиты[Щит],Щиты[Кс силовых (табл. 7.5)]),1),1)),IF(OR(CN184="Пост",CN184="Отоп"),1,IF(CN184="ВНГ",0.7,0))))))</f>
        <v>0</v>
      </c>
      <c r="CP184">
        <f t="shared" si="195"/>
        <v>1</v>
      </c>
      <c r="CQ184">
        <f t="shared" si="196"/>
        <v>0</v>
      </c>
      <c r="CR184">
        <f t="shared" si="197"/>
        <v>0</v>
      </c>
      <c r="CS184">
        <f t="shared" si="198"/>
        <v>0</v>
      </c>
      <c r="CT184">
        <f t="shared" si="199"/>
        <v>0</v>
      </c>
      <c r="CU184">
        <f t="shared" si="200"/>
        <v>0</v>
      </c>
      <c r="CV184">
        <f t="shared" si="201"/>
        <v>0</v>
      </c>
      <c r="CW184">
        <f t="shared" si="202"/>
        <v>0</v>
      </c>
      <c r="CX184">
        <f t="shared" si="203"/>
        <v>0</v>
      </c>
      <c r="CY184">
        <f t="shared" si="204"/>
        <v>0</v>
      </c>
      <c r="CZ184" t="str">
        <f t="shared" si="205"/>
        <v>L1,L2,L3</v>
      </c>
      <c r="DA184" cm="1">
        <f t="array" ref="DA184">IFERROR(IF(BL184=2,_xlfn.IFS(BH184=3,VLOOKUP(BF184,Справочная_двигатели,3,FALSE),BH184=1,VLOOKUP(BF184,Справочная_двигатели,5,TRUE)),0),0)</f>
        <v>0</v>
      </c>
      <c r="DB184">
        <f>IFERROR(IF(BL184=3,VLOOKUP(BF184,Справочная_ЛЭД,2,TRUE),0),0)</f>
        <v>0</v>
      </c>
      <c r="DC184">
        <f t="shared" si="206"/>
        <v>0</v>
      </c>
      <c r="DD184" t="str">
        <f t="shared" si="207"/>
        <v>L1,L2,L3</v>
      </c>
      <c r="DE184" t="str" cm="1">
        <f t="array" ref="DE184">IF(D184="","",IFERROR(INDEX({"I особая","I","II","III"},MATCH(TRIM(AA184&amp;""),{"I особая","I","II","III"},0)),"III"))</f>
        <v>III</v>
      </c>
      <c r="DF184" t="str">
        <f>IF(D184="","",IF(TRIM(AB184&amp;"")&lt;&gt;"",IF(LOWER(TRIM(AB184&amp;""))="да","да","нет"),IF(IFERROR(_xlfn.XLOOKUP(AT184,Коды_код,Коды_пожарная),"")="да","да","нет")))</f>
        <v>нет</v>
      </c>
      <c r="DG184" t="str">
        <f t="shared" si="208"/>
        <v/>
      </c>
      <c r="DH184" t="str">
        <f t="shared" si="209"/>
        <v>основная</v>
      </c>
      <c r="DI184">
        <f t="shared" si="210"/>
        <v>1</v>
      </c>
      <c r="DJ184" t="str" cm="1">
        <f t="array" ref="DJ184">IF(D184="","",_xlfn.LET(_xlpm.t,IFERROR(_xlfn.XLOOKUP(1,(Шины[Шина]=DH184)*(((Шины[Щит]=A184)+(Шины[Щит]=""))&gt;0),Шины[Тип]),"")&amp;"",IF(_xlpm.t&lt;&gt;"",_xlpm.t,IF(ISNUMBER(SEARCH("ИБП",DH184)),"ИБП",IF(ISNUMBER(SEARCH("ДГУ",DH184)),"ДГУ","Ввод "&amp;DI184)))))</f>
        <v>Ввод 1</v>
      </c>
      <c r="DK184" t="str">
        <f t="shared" si="211"/>
        <v>Ввод 1</v>
      </c>
      <c r="DL184" t="str">
        <f>IF(D184="","",IF(OR(DJ184="ИБП",DJ184="ДГУ"),"I особая",IF(DJ184="Одиночная","III",_xlfn.XLOOKUP(A184,Щиты[Щит],Щиты[Категория шины «Ввод»],"III"))))</f>
        <v>II</v>
      </c>
      <c r="DM184">
        <f>IF(D184="",0,IFERROR(MATCH(DE184,{"III","II","I","I особая"},0),1))</f>
        <v>1</v>
      </c>
      <c r="DN184">
        <f t="shared" si="212"/>
        <v>1</v>
      </c>
      <c r="DO184" t="str">
        <f>IF(D184="","",IF(DM184&gt;IFERROR(MATCH(DL184,{"III","II","I","I особая"},0),1),"НЕ ОБЕСПЕЧЕНА","ОК"))</f>
        <v>ОК</v>
      </c>
      <c r="DP184" t="str">
        <f>IF(A184="","",_xlfn.XLOOKUP(A184,Щиты[Щит],Щиты[Путь],""))</f>
        <v>|ГРЩ-ЖД|ЩР-01|</v>
      </c>
      <c r="DQ184" t="str">
        <f>IF(D184="","",IF(Z184&lt;&gt;"",Z184,IF(IFERROR(_xlfn.XLOOKUP(AT184,Коды_код,Коды_вид)&amp;"","")="","Прочее",_xlfn.XLOOKUP(AT184,Коды_код,Коды_вид)&amp;"")))</f>
        <v>Прочее</v>
      </c>
      <c r="DR184">
        <f>IF(BD184="","",INT((BD184-1)/Столбцов_на_лист)+1)</f>
        <v>1</v>
      </c>
      <c r="DS184" t="str">
        <f t="shared" si="213"/>
        <v/>
      </c>
      <c r="DT184">
        <f t="shared" si="214"/>
        <v>0</v>
      </c>
      <c r="DU184">
        <f t="shared" si="215"/>
        <v>0</v>
      </c>
      <c r="DV184">
        <f t="shared" si="216"/>
        <v>3</v>
      </c>
      <c r="DW184">
        <f>IF(AT184="",0,_xlfn.LET(_xlpm.v,IFERROR(VLOOKUP(D184,УГО_спр,3,FALSE),IFERROR(VLOOKUP(AT184,УГО_спр,3,FALSE),IFERROR(VLOOKUP(LEFT(AT184,2),УГО_спр,3,FALSE),""))),IF(_xlpm.v="да",30,IF(ISNUMBER(_xlpm.v),_xlpm.v,0))))</f>
        <v>0</v>
      </c>
      <c r="DX184">
        <f t="shared" si="217"/>
        <v>0</v>
      </c>
      <c r="DY184" t="str">
        <f>IF(BD184="","",IF(AD184&lt;&gt;"",COUNTIFS(A$3:A184,A184,AD$3:AD184,"?*"),IF(OR(OR(AS184=1,A184&lt;&gt;A183),AL184="вручную"),"",IF(AS184=1,"",DZ183))))</f>
        <v/>
      </c>
      <c r="DZ184" t="str">
        <f t="shared" si="218"/>
        <v/>
      </c>
      <c r="EA184">
        <f>IF(D184="",0,MAX(IFERROR(--X184,0),IFERROR(--VLOOKUP(D184,УГО_спр,4,FALSE),IFERROR(--VLOOKUP(AT184,УГО_спр,4,FALSE),IFERROR(--VLOOKUP(LEFT(AT184,2),УГО_спр,4,FALSE),0)))))</f>
        <v>40</v>
      </c>
      <c r="EB184">
        <f>IF(D184="","",IFERROR(LOOKUP(INDEX(CHOOSE(BR184,Iдоп_1ж,Iдоп_2ж,Iдоп_3ж),MATCH(BS184,Iдоп_S,0))*BP184*BQ184,{6,10,16,20,25,32,40,50,63,80,100,125,160,200,250,315,400,500,630}),""))</f>
        <v>50</v>
      </c>
      <c r="EC184" t="str">
        <f>IF(AD184="","",SUMIFS(Линии[_Ток схемы],Линии[_гр.],DY184,Линии[Щит],A184,Линии[_в кабель выше],0))</f>
        <v/>
      </c>
      <c r="ED184" t="str">
        <f>IF(AD184="","",IFERROR(VLOOKUP(EC184,Автомат_номиналы,2,TRUE),""))</f>
        <v/>
      </c>
      <c r="EE184" t="str">
        <f>IF(AD184="","",MAX(N(ED184),_xlfn.MAXIFS(Линии[_мин. по типу],Линии[_гр.],DY184,Линии[Щит],A184)))</f>
        <v/>
      </c>
      <c r="EF184" t="str">
        <f>IF(AD184="","",_xlfn.MINIFS(Линии[_макс. автомат по кабелю],Линии[_гр.],DY184,Линии[Щит],A184))</f>
        <v/>
      </c>
      <c r="EG184" t="str">
        <f>IF(AD184="","",MAX(1,_xlfn.MAXIFS(Линии[_фаз],Линии[_гр.],DY184,Линии[Щит],A184)))</f>
        <v/>
      </c>
      <c r="EH184" t="str">
        <f>IF(AD184="","",IF(AND(AD184&lt;&gt;"авто",AD184&lt;&gt;"+"),IF(ISNUMBER(SEARCH("мА",AD184)),IFERROR(--TRIM(RIGHT(SUBSTITUTE(LEFT(AD184,SEARCH("мА",AD184)-1)," ",REPT(" ",9)),6)),30),0),IF(AE184="нет",0,IF(ISNUMBER(AE184),AE184,IF(AE184="да",30,_xlfn.MINIFS(Линии[_дифзащита по коду, мА],Линии[_гр.],DY184,Линии[Щит],A184,Линии[_дифзащита по коду, мА],"&gt;0"))))))</f>
        <v/>
      </c>
      <c r="EI184" t="str">
        <f t="shared" si="219"/>
        <v/>
      </c>
      <c r="EJ184" t="str">
        <f t="shared" si="220"/>
        <v/>
      </c>
      <c r="EK184" t="str">
        <f t="shared" si="221"/>
        <v/>
      </c>
      <c r="EL184" t="str">
        <f t="shared" si="222"/>
        <v/>
      </c>
      <c r="EM184">
        <f t="shared" si="223"/>
        <v>0</v>
      </c>
      <c r="EN184" t="str">
        <f>IF(AD184="","",IF(EM184=1,MAX(EE184,Мин_автомат_БП),EE184))</f>
        <v/>
      </c>
      <c r="EO184" t="str">
        <f t="shared" si="224"/>
        <v/>
      </c>
      <c r="EP184" t="str">
        <f t="shared" si="225"/>
        <v/>
      </c>
      <c r="EQ184" t="str">
        <f t="shared" si="226"/>
        <v/>
      </c>
      <c r="ER184" t="str">
        <f>IF(OR(AI184="",AI184="-"),"",IFERROR(VLOOKUP(AI184,Модули_спр,2,FALSE),"R"))</f>
        <v/>
      </c>
      <c r="ES184" t="str">
        <f>IF(ER184="","",ER184&amp;"."&amp;COUNTIFS(A$3:A184,A184,ER$3:ER184,ER184))</f>
        <v/>
      </c>
      <c r="ET184" t="str">
        <f t="shared" si="227"/>
        <v/>
      </c>
      <c r="EU184" t="str">
        <f t="shared" si="228"/>
        <v/>
      </c>
      <c r="EV184" t="str">
        <f t="shared" si="229"/>
        <v/>
      </c>
      <c r="EW184" t="str">
        <f t="shared" si="230"/>
        <v/>
      </c>
      <c r="EX184">
        <f t="shared" si="231"/>
        <v>0</v>
      </c>
      <c r="EY184" t="str">
        <f>IF(AK184="нет","",IF(AK184&lt;&gt;"",AK184,IF(EX184=1,"XT"&amp;COUNTIFS(A$3:A184,A184,EX$3:EX184,1),"")))</f>
        <v/>
      </c>
      <c r="EZ184" t="str">
        <f t="shared" si="232"/>
        <v/>
      </c>
      <c r="FA184" t="str">
        <f t="shared" si="233"/>
        <v/>
      </c>
      <c r="FB184" t="str">
        <f t="shared" si="234"/>
        <v/>
      </c>
      <c r="FC184" t="str">
        <f>IF(OR(EV184="",ET184=""),"",IF(EV184&gt;IFERROR(VLOOKUP(EU184,Модули_спр,3,FALSE),99),"ЛИШНИЙ КАНАЛ",IF(AND(AJ184&lt;&gt;"=",COUNTIFS(Линии[_модуль гр.],ET184,Линии[Канал (итог)],EV184,Линии[Канал],"&lt;&gt;=",Линии[Щит],A184)&gt;1),"ДУБЛЬ КАНАЛА","")))</f>
        <v/>
      </c>
      <c r="FD184" t="str">
        <f t="shared" si="235"/>
        <v/>
      </c>
      <c r="FE184" t="str">
        <f t="shared" si="236"/>
        <v/>
      </c>
      <c r="FF184" t="str">
        <f t="shared" si="237"/>
        <v/>
      </c>
      <c r="FG184" t="str">
        <f t="shared" si="238"/>
        <v/>
      </c>
      <c r="FH184" t="str">
        <f t="shared" si="239"/>
        <v/>
      </c>
      <c r="FI184">
        <f t="shared" si="240"/>
        <v>10</v>
      </c>
      <c r="FJ184" t="str">
        <f t="shared" si="241"/>
        <v/>
      </c>
      <c r="FK184" t="str">
        <f>IF(AND(D184="",EZ184=""),"",_xlfn.TEXTJOIN("; ",TRUE,IF(AND(D184&lt;&gt;"",DD184=""),"нет фазы",""),IF(AND(D184&lt;&gt;"",N(DT184)=0,CN184&lt;&gt;"Нет"),"нет мощности",""),IF(AND(EY184&lt;&gt;"",COUNTIFS(Линии[Щит],A184,Линии[Клемма (итог)],EY184)&gt;1),"дубль клеммы "&amp;EY184,""),IF(AND(FB184&lt;&gt;"",FB184&lt;&gt;"ok"),FB184,""),IF(FC184&lt;&gt;"",FC184,""),IF(AND(ISNUMBER(SEARCH("(5х",DS184)),N(DV184)=1),"5 жил на 1 фазе",""),IF(AND(AT184="R",AD184&lt;&gt;"",OR(N(EH184)=0,N(EH184)&gt;30)),"розетка без дифзащиты до 30 мА",""),IFERROR(IF(AND(ISNUMBER(CD184),CD184&gt;CE184),"потери "&amp;FIXED(CD184,1)&amp;" % &gt; "&amp;CE184&amp;" %",""),""),IFERROR(IF(LEFT(FJ184,4)="мало","Iкз мало — отключение &gt; 0,4 с",""),""),IF(AND(D184&lt;&gt;"",BD184=""),"не на схеме","")))</f>
        <v/>
      </c>
      <c r="FL184" t="str">
        <f>IF(AD184="","",_xlfn.LET(_xlpm.t,IFERROR(_xlfn.XLOOKUP(EP184,Каталог!$U$4:$U$500,Каталог!$G$4:$G$500),""),_xlpm.k,SEARCH("кА",_xlpm.t),IFERROR(--TRIM(RIGHT(SUBSTITUTE(MID(_xlpm.t,MAX(1,_xlpm.k-4),_xlpm.k-MAX(1,_xlpm.k-4))," ",REPT(" ",9)),5)),"")))</f>
        <v/>
      </c>
      <c r="FM184" t="str">
        <f>IF(OR(FL184="",AD184=""),"",IF(_xlfn.XLOOKUP(A184,Щиты[Щит],Щиты[Iкз max на шинах, кА],"")="","",IF(FL184&lt;_xlfn.XLOOKUP(A184,Щиты[Щит],Щиты[Iкз max на шинах, кА]),"Icu "&amp;FL184&amp;" кА &lt; Iкз max","ok")))</f>
        <v/>
      </c>
      <c r="FN184" t="str">
        <f t="shared" si="242"/>
        <v/>
      </c>
      <c r="FO184" t="str">
        <f t="shared" si="243"/>
        <v/>
      </c>
      <c r="FP184" t="str" cm="1">
        <f t="array" ref="FP184">IF(FO184="","",_xlfn.LET(_xlpm.nd,_xlfn.TEXTSPLIT(FO184,"|"),IF(COLUMNS(_xlpm.nd)&gt;1,A184&amp;"¦"&amp;INDEX(_xlpm.nd,1)&amp;"¦"&amp;INDEX(_xlpm.nd,2),"")))</f>
        <v/>
      </c>
      <c r="FQ184" t="str">
        <f t="shared" si="244"/>
        <v/>
      </c>
      <c r="FR184" t="str" cm="1">
        <f t="array" ref="FR184">IF(FO184="","",_xlfn.LET(_xlpm.nd,_xlfn.TEXTSPLIT(FO184,"|"),IF(COLUMNS(_xlpm.nd)&gt;2,A184&amp;"¦"&amp;INDEX(_xlpm.nd,2)&amp;"¦"&amp;INDEX(_xlpm.nd,3),"")))</f>
        <v/>
      </c>
      <c r="FS184" t="str">
        <f t="shared" si="245"/>
        <v/>
      </c>
      <c r="FT184" t="str" cm="1">
        <f t="array" ref="FT184">IF(FO184="","",_xlfn.LET(_xlpm.nd,_xlfn.TEXTSPLIT(FO184,"|"),IF(COLUMNS(_xlpm.nd)&gt;3,A184&amp;"¦"&amp;INDEX(_xlpm.nd,3)&amp;"¦"&amp;INDEX(_xlpm.nd,4),"")))</f>
        <v/>
      </c>
      <c r="FU184" t="str">
        <f t="shared" si="246"/>
        <v/>
      </c>
      <c r="FV184" t="str" cm="1">
        <f t="array" ref="FV184">IF(FO184="","",_xlfn.LET(_xlpm.nd,_xlfn.TEXTSPLIT(FO184,"|"),IF(COLUMNS(_xlpm.nd)&gt;4,A184&amp;"¦"&amp;INDEX(_xlpm.nd,4)&amp;"¦"&amp;INDEX(_xlpm.nd,5),"")))</f>
        <v/>
      </c>
      <c r="FW184" t="str">
        <f t="shared" si="247"/>
        <v/>
      </c>
      <c r="FX184" t="str" cm="1">
        <f t="array" ref="FX184">IF(FO184="","",_xlfn.LET(_xlpm.nd,_xlfn.TEXTSPLIT(FO184,"|"),IF(COLUMNS(_xlpm.nd)&gt;5,A184&amp;"¦"&amp;INDEX(_xlpm.nd,5)&amp;"¦"&amp;INDEX(_xlpm.nd,6),"")))</f>
        <v/>
      </c>
      <c r="FY184" t="str">
        <f t="shared" si="248"/>
        <v/>
      </c>
      <c r="FZ184" t="str" cm="1">
        <f t="array" ref="FZ184">IF(FO184="","",_xlfn.LET(_xlpm.nd,_xlfn.TEXTSPLIT(FO184,"|"),IF(COLUMNS(_xlpm.nd)&gt;6,A184&amp;"¦"&amp;INDEX(_xlpm.nd,6)&amp;"¦"&amp;INDEX(_xlpm.nd,7),"")))</f>
        <v/>
      </c>
      <c r="GA184" t="str">
        <f t="shared" si="249"/>
        <v/>
      </c>
      <c r="GB184" t="str">
        <f t="shared" si="250"/>
        <v/>
      </c>
      <c r="GC184" t="str">
        <f t="shared" si="251"/>
        <v/>
      </c>
      <c r="GD184">
        <f t="shared" si="252"/>
        <v>0</v>
      </c>
      <c r="GE184">
        <f t="shared" si="253"/>
        <v>0</v>
      </c>
      <c r="GF184">
        <f t="shared" si="254"/>
        <v>0</v>
      </c>
      <c r="GG184" t="str">
        <f t="shared" si="255"/>
        <v/>
      </c>
      <c r="GH184" t="str">
        <f t="shared" si="256"/>
        <v/>
      </c>
      <c r="GI184" t="str">
        <f t="shared" si="257"/>
        <v/>
      </c>
      <c r="GJ184" t="str">
        <f t="shared" si="258"/>
        <v/>
      </c>
      <c r="GK184">
        <f>IF(D184="","",IFERROR(VLOOKUP(D184,УГО_спр,2,FALSE),IFERROR(VLOOKUP(AT184,УГО_спр,2,FALSE),IFERROR(VLOOKUP(LEFT(AT184,2),УГО_спр,2,FALSE),""))))</f>
        <v>0</v>
      </c>
      <c r="GL184" t="str">
        <f>IF(D184="","",IF(OR(GK184="",GK184=0),"BOX",IFERROR(IF(VLOOKUP(GK184,УГО_блоки,3,FALSE)&amp;""&lt;&gt;"",VLOOKUP(GK184,УГО_блоки,3,FALSE),VLOOKUP(GK184,УГО_блоки,2,FALSE)),GK184)))</f>
        <v>BOX</v>
      </c>
      <c r="GM184">
        <f t="shared" si="259"/>
        <v>1</v>
      </c>
      <c r="GN184" t="str">
        <f>IF(EP184="","",IF(COUNTIF(EP$3:EP184,EP184)=1,MAX(GN$2:GN183)+1,""))</f>
        <v/>
      </c>
      <c r="GO184" t="str">
        <f>IF(AF184="","",IF(COUNTIF(AF$3:AF184,AF184)+COUNTIF(AG$2:AG183,AF184)+COUNTIF(AH$2:AH183,AF184)=1,MAX(GO$2:GQ183)+1,""))</f>
        <v/>
      </c>
      <c r="GP184" t="str">
        <f>IF(AG184="","",IF(COUNTIF(AF$3:AF184,AG184)+COUNTIF(AG$3:AG184,AG184)+COUNTIF(AH$2:AH183,AG184)=1,MAX(GO$2:GQ183,GO184)+1,""))</f>
        <v/>
      </c>
      <c r="GQ184" t="str">
        <f>IF(AH184="","",IF(COUNTIF(AF$3:AF184,AH184)+COUNTIF(AG$3:AG184,AH184)+COUNTIF(AH$3:AH184,AH184)=1,MAX(GO$2:GQ183,GO184,GP184)+1,""))</f>
        <v/>
      </c>
      <c r="GR184" t="str">
        <f t="shared" si="260"/>
        <v/>
      </c>
      <c r="GS184" t="str">
        <f>IF(GR184="","",IF(COUNTIF(GR$3:GR184,GR184)=1,MAX(GS$2:GS183)+1,""))</f>
        <v/>
      </c>
      <c r="GT184" t="str">
        <f>IF(ES184="","",COUNTIF(ES$3:ES184,"?*"))</f>
        <v/>
      </c>
      <c r="GU184" t="str">
        <f>IF(OR(ES184="",EU184=""),"",IF(COUNTIFS(ES$3:ES184,"?*",EU$3:EU184,EU184)=1,MAX(GU$2:GU183)+1,""))</f>
        <v/>
      </c>
      <c r="GV184">
        <f t="shared" si="261"/>
        <v>0</v>
      </c>
      <c r="GW184">
        <f>IF(D184="","",COUNTIF(D$3:D184,"?*"))</f>
        <v>182</v>
      </c>
      <c r="GX184">
        <f>IF(EX184&lt;&gt;1,0,_xlfn.LET(_xlpm.k,MAX(IFERROR(--VLOOKUP(D184,УГО_спр,5,FALSE),0),IFERROR(--VLOOKUP(AT184,УГО_спр,5,FALSE),0),IFERROR(--VLOOKUP(LEFT(AT184,2),УГО_спр,5,FALSE),0)),IF(_xlpm.k&gt;0,_xlpm.k,IF(IFERROR(--LEFT(SUBSTITUTE(GR184,"x","х"),FIND("х",SUBSTITUTE(GR184,"x","х"))-1),3)&gt;3,Каталог!$S$9,1))))</f>
        <v>0</v>
      </c>
      <c r="GY184">
        <f t="shared" si="262"/>
        <v>0</v>
      </c>
    </row>
    <row r="185" spans="1:207" x14ac:dyDescent="0.3">
      <c r="A185" t="s">
        <v>760</v>
      </c>
      <c r="B185">
        <v>9</v>
      </c>
      <c r="C185" t="str">
        <f>IF(BD185="","",IF(BE185="вводной узел","узел ","")&amp;"л."&amp;(INT((BD185-1)/Столбцов_на_лист)+1)&amp;" / "&amp;(MOD(BD185-1,Столбцов_на_лист)+1))</f>
        <v>л.1 / 9</v>
      </c>
      <c r="D185" t="s">
        <v>1493</v>
      </c>
      <c r="E185" s="133" t="str">
        <f t="shared" si="263"/>
        <v>Розеточная группа Цокольный этаж Пом. №002A</v>
      </c>
      <c r="G185">
        <v>0.12</v>
      </c>
      <c r="H185">
        <v>2</v>
      </c>
      <c r="I185">
        <v>1</v>
      </c>
      <c r="J185">
        <v>230</v>
      </c>
      <c r="K185" t="s">
        <v>566</v>
      </c>
      <c r="O185">
        <v>3</v>
      </c>
      <c r="P185">
        <v>29</v>
      </c>
      <c r="Q185">
        <v>8</v>
      </c>
      <c r="R185">
        <v>30</v>
      </c>
      <c r="S185">
        <v>0</v>
      </c>
      <c r="U185" t="s">
        <v>11</v>
      </c>
      <c r="V185">
        <v>3</v>
      </c>
      <c r="W185">
        <v>2.5</v>
      </c>
      <c r="Z185" t="s">
        <v>565</v>
      </c>
      <c r="AA185" t="s">
        <v>818</v>
      </c>
      <c r="AD185" t="s">
        <v>517</v>
      </c>
      <c r="AR185" t="str">
        <f t="shared" si="176"/>
        <v/>
      </c>
      <c r="AS185" cm="1">
        <f t="array" ref="AS185">ROW()-ROW(Линии[#Headers])</f>
        <v>183</v>
      </c>
      <c r="AT185" t="str">
        <f t="shared" si="177"/>
        <v>R</v>
      </c>
      <c r="AU185" t="str">
        <f t="shared" si="178"/>
        <v>0.002A.1</v>
      </c>
      <c r="AV185" t="str">
        <f t="shared" si="179"/>
        <v>0</v>
      </c>
      <c r="AW185" t="str">
        <f t="shared" si="180"/>
        <v>002A.1</v>
      </c>
      <c r="AX185" t="str">
        <f t="shared" si="181"/>
        <v>002A</v>
      </c>
      <c r="AY185" t="str">
        <f>IF(D185="","",IF(ISERROR(SEARCH(".",D185)),IFERROR(VLOOKUP(D185,Потребители_обозначение,2,FALSE)&amp;"",""),IFERROR(IF(VLOOKUP(AT185,Потребители_обозначение,4,FALSE)=1,VLOOKUP(AT185,Потребители_обозначение,2,FALSE)&amp;" "&amp;VLOOKUP(AV185,Этаж_обозначение,2,FALSE)&amp;" Пом. №"&amp;AX185,VLOOKUP(AT185,Потребители_обозначение,2,FALSE)&amp;" Шлейф №"&amp;AV185),IFERROR(VLOOKUP(D185,Потребители_обозначение,2,FALSE),""))))</f>
        <v>Розеточная группа Цокольный этаж Пом. №002A</v>
      </c>
      <c r="AZ185" t="str">
        <f t="shared" si="182"/>
        <v>Розеточная группа Цокольный этаж Пом. №002A</v>
      </c>
      <c r="BA185" t="str">
        <f>IF(F185&lt;&gt;"",F185,IF(AND(D185&lt;&gt;"",D185&lt;&gt;A185,ISNUMBER(_xlfn.XMATCH(D185,Щиты[Щит]))),D185,""))</f>
        <v/>
      </c>
      <c r="BB185">
        <f>IFERROR(_xlfn.XMATCH(A185,Щиты[Щит]),0)</f>
        <v>9</v>
      </c>
      <c r="BC185">
        <f>IFERROR(N(_xlfn.XLOOKUP(A185,Щиты[Щит],Щиты[Мест под вводной узел])),15)</f>
        <v>8</v>
      </c>
      <c r="BD185">
        <f t="shared" si="183"/>
        <v>9</v>
      </c>
      <c r="BE185" t="str">
        <f t="shared" si="184"/>
        <v>линии</v>
      </c>
      <c r="BF185">
        <f>IF(D185="","",IF(BA185&lt;&gt;"",IFERROR(_xlfn.XLOOKUP(BA185,Щиты[Щит],Щиты[Руст, кВт]),0),N(G185)))</f>
        <v>0.12</v>
      </c>
      <c r="BG185">
        <f>IF(J185&lt;&gt;"",J185,IF(D185="","",IFERROR(IF(VLOOKUP(AT185,Потребители_обозначение,8,FALSE)=0,"",VLOOKUP(AT185,Потребители_обозначение,8,FALSE)),"")))</f>
        <v>230</v>
      </c>
      <c r="BH185">
        <f>IF(I185&lt;&gt;"",I185,IF(D185="","",IFERROR(IF(VLOOKUP(AT185,Потребители_обозначение,9,FALSE)=0,"",VLOOKUP(AT185,Потребители_обозначение,9,FALSE)),"")))</f>
        <v>1</v>
      </c>
      <c r="BI185" t="str">
        <f>IF(U185&lt;&gt;"",U185,IF(D185="","",IFERROR(IF(VLOOKUP(AT185,Потребители_обозначение,6,FALSE)=0,"",VLOOKUP(AT185,Потребители_обозначение,6,FALSE)),"")))</f>
        <v>мс</v>
      </c>
      <c r="BJ185">
        <f>IF(V185&lt;&gt;"",V185,IF(D185="","",IFERROR(IF(VLOOKUP(AT185,Потребители_обозначение,7,FALSE)=0,"",VLOOKUP(AT185,Потребители_обозначение,7,FALSE)),"")))</f>
        <v>3</v>
      </c>
      <c r="BK185">
        <f>IF(W185&lt;&gt;"",W185,IF(D185="","",IFERROR(IF(VLOOKUP(AT185,Потребители_обозначение,10,FALSE)=0,"",VLOOKUP(AT185,Потребители_обозначение,10,FALSE)),"")))</f>
        <v>2.5</v>
      </c>
      <c r="BL185">
        <f>IFERROR(VLOOKUP(AT185,Потребители_обозначение,5,FALSE),0)</f>
        <v>1</v>
      </c>
      <c r="BM185" cm="1">
        <f t="array" ref="BM185">IF(D185="","",IF(BA185&lt;&gt;"",IFERROR(_xlfn.XLOOKUP(BA185,Щиты[Щит],Щиты[cos φ]),0.95),IF(ISNUMBER(M185),M185,IFERROR(IF(BL185=2,_xlfn.IFS(BH185=3,VLOOKUP(BF185,Справочная_двигатели,8,FALSE),BH185=1,VLOOKUP(BF185,Справочная_двигатели,10,TRUE)),IF(AND(Методика="нормы 2026",CN185="Сил"),0.8,0.95)),0.95))))</f>
        <v>0.95</v>
      </c>
      <c r="BN185" cm="1">
        <f t="array" ref="BN185">IF(D185="","",IF(BA185&lt;&gt;"",IFERROR(_xlfn.XLOOKUP(BA185,Щиты[Щит],Щиты[Iр, А]),""),IFERROR(_xlfn.IFS(BH185=1,BF185/((Uн_лин/SQRT(3))*BM185),BH185=3,BF185/(SQRT(3)*Uн_лин*BM185)),"")))</f>
        <v>0.54696341291648753</v>
      </c>
      <c r="BO185">
        <f>IF(D185="","",IF(N(X185)=0,IFERROR(VLOOKUP(BN185,Автомат_номиналы,2,TRUE),""),X185))</f>
        <v>6</v>
      </c>
      <c r="BP185">
        <f t="shared" si="185"/>
        <v>1</v>
      </c>
      <c r="BQ185">
        <f>IF(ISNUMBER(Y185),Y185,К_прокл)</f>
        <v>1</v>
      </c>
      <c r="BR185">
        <f t="shared" si="186"/>
        <v>2</v>
      </c>
      <c r="BS185" cm="1">
        <f t="array" ref="BS185">IF(D185="","",IF(N(BK185)&lt;&gt;0,BK185,IFERROR(_xlfn.LET(_xlpm.need,BO185/(BP185*BQ185),_xlpm.t,CHOOSE(BR185,Iдоп_1ж,Iдоп_2ж,Iдоп_3ж),_xlpm.k,_xlfn.XMATCH(_xlpm.need,_xlpm.t,1),IF(ISNA(_xlpm.k),"Не исп",INDEX(Iдоп_S,_xlpm.k))),"Не исп")))</f>
        <v>2.5</v>
      </c>
      <c r="BT185">
        <f>IFERROR(VLOOKUP(BS185,Кабель_сопротивление,3,FALSE),"")</f>
        <v>2.2499999999999999E-2</v>
      </c>
      <c r="BU185">
        <f>IFERROR(VLOOKUP(BS185,Кабель_сопротивление,2,FALSE),"")</f>
        <v>0.1</v>
      </c>
      <c r="BV185">
        <f t="shared" si="187"/>
        <v>29</v>
      </c>
      <c r="BW185">
        <f>IF(D185="","",IFERROR(IF(VLOOKUP(AT185,Потребители_обозначение,4,FALSE)=1,VLOOKUP(AT185,Потребители_обозначение,3,FALSE)*(H185*2-1)+BV185+VLOOKUP(AV185,Этаж_обозначение,3,FALSE)+VLOOKUP(AV185,Этаж_обозначение,4,FALSE),VLOOKUP(AT185,Потребители_обозначение,3,FALSE)*(H185*2-1)+BV185),BV185))</f>
        <v>38</v>
      </c>
      <c r="BX185">
        <f t="shared" si="188"/>
        <v>30</v>
      </c>
      <c r="BY185">
        <f t="shared" si="189"/>
        <v>0</v>
      </c>
      <c r="BZ185">
        <f t="shared" si="190"/>
        <v>2</v>
      </c>
      <c r="CA185">
        <f t="shared" si="191"/>
        <v>0.31</v>
      </c>
      <c r="CB185">
        <f t="shared" si="192"/>
        <v>0.35670547151396481</v>
      </c>
      <c r="CC185">
        <f>IFERROR(ROUNDUP(CB185/((Uн_лин/SQRT(3))*1000)*100,2),"")</f>
        <v>0.16</v>
      </c>
      <c r="CD185">
        <f>IF(ISNUMBER(CC185),CC185+IFERROR(_xlfn.XLOOKUP(A185,Щиты[Щит],Щиты[ΔU до шин, %]),0),"")</f>
        <v>0.59</v>
      </c>
      <c r="CE185">
        <f>IF(D185="","",IF(IFERROR(VLOOKUP(AT185,УГО_спр,2,FALSE),"")="Светильник",3,4)+IF(Методика="нормы 2026",MIN(0.5,MAX(0,N(BW185)-100)*0.005),0))</f>
        <v>4</v>
      </c>
      <c r="CF185" t="str">
        <f>IFERROR(VLOOKUP(BI185,Кабель_обозначение,2,FALSE),"")</f>
        <v>ВВГнг(А)-LS</v>
      </c>
      <c r="CG185" t="str">
        <f>IFERROR(IF(VLOOKUP(BI185,Кабель_обозначение,3,FALSE)=1,CF185&amp;" ("&amp;BJ185&amp;"х"&amp;BS185&amp;")",CF185),"")</f>
        <v>ВВГнг(А)-LS (3х2,5)</v>
      </c>
      <c r="CH185" t="str">
        <f t="shared" si="193"/>
        <v>ВВГнг(А)-LS (3х2,5)
L=38-0,16%</v>
      </c>
      <c r="CI185">
        <f>IFERROR(2*ρкз_Cu*BW185/BS185,"")</f>
        <v>0.79952000000000001</v>
      </c>
      <c r="CJ185">
        <f t="shared" si="194"/>
        <v>0.26600000000000001</v>
      </c>
      <c r="CK185" t="str">
        <f>IFERROR(IF(OR(D185="",NOT(ISNUMBER(BS185)),N(BW185)=0),"",_xlfn.XLOOKUP(A185,Щиты[Щит],Щиты[Zпетли на шинах, Ом])+CI185),"")</f>
        <v/>
      </c>
      <c r="CL185" t="str">
        <f>IF(ISNUMBER(CK185),c_min*(Uн_лин*1000/SQRT(3))/CK185,"")</f>
        <v/>
      </c>
      <c r="CM185" t="str">
        <f>IFERROR(IF(OR(D185="",NOT(ISNUMBER(BS185))),"",1.05*(Uн_лин*1000/SQRT(3))/(_xlfn.XLOOKUP(A185,Щиты[Щит],Щиты[Zmax на шинах, Ом])+CJ185)/1000),"")</f>
        <v/>
      </c>
      <c r="CN185" t="str">
        <f>IF(D185="","",IF(BA185&lt;&gt;"","Щит",IF(K185&lt;&gt;"",K185,IF(ISNUMBER(L185),"Сил",IF(IFERROR(_xlfn.XLOOKUP(AT185,Коды_код,Коды_группа)&amp;"","")="","Быт",_xlfn.XLOOKUP(AT185,Коды_код,Коды_группа)&amp;"")))))</f>
        <v>Быт</v>
      </c>
      <c r="CO185">
        <f>IF(CN185="Щит","щит",IF(CN185="","",IF(CN185="Быт",IFERROR(_xlfn.XLOOKUP(A185,Щиты[Щит],Щиты[Кс быт]),1),IF(CN185="Сил",IF(ISNUMBER(L185),L185,IF(Методика="нормы 2026",IFERROR(_xlfn.XLOOKUP(A185,Щиты[Щит],Щиты[Кс силовых (табл. 7.5)]),1),1)),IF(OR(CN185="Пост",CN185="Отоп"),1,IF(CN185="ВНГ",0.7,0))))))</f>
        <v>0.79799999999999993</v>
      </c>
      <c r="CP185">
        <f t="shared" si="195"/>
        <v>1</v>
      </c>
      <c r="CQ185">
        <f t="shared" si="196"/>
        <v>0.12</v>
      </c>
      <c r="CR185">
        <f t="shared" si="197"/>
        <v>0.12</v>
      </c>
      <c r="CS185">
        <f t="shared" si="198"/>
        <v>0</v>
      </c>
      <c r="CT185">
        <f t="shared" si="199"/>
        <v>0</v>
      </c>
      <c r="CU185">
        <f t="shared" si="200"/>
        <v>0</v>
      </c>
      <c r="CV185">
        <f t="shared" si="201"/>
        <v>0</v>
      </c>
      <c r="CW185">
        <f t="shared" si="202"/>
        <v>0.12</v>
      </c>
      <c r="CX185">
        <f t="shared" si="203"/>
        <v>0.11399999999999999</v>
      </c>
      <c r="CY185">
        <f t="shared" si="204"/>
        <v>1</v>
      </c>
      <c r="CZ185" t="str">
        <f t="shared" si="205"/>
        <v>L1</v>
      </c>
      <c r="DA185" cm="1">
        <f t="array" ref="DA185">IFERROR(IF(BL185=2,_xlfn.IFS(BH185=3,VLOOKUP(BF185,Справочная_двигатели,3,FALSE),BH185=1,VLOOKUP(BF185,Справочная_двигатели,5,TRUE)),0),0)</f>
        <v>0</v>
      </c>
      <c r="DB185">
        <f>IFERROR(IF(BL185=3,VLOOKUP(BF185,Справочная_ЛЭД,2,TRUE),0),0)</f>
        <v>0</v>
      </c>
      <c r="DC185">
        <f t="shared" si="206"/>
        <v>0</v>
      </c>
      <c r="DD185" t="str">
        <f t="shared" si="207"/>
        <v>L3</v>
      </c>
      <c r="DE185" t="str" cm="1">
        <f t="array" ref="DE185">IF(D185="","",IFERROR(INDEX({"I особая","I","II","III"},MATCH(TRIM(AA185&amp;""),{"I особая","I","II","III"},0)),"III"))</f>
        <v>II</v>
      </c>
      <c r="DF185" t="str">
        <f>IF(D185="","",IF(TRIM(AB185&amp;"")&lt;&gt;"",IF(LOWER(TRIM(AB185&amp;""))="да","да","нет"),IF(IFERROR(_xlfn.XLOOKUP(AT185,Коды_код,Коды_пожарная),"")="да","да","нет")))</f>
        <v>нет</v>
      </c>
      <c r="DG185" t="str">
        <f t="shared" si="208"/>
        <v/>
      </c>
      <c r="DH185" t="str">
        <f t="shared" si="209"/>
        <v>основная</v>
      </c>
      <c r="DI185">
        <f t="shared" si="210"/>
        <v>1</v>
      </c>
      <c r="DJ185" t="str" cm="1">
        <f t="array" ref="DJ185">IF(D185="","",_xlfn.LET(_xlpm.t,IFERROR(_xlfn.XLOOKUP(1,(Шины[Шина]=DH185)*(((Шины[Щит]=A185)+(Шины[Щит]=""))&gt;0),Шины[Тип]),"")&amp;"",IF(_xlpm.t&lt;&gt;"",_xlpm.t,IF(ISNUMBER(SEARCH("ИБП",DH185)),"ИБП",IF(ISNUMBER(SEARCH("ДГУ",DH185)),"ДГУ","Ввод "&amp;DI185)))))</f>
        <v>Ввод 1</v>
      </c>
      <c r="DK185" t="str">
        <f t="shared" si="211"/>
        <v>Ввод 1</v>
      </c>
      <c r="DL185" t="str">
        <f>IF(D185="","",IF(OR(DJ185="ИБП",DJ185="ДГУ"),"I особая",IF(DJ185="Одиночная","III",_xlfn.XLOOKUP(A185,Щиты[Щит],Щиты[Категория шины «Ввод»],"III"))))</f>
        <v>II</v>
      </c>
      <c r="DM185">
        <f>IF(D185="",0,IFERROR(MATCH(DE185,{"III","II","I","I особая"},0),1))</f>
        <v>2</v>
      </c>
      <c r="DN185">
        <f t="shared" si="212"/>
        <v>2</v>
      </c>
      <c r="DO185" t="str">
        <f>IF(D185="","",IF(DM185&gt;IFERROR(MATCH(DL185,{"III","II","I","I особая"},0),1),"НЕ ОБЕСПЕЧЕНА","ОК"))</f>
        <v>ОК</v>
      </c>
      <c r="DP185" t="str">
        <f>IF(A185="","",_xlfn.XLOOKUP(A185,Щиты[Щит],Щиты[Путь],""))</f>
        <v>|ГРЩ-ЖД|ЩР-01|</v>
      </c>
      <c r="DQ185" t="str">
        <f>IF(D185="","",IF(Z185&lt;&gt;"",Z185,IF(IFERROR(_xlfn.XLOOKUP(AT185,Коды_код,Коды_вид)&amp;"","")="","Прочее",_xlfn.XLOOKUP(AT185,Коды_код,Коды_вид)&amp;"")))</f>
        <v>Розеточная сеть и бытовые приборы</v>
      </c>
      <c r="DR185">
        <f>IF(BD185="","",INT((BD185-1)/Столбцов_на_лист)+1)</f>
        <v>1</v>
      </c>
      <c r="DS185" t="str">
        <f t="shared" si="213"/>
        <v>ВВГнг(А)-LS (3х2,5) L=38-0,16%</v>
      </c>
      <c r="DT185">
        <f t="shared" si="214"/>
        <v>0.12</v>
      </c>
      <c r="DU185">
        <f t="shared" si="215"/>
        <v>0.55000000000000004</v>
      </c>
      <c r="DV185">
        <f t="shared" si="216"/>
        <v>1</v>
      </c>
      <c r="DW185">
        <f>IF(AT185="",0,_xlfn.LET(_xlpm.v,IFERROR(VLOOKUP(D185,УГО_спр,3,FALSE),IFERROR(VLOOKUP(AT185,УГО_спр,3,FALSE),IFERROR(VLOOKUP(LEFT(AT185,2),УГО_спр,3,FALSE),""))),IF(_xlpm.v="да",30,IF(ISNUMBER(_xlpm.v),_xlpm.v,0))))</f>
        <v>30</v>
      </c>
      <c r="DX185">
        <f t="shared" si="217"/>
        <v>0</v>
      </c>
      <c r="DY185">
        <f>IF(BD185="","",IF(AD185&lt;&gt;"",COUNTIFS(A$3:A185,A185,AD$3:AD185,"?*"),IF(OR(OR(AS185=1,A185&lt;&gt;A184),AL185="вручную"),"",IF(AS185=1,"",DZ184))))</f>
        <v>1</v>
      </c>
      <c r="DZ185">
        <f t="shared" si="218"/>
        <v>1</v>
      </c>
      <c r="EA185">
        <f>IF(D185="",0,MAX(IFERROR(--X185,0),IFERROR(--VLOOKUP(D185,УГО_спр,4,FALSE),IFERROR(--VLOOKUP(AT185,УГО_спр,4,FALSE),IFERROR(--VLOOKUP(LEFT(AT185,2),УГО_спр,4,FALSE),0)))))</f>
        <v>16</v>
      </c>
      <c r="EB185">
        <f>IF(D185="","",IFERROR(LOOKUP(INDEX(CHOOSE(BR185,Iдоп_1ж,Iдоп_2ж,Iдоп_3ж),MATCH(BS185,Iдоп_S,0))*BP185*BQ185,{6,10,16,20,25,32,40,50,63,80,100,125,160,200,250,315,400,500,630}),""))</f>
        <v>25</v>
      </c>
      <c r="EC185">
        <f>IF(AD185="","",SUMIFS(Линии[_Ток схемы],Линии[_гр.],DY185,Линии[Щит],A185,Линии[_в кабель выше],0))</f>
        <v>0.55000000000000004</v>
      </c>
      <c r="ED185">
        <f>IF(AD185="","",IFERROR(VLOOKUP(EC185,Автомат_номиналы,2,TRUE),""))</f>
        <v>6</v>
      </c>
      <c r="EE185">
        <f>IF(AD185="","",MAX(N(ED185),_xlfn.MAXIFS(Линии[_мин. по типу],Линии[_гр.],DY185,Линии[Щит],A185)))</f>
        <v>16</v>
      </c>
      <c r="EF185">
        <f>IF(AD185="","",_xlfn.MINIFS(Линии[_макс. автомат по кабелю],Линии[_гр.],DY185,Линии[Щит],A185))</f>
        <v>25</v>
      </c>
      <c r="EG185">
        <f>IF(AD185="","",MAX(1,_xlfn.MAXIFS(Линии[_фаз],Линии[_гр.],DY185,Линии[Щит],A185)))</f>
        <v>1</v>
      </c>
      <c r="EH185">
        <f>IF(AD185="","",IF(AND(AD185&lt;&gt;"авто",AD185&lt;&gt;"+"),IF(ISNUMBER(SEARCH("мА",AD185)),IFERROR(--TRIM(RIGHT(SUBSTITUTE(LEFT(AD185,SEARCH("мА",AD185)-1)," ",REPT(" ",9)),6)),30),0),IF(AE185="нет",0,IF(ISNUMBER(AE185),AE185,IF(AE185="да",30,_xlfn.MINIFS(Линии[_дифзащита по коду, мА],Линии[_гр.],DY185,Линии[Щит],A185,Линии[_дифзащита по коду, мА],"&gt;0"))))))</f>
        <v>30</v>
      </c>
      <c r="EI185">
        <f t="shared" si="219"/>
        <v>1</v>
      </c>
      <c r="EJ185" t="str">
        <f t="shared" si="220"/>
        <v>QFD1</v>
      </c>
      <c r="EK185" t="str">
        <f t="shared" si="221"/>
        <v>QFD1</v>
      </c>
      <c r="EL185" t="str">
        <f t="shared" si="222"/>
        <v/>
      </c>
      <c r="EM185">
        <f t="shared" si="223"/>
        <v>0</v>
      </c>
      <c r="EN185">
        <f>IF(AD185="","",IF(EM185=1,MAX(EE185,Мин_автомат_БП),EE185))</f>
        <v>16</v>
      </c>
      <c r="EO185" t="str">
        <f t="shared" si="224"/>
        <v>2P</v>
      </c>
      <c r="EP185" t="str">
        <f t="shared" si="225"/>
        <v>2P С16А 30мА</v>
      </c>
      <c r="EQ185">
        <f t="shared" si="226"/>
        <v>16</v>
      </c>
      <c r="ER185" t="str">
        <f>IF(OR(AI185="",AI185="-"),"",IFERROR(VLOOKUP(AI185,Модули_спр,2,FALSE),"R"))</f>
        <v/>
      </c>
      <c r="ES185" t="str">
        <f>IF(ER185="","",ER185&amp;"."&amp;COUNTIFS(A$3:A185,A185,ER$3:ER185,ER185))</f>
        <v/>
      </c>
      <c r="ET185" t="str">
        <f t="shared" si="227"/>
        <v/>
      </c>
      <c r="EU185" t="str">
        <f t="shared" si="228"/>
        <v/>
      </c>
      <c r="EV185" t="str">
        <f t="shared" si="229"/>
        <v/>
      </c>
      <c r="EW185" t="str">
        <f t="shared" si="230"/>
        <v/>
      </c>
      <c r="EX185">
        <f t="shared" si="231"/>
        <v>1</v>
      </c>
      <c r="EY185" t="str">
        <f>IF(AK185="нет","",IF(AK185&lt;&gt;"",AK185,IF(EX185=1,"XT"&amp;COUNTIFS(A$3:A185,A185,EX$3:EX185,1),"")))</f>
        <v>XT1</v>
      </c>
      <c r="EZ185" t="str">
        <f t="shared" si="232"/>
        <v>QFD1</v>
      </c>
      <c r="FA185" t="str">
        <f t="shared" si="233"/>
        <v/>
      </c>
      <c r="FB185" t="str">
        <f t="shared" si="234"/>
        <v>ok</v>
      </c>
      <c r="FC185" t="str">
        <f>IF(OR(EV185="",ET185=""),"",IF(EV185&gt;IFERROR(VLOOKUP(EU185,Модули_спр,3,FALSE),99),"ЛИШНИЙ КАНАЛ",IF(AND(AJ185&lt;&gt;"=",COUNTIFS(Линии[_модуль гр.],ET185,Линии[Канал (итог)],EV185,Линии[Канал],"&lt;&gt;=",Линии[Щит],A185)&gt;1),"ДУБЛЬ КАНАЛА","")))</f>
        <v/>
      </c>
      <c r="FD185">
        <f t="shared" si="235"/>
        <v>16</v>
      </c>
      <c r="FE185" t="str">
        <f t="shared" si="236"/>
        <v>2P С16А 30мА</v>
      </c>
      <c r="FF185">
        <f t="shared" si="237"/>
        <v>1</v>
      </c>
      <c r="FG185">
        <f t="shared" si="238"/>
        <v>30</v>
      </c>
      <c r="FH185" t="str">
        <f t="shared" si="239"/>
        <v/>
      </c>
      <c r="FI185">
        <f t="shared" si="240"/>
        <v>10</v>
      </c>
      <c r="FJ185" t="str">
        <f t="shared" si="241"/>
        <v/>
      </c>
      <c r="FK185" t="str">
        <f>IF(AND(D185="",EZ185=""),"",_xlfn.TEXTJOIN("; ",TRUE,IF(AND(D185&lt;&gt;"",DD185=""),"нет фазы",""),IF(AND(D185&lt;&gt;"",N(DT185)=0,CN185&lt;&gt;"Нет"),"нет мощности",""),IF(AND(EY185&lt;&gt;"",COUNTIFS(Линии[Щит],A185,Линии[Клемма (итог)],EY185)&gt;1),"дубль клеммы "&amp;EY185,""),IF(AND(FB185&lt;&gt;"",FB185&lt;&gt;"ok"),FB185,""),IF(FC185&lt;&gt;"",FC185,""),IF(AND(ISNUMBER(SEARCH("(5х",DS185)),N(DV185)=1),"5 жил на 1 фазе",""),IF(AND(AT185="R",AD185&lt;&gt;"",OR(N(EH185)=0,N(EH185)&gt;30)),"розетка без дифзащиты до 30 мА",""),IFERROR(IF(AND(ISNUMBER(CD185),CD185&gt;CE185),"потери "&amp;FIXED(CD185,1)&amp;" % &gt; "&amp;CE185&amp;" %",""),""),IFERROR(IF(LEFT(FJ185,4)="мало","Iкз мало — отключение &gt; 0,4 с",""),""),IF(AND(D185&lt;&gt;"",BD185=""),"не на схеме","")))</f>
        <v/>
      </c>
      <c r="FL185">
        <f>IF(AD185="","",_xlfn.LET(_xlpm.t,IFERROR(_xlfn.XLOOKUP(EP185,Каталог!$U$4:$U$500,Каталог!$G$4:$G$500),""),_xlpm.k,SEARCH("кА",_xlpm.t),IFERROR(--TRIM(RIGHT(SUBSTITUTE(MID(_xlpm.t,MAX(1,_xlpm.k-4),_xlpm.k-MAX(1,_xlpm.k-4))," ",REPT(" ",9)),5)),"")))</f>
        <v>6</v>
      </c>
      <c r="FM185" t="str">
        <f>IF(OR(FL185="",AD185=""),"",IF(_xlfn.XLOOKUP(A185,Щиты[Щит],Щиты[Iкз max на шинах, кА],"")="","",IF(FL185&lt;_xlfn.XLOOKUP(A185,Щиты[Щит],Щиты[Iкз max на шинах, кА]),"Icu "&amp;FL185&amp;" кА &lt; Iкз max","ok")))</f>
        <v/>
      </c>
      <c r="FN185" t="str">
        <f t="shared" si="242"/>
        <v>QFD1|XT1</v>
      </c>
      <c r="FO185" t="str">
        <f t="shared" si="243"/>
        <v>QFD1|XT1|кабель ВВГнг(А)-LS (3х2,5) → Розеточная группа Цокольный этаж Пом. №002A</v>
      </c>
      <c r="FP185" t="str" cm="1">
        <f t="array" ref="FP185">IF(FO185="","",_xlfn.LET(_xlpm.nd,_xlfn.TEXTSPLIT(FO185,"|"),IF(COLUMNS(_xlpm.nd)&gt;1,A185&amp;"¦"&amp;INDEX(_xlpm.nd,1)&amp;"¦"&amp;INDEX(_xlpm.nd,2),"")))</f>
        <v>ЩР-01¦QFD1¦XT1</v>
      </c>
      <c r="FQ185" t="str">
        <f t="shared" si="244"/>
        <v>R.0.002A.1¦Розеточная группа Цокольный этаж Пом. №002A</v>
      </c>
      <c r="FR185" t="str" cm="1">
        <f t="array" ref="FR185">IF(FO185="","",_xlfn.LET(_xlpm.nd,_xlfn.TEXTSPLIT(FO185,"|"),IF(COLUMNS(_xlpm.nd)&gt;2,A185&amp;"¦"&amp;INDEX(_xlpm.nd,2)&amp;"¦"&amp;INDEX(_xlpm.nd,3),"")))</f>
        <v>ЩР-01¦XT1¦кабель ВВГнг(А)-LS (3х2,5) → Розеточная группа Цокольный этаж Пом. №002A</v>
      </c>
      <c r="FS185" t="str">
        <f t="shared" si="245"/>
        <v>R.0.002A.1¦Розеточная группа Цокольный этаж Пом. №002A</v>
      </c>
      <c r="FT185" t="str" cm="1">
        <f t="array" ref="FT185">IF(FO185="","",_xlfn.LET(_xlpm.nd,_xlfn.TEXTSPLIT(FO185,"|"),IF(COLUMNS(_xlpm.nd)&gt;3,A185&amp;"¦"&amp;INDEX(_xlpm.nd,3)&amp;"¦"&amp;INDEX(_xlpm.nd,4),"")))</f>
        <v/>
      </c>
      <c r="FU185" t="str">
        <f t="shared" si="246"/>
        <v/>
      </c>
      <c r="FV185" t="str" cm="1">
        <f t="array" ref="FV185">IF(FO185="","",_xlfn.LET(_xlpm.nd,_xlfn.TEXTSPLIT(FO185,"|"),IF(COLUMNS(_xlpm.nd)&gt;4,A185&amp;"¦"&amp;INDEX(_xlpm.nd,4)&amp;"¦"&amp;INDEX(_xlpm.nd,5),"")))</f>
        <v/>
      </c>
      <c r="FW185" t="str">
        <f t="shared" si="247"/>
        <v/>
      </c>
      <c r="FX185" t="str" cm="1">
        <f t="array" ref="FX185">IF(FO185="","",_xlfn.LET(_xlpm.nd,_xlfn.TEXTSPLIT(FO185,"|"),IF(COLUMNS(_xlpm.nd)&gt;5,A185&amp;"¦"&amp;INDEX(_xlpm.nd,5)&amp;"¦"&amp;INDEX(_xlpm.nd,6),"")))</f>
        <v/>
      </c>
      <c r="FY185" t="str">
        <f t="shared" si="248"/>
        <v/>
      </c>
      <c r="FZ185" t="str" cm="1">
        <f t="array" ref="FZ185">IF(FO185="","",_xlfn.LET(_xlpm.nd,_xlfn.TEXTSPLIT(FO185,"|"),IF(COLUMNS(_xlpm.nd)&gt;6,A185&amp;"¦"&amp;INDEX(_xlpm.nd,6)&amp;"¦"&amp;INDEX(_xlpm.nd,7),"")))</f>
        <v/>
      </c>
      <c r="GA185" t="str">
        <f t="shared" si="249"/>
        <v/>
      </c>
      <c r="GB185" t="str">
        <f t="shared" si="250"/>
        <v/>
      </c>
      <c r="GC185" t="str">
        <f t="shared" si="251"/>
        <v>QFD1 → XT1</v>
      </c>
      <c r="GD185">
        <f t="shared" si="252"/>
        <v>1</v>
      </c>
      <c r="GE185">
        <f t="shared" si="253"/>
        <v>0</v>
      </c>
      <c r="GF185">
        <f t="shared" si="254"/>
        <v>1</v>
      </c>
      <c r="GG185" t="str">
        <f t="shared" si="255"/>
        <v/>
      </c>
      <c r="GH185" t="str">
        <f t="shared" si="256"/>
        <v/>
      </c>
      <c r="GI185" t="str">
        <f t="shared" si="257"/>
        <v/>
      </c>
      <c r="GJ185" t="str">
        <f t="shared" si="258"/>
        <v/>
      </c>
      <c r="GK185" t="str">
        <f>IF(D185="","",IFERROR(VLOOKUP(D185,УГО_спр,2,FALSE),IFERROR(VLOOKUP(AT185,УГО_спр,2,FALSE),IFERROR(VLOOKUP(LEFT(AT185,2),УГО_спр,2,FALSE),""))))</f>
        <v>Розетка</v>
      </c>
      <c r="GL185" t="str">
        <f>IF(D185="","",IF(OR(GK185="",GK185=0),"BOX",IFERROR(IF(VLOOKUP(GK185,УГО_блоки,3,FALSE)&amp;""&lt;&gt;"",VLOOKUP(GK185,УГО_блоки,3,FALSE),VLOOKUP(GK185,УГО_блоки,2,FALSE)),GK185)))</f>
        <v>SOCKET</v>
      </c>
      <c r="GM185">
        <f t="shared" si="259"/>
        <v>1</v>
      </c>
      <c r="GN185" t="str">
        <f>IF(EP185="","",IF(COUNTIF(EP$3:EP185,EP185)=1,MAX(GN$2:GN184)+1,""))</f>
        <v/>
      </c>
      <c r="GO185" t="str">
        <f>IF(AF185="","",IF(COUNTIF(AF$3:AF185,AF185)+COUNTIF(AG$2:AG184,AF185)+COUNTIF(AH$2:AH184,AF185)=1,MAX(GO$2:GQ184)+1,""))</f>
        <v/>
      </c>
      <c r="GP185" t="str">
        <f>IF(AG185="","",IF(COUNTIF(AF$3:AF185,AG185)+COUNTIF(AG$3:AG185,AG185)+COUNTIF(AH$2:AH184,AG185)=1,MAX(GO$2:GQ184,GO185)+1,""))</f>
        <v/>
      </c>
      <c r="GQ185" t="str">
        <f>IF(AH185="","",IF(COUNTIF(AF$3:AF185,AH185)+COUNTIF(AG$3:AG185,AH185)+COUNTIF(AH$3:AH185,AH185)=1,MAX(GO$2:GQ184,GO185,GP185)+1,""))</f>
        <v/>
      </c>
      <c r="GR185" t="str">
        <f t="shared" si="260"/>
        <v>3х2,5</v>
      </c>
      <c r="GS185" t="str">
        <f>IF(GR185="","",IF(COUNTIF(GR$3:GR185,GR185)=1,MAX(GS$2:GS184)+1,""))</f>
        <v/>
      </c>
      <c r="GT185" t="str">
        <f>IF(ES185="","",COUNTIF(ES$3:ES185,"?*"))</f>
        <v/>
      </c>
      <c r="GU185" t="str">
        <f>IF(OR(ES185="",EU185=""),"",IF(COUNTIFS(ES$3:ES185,"?*",EU$3:EU185,EU185)=1,MAX(GU$2:GU184)+1,""))</f>
        <v/>
      </c>
      <c r="GV185">
        <f t="shared" si="261"/>
        <v>0</v>
      </c>
      <c r="GW185">
        <f>IF(D185="","",COUNTIF(D$3:D185,"?*"))</f>
        <v>183</v>
      </c>
      <c r="GX185">
        <f>IF(EX185&lt;&gt;1,0,_xlfn.LET(_xlpm.k,MAX(IFERROR(--VLOOKUP(D185,УГО_спр,5,FALSE),0),IFERROR(--VLOOKUP(AT185,УГО_спр,5,FALSE),0),IFERROR(--VLOOKUP(LEFT(AT185,2),УГО_спр,5,FALSE),0)),IF(_xlpm.k&gt;0,_xlpm.k,IF(IFERROR(--LEFT(SUBSTITUTE(GR185,"x","х"),FIND("х",SUBSTITUTE(GR185,"x","х"))-1),3)&gt;3,Каталог!$S$9,1))))</f>
        <v>1</v>
      </c>
      <c r="GY185">
        <f t="shared" si="262"/>
        <v>0</v>
      </c>
    </row>
    <row r="186" spans="1:207" x14ac:dyDescent="0.3">
      <c r="A186" t="s">
        <v>760</v>
      </c>
      <c r="B186">
        <v>10</v>
      </c>
      <c r="C186" t="str">
        <f>IF(BD186="","",IF(BE186="вводной узел","узел ","")&amp;"л."&amp;(INT((BD186-1)/Столбцов_на_лист)+1)&amp;" / "&amp;(MOD(BD186-1,Столбцов_на_лист)+1))</f>
        <v>л.1 / 10</v>
      </c>
      <c r="D186" t="s">
        <v>1494</v>
      </c>
      <c r="E186" s="133" t="str">
        <f t="shared" si="263"/>
        <v>Розеточная группа Цокольный этаж Пом. №002A</v>
      </c>
      <c r="G186">
        <v>0.3</v>
      </c>
      <c r="H186">
        <v>5</v>
      </c>
      <c r="I186">
        <v>1</v>
      </c>
      <c r="J186">
        <v>230</v>
      </c>
      <c r="K186" t="s">
        <v>566</v>
      </c>
      <c r="O186">
        <v>3</v>
      </c>
      <c r="P186">
        <v>52</v>
      </c>
      <c r="Q186">
        <v>19</v>
      </c>
      <c r="R186">
        <v>60</v>
      </c>
      <c r="S186">
        <v>0</v>
      </c>
      <c r="U186" t="s">
        <v>11</v>
      </c>
      <c r="V186">
        <v>3</v>
      </c>
      <c r="W186">
        <v>2.5</v>
      </c>
      <c r="Z186" t="s">
        <v>565</v>
      </c>
      <c r="AA186" t="s">
        <v>818</v>
      </c>
      <c r="AD186" t="s">
        <v>517</v>
      </c>
      <c r="AR186" t="str">
        <f t="shared" si="176"/>
        <v/>
      </c>
      <c r="AS186" cm="1">
        <f t="array" ref="AS186">ROW()-ROW(Линии[#Headers])</f>
        <v>184</v>
      </c>
      <c r="AT186" t="str">
        <f t="shared" si="177"/>
        <v>R</v>
      </c>
      <c r="AU186" t="str">
        <f t="shared" si="178"/>
        <v>0.002A.2</v>
      </c>
      <c r="AV186" t="str">
        <f t="shared" si="179"/>
        <v>0</v>
      </c>
      <c r="AW186" t="str">
        <f t="shared" si="180"/>
        <v>002A.2</v>
      </c>
      <c r="AX186" t="str">
        <f t="shared" si="181"/>
        <v>002A</v>
      </c>
      <c r="AY186" t="str">
        <f>IF(D186="","",IF(ISERROR(SEARCH(".",D186)),IFERROR(VLOOKUP(D186,Потребители_обозначение,2,FALSE)&amp;"",""),IFERROR(IF(VLOOKUP(AT186,Потребители_обозначение,4,FALSE)=1,VLOOKUP(AT186,Потребители_обозначение,2,FALSE)&amp;" "&amp;VLOOKUP(AV186,Этаж_обозначение,2,FALSE)&amp;" Пом. №"&amp;AX186,VLOOKUP(AT186,Потребители_обозначение,2,FALSE)&amp;" Шлейф №"&amp;AV186),IFERROR(VLOOKUP(D186,Потребители_обозначение,2,FALSE),""))))</f>
        <v>Розеточная группа Цокольный этаж Пом. №002A</v>
      </c>
      <c r="AZ186" t="str">
        <f t="shared" si="182"/>
        <v>Розеточная группа Цокольный этаж Пом. №002A</v>
      </c>
      <c r="BA186" t="str">
        <f>IF(F186&lt;&gt;"",F186,IF(AND(D186&lt;&gt;"",D186&lt;&gt;A186,ISNUMBER(_xlfn.XMATCH(D186,Щиты[Щит]))),D186,""))</f>
        <v/>
      </c>
      <c r="BB186">
        <f>IFERROR(_xlfn.XMATCH(A186,Щиты[Щит]),0)</f>
        <v>9</v>
      </c>
      <c r="BC186">
        <f>IFERROR(N(_xlfn.XLOOKUP(A186,Щиты[Щит],Щиты[Мест под вводной узел])),15)</f>
        <v>8</v>
      </c>
      <c r="BD186">
        <f t="shared" si="183"/>
        <v>10</v>
      </c>
      <c r="BE186" t="str">
        <f t="shared" si="184"/>
        <v>линии</v>
      </c>
      <c r="BF186">
        <f>IF(D186="","",IF(BA186&lt;&gt;"",IFERROR(_xlfn.XLOOKUP(BA186,Щиты[Щит],Щиты[Руст, кВт]),0),N(G186)))</f>
        <v>0.3</v>
      </c>
      <c r="BG186">
        <f>IF(J186&lt;&gt;"",J186,IF(D186="","",IFERROR(IF(VLOOKUP(AT186,Потребители_обозначение,8,FALSE)=0,"",VLOOKUP(AT186,Потребители_обозначение,8,FALSE)),"")))</f>
        <v>230</v>
      </c>
      <c r="BH186">
        <f>IF(I186&lt;&gt;"",I186,IF(D186="","",IFERROR(IF(VLOOKUP(AT186,Потребители_обозначение,9,FALSE)=0,"",VLOOKUP(AT186,Потребители_обозначение,9,FALSE)),"")))</f>
        <v>1</v>
      </c>
      <c r="BI186" t="str">
        <f>IF(U186&lt;&gt;"",U186,IF(D186="","",IFERROR(IF(VLOOKUP(AT186,Потребители_обозначение,6,FALSE)=0,"",VLOOKUP(AT186,Потребители_обозначение,6,FALSE)),"")))</f>
        <v>мс</v>
      </c>
      <c r="BJ186">
        <f>IF(V186&lt;&gt;"",V186,IF(D186="","",IFERROR(IF(VLOOKUP(AT186,Потребители_обозначение,7,FALSE)=0,"",VLOOKUP(AT186,Потребители_обозначение,7,FALSE)),"")))</f>
        <v>3</v>
      </c>
      <c r="BK186">
        <f>IF(W186&lt;&gt;"",W186,IF(D186="","",IFERROR(IF(VLOOKUP(AT186,Потребители_обозначение,10,FALSE)=0,"",VLOOKUP(AT186,Потребители_обозначение,10,FALSE)),"")))</f>
        <v>2.5</v>
      </c>
      <c r="BL186">
        <f>IFERROR(VLOOKUP(AT186,Потребители_обозначение,5,FALSE),0)</f>
        <v>1</v>
      </c>
      <c r="BM186" cm="1">
        <f t="array" ref="BM186">IF(D186="","",IF(BA186&lt;&gt;"",IFERROR(_xlfn.XLOOKUP(BA186,Щиты[Щит],Щиты[cos φ]),0.95),IF(ISNUMBER(M186),M186,IFERROR(IF(BL186=2,_xlfn.IFS(BH186=3,VLOOKUP(BF186,Справочная_двигатели,8,FALSE),BH186=1,VLOOKUP(BF186,Справочная_двигатели,10,TRUE)),IF(AND(Методика="нормы 2026",CN186="Сил"),0.8,0.95)),0.95))))</f>
        <v>0.95</v>
      </c>
      <c r="BN186" cm="1">
        <f t="array" ref="BN186">IF(D186="","",IF(BA186&lt;&gt;"",IFERROR(_xlfn.XLOOKUP(BA186,Щиты[Щит],Щиты[Iр, А]),""),IFERROR(_xlfn.IFS(BH186=1,BF186/((Uн_лин/SQRT(3))*BM186),BH186=3,BF186/(SQRT(3)*Uн_лин*BM186)),"")))</f>
        <v>1.3674085322912188</v>
      </c>
      <c r="BO186">
        <f>IF(D186="","",IF(N(X186)=0,IFERROR(VLOOKUP(BN186,Автомат_номиналы,2,TRUE),""),X186))</f>
        <v>6</v>
      </c>
      <c r="BP186">
        <f t="shared" si="185"/>
        <v>1</v>
      </c>
      <c r="BQ186">
        <f>IF(ISNUMBER(Y186),Y186,К_прокл)</f>
        <v>1</v>
      </c>
      <c r="BR186">
        <f t="shared" si="186"/>
        <v>2</v>
      </c>
      <c r="BS186" cm="1">
        <f t="array" ref="BS186">IF(D186="","",IF(N(BK186)&lt;&gt;0,BK186,IFERROR(_xlfn.LET(_xlpm.need,BO186/(BP186*BQ186),_xlpm.t,CHOOSE(BR186,Iдоп_1ж,Iдоп_2ж,Iдоп_3ж),_xlpm.k,_xlfn.XMATCH(_xlpm.need,_xlpm.t,1),IF(ISNA(_xlpm.k),"Не исп",INDEX(Iдоп_S,_xlpm.k))),"Не исп")))</f>
        <v>2.5</v>
      </c>
      <c r="BT186">
        <f>IFERROR(VLOOKUP(BS186,Кабель_сопротивление,3,FALSE),"")</f>
        <v>2.2499999999999999E-2</v>
      </c>
      <c r="BU186">
        <f>IFERROR(VLOOKUP(BS186,Кабель_сопротивление,2,FALSE),"")</f>
        <v>0.1</v>
      </c>
      <c r="BV186">
        <f t="shared" si="187"/>
        <v>52</v>
      </c>
      <c r="BW186">
        <f>IF(D186="","",IFERROR(IF(VLOOKUP(AT186,Потребители_обозначение,4,FALSE)=1,VLOOKUP(AT186,Потребители_обозначение,3,FALSE)*(H186*2-1)+BV186+VLOOKUP(AV186,Этаж_обозначение,3,FALSE)+VLOOKUP(AV186,Этаж_обозначение,4,FALSE),VLOOKUP(AT186,Потребители_обозначение,3,FALSE)*(H186*2-1)+BV186),BV186))</f>
        <v>79</v>
      </c>
      <c r="BX186">
        <f t="shared" si="188"/>
        <v>60</v>
      </c>
      <c r="BY186">
        <f t="shared" si="189"/>
        <v>0</v>
      </c>
      <c r="BZ186">
        <f t="shared" si="190"/>
        <v>2</v>
      </c>
      <c r="CA186">
        <f t="shared" si="191"/>
        <v>0.31</v>
      </c>
      <c r="CB186">
        <f t="shared" si="192"/>
        <v>1.8539297532633696</v>
      </c>
      <c r="CC186">
        <f>IFERROR(ROUNDUP(CB186/((Uн_лин/SQRT(3))*1000)*100,2),"")</f>
        <v>0.81</v>
      </c>
      <c r="CD186">
        <f>IF(ISNUMBER(CC186),CC186+IFERROR(_xlfn.XLOOKUP(A186,Щиты[Щит],Щиты[ΔU до шин, %]),0),"")</f>
        <v>1.24</v>
      </c>
      <c r="CE186">
        <f>IF(D186="","",IF(IFERROR(VLOOKUP(AT186,УГО_спр,2,FALSE),"")="Светильник",3,4)+IF(Методика="нормы 2026",MIN(0.5,MAX(0,N(BW186)-100)*0.005),0))</f>
        <v>4</v>
      </c>
      <c r="CF186" t="str">
        <f>IFERROR(VLOOKUP(BI186,Кабель_обозначение,2,FALSE),"")</f>
        <v>ВВГнг(А)-LS</v>
      </c>
      <c r="CG186" t="str">
        <f>IFERROR(IF(VLOOKUP(BI186,Кабель_обозначение,3,FALSE)=1,CF186&amp;" ("&amp;BJ186&amp;"х"&amp;BS186&amp;")",CF186),"")</f>
        <v>ВВГнг(А)-LS (3х2,5)</v>
      </c>
      <c r="CH186" t="str">
        <f t="shared" si="193"/>
        <v>ВВГнг(А)-LS (3х2,5)
L=79-0,81%</v>
      </c>
      <c r="CI186">
        <f>IFERROR(2*ρкз_Cu*BW186/BS186,"")</f>
        <v>1.6621600000000001</v>
      </c>
      <c r="CJ186">
        <f t="shared" si="194"/>
        <v>0.55300000000000005</v>
      </c>
      <c r="CK186" t="str">
        <f>IFERROR(IF(OR(D186="",NOT(ISNUMBER(BS186)),N(BW186)=0),"",_xlfn.XLOOKUP(A186,Щиты[Щит],Щиты[Zпетли на шинах, Ом])+CI186),"")</f>
        <v/>
      </c>
      <c r="CL186" t="str">
        <f>IF(ISNUMBER(CK186),c_min*(Uн_лин*1000/SQRT(3))/CK186,"")</f>
        <v/>
      </c>
      <c r="CM186" t="str">
        <f>IFERROR(IF(OR(D186="",NOT(ISNUMBER(BS186))),"",1.05*(Uн_лин*1000/SQRT(3))/(_xlfn.XLOOKUP(A186,Щиты[Щит],Щиты[Zmax на шинах, Ом])+CJ186)/1000),"")</f>
        <v/>
      </c>
      <c r="CN186" t="str">
        <f>IF(D186="","",IF(BA186&lt;&gt;"","Щит",IF(K186&lt;&gt;"",K186,IF(ISNUMBER(L186),"Сил",IF(IFERROR(_xlfn.XLOOKUP(AT186,Коды_код,Коды_группа)&amp;"","")="","Быт",_xlfn.XLOOKUP(AT186,Коды_код,Коды_группа)&amp;"")))))</f>
        <v>Быт</v>
      </c>
      <c r="CO186">
        <f>IF(CN186="Щит","щит",IF(CN186="","",IF(CN186="Быт",IFERROR(_xlfn.XLOOKUP(A186,Щиты[Щит],Щиты[Кс быт]),1),IF(CN186="Сил",IF(ISNUMBER(L186),L186,IF(Методика="нормы 2026",IFERROR(_xlfn.XLOOKUP(A186,Щиты[Щит],Щиты[Кс силовых (табл. 7.5)]),1),1)),IF(OR(CN186="Пост",CN186="Отоп"),1,IF(CN186="ВНГ",0.7,0))))))</f>
        <v>0.79799999999999993</v>
      </c>
      <c r="CP186">
        <f t="shared" si="195"/>
        <v>1</v>
      </c>
      <c r="CQ186">
        <f t="shared" si="196"/>
        <v>0.3</v>
      </c>
      <c r="CR186">
        <f t="shared" si="197"/>
        <v>0.3</v>
      </c>
      <c r="CS186">
        <f t="shared" si="198"/>
        <v>0</v>
      </c>
      <c r="CT186">
        <f t="shared" si="199"/>
        <v>0</v>
      </c>
      <c r="CU186">
        <f t="shared" si="200"/>
        <v>0</v>
      </c>
      <c r="CV186">
        <f t="shared" si="201"/>
        <v>0</v>
      </c>
      <c r="CW186">
        <f t="shared" si="202"/>
        <v>0.3</v>
      </c>
      <c r="CX186">
        <f t="shared" si="203"/>
        <v>0.28499999999999998</v>
      </c>
      <c r="CY186">
        <f t="shared" si="204"/>
        <v>2</v>
      </c>
      <c r="CZ186" t="str">
        <f t="shared" si="205"/>
        <v>L2</v>
      </c>
      <c r="DA186" cm="1">
        <f t="array" ref="DA186">IFERROR(IF(BL186=2,_xlfn.IFS(BH186=3,VLOOKUP(BF186,Справочная_двигатели,3,FALSE),BH186=1,VLOOKUP(BF186,Справочная_двигатели,5,TRUE)),0),0)</f>
        <v>0</v>
      </c>
      <c r="DB186">
        <f>IFERROR(IF(BL186=3,VLOOKUP(BF186,Справочная_ЛЭД,2,TRUE),0),0)</f>
        <v>0</v>
      </c>
      <c r="DC186">
        <f t="shared" si="206"/>
        <v>0</v>
      </c>
      <c r="DD186" t="str">
        <f t="shared" si="207"/>
        <v>L3</v>
      </c>
      <c r="DE186" t="str" cm="1">
        <f t="array" ref="DE186">IF(D186="","",IFERROR(INDEX({"I особая","I","II","III"},MATCH(TRIM(AA186&amp;""),{"I особая","I","II","III"},0)),"III"))</f>
        <v>II</v>
      </c>
      <c r="DF186" t="str">
        <f>IF(D186="","",IF(TRIM(AB186&amp;"")&lt;&gt;"",IF(LOWER(TRIM(AB186&amp;""))="да","да","нет"),IF(IFERROR(_xlfn.XLOOKUP(AT186,Коды_код,Коды_пожарная),"")="да","да","нет")))</f>
        <v>нет</v>
      </c>
      <c r="DG186" t="str">
        <f t="shared" si="208"/>
        <v/>
      </c>
      <c r="DH186" t="str">
        <f t="shared" si="209"/>
        <v>основная</v>
      </c>
      <c r="DI186">
        <f t="shared" si="210"/>
        <v>1</v>
      </c>
      <c r="DJ186" t="str" cm="1">
        <f t="array" ref="DJ186">IF(D186="","",_xlfn.LET(_xlpm.t,IFERROR(_xlfn.XLOOKUP(1,(Шины[Шина]=DH186)*(((Шины[Щит]=A186)+(Шины[Щит]=""))&gt;0),Шины[Тип]),"")&amp;"",IF(_xlpm.t&lt;&gt;"",_xlpm.t,IF(ISNUMBER(SEARCH("ИБП",DH186)),"ИБП",IF(ISNUMBER(SEARCH("ДГУ",DH186)),"ДГУ","Ввод "&amp;DI186)))))</f>
        <v>Ввод 1</v>
      </c>
      <c r="DK186" t="str">
        <f t="shared" si="211"/>
        <v>Ввод 1</v>
      </c>
      <c r="DL186" t="str">
        <f>IF(D186="","",IF(OR(DJ186="ИБП",DJ186="ДГУ"),"I особая",IF(DJ186="Одиночная","III",_xlfn.XLOOKUP(A186,Щиты[Щит],Щиты[Категория шины «Ввод»],"III"))))</f>
        <v>II</v>
      </c>
      <c r="DM186">
        <f>IF(D186="",0,IFERROR(MATCH(DE186,{"III","II","I","I особая"},0),1))</f>
        <v>2</v>
      </c>
      <c r="DN186">
        <f t="shared" si="212"/>
        <v>2</v>
      </c>
      <c r="DO186" t="str">
        <f>IF(D186="","",IF(DM186&gt;IFERROR(MATCH(DL186,{"III","II","I","I особая"},0),1),"НЕ ОБЕСПЕЧЕНА","ОК"))</f>
        <v>ОК</v>
      </c>
      <c r="DP186" t="str">
        <f>IF(A186="","",_xlfn.XLOOKUP(A186,Щиты[Щит],Щиты[Путь],""))</f>
        <v>|ГРЩ-ЖД|ЩР-01|</v>
      </c>
      <c r="DQ186" t="str">
        <f>IF(D186="","",IF(Z186&lt;&gt;"",Z186,IF(IFERROR(_xlfn.XLOOKUP(AT186,Коды_код,Коды_вид)&amp;"","")="","Прочее",_xlfn.XLOOKUP(AT186,Коды_код,Коды_вид)&amp;"")))</f>
        <v>Розеточная сеть и бытовые приборы</v>
      </c>
      <c r="DR186">
        <f>IF(BD186="","",INT((BD186-1)/Столбцов_на_лист)+1)</f>
        <v>1</v>
      </c>
      <c r="DS186" t="str">
        <f t="shared" si="213"/>
        <v>ВВГнг(А)-LS (3х2,5) L=79-0,81%</v>
      </c>
      <c r="DT186">
        <f t="shared" si="214"/>
        <v>0.3</v>
      </c>
      <c r="DU186">
        <f t="shared" si="215"/>
        <v>1.37</v>
      </c>
      <c r="DV186">
        <f t="shared" si="216"/>
        <v>1</v>
      </c>
      <c r="DW186">
        <f>IF(AT186="",0,_xlfn.LET(_xlpm.v,IFERROR(VLOOKUP(D186,УГО_спр,3,FALSE),IFERROR(VLOOKUP(AT186,УГО_спр,3,FALSE),IFERROR(VLOOKUP(LEFT(AT186,2),УГО_спр,3,FALSE),""))),IF(_xlpm.v="да",30,IF(ISNUMBER(_xlpm.v),_xlpm.v,0))))</f>
        <v>30</v>
      </c>
      <c r="DX186">
        <f t="shared" si="217"/>
        <v>0</v>
      </c>
      <c r="DY186">
        <f>IF(BD186="","",IF(AD186&lt;&gt;"",COUNTIFS(A$3:A186,A186,AD$3:AD186,"?*"),IF(OR(OR(AS186=1,A186&lt;&gt;A185),AL186="вручную"),"",IF(AS186=1,"",DZ185))))</f>
        <v>2</v>
      </c>
      <c r="DZ186">
        <f t="shared" si="218"/>
        <v>2</v>
      </c>
      <c r="EA186">
        <f>IF(D186="",0,MAX(IFERROR(--X186,0),IFERROR(--VLOOKUP(D186,УГО_спр,4,FALSE),IFERROR(--VLOOKUP(AT186,УГО_спр,4,FALSE),IFERROR(--VLOOKUP(LEFT(AT186,2),УГО_спр,4,FALSE),0)))))</f>
        <v>16</v>
      </c>
      <c r="EB186">
        <f>IF(D186="","",IFERROR(LOOKUP(INDEX(CHOOSE(BR186,Iдоп_1ж,Iдоп_2ж,Iдоп_3ж),MATCH(BS186,Iдоп_S,0))*BP186*BQ186,{6,10,16,20,25,32,40,50,63,80,100,125,160,200,250,315,400,500,630}),""))</f>
        <v>25</v>
      </c>
      <c r="EC186">
        <f>IF(AD186="","",SUMIFS(Линии[_Ток схемы],Линии[_гр.],DY186,Линии[Щит],A186,Линии[_в кабель выше],0))</f>
        <v>1.37</v>
      </c>
      <c r="ED186">
        <f>IF(AD186="","",IFERROR(VLOOKUP(EC186,Автомат_номиналы,2,TRUE),""))</f>
        <v>6</v>
      </c>
      <c r="EE186">
        <f>IF(AD186="","",MAX(N(ED186),_xlfn.MAXIFS(Линии[_мин. по типу],Линии[_гр.],DY186,Линии[Щит],A186)))</f>
        <v>16</v>
      </c>
      <c r="EF186">
        <f>IF(AD186="","",_xlfn.MINIFS(Линии[_макс. автомат по кабелю],Линии[_гр.],DY186,Линии[Щит],A186))</f>
        <v>25</v>
      </c>
      <c r="EG186">
        <f>IF(AD186="","",MAX(1,_xlfn.MAXIFS(Линии[_фаз],Линии[_гр.],DY186,Линии[Щит],A186)))</f>
        <v>1</v>
      </c>
      <c r="EH186">
        <f>IF(AD186="","",IF(AND(AD186&lt;&gt;"авто",AD186&lt;&gt;"+"),IF(ISNUMBER(SEARCH("мА",AD186)),IFERROR(--TRIM(RIGHT(SUBSTITUTE(LEFT(AD186,SEARCH("мА",AD186)-1)," ",REPT(" ",9)),6)),30),0),IF(AE186="нет",0,IF(ISNUMBER(AE186),AE186,IF(AE186="да",30,_xlfn.MINIFS(Линии[_дифзащита по коду, мА],Линии[_гр.],DY186,Линии[Щит],A186,Линии[_дифзащита по коду, мА],"&gt;0"))))))</f>
        <v>30</v>
      </c>
      <c r="EI186">
        <f t="shared" si="219"/>
        <v>1</v>
      </c>
      <c r="EJ186" t="str">
        <f t="shared" si="220"/>
        <v>QFD2</v>
      </c>
      <c r="EK186" t="str">
        <f t="shared" si="221"/>
        <v>QFD2</v>
      </c>
      <c r="EL186" t="str">
        <f t="shared" si="222"/>
        <v/>
      </c>
      <c r="EM186">
        <f t="shared" si="223"/>
        <v>0</v>
      </c>
      <c r="EN186">
        <f>IF(AD186="","",IF(EM186=1,MAX(EE186,Мин_автомат_БП),EE186))</f>
        <v>16</v>
      </c>
      <c r="EO186" t="str">
        <f t="shared" si="224"/>
        <v>2P</v>
      </c>
      <c r="EP186" t="str">
        <f t="shared" si="225"/>
        <v>2P С16А 30мА</v>
      </c>
      <c r="EQ186">
        <f t="shared" si="226"/>
        <v>16</v>
      </c>
      <c r="ER186" t="str">
        <f>IF(OR(AI186="",AI186="-"),"",IFERROR(VLOOKUP(AI186,Модули_спр,2,FALSE),"R"))</f>
        <v/>
      </c>
      <c r="ES186" t="str">
        <f>IF(ER186="","",ER186&amp;"."&amp;COUNTIFS(A$3:A186,A186,ER$3:ER186,ER186))</f>
        <v/>
      </c>
      <c r="ET186" t="str">
        <f t="shared" si="227"/>
        <v/>
      </c>
      <c r="EU186" t="str">
        <f t="shared" si="228"/>
        <v/>
      </c>
      <c r="EV186" t="str">
        <f t="shared" si="229"/>
        <v/>
      </c>
      <c r="EW186" t="str">
        <f t="shared" si="230"/>
        <v/>
      </c>
      <c r="EX186">
        <f t="shared" si="231"/>
        <v>1</v>
      </c>
      <c r="EY186" t="str">
        <f>IF(AK186="нет","",IF(AK186&lt;&gt;"",AK186,IF(EX186=1,"XT"&amp;COUNTIFS(A$3:A186,A186,EX$3:EX186,1),"")))</f>
        <v>XT2</v>
      </c>
      <c r="EZ186" t="str">
        <f t="shared" si="232"/>
        <v>QFD2</v>
      </c>
      <c r="FA186" t="str">
        <f t="shared" si="233"/>
        <v/>
      </c>
      <c r="FB186" t="str">
        <f t="shared" si="234"/>
        <v>ok</v>
      </c>
      <c r="FC186" t="str">
        <f>IF(OR(EV186="",ET186=""),"",IF(EV186&gt;IFERROR(VLOOKUP(EU186,Модули_спр,3,FALSE),99),"ЛИШНИЙ КАНАЛ",IF(AND(AJ186&lt;&gt;"=",COUNTIFS(Линии[_модуль гр.],ET186,Линии[Канал (итог)],EV186,Линии[Канал],"&lt;&gt;=",Линии[Щит],A186)&gt;1),"ДУБЛЬ КАНАЛА","")))</f>
        <v/>
      </c>
      <c r="FD186">
        <f t="shared" si="235"/>
        <v>16</v>
      </c>
      <c r="FE186" t="str">
        <f t="shared" si="236"/>
        <v>2P С16А 30мА</v>
      </c>
      <c r="FF186">
        <f t="shared" si="237"/>
        <v>1</v>
      </c>
      <c r="FG186">
        <f t="shared" si="238"/>
        <v>30</v>
      </c>
      <c r="FH186" t="str">
        <f t="shared" si="239"/>
        <v/>
      </c>
      <c r="FI186">
        <f t="shared" si="240"/>
        <v>10</v>
      </c>
      <c r="FJ186" t="str">
        <f t="shared" si="241"/>
        <v/>
      </c>
      <c r="FK186" t="str">
        <f>IF(AND(D186="",EZ186=""),"",_xlfn.TEXTJOIN("; ",TRUE,IF(AND(D186&lt;&gt;"",DD186=""),"нет фазы",""),IF(AND(D186&lt;&gt;"",N(DT186)=0,CN186&lt;&gt;"Нет"),"нет мощности",""),IF(AND(EY186&lt;&gt;"",COUNTIFS(Линии[Щит],A186,Линии[Клемма (итог)],EY186)&gt;1),"дубль клеммы "&amp;EY186,""),IF(AND(FB186&lt;&gt;"",FB186&lt;&gt;"ok"),FB186,""),IF(FC186&lt;&gt;"",FC186,""),IF(AND(ISNUMBER(SEARCH("(5х",DS186)),N(DV186)=1),"5 жил на 1 фазе",""),IF(AND(AT186="R",AD186&lt;&gt;"",OR(N(EH186)=0,N(EH186)&gt;30)),"розетка без дифзащиты до 30 мА",""),IFERROR(IF(AND(ISNUMBER(CD186),CD186&gt;CE186),"потери "&amp;FIXED(CD186,1)&amp;" % &gt; "&amp;CE186&amp;" %",""),""),IFERROR(IF(LEFT(FJ186,4)="мало","Iкз мало — отключение &gt; 0,4 с",""),""),IF(AND(D186&lt;&gt;"",BD186=""),"не на схеме","")))</f>
        <v/>
      </c>
      <c r="FL186">
        <f>IF(AD186="","",_xlfn.LET(_xlpm.t,IFERROR(_xlfn.XLOOKUP(EP186,Каталог!$U$4:$U$500,Каталог!$G$4:$G$500),""),_xlpm.k,SEARCH("кА",_xlpm.t),IFERROR(--TRIM(RIGHT(SUBSTITUTE(MID(_xlpm.t,MAX(1,_xlpm.k-4),_xlpm.k-MAX(1,_xlpm.k-4))," ",REPT(" ",9)),5)),"")))</f>
        <v>6</v>
      </c>
      <c r="FM186" t="str">
        <f>IF(OR(FL186="",AD186=""),"",IF(_xlfn.XLOOKUP(A186,Щиты[Щит],Щиты[Iкз max на шинах, кА],"")="","",IF(FL186&lt;_xlfn.XLOOKUP(A186,Щиты[Щит],Щиты[Iкз max на шинах, кА]),"Icu "&amp;FL186&amp;" кА &lt; Iкз max","ok")))</f>
        <v/>
      </c>
      <c r="FN186" t="str">
        <f t="shared" si="242"/>
        <v>QFD2|XT2</v>
      </c>
      <c r="FO186" t="str">
        <f t="shared" si="243"/>
        <v>QFD2|XT2|кабель ВВГнг(А)-LS (3х2,5) → Розеточная группа Цокольный этаж Пом. №002A</v>
      </c>
      <c r="FP186" t="str" cm="1">
        <f t="array" ref="FP186">IF(FO186="","",_xlfn.LET(_xlpm.nd,_xlfn.TEXTSPLIT(FO186,"|"),IF(COLUMNS(_xlpm.nd)&gt;1,A186&amp;"¦"&amp;INDEX(_xlpm.nd,1)&amp;"¦"&amp;INDEX(_xlpm.nd,2),"")))</f>
        <v>ЩР-01¦QFD2¦XT2</v>
      </c>
      <c r="FQ186" t="str">
        <f t="shared" si="244"/>
        <v>R.0.002A.2¦Розеточная группа Цокольный этаж Пом. №002A</v>
      </c>
      <c r="FR186" t="str" cm="1">
        <f t="array" ref="FR186">IF(FO186="","",_xlfn.LET(_xlpm.nd,_xlfn.TEXTSPLIT(FO186,"|"),IF(COLUMNS(_xlpm.nd)&gt;2,A186&amp;"¦"&amp;INDEX(_xlpm.nd,2)&amp;"¦"&amp;INDEX(_xlpm.nd,3),"")))</f>
        <v>ЩР-01¦XT2¦кабель ВВГнг(А)-LS (3х2,5) → Розеточная группа Цокольный этаж Пом. №002A</v>
      </c>
      <c r="FS186" t="str">
        <f t="shared" si="245"/>
        <v>R.0.002A.2¦Розеточная группа Цокольный этаж Пом. №002A</v>
      </c>
      <c r="FT186" t="str" cm="1">
        <f t="array" ref="FT186">IF(FO186="","",_xlfn.LET(_xlpm.nd,_xlfn.TEXTSPLIT(FO186,"|"),IF(COLUMNS(_xlpm.nd)&gt;3,A186&amp;"¦"&amp;INDEX(_xlpm.nd,3)&amp;"¦"&amp;INDEX(_xlpm.nd,4),"")))</f>
        <v/>
      </c>
      <c r="FU186" t="str">
        <f t="shared" si="246"/>
        <v/>
      </c>
      <c r="FV186" t="str" cm="1">
        <f t="array" ref="FV186">IF(FO186="","",_xlfn.LET(_xlpm.nd,_xlfn.TEXTSPLIT(FO186,"|"),IF(COLUMNS(_xlpm.nd)&gt;4,A186&amp;"¦"&amp;INDEX(_xlpm.nd,4)&amp;"¦"&amp;INDEX(_xlpm.nd,5),"")))</f>
        <v/>
      </c>
      <c r="FW186" t="str">
        <f t="shared" si="247"/>
        <v/>
      </c>
      <c r="FX186" t="str" cm="1">
        <f t="array" ref="FX186">IF(FO186="","",_xlfn.LET(_xlpm.nd,_xlfn.TEXTSPLIT(FO186,"|"),IF(COLUMNS(_xlpm.nd)&gt;5,A186&amp;"¦"&amp;INDEX(_xlpm.nd,5)&amp;"¦"&amp;INDEX(_xlpm.nd,6),"")))</f>
        <v/>
      </c>
      <c r="FY186" t="str">
        <f t="shared" si="248"/>
        <v/>
      </c>
      <c r="FZ186" t="str" cm="1">
        <f t="array" ref="FZ186">IF(FO186="","",_xlfn.LET(_xlpm.nd,_xlfn.TEXTSPLIT(FO186,"|"),IF(COLUMNS(_xlpm.nd)&gt;6,A186&amp;"¦"&amp;INDEX(_xlpm.nd,6)&amp;"¦"&amp;INDEX(_xlpm.nd,7),"")))</f>
        <v/>
      </c>
      <c r="GA186" t="str">
        <f t="shared" si="249"/>
        <v/>
      </c>
      <c r="GB186" t="str">
        <f t="shared" si="250"/>
        <v/>
      </c>
      <c r="GC186" t="str">
        <f t="shared" si="251"/>
        <v>QFD2 → XT2</v>
      </c>
      <c r="GD186">
        <f t="shared" si="252"/>
        <v>1</v>
      </c>
      <c r="GE186">
        <f t="shared" si="253"/>
        <v>0</v>
      </c>
      <c r="GF186">
        <f t="shared" si="254"/>
        <v>1</v>
      </c>
      <c r="GG186" t="str">
        <f t="shared" si="255"/>
        <v/>
      </c>
      <c r="GH186" t="str">
        <f t="shared" si="256"/>
        <v/>
      </c>
      <c r="GI186" t="str">
        <f t="shared" si="257"/>
        <v/>
      </c>
      <c r="GJ186" t="str">
        <f t="shared" si="258"/>
        <v/>
      </c>
      <c r="GK186" t="str">
        <f>IF(D186="","",IFERROR(VLOOKUP(D186,УГО_спр,2,FALSE),IFERROR(VLOOKUP(AT186,УГО_спр,2,FALSE),IFERROR(VLOOKUP(LEFT(AT186,2),УГО_спр,2,FALSE),""))))</f>
        <v>Розетка</v>
      </c>
      <c r="GL186" t="str">
        <f>IF(D186="","",IF(OR(GK186="",GK186=0),"BOX",IFERROR(IF(VLOOKUP(GK186,УГО_блоки,3,FALSE)&amp;""&lt;&gt;"",VLOOKUP(GK186,УГО_блоки,3,FALSE),VLOOKUP(GK186,УГО_блоки,2,FALSE)),GK186)))</f>
        <v>SOCKET</v>
      </c>
      <c r="GM186">
        <f t="shared" si="259"/>
        <v>1</v>
      </c>
      <c r="GN186" t="str">
        <f>IF(EP186="","",IF(COUNTIF(EP$3:EP186,EP186)=1,MAX(GN$2:GN185)+1,""))</f>
        <v/>
      </c>
      <c r="GO186" t="str">
        <f>IF(AF186="","",IF(COUNTIF(AF$3:AF186,AF186)+COUNTIF(AG$2:AG185,AF186)+COUNTIF(AH$2:AH185,AF186)=1,MAX(GO$2:GQ185)+1,""))</f>
        <v/>
      </c>
      <c r="GP186" t="str">
        <f>IF(AG186="","",IF(COUNTIF(AF$3:AF186,AG186)+COUNTIF(AG$3:AG186,AG186)+COUNTIF(AH$2:AH185,AG186)=1,MAX(GO$2:GQ185,GO186)+1,""))</f>
        <v/>
      </c>
      <c r="GQ186" t="str">
        <f>IF(AH186="","",IF(COUNTIF(AF$3:AF186,AH186)+COUNTIF(AG$3:AG186,AH186)+COUNTIF(AH$3:AH186,AH186)=1,MAX(GO$2:GQ185,GO186,GP186)+1,""))</f>
        <v/>
      </c>
      <c r="GR186" t="str">
        <f t="shared" si="260"/>
        <v>3х2,5</v>
      </c>
      <c r="GS186" t="str">
        <f>IF(GR186="","",IF(COUNTIF(GR$3:GR186,GR186)=1,MAX(GS$2:GS185)+1,""))</f>
        <v/>
      </c>
      <c r="GT186" t="str">
        <f>IF(ES186="","",COUNTIF(ES$3:ES186,"?*"))</f>
        <v/>
      </c>
      <c r="GU186" t="str">
        <f>IF(OR(ES186="",EU186=""),"",IF(COUNTIFS(ES$3:ES186,"?*",EU$3:EU186,EU186)=1,MAX(GU$2:GU185)+1,""))</f>
        <v/>
      </c>
      <c r="GV186">
        <f t="shared" si="261"/>
        <v>0</v>
      </c>
      <c r="GW186">
        <f>IF(D186="","",COUNTIF(D$3:D186,"?*"))</f>
        <v>184</v>
      </c>
      <c r="GX186">
        <f>IF(EX186&lt;&gt;1,0,_xlfn.LET(_xlpm.k,MAX(IFERROR(--VLOOKUP(D186,УГО_спр,5,FALSE),0),IFERROR(--VLOOKUP(AT186,УГО_спр,5,FALSE),0),IFERROR(--VLOOKUP(LEFT(AT186,2),УГО_спр,5,FALSE),0)),IF(_xlpm.k&gt;0,_xlpm.k,IF(IFERROR(--LEFT(SUBSTITUTE(GR186,"x","х"),FIND("х",SUBSTITUTE(GR186,"x","х"))-1),3)&gt;3,Каталог!$S$9,1))))</f>
        <v>1</v>
      </c>
      <c r="GY186">
        <f t="shared" si="262"/>
        <v>0</v>
      </c>
    </row>
    <row r="187" spans="1:207" x14ac:dyDescent="0.3">
      <c r="A187" t="s">
        <v>760</v>
      </c>
      <c r="B187">
        <v>11</v>
      </c>
      <c r="C187" t="str">
        <f>IF(BD187="","",IF(BE187="вводной узел","узел ","")&amp;"л."&amp;(INT((BD187-1)/Столбцов_на_лист)+1)&amp;" / "&amp;(MOD(BD187-1,Столбцов_на_лист)+1))</f>
        <v>л.1 / 11</v>
      </c>
      <c r="D187" t="s">
        <v>1495</v>
      </c>
      <c r="E187" s="133" t="str">
        <f t="shared" si="263"/>
        <v>Розеточная группа Цокольный этаж Пом. №002A</v>
      </c>
      <c r="G187">
        <v>0.18</v>
      </c>
      <c r="H187">
        <v>3</v>
      </c>
      <c r="I187">
        <v>1</v>
      </c>
      <c r="J187">
        <v>230</v>
      </c>
      <c r="K187" t="s">
        <v>566</v>
      </c>
      <c r="O187">
        <v>2</v>
      </c>
      <c r="P187">
        <v>32</v>
      </c>
      <c r="Q187">
        <v>17</v>
      </c>
      <c r="R187">
        <v>30</v>
      </c>
      <c r="S187">
        <v>0</v>
      </c>
      <c r="U187" t="s">
        <v>11</v>
      </c>
      <c r="V187">
        <v>3</v>
      </c>
      <c r="W187">
        <v>2.5</v>
      </c>
      <c r="Z187" t="s">
        <v>565</v>
      </c>
      <c r="AA187" t="s">
        <v>818</v>
      </c>
      <c r="AD187" t="s">
        <v>517</v>
      </c>
      <c r="AR187" t="str">
        <f t="shared" si="176"/>
        <v/>
      </c>
      <c r="AS187" cm="1">
        <f t="array" ref="AS187">ROW()-ROW(Линии[#Headers])</f>
        <v>185</v>
      </c>
      <c r="AT187" t="str">
        <f t="shared" si="177"/>
        <v>R</v>
      </c>
      <c r="AU187" t="str">
        <f t="shared" si="178"/>
        <v>0.002A.3</v>
      </c>
      <c r="AV187" t="str">
        <f t="shared" si="179"/>
        <v>0</v>
      </c>
      <c r="AW187" t="str">
        <f t="shared" si="180"/>
        <v>002A.3</v>
      </c>
      <c r="AX187" t="str">
        <f t="shared" si="181"/>
        <v>002A</v>
      </c>
      <c r="AY187" t="str">
        <f>IF(D187="","",IF(ISERROR(SEARCH(".",D187)),IFERROR(VLOOKUP(D187,Потребители_обозначение,2,FALSE)&amp;"",""),IFERROR(IF(VLOOKUP(AT187,Потребители_обозначение,4,FALSE)=1,VLOOKUP(AT187,Потребители_обозначение,2,FALSE)&amp;" "&amp;VLOOKUP(AV187,Этаж_обозначение,2,FALSE)&amp;" Пом. №"&amp;AX187,VLOOKUP(AT187,Потребители_обозначение,2,FALSE)&amp;" Шлейф №"&amp;AV187),IFERROR(VLOOKUP(D187,Потребители_обозначение,2,FALSE),""))))</f>
        <v>Розеточная группа Цокольный этаж Пом. №002A</v>
      </c>
      <c r="AZ187" t="str">
        <f t="shared" si="182"/>
        <v>Розеточная группа Цокольный этаж Пом. №002A</v>
      </c>
      <c r="BA187" t="str">
        <f>IF(F187&lt;&gt;"",F187,IF(AND(D187&lt;&gt;"",D187&lt;&gt;A187,ISNUMBER(_xlfn.XMATCH(D187,Щиты[Щит]))),D187,""))</f>
        <v/>
      </c>
      <c r="BB187">
        <f>IFERROR(_xlfn.XMATCH(A187,Щиты[Щит]),0)</f>
        <v>9</v>
      </c>
      <c r="BC187">
        <f>IFERROR(N(_xlfn.XLOOKUP(A187,Щиты[Щит],Щиты[Мест под вводной узел])),15)</f>
        <v>8</v>
      </c>
      <c r="BD187">
        <f t="shared" si="183"/>
        <v>11</v>
      </c>
      <c r="BE187" t="str">
        <f t="shared" si="184"/>
        <v>линии</v>
      </c>
      <c r="BF187">
        <f>IF(D187="","",IF(BA187&lt;&gt;"",IFERROR(_xlfn.XLOOKUP(BA187,Щиты[Щит],Щиты[Руст, кВт]),0),N(G187)))</f>
        <v>0.18</v>
      </c>
      <c r="BG187">
        <f>IF(J187&lt;&gt;"",J187,IF(D187="","",IFERROR(IF(VLOOKUP(AT187,Потребители_обозначение,8,FALSE)=0,"",VLOOKUP(AT187,Потребители_обозначение,8,FALSE)),"")))</f>
        <v>230</v>
      </c>
      <c r="BH187">
        <f>IF(I187&lt;&gt;"",I187,IF(D187="","",IFERROR(IF(VLOOKUP(AT187,Потребители_обозначение,9,FALSE)=0,"",VLOOKUP(AT187,Потребители_обозначение,9,FALSE)),"")))</f>
        <v>1</v>
      </c>
      <c r="BI187" t="str">
        <f>IF(U187&lt;&gt;"",U187,IF(D187="","",IFERROR(IF(VLOOKUP(AT187,Потребители_обозначение,6,FALSE)=0,"",VLOOKUP(AT187,Потребители_обозначение,6,FALSE)),"")))</f>
        <v>мс</v>
      </c>
      <c r="BJ187">
        <f>IF(V187&lt;&gt;"",V187,IF(D187="","",IFERROR(IF(VLOOKUP(AT187,Потребители_обозначение,7,FALSE)=0,"",VLOOKUP(AT187,Потребители_обозначение,7,FALSE)),"")))</f>
        <v>3</v>
      </c>
      <c r="BK187">
        <f>IF(W187&lt;&gt;"",W187,IF(D187="","",IFERROR(IF(VLOOKUP(AT187,Потребители_обозначение,10,FALSE)=0,"",VLOOKUP(AT187,Потребители_обозначение,10,FALSE)),"")))</f>
        <v>2.5</v>
      </c>
      <c r="BL187">
        <f>IFERROR(VLOOKUP(AT187,Потребители_обозначение,5,FALSE),0)</f>
        <v>1</v>
      </c>
      <c r="BM187" cm="1">
        <f t="array" ref="BM187">IF(D187="","",IF(BA187&lt;&gt;"",IFERROR(_xlfn.XLOOKUP(BA187,Щиты[Щит],Щиты[cos φ]),0.95),IF(ISNUMBER(M187),M187,IFERROR(IF(BL187=2,_xlfn.IFS(BH187=3,VLOOKUP(BF187,Справочная_двигатели,8,FALSE),BH187=1,VLOOKUP(BF187,Справочная_двигатели,10,TRUE)),IF(AND(Методика="нормы 2026",CN187="Сил"),0.8,0.95)),0.95))))</f>
        <v>0.95</v>
      </c>
      <c r="BN187" cm="1">
        <f t="array" ref="BN187">IF(D187="","",IF(BA187&lt;&gt;"",IFERROR(_xlfn.XLOOKUP(BA187,Щиты[Щит],Щиты[Iр, А]),""),IFERROR(_xlfn.IFS(BH187=1,BF187/((Uн_лин/SQRT(3))*BM187),BH187=3,BF187/(SQRT(3)*Uн_лин*BM187)),"")))</f>
        <v>0.8204451193747313</v>
      </c>
      <c r="BO187">
        <f>IF(D187="","",IF(N(X187)=0,IFERROR(VLOOKUP(BN187,Автомат_номиналы,2,TRUE),""),X187))</f>
        <v>6</v>
      </c>
      <c r="BP187">
        <f t="shared" si="185"/>
        <v>1</v>
      </c>
      <c r="BQ187">
        <f>IF(ISNUMBER(Y187),Y187,К_прокл)</f>
        <v>1</v>
      </c>
      <c r="BR187">
        <f t="shared" si="186"/>
        <v>2</v>
      </c>
      <c r="BS187" cm="1">
        <f t="array" ref="BS187">IF(D187="","",IF(N(BK187)&lt;&gt;0,BK187,IFERROR(_xlfn.LET(_xlpm.need,BO187/(BP187*BQ187),_xlpm.t,CHOOSE(BR187,Iдоп_1ж,Iдоп_2ж,Iдоп_3ж),_xlpm.k,_xlfn.XMATCH(_xlpm.need,_xlpm.t,1),IF(ISNA(_xlpm.k),"Не исп",INDEX(Iдоп_S,_xlpm.k))),"Не исп")))</f>
        <v>2.5</v>
      </c>
      <c r="BT187">
        <f>IFERROR(VLOOKUP(BS187,Кабель_сопротивление,3,FALSE),"")</f>
        <v>2.2499999999999999E-2</v>
      </c>
      <c r="BU187">
        <f>IFERROR(VLOOKUP(BS187,Кабель_сопротивление,2,FALSE),"")</f>
        <v>0.1</v>
      </c>
      <c r="BV187">
        <f t="shared" si="187"/>
        <v>32</v>
      </c>
      <c r="BW187">
        <f>IF(D187="","",IFERROR(IF(VLOOKUP(AT187,Потребители_обозначение,4,FALSE)=1,VLOOKUP(AT187,Потребители_обозначение,3,FALSE)*(H187*2-1)+BV187+VLOOKUP(AV187,Этаж_обозначение,3,FALSE)+VLOOKUP(AV187,Этаж_обозначение,4,FALSE),VLOOKUP(AT187,Потребители_обозначение,3,FALSE)*(H187*2-1)+BV187),BV187))</f>
        <v>47</v>
      </c>
      <c r="BX187">
        <f t="shared" si="188"/>
        <v>30</v>
      </c>
      <c r="BY187">
        <f t="shared" si="189"/>
        <v>0</v>
      </c>
      <c r="BZ187">
        <f t="shared" si="190"/>
        <v>2</v>
      </c>
      <c r="CA187">
        <f t="shared" si="191"/>
        <v>0.31</v>
      </c>
      <c r="CB187">
        <f t="shared" si="192"/>
        <v>0.66178251951932943</v>
      </c>
      <c r="CC187">
        <f>IFERROR(ROUNDUP(CB187/((Uн_лин/SQRT(3))*1000)*100,2),"")</f>
        <v>0.29000000000000004</v>
      </c>
      <c r="CD187">
        <f>IF(ISNUMBER(CC187),CC187+IFERROR(_xlfn.XLOOKUP(A187,Щиты[Щит],Щиты[ΔU до шин, %]),0),"")</f>
        <v>0.72</v>
      </c>
      <c r="CE187">
        <f>IF(D187="","",IF(IFERROR(VLOOKUP(AT187,УГО_спр,2,FALSE),"")="Светильник",3,4)+IF(Методика="нормы 2026",MIN(0.5,MAX(0,N(BW187)-100)*0.005),0))</f>
        <v>4</v>
      </c>
      <c r="CF187" t="str">
        <f>IFERROR(VLOOKUP(BI187,Кабель_обозначение,2,FALSE),"")</f>
        <v>ВВГнг(А)-LS</v>
      </c>
      <c r="CG187" t="str">
        <f>IFERROR(IF(VLOOKUP(BI187,Кабель_обозначение,3,FALSE)=1,CF187&amp;" ("&amp;BJ187&amp;"х"&amp;BS187&amp;")",CF187),"")</f>
        <v>ВВГнг(А)-LS (3х2,5)</v>
      </c>
      <c r="CH187" t="str">
        <f t="shared" si="193"/>
        <v>ВВГнг(А)-LS (3х2,5)
L=47-0,29%</v>
      </c>
      <c r="CI187">
        <f>IFERROR(2*ρкз_Cu*BW187/BS187,"")</f>
        <v>0.98887999999999998</v>
      </c>
      <c r="CJ187">
        <f t="shared" si="194"/>
        <v>0.32900000000000007</v>
      </c>
      <c r="CK187" t="str">
        <f>IFERROR(IF(OR(D187="",NOT(ISNUMBER(BS187)),N(BW187)=0),"",_xlfn.XLOOKUP(A187,Щиты[Щит],Щиты[Zпетли на шинах, Ом])+CI187),"")</f>
        <v/>
      </c>
      <c r="CL187" t="str">
        <f>IF(ISNUMBER(CK187),c_min*(Uн_лин*1000/SQRT(3))/CK187,"")</f>
        <v/>
      </c>
      <c r="CM187" t="str">
        <f>IFERROR(IF(OR(D187="",NOT(ISNUMBER(BS187))),"",1.05*(Uн_лин*1000/SQRT(3))/(_xlfn.XLOOKUP(A187,Щиты[Щит],Щиты[Zmax на шинах, Ом])+CJ187)/1000),"")</f>
        <v/>
      </c>
      <c r="CN187" t="str">
        <f>IF(D187="","",IF(BA187&lt;&gt;"","Щит",IF(K187&lt;&gt;"",K187,IF(ISNUMBER(L187),"Сил",IF(IFERROR(_xlfn.XLOOKUP(AT187,Коды_код,Коды_группа)&amp;"","")="","Быт",_xlfn.XLOOKUP(AT187,Коды_код,Коды_группа)&amp;"")))))</f>
        <v>Быт</v>
      </c>
      <c r="CO187">
        <f>IF(CN187="Щит","щит",IF(CN187="","",IF(CN187="Быт",IFERROR(_xlfn.XLOOKUP(A187,Щиты[Щит],Щиты[Кс быт]),1),IF(CN187="Сил",IF(ISNUMBER(L187),L187,IF(Методика="нормы 2026",IFERROR(_xlfn.XLOOKUP(A187,Щиты[Щит],Щиты[Кс силовых (табл. 7.5)]),1),1)),IF(OR(CN187="Пост",CN187="Отоп"),1,IF(CN187="ВНГ",0.7,0))))))</f>
        <v>0.79799999999999993</v>
      </c>
      <c r="CP187">
        <f t="shared" si="195"/>
        <v>1</v>
      </c>
      <c r="CQ187">
        <f t="shared" si="196"/>
        <v>0.18</v>
      </c>
      <c r="CR187">
        <f t="shared" si="197"/>
        <v>0.18</v>
      </c>
      <c r="CS187">
        <f t="shared" si="198"/>
        <v>0</v>
      </c>
      <c r="CT187">
        <f t="shared" si="199"/>
        <v>0</v>
      </c>
      <c r="CU187">
        <f t="shared" si="200"/>
        <v>0</v>
      </c>
      <c r="CV187">
        <f t="shared" si="201"/>
        <v>0</v>
      </c>
      <c r="CW187">
        <f t="shared" si="202"/>
        <v>0.18</v>
      </c>
      <c r="CX187">
        <f t="shared" si="203"/>
        <v>0.17099999999999999</v>
      </c>
      <c r="CY187">
        <f t="shared" si="204"/>
        <v>3</v>
      </c>
      <c r="CZ187" t="str">
        <f t="shared" si="205"/>
        <v>L3</v>
      </c>
      <c r="DA187" cm="1">
        <f t="array" ref="DA187">IFERROR(IF(BL187=2,_xlfn.IFS(BH187=3,VLOOKUP(BF187,Справочная_двигатели,3,FALSE),BH187=1,VLOOKUP(BF187,Справочная_двигатели,5,TRUE)),0),0)</f>
        <v>0</v>
      </c>
      <c r="DB187">
        <f>IFERROR(IF(BL187=3,VLOOKUP(BF187,Справочная_ЛЭД,2,TRUE),0),0)</f>
        <v>0</v>
      </c>
      <c r="DC187">
        <f t="shared" si="206"/>
        <v>0</v>
      </c>
      <c r="DD187" t="str">
        <f t="shared" si="207"/>
        <v>L2</v>
      </c>
      <c r="DE187" t="str" cm="1">
        <f t="array" ref="DE187">IF(D187="","",IFERROR(INDEX({"I особая","I","II","III"},MATCH(TRIM(AA187&amp;""),{"I особая","I","II","III"},0)),"III"))</f>
        <v>II</v>
      </c>
      <c r="DF187" t="str">
        <f>IF(D187="","",IF(TRIM(AB187&amp;"")&lt;&gt;"",IF(LOWER(TRIM(AB187&amp;""))="да","да","нет"),IF(IFERROR(_xlfn.XLOOKUP(AT187,Коды_код,Коды_пожарная),"")="да","да","нет")))</f>
        <v>нет</v>
      </c>
      <c r="DG187" t="str">
        <f t="shared" si="208"/>
        <v/>
      </c>
      <c r="DH187" t="str">
        <f t="shared" si="209"/>
        <v>основная</v>
      </c>
      <c r="DI187">
        <f t="shared" si="210"/>
        <v>1</v>
      </c>
      <c r="DJ187" t="str" cm="1">
        <f t="array" ref="DJ187">IF(D187="","",_xlfn.LET(_xlpm.t,IFERROR(_xlfn.XLOOKUP(1,(Шины[Шина]=DH187)*(((Шины[Щит]=A187)+(Шины[Щит]=""))&gt;0),Шины[Тип]),"")&amp;"",IF(_xlpm.t&lt;&gt;"",_xlpm.t,IF(ISNUMBER(SEARCH("ИБП",DH187)),"ИБП",IF(ISNUMBER(SEARCH("ДГУ",DH187)),"ДГУ","Ввод "&amp;DI187)))))</f>
        <v>Ввод 1</v>
      </c>
      <c r="DK187" t="str">
        <f t="shared" si="211"/>
        <v>Ввод 1</v>
      </c>
      <c r="DL187" t="str">
        <f>IF(D187="","",IF(OR(DJ187="ИБП",DJ187="ДГУ"),"I особая",IF(DJ187="Одиночная","III",_xlfn.XLOOKUP(A187,Щиты[Щит],Щиты[Категория шины «Ввод»],"III"))))</f>
        <v>II</v>
      </c>
      <c r="DM187">
        <f>IF(D187="",0,IFERROR(MATCH(DE187,{"III","II","I","I особая"},0),1))</f>
        <v>2</v>
      </c>
      <c r="DN187">
        <f t="shared" si="212"/>
        <v>2</v>
      </c>
      <c r="DO187" t="str">
        <f>IF(D187="","",IF(DM187&gt;IFERROR(MATCH(DL187,{"III","II","I","I особая"},0),1),"НЕ ОБЕСПЕЧЕНА","ОК"))</f>
        <v>ОК</v>
      </c>
      <c r="DP187" t="str">
        <f>IF(A187="","",_xlfn.XLOOKUP(A187,Щиты[Щит],Щиты[Путь],""))</f>
        <v>|ГРЩ-ЖД|ЩР-01|</v>
      </c>
      <c r="DQ187" t="str">
        <f>IF(D187="","",IF(Z187&lt;&gt;"",Z187,IF(IFERROR(_xlfn.XLOOKUP(AT187,Коды_код,Коды_вид)&amp;"","")="","Прочее",_xlfn.XLOOKUP(AT187,Коды_код,Коды_вид)&amp;"")))</f>
        <v>Розеточная сеть и бытовые приборы</v>
      </c>
      <c r="DR187">
        <f>IF(BD187="","",INT((BD187-1)/Столбцов_на_лист)+1)</f>
        <v>1</v>
      </c>
      <c r="DS187" t="str">
        <f t="shared" si="213"/>
        <v>ВВГнг(А)-LS (3х2,5) L=47-0,29%</v>
      </c>
      <c r="DT187">
        <f t="shared" si="214"/>
        <v>0.18</v>
      </c>
      <c r="DU187">
        <f t="shared" si="215"/>
        <v>0.83</v>
      </c>
      <c r="DV187">
        <f t="shared" si="216"/>
        <v>1</v>
      </c>
      <c r="DW187">
        <f>IF(AT187="",0,_xlfn.LET(_xlpm.v,IFERROR(VLOOKUP(D187,УГО_спр,3,FALSE),IFERROR(VLOOKUP(AT187,УГО_спр,3,FALSE),IFERROR(VLOOKUP(LEFT(AT187,2),УГО_спр,3,FALSE),""))),IF(_xlpm.v="да",30,IF(ISNUMBER(_xlpm.v),_xlpm.v,0))))</f>
        <v>30</v>
      </c>
      <c r="DX187">
        <f t="shared" si="217"/>
        <v>0</v>
      </c>
      <c r="DY187">
        <f>IF(BD187="","",IF(AD187&lt;&gt;"",COUNTIFS(A$3:A187,A187,AD$3:AD187,"?*"),IF(OR(OR(AS187=1,A187&lt;&gt;A186),AL187="вручную"),"",IF(AS187=1,"",DZ186))))</f>
        <v>3</v>
      </c>
      <c r="DZ187">
        <f t="shared" si="218"/>
        <v>3</v>
      </c>
      <c r="EA187">
        <f>IF(D187="",0,MAX(IFERROR(--X187,0),IFERROR(--VLOOKUP(D187,УГО_спр,4,FALSE),IFERROR(--VLOOKUP(AT187,УГО_спр,4,FALSE),IFERROR(--VLOOKUP(LEFT(AT187,2),УГО_спр,4,FALSE),0)))))</f>
        <v>16</v>
      </c>
      <c r="EB187">
        <f>IF(D187="","",IFERROR(LOOKUP(INDEX(CHOOSE(BR187,Iдоп_1ж,Iдоп_2ж,Iдоп_3ж),MATCH(BS187,Iдоп_S,0))*BP187*BQ187,{6,10,16,20,25,32,40,50,63,80,100,125,160,200,250,315,400,500,630}),""))</f>
        <v>25</v>
      </c>
      <c r="EC187">
        <f>IF(AD187="","",SUMIFS(Линии[_Ток схемы],Линии[_гр.],DY187,Линии[Щит],A187,Линии[_в кабель выше],0))</f>
        <v>0.83</v>
      </c>
      <c r="ED187">
        <f>IF(AD187="","",IFERROR(VLOOKUP(EC187,Автомат_номиналы,2,TRUE),""))</f>
        <v>6</v>
      </c>
      <c r="EE187">
        <f>IF(AD187="","",MAX(N(ED187),_xlfn.MAXIFS(Линии[_мин. по типу],Линии[_гр.],DY187,Линии[Щит],A187)))</f>
        <v>16</v>
      </c>
      <c r="EF187">
        <f>IF(AD187="","",_xlfn.MINIFS(Линии[_макс. автомат по кабелю],Линии[_гр.],DY187,Линии[Щит],A187))</f>
        <v>25</v>
      </c>
      <c r="EG187">
        <f>IF(AD187="","",MAX(1,_xlfn.MAXIFS(Линии[_фаз],Линии[_гр.],DY187,Линии[Щит],A187)))</f>
        <v>1</v>
      </c>
      <c r="EH187">
        <f>IF(AD187="","",IF(AND(AD187&lt;&gt;"авто",AD187&lt;&gt;"+"),IF(ISNUMBER(SEARCH("мА",AD187)),IFERROR(--TRIM(RIGHT(SUBSTITUTE(LEFT(AD187,SEARCH("мА",AD187)-1)," ",REPT(" ",9)),6)),30),0),IF(AE187="нет",0,IF(ISNUMBER(AE187),AE187,IF(AE187="да",30,_xlfn.MINIFS(Линии[_дифзащита по коду, мА],Линии[_гр.],DY187,Линии[Щит],A187,Линии[_дифзащита по коду, мА],"&gt;0"))))))</f>
        <v>30</v>
      </c>
      <c r="EI187">
        <f t="shared" si="219"/>
        <v>1</v>
      </c>
      <c r="EJ187" t="str">
        <f t="shared" si="220"/>
        <v>QFD3</v>
      </c>
      <c r="EK187" t="str">
        <f t="shared" si="221"/>
        <v>QFD3</v>
      </c>
      <c r="EL187" t="str">
        <f t="shared" si="222"/>
        <v/>
      </c>
      <c r="EM187">
        <f t="shared" si="223"/>
        <v>0</v>
      </c>
      <c r="EN187">
        <f>IF(AD187="","",IF(EM187=1,MAX(EE187,Мин_автомат_БП),EE187))</f>
        <v>16</v>
      </c>
      <c r="EO187" t="str">
        <f t="shared" si="224"/>
        <v>2P</v>
      </c>
      <c r="EP187" t="str">
        <f t="shared" si="225"/>
        <v>2P С16А 30мА</v>
      </c>
      <c r="EQ187">
        <f t="shared" si="226"/>
        <v>16</v>
      </c>
      <c r="ER187" t="str">
        <f>IF(OR(AI187="",AI187="-"),"",IFERROR(VLOOKUP(AI187,Модули_спр,2,FALSE),"R"))</f>
        <v/>
      </c>
      <c r="ES187" t="str">
        <f>IF(ER187="","",ER187&amp;"."&amp;COUNTIFS(A$3:A187,A187,ER$3:ER187,ER187))</f>
        <v/>
      </c>
      <c r="ET187" t="str">
        <f t="shared" si="227"/>
        <v/>
      </c>
      <c r="EU187" t="str">
        <f t="shared" si="228"/>
        <v/>
      </c>
      <c r="EV187" t="str">
        <f t="shared" si="229"/>
        <v/>
      </c>
      <c r="EW187" t="str">
        <f t="shared" si="230"/>
        <v/>
      </c>
      <c r="EX187">
        <f t="shared" si="231"/>
        <v>1</v>
      </c>
      <c r="EY187" t="str">
        <f>IF(AK187="нет","",IF(AK187&lt;&gt;"",AK187,IF(EX187=1,"XT"&amp;COUNTIFS(A$3:A187,A187,EX$3:EX187,1),"")))</f>
        <v>XT3</v>
      </c>
      <c r="EZ187" t="str">
        <f t="shared" si="232"/>
        <v>QFD3</v>
      </c>
      <c r="FA187" t="str">
        <f t="shared" si="233"/>
        <v/>
      </c>
      <c r="FB187" t="str">
        <f t="shared" si="234"/>
        <v>ok</v>
      </c>
      <c r="FC187" t="str">
        <f>IF(OR(EV187="",ET187=""),"",IF(EV187&gt;IFERROR(VLOOKUP(EU187,Модули_спр,3,FALSE),99),"ЛИШНИЙ КАНАЛ",IF(AND(AJ187&lt;&gt;"=",COUNTIFS(Линии[_модуль гр.],ET187,Линии[Канал (итог)],EV187,Линии[Канал],"&lt;&gt;=",Линии[Щит],A187)&gt;1),"ДУБЛЬ КАНАЛА","")))</f>
        <v/>
      </c>
      <c r="FD187">
        <f t="shared" si="235"/>
        <v>16</v>
      </c>
      <c r="FE187" t="str">
        <f t="shared" si="236"/>
        <v>2P С16А 30мА</v>
      </c>
      <c r="FF187">
        <f t="shared" si="237"/>
        <v>1</v>
      </c>
      <c r="FG187">
        <f t="shared" si="238"/>
        <v>30</v>
      </c>
      <c r="FH187" t="str">
        <f t="shared" si="239"/>
        <v/>
      </c>
      <c r="FI187">
        <f t="shared" si="240"/>
        <v>10</v>
      </c>
      <c r="FJ187" t="str">
        <f t="shared" si="241"/>
        <v/>
      </c>
      <c r="FK187" t="str">
        <f>IF(AND(D187="",EZ187=""),"",_xlfn.TEXTJOIN("; ",TRUE,IF(AND(D187&lt;&gt;"",DD187=""),"нет фазы",""),IF(AND(D187&lt;&gt;"",N(DT187)=0,CN187&lt;&gt;"Нет"),"нет мощности",""),IF(AND(EY187&lt;&gt;"",COUNTIFS(Линии[Щит],A187,Линии[Клемма (итог)],EY187)&gt;1),"дубль клеммы "&amp;EY187,""),IF(AND(FB187&lt;&gt;"",FB187&lt;&gt;"ok"),FB187,""),IF(FC187&lt;&gt;"",FC187,""),IF(AND(ISNUMBER(SEARCH("(5х",DS187)),N(DV187)=1),"5 жил на 1 фазе",""),IF(AND(AT187="R",AD187&lt;&gt;"",OR(N(EH187)=0,N(EH187)&gt;30)),"розетка без дифзащиты до 30 мА",""),IFERROR(IF(AND(ISNUMBER(CD187),CD187&gt;CE187),"потери "&amp;FIXED(CD187,1)&amp;" % &gt; "&amp;CE187&amp;" %",""),""),IFERROR(IF(LEFT(FJ187,4)="мало","Iкз мало — отключение &gt; 0,4 с",""),""),IF(AND(D187&lt;&gt;"",BD187=""),"не на схеме","")))</f>
        <v/>
      </c>
      <c r="FL187">
        <f>IF(AD187="","",_xlfn.LET(_xlpm.t,IFERROR(_xlfn.XLOOKUP(EP187,Каталог!$U$4:$U$500,Каталог!$G$4:$G$500),""),_xlpm.k,SEARCH("кА",_xlpm.t),IFERROR(--TRIM(RIGHT(SUBSTITUTE(MID(_xlpm.t,MAX(1,_xlpm.k-4),_xlpm.k-MAX(1,_xlpm.k-4))," ",REPT(" ",9)),5)),"")))</f>
        <v>6</v>
      </c>
      <c r="FM187" t="str">
        <f>IF(OR(FL187="",AD187=""),"",IF(_xlfn.XLOOKUP(A187,Щиты[Щит],Щиты[Iкз max на шинах, кА],"")="","",IF(FL187&lt;_xlfn.XLOOKUP(A187,Щиты[Щит],Щиты[Iкз max на шинах, кА]),"Icu "&amp;FL187&amp;" кА &lt; Iкз max","ok")))</f>
        <v/>
      </c>
      <c r="FN187" t="str">
        <f t="shared" si="242"/>
        <v>QFD3|XT3</v>
      </c>
      <c r="FO187" t="str">
        <f t="shared" si="243"/>
        <v>QFD3|XT3|кабель ВВГнг(А)-LS (3х2,5) → Розеточная группа Цокольный этаж Пом. №002A</v>
      </c>
      <c r="FP187" t="str" cm="1">
        <f t="array" ref="FP187">IF(FO187="","",_xlfn.LET(_xlpm.nd,_xlfn.TEXTSPLIT(FO187,"|"),IF(COLUMNS(_xlpm.nd)&gt;1,A187&amp;"¦"&amp;INDEX(_xlpm.nd,1)&amp;"¦"&amp;INDEX(_xlpm.nd,2),"")))</f>
        <v>ЩР-01¦QFD3¦XT3</v>
      </c>
      <c r="FQ187" t="str">
        <f t="shared" si="244"/>
        <v>R.0.002A.3¦Розеточная группа Цокольный этаж Пом. №002A</v>
      </c>
      <c r="FR187" t="str" cm="1">
        <f t="array" ref="FR187">IF(FO187="","",_xlfn.LET(_xlpm.nd,_xlfn.TEXTSPLIT(FO187,"|"),IF(COLUMNS(_xlpm.nd)&gt;2,A187&amp;"¦"&amp;INDEX(_xlpm.nd,2)&amp;"¦"&amp;INDEX(_xlpm.nd,3),"")))</f>
        <v>ЩР-01¦XT3¦кабель ВВГнг(А)-LS (3х2,5) → Розеточная группа Цокольный этаж Пом. №002A</v>
      </c>
      <c r="FS187" t="str">
        <f t="shared" si="245"/>
        <v>R.0.002A.3¦Розеточная группа Цокольный этаж Пом. №002A</v>
      </c>
      <c r="FT187" t="str" cm="1">
        <f t="array" ref="FT187">IF(FO187="","",_xlfn.LET(_xlpm.nd,_xlfn.TEXTSPLIT(FO187,"|"),IF(COLUMNS(_xlpm.nd)&gt;3,A187&amp;"¦"&amp;INDEX(_xlpm.nd,3)&amp;"¦"&amp;INDEX(_xlpm.nd,4),"")))</f>
        <v/>
      </c>
      <c r="FU187" t="str">
        <f t="shared" si="246"/>
        <v/>
      </c>
      <c r="FV187" t="str" cm="1">
        <f t="array" ref="FV187">IF(FO187="","",_xlfn.LET(_xlpm.nd,_xlfn.TEXTSPLIT(FO187,"|"),IF(COLUMNS(_xlpm.nd)&gt;4,A187&amp;"¦"&amp;INDEX(_xlpm.nd,4)&amp;"¦"&amp;INDEX(_xlpm.nd,5),"")))</f>
        <v/>
      </c>
      <c r="FW187" t="str">
        <f t="shared" si="247"/>
        <v/>
      </c>
      <c r="FX187" t="str" cm="1">
        <f t="array" ref="FX187">IF(FO187="","",_xlfn.LET(_xlpm.nd,_xlfn.TEXTSPLIT(FO187,"|"),IF(COLUMNS(_xlpm.nd)&gt;5,A187&amp;"¦"&amp;INDEX(_xlpm.nd,5)&amp;"¦"&amp;INDEX(_xlpm.nd,6),"")))</f>
        <v/>
      </c>
      <c r="FY187" t="str">
        <f t="shared" si="248"/>
        <v/>
      </c>
      <c r="FZ187" t="str" cm="1">
        <f t="array" ref="FZ187">IF(FO187="","",_xlfn.LET(_xlpm.nd,_xlfn.TEXTSPLIT(FO187,"|"),IF(COLUMNS(_xlpm.nd)&gt;6,A187&amp;"¦"&amp;INDEX(_xlpm.nd,6)&amp;"¦"&amp;INDEX(_xlpm.nd,7),"")))</f>
        <v/>
      </c>
      <c r="GA187" t="str">
        <f t="shared" si="249"/>
        <v/>
      </c>
      <c r="GB187" t="str">
        <f t="shared" si="250"/>
        <v/>
      </c>
      <c r="GC187" t="str">
        <f t="shared" si="251"/>
        <v>QFD3 → XT3</v>
      </c>
      <c r="GD187">
        <f t="shared" si="252"/>
        <v>1</v>
      </c>
      <c r="GE187">
        <f t="shared" si="253"/>
        <v>0</v>
      </c>
      <c r="GF187">
        <f t="shared" si="254"/>
        <v>1</v>
      </c>
      <c r="GG187" t="str">
        <f t="shared" si="255"/>
        <v/>
      </c>
      <c r="GH187" t="str">
        <f t="shared" si="256"/>
        <v/>
      </c>
      <c r="GI187" t="str">
        <f t="shared" si="257"/>
        <v/>
      </c>
      <c r="GJ187" t="str">
        <f t="shared" si="258"/>
        <v/>
      </c>
      <c r="GK187" t="str">
        <f>IF(D187="","",IFERROR(VLOOKUP(D187,УГО_спр,2,FALSE),IFERROR(VLOOKUP(AT187,УГО_спр,2,FALSE),IFERROR(VLOOKUP(LEFT(AT187,2),УГО_спр,2,FALSE),""))))</f>
        <v>Розетка</v>
      </c>
      <c r="GL187" t="str">
        <f>IF(D187="","",IF(OR(GK187="",GK187=0),"BOX",IFERROR(IF(VLOOKUP(GK187,УГО_блоки,3,FALSE)&amp;""&lt;&gt;"",VLOOKUP(GK187,УГО_блоки,3,FALSE),VLOOKUP(GK187,УГО_блоки,2,FALSE)),GK187)))</f>
        <v>SOCKET</v>
      </c>
      <c r="GM187">
        <f t="shared" si="259"/>
        <v>1</v>
      </c>
      <c r="GN187" t="str">
        <f>IF(EP187="","",IF(COUNTIF(EP$3:EP187,EP187)=1,MAX(GN$2:GN186)+1,""))</f>
        <v/>
      </c>
      <c r="GO187" t="str">
        <f>IF(AF187="","",IF(COUNTIF(AF$3:AF187,AF187)+COUNTIF(AG$2:AG186,AF187)+COUNTIF(AH$2:AH186,AF187)=1,MAX(GO$2:GQ186)+1,""))</f>
        <v/>
      </c>
      <c r="GP187" t="str">
        <f>IF(AG187="","",IF(COUNTIF(AF$3:AF187,AG187)+COUNTIF(AG$3:AG187,AG187)+COUNTIF(AH$2:AH186,AG187)=1,MAX(GO$2:GQ186,GO187)+1,""))</f>
        <v/>
      </c>
      <c r="GQ187" t="str">
        <f>IF(AH187="","",IF(COUNTIF(AF$3:AF187,AH187)+COUNTIF(AG$3:AG187,AH187)+COUNTIF(AH$3:AH187,AH187)=1,MAX(GO$2:GQ186,GO187,GP187)+1,""))</f>
        <v/>
      </c>
      <c r="GR187" t="str">
        <f t="shared" si="260"/>
        <v>3х2,5</v>
      </c>
      <c r="GS187" t="str">
        <f>IF(GR187="","",IF(COUNTIF(GR$3:GR187,GR187)=1,MAX(GS$2:GS186)+1,""))</f>
        <v/>
      </c>
      <c r="GT187" t="str">
        <f>IF(ES187="","",COUNTIF(ES$3:ES187,"?*"))</f>
        <v/>
      </c>
      <c r="GU187" t="str">
        <f>IF(OR(ES187="",EU187=""),"",IF(COUNTIFS(ES$3:ES187,"?*",EU$3:EU187,EU187)=1,MAX(GU$2:GU186)+1,""))</f>
        <v/>
      </c>
      <c r="GV187">
        <f t="shared" si="261"/>
        <v>0</v>
      </c>
      <c r="GW187">
        <f>IF(D187="","",COUNTIF(D$3:D187,"?*"))</f>
        <v>185</v>
      </c>
      <c r="GX187">
        <f>IF(EX187&lt;&gt;1,0,_xlfn.LET(_xlpm.k,MAX(IFERROR(--VLOOKUP(D187,УГО_спр,5,FALSE),0),IFERROR(--VLOOKUP(AT187,УГО_спр,5,FALSE),0),IFERROR(--VLOOKUP(LEFT(AT187,2),УГО_спр,5,FALSE),0)),IF(_xlpm.k&gt;0,_xlpm.k,IF(IFERROR(--LEFT(SUBSTITUTE(GR187,"x","х"),FIND("х",SUBSTITUTE(GR187,"x","х"))-1),3)&gt;3,Каталог!$S$9,1))))</f>
        <v>1</v>
      </c>
      <c r="GY187">
        <f t="shared" si="262"/>
        <v>0</v>
      </c>
    </row>
    <row r="188" spans="1:207" x14ac:dyDescent="0.3">
      <c r="A188" t="s">
        <v>760</v>
      </c>
      <c r="B188">
        <v>12</v>
      </c>
      <c r="C188" t="str">
        <f>IF(BD188="","",IF(BE188="вводной узел","узел ","")&amp;"л."&amp;(INT((BD188-1)/Столбцов_на_лист)+1)&amp;" / "&amp;(MOD(BD188-1,Столбцов_на_лист)+1))</f>
        <v>л.1 / 12</v>
      </c>
      <c r="D188" t="s">
        <v>1496</v>
      </c>
      <c r="E188" s="133" t="str">
        <f t="shared" si="263"/>
        <v>Розеточная группа Цокольный этаж Пом. №002T</v>
      </c>
      <c r="G188">
        <v>0.06</v>
      </c>
      <c r="H188">
        <v>1</v>
      </c>
      <c r="I188">
        <v>1</v>
      </c>
      <c r="J188">
        <v>230</v>
      </c>
      <c r="K188" t="s">
        <v>566</v>
      </c>
      <c r="O188">
        <v>3</v>
      </c>
      <c r="P188">
        <v>29</v>
      </c>
      <c r="Q188">
        <v>8</v>
      </c>
      <c r="R188">
        <v>0</v>
      </c>
      <c r="S188">
        <v>19</v>
      </c>
      <c r="U188" t="s">
        <v>11</v>
      </c>
      <c r="V188">
        <v>3</v>
      </c>
      <c r="W188">
        <v>2.5</v>
      </c>
      <c r="Z188" t="s">
        <v>565</v>
      </c>
      <c r="AA188" t="s">
        <v>818</v>
      </c>
      <c r="AD188" t="s">
        <v>517</v>
      </c>
      <c r="AR188" t="str">
        <f t="shared" si="176"/>
        <v/>
      </c>
      <c r="AS188" cm="1">
        <f t="array" ref="AS188">ROW()-ROW(Линии[#Headers])</f>
        <v>186</v>
      </c>
      <c r="AT188" t="str">
        <f t="shared" si="177"/>
        <v>R</v>
      </c>
      <c r="AU188" t="str">
        <f t="shared" si="178"/>
        <v>0.002T.1</v>
      </c>
      <c r="AV188" t="str">
        <f t="shared" si="179"/>
        <v>0</v>
      </c>
      <c r="AW188" t="str">
        <f t="shared" si="180"/>
        <v>002T.1</v>
      </c>
      <c r="AX188" t="str">
        <f t="shared" si="181"/>
        <v>002T</v>
      </c>
      <c r="AY188" t="str">
        <f>IF(D188="","",IF(ISERROR(SEARCH(".",D188)),IFERROR(VLOOKUP(D188,Потребители_обозначение,2,FALSE)&amp;"",""),IFERROR(IF(VLOOKUP(AT188,Потребители_обозначение,4,FALSE)=1,VLOOKUP(AT188,Потребители_обозначение,2,FALSE)&amp;" "&amp;VLOOKUP(AV188,Этаж_обозначение,2,FALSE)&amp;" Пом. №"&amp;AX188,VLOOKUP(AT188,Потребители_обозначение,2,FALSE)&amp;" Шлейф №"&amp;AV188),IFERROR(VLOOKUP(D188,Потребители_обозначение,2,FALSE),""))))</f>
        <v>Розеточная группа Цокольный этаж Пом. №002T</v>
      </c>
      <c r="AZ188" t="str">
        <f t="shared" si="182"/>
        <v>Розеточная группа Цокольный этаж Пом. №002T</v>
      </c>
      <c r="BA188" t="str">
        <f>IF(F188&lt;&gt;"",F188,IF(AND(D188&lt;&gt;"",D188&lt;&gt;A188,ISNUMBER(_xlfn.XMATCH(D188,Щиты[Щит]))),D188,""))</f>
        <v/>
      </c>
      <c r="BB188">
        <f>IFERROR(_xlfn.XMATCH(A188,Щиты[Щит]),0)</f>
        <v>9</v>
      </c>
      <c r="BC188">
        <f>IFERROR(N(_xlfn.XLOOKUP(A188,Щиты[Щит],Щиты[Мест под вводной узел])),15)</f>
        <v>8</v>
      </c>
      <c r="BD188">
        <f t="shared" si="183"/>
        <v>12</v>
      </c>
      <c r="BE188" t="str">
        <f t="shared" si="184"/>
        <v>линии</v>
      </c>
      <c r="BF188">
        <f>IF(D188="","",IF(BA188&lt;&gt;"",IFERROR(_xlfn.XLOOKUP(BA188,Щиты[Щит],Щиты[Руст, кВт]),0),N(G188)))</f>
        <v>0.06</v>
      </c>
      <c r="BG188">
        <f>IF(J188&lt;&gt;"",J188,IF(D188="","",IFERROR(IF(VLOOKUP(AT188,Потребители_обозначение,8,FALSE)=0,"",VLOOKUP(AT188,Потребители_обозначение,8,FALSE)),"")))</f>
        <v>230</v>
      </c>
      <c r="BH188">
        <f>IF(I188&lt;&gt;"",I188,IF(D188="","",IFERROR(IF(VLOOKUP(AT188,Потребители_обозначение,9,FALSE)=0,"",VLOOKUP(AT188,Потребители_обозначение,9,FALSE)),"")))</f>
        <v>1</v>
      </c>
      <c r="BI188" t="str">
        <f>IF(U188&lt;&gt;"",U188,IF(D188="","",IFERROR(IF(VLOOKUP(AT188,Потребители_обозначение,6,FALSE)=0,"",VLOOKUP(AT188,Потребители_обозначение,6,FALSE)),"")))</f>
        <v>мс</v>
      </c>
      <c r="BJ188">
        <f>IF(V188&lt;&gt;"",V188,IF(D188="","",IFERROR(IF(VLOOKUP(AT188,Потребители_обозначение,7,FALSE)=0,"",VLOOKUP(AT188,Потребители_обозначение,7,FALSE)),"")))</f>
        <v>3</v>
      </c>
      <c r="BK188">
        <f>IF(W188&lt;&gt;"",W188,IF(D188="","",IFERROR(IF(VLOOKUP(AT188,Потребители_обозначение,10,FALSE)=0,"",VLOOKUP(AT188,Потребители_обозначение,10,FALSE)),"")))</f>
        <v>2.5</v>
      </c>
      <c r="BL188">
        <f>IFERROR(VLOOKUP(AT188,Потребители_обозначение,5,FALSE),0)</f>
        <v>1</v>
      </c>
      <c r="BM188" cm="1">
        <f t="array" ref="BM188">IF(D188="","",IF(BA188&lt;&gt;"",IFERROR(_xlfn.XLOOKUP(BA188,Щиты[Щит],Щиты[cos φ]),0.95),IF(ISNUMBER(M188),M188,IFERROR(IF(BL188=2,_xlfn.IFS(BH188=3,VLOOKUP(BF188,Справочная_двигатели,8,FALSE),BH188=1,VLOOKUP(BF188,Справочная_двигатели,10,TRUE)),IF(AND(Методика="нормы 2026",CN188="Сил"),0.8,0.95)),0.95))))</f>
        <v>0.95</v>
      </c>
      <c r="BN188" cm="1">
        <f t="array" ref="BN188">IF(D188="","",IF(BA188&lt;&gt;"",IFERROR(_xlfn.XLOOKUP(BA188,Щиты[Щит],Щиты[Iр, А]),""),IFERROR(_xlfn.IFS(BH188=1,BF188/((Uн_лин/SQRT(3))*BM188),BH188=3,BF188/(SQRT(3)*Uн_лин*BM188)),"")))</f>
        <v>0.27348170645824377</v>
      </c>
      <c r="BO188">
        <f>IF(D188="","",IF(N(X188)=0,IFERROR(VLOOKUP(BN188,Автомат_номиналы,2,TRUE),""),X188))</f>
        <v>6</v>
      </c>
      <c r="BP188">
        <f t="shared" si="185"/>
        <v>1</v>
      </c>
      <c r="BQ188">
        <f>IF(ISNUMBER(Y188),Y188,К_прокл)</f>
        <v>1</v>
      </c>
      <c r="BR188">
        <f t="shared" si="186"/>
        <v>2</v>
      </c>
      <c r="BS188" cm="1">
        <f t="array" ref="BS188">IF(D188="","",IF(N(BK188)&lt;&gt;0,BK188,IFERROR(_xlfn.LET(_xlpm.need,BO188/(BP188*BQ188),_xlpm.t,CHOOSE(BR188,Iдоп_1ж,Iдоп_2ж,Iдоп_3ж),_xlpm.k,_xlfn.XMATCH(_xlpm.need,_xlpm.t,1),IF(ISNA(_xlpm.k),"Не исп",INDEX(Iдоп_S,_xlpm.k))),"Не исп")))</f>
        <v>2.5</v>
      </c>
      <c r="BT188">
        <f>IFERROR(VLOOKUP(BS188,Кабель_сопротивление,3,FALSE),"")</f>
        <v>2.2499999999999999E-2</v>
      </c>
      <c r="BU188">
        <f>IFERROR(VLOOKUP(BS188,Кабель_сопротивление,2,FALSE),"")</f>
        <v>0.1</v>
      </c>
      <c r="BV188">
        <f t="shared" si="187"/>
        <v>29</v>
      </c>
      <c r="BW188">
        <f>IF(D188="","",IFERROR(IF(VLOOKUP(AT188,Потребители_обозначение,4,FALSE)=1,VLOOKUP(AT188,Потребители_обозначение,3,FALSE)*(H188*2-1)+BV188+VLOOKUP(AV188,Этаж_обозначение,3,FALSE)+VLOOKUP(AV188,Этаж_обозначение,4,FALSE),VLOOKUP(AT188,Потребители_обозначение,3,FALSE)*(H188*2-1)+BV188),BV188))</f>
        <v>32</v>
      </c>
      <c r="BX188">
        <f t="shared" si="188"/>
        <v>0</v>
      </c>
      <c r="BY188">
        <f t="shared" si="189"/>
        <v>19</v>
      </c>
      <c r="BZ188">
        <f t="shared" si="190"/>
        <v>2</v>
      </c>
      <c r="CA188">
        <f t="shared" si="191"/>
        <v>0.31</v>
      </c>
      <c r="CB188">
        <f t="shared" si="192"/>
        <v>0.15019177747956411</v>
      </c>
      <c r="CC188">
        <f>IFERROR(ROUNDUP(CB188/((Uн_лин/SQRT(3))*1000)*100,2),"")</f>
        <v>6.9999999999999993E-2</v>
      </c>
      <c r="CD188">
        <f>IF(ISNUMBER(CC188),CC188+IFERROR(_xlfn.XLOOKUP(A188,Щиты[Щит],Щиты[ΔU до шин, %]),0),"")</f>
        <v>0.5</v>
      </c>
      <c r="CE188">
        <f>IF(D188="","",IF(IFERROR(VLOOKUP(AT188,УГО_спр,2,FALSE),"")="Светильник",3,4)+IF(Методика="нормы 2026",MIN(0.5,MAX(0,N(BW188)-100)*0.005),0))</f>
        <v>4</v>
      </c>
      <c r="CF188" t="str">
        <f>IFERROR(VLOOKUP(BI188,Кабель_обозначение,2,FALSE),"")</f>
        <v>ВВГнг(А)-LS</v>
      </c>
      <c r="CG188" t="str">
        <f>IFERROR(IF(VLOOKUP(BI188,Кабель_обозначение,3,FALSE)=1,CF188&amp;" ("&amp;BJ188&amp;"х"&amp;BS188&amp;")",CF188),"")</f>
        <v>ВВГнг(А)-LS (3х2,5)</v>
      </c>
      <c r="CH188" t="str">
        <f t="shared" si="193"/>
        <v>ВВГнг(А)-LS (3х2,5)
L=32-0,07%</v>
      </c>
      <c r="CI188">
        <f>IFERROR(2*ρкз_Cu*BW188/BS188,"")</f>
        <v>0.67327999999999999</v>
      </c>
      <c r="CJ188">
        <f t="shared" si="194"/>
        <v>0.22400000000000003</v>
      </c>
      <c r="CK188" t="str">
        <f>IFERROR(IF(OR(D188="",NOT(ISNUMBER(BS188)),N(BW188)=0),"",_xlfn.XLOOKUP(A188,Щиты[Щит],Щиты[Zпетли на шинах, Ом])+CI188),"")</f>
        <v/>
      </c>
      <c r="CL188" t="str">
        <f>IF(ISNUMBER(CK188),c_min*(Uн_лин*1000/SQRT(3))/CK188,"")</f>
        <v/>
      </c>
      <c r="CM188" t="str">
        <f>IFERROR(IF(OR(D188="",NOT(ISNUMBER(BS188))),"",1.05*(Uн_лин*1000/SQRT(3))/(_xlfn.XLOOKUP(A188,Щиты[Щит],Щиты[Zmax на шинах, Ом])+CJ188)/1000),"")</f>
        <v/>
      </c>
      <c r="CN188" t="str">
        <f>IF(D188="","",IF(BA188&lt;&gt;"","Щит",IF(K188&lt;&gt;"",K188,IF(ISNUMBER(L188),"Сил",IF(IFERROR(_xlfn.XLOOKUP(AT188,Коды_код,Коды_группа)&amp;"","")="","Быт",_xlfn.XLOOKUP(AT188,Коды_код,Коды_группа)&amp;"")))))</f>
        <v>Быт</v>
      </c>
      <c r="CO188">
        <f>IF(CN188="Щит","щит",IF(CN188="","",IF(CN188="Быт",IFERROR(_xlfn.XLOOKUP(A188,Щиты[Щит],Щиты[Кс быт]),1),IF(CN188="Сил",IF(ISNUMBER(L188),L188,IF(Методика="нормы 2026",IFERROR(_xlfn.XLOOKUP(A188,Щиты[Щит],Щиты[Кс силовых (табл. 7.5)]),1),1)),IF(OR(CN188="Пост",CN188="Отоп"),1,IF(CN188="ВНГ",0.7,0))))))</f>
        <v>0.79799999999999993</v>
      </c>
      <c r="CP188">
        <f t="shared" si="195"/>
        <v>1</v>
      </c>
      <c r="CQ188">
        <f t="shared" si="196"/>
        <v>0.06</v>
      </c>
      <c r="CR188">
        <f t="shared" si="197"/>
        <v>0.06</v>
      </c>
      <c r="CS188">
        <f t="shared" si="198"/>
        <v>0</v>
      </c>
      <c r="CT188">
        <f t="shared" si="199"/>
        <v>0</v>
      </c>
      <c r="CU188">
        <f t="shared" si="200"/>
        <v>0</v>
      </c>
      <c r="CV188">
        <f t="shared" si="201"/>
        <v>0</v>
      </c>
      <c r="CW188">
        <f t="shared" si="202"/>
        <v>0.06</v>
      </c>
      <c r="CX188">
        <f t="shared" si="203"/>
        <v>5.6999999999999995E-2</v>
      </c>
      <c r="CY188">
        <f t="shared" si="204"/>
        <v>1</v>
      </c>
      <c r="CZ188" t="str">
        <f t="shared" si="205"/>
        <v>L1</v>
      </c>
      <c r="DA188" cm="1">
        <f t="array" ref="DA188">IFERROR(IF(BL188=2,_xlfn.IFS(BH188=3,VLOOKUP(BF188,Справочная_двигатели,3,FALSE),BH188=1,VLOOKUP(BF188,Справочная_двигатели,5,TRUE)),0),0)</f>
        <v>0</v>
      </c>
      <c r="DB188">
        <f>IFERROR(IF(BL188=3,VLOOKUP(BF188,Справочная_ЛЭД,2,TRUE),0),0)</f>
        <v>0</v>
      </c>
      <c r="DC188">
        <f t="shared" si="206"/>
        <v>0</v>
      </c>
      <c r="DD188" t="str">
        <f t="shared" si="207"/>
        <v>L3</v>
      </c>
      <c r="DE188" t="str" cm="1">
        <f t="array" ref="DE188">IF(D188="","",IFERROR(INDEX({"I особая","I","II","III"},MATCH(TRIM(AA188&amp;""),{"I особая","I","II","III"},0)),"III"))</f>
        <v>II</v>
      </c>
      <c r="DF188" t="str">
        <f>IF(D188="","",IF(TRIM(AB188&amp;"")&lt;&gt;"",IF(LOWER(TRIM(AB188&amp;""))="да","да","нет"),IF(IFERROR(_xlfn.XLOOKUP(AT188,Коды_код,Коды_пожарная),"")="да","да","нет")))</f>
        <v>нет</v>
      </c>
      <c r="DG188" t="str">
        <f t="shared" si="208"/>
        <v/>
      </c>
      <c r="DH188" t="str">
        <f t="shared" si="209"/>
        <v>основная</v>
      </c>
      <c r="DI188">
        <f t="shared" si="210"/>
        <v>1</v>
      </c>
      <c r="DJ188" t="str" cm="1">
        <f t="array" ref="DJ188">IF(D188="","",_xlfn.LET(_xlpm.t,IFERROR(_xlfn.XLOOKUP(1,(Шины[Шина]=DH188)*(((Шины[Щит]=A188)+(Шины[Щит]=""))&gt;0),Шины[Тип]),"")&amp;"",IF(_xlpm.t&lt;&gt;"",_xlpm.t,IF(ISNUMBER(SEARCH("ИБП",DH188)),"ИБП",IF(ISNUMBER(SEARCH("ДГУ",DH188)),"ДГУ","Ввод "&amp;DI188)))))</f>
        <v>Ввод 1</v>
      </c>
      <c r="DK188" t="str">
        <f t="shared" si="211"/>
        <v>Ввод 1</v>
      </c>
      <c r="DL188" t="str">
        <f>IF(D188="","",IF(OR(DJ188="ИБП",DJ188="ДГУ"),"I особая",IF(DJ188="Одиночная","III",_xlfn.XLOOKUP(A188,Щиты[Щит],Щиты[Категория шины «Ввод»],"III"))))</f>
        <v>II</v>
      </c>
      <c r="DM188">
        <f>IF(D188="",0,IFERROR(MATCH(DE188,{"III","II","I","I особая"},0),1))</f>
        <v>2</v>
      </c>
      <c r="DN188">
        <f t="shared" si="212"/>
        <v>2</v>
      </c>
      <c r="DO188" t="str">
        <f>IF(D188="","",IF(DM188&gt;IFERROR(MATCH(DL188,{"III","II","I","I особая"},0),1),"НЕ ОБЕСПЕЧЕНА","ОК"))</f>
        <v>ОК</v>
      </c>
      <c r="DP188" t="str">
        <f>IF(A188="","",_xlfn.XLOOKUP(A188,Щиты[Щит],Щиты[Путь],""))</f>
        <v>|ГРЩ-ЖД|ЩР-01|</v>
      </c>
      <c r="DQ188" t="str">
        <f>IF(D188="","",IF(Z188&lt;&gt;"",Z188,IF(IFERROR(_xlfn.XLOOKUP(AT188,Коды_код,Коды_вид)&amp;"","")="","Прочее",_xlfn.XLOOKUP(AT188,Коды_код,Коды_вид)&amp;"")))</f>
        <v>Розеточная сеть и бытовые приборы</v>
      </c>
      <c r="DR188">
        <f>IF(BD188="","",INT((BD188-1)/Столбцов_на_лист)+1)</f>
        <v>1</v>
      </c>
      <c r="DS188" t="str">
        <f t="shared" si="213"/>
        <v>ВВГнг(А)-LS (3х2,5) L=32-0,07%</v>
      </c>
      <c r="DT188">
        <f t="shared" si="214"/>
        <v>0.06</v>
      </c>
      <c r="DU188">
        <f t="shared" si="215"/>
        <v>0.28000000000000003</v>
      </c>
      <c r="DV188">
        <f t="shared" si="216"/>
        <v>1</v>
      </c>
      <c r="DW188">
        <f>IF(AT188="",0,_xlfn.LET(_xlpm.v,IFERROR(VLOOKUP(D188,УГО_спр,3,FALSE),IFERROR(VLOOKUP(AT188,УГО_спр,3,FALSE),IFERROR(VLOOKUP(LEFT(AT188,2),УГО_спр,3,FALSE),""))),IF(_xlpm.v="да",30,IF(ISNUMBER(_xlpm.v),_xlpm.v,0))))</f>
        <v>30</v>
      </c>
      <c r="DX188">
        <f t="shared" si="217"/>
        <v>0</v>
      </c>
      <c r="DY188">
        <f>IF(BD188="","",IF(AD188&lt;&gt;"",COUNTIFS(A$3:A188,A188,AD$3:AD188,"?*"),IF(OR(OR(AS188=1,A188&lt;&gt;A187),AL188="вручную"),"",IF(AS188=1,"",DZ187))))</f>
        <v>4</v>
      </c>
      <c r="DZ188">
        <f t="shared" si="218"/>
        <v>4</v>
      </c>
      <c r="EA188">
        <f>IF(D188="",0,MAX(IFERROR(--X188,0),IFERROR(--VLOOKUP(D188,УГО_спр,4,FALSE),IFERROR(--VLOOKUP(AT188,УГО_спр,4,FALSE),IFERROR(--VLOOKUP(LEFT(AT188,2),УГО_спр,4,FALSE),0)))))</f>
        <v>16</v>
      </c>
      <c r="EB188">
        <f>IF(D188="","",IFERROR(LOOKUP(INDEX(CHOOSE(BR188,Iдоп_1ж,Iдоп_2ж,Iдоп_3ж),MATCH(BS188,Iдоп_S,0))*BP188*BQ188,{6,10,16,20,25,32,40,50,63,80,100,125,160,200,250,315,400,500,630}),""))</f>
        <v>25</v>
      </c>
      <c r="EC188">
        <f>IF(AD188="","",SUMIFS(Линии[_Ток схемы],Линии[_гр.],DY188,Линии[Щит],A188,Линии[_в кабель выше],0))</f>
        <v>0.28000000000000003</v>
      </c>
      <c r="ED188">
        <f>IF(AD188="","",IFERROR(VLOOKUP(EC188,Автомат_номиналы,2,TRUE),""))</f>
        <v>6</v>
      </c>
      <c r="EE188">
        <f>IF(AD188="","",MAX(N(ED188),_xlfn.MAXIFS(Линии[_мин. по типу],Линии[_гр.],DY188,Линии[Щит],A188)))</f>
        <v>16</v>
      </c>
      <c r="EF188">
        <f>IF(AD188="","",_xlfn.MINIFS(Линии[_макс. автомат по кабелю],Линии[_гр.],DY188,Линии[Щит],A188))</f>
        <v>25</v>
      </c>
      <c r="EG188">
        <f>IF(AD188="","",MAX(1,_xlfn.MAXIFS(Линии[_фаз],Линии[_гр.],DY188,Линии[Щит],A188)))</f>
        <v>1</v>
      </c>
      <c r="EH188">
        <f>IF(AD188="","",IF(AND(AD188&lt;&gt;"авто",AD188&lt;&gt;"+"),IF(ISNUMBER(SEARCH("мА",AD188)),IFERROR(--TRIM(RIGHT(SUBSTITUTE(LEFT(AD188,SEARCH("мА",AD188)-1)," ",REPT(" ",9)),6)),30),0),IF(AE188="нет",0,IF(ISNUMBER(AE188),AE188,IF(AE188="да",30,_xlfn.MINIFS(Линии[_дифзащита по коду, мА],Линии[_гр.],DY188,Линии[Щит],A188,Линии[_дифзащита по коду, мА],"&gt;0"))))))</f>
        <v>30</v>
      </c>
      <c r="EI188">
        <f t="shared" si="219"/>
        <v>1</v>
      </c>
      <c r="EJ188" t="str">
        <f t="shared" si="220"/>
        <v>QFD4</v>
      </c>
      <c r="EK188" t="str">
        <f t="shared" si="221"/>
        <v>QFD4</v>
      </c>
      <c r="EL188" t="str">
        <f t="shared" si="222"/>
        <v/>
      </c>
      <c r="EM188">
        <f t="shared" si="223"/>
        <v>0</v>
      </c>
      <c r="EN188">
        <f>IF(AD188="","",IF(EM188=1,MAX(EE188,Мин_автомат_БП),EE188))</f>
        <v>16</v>
      </c>
      <c r="EO188" t="str">
        <f t="shared" si="224"/>
        <v>2P</v>
      </c>
      <c r="EP188" t="str">
        <f t="shared" si="225"/>
        <v>2P С16А 30мА</v>
      </c>
      <c r="EQ188">
        <f t="shared" si="226"/>
        <v>16</v>
      </c>
      <c r="ER188" t="str">
        <f>IF(OR(AI188="",AI188="-"),"",IFERROR(VLOOKUP(AI188,Модули_спр,2,FALSE),"R"))</f>
        <v/>
      </c>
      <c r="ES188" t="str">
        <f>IF(ER188="","",ER188&amp;"."&amp;COUNTIFS(A$3:A188,A188,ER$3:ER188,ER188))</f>
        <v/>
      </c>
      <c r="ET188" t="str">
        <f t="shared" si="227"/>
        <v/>
      </c>
      <c r="EU188" t="str">
        <f t="shared" si="228"/>
        <v/>
      </c>
      <c r="EV188" t="str">
        <f t="shared" si="229"/>
        <v/>
      </c>
      <c r="EW188" t="str">
        <f t="shared" si="230"/>
        <v/>
      </c>
      <c r="EX188">
        <f t="shared" si="231"/>
        <v>1</v>
      </c>
      <c r="EY188" t="str">
        <f>IF(AK188="нет","",IF(AK188&lt;&gt;"",AK188,IF(EX188=1,"XT"&amp;COUNTIFS(A$3:A188,A188,EX$3:EX188,1),"")))</f>
        <v>XT4</v>
      </c>
      <c r="EZ188" t="str">
        <f t="shared" si="232"/>
        <v>QFD4</v>
      </c>
      <c r="FA188" t="str">
        <f t="shared" si="233"/>
        <v/>
      </c>
      <c r="FB188" t="str">
        <f t="shared" si="234"/>
        <v>ok</v>
      </c>
      <c r="FC188" t="str">
        <f>IF(OR(EV188="",ET188=""),"",IF(EV188&gt;IFERROR(VLOOKUP(EU188,Модули_спр,3,FALSE),99),"ЛИШНИЙ КАНАЛ",IF(AND(AJ188&lt;&gt;"=",COUNTIFS(Линии[_модуль гр.],ET188,Линии[Канал (итог)],EV188,Линии[Канал],"&lt;&gt;=",Линии[Щит],A188)&gt;1),"ДУБЛЬ КАНАЛА","")))</f>
        <v/>
      </c>
      <c r="FD188">
        <f t="shared" si="235"/>
        <v>16</v>
      </c>
      <c r="FE188" t="str">
        <f t="shared" si="236"/>
        <v>2P С16А 30мА</v>
      </c>
      <c r="FF188">
        <f t="shared" si="237"/>
        <v>1</v>
      </c>
      <c r="FG188">
        <f t="shared" si="238"/>
        <v>30</v>
      </c>
      <c r="FH188" t="str">
        <f t="shared" si="239"/>
        <v/>
      </c>
      <c r="FI188">
        <f t="shared" si="240"/>
        <v>10</v>
      </c>
      <c r="FJ188" t="str">
        <f t="shared" si="241"/>
        <v/>
      </c>
      <c r="FK188" t="str">
        <f>IF(AND(D188="",EZ188=""),"",_xlfn.TEXTJOIN("; ",TRUE,IF(AND(D188&lt;&gt;"",DD188=""),"нет фазы",""),IF(AND(D188&lt;&gt;"",N(DT188)=0,CN188&lt;&gt;"Нет"),"нет мощности",""),IF(AND(EY188&lt;&gt;"",COUNTIFS(Линии[Щит],A188,Линии[Клемма (итог)],EY188)&gt;1),"дубль клеммы "&amp;EY188,""),IF(AND(FB188&lt;&gt;"",FB188&lt;&gt;"ok"),FB188,""),IF(FC188&lt;&gt;"",FC188,""),IF(AND(ISNUMBER(SEARCH("(5х",DS188)),N(DV188)=1),"5 жил на 1 фазе",""),IF(AND(AT188="R",AD188&lt;&gt;"",OR(N(EH188)=0,N(EH188)&gt;30)),"розетка без дифзащиты до 30 мА",""),IFERROR(IF(AND(ISNUMBER(CD188),CD188&gt;CE188),"потери "&amp;FIXED(CD188,1)&amp;" % &gt; "&amp;CE188&amp;" %",""),""),IFERROR(IF(LEFT(FJ188,4)="мало","Iкз мало — отключение &gt; 0,4 с",""),""),IF(AND(D188&lt;&gt;"",BD188=""),"не на схеме","")))</f>
        <v/>
      </c>
      <c r="FL188">
        <f>IF(AD188="","",_xlfn.LET(_xlpm.t,IFERROR(_xlfn.XLOOKUP(EP188,Каталог!$U$4:$U$500,Каталог!$G$4:$G$500),""),_xlpm.k,SEARCH("кА",_xlpm.t),IFERROR(--TRIM(RIGHT(SUBSTITUTE(MID(_xlpm.t,MAX(1,_xlpm.k-4),_xlpm.k-MAX(1,_xlpm.k-4))," ",REPT(" ",9)),5)),"")))</f>
        <v>6</v>
      </c>
      <c r="FM188" t="str">
        <f>IF(OR(FL188="",AD188=""),"",IF(_xlfn.XLOOKUP(A188,Щиты[Щит],Щиты[Iкз max на шинах, кА],"")="","",IF(FL188&lt;_xlfn.XLOOKUP(A188,Щиты[Щит],Щиты[Iкз max на шинах, кА]),"Icu "&amp;FL188&amp;" кА &lt; Iкз max","ok")))</f>
        <v/>
      </c>
      <c r="FN188" t="str">
        <f t="shared" si="242"/>
        <v>QFD4|XT4</v>
      </c>
      <c r="FO188" t="str">
        <f t="shared" si="243"/>
        <v>QFD4|XT4|кабель ВВГнг(А)-LS (3х2,5) → Розеточная группа Цокольный этаж Пом. №002T</v>
      </c>
      <c r="FP188" t="str" cm="1">
        <f t="array" ref="FP188">IF(FO188="","",_xlfn.LET(_xlpm.nd,_xlfn.TEXTSPLIT(FO188,"|"),IF(COLUMNS(_xlpm.nd)&gt;1,A188&amp;"¦"&amp;INDEX(_xlpm.nd,1)&amp;"¦"&amp;INDEX(_xlpm.nd,2),"")))</f>
        <v>ЩР-01¦QFD4¦XT4</v>
      </c>
      <c r="FQ188" t="str">
        <f t="shared" si="244"/>
        <v>R.0.002T.1¦Розеточная группа Цокольный этаж Пом. №002T</v>
      </c>
      <c r="FR188" t="str" cm="1">
        <f t="array" ref="FR188">IF(FO188="","",_xlfn.LET(_xlpm.nd,_xlfn.TEXTSPLIT(FO188,"|"),IF(COLUMNS(_xlpm.nd)&gt;2,A188&amp;"¦"&amp;INDEX(_xlpm.nd,2)&amp;"¦"&amp;INDEX(_xlpm.nd,3),"")))</f>
        <v>ЩР-01¦XT4¦кабель ВВГнг(А)-LS (3х2,5) → Розеточная группа Цокольный этаж Пом. №002T</v>
      </c>
      <c r="FS188" t="str">
        <f t="shared" si="245"/>
        <v>R.0.002T.1¦Розеточная группа Цокольный этаж Пом. №002T</v>
      </c>
      <c r="FT188" t="str" cm="1">
        <f t="array" ref="FT188">IF(FO188="","",_xlfn.LET(_xlpm.nd,_xlfn.TEXTSPLIT(FO188,"|"),IF(COLUMNS(_xlpm.nd)&gt;3,A188&amp;"¦"&amp;INDEX(_xlpm.nd,3)&amp;"¦"&amp;INDEX(_xlpm.nd,4),"")))</f>
        <v/>
      </c>
      <c r="FU188" t="str">
        <f t="shared" si="246"/>
        <v/>
      </c>
      <c r="FV188" t="str" cm="1">
        <f t="array" ref="FV188">IF(FO188="","",_xlfn.LET(_xlpm.nd,_xlfn.TEXTSPLIT(FO188,"|"),IF(COLUMNS(_xlpm.nd)&gt;4,A188&amp;"¦"&amp;INDEX(_xlpm.nd,4)&amp;"¦"&amp;INDEX(_xlpm.nd,5),"")))</f>
        <v/>
      </c>
      <c r="FW188" t="str">
        <f t="shared" si="247"/>
        <v/>
      </c>
      <c r="FX188" t="str" cm="1">
        <f t="array" ref="FX188">IF(FO188="","",_xlfn.LET(_xlpm.nd,_xlfn.TEXTSPLIT(FO188,"|"),IF(COLUMNS(_xlpm.nd)&gt;5,A188&amp;"¦"&amp;INDEX(_xlpm.nd,5)&amp;"¦"&amp;INDEX(_xlpm.nd,6),"")))</f>
        <v/>
      </c>
      <c r="FY188" t="str">
        <f t="shared" si="248"/>
        <v/>
      </c>
      <c r="FZ188" t="str" cm="1">
        <f t="array" ref="FZ188">IF(FO188="","",_xlfn.LET(_xlpm.nd,_xlfn.TEXTSPLIT(FO188,"|"),IF(COLUMNS(_xlpm.nd)&gt;6,A188&amp;"¦"&amp;INDEX(_xlpm.nd,6)&amp;"¦"&amp;INDEX(_xlpm.nd,7),"")))</f>
        <v/>
      </c>
      <c r="GA188" t="str">
        <f t="shared" si="249"/>
        <v/>
      </c>
      <c r="GB188" t="str">
        <f t="shared" si="250"/>
        <v/>
      </c>
      <c r="GC188" t="str">
        <f t="shared" si="251"/>
        <v>QFD4 → XT4</v>
      </c>
      <c r="GD188">
        <f t="shared" si="252"/>
        <v>1</v>
      </c>
      <c r="GE188">
        <f t="shared" si="253"/>
        <v>0</v>
      </c>
      <c r="GF188">
        <f t="shared" si="254"/>
        <v>1</v>
      </c>
      <c r="GG188" t="str">
        <f t="shared" si="255"/>
        <v/>
      </c>
      <c r="GH188" t="str">
        <f t="shared" si="256"/>
        <v/>
      </c>
      <c r="GI188" t="str">
        <f t="shared" si="257"/>
        <v/>
      </c>
      <c r="GJ188" t="str">
        <f t="shared" si="258"/>
        <v/>
      </c>
      <c r="GK188" t="str">
        <f>IF(D188="","",IFERROR(VLOOKUP(D188,УГО_спр,2,FALSE),IFERROR(VLOOKUP(AT188,УГО_спр,2,FALSE),IFERROR(VLOOKUP(LEFT(AT188,2),УГО_спр,2,FALSE),""))))</f>
        <v>Розетка</v>
      </c>
      <c r="GL188" t="str">
        <f>IF(D188="","",IF(OR(GK188="",GK188=0),"BOX",IFERROR(IF(VLOOKUP(GK188,УГО_блоки,3,FALSE)&amp;""&lt;&gt;"",VLOOKUP(GK188,УГО_блоки,3,FALSE),VLOOKUP(GK188,УГО_блоки,2,FALSE)),GK188)))</f>
        <v>SOCKET</v>
      </c>
      <c r="GM188">
        <f t="shared" si="259"/>
        <v>1</v>
      </c>
      <c r="GN188" t="str">
        <f>IF(EP188="","",IF(COUNTIF(EP$3:EP188,EP188)=1,MAX(GN$2:GN187)+1,""))</f>
        <v/>
      </c>
      <c r="GO188" t="str">
        <f>IF(AF188="","",IF(COUNTIF(AF$3:AF188,AF188)+COUNTIF(AG$2:AG187,AF188)+COUNTIF(AH$2:AH187,AF188)=1,MAX(GO$2:GQ187)+1,""))</f>
        <v/>
      </c>
      <c r="GP188" t="str">
        <f>IF(AG188="","",IF(COUNTIF(AF$3:AF188,AG188)+COUNTIF(AG$3:AG188,AG188)+COUNTIF(AH$2:AH187,AG188)=1,MAX(GO$2:GQ187,GO188)+1,""))</f>
        <v/>
      </c>
      <c r="GQ188" t="str">
        <f>IF(AH188="","",IF(COUNTIF(AF$3:AF188,AH188)+COUNTIF(AG$3:AG188,AH188)+COUNTIF(AH$3:AH188,AH188)=1,MAX(GO$2:GQ187,GO188,GP188)+1,""))</f>
        <v/>
      </c>
      <c r="GR188" t="str">
        <f t="shared" si="260"/>
        <v>3х2,5</v>
      </c>
      <c r="GS188" t="str">
        <f>IF(GR188="","",IF(COUNTIF(GR$3:GR188,GR188)=1,MAX(GS$2:GS187)+1,""))</f>
        <v/>
      </c>
      <c r="GT188" t="str">
        <f>IF(ES188="","",COUNTIF(ES$3:ES188,"?*"))</f>
        <v/>
      </c>
      <c r="GU188" t="str">
        <f>IF(OR(ES188="",EU188=""),"",IF(COUNTIFS(ES$3:ES188,"?*",EU$3:EU188,EU188)=1,MAX(GU$2:GU187)+1,""))</f>
        <v/>
      </c>
      <c r="GV188">
        <f t="shared" si="261"/>
        <v>0</v>
      </c>
      <c r="GW188">
        <f>IF(D188="","",COUNTIF(D$3:D188,"?*"))</f>
        <v>186</v>
      </c>
      <c r="GX188">
        <f>IF(EX188&lt;&gt;1,0,_xlfn.LET(_xlpm.k,MAX(IFERROR(--VLOOKUP(D188,УГО_спр,5,FALSE),0),IFERROR(--VLOOKUP(AT188,УГО_спр,5,FALSE),0),IFERROR(--VLOOKUP(LEFT(AT188,2),УГО_спр,5,FALSE),0)),IF(_xlpm.k&gt;0,_xlpm.k,IF(IFERROR(--LEFT(SUBSTITUTE(GR188,"x","х"),FIND("х",SUBSTITUTE(GR188,"x","х"))-1),3)&gt;3,Каталог!$S$9,1))))</f>
        <v>1</v>
      </c>
      <c r="GY188">
        <f t="shared" si="262"/>
        <v>0</v>
      </c>
    </row>
    <row r="189" spans="1:207" x14ac:dyDescent="0.3">
      <c r="A189" t="s">
        <v>760</v>
      </c>
      <c r="B189">
        <v>13</v>
      </c>
      <c r="C189" t="str">
        <f>IF(BD189="","",IF(BE189="вводной узел","узел ","")&amp;"л."&amp;(INT((BD189-1)/Столбцов_на_лист)+1)&amp;" / "&amp;(MOD(BD189-1,Столбцов_на_лист)+1))</f>
        <v>л.1 / 13</v>
      </c>
      <c r="D189" t="s">
        <v>1497</v>
      </c>
      <c r="E189" s="133" t="str">
        <f t="shared" si="263"/>
        <v>Розеточная группа Цокольный этаж Пом. №002Б</v>
      </c>
      <c r="G189">
        <v>0.24</v>
      </c>
      <c r="H189">
        <v>4</v>
      </c>
      <c r="I189">
        <v>1</v>
      </c>
      <c r="J189">
        <v>230</v>
      </c>
      <c r="K189" t="s">
        <v>566</v>
      </c>
      <c r="O189">
        <v>3</v>
      </c>
      <c r="P189">
        <v>24</v>
      </c>
      <c r="Q189">
        <v>0</v>
      </c>
      <c r="R189">
        <v>0</v>
      </c>
      <c r="S189">
        <v>24</v>
      </c>
      <c r="U189" t="s">
        <v>11</v>
      </c>
      <c r="V189">
        <v>3</v>
      </c>
      <c r="W189">
        <v>2.5</v>
      </c>
      <c r="Z189" t="s">
        <v>565</v>
      </c>
      <c r="AA189" t="s">
        <v>818</v>
      </c>
      <c r="AD189" t="s">
        <v>517</v>
      </c>
      <c r="AR189" t="str">
        <f t="shared" si="176"/>
        <v/>
      </c>
      <c r="AS189" cm="1">
        <f t="array" ref="AS189">ROW()-ROW(Линии[#Headers])</f>
        <v>187</v>
      </c>
      <c r="AT189" t="str">
        <f t="shared" si="177"/>
        <v>R</v>
      </c>
      <c r="AU189" t="str">
        <f t="shared" si="178"/>
        <v>0.002Б.1</v>
      </c>
      <c r="AV189" t="str">
        <f t="shared" si="179"/>
        <v>0</v>
      </c>
      <c r="AW189" t="str">
        <f t="shared" si="180"/>
        <v>002Б.1</v>
      </c>
      <c r="AX189" t="str">
        <f t="shared" si="181"/>
        <v>002Б</v>
      </c>
      <c r="AY189" t="str">
        <f>IF(D189="","",IF(ISERROR(SEARCH(".",D189)),IFERROR(VLOOKUP(D189,Потребители_обозначение,2,FALSE)&amp;"",""),IFERROR(IF(VLOOKUP(AT189,Потребители_обозначение,4,FALSE)=1,VLOOKUP(AT189,Потребители_обозначение,2,FALSE)&amp;" "&amp;VLOOKUP(AV189,Этаж_обозначение,2,FALSE)&amp;" Пом. №"&amp;AX189,VLOOKUP(AT189,Потребители_обозначение,2,FALSE)&amp;" Шлейф №"&amp;AV189),IFERROR(VLOOKUP(D189,Потребители_обозначение,2,FALSE),""))))</f>
        <v>Розеточная группа Цокольный этаж Пом. №002Б</v>
      </c>
      <c r="AZ189" t="str">
        <f t="shared" si="182"/>
        <v>Розеточная группа Цокольный этаж Пом. №002Б</v>
      </c>
      <c r="BA189" t="str">
        <f>IF(F189&lt;&gt;"",F189,IF(AND(D189&lt;&gt;"",D189&lt;&gt;A189,ISNUMBER(_xlfn.XMATCH(D189,Щиты[Щит]))),D189,""))</f>
        <v/>
      </c>
      <c r="BB189">
        <f>IFERROR(_xlfn.XMATCH(A189,Щиты[Щит]),0)</f>
        <v>9</v>
      </c>
      <c r="BC189">
        <f>IFERROR(N(_xlfn.XLOOKUP(A189,Щиты[Щит],Щиты[Мест под вводной узел])),15)</f>
        <v>8</v>
      </c>
      <c r="BD189">
        <f t="shared" si="183"/>
        <v>13</v>
      </c>
      <c r="BE189" t="str">
        <f t="shared" si="184"/>
        <v>линии</v>
      </c>
      <c r="BF189">
        <f>IF(D189="","",IF(BA189&lt;&gt;"",IFERROR(_xlfn.XLOOKUP(BA189,Щиты[Щит],Щиты[Руст, кВт]),0),N(G189)))</f>
        <v>0.24</v>
      </c>
      <c r="BG189">
        <f>IF(J189&lt;&gt;"",J189,IF(D189="","",IFERROR(IF(VLOOKUP(AT189,Потребители_обозначение,8,FALSE)=0,"",VLOOKUP(AT189,Потребители_обозначение,8,FALSE)),"")))</f>
        <v>230</v>
      </c>
      <c r="BH189">
        <f>IF(I189&lt;&gt;"",I189,IF(D189="","",IFERROR(IF(VLOOKUP(AT189,Потребители_обозначение,9,FALSE)=0,"",VLOOKUP(AT189,Потребители_обозначение,9,FALSE)),"")))</f>
        <v>1</v>
      </c>
      <c r="BI189" t="str">
        <f>IF(U189&lt;&gt;"",U189,IF(D189="","",IFERROR(IF(VLOOKUP(AT189,Потребители_обозначение,6,FALSE)=0,"",VLOOKUP(AT189,Потребители_обозначение,6,FALSE)),"")))</f>
        <v>мс</v>
      </c>
      <c r="BJ189">
        <f>IF(V189&lt;&gt;"",V189,IF(D189="","",IFERROR(IF(VLOOKUP(AT189,Потребители_обозначение,7,FALSE)=0,"",VLOOKUP(AT189,Потребители_обозначение,7,FALSE)),"")))</f>
        <v>3</v>
      </c>
      <c r="BK189">
        <f>IF(W189&lt;&gt;"",W189,IF(D189="","",IFERROR(IF(VLOOKUP(AT189,Потребители_обозначение,10,FALSE)=0,"",VLOOKUP(AT189,Потребители_обозначение,10,FALSE)),"")))</f>
        <v>2.5</v>
      </c>
      <c r="BL189">
        <f>IFERROR(VLOOKUP(AT189,Потребители_обозначение,5,FALSE),0)</f>
        <v>1</v>
      </c>
      <c r="BM189" cm="1">
        <f t="array" ref="BM189">IF(D189="","",IF(BA189&lt;&gt;"",IFERROR(_xlfn.XLOOKUP(BA189,Щиты[Щит],Щиты[cos φ]),0.95),IF(ISNUMBER(M189),M189,IFERROR(IF(BL189=2,_xlfn.IFS(BH189=3,VLOOKUP(BF189,Справочная_двигатели,8,FALSE),BH189=1,VLOOKUP(BF189,Справочная_двигатели,10,TRUE)),IF(AND(Методика="нормы 2026",CN189="Сил"),0.8,0.95)),0.95))))</f>
        <v>0.95</v>
      </c>
      <c r="BN189" cm="1">
        <f t="array" ref="BN189">IF(D189="","",IF(BA189&lt;&gt;"",IFERROR(_xlfn.XLOOKUP(BA189,Щиты[Щит],Щиты[Iр, А]),""),IFERROR(_xlfn.IFS(BH189=1,BF189/((Uн_лин/SQRT(3))*BM189),BH189=3,BF189/(SQRT(3)*Uн_лин*BM189)),"")))</f>
        <v>1.0939268258329751</v>
      </c>
      <c r="BO189">
        <f>IF(D189="","",IF(N(X189)=0,IFERROR(VLOOKUP(BN189,Автомат_номиналы,2,TRUE),""),X189))</f>
        <v>6</v>
      </c>
      <c r="BP189">
        <f t="shared" si="185"/>
        <v>1</v>
      </c>
      <c r="BQ189">
        <f>IF(ISNUMBER(Y189),Y189,К_прокл)</f>
        <v>1</v>
      </c>
      <c r="BR189">
        <f t="shared" si="186"/>
        <v>2</v>
      </c>
      <c r="BS189" cm="1">
        <f t="array" ref="BS189">IF(D189="","",IF(N(BK189)&lt;&gt;0,BK189,IFERROR(_xlfn.LET(_xlpm.need,BO189/(BP189*BQ189),_xlpm.t,CHOOSE(BR189,Iдоп_1ж,Iдоп_2ж,Iдоп_3ж),_xlpm.k,_xlfn.XMATCH(_xlpm.need,_xlpm.t,1),IF(ISNA(_xlpm.k),"Не исп",INDEX(Iдоп_S,_xlpm.k))),"Не исп")))</f>
        <v>2.5</v>
      </c>
      <c r="BT189">
        <f>IFERROR(VLOOKUP(BS189,Кабель_сопротивление,3,FALSE),"")</f>
        <v>2.2499999999999999E-2</v>
      </c>
      <c r="BU189">
        <f>IFERROR(VLOOKUP(BS189,Кабель_сопротивление,2,FALSE),"")</f>
        <v>0.1</v>
      </c>
      <c r="BV189">
        <f t="shared" si="187"/>
        <v>24</v>
      </c>
      <c r="BW189">
        <f>IF(D189="","",IFERROR(IF(VLOOKUP(AT189,Потребители_обозначение,4,FALSE)=1,VLOOKUP(AT189,Потребители_обозначение,3,FALSE)*(H189*2-1)+BV189+VLOOKUP(AV189,Этаж_обозначение,3,FALSE)+VLOOKUP(AV189,Этаж_обозначение,4,FALSE),VLOOKUP(AT189,Потребители_обозначение,3,FALSE)*(H189*2-1)+BV189),BV189))</f>
        <v>45</v>
      </c>
      <c r="BX189">
        <f t="shared" si="188"/>
        <v>0</v>
      </c>
      <c r="BY189">
        <f t="shared" si="189"/>
        <v>24</v>
      </c>
      <c r="BZ189">
        <f t="shared" si="190"/>
        <v>2</v>
      </c>
      <c r="CA189">
        <f t="shared" si="191"/>
        <v>0.31</v>
      </c>
      <c r="CB189">
        <f t="shared" si="192"/>
        <v>0.84482874832254828</v>
      </c>
      <c r="CC189">
        <f>IFERROR(ROUNDUP(CB189/((Uн_лин/SQRT(3))*1000)*100,2),"")</f>
        <v>0.37</v>
      </c>
      <c r="CD189">
        <f>IF(ISNUMBER(CC189),CC189+IFERROR(_xlfn.XLOOKUP(A189,Щиты[Щит],Щиты[ΔU до шин, %]),0),"")</f>
        <v>0.8</v>
      </c>
      <c r="CE189">
        <f>IF(D189="","",IF(IFERROR(VLOOKUP(AT189,УГО_спр,2,FALSE),"")="Светильник",3,4)+IF(Методика="нормы 2026",MIN(0.5,MAX(0,N(BW189)-100)*0.005),0))</f>
        <v>4</v>
      </c>
      <c r="CF189" t="str">
        <f>IFERROR(VLOOKUP(BI189,Кабель_обозначение,2,FALSE),"")</f>
        <v>ВВГнг(А)-LS</v>
      </c>
      <c r="CG189" t="str">
        <f>IFERROR(IF(VLOOKUP(BI189,Кабель_обозначение,3,FALSE)=1,CF189&amp;" ("&amp;BJ189&amp;"х"&amp;BS189&amp;")",CF189),"")</f>
        <v>ВВГнг(А)-LS (3х2,5)</v>
      </c>
      <c r="CH189" t="str">
        <f t="shared" si="193"/>
        <v>ВВГнг(А)-LS (3х2,5)
L=45-0,37%</v>
      </c>
      <c r="CI189">
        <f>IFERROR(2*ρкз_Cu*BW189/BS189,"")</f>
        <v>0.94679999999999997</v>
      </c>
      <c r="CJ189">
        <f t="shared" si="194"/>
        <v>0.31500000000000006</v>
      </c>
      <c r="CK189" t="str">
        <f>IFERROR(IF(OR(D189="",NOT(ISNUMBER(BS189)),N(BW189)=0),"",_xlfn.XLOOKUP(A189,Щиты[Щит],Щиты[Zпетли на шинах, Ом])+CI189),"")</f>
        <v/>
      </c>
      <c r="CL189" t="str">
        <f>IF(ISNUMBER(CK189),c_min*(Uн_лин*1000/SQRT(3))/CK189,"")</f>
        <v/>
      </c>
      <c r="CM189" t="str">
        <f>IFERROR(IF(OR(D189="",NOT(ISNUMBER(BS189))),"",1.05*(Uн_лин*1000/SQRT(3))/(_xlfn.XLOOKUP(A189,Щиты[Щит],Щиты[Zmax на шинах, Ом])+CJ189)/1000),"")</f>
        <v/>
      </c>
      <c r="CN189" t="str">
        <f>IF(D189="","",IF(BA189&lt;&gt;"","Щит",IF(K189&lt;&gt;"",K189,IF(ISNUMBER(L189),"Сил",IF(IFERROR(_xlfn.XLOOKUP(AT189,Коды_код,Коды_группа)&amp;"","")="","Быт",_xlfn.XLOOKUP(AT189,Коды_код,Коды_группа)&amp;"")))))</f>
        <v>Быт</v>
      </c>
      <c r="CO189">
        <f>IF(CN189="Щит","щит",IF(CN189="","",IF(CN189="Быт",IFERROR(_xlfn.XLOOKUP(A189,Щиты[Щит],Щиты[Кс быт]),1),IF(CN189="Сил",IF(ISNUMBER(L189),L189,IF(Методика="нормы 2026",IFERROR(_xlfn.XLOOKUP(A189,Щиты[Щит],Щиты[Кс силовых (табл. 7.5)]),1),1)),IF(OR(CN189="Пост",CN189="Отоп"),1,IF(CN189="ВНГ",0.7,0))))))</f>
        <v>0.79799999999999993</v>
      </c>
      <c r="CP189">
        <f t="shared" si="195"/>
        <v>1</v>
      </c>
      <c r="CQ189">
        <f t="shared" si="196"/>
        <v>0.24</v>
      </c>
      <c r="CR189">
        <f t="shared" si="197"/>
        <v>0.24</v>
      </c>
      <c r="CS189">
        <f t="shared" si="198"/>
        <v>0</v>
      </c>
      <c r="CT189">
        <f t="shared" si="199"/>
        <v>0</v>
      </c>
      <c r="CU189">
        <f t="shared" si="200"/>
        <v>0</v>
      </c>
      <c r="CV189">
        <f t="shared" si="201"/>
        <v>0</v>
      </c>
      <c r="CW189">
        <f t="shared" si="202"/>
        <v>0.24</v>
      </c>
      <c r="CX189">
        <f t="shared" si="203"/>
        <v>0.22799999999999998</v>
      </c>
      <c r="CY189">
        <f t="shared" si="204"/>
        <v>2</v>
      </c>
      <c r="CZ189" t="str">
        <f t="shared" si="205"/>
        <v>L2</v>
      </c>
      <c r="DA189" cm="1">
        <f t="array" ref="DA189">IFERROR(IF(BL189=2,_xlfn.IFS(BH189=3,VLOOKUP(BF189,Справочная_двигатели,3,FALSE),BH189=1,VLOOKUP(BF189,Справочная_двигатели,5,TRUE)),0),0)</f>
        <v>0</v>
      </c>
      <c r="DB189">
        <f>IFERROR(IF(BL189=3,VLOOKUP(BF189,Справочная_ЛЭД,2,TRUE),0),0)</f>
        <v>0</v>
      </c>
      <c r="DC189">
        <f t="shared" si="206"/>
        <v>0</v>
      </c>
      <c r="DD189" t="str">
        <f t="shared" si="207"/>
        <v>L3</v>
      </c>
      <c r="DE189" t="str" cm="1">
        <f t="array" ref="DE189">IF(D189="","",IFERROR(INDEX({"I особая","I","II","III"},MATCH(TRIM(AA189&amp;""),{"I особая","I","II","III"},0)),"III"))</f>
        <v>II</v>
      </c>
      <c r="DF189" t="str">
        <f>IF(D189="","",IF(TRIM(AB189&amp;"")&lt;&gt;"",IF(LOWER(TRIM(AB189&amp;""))="да","да","нет"),IF(IFERROR(_xlfn.XLOOKUP(AT189,Коды_код,Коды_пожарная),"")="да","да","нет")))</f>
        <v>нет</v>
      </c>
      <c r="DG189" t="str">
        <f t="shared" si="208"/>
        <v/>
      </c>
      <c r="DH189" t="str">
        <f t="shared" si="209"/>
        <v>основная</v>
      </c>
      <c r="DI189">
        <f t="shared" si="210"/>
        <v>1</v>
      </c>
      <c r="DJ189" t="str" cm="1">
        <f t="array" ref="DJ189">IF(D189="","",_xlfn.LET(_xlpm.t,IFERROR(_xlfn.XLOOKUP(1,(Шины[Шина]=DH189)*(((Шины[Щит]=A189)+(Шины[Щит]=""))&gt;0),Шины[Тип]),"")&amp;"",IF(_xlpm.t&lt;&gt;"",_xlpm.t,IF(ISNUMBER(SEARCH("ИБП",DH189)),"ИБП",IF(ISNUMBER(SEARCH("ДГУ",DH189)),"ДГУ","Ввод "&amp;DI189)))))</f>
        <v>Ввод 1</v>
      </c>
      <c r="DK189" t="str">
        <f t="shared" si="211"/>
        <v>Ввод 1</v>
      </c>
      <c r="DL189" t="str">
        <f>IF(D189="","",IF(OR(DJ189="ИБП",DJ189="ДГУ"),"I особая",IF(DJ189="Одиночная","III",_xlfn.XLOOKUP(A189,Щиты[Щит],Щиты[Категория шины «Ввод»],"III"))))</f>
        <v>II</v>
      </c>
      <c r="DM189">
        <f>IF(D189="",0,IFERROR(MATCH(DE189,{"III","II","I","I особая"},0),1))</f>
        <v>2</v>
      </c>
      <c r="DN189">
        <f t="shared" si="212"/>
        <v>2</v>
      </c>
      <c r="DO189" t="str">
        <f>IF(D189="","",IF(DM189&gt;IFERROR(MATCH(DL189,{"III","II","I","I особая"},0),1),"НЕ ОБЕСПЕЧЕНА","ОК"))</f>
        <v>ОК</v>
      </c>
      <c r="DP189" t="str">
        <f>IF(A189="","",_xlfn.XLOOKUP(A189,Щиты[Щит],Щиты[Путь],""))</f>
        <v>|ГРЩ-ЖД|ЩР-01|</v>
      </c>
      <c r="DQ189" t="str">
        <f>IF(D189="","",IF(Z189&lt;&gt;"",Z189,IF(IFERROR(_xlfn.XLOOKUP(AT189,Коды_код,Коды_вид)&amp;"","")="","Прочее",_xlfn.XLOOKUP(AT189,Коды_код,Коды_вид)&amp;"")))</f>
        <v>Розеточная сеть и бытовые приборы</v>
      </c>
      <c r="DR189">
        <f>IF(BD189="","",INT((BD189-1)/Столбцов_на_лист)+1)</f>
        <v>1</v>
      </c>
      <c r="DS189" t="str">
        <f t="shared" si="213"/>
        <v>ВВГнг(А)-LS (3х2,5) L=45-0,37%</v>
      </c>
      <c r="DT189">
        <f t="shared" si="214"/>
        <v>0.24</v>
      </c>
      <c r="DU189">
        <f t="shared" si="215"/>
        <v>1.1000000000000001</v>
      </c>
      <c r="DV189">
        <f t="shared" si="216"/>
        <v>1</v>
      </c>
      <c r="DW189">
        <f>IF(AT189="",0,_xlfn.LET(_xlpm.v,IFERROR(VLOOKUP(D189,УГО_спр,3,FALSE),IFERROR(VLOOKUP(AT189,УГО_спр,3,FALSE),IFERROR(VLOOKUP(LEFT(AT189,2),УГО_спр,3,FALSE),""))),IF(_xlpm.v="да",30,IF(ISNUMBER(_xlpm.v),_xlpm.v,0))))</f>
        <v>30</v>
      </c>
      <c r="DX189">
        <f t="shared" si="217"/>
        <v>0</v>
      </c>
      <c r="DY189">
        <f>IF(BD189="","",IF(AD189&lt;&gt;"",COUNTIFS(A$3:A189,A189,AD$3:AD189,"?*"),IF(OR(OR(AS189=1,A189&lt;&gt;A188),AL189="вручную"),"",IF(AS189=1,"",DZ188))))</f>
        <v>5</v>
      </c>
      <c r="DZ189">
        <f t="shared" si="218"/>
        <v>5</v>
      </c>
      <c r="EA189">
        <f>IF(D189="",0,MAX(IFERROR(--X189,0),IFERROR(--VLOOKUP(D189,УГО_спр,4,FALSE),IFERROR(--VLOOKUP(AT189,УГО_спр,4,FALSE),IFERROR(--VLOOKUP(LEFT(AT189,2),УГО_спр,4,FALSE),0)))))</f>
        <v>16</v>
      </c>
      <c r="EB189">
        <f>IF(D189="","",IFERROR(LOOKUP(INDEX(CHOOSE(BR189,Iдоп_1ж,Iдоп_2ж,Iдоп_3ж),MATCH(BS189,Iдоп_S,0))*BP189*BQ189,{6,10,16,20,25,32,40,50,63,80,100,125,160,200,250,315,400,500,630}),""))</f>
        <v>25</v>
      </c>
      <c r="EC189">
        <f>IF(AD189="","",SUMIFS(Линии[_Ток схемы],Линии[_гр.],DY189,Линии[Щит],A189,Линии[_в кабель выше],0))</f>
        <v>1.1000000000000001</v>
      </c>
      <c r="ED189">
        <f>IF(AD189="","",IFERROR(VLOOKUP(EC189,Автомат_номиналы,2,TRUE),""))</f>
        <v>6</v>
      </c>
      <c r="EE189">
        <f>IF(AD189="","",MAX(N(ED189),_xlfn.MAXIFS(Линии[_мин. по типу],Линии[_гр.],DY189,Линии[Щит],A189)))</f>
        <v>16</v>
      </c>
      <c r="EF189">
        <f>IF(AD189="","",_xlfn.MINIFS(Линии[_макс. автомат по кабелю],Линии[_гр.],DY189,Линии[Щит],A189))</f>
        <v>25</v>
      </c>
      <c r="EG189">
        <f>IF(AD189="","",MAX(1,_xlfn.MAXIFS(Линии[_фаз],Линии[_гр.],DY189,Линии[Щит],A189)))</f>
        <v>1</v>
      </c>
      <c r="EH189">
        <f>IF(AD189="","",IF(AND(AD189&lt;&gt;"авто",AD189&lt;&gt;"+"),IF(ISNUMBER(SEARCH("мА",AD189)),IFERROR(--TRIM(RIGHT(SUBSTITUTE(LEFT(AD189,SEARCH("мА",AD189)-1)," ",REPT(" ",9)),6)),30),0),IF(AE189="нет",0,IF(ISNUMBER(AE189),AE189,IF(AE189="да",30,_xlfn.MINIFS(Линии[_дифзащита по коду, мА],Линии[_гр.],DY189,Линии[Щит],A189,Линии[_дифзащита по коду, мА],"&gt;0"))))))</f>
        <v>30</v>
      </c>
      <c r="EI189">
        <f t="shared" si="219"/>
        <v>1</v>
      </c>
      <c r="EJ189" t="str">
        <f t="shared" si="220"/>
        <v>QFD5</v>
      </c>
      <c r="EK189" t="str">
        <f t="shared" si="221"/>
        <v>QFD5</v>
      </c>
      <c r="EL189" t="str">
        <f t="shared" si="222"/>
        <v/>
      </c>
      <c r="EM189">
        <f t="shared" si="223"/>
        <v>0</v>
      </c>
      <c r="EN189">
        <f>IF(AD189="","",IF(EM189=1,MAX(EE189,Мин_автомат_БП),EE189))</f>
        <v>16</v>
      </c>
      <c r="EO189" t="str">
        <f t="shared" si="224"/>
        <v>2P</v>
      </c>
      <c r="EP189" t="str">
        <f t="shared" si="225"/>
        <v>2P С16А 30мА</v>
      </c>
      <c r="EQ189">
        <f t="shared" si="226"/>
        <v>16</v>
      </c>
      <c r="ER189" t="str">
        <f>IF(OR(AI189="",AI189="-"),"",IFERROR(VLOOKUP(AI189,Модули_спр,2,FALSE),"R"))</f>
        <v/>
      </c>
      <c r="ES189" t="str">
        <f>IF(ER189="","",ER189&amp;"."&amp;COUNTIFS(A$3:A189,A189,ER$3:ER189,ER189))</f>
        <v/>
      </c>
      <c r="ET189" t="str">
        <f t="shared" si="227"/>
        <v/>
      </c>
      <c r="EU189" t="str">
        <f t="shared" si="228"/>
        <v/>
      </c>
      <c r="EV189" t="str">
        <f t="shared" si="229"/>
        <v/>
      </c>
      <c r="EW189" t="str">
        <f t="shared" si="230"/>
        <v/>
      </c>
      <c r="EX189">
        <f t="shared" si="231"/>
        <v>1</v>
      </c>
      <c r="EY189" t="str">
        <f>IF(AK189="нет","",IF(AK189&lt;&gt;"",AK189,IF(EX189=1,"XT"&amp;COUNTIFS(A$3:A189,A189,EX$3:EX189,1),"")))</f>
        <v>XT5</v>
      </c>
      <c r="EZ189" t="str">
        <f t="shared" si="232"/>
        <v>QFD5</v>
      </c>
      <c r="FA189" t="str">
        <f t="shared" si="233"/>
        <v/>
      </c>
      <c r="FB189" t="str">
        <f t="shared" si="234"/>
        <v>ok</v>
      </c>
      <c r="FC189" t="str">
        <f>IF(OR(EV189="",ET189=""),"",IF(EV189&gt;IFERROR(VLOOKUP(EU189,Модули_спр,3,FALSE),99),"ЛИШНИЙ КАНАЛ",IF(AND(AJ189&lt;&gt;"=",COUNTIFS(Линии[_модуль гр.],ET189,Линии[Канал (итог)],EV189,Линии[Канал],"&lt;&gt;=",Линии[Щит],A189)&gt;1),"ДУБЛЬ КАНАЛА","")))</f>
        <v/>
      </c>
      <c r="FD189">
        <f t="shared" si="235"/>
        <v>16</v>
      </c>
      <c r="FE189" t="str">
        <f t="shared" si="236"/>
        <v>2P С16А 30мА</v>
      </c>
      <c r="FF189">
        <f t="shared" si="237"/>
        <v>1</v>
      </c>
      <c r="FG189">
        <f t="shared" si="238"/>
        <v>30</v>
      </c>
      <c r="FH189" t="str">
        <f t="shared" si="239"/>
        <v/>
      </c>
      <c r="FI189">
        <f t="shared" si="240"/>
        <v>10</v>
      </c>
      <c r="FJ189" t="str">
        <f t="shared" si="241"/>
        <v/>
      </c>
      <c r="FK189" t="str">
        <f>IF(AND(D189="",EZ189=""),"",_xlfn.TEXTJOIN("; ",TRUE,IF(AND(D189&lt;&gt;"",DD189=""),"нет фазы",""),IF(AND(D189&lt;&gt;"",N(DT189)=0,CN189&lt;&gt;"Нет"),"нет мощности",""),IF(AND(EY189&lt;&gt;"",COUNTIFS(Линии[Щит],A189,Линии[Клемма (итог)],EY189)&gt;1),"дубль клеммы "&amp;EY189,""),IF(AND(FB189&lt;&gt;"",FB189&lt;&gt;"ok"),FB189,""),IF(FC189&lt;&gt;"",FC189,""),IF(AND(ISNUMBER(SEARCH("(5х",DS189)),N(DV189)=1),"5 жил на 1 фазе",""),IF(AND(AT189="R",AD189&lt;&gt;"",OR(N(EH189)=0,N(EH189)&gt;30)),"розетка без дифзащиты до 30 мА",""),IFERROR(IF(AND(ISNUMBER(CD189),CD189&gt;CE189),"потери "&amp;FIXED(CD189,1)&amp;" % &gt; "&amp;CE189&amp;" %",""),""),IFERROR(IF(LEFT(FJ189,4)="мало","Iкз мало — отключение &gt; 0,4 с",""),""),IF(AND(D189&lt;&gt;"",BD189=""),"не на схеме","")))</f>
        <v/>
      </c>
      <c r="FL189">
        <f>IF(AD189="","",_xlfn.LET(_xlpm.t,IFERROR(_xlfn.XLOOKUP(EP189,Каталог!$U$4:$U$500,Каталог!$G$4:$G$500),""),_xlpm.k,SEARCH("кА",_xlpm.t),IFERROR(--TRIM(RIGHT(SUBSTITUTE(MID(_xlpm.t,MAX(1,_xlpm.k-4),_xlpm.k-MAX(1,_xlpm.k-4))," ",REPT(" ",9)),5)),"")))</f>
        <v>6</v>
      </c>
      <c r="FM189" t="str">
        <f>IF(OR(FL189="",AD189=""),"",IF(_xlfn.XLOOKUP(A189,Щиты[Щит],Щиты[Iкз max на шинах, кА],"")="","",IF(FL189&lt;_xlfn.XLOOKUP(A189,Щиты[Щит],Щиты[Iкз max на шинах, кА]),"Icu "&amp;FL189&amp;" кА &lt; Iкз max","ok")))</f>
        <v/>
      </c>
      <c r="FN189" t="str">
        <f t="shared" si="242"/>
        <v>QFD5|XT5</v>
      </c>
      <c r="FO189" t="str">
        <f t="shared" si="243"/>
        <v>QFD5|XT5|кабель ВВГнг(А)-LS (3х2,5) → Розеточная группа Цокольный этаж Пом. №002Б</v>
      </c>
      <c r="FP189" t="str" cm="1">
        <f t="array" ref="FP189">IF(FO189="","",_xlfn.LET(_xlpm.nd,_xlfn.TEXTSPLIT(FO189,"|"),IF(COLUMNS(_xlpm.nd)&gt;1,A189&amp;"¦"&amp;INDEX(_xlpm.nd,1)&amp;"¦"&amp;INDEX(_xlpm.nd,2),"")))</f>
        <v>ЩР-01¦QFD5¦XT5</v>
      </c>
      <c r="FQ189" t="str">
        <f t="shared" si="244"/>
        <v>R.0.002Б.1¦Розеточная группа Цокольный этаж Пом. №002Б</v>
      </c>
      <c r="FR189" t="str" cm="1">
        <f t="array" ref="FR189">IF(FO189="","",_xlfn.LET(_xlpm.nd,_xlfn.TEXTSPLIT(FO189,"|"),IF(COLUMNS(_xlpm.nd)&gt;2,A189&amp;"¦"&amp;INDEX(_xlpm.nd,2)&amp;"¦"&amp;INDEX(_xlpm.nd,3),"")))</f>
        <v>ЩР-01¦XT5¦кабель ВВГнг(А)-LS (3х2,5) → Розеточная группа Цокольный этаж Пом. №002Б</v>
      </c>
      <c r="FS189" t="str">
        <f t="shared" si="245"/>
        <v>R.0.002Б.1¦Розеточная группа Цокольный этаж Пом. №002Б</v>
      </c>
      <c r="FT189" t="str" cm="1">
        <f t="array" ref="FT189">IF(FO189="","",_xlfn.LET(_xlpm.nd,_xlfn.TEXTSPLIT(FO189,"|"),IF(COLUMNS(_xlpm.nd)&gt;3,A189&amp;"¦"&amp;INDEX(_xlpm.nd,3)&amp;"¦"&amp;INDEX(_xlpm.nd,4),"")))</f>
        <v/>
      </c>
      <c r="FU189" t="str">
        <f t="shared" si="246"/>
        <v/>
      </c>
      <c r="FV189" t="str" cm="1">
        <f t="array" ref="FV189">IF(FO189="","",_xlfn.LET(_xlpm.nd,_xlfn.TEXTSPLIT(FO189,"|"),IF(COLUMNS(_xlpm.nd)&gt;4,A189&amp;"¦"&amp;INDEX(_xlpm.nd,4)&amp;"¦"&amp;INDEX(_xlpm.nd,5),"")))</f>
        <v/>
      </c>
      <c r="FW189" t="str">
        <f t="shared" si="247"/>
        <v/>
      </c>
      <c r="FX189" t="str" cm="1">
        <f t="array" ref="FX189">IF(FO189="","",_xlfn.LET(_xlpm.nd,_xlfn.TEXTSPLIT(FO189,"|"),IF(COLUMNS(_xlpm.nd)&gt;5,A189&amp;"¦"&amp;INDEX(_xlpm.nd,5)&amp;"¦"&amp;INDEX(_xlpm.nd,6),"")))</f>
        <v/>
      </c>
      <c r="FY189" t="str">
        <f t="shared" si="248"/>
        <v/>
      </c>
      <c r="FZ189" t="str" cm="1">
        <f t="array" ref="FZ189">IF(FO189="","",_xlfn.LET(_xlpm.nd,_xlfn.TEXTSPLIT(FO189,"|"),IF(COLUMNS(_xlpm.nd)&gt;6,A189&amp;"¦"&amp;INDEX(_xlpm.nd,6)&amp;"¦"&amp;INDEX(_xlpm.nd,7),"")))</f>
        <v/>
      </c>
      <c r="GA189" t="str">
        <f t="shared" si="249"/>
        <v/>
      </c>
      <c r="GB189" t="str">
        <f t="shared" si="250"/>
        <v/>
      </c>
      <c r="GC189" t="str">
        <f t="shared" si="251"/>
        <v>QFD5 → XT5</v>
      </c>
      <c r="GD189">
        <f t="shared" si="252"/>
        <v>1</v>
      </c>
      <c r="GE189">
        <f t="shared" si="253"/>
        <v>0</v>
      </c>
      <c r="GF189">
        <f t="shared" si="254"/>
        <v>1</v>
      </c>
      <c r="GG189" t="str">
        <f t="shared" si="255"/>
        <v/>
      </c>
      <c r="GH189" t="str">
        <f t="shared" si="256"/>
        <v/>
      </c>
      <c r="GI189" t="str">
        <f t="shared" si="257"/>
        <v/>
      </c>
      <c r="GJ189" t="str">
        <f t="shared" si="258"/>
        <v/>
      </c>
      <c r="GK189" t="str">
        <f>IF(D189="","",IFERROR(VLOOKUP(D189,УГО_спр,2,FALSE),IFERROR(VLOOKUP(AT189,УГО_спр,2,FALSE),IFERROR(VLOOKUP(LEFT(AT189,2),УГО_спр,2,FALSE),""))))</f>
        <v>Розетка</v>
      </c>
      <c r="GL189" t="str">
        <f>IF(D189="","",IF(OR(GK189="",GK189=0),"BOX",IFERROR(IF(VLOOKUP(GK189,УГО_блоки,3,FALSE)&amp;""&lt;&gt;"",VLOOKUP(GK189,УГО_блоки,3,FALSE),VLOOKUP(GK189,УГО_блоки,2,FALSE)),GK189)))</f>
        <v>SOCKET</v>
      </c>
      <c r="GM189">
        <f t="shared" si="259"/>
        <v>1</v>
      </c>
      <c r="GN189" t="str">
        <f>IF(EP189="","",IF(COUNTIF(EP$3:EP189,EP189)=1,MAX(GN$2:GN188)+1,""))</f>
        <v/>
      </c>
      <c r="GO189" t="str">
        <f>IF(AF189="","",IF(COUNTIF(AF$3:AF189,AF189)+COUNTIF(AG$2:AG188,AF189)+COUNTIF(AH$2:AH188,AF189)=1,MAX(GO$2:GQ188)+1,""))</f>
        <v/>
      </c>
      <c r="GP189" t="str">
        <f>IF(AG189="","",IF(COUNTIF(AF$3:AF189,AG189)+COUNTIF(AG$3:AG189,AG189)+COUNTIF(AH$2:AH188,AG189)=1,MAX(GO$2:GQ188,GO189)+1,""))</f>
        <v/>
      </c>
      <c r="GQ189" t="str">
        <f>IF(AH189="","",IF(COUNTIF(AF$3:AF189,AH189)+COUNTIF(AG$3:AG189,AH189)+COUNTIF(AH$3:AH189,AH189)=1,MAX(GO$2:GQ188,GO189,GP189)+1,""))</f>
        <v/>
      </c>
      <c r="GR189" t="str">
        <f t="shared" si="260"/>
        <v>3х2,5</v>
      </c>
      <c r="GS189" t="str">
        <f>IF(GR189="","",IF(COUNTIF(GR$3:GR189,GR189)=1,MAX(GS$2:GS188)+1,""))</f>
        <v/>
      </c>
      <c r="GT189" t="str">
        <f>IF(ES189="","",COUNTIF(ES$3:ES189,"?*"))</f>
        <v/>
      </c>
      <c r="GU189" t="str">
        <f>IF(OR(ES189="",EU189=""),"",IF(COUNTIFS(ES$3:ES189,"?*",EU$3:EU189,EU189)=1,MAX(GU$2:GU188)+1,""))</f>
        <v/>
      </c>
      <c r="GV189">
        <f t="shared" si="261"/>
        <v>0</v>
      </c>
      <c r="GW189">
        <f>IF(D189="","",COUNTIF(D$3:D189,"?*"))</f>
        <v>187</v>
      </c>
      <c r="GX189">
        <f>IF(EX189&lt;&gt;1,0,_xlfn.LET(_xlpm.k,MAX(IFERROR(--VLOOKUP(D189,УГО_спр,5,FALSE),0),IFERROR(--VLOOKUP(AT189,УГО_спр,5,FALSE),0),IFERROR(--VLOOKUP(LEFT(AT189,2),УГО_спр,5,FALSE),0)),IF(_xlpm.k&gt;0,_xlpm.k,IF(IFERROR(--LEFT(SUBSTITUTE(GR189,"x","х"),FIND("х",SUBSTITUTE(GR189,"x","х"))-1),3)&gt;3,Каталог!$S$9,1))))</f>
        <v>1</v>
      </c>
      <c r="GY189">
        <f t="shared" si="262"/>
        <v>0</v>
      </c>
    </row>
    <row r="190" spans="1:207" x14ac:dyDescent="0.3">
      <c r="A190" t="s">
        <v>760</v>
      </c>
      <c r="B190">
        <v>14</v>
      </c>
      <c r="C190" t="str">
        <f>IF(BD190="","",IF(BE190="вводной узел","узел ","")&amp;"л."&amp;(INT((BD190-1)/Столбцов_на_лист)+1)&amp;" / "&amp;(MOD(BD190-1,Столбцов_на_лист)+1))</f>
        <v>л.1 / 14</v>
      </c>
      <c r="D190" t="s">
        <v>1498</v>
      </c>
      <c r="E190" s="133" t="str">
        <f t="shared" si="263"/>
        <v>Розеточная группа Цокольный этаж Пом. №002Б</v>
      </c>
      <c r="G190">
        <v>0.54</v>
      </c>
      <c r="H190">
        <v>9</v>
      </c>
      <c r="I190">
        <v>1</v>
      </c>
      <c r="J190">
        <v>230</v>
      </c>
      <c r="K190" t="s">
        <v>566</v>
      </c>
      <c r="O190">
        <v>3</v>
      </c>
      <c r="P190">
        <v>70</v>
      </c>
      <c r="Q190">
        <v>0</v>
      </c>
      <c r="R190">
        <v>0</v>
      </c>
      <c r="S190">
        <v>70</v>
      </c>
      <c r="U190" t="s">
        <v>11</v>
      </c>
      <c r="V190">
        <v>3</v>
      </c>
      <c r="W190">
        <v>2.5</v>
      </c>
      <c r="Z190" t="s">
        <v>565</v>
      </c>
      <c r="AA190" t="s">
        <v>818</v>
      </c>
      <c r="AD190" t="s">
        <v>517</v>
      </c>
      <c r="AR190" t="str">
        <f t="shared" si="176"/>
        <v/>
      </c>
      <c r="AS190" cm="1">
        <f t="array" ref="AS190">ROW()-ROW(Линии[#Headers])</f>
        <v>188</v>
      </c>
      <c r="AT190" t="str">
        <f t="shared" si="177"/>
        <v>R</v>
      </c>
      <c r="AU190" t="str">
        <f t="shared" si="178"/>
        <v>0.002Б.2</v>
      </c>
      <c r="AV190" t="str">
        <f t="shared" si="179"/>
        <v>0</v>
      </c>
      <c r="AW190" t="str">
        <f t="shared" si="180"/>
        <v>002Б.2</v>
      </c>
      <c r="AX190" t="str">
        <f t="shared" si="181"/>
        <v>002Б</v>
      </c>
      <c r="AY190" t="str">
        <f>IF(D190="","",IF(ISERROR(SEARCH(".",D190)),IFERROR(VLOOKUP(D190,Потребители_обозначение,2,FALSE)&amp;"",""),IFERROR(IF(VLOOKUP(AT190,Потребители_обозначение,4,FALSE)=1,VLOOKUP(AT190,Потребители_обозначение,2,FALSE)&amp;" "&amp;VLOOKUP(AV190,Этаж_обозначение,2,FALSE)&amp;" Пом. №"&amp;AX190,VLOOKUP(AT190,Потребители_обозначение,2,FALSE)&amp;" Шлейф №"&amp;AV190),IFERROR(VLOOKUP(D190,Потребители_обозначение,2,FALSE),""))))</f>
        <v>Розеточная группа Цокольный этаж Пом. №002Б</v>
      </c>
      <c r="AZ190" t="str">
        <f t="shared" si="182"/>
        <v>Розеточная группа Цокольный этаж Пом. №002Б</v>
      </c>
      <c r="BA190" t="str">
        <f>IF(F190&lt;&gt;"",F190,IF(AND(D190&lt;&gt;"",D190&lt;&gt;A190,ISNUMBER(_xlfn.XMATCH(D190,Щиты[Щит]))),D190,""))</f>
        <v/>
      </c>
      <c r="BB190">
        <f>IFERROR(_xlfn.XMATCH(A190,Щиты[Щит]),0)</f>
        <v>9</v>
      </c>
      <c r="BC190">
        <f>IFERROR(N(_xlfn.XLOOKUP(A190,Щиты[Щит],Щиты[Мест под вводной узел])),15)</f>
        <v>8</v>
      </c>
      <c r="BD190">
        <f t="shared" si="183"/>
        <v>14</v>
      </c>
      <c r="BE190" t="str">
        <f t="shared" si="184"/>
        <v>линии</v>
      </c>
      <c r="BF190">
        <f>IF(D190="","",IF(BA190&lt;&gt;"",IFERROR(_xlfn.XLOOKUP(BA190,Щиты[Щит],Щиты[Руст, кВт]),0),N(G190)))</f>
        <v>0.54</v>
      </c>
      <c r="BG190">
        <f>IF(J190&lt;&gt;"",J190,IF(D190="","",IFERROR(IF(VLOOKUP(AT190,Потребители_обозначение,8,FALSE)=0,"",VLOOKUP(AT190,Потребители_обозначение,8,FALSE)),"")))</f>
        <v>230</v>
      </c>
      <c r="BH190">
        <f>IF(I190&lt;&gt;"",I190,IF(D190="","",IFERROR(IF(VLOOKUP(AT190,Потребители_обозначение,9,FALSE)=0,"",VLOOKUP(AT190,Потребители_обозначение,9,FALSE)),"")))</f>
        <v>1</v>
      </c>
      <c r="BI190" t="str">
        <f>IF(U190&lt;&gt;"",U190,IF(D190="","",IFERROR(IF(VLOOKUP(AT190,Потребители_обозначение,6,FALSE)=0,"",VLOOKUP(AT190,Потребители_обозначение,6,FALSE)),"")))</f>
        <v>мс</v>
      </c>
      <c r="BJ190">
        <f>IF(V190&lt;&gt;"",V190,IF(D190="","",IFERROR(IF(VLOOKUP(AT190,Потребители_обозначение,7,FALSE)=0,"",VLOOKUP(AT190,Потребители_обозначение,7,FALSE)),"")))</f>
        <v>3</v>
      </c>
      <c r="BK190">
        <f>IF(W190&lt;&gt;"",W190,IF(D190="","",IFERROR(IF(VLOOKUP(AT190,Потребители_обозначение,10,FALSE)=0,"",VLOOKUP(AT190,Потребители_обозначение,10,FALSE)),"")))</f>
        <v>2.5</v>
      </c>
      <c r="BL190">
        <f>IFERROR(VLOOKUP(AT190,Потребители_обозначение,5,FALSE),0)</f>
        <v>1</v>
      </c>
      <c r="BM190" cm="1">
        <f t="array" ref="BM190">IF(D190="","",IF(BA190&lt;&gt;"",IFERROR(_xlfn.XLOOKUP(BA190,Щиты[Щит],Щиты[cos φ]),0.95),IF(ISNUMBER(M190),M190,IFERROR(IF(BL190=2,_xlfn.IFS(BH190=3,VLOOKUP(BF190,Справочная_двигатели,8,FALSE),BH190=1,VLOOKUP(BF190,Справочная_двигатели,10,TRUE)),IF(AND(Методика="нормы 2026",CN190="Сил"),0.8,0.95)),0.95))))</f>
        <v>0.95</v>
      </c>
      <c r="BN190" cm="1">
        <f t="array" ref="BN190">IF(D190="","",IF(BA190&lt;&gt;"",IFERROR(_xlfn.XLOOKUP(BA190,Щиты[Щит],Щиты[Iр, А]),""),IFERROR(_xlfn.IFS(BH190=1,BF190/((Uн_лин/SQRT(3))*BM190),BH190=3,BF190/(SQRT(3)*Uн_лин*BM190)),"")))</f>
        <v>2.4613353581241939</v>
      </c>
      <c r="BO190">
        <f>IF(D190="","",IF(N(X190)=0,IFERROR(VLOOKUP(BN190,Автомат_номиналы,2,TRUE),""),X190))</f>
        <v>6</v>
      </c>
      <c r="BP190">
        <f t="shared" si="185"/>
        <v>1</v>
      </c>
      <c r="BQ190">
        <f>IF(ISNUMBER(Y190),Y190,К_прокл)</f>
        <v>1</v>
      </c>
      <c r="BR190">
        <f t="shared" si="186"/>
        <v>2</v>
      </c>
      <c r="BS190" cm="1">
        <f t="array" ref="BS190">IF(D190="","",IF(N(BK190)&lt;&gt;0,BK190,IFERROR(_xlfn.LET(_xlpm.need,BO190/(BP190*BQ190),_xlpm.t,CHOOSE(BR190,Iдоп_1ж,Iдоп_2ж,Iдоп_3ж),_xlpm.k,_xlfn.XMATCH(_xlpm.need,_xlpm.t,1),IF(ISNA(_xlpm.k),"Не исп",INDEX(Iдоп_S,_xlpm.k))),"Не исп")))</f>
        <v>2.5</v>
      </c>
      <c r="BT190">
        <f>IFERROR(VLOOKUP(BS190,Кабель_сопротивление,3,FALSE),"")</f>
        <v>2.2499999999999999E-2</v>
      </c>
      <c r="BU190">
        <f>IFERROR(VLOOKUP(BS190,Кабель_сопротивление,2,FALSE),"")</f>
        <v>0.1</v>
      </c>
      <c r="BV190">
        <f t="shared" si="187"/>
        <v>70</v>
      </c>
      <c r="BW190">
        <f>IF(D190="","",IFERROR(IF(VLOOKUP(AT190,Потребители_обозначение,4,FALSE)=1,VLOOKUP(AT190,Потребители_обозначение,3,FALSE)*(H190*2-1)+BV190+VLOOKUP(AV190,Этаж_обозначение,3,FALSE)+VLOOKUP(AV190,Этаж_обозначение,4,FALSE),VLOOKUP(AT190,Потребители_обозначение,3,FALSE)*(H190*2-1)+BV190),BV190))</f>
        <v>121</v>
      </c>
      <c r="BX190">
        <f t="shared" si="188"/>
        <v>0</v>
      </c>
      <c r="BY190">
        <f t="shared" si="189"/>
        <v>70</v>
      </c>
      <c r="BZ190">
        <f t="shared" si="190"/>
        <v>2</v>
      </c>
      <c r="CA190">
        <f t="shared" si="191"/>
        <v>0.31</v>
      </c>
      <c r="CB190">
        <f t="shared" si="192"/>
        <v>5.1112139273514172</v>
      </c>
      <c r="CC190">
        <f>IFERROR(ROUNDUP(CB190/((Uн_лин/SQRT(3))*1000)*100,2),"")</f>
        <v>2.2199999999999998</v>
      </c>
      <c r="CD190">
        <f>IF(ISNUMBER(CC190),CC190+IFERROR(_xlfn.XLOOKUP(A190,Щиты[Щит],Щиты[ΔU до шин, %]),0),"")</f>
        <v>2.65</v>
      </c>
      <c r="CE190">
        <f>IF(D190="","",IF(IFERROR(VLOOKUP(AT190,УГО_спр,2,FALSE),"")="Светильник",3,4)+IF(Методика="нормы 2026",MIN(0.5,MAX(0,N(BW190)-100)*0.005),0))</f>
        <v>4</v>
      </c>
      <c r="CF190" t="str">
        <f>IFERROR(VLOOKUP(BI190,Кабель_обозначение,2,FALSE),"")</f>
        <v>ВВГнг(А)-LS</v>
      </c>
      <c r="CG190" t="str">
        <f>IFERROR(IF(VLOOKUP(BI190,Кабель_обозначение,3,FALSE)=1,CF190&amp;" ("&amp;BJ190&amp;"х"&amp;BS190&amp;")",CF190),"")</f>
        <v>ВВГнг(А)-LS (3х2,5)</v>
      </c>
      <c r="CH190" t="str">
        <f t="shared" si="193"/>
        <v>ВВГнг(А)-LS (3х2,5)
L=121-2,22%</v>
      </c>
      <c r="CI190">
        <f>IFERROR(2*ρкз_Cu*BW190/BS190,"")</f>
        <v>2.5458400000000001</v>
      </c>
      <c r="CJ190">
        <f t="shared" si="194"/>
        <v>0.84700000000000009</v>
      </c>
      <c r="CK190" t="str">
        <f>IFERROR(IF(OR(D190="",NOT(ISNUMBER(BS190)),N(BW190)=0),"",_xlfn.XLOOKUP(A190,Щиты[Щит],Щиты[Zпетли на шинах, Ом])+CI190),"")</f>
        <v/>
      </c>
      <c r="CL190" t="str">
        <f>IF(ISNUMBER(CK190),c_min*(Uн_лин*1000/SQRT(3))/CK190,"")</f>
        <v/>
      </c>
      <c r="CM190" t="str">
        <f>IFERROR(IF(OR(D190="",NOT(ISNUMBER(BS190))),"",1.05*(Uн_лин*1000/SQRT(3))/(_xlfn.XLOOKUP(A190,Щиты[Щит],Щиты[Zmax на шинах, Ом])+CJ190)/1000),"")</f>
        <v/>
      </c>
      <c r="CN190" t="str">
        <f>IF(D190="","",IF(BA190&lt;&gt;"","Щит",IF(K190&lt;&gt;"",K190,IF(ISNUMBER(L190),"Сил",IF(IFERROR(_xlfn.XLOOKUP(AT190,Коды_код,Коды_группа)&amp;"","")="","Быт",_xlfn.XLOOKUP(AT190,Коды_код,Коды_группа)&amp;"")))))</f>
        <v>Быт</v>
      </c>
      <c r="CO190">
        <f>IF(CN190="Щит","щит",IF(CN190="","",IF(CN190="Быт",IFERROR(_xlfn.XLOOKUP(A190,Щиты[Щит],Щиты[Кс быт]),1),IF(CN190="Сил",IF(ISNUMBER(L190),L190,IF(Методика="нормы 2026",IFERROR(_xlfn.XLOOKUP(A190,Щиты[Щит],Щиты[Кс силовых (табл. 7.5)]),1),1)),IF(OR(CN190="Пост",CN190="Отоп"),1,IF(CN190="ВНГ",0.7,0))))))</f>
        <v>0.79799999999999993</v>
      </c>
      <c r="CP190">
        <f t="shared" si="195"/>
        <v>1</v>
      </c>
      <c r="CQ190">
        <f t="shared" si="196"/>
        <v>0.54</v>
      </c>
      <c r="CR190">
        <f t="shared" si="197"/>
        <v>0.54</v>
      </c>
      <c r="CS190">
        <f t="shared" si="198"/>
        <v>0</v>
      </c>
      <c r="CT190">
        <f t="shared" si="199"/>
        <v>0</v>
      </c>
      <c r="CU190">
        <f t="shared" si="200"/>
        <v>0</v>
      </c>
      <c r="CV190">
        <f t="shared" si="201"/>
        <v>0</v>
      </c>
      <c r="CW190">
        <f t="shared" si="202"/>
        <v>0.54</v>
      </c>
      <c r="CX190">
        <f t="shared" si="203"/>
        <v>0.51300000000000001</v>
      </c>
      <c r="CY190">
        <f t="shared" si="204"/>
        <v>3</v>
      </c>
      <c r="CZ190" t="str">
        <f t="shared" si="205"/>
        <v>L3</v>
      </c>
      <c r="DA190" cm="1">
        <f t="array" ref="DA190">IFERROR(IF(BL190=2,_xlfn.IFS(BH190=3,VLOOKUP(BF190,Справочная_двигатели,3,FALSE),BH190=1,VLOOKUP(BF190,Справочная_двигатели,5,TRUE)),0),0)</f>
        <v>0</v>
      </c>
      <c r="DB190">
        <f>IFERROR(IF(BL190=3,VLOOKUP(BF190,Справочная_ЛЭД,2,TRUE),0),0)</f>
        <v>0</v>
      </c>
      <c r="DC190">
        <f t="shared" si="206"/>
        <v>0</v>
      </c>
      <c r="DD190" t="str">
        <f t="shared" si="207"/>
        <v>L3</v>
      </c>
      <c r="DE190" t="str" cm="1">
        <f t="array" ref="DE190">IF(D190="","",IFERROR(INDEX({"I особая","I","II","III"},MATCH(TRIM(AA190&amp;""),{"I особая","I","II","III"},0)),"III"))</f>
        <v>II</v>
      </c>
      <c r="DF190" t="str">
        <f>IF(D190="","",IF(TRIM(AB190&amp;"")&lt;&gt;"",IF(LOWER(TRIM(AB190&amp;""))="да","да","нет"),IF(IFERROR(_xlfn.XLOOKUP(AT190,Коды_код,Коды_пожарная),"")="да","да","нет")))</f>
        <v>нет</v>
      </c>
      <c r="DG190" t="str">
        <f t="shared" si="208"/>
        <v/>
      </c>
      <c r="DH190" t="str">
        <f t="shared" si="209"/>
        <v>основная</v>
      </c>
      <c r="DI190">
        <f t="shared" si="210"/>
        <v>1</v>
      </c>
      <c r="DJ190" t="str" cm="1">
        <f t="array" ref="DJ190">IF(D190="","",_xlfn.LET(_xlpm.t,IFERROR(_xlfn.XLOOKUP(1,(Шины[Шина]=DH190)*(((Шины[Щит]=A190)+(Шины[Щит]=""))&gt;0),Шины[Тип]),"")&amp;"",IF(_xlpm.t&lt;&gt;"",_xlpm.t,IF(ISNUMBER(SEARCH("ИБП",DH190)),"ИБП",IF(ISNUMBER(SEARCH("ДГУ",DH190)),"ДГУ","Ввод "&amp;DI190)))))</f>
        <v>Ввод 1</v>
      </c>
      <c r="DK190" t="str">
        <f t="shared" si="211"/>
        <v>Ввод 1</v>
      </c>
      <c r="DL190" t="str">
        <f>IF(D190="","",IF(OR(DJ190="ИБП",DJ190="ДГУ"),"I особая",IF(DJ190="Одиночная","III",_xlfn.XLOOKUP(A190,Щиты[Щит],Щиты[Категория шины «Ввод»],"III"))))</f>
        <v>II</v>
      </c>
      <c r="DM190">
        <f>IF(D190="",0,IFERROR(MATCH(DE190,{"III","II","I","I особая"},0),1))</f>
        <v>2</v>
      </c>
      <c r="DN190">
        <f t="shared" si="212"/>
        <v>2</v>
      </c>
      <c r="DO190" t="str">
        <f>IF(D190="","",IF(DM190&gt;IFERROR(MATCH(DL190,{"III","II","I","I особая"},0),1),"НЕ ОБЕСПЕЧЕНА","ОК"))</f>
        <v>ОК</v>
      </c>
      <c r="DP190" t="str">
        <f>IF(A190="","",_xlfn.XLOOKUP(A190,Щиты[Щит],Щиты[Путь],""))</f>
        <v>|ГРЩ-ЖД|ЩР-01|</v>
      </c>
      <c r="DQ190" t="str">
        <f>IF(D190="","",IF(Z190&lt;&gt;"",Z190,IF(IFERROR(_xlfn.XLOOKUP(AT190,Коды_код,Коды_вид)&amp;"","")="","Прочее",_xlfn.XLOOKUP(AT190,Коды_код,Коды_вид)&amp;"")))</f>
        <v>Розеточная сеть и бытовые приборы</v>
      </c>
      <c r="DR190">
        <f>IF(BD190="","",INT((BD190-1)/Столбцов_на_лист)+1)</f>
        <v>1</v>
      </c>
      <c r="DS190" t="str">
        <f t="shared" si="213"/>
        <v>ВВГнг(А)-LS (3х2,5) L=121-2,22%</v>
      </c>
      <c r="DT190">
        <f t="shared" si="214"/>
        <v>0.54</v>
      </c>
      <c r="DU190">
        <f t="shared" si="215"/>
        <v>2.4699999999999998</v>
      </c>
      <c r="DV190">
        <f t="shared" si="216"/>
        <v>1</v>
      </c>
      <c r="DW190">
        <f>IF(AT190="",0,_xlfn.LET(_xlpm.v,IFERROR(VLOOKUP(D190,УГО_спр,3,FALSE),IFERROR(VLOOKUP(AT190,УГО_спр,3,FALSE),IFERROR(VLOOKUP(LEFT(AT190,2),УГО_спр,3,FALSE),""))),IF(_xlpm.v="да",30,IF(ISNUMBER(_xlpm.v),_xlpm.v,0))))</f>
        <v>30</v>
      </c>
      <c r="DX190">
        <f t="shared" si="217"/>
        <v>0</v>
      </c>
      <c r="DY190">
        <f>IF(BD190="","",IF(AD190&lt;&gt;"",COUNTIFS(A$3:A190,A190,AD$3:AD190,"?*"),IF(OR(OR(AS190=1,A190&lt;&gt;A189),AL190="вручную"),"",IF(AS190=1,"",DZ189))))</f>
        <v>6</v>
      </c>
      <c r="DZ190">
        <f t="shared" si="218"/>
        <v>6</v>
      </c>
      <c r="EA190">
        <f>IF(D190="",0,MAX(IFERROR(--X190,0),IFERROR(--VLOOKUP(D190,УГО_спр,4,FALSE),IFERROR(--VLOOKUP(AT190,УГО_спр,4,FALSE),IFERROR(--VLOOKUP(LEFT(AT190,2),УГО_спр,4,FALSE),0)))))</f>
        <v>16</v>
      </c>
      <c r="EB190">
        <f>IF(D190="","",IFERROR(LOOKUP(INDEX(CHOOSE(BR190,Iдоп_1ж,Iдоп_2ж,Iдоп_3ж),MATCH(BS190,Iдоп_S,0))*BP190*BQ190,{6,10,16,20,25,32,40,50,63,80,100,125,160,200,250,315,400,500,630}),""))</f>
        <v>25</v>
      </c>
      <c r="EC190">
        <f>IF(AD190="","",SUMIFS(Линии[_Ток схемы],Линии[_гр.],DY190,Линии[Щит],A190,Линии[_в кабель выше],0))</f>
        <v>2.4699999999999998</v>
      </c>
      <c r="ED190">
        <f>IF(AD190="","",IFERROR(VLOOKUP(EC190,Автомат_номиналы,2,TRUE),""))</f>
        <v>6</v>
      </c>
      <c r="EE190">
        <f>IF(AD190="","",MAX(N(ED190),_xlfn.MAXIFS(Линии[_мин. по типу],Линии[_гр.],DY190,Линии[Щит],A190)))</f>
        <v>16</v>
      </c>
      <c r="EF190">
        <f>IF(AD190="","",_xlfn.MINIFS(Линии[_макс. автомат по кабелю],Линии[_гр.],DY190,Линии[Щит],A190))</f>
        <v>25</v>
      </c>
      <c r="EG190">
        <f>IF(AD190="","",MAX(1,_xlfn.MAXIFS(Линии[_фаз],Линии[_гр.],DY190,Линии[Щит],A190)))</f>
        <v>1</v>
      </c>
      <c r="EH190">
        <f>IF(AD190="","",IF(AND(AD190&lt;&gt;"авто",AD190&lt;&gt;"+"),IF(ISNUMBER(SEARCH("мА",AD190)),IFERROR(--TRIM(RIGHT(SUBSTITUTE(LEFT(AD190,SEARCH("мА",AD190)-1)," ",REPT(" ",9)),6)),30),0),IF(AE190="нет",0,IF(ISNUMBER(AE190),AE190,IF(AE190="да",30,_xlfn.MINIFS(Линии[_дифзащита по коду, мА],Линии[_гр.],DY190,Линии[Щит],A190,Линии[_дифзащита по коду, мА],"&gt;0"))))))</f>
        <v>30</v>
      </c>
      <c r="EI190">
        <f t="shared" si="219"/>
        <v>1</v>
      </c>
      <c r="EJ190" t="str">
        <f t="shared" si="220"/>
        <v>QFD6</v>
      </c>
      <c r="EK190" t="str">
        <f t="shared" si="221"/>
        <v>QFD6</v>
      </c>
      <c r="EL190" t="str">
        <f t="shared" si="222"/>
        <v/>
      </c>
      <c r="EM190">
        <f t="shared" si="223"/>
        <v>0</v>
      </c>
      <c r="EN190">
        <f>IF(AD190="","",IF(EM190=1,MAX(EE190,Мин_автомат_БП),EE190))</f>
        <v>16</v>
      </c>
      <c r="EO190" t="str">
        <f t="shared" si="224"/>
        <v>2P</v>
      </c>
      <c r="EP190" t="str">
        <f t="shared" si="225"/>
        <v>2P С16А 30мА</v>
      </c>
      <c r="EQ190">
        <f t="shared" si="226"/>
        <v>16</v>
      </c>
      <c r="ER190" t="str">
        <f>IF(OR(AI190="",AI190="-"),"",IFERROR(VLOOKUP(AI190,Модули_спр,2,FALSE),"R"))</f>
        <v/>
      </c>
      <c r="ES190" t="str">
        <f>IF(ER190="","",ER190&amp;"."&amp;COUNTIFS(A$3:A190,A190,ER$3:ER190,ER190))</f>
        <v/>
      </c>
      <c r="ET190" t="str">
        <f t="shared" si="227"/>
        <v/>
      </c>
      <c r="EU190" t="str">
        <f t="shared" si="228"/>
        <v/>
      </c>
      <c r="EV190" t="str">
        <f t="shared" si="229"/>
        <v/>
      </c>
      <c r="EW190" t="str">
        <f t="shared" si="230"/>
        <v/>
      </c>
      <c r="EX190">
        <f t="shared" si="231"/>
        <v>1</v>
      </c>
      <c r="EY190" t="str">
        <f>IF(AK190="нет","",IF(AK190&lt;&gt;"",AK190,IF(EX190=1,"XT"&amp;COUNTIFS(A$3:A190,A190,EX$3:EX190,1),"")))</f>
        <v>XT6</v>
      </c>
      <c r="EZ190" t="str">
        <f t="shared" si="232"/>
        <v>QFD6</v>
      </c>
      <c r="FA190" t="str">
        <f t="shared" si="233"/>
        <v/>
      </c>
      <c r="FB190" t="str">
        <f t="shared" si="234"/>
        <v>ok</v>
      </c>
      <c r="FC190" t="str">
        <f>IF(OR(EV190="",ET190=""),"",IF(EV190&gt;IFERROR(VLOOKUP(EU190,Модули_спр,3,FALSE),99),"ЛИШНИЙ КАНАЛ",IF(AND(AJ190&lt;&gt;"=",COUNTIFS(Линии[_модуль гр.],ET190,Линии[Канал (итог)],EV190,Линии[Канал],"&lt;&gt;=",Линии[Щит],A190)&gt;1),"ДУБЛЬ КАНАЛА","")))</f>
        <v/>
      </c>
      <c r="FD190">
        <f t="shared" si="235"/>
        <v>16</v>
      </c>
      <c r="FE190" t="str">
        <f t="shared" si="236"/>
        <v>2P С16А 30мА</v>
      </c>
      <c r="FF190">
        <f t="shared" si="237"/>
        <v>1</v>
      </c>
      <c r="FG190">
        <f t="shared" si="238"/>
        <v>30</v>
      </c>
      <c r="FH190" t="str">
        <f t="shared" si="239"/>
        <v/>
      </c>
      <c r="FI190">
        <f t="shared" si="240"/>
        <v>10</v>
      </c>
      <c r="FJ190" t="str">
        <f t="shared" si="241"/>
        <v/>
      </c>
      <c r="FK190" t="str">
        <f>IF(AND(D190="",EZ190=""),"",_xlfn.TEXTJOIN("; ",TRUE,IF(AND(D190&lt;&gt;"",DD190=""),"нет фазы",""),IF(AND(D190&lt;&gt;"",N(DT190)=0,CN190&lt;&gt;"Нет"),"нет мощности",""),IF(AND(EY190&lt;&gt;"",COUNTIFS(Линии[Щит],A190,Линии[Клемма (итог)],EY190)&gt;1),"дубль клеммы "&amp;EY190,""),IF(AND(FB190&lt;&gt;"",FB190&lt;&gt;"ok"),FB190,""),IF(FC190&lt;&gt;"",FC190,""),IF(AND(ISNUMBER(SEARCH("(5х",DS190)),N(DV190)=1),"5 жил на 1 фазе",""),IF(AND(AT190="R",AD190&lt;&gt;"",OR(N(EH190)=0,N(EH190)&gt;30)),"розетка без дифзащиты до 30 мА",""),IFERROR(IF(AND(ISNUMBER(CD190),CD190&gt;CE190),"потери "&amp;FIXED(CD190,1)&amp;" % &gt; "&amp;CE190&amp;" %",""),""),IFERROR(IF(LEFT(FJ190,4)="мало","Iкз мало — отключение &gt; 0,4 с",""),""),IF(AND(D190&lt;&gt;"",BD190=""),"не на схеме","")))</f>
        <v/>
      </c>
      <c r="FL190">
        <f>IF(AD190="","",_xlfn.LET(_xlpm.t,IFERROR(_xlfn.XLOOKUP(EP190,Каталог!$U$4:$U$500,Каталог!$G$4:$G$500),""),_xlpm.k,SEARCH("кА",_xlpm.t),IFERROR(--TRIM(RIGHT(SUBSTITUTE(MID(_xlpm.t,MAX(1,_xlpm.k-4),_xlpm.k-MAX(1,_xlpm.k-4))," ",REPT(" ",9)),5)),"")))</f>
        <v>6</v>
      </c>
      <c r="FM190" t="str">
        <f>IF(OR(FL190="",AD190=""),"",IF(_xlfn.XLOOKUP(A190,Щиты[Щит],Щиты[Iкз max на шинах, кА],"")="","",IF(FL190&lt;_xlfn.XLOOKUP(A190,Щиты[Щит],Щиты[Iкз max на шинах, кА]),"Icu "&amp;FL190&amp;" кА &lt; Iкз max","ok")))</f>
        <v/>
      </c>
      <c r="FN190" t="str">
        <f t="shared" si="242"/>
        <v>QFD6|XT6</v>
      </c>
      <c r="FO190" t="str">
        <f t="shared" si="243"/>
        <v>QFD6|XT6|кабель ВВГнг(А)-LS (3х2,5) → Розеточная группа Цокольный этаж Пом. №002Б</v>
      </c>
      <c r="FP190" t="str" cm="1">
        <f t="array" ref="FP190">IF(FO190="","",_xlfn.LET(_xlpm.nd,_xlfn.TEXTSPLIT(FO190,"|"),IF(COLUMNS(_xlpm.nd)&gt;1,A190&amp;"¦"&amp;INDEX(_xlpm.nd,1)&amp;"¦"&amp;INDEX(_xlpm.nd,2),"")))</f>
        <v>ЩР-01¦QFD6¦XT6</v>
      </c>
      <c r="FQ190" t="str">
        <f t="shared" si="244"/>
        <v>R.0.002Б.2¦Розеточная группа Цокольный этаж Пом. №002Б</v>
      </c>
      <c r="FR190" t="str" cm="1">
        <f t="array" ref="FR190">IF(FO190="","",_xlfn.LET(_xlpm.nd,_xlfn.TEXTSPLIT(FO190,"|"),IF(COLUMNS(_xlpm.nd)&gt;2,A190&amp;"¦"&amp;INDEX(_xlpm.nd,2)&amp;"¦"&amp;INDEX(_xlpm.nd,3),"")))</f>
        <v>ЩР-01¦XT6¦кабель ВВГнг(А)-LS (3х2,5) → Розеточная группа Цокольный этаж Пом. №002Б</v>
      </c>
      <c r="FS190" t="str">
        <f t="shared" si="245"/>
        <v>R.0.002Б.2¦Розеточная группа Цокольный этаж Пом. №002Б</v>
      </c>
      <c r="FT190" t="str" cm="1">
        <f t="array" ref="FT190">IF(FO190="","",_xlfn.LET(_xlpm.nd,_xlfn.TEXTSPLIT(FO190,"|"),IF(COLUMNS(_xlpm.nd)&gt;3,A190&amp;"¦"&amp;INDEX(_xlpm.nd,3)&amp;"¦"&amp;INDEX(_xlpm.nd,4),"")))</f>
        <v/>
      </c>
      <c r="FU190" t="str">
        <f t="shared" si="246"/>
        <v/>
      </c>
      <c r="FV190" t="str" cm="1">
        <f t="array" ref="FV190">IF(FO190="","",_xlfn.LET(_xlpm.nd,_xlfn.TEXTSPLIT(FO190,"|"),IF(COLUMNS(_xlpm.nd)&gt;4,A190&amp;"¦"&amp;INDEX(_xlpm.nd,4)&amp;"¦"&amp;INDEX(_xlpm.nd,5),"")))</f>
        <v/>
      </c>
      <c r="FW190" t="str">
        <f t="shared" si="247"/>
        <v/>
      </c>
      <c r="FX190" t="str" cm="1">
        <f t="array" ref="FX190">IF(FO190="","",_xlfn.LET(_xlpm.nd,_xlfn.TEXTSPLIT(FO190,"|"),IF(COLUMNS(_xlpm.nd)&gt;5,A190&amp;"¦"&amp;INDEX(_xlpm.nd,5)&amp;"¦"&amp;INDEX(_xlpm.nd,6),"")))</f>
        <v/>
      </c>
      <c r="FY190" t="str">
        <f t="shared" si="248"/>
        <v/>
      </c>
      <c r="FZ190" t="str" cm="1">
        <f t="array" ref="FZ190">IF(FO190="","",_xlfn.LET(_xlpm.nd,_xlfn.TEXTSPLIT(FO190,"|"),IF(COLUMNS(_xlpm.nd)&gt;6,A190&amp;"¦"&amp;INDEX(_xlpm.nd,6)&amp;"¦"&amp;INDEX(_xlpm.nd,7),"")))</f>
        <v/>
      </c>
      <c r="GA190" t="str">
        <f t="shared" si="249"/>
        <v/>
      </c>
      <c r="GB190" t="str">
        <f t="shared" si="250"/>
        <v/>
      </c>
      <c r="GC190" t="str">
        <f t="shared" si="251"/>
        <v>QFD6 → XT6</v>
      </c>
      <c r="GD190">
        <f t="shared" si="252"/>
        <v>1</v>
      </c>
      <c r="GE190">
        <f t="shared" si="253"/>
        <v>0</v>
      </c>
      <c r="GF190">
        <f t="shared" si="254"/>
        <v>1</v>
      </c>
      <c r="GG190" t="str">
        <f t="shared" si="255"/>
        <v/>
      </c>
      <c r="GH190" t="str">
        <f t="shared" si="256"/>
        <v/>
      </c>
      <c r="GI190" t="str">
        <f t="shared" si="257"/>
        <v/>
      </c>
      <c r="GJ190" t="str">
        <f t="shared" si="258"/>
        <v/>
      </c>
      <c r="GK190" t="str">
        <f>IF(D190="","",IFERROR(VLOOKUP(D190,УГО_спр,2,FALSE),IFERROR(VLOOKUP(AT190,УГО_спр,2,FALSE),IFERROR(VLOOKUP(LEFT(AT190,2),УГО_спр,2,FALSE),""))))</f>
        <v>Розетка</v>
      </c>
      <c r="GL190" t="str">
        <f>IF(D190="","",IF(OR(GK190="",GK190=0),"BOX",IFERROR(IF(VLOOKUP(GK190,УГО_блоки,3,FALSE)&amp;""&lt;&gt;"",VLOOKUP(GK190,УГО_блоки,3,FALSE),VLOOKUP(GK190,УГО_блоки,2,FALSE)),GK190)))</f>
        <v>SOCKET</v>
      </c>
      <c r="GM190">
        <f t="shared" si="259"/>
        <v>1</v>
      </c>
      <c r="GN190" t="str">
        <f>IF(EP190="","",IF(COUNTIF(EP$3:EP190,EP190)=1,MAX(GN$2:GN189)+1,""))</f>
        <v/>
      </c>
      <c r="GO190" t="str">
        <f>IF(AF190="","",IF(COUNTIF(AF$3:AF190,AF190)+COUNTIF(AG$2:AG189,AF190)+COUNTIF(AH$2:AH189,AF190)=1,MAX(GO$2:GQ189)+1,""))</f>
        <v/>
      </c>
      <c r="GP190" t="str">
        <f>IF(AG190="","",IF(COUNTIF(AF$3:AF190,AG190)+COUNTIF(AG$3:AG190,AG190)+COUNTIF(AH$2:AH189,AG190)=1,MAX(GO$2:GQ189,GO190)+1,""))</f>
        <v/>
      </c>
      <c r="GQ190" t="str">
        <f>IF(AH190="","",IF(COUNTIF(AF$3:AF190,AH190)+COUNTIF(AG$3:AG190,AH190)+COUNTIF(AH$3:AH190,AH190)=1,MAX(GO$2:GQ189,GO190,GP190)+1,""))</f>
        <v/>
      </c>
      <c r="GR190" t="str">
        <f t="shared" si="260"/>
        <v>3х2,5</v>
      </c>
      <c r="GS190" t="str">
        <f>IF(GR190="","",IF(COUNTIF(GR$3:GR190,GR190)=1,MAX(GS$2:GS189)+1,""))</f>
        <v/>
      </c>
      <c r="GT190" t="str">
        <f>IF(ES190="","",COUNTIF(ES$3:ES190,"?*"))</f>
        <v/>
      </c>
      <c r="GU190" t="str">
        <f>IF(OR(ES190="",EU190=""),"",IF(COUNTIFS(ES$3:ES190,"?*",EU$3:EU190,EU190)=1,MAX(GU$2:GU189)+1,""))</f>
        <v/>
      </c>
      <c r="GV190">
        <f t="shared" si="261"/>
        <v>0</v>
      </c>
      <c r="GW190">
        <f>IF(D190="","",COUNTIF(D$3:D190,"?*"))</f>
        <v>188</v>
      </c>
      <c r="GX190">
        <f>IF(EX190&lt;&gt;1,0,_xlfn.LET(_xlpm.k,MAX(IFERROR(--VLOOKUP(D190,УГО_спр,5,FALSE),0),IFERROR(--VLOOKUP(AT190,УГО_спр,5,FALSE),0),IFERROR(--VLOOKUP(LEFT(AT190,2),УГО_спр,5,FALSE),0)),IF(_xlpm.k&gt;0,_xlpm.k,IF(IFERROR(--LEFT(SUBSTITUTE(GR190,"x","х"),FIND("х",SUBSTITUTE(GR190,"x","х"))-1),3)&gt;3,Каталог!$S$9,1))))</f>
        <v>1</v>
      </c>
      <c r="GY190">
        <f t="shared" si="262"/>
        <v>0</v>
      </c>
    </row>
    <row r="191" spans="1:207" x14ac:dyDescent="0.3">
      <c r="A191" t="s">
        <v>760</v>
      </c>
      <c r="B191">
        <v>15</v>
      </c>
      <c r="C191" t="str">
        <f>IF(BD191="","",IF(BE191="вводной узел","узел ","")&amp;"л."&amp;(INT((BD191-1)/Столбцов_на_лист)+1)&amp;" / "&amp;(MOD(BD191-1,Столбцов_на_лист)+1))</f>
        <v>л.1 / 15</v>
      </c>
      <c r="D191" t="s">
        <v>1499</v>
      </c>
      <c r="E191" s="133" t="str">
        <f t="shared" si="263"/>
        <v>Розеточная группа Цокольный этаж Пом. №003A</v>
      </c>
      <c r="G191">
        <v>0.3</v>
      </c>
      <c r="H191">
        <v>5</v>
      </c>
      <c r="I191">
        <v>1</v>
      </c>
      <c r="J191">
        <v>230</v>
      </c>
      <c r="K191" t="s">
        <v>566</v>
      </c>
      <c r="O191">
        <v>3</v>
      </c>
      <c r="P191">
        <v>50</v>
      </c>
      <c r="Q191">
        <v>55</v>
      </c>
      <c r="R191">
        <v>22</v>
      </c>
      <c r="S191">
        <v>50</v>
      </c>
      <c r="U191" t="s">
        <v>11</v>
      </c>
      <c r="V191">
        <v>3</v>
      </c>
      <c r="W191">
        <v>2.5</v>
      </c>
      <c r="Z191" t="s">
        <v>565</v>
      </c>
      <c r="AA191" t="s">
        <v>818</v>
      </c>
      <c r="AD191" t="s">
        <v>517</v>
      </c>
      <c r="AR191" t="str">
        <f t="shared" si="176"/>
        <v/>
      </c>
      <c r="AS191" cm="1">
        <f t="array" ref="AS191">ROW()-ROW(Линии[#Headers])</f>
        <v>189</v>
      </c>
      <c r="AT191" t="str">
        <f t="shared" si="177"/>
        <v>R</v>
      </c>
      <c r="AU191" t="str">
        <f t="shared" si="178"/>
        <v>0.003A.1</v>
      </c>
      <c r="AV191" t="str">
        <f t="shared" si="179"/>
        <v>0</v>
      </c>
      <c r="AW191" t="str">
        <f t="shared" si="180"/>
        <v>003A.1</v>
      </c>
      <c r="AX191" t="str">
        <f t="shared" si="181"/>
        <v>003A</v>
      </c>
      <c r="AY191" t="str">
        <f>IF(D191="","",IF(ISERROR(SEARCH(".",D191)),IFERROR(VLOOKUP(D191,Потребители_обозначение,2,FALSE)&amp;"",""),IFERROR(IF(VLOOKUP(AT191,Потребители_обозначение,4,FALSE)=1,VLOOKUP(AT191,Потребители_обозначение,2,FALSE)&amp;" "&amp;VLOOKUP(AV191,Этаж_обозначение,2,FALSE)&amp;" Пом. №"&amp;AX191,VLOOKUP(AT191,Потребители_обозначение,2,FALSE)&amp;" Шлейф №"&amp;AV191),IFERROR(VLOOKUP(D191,Потребители_обозначение,2,FALSE),""))))</f>
        <v>Розеточная группа Цокольный этаж Пом. №003A</v>
      </c>
      <c r="AZ191" t="str">
        <f t="shared" si="182"/>
        <v>Розеточная группа Цокольный этаж Пом. №003A</v>
      </c>
      <c r="BA191" t="str">
        <f>IF(F191&lt;&gt;"",F191,IF(AND(D191&lt;&gt;"",D191&lt;&gt;A191,ISNUMBER(_xlfn.XMATCH(D191,Щиты[Щит]))),D191,""))</f>
        <v/>
      </c>
      <c r="BB191">
        <f>IFERROR(_xlfn.XMATCH(A191,Щиты[Щит]),0)</f>
        <v>9</v>
      </c>
      <c r="BC191">
        <f>IFERROR(N(_xlfn.XLOOKUP(A191,Щиты[Щит],Щиты[Мест под вводной узел])),15)</f>
        <v>8</v>
      </c>
      <c r="BD191">
        <f t="shared" si="183"/>
        <v>15</v>
      </c>
      <c r="BE191" t="str">
        <f t="shared" si="184"/>
        <v>линии</v>
      </c>
      <c r="BF191">
        <f>IF(D191="","",IF(BA191&lt;&gt;"",IFERROR(_xlfn.XLOOKUP(BA191,Щиты[Щит],Щиты[Руст, кВт]),0),N(G191)))</f>
        <v>0.3</v>
      </c>
      <c r="BG191">
        <f>IF(J191&lt;&gt;"",J191,IF(D191="","",IFERROR(IF(VLOOKUP(AT191,Потребители_обозначение,8,FALSE)=0,"",VLOOKUP(AT191,Потребители_обозначение,8,FALSE)),"")))</f>
        <v>230</v>
      </c>
      <c r="BH191">
        <f>IF(I191&lt;&gt;"",I191,IF(D191="","",IFERROR(IF(VLOOKUP(AT191,Потребители_обозначение,9,FALSE)=0,"",VLOOKUP(AT191,Потребители_обозначение,9,FALSE)),"")))</f>
        <v>1</v>
      </c>
      <c r="BI191" t="str">
        <f>IF(U191&lt;&gt;"",U191,IF(D191="","",IFERROR(IF(VLOOKUP(AT191,Потребители_обозначение,6,FALSE)=0,"",VLOOKUP(AT191,Потребители_обозначение,6,FALSE)),"")))</f>
        <v>мс</v>
      </c>
      <c r="BJ191">
        <f>IF(V191&lt;&gt;"",V191,IF(D191="","",IFERROR(IF(VLOOKUP(AT191,Потребители_обозначение,7,FALSE)=0,"",VLOOKUP(AT191,Потребители_обозначение,7,FALSE)),"")))</f>
        <v>3</v>
      </c>
      <c r="BK191">
        <f>IF(W191&lt;&gt;"",W191,IF(D191="","",IFERROR(IF(VLOOKUP(AT191,Потребители_обозначение,10,FALSE)=0,"",VLOOKUP(AT191,Потребители_обозначение,10,FALSE)),"")))</f>
        <v>2.5</v>
      </c>
      <c r="BL191">
        <f>IFERROR(VLOOKUP(AT191,Потребители_обозначение,5,FALSE),0)</f>
        <v>1</v>
      </c>
      <c r="BM191" cm="1">
        <f t="array" ref="BM191">IF(D191="","",IF(BA191&lt;&gt;"",IFERROR(_xlfn.XLOOKUP(BA191,Щиты[Щит],Щиты[cos φ]),0.95),IF(ISNUMBER(M191),M191,IFERROR(IF(BL191=2,_xlfn.IFS(BH191=3,VLOOKUP(BF191,Справочная_двигатели,8,FALSE),BH191=1,VLOOKUP(BF191,Справочная_двигатели,10,TRUE)),IF(AND(Методика="нормы 2026",CN191="Сил"),0.8,0.95)),0.95))))</f>
        <v>0.95</v>
      </c>
      <c r="BN191" cm="1">
        <f t="array" ref="BN191">IF(D191="","",IF(BA191&lt;&gt;"",IFERROR(_xlfn.XLOOKUP(BA191,Щиты[Щит],Щиты[Iр, А]),""),IFERROR(_xlfn.IFS(BH191=1,BF191/((Uн_лин/SQRT(3))*BM191),BH191=3,BF191/(SQRT(3)*Uн_лин*BM191)),"")))</f>
        <v>1.3674085322912188</v>
      </c>
      <c r="BO191">
        <f>IF(D191="","",IF(N(X191)=0,IFERROR(VLOOKUP(BN191,Автомат_номиналы,2,TRUE),""),X191))</f>
        <v>6</v>
      </c>
      <c r="BP191">
        <f t="shared" si="185"/>
        <v>1</v>
      </c>
      <c r="BQ191">
        <f>IF(ISNUMBER(Y191),Y191,К_прокл)</f>
        <v>1</v>
      </c>
      <c r="BR191">
        <f t="shared" si="186"/>
        <v>2</v>
      </c>
      <c r="BS191" cm="1">
        <f t="array" ref="BS191">IF(D191="","",IF(N(BK191)&lt;&gt;0,BK191,IFERROR(_xlfn.LET(_xlpm.need,BO191/(BP191*BQ191),_xlpm.t,CHOOSE(BR191,Iдоп_1ж,Iдоп_2ж,Iдоп_3ж),_xlpm.k,_xlfn.XMATCH(_xlpm.need,_xlpm.t,1),IF(ISNA(_xlpm.k),"Не исп",INDEX(Iдоп_S,_xlpm.k))),"Не исп")))</f>
        <v>2.5</v>
      </c>
      <c r="BT191">
        <f>IFERROR(VLOOKUP(BS191,Кабель_сопротивление,3,FALSE),"")</f>
        <v>2.2499999999999999E-2</v>
      </c>
      <c r="BU191">
        <f>IFERROR(VLOOKUP(BS191,Кабель_сопротивление,2,FALSE),"")</f>
        <v>0.1</v>
      </c>
      <c r="BV191">
        <f t="shared" si="187"/>
        <v>50</v>
      </c>
      <c r="BW191">
        <f>IF(D191="","",IFERROR(IF(VLOOKUP(AT191,Потребители_обозначение,4,FALSE)=1,VLOOKUP(AT191,Потребители_обозначение,3,FALSE)*(H191*2-1)+BV191+VLOOKUP(AV191,Этаж_обозначение,3,FALSE)+VLOOKUP(AV191,Этаж_обозначение,4,FALSE),VLOOKUP(AT191,Потребители_обозначение,3,FALSE)*(H191*2-1)+BV191),BV191))</f>
        <v>77</v>
      </c>
      <c r="BX191">
        <f t="shared" si="188"/>
        <v>22</v>
      </c>
      <c r="BY191">
        <f t="shared" si="189"/>
        <v>50</v>
      </c>
      <c r="BZ191">
        <f t="shared" si="190"/>
        <v>2</v>
      </c>
      <c r="CA191">
        <f t="shared" si="191"/>
        <v>0.31</v>
      </c>
      <c r="CB191">
        <f t="shared" si="192"/>
        <v>1.8069948228010058</v>
      </c>
      <c r="CC191">
        <f>IFERROR(ROUNDUP(CB191/((Uн_лин/SQRT(3))*1000)*100,2),"")</f>
        <v>0.79</v>
      </c>
      <c r="CD191">
        <f>IF(ISNUMBER(CC191),CC191+IFERROR(_xlfn.XLOOKUP(A191,Щиты[Щит],Щиты[ΔU до шин, %]),0),"")</f>
        <v>1.22</v>
      </c>
      <c r="CE191">
        <f>IF(D191="","",IF(IFERROR(VLOOKUP(AT191,УГО_спр,2,FALSE),"")="Светильник",3,4)+IF(Методика="нормы 2026",MIN(0.5,MAX(0,N(BW191)-100)*0.005),0))</f>
        <v>4</v>
      </c>
      <c r="CF191" t="str">
        <f>IFERROR(VLOOKUP(BI191,Кабель_обозначение,2,FALSE),"")</f>
        <v>ВВГнг(А)-LS</v>
      </c>
      <c r="CG191" t="str">
        <f>IFERROR(IF(VLOOKUP(BI191,Кабель_обозначение,3,FALSE)=1,CF191&amp;" ("&amp;BJ191&amp;"х"&amp;BS191&amp;")",CF191),"")</f>
        <v>ВВГнг(А)-LS (3х2,5)</v>
      </c>
      <c r="CH191" t="str">
        <f t="shared" si="193"/>
        <v>ВВГнг(А)-LS (3х2,5)
L=77-0,79%</v>
      </c>
      <c r="CI191">
        <f>IFERROR(2*ρкз_Cu*BW191/BS191,"")</f>
        <v>1.6200800000000002</v>
      </c>
      <c r="CJ191">
        <f t="shared" si="194"/>
        <v>0.53900000000000003</v>
      </c>
      <c r="CK191" t="str">
        <f>IFERROR(IF(OR(D191="",NOT(ISNUMBER(BS191)),N(BW191)=0),"",_xlfn.XLOOKUP(A191,Щиты[Щит],Щиты[Zпетли на шинах, Ом])+CI191),"")</f>
        <v/>
      </c>
      <c r="CL191" t="str">
        <f>IF(ISNUMBER(CK191),c_min*(Uн_лин*1000/SQRT(3))/CK191,"")</f>
        <v/>
      </c>
      <c r="CM191" t="str">
        <f>IFERROR(IF(OR(D191="",NOT(ISNUMBER(BS191))),"",1.05*(Uн_лин*1000/SQRT(3))/(_xlfn.XLOOKUP(A191,Щиты[Щит],Щиты[Zmax на шинах, Ом])+CJ191)/1000),"")</f>
        <v/>
      </c>
      <c r="CN191" t="str">
        <f>IF(D191="","",IF(BA191&lt;&gt;"","Щит",IF(K191&lt;&gt;"",K191,IF(ISNUMBER(L191),"Сил",IF(IFERROR(_xlfn.XLOOKUP(AT191,Коды_код,Коды_группа)&amp;"","")="","Быт",_xlfn.XLOOKUP(AT191,Коды_код,Коды_группа)&amp;"")))))</f>
        <v>Быт</v>
      </c>
      <c r="CO191">
        <f>IF(CN191="Щит","щит",IF(CN191="","",IF(CN191="Быт",IFERROR(_xlfn.XLOOKUP(A191,Щиты[Щит],Щиты[Кс быт]),1),IF(CN191="Сил",IF(ISNUMBER(L191),L191,IF(Методика="нормы 2026",IFERROR(_xlfn.XLOOKUP(A191,Щиты[Щит],Щиты[Кс силовых (табл. 7.5)]),1),1)),IF(OR(CN191="Пост",CN191="Отоп"),1,IF(CN191="ВНГ",0.7,0))))))</f>
        <v>0.79799999999999993</v>
      </c>
      <c r="CP191">
        <f t="shared" si="195"/>
        <v>1</v>
      </c>
      <c r="CQ191">
        <f t="shared" si="196"/>
        <v>0.3</v>
      </c>
      <c r="CR191">
        <f t="shared" si="197"/>
        <v>0.3</v>
      </c>
      <c r="CS191">
        <f t="shared" si="198"/>
        <v>0</v>
      </c>
      <c r="CT191">
        <f t="shared" si="199"/>
        <v>0</v>
      </c>
      <c r="CU191">
        <f t="shared" si="200"/>
        <v>0</v>
      </c>
      <c r="CV191">
        <f t="shared" si="201"/>
        <v>0</v>
      </c>
      <c r="CW191">
        <f t="shared" si="202"/>
        <v>0.3</v>
      </c>
      <c r="CX191">
        <f t="shared" si="203"/>
        <v>0.28499999999999998</v>
      </c>
      <c r="CY191">
        <f t="shared" si="204"/>
        <v>1</v>
      </c>
      <c r="CZ191" t="str">
        <f t="shared" si="205"/>
        <v>L1</v>
      </c>
      <c r="DA191" cm="1">
        <f t="array" ref="DA191">IFERROR(IF(BL191=2,_xlfn.IFS(BH191=3,VLOOKUP(BF191,Справочная_двигатели,3,FALSE),BH191=1,VLOOKUP(BF191,Справочная_двигатели,5,TRUE)),0),0)</f>
        <v>0</v>
      </c>
      <c r="DB191">
        <f>IFERROR(IF(BL191=3,VLOOKUP(BF191,Справочная_ЛЭД,2,TRUE),0),0)</f>
        <v>0</v>
      </c>
      <c r="DC191">
        <f t="shared" si="206"/>
        <v>0</v>
      </c>
      <c r="DD191" t="str">
        <f t="shared" si="207"/>
        <v>L3</v>
      </c>
      <c r="DE191" t="str" cm="1">
        <f t="array" ref="DE191">IF(D191="","",IFERROR(INDEX({"I особая","I","II","III"},MATCH(TRIM(AA191&amp;""),{"I особая","I","II","III"},0)),"III"))</f>
        <v>II</v>
      </c>
      <c r="DF191" t="str">
        <f>IF(D191="","",IF(TRIM(AB191&amp;"")&lt;&gt;"",IF(LOWER(TRIM(AB191&amp;""))="да","да","нет"),IF(IFERROR(_xlfn.XLOOKUP(AT191,Коды_код,Коды_пожарная),"")="да","да","нет")))</f>
        <v>нет</v>
      </c>
      <c r="DG191" t="str">
        <f t="shared" si="208"/>
        <v/>
      </c>
      <c r="DH191" t="str">
        <f t="shared" si="209"/>
        <v>основная</v>
      </c>
      <c r="DI191">
        <f t="shared" si="210"/>
        <v>1</v>
      </c>
      <c r="DJ191" t="str" cm="1">
        <f t="array" ref="DJ191">IF(D191="","",_xlfn.LET(_xlpm.t,IFERROR(_xlfn.XLOOKUP(1,(Шины[Шина]=DH191)*(((Шины[Щит]=A191)+(Шины[Щит]=""))&gt;0),Шины[Тип]),"")&amp;"",IF(_xlpm.t&lt;&gt;"",_xlpm.t,IF(ISNUMBER(SEARCH("ИБП",DH191)),"ИБП",IF(ISNUMBER(SEARCH("ДГУ",DH191)),"ДГУ","Ввод "&amp;DI191)))))</f>
        <v>Ввод 1</v>
      </c>
      <c r="DK191" t="str">
        <f t="shared" si="211"/>
        <v>Ввод 1</v>
      </c>
      <c r="DL191" t="str">
        <f>IF(D191="","",IF(OR(DJ191="ИБП",DJ191="ДГУ"),"I особая",IF(DJ191="Одиночная","III",_xlfn.XLOOKUP(A191,Щиты[Щит],Щиты[Категория шины «Ввод»],"III"))))</f>
        <v>II</v>
      </c>
      <c r="DM191">
        <f>IF(D191="",0,IFERROR(MATCH(DE191,{"III","II","I","I особая"},0),1))</f>
        <v>2</v>
      </c>
      <c r="DN191">
        <f t="shared" si="212"/>
        <v>2</v>
      </c>
      <c r="DO191" t="str">
        <f>IF(D191="","",IF(DM191&gt;IFERROR(MATCH(DL191,{"III","II","I","I особая"},0),1),"НЕ ОБЕСПЕЧЕНА","ОК"))</f>
        <v>ОК</v>
      </c>
      <c r="DP191" t="str">
        <f>IF(A191="","",_xlfn.XLOOKUP(A191,Щиты[Щит],Щиты[Путь],""))</f>
        <v>|ГРЩ-ЖД|ЩР-01|</v>
      </c>
      <c r="DQ191" t="str">
        <f>IF(D191="","",IF(Z191&lt;&gt;"",Z191,IF(IFERROR(_xlfn.XLOOKUP(AT191,Коды_код,Коды_вид)&amp;"","")="","Прочее",_xlfn.XLOOKUP(AT191,Коды_код,Коды_вид)&amp;"")))</f>
        <v>Розеточная сеть и бытовые приборы</v>
      </c>
      <c r="DR191">
        <f>IF(BD191="","",INT((BD191-1)/Столбцов_на_лист)+1)</f>
        <v>1</v>
      </c>
      <c r="DS191" t="str">
        <f t="shared" si="213"/>
        <v>ВВГнг(А)-LS (3х2,5) L=77-0,79%</v>
      </c>
      <c r="DT191">
        <f t="shared" si="214"/>
        <v>0.3</v>
      </c>
      <c r="DU191">
        <f t="shared" si="215"/>
        <v>1.37</v>
      </c>
      <c r="DV191">
        <f t="shared" si="216"/>
        <v>1</v>
      </c>
      <c r="DW191">
        <f>IF(AT191="",0,_xlfn.LET(_xlpm.v,IFERROR(VLOOKUP(D191,УГО_спр,3,FALSE),IFERROR(VLOOKUP(AT191,УГО_спр,3,FALSE),IFERROR(VLOOKUP(LEFT(AT191,2),УГО_спр,3,FALSE),""))),IF(_xlpm.v="да",30,IF(ISNUMBER(_xlpm.v),_xlpm.v,0))))</f>
        <v>30</v>
      </c>
      <c r="DX191">
        <f t="shared" si="217"/>
        <v>0</v>
      </c>
      <c r="DY191">
        <f>IF(BD191="","",IF(AD191&lt;&gt;"",COUNTIFS(A$3:A191,A191,AD$3:AD191,"?*"),IF(OR(OR(AS191=1,A191&lt;&gt;A190),AL191="вручную"),"",IF(AS191=1,"",DZ190))))</f>
        <v>7</v>
      </c>
      <c r="DZ191">
        <f t="shared" si="218"/>
        <v>7</v>
      </c>
      <c r="EA191">
        <f>IF(D191="",0,MAX(IFERROR(--X191,0),IFERROR(--VLOOKUP(D191,УГО_спр,4,FALSE),IFERROR(--VLOOKUP(AT191,УГО_спр,4,FALSE),IFERROR(--VLOOKUP(LEFT(AT191,2),УГО_спр,4,FALSE),0)))))</f>
        <v>16</v>
      </c>
      <c r="EB191">
        <f>IF(D191="","",IFERROR(LOOKUP(INDEX(CHOOSE(BR191,Iдоп_1ж,Iдоп_2ж,Iдоп_3ж),MATCH(BS191,Iдоп_S,0))*BP191*BQ191,{6,10,16,20,25,32,40,50,63,80,100,125,160,200,250,315,400,500,630}),""))</f>
        <v>25</v>
      </c>
      <c r="EC191">
        <f>IF(AD191="","",SUMIFS(Линии[_Ток схемы],Линии[_гр.],DY191,Линии[Щит],A191,Линии[_в кабель выше],0))</f>
        <v>1.37</v>
      </c>
      <c r="ED191">
        <f>IF(AD191="","",IFERROR(VLOOKUP(EC191,Автомат_номиналы,2,TRUE),""))</f>
        <v>6</v>
      </c>
      <c r="EE191">
        <f>IF(AD191="","",MAX(N(ED191),_xlfn.MAXIFS(Линии[_мин. по типу],Линии[_гр.],DY191,Линии[Щит],A191)))</f>
        <v>16</v>
      </c>
      <c r="EF191">
        <f>IF(AD191="","",_xlfn.MINIFS(Линии[_макс. автомат по кабелю],Линии[_гр.],DY191,Линии[Щит],A191))</f>
        <v>25</v>
      </c>
      <c r="EG191">
        <f>IF(AD191="","",MAX(1,_xlfn.MAXIFS(Линии[_фаз],Линии[_гр.],DY191,Линии[Щит],A191)))</f>
        <v>1</v>
      </c>
      <c r="EH191">
        <f>IF(AD191="","",IF(AND(AD191&lt;&gt;"авто",AD191&lt;&gt;"+"),IF(ISNUMBER(SEARCH("мА",AD191)),IFERROR(--TRIM(RIGHT(SUBSTITUTE(LEFT(AD191,SEARCH("мА",AD191)-1)," ",REPT(" ",9)),6)),30),0),IF(AE191="нет",0,IF(ISNUMBER(AE191),AE191,IF(AE191="да",30,_xlfn.MINIFS(Линии[_дифзащита по коду, мА],Линии[_гр.],DY191,Линии[Щит],A191,Линии[_дифзащита по коду, мА],"&gt;0"))))))</f>
        <v>30</v>
      </c>
      <c r="EI191">
        <f t="shared" si="219"/>
        <v>1</v>
      </c>
      <c r="EJ191" t="str">
        <f t="shared" si="220"/>
        <v>QFD7</v>
      </c>
      <c r="EK191" t="str">
        <f t="shared" si="221"/>
        <v>QFD7</v>
      </c>
      <c r="EL191" t="str">
        <f t="shared" si="222"/>
        <v/>
      </c>
      <c r="EM191">
        <f t="shared" si="223"/>
        <v>0</v>
      </c>
      <c r="EN191">
        <f>IF(AD191="","",IF(EM191=1,MAX(EE191,Мин_автомат_БП),EE191))</f>
        <v>16</v>
      </c>
      <c r="EO191" t="str">
        <f t="shared" si="224"/>
        <v>2P</v>
      </c>
      <c r="EP191" t="str">
        <f t="shared" si="225"/>
        <v>2P С16А 30мА</v>
      </c>
      <c r="EQ191">
        <f t="shared" si="226"/>
        <v>16</v>
      </c>
      <c r="ER191" t="str">
        <f>IF(OR(AI191="",AI191="-"),"",IFERROR(VLOOKUP(AI191,Модули_спр,2,FALSE),"R"))</f>
        <v/>
      </c>
      <c r="ES191" t="str">
        <f>IF(ER191="","",ER191&amp;"."&amp;COUNTIFS(A$3:A191,A191,ER$3:ER191,ER191))</f>
        <v/>
      </c>
      <c r="ET191" t="str">
        <f t="shared" si="227"/>
        <v/>
      </c>
      <c r="EU191" t="str">
        <f t="shared" si="228"/>
        <v/>
      </c>
      <c r="EV191" t="str">
        <f t="shared" si="229"/>
        <v/>
      </c>
      <c r="EW191" t="str">
        <f t="shared" si="230"/>
        <v/>
      </c>
      <c r="EX191">
        <f t="shared" si="231"/>
        <v>1</v>
      </c>
      <c r="EY191" t="str">
        <f>IF(AK191="нет","",IF(AK191&lt;&gt;"",AK191,IF(EX191=1,"XT"&amp;COUNTIFS(A$3:A191,A191,EX$3:EX191,1),"")))</f>
        <v>XT7</v>
      </c>
      <c r="EZ191" t="str">
        <f t="shared" si="232"/>
        <v>QFD7</v>
      </c>
      <c r="FA191" t="str">
        <f t="shared" si="233"/>
        <v/>
      </c>
      <c r="FB191" t="str">
        <f t="shared" si="234"/>
        <v>ok</v>
      </c>
      <c r="FC191" t="str">
        <f>IF(OR(EV191="",ET191=""),"",IF(EV191&gt;IFERROR(VLOOKUP(EU191,Модули_спр,3,FALSE),99),"ЛИШНИЙ КАНАЛ",IF(AND(AJ191&lt;&gt;"=",COUNTIFS(Линии[_модуль гр.],ET191,Линии[Канал (итог)],EV191,Линии[Канал],"&lt;&gt;=",Линии[Щит],A191)&gt;1),"ДУБЛЬ КАНАЛА","")))</f>
        <v/>
      </c>
      <c r="FD191">
        <f t="shared" si="235"/>
        <v>16</v>
      </c>
      <c r="FE191" t="str">
        <f t="shared" si="236"/>
        <v>2P С16А 30мА</v>
      </c>
      <c r="FF191">
        <f t="shared" si="237"/>
        <v>1</v>
      </c>
      <c r="FG191">
        <f t="shared" si="238"/>
        <v>30</v>
      </c>
      <c r="FH191" t="str">
        <f t="shared" si="239"/>
        <v/>
      </c>
      <c r="FI191">
        <f t="shared" si="240"/>
        <v>10</v>
      </c>
      <c r="FJ191" t="str">
        <f t="shared" si="241"/>
        <v/>
      </c>
      <c r="FK191" t="str">
        <f>IF(AND(D191="",EZ191=""),"",_xlfn.TEXTJOIN("; ",TRUE,IF(AND(D191&lt;&gt;"",DD191=""),"нет фазы",""),IF(AND(D191&lt;&gt;"",N(DT191)=0,CN191&lt;&gt;"Нет"),"нет мощности",""),IF(AND(EY191&lt;&gt;"",COUNTIFS(Линии[Щит],A191,Линии[Клемма (итог)],EY191)&gt;1),"дубль клеммы "&amp;EY191,""),IF(AND(FB191&lt;&gt;"",FB191&lt;&gt;"ok"),FB191,""),IF(FC191&lt;&gt;"",FC191,""),IF(AND(ISNUMBER(SEARCH("(5х",DS191)),N(DV191)=1),"5 жил на 1 фазе",""),IF(AND(AT191="R",AD191&lt;&gt;"",OR(N(EH191)=0,N(EH191)&gt;30)),"розетка без дифзащиты до 30 мА",""),IFERROR(IF(AND(ISNUMBER(CD191),CD191&gt;CE191),"потери "&amp;FIXED(CD191,1)&amp;" % &gt; "&amp;CE191&amp;" %",""),""),IFERROR(IF(LEFT(FJ191,4)="мало","Iкз мало — отключение &gt; 0,4 с",""),""),IF(AND(D191&lt;&gt;"",BD191=""),"не на схеме","")))</f>
        <v/>
      </c>
      <c r="FL191">
        <f>IF(AD191="","",_xlfn.LET(_xlpm.t,IFERROR(_xlfn.XLOOKUP(EP191,Каталог!$U$4:$U$500,Каталог!$G$4:$G$500),""),_xlpm.k,SEARCH("кА",_xlpm.t),IFERROR(--TRIM(RIGHT(SUBSTITUTE(MID(_xlpm.t,MAX(1,_xlpm.k-4),_xlpm.k-MAX(1,_xlpm.k-4))," ",REPT(" ",9)),5)),"")))</f>
        <v>6</v>
      </c>
      <c r="FM191" t="str">
        <f>IF(OR(FL191="",AD191=""),"",IF(_xlfn.XLOOKUP(A191,Щиты[Щит],Щиты[Iкз max на шинах, кА],"")="","",IF(FL191&lt;_xlfn.XLOOKUP(A191,Щиты[Щит],Щиты[Iкз max на шинах, кА]),"Icu "&amp;FL191&amp;" кА &lt; Iкз max","ok")))</f>
        <v/>
      </c>
      <c r="FN191" t="str">
        <f t="shared" si="242"/>
        <v>QFD7|XT7</v>
      </c>
      <c r="FO191" t="str">
        <f t="shared" si="243"/>
        <v>QFD7|XT7|кабель ВВГнг(А)-LS (3х2,5) → Розеточная группа Цокольный этаж Пом. №003A</v>
      </c>
      <c r="FP191" t="str" cm="1">
        <f t="array" ref="FP191">IF(FO191="","",_xlfn.LET(_xlpm.nd,_xlfn.TEXTSPLIT(FO191,"|"),IF(COLUMNS(_xlpm.nd)&gt;1,A191&amp;"¦"&amp;INDEX(_xlpm.nd,1)&amp;"¦"&amp;INDEX(_xlpm.nd,2),"")))</f>
        <v>ЩР-01¦QFD7¦XT7</v>
      </c>
      <c r="FQ191" t="str">
        <f t="shared" si="244"/>
        <v>R.0.003A.1¦Розеточная группа Цокольный этаж Пом. №003A</v>
      </c>
      <c r="FR191" t="str" cm="1">
        <f t="array" ref="FR191">IF(FO191="","",_xlfn.LET(_xlpm.nd,_xlfn.TEXTSPLIT(FO191,"|"),IF(COLUMNS(_xlpm.nd)&gt;2,A191&amp;"¦"&amp;INDEX(_xlpm.nd,2)&amp;"¦"&amp;INDEX(_xlpm.nd,3),"")))</f>
        <v>ЩР-01¦XT7¦кабель ВВГнг(А)-LS (3х2,5) → Розеточная группа Цокольный этаж Пом. №003A</v>
      </c>
      <c r="FS191" t="str">
        <f t="shared" si="245"/>
        <v>R.0.003A.1¦Розеточная группа Цокольный этаж Пом. №003A</v>
      </c>
      <c r="FT191" t="str" cm="1">
        <f t="array" ref="FT191">IF(FO191="","",_xlfn.LET(_xlpm.nd,_xlfn.TEXTSPLIT(FO191,"|"),IF(COLUMNS(_xlpm.nd)&gt;3,A191&amp;"¦"&amp;INDEX(_xlpm.nd,3)&amp;"¦"&amp;INDEX(_xlpm.nd,4),"")))</f>
        <v/>
      </c>
      <c r="FU191" t="str">
        <f t="shared" si="246"/>
        <v/>
      </c>
      <c r="FV191" t="str" cm="1">
        <f t="array" ref="FV191">IF(FO191="","",_xlfn.LET(_xlpm.nd,_xlfn.TEXTSPLIT(FO191,"|"),IF(COLUMNS(_xlpm.nd)&gt;4,A191&amp;"¦"&amp;INDEX(_xlpm.nd,4)&amp;"¦"&amp;INDEX(_xlpm.nd,5),"")))</f>
        <v/>
      </c>
      <c r="FW191" t="str">
        <f t="shared" si="247"/>
        <v/>
      </c>
      <c r="FX191" t="str" cm="1">
        <f t="array" ref="FX191">IF(FO191="","",_xlfn.LET(_xlpm.nd,_xlfn.TEXTSPLIT(FO191,"|"),IF(COLUMNS(_xlpm.nd)&gt;5,A191&amp;"¦"&amp;INDEX(_xlpm.nd,5)&amp;"¦"&amp;INDEX(_xlpm.nd,6),"")))</f>
        <v/>
      </c>
      <c r="FY191" t="str">
        <f t="shared" si="248"/>
        <v/>
      </c>
      <c r="FZ191" t="str" cm="1">
        <f t="array" ref="FZ191">IF(FO191="","",_xlfn.LET(_xlpm.nd,_xlfn.TEXTSPLIT(FO191,"|"),IF(COLUMNS(_xlpm.nd)&gt;6,A191&amp;"¦"&amp;INDEX(_xlpm.nd,6)&amp;"¦"&amp;INDEX(_xlpm.nd,7),"")))</f>
        <v/>
      </c>
      <c r="GA191" t="str">
        <f t="shared" si="249"/>
        <v/>
      </c>
      <c r="GB191" t="str">
        <f t="shared" si="250"/>
        <v/>
      </c>
      <c r="GC191" t="str">
        <f t="shared" si="251"/>
        <v>QFD7 → XT7</v>
      </c>
      <c r="GD191">
        <f t="shared" si="252"/>
        <v>1</v>
      </c>
      <c r="GE191">
        <f t="shared" si="253"/>
        <v>0</v>
      </c>
      <c r="GF191">
        <f t="shared" si="254"/>
        <v>1</v>
      </c>
      <c r="GG191" t="str">
        <f t="shared" si="255"/>
        <v/>
      </c>
      <c r="GH191" t="str">
        <f t="shared" si="256"/>
        <v/>
      </c>
      <c r="GI191" t="str">
        <f t="shared" si="257"/>
        <v/>
      </c>
      <c r="GJ191" t="str">
        <f t="shared" si="258"/>
        <v/>
      </c>
      <c r="GK191" t="str">
        <f>IF(D191="","",IFERROR(VLOOKUP(D191,УГО_спр,2,FALSE),IFERROR(VLOOKUP(AT191,УГО_спр,2,FALSE),IFERROR(VLOOKUP(LEFT(AT191,2),УГО_спр,2,FALSE),""))))</f>
        <v>Розетка</v>
      </c>
      <c r="GL191" t="str">
        <f>IF(D191="","",IF(OR(GK191="",GK191=0),"BOX",IFERROR(IF(VLOOKUP(GK191,УГО_блоки,3,FALSE)&amp;""&lt;&gt;"",VLOOKUP(GK191,УГО_блоки,3,FALSE),VLOOKUP(GK191,УГО_блоки,2,FALSE)),GK191)))</f>
        <v>SOCKET</v>
      </c>
      <c r="GM191">
        <f t="shared" si="259"/>
        <v>1</v>
      </c>
      <c r="GN191" t="str">
        <f>IF(EP191="","",IF(COUNTIF(EP$3:EP191,EP191)=1,MAX(GN$2:GN190)+1,""))</f>
        <v/>
      </c>
      <c r="GO191" t="str">
        <f>IF(AF191="","",IF(COUNTIF(AF$3:AF191,AF191)+COUNTIF(AG$2:AG190,AF191)+COUNTIF(AH$2:AH190,AF191)=1,MAX(GO$2:GQ190)+1,""))</f>
        <v/>
      </c>
      <c r="GP191" t="str">
        <f>IF(AG191="","",IF(COUNTIF(AF$3:AF191,AG191)+COUNTIF(AG$3:AG191,AG191)+COUNTIF(AH$2:AH190,AG191)=1,MAX(GO$2:GQ190,GO191)+1,""))</f>
        <v/>
      </c>
      <c r="GQ191" t="str">
        <f>IF(AH191="","",IF(COUNTIF(AF$3:AF191,AH191)+COUNTIF(AG$3:AG191,AH191)+COUNTIF(AH$3:AH191,AH191)=1,MAX(GO$2:GQ190,GO191,GP191)+1,""))</f>
        <v/>
      </c>
      <c r="GR191" t="str">
        <f t="shared" si="260"/>
        <v>3х2,5</v>
      </c>
      <c r="GS191" t="str">
        <f>IF(GR191="","",IF(COUNTIF(GR$3:GR191,GR191)=1,MAX(GS$2:GS190)+1,""))</f>
        <v/>
      </c>
      <c r="GT191" t="str">
        <f>IF(ES191="","",COUNTIF(ES$3:ES191,"?*"))</f>
        <v/>
      </c>
      <c r="GU191" t="str">
        <f>IF(OR(ES191="",EU191=""),"",IF(COUNTIFS(ES$3:ES191,"?*",EU$3:EU191,EU191)=1,MAX(GU$2:GU190)+1,""))</f>
        <v/>
      </c>
      <c r="GV191">
        <f t="shared" si="261"/>
        <v>0</v>
      </c>
      <c r="GW191">
        <f>IF(D191="","",COUNTIF(D$3:D191,"?*"))</f>
        <v>189</v>
      </c>
      <c r="GX191">
        <f>IF(EX191&lt;&gt;1,0,_xlfn.LET(_xlpm.k,MAX(IFERROR(--VLOOKUP(D191,УГО_спр,5,FALSE),0),IFERROR(--VLOOKUP(AT191,УГО_спр,5,FALSE),0),IFERROR(--VLOOKUP(LEFT(AT191,2),УГО_спр,5,FALSE),0)),IF(_xlpm.k&gt;0,_xlpm.k,IF(IFERROR(--LEFT(SUBSTITUTE(GR191,"x","х"),FIND("х",SUBSTITUTE(GR191,"x","х"))-1),3)&gt;3,Каталог!$S$9,1))))</f>
        <v>1</v>
      </c>
      <c r="GY191">
        <f t="shared" si="262"/>
        <v>0</v>
      </c>
    </row>
    <row r="192" spans="1:207" x14ac:dyDescent="0.3">
      <c r="A192" t="s">
        <v>760</v>
      </c>
      <c r="B192">
        <v>16</v>
      </c>
      <c r="C192" t="str">
        <f>IF(BD192="","",IF(BE192="вводной узел","узел ","")&amp;"л."&amp;(INT((BD192-1)/Столбцов_на_лист)+1)&amp;" / "&amp;(MOD(BD192-1,Столбцов_на_лист)+1))</f>
        <v>л.1 / 16</v>
      </c>
      <c r="D192" t="s">
        <v>1500</v>
      </c>
      <c r="E192" s="133" t="str">
        <f t="shared" si="263"/>
        <v>Розеточная группа Цокольный этаж Пом. №003A</v>
      </c>
      <c r="G192">
        <v>0.18</v>
      </c>
      <c r="H192">
        <v>3</v>
      </c>
      <c r="I192">
        <v>1</v>
      </c>
      <c r="J192">
        <v>230</v>
      </c>
      <c r="K192" t="s">
        <v>566</v>
      </c>
      <c r="O192">
        <v>1</v>
      </c>
      <c r="P192">
        <v>54</v>
      </c>
      <c r="Q192">
        <v>10</v>
      </c>
      <c r="R192">
        <v>59</v>
      </c>
      <c r="S192">
        <v>0</v>
      </c>
      <c r="U192" t="s">
        <v>11</v>
      </c>
      <c r="V192">
        <v>3</v>
      </c>
      <c r="W192">
        <v>2.5</v>
      </c>
      <c r="Z192" t="s">
        <v>565</v>
      </c>
      <c r="AA192" t="s">
        <v>818</v>
      </c>
      <c r="AD192" t="s">
        <v>517</v>
      </c>
      <c r="AR192" t="str">
        <f t="shared" si="176"/>
        <v/>
      </c>
      <c r="AS192" cm="1">
        <f t="array" ref="AS192">ROW()-ROW(Линии[#Headers])</f>
        <v>190</v>
      </c>
      <c r="AT192" t="str">
        <f t="shared" si="177"/>
        <v>R</v>
      </c>
      <c r="AU192" t="str">
        <f t="shared" si="178"/>
        <v>0.003A.3</v>
      </c>
      <c r="AV192" t="str">
        <f t="shared" si="179"/>
        <v>0</v>
      </c>
      <c r="AW192" t="str">
        <f t="shared" si="180"/>
        <v>003A.3</v>
      </c>
      <c r="AX192" t="str">
        <f t="shared" si="181"/>
        <v>003A</v>
      </c>
      <c r="AY192" t="str">
        <f>IF(D192="","",IF(ISERROR(SEARCH(".",D192)),IFERROR(VLOOKUP(D192,Потребители_обозначение,2,FALSE)&amp;"",""),IFERROR(IF(VLOOKUP(AT192,Потребители_обозначение,4,FALSE)=1,VLOOKUP(AT192,Потребители_обозначение,2,FALSE)&amp;" "&amp;VLOOKUP(AV192,Этаж_обозначение,2,FALSE)&amp;" Пом. №"&amp;AX192,VLOOKUP(AT192,Потребители_обозначение,2,FALSE)&amp;" Шлейф №"&amp;AV192),IFERROR(VLOOKUP(D192,Потребители_обозначение,2,FALSE),""))))</f>
        <v>Розеточная группа Цокольный этаж Пом. №003A</v>
      </c>
      <c r="AZ192" t="str">
        <f t="shared" si="182"/>
        <v>Розеточная группа Цокольный этаж Пом. №003A</v>
      </c>
      <c r="BA192" t="str">
        <f>IF(F192&lt;&gt;"",F192,IF(AND(D192&lt;&gt;"",D192&lt;&gt;A192,ISNUMBER(_xlfn.XMATCH(D192,Щиты[Щит]))),D192,""))</f>
        <v/>
      </c>
      <c r="BB192">
        <f>IFERROR(_xlfn.XMATCH(A192,Щиты[Щит]),0)</f>
        <v>9</v>
      </c>
      <c r="BC192">
        <f>IFERROR(N(_xlfn.XLOOKUP(A192,Щиты[Щит],Щиты[Мест под вводной узел])),15)</f>
        <v>8</v>
      </c>
      <c r="BD192">
        <f t="shared" si="183"/>
        <v>16</v>
      </c>
      <c r="BE192" t="str">
        <f t="shared" si="184"/>
        <v>линии</v>
      </c>
      <c r="BF192">
        <f>IF(D192="","",IF(BA192&lt;&gt;"",IFERROR(_xlfn.XLOOKUP(BA192,Щиты[Щит],Щиты[Руст, кВт]),0),N(G192)))</f>
        <v>0.18</v>
      </c>
      <c r="BG192">
        <f>IF(J192&lt;&gt;"",J192,IF(D192="","",IFERROR(IF(VLOOKUP(AT192,Потребители_обозначение,8,FALSE)=0,"",VLOOKUP(AT192,Потребители_обозначение,8,FALSE)),"")))</f>
        <v>230</v>
      </c>
      <c r="BH192">
        <f>IF(I192&lt;&gt;"",I192,IF(D192="","",IFERROR(IF(VLOOKUP(AT192,Потребители_обозначение,9,FALSE)=0,"",VLOOKUP(AT192,Потребители_обозначение,9,FALSE)),"")))</f>
        <v>1</v>
      </c>
      <c r="BI192" t="str">
        <f>IF(U192&lt;&gt;"",U192,IF(D192="","",IFERROR(IF(VLOOKUP(AT192,Потребители_обозначение,6,FALSE)=0,"",VLOOKUP(AT192,Потребители_обозначение,6,FALSE)),"")))</f>
        <v>мс</v>
      </c>
      <c r="BJ192">
        <f>IF(V192&lt;&gt;"",V192,IF(D192="","",IFERROR(IF(VLOOKUP(AT192,Потребители_обозначение,7,FALSE)=0,"",VLOOKUP(AT192,Потребители_обозначение,7,FALSE)),"")))</f>
        <v>3</v>
      </c>
      <c r="BK192">
        <f>IF(W192&lt;&gt;"",W192,IF(D192="","",IFERROR(IF(VLOOKUP(AT192,Потребители_обозначение,10,FALSE)=0,"",VLOOKUP(AT192,Потребители_обозначение,10,FALSE)),"")))</f>
        <v>2.5</v>
      </c>
      <c r="BL192">
        <f>IFERROR(VLOOKUP(AT192,Потребители_обозначение,5,FALSE),0)</f>
        <v>1</v>
      </c>
      <c r="BM192" cm="1">
        <f t="array" ref="BM192">IF(D192="","",IF(BA192&lt;&gt;"",IFERROR(_xlfn.XLOOKUP(BA192,Щиты[Щит],Щиты[cos φ]),0.95),IF(ISNUMBER(M192),M192,IFERROR(IF(BL192=2,_xlfn.IFS(BH192=3,VLOOKUP(BF192,Справочная_двигатели,8,FALSE),BH192=1,VLOOKUP(BF192,Справочная_двигатели,10,TRUE)),IF(AND(Методика="нормы 2026",CN192="Сил"),0.8,0.95)),0.95))))</f>
        <v>0.95</v>
      </c>
      <c r="BN192" cm="1">
        <f t="array" ref="BN192">IF(D192="","",IF(BA192&lt;&gt;"",IFERROR(_xlfn.XLOOKUP(BA192,Щиты[Щит],Щиты[Iр, А]),""),IFERROR(_xlfn.IFS(BH192=1,BF192/((Uн_лин/SQRT(3))*BM192),BH192=3,BF192/(SQRT(3)*Uн_лин*BM192)),"")))</f>
        <v>0.8204451193747313</v>
      </c>
      <c r="BO192">
        <f>IF(D192="","",IF(N(X192)=0,IFERROR(VLOOKUP(BN192,Автомат_номиналы,2,TRUE),""),X192))</f>
        <v>6</v>
      </c>
      <c r="BP192">
        <f t="shared" si="185"/>
        <v>1</v>
      </c>
      <c r="BQ192">
        <f>IF(ISNUMBER(Y192),Y192,К_прокл)</f>
        <v>1</v>
      </c>
      <c r="BR192">
        <f t="shared" si="186"/>
        <v>2</v>
      </c>
      <c r="BS192" cm="1">
        <f t="array" ref="BS192">IF(D192="","",IF(N(BK192)&lt;&gt;0,BK192,IFERROR(_xlfn.LET(_xlpm.need,BO192/(BP192*BQ192),_xlpm.t,CHOOSE(BR192,Iдоп_1ж,Iдоп_2ж,Iдоп_3ж),_xlpm.k,_xlfn.XMATCH(_xlpm.need,_xlpm.t,1),IF(ISNA(_xlpm.k),"Не исп",INDEX(Iдоп_S,_xlpm.k))),"Не исп")))</f>
        <v>2.5</v>
      </c>
      <c r="BT192">
        <f>IFERROR(VLOOKUP(BS192,Кабель_сопротивление,3,FALSE),"")</f>
        <v>2.2499999999999999E-2</v>
      </c>
      <c r="BU192">
        <f>IFERROR(VLOOKUP(BS192,Кабель_сопротивление,2,FALSE),"")</f>
        <v>0.1</v>
      </c>
      <c r="BV192">
        <f t="shared" si="187"/>
        <v>54</v>
      </c>
      <c r="BW192">
        <f>IF(D192="","",IFERROR(IF(VLOOKUP(AT192,Потребители_обозначение,4,FALSE)=1,VLOOKUP(AT192,Потребители_обозначение,3,FALSE)*(H192*2-1)+BV192+VLOOKUP(AV192,Этаж_обозначение,3,FALSE)+VLOOKUP(AV192,Этаж_обозначение,4,FALSE),VLOOKUP(AT192,Потребители_обозначение,3,FALSE)*(H192*2-1)+BV192),BV192))</f>
        <v>69</v>
      </c>
      <c r="BX192">
        <f t="shared" si="188"/>
        <v>59</v>
      </c>
      <c r="BY192">
        <f t="shared" si="189"/>
        <v>0</v>
      </c>
      <c r="BZ192">
        <f t="shared" si="190"/>
        <v>2</v>
      </c>
      <c r="CA192">
        <f t="shared" si="191"/>
        <v>0.31</v>
      </c>
      <c r="CB192">
        <f t="shared" si="192"/>
        <v>0.97155306057093049</v>
      </c>
      <c r="CC192">
        <f>IFERROR(ROUNDUP(CB192/((Uн_лин/SQRT(3))*1000)*100,2),"")</f>
        <v>0.43</v>
      </c>
      <c r="CD192">
        <f>IF(ISNUMBER(CC192),CC192+IFERROR(_xlfn.XLOOKUP(A192,Щиты[Щит],Щиты[ΔU до шин, %]),0),"")</f>
        <v>0.86</v>
      </c>
      <c r="CE192">
        <f>IF(D192="","",IF(IFERROR(VLOOKUP(AT192,УГО_спр,2,FALSE),"")="Светильник",3,4)+IF(Методика="нормы 2026",MIN(0.5,MAX(0,N(BW192)-100)*0.005),0))</f>
        <v>4</v>
      </c>
      <c r="CF192" t="str">
        <f>IFERROR(VLOOKUP(BI192,Кабель_обозначение,2,FALSE),"")</f>
        <v>ВВГнг(А)-LS</v>
      </c>
      <c r="CG192" t="str">
        <f>IFERROR(IF(VLOOKUP(BI192,Кабель_обозначение,3,FALSE)=1,CF192&amp;" ("&amp;BJ192&amp;"х"&amp;BS192&amp;")",CF192),"")</f>
        <v>ВВГнг(А)-LS (3х2,5)</v>
      </c>
      <c r="CH192" t="str">
        <f t="shared" si="193"/>
        <v>ВВГнг(А)-LS (3х2,5)
L=69-0,43%</v>
      </c>
      <c r="CI192">
        <f>IFERROR(2*ρкз_Cu*BW192/BS192,"")</f>
        <v>1.4517599999999999</v>
      </c>
      <c r="CJ192">
        <f t="shared" si="194"/>
        <v>0.48299999999999998</v>
      </c>
      <c r="CK192" t="str">
        <f>IFERROR(IF(OR(D192="",NOT(ISNUMBER(BS192)),N(BW192)=0),"",_xlfn.XLOOKUP(A192,Щиты[Щит],Щиты[Zпетли на шинах, Ом])+CI192),"")</f>
        <v/>
      </c>
      <c r="CL192" t="str">
        <f>IF(ISNUMBER(CK192),c_min*(Uн_лин*1000/SQRT(3))/CK192,"")</f>
        <v/>
      </c>
      <c r="CM192" t="str">
        <f>IFERROR(IF(OR(D192="",NOT(ISNUMBER(BS192))),"",1.05*(Uн_лин*1000/SQRT(3))/(_xlfn.XLOOKUP(A192,Щиты[Щит],Щиты[Zmax на шинах, Ом])+CJ192)/1000),"")</f>
        <v/>
      </c>
      <c r="CN192" t="str">
        <f>IF(D192="","",IF(BA192&lt;&gt;"","Щит",IF(K192&lt;&gt;"",K192,IF(ISNUMBER(L192),"Сил",IF(IFERROR(_xlfn.XLOOKUP(AT192,Коды_код,Коды_группа)&amp;"","")="","Быт",_xlfn.XLOOKUP(AT192,Коды_код,Коды_группа)&amp;"")))))</f>
        <v>Быт</v>
      </c>
      <c r="CO192">
        <f>IF(CN192="Щит","щит",IF(CN192="","",IF(CN192="Быт",IFERROR(_xlfn.XLOOKUP(A192,Щиты[Щит],Щиты[Кс быт]),1),IF(CN192="Сил",IF(ISNUMBER(L192),L192,IF(Методика="нормы 2026",IFERROR(_xlfn.XLOOKUP(A192,Щиты[Щит],Щиты[Кс силовых (табл. 7.5)]),1),1)),IF(OR(CN192="Пост",CN192="Отоп"),1,IF(CN192="ВНГ",0.7,0))))))</f>
        <v>0.79799999999999993</v>
      </c>
      <c r="CP192">
        <f t="shared" si="195"/>
        <v>1</v>
      </c>
      <c r="CQ192">
        <f t="shared" si="196"/>
        <v>0.18</v>
      </c>
      <c r="CR192">
        <f t="shared" si="197"/>
        <v>0.18</v>
      </c>
      <c r="CS192">
        <f t="shared" si="198"/>
        <v>0</v>
      </c>
      <c r="CT192">
        <f t="shared" si="199"/>
        <v>0</v>
      </c>
      <c r="CU192">
        <f t="shared" si="200"/>
        <v>0</v>
      </c>
      <c r="CV192">
        <f t="shared" si="201"/>
        <v>0</v>
      </c>
      <c r="CW192">
        <f t="shared" si="202"/>
        <v>0.18</v>
      </c>
      <c r="CX192">
        <f t="shared" si="203"/>
        <v>0.17099999999999999</v>
      </c>
      <c r="CY192">
        <f t="shared" si="204"/>
        <v>2</v>
      </c>
      <c r="CZ192" t="str">
        <f t="shared" si="205"/>
        <v>L2</v>
      </c>
      <c r="DA192" cm="1">
        <f t="array" ref="DA192">IFERROR(IF(BL192=2,_xlfn.IFS(BH192=3,VLOOKUP(BF192,Справочная_двигатели,3,FALSE),BH192=1,VLOOKUP(BF192,Справочная_двигатели,5,TRUE)),0),0)</f>
        <v>0</v>
      </c>
      <c r="DB192">
        <f>IFERROR(IF(BL192=3,VLOOKUP(BF192,Справочная_ЛЭД,2,TRUE),0),0)</f>
        <v>0</v>
      </c>
      <c r="DC192">
        <f t="shared" si="206"/>
        <v>0</v>
      </c>
      <c r="DD192" t="str">
        <f t="shared" si="207"/>
        <v>L1</v>
      </c>
      <c r="DE192" t="str" cm="1">
        <f t="array" ref="DE192">IF(D192="","",IFERROR(INDEX({"I особая","I","II","III"},MATCH(TRIM(AA192&amp;""),{"I особая","I","II","III"},0)),"III"))</f>
        <v>II</v>
      </c>
      <c r="DF192" t="str">
        <f>IF(D192="","",IF(TRIM(AB192&amp;"")&lt;&gt;"",IF(LOWER(TRIM(AB192&amp;""))="да","да","нет"),IF(IFERROR(_xlfn.XLOOKUP(AT192,Коды_код,Коды_пожарная),"")="да","да","нет")))</f>
        <v>нет</v>
      </c>
      <c r="DG192" t="str">
        <f t="shared" si="208"/>
        <v/>
      </c>
      <c r="DH192" t="str">
        <f t="shared" si="209"/>
        <v>основная</v>
      </c>
      <c r="DI192">
        <f t="shared" si="210"/>
        <v>1</v>
      </c>
      <c r="DJ192" t="str" cm="1">
        <f t="array" ref="DJ192">IF(D192="","",_xlfn.LET(_xlpm.t,IFERROR(_xlfn.XLOOKUP(1,(Шины[Шина]=DH192)*(((Шины[Щит]=A192)+(Шины[Щит]=""))&gt;0),Шины[Тип]),"")&amp;"",IF(_xlpm.t&lt;&gt;"",_xlpm.t,IF(ISNUMBER(SEARCH("ИБП",DH192)),"ИБП",IF(ISNUMBER(SEARCH("ДГУ",DH192)),"ДГУ","Ввод "&amp;DI192)))))</f>
        <v>Ввод 1</v>
      </c>
      <c r="DK192" t="str">
        <f t="shared" si="211"/>
        <v>Ввод 1</v>
      </c>
      <c r="DL192" t="str">
        <f>IF(D192="","",IF(OR(DJ192="ИБП",DJ192="ДГУ"),"I особая",IF(DJ192="Одиночная","III",_xlfn.XLOOKUP(A192,Щиты[Щит],Щиты[Категория шины «Ввод»],"III"))))</f>
        <v>II</v>
      </c>
      <c r="DM192">
        <f>IF(D192="",0,IFERROR(MATCH(DE192,{"III","II","I","I особая"},0),1))</f>
        <v>2</v>
      </c>
      <c r="DN192">
        <f t="shared" si="212"/>
        <v>2</v>
      </c>
      <c r="DO192" t="str">
        <f>IF(D192="","",IF(DM192&gt;IFERROR(MATCH(DL192,{"III","II","I","I особая"},0),1),"НЕ ОБЕСПЕЧЕНА","ОК"))</f>
        <v>ОК</v>
      </c>
      <c r="DP192" t="str">
        <f>IF(A192="","",_xlfn.XLOOKUP(A192,Щиты[Щит],Щиты[Путь],""))</f>
        <v>|ГРЩ-ЖД|ЩР-01|</v>
      </c>
      <c r="DQ192" t="str">
        <f>IF(D192="","",IF(Z192&lt;&gt;"",Z192,IF(IFERROR(_xlfn.XLOOKUP(AT192,Коды_код,Коды_вид)&amp;"","")="","Прочее",_xlfn.XLOOKUP(AT192,Коды_код,Коды_вид)&amp;"")))</f>
        <v>Розеточная сеть и бытовые приборы</v>
      </c>
      <c r="DR192">
        <f>IF(BD192="","",INT((BD192-1)/Столбцов_на_лист)+1)</f>
        <v>1</v>
      </c>
      <c r="DS192" t="str">
        <f t="shared" si="213"/>
        <v>ВВГнг(А)-LS (3х2,5) L=69-0,43%</v>
      </c>
      <c r="DT192">
        <f t="shared" si="214"/>
        <v>0.18</v>
      </c>
      <c r="DU192">
        <f t="shared" si="215"/>
        <v>0.83</v>
      </c>
      <c r="DV192">
        <f t="shared" si="216"/>
        <v>1</v>
      </c>
      <c r="DW192">
        <f>IF(AT192="",0,_xlfn.LET(_xlpm.v,IFERROR(VLOOKUP(D192,УГО_спр,3,FALSE),IFERROR(VLOOKUP(AT192,УГО_спр,3,FALSE),IFERROR(VLOOKUP(LEFT(AT192,2),УГО_спр,3,FALSE),""))),IF(_xlpm.v="да",30,IF(ISNUMBER(_xlpm.v),_xlpm.v,0))))</f>
        <v>30</v>
      </c>
      <c r="DX192">
        <f t="shared" si="217"/>
        <v>0</v>
      </c>
      <c r="DY192">
        <f>IF(BD192="","",IF(AD192&lt;&gt;"",COUNTIFS(A$3:A192,A192,AD$3:AD192,"?*"),IF(OR(OR(AS192=1,A192&lt;&gt;A191),AL192="вручную"),"",IF(AS192=1,"",DZ191))))</f>
        <v>8</v>
      </c>
      <c r="DZ192">
        <f t="shared" si="218"/>
        <v>8</v>
      </c>
      <c r="EA192">
        <f>IF(D192="",0,MAX(IFERROR(--X192,0),IFERROR(--VLOOKUP(D192,УГО_спр,4,FALSE),IFERROR(--VLOOKUP(AT192,УГО_спр,4,FALSE),IFERROR(--VLOOKUP(LEFT(AT192,2),УГО_спр,4,FALSE),0)))))</f>
        <v>16</v>
      </c>
      <c r="EB192">
        <f>IF(D192="","",IFERROR(LOOKUP(INDEX(CHOOSE(BR192,Iдоп_1ж,Iдоп_2ж,Iдоп_3ж),MATCH(BS192,Iдоп_S,0))*BP192*BQ192,{6,10,16,20,25,32,40,50,63,80,100,125,160,200,250,315,400,500,630}),""))</f>
        <v>25</v>
      </c>
      <c r="EC192">
        <f>IF(AD192="","",SUMIFS(Линии[_Ток схемы],Линии[_гр.],DY192,Линии[Щит],A192,Линии[_в кабель выше],0))</f>
        <v>0.83</v>
      </c>
      <c r="ED192">
        <f>IF(AD192="","",IFERROR(VLOOKUP(EC192,Автомат_номиналы,2,TRUE),""))</f>
        <v>6</v>
      </c>
      <c r="EE192">
        <f>IF(AD192="","",MAX(N(ED192),_xlfn.MAXIFS(Линии[_мин. по типу],Линии[_гр.],DY192,Линии[Щит],A192)))</f>
        <v>16</v>
      </c>
      <c r="EF192">
        <f>IF(AD192="","",_xlfn.MINIFS(Линии[_макс. автомат по кабелю],Линии[_гр.],DY192,Линии[Щит],A192))</f>
        <v>25</v>
      </c>
      <c r="EG192">
        <f>IF(AD192="","",MAX(1,_xlfn.MAXIFS(Линии[_фаз],Линии[_гр.],DY192,Линии[Щит],A192)))</f>
        <v>1</v>
      </c>
      <c r="EH192">
        <f>IF(AD192="","",IF(AND(AD192&lt;&gt;"авто",AD192&lt;&gt;"+"),IF(ISNUMBER(SEARCH("мА",AD192)),IFERROR(--TRIM(RIGHT(SUBSTITUTE(LEFT(AD192,SEARCH("мА",AD192)-1)," ",REPT(" ",9)),6)),30),0),IF(AE192="нет",0,IF(ISNUMBER(AE192),AE192,IF(AE192="да",30,_xlfn.MINIFS(Линии[_дифзащита по коду, мА],Линии[_гр.],DY192,Линии[Щит],A192,Линии[_дифзащита по коду, мА],"&gt;0"))))))</f>
        <v>30</v>
      </c>
      <c r="EI192">
        <f t="shared" si="219"/>
        <v>1</v>
      </c>
      <c r="EJ192" t="str">
        <f t="shared" si="220"/>
        <v>QFD8</v>
      </c>
      <c r="EK192" t="str">
        <f t="shared" si="221"/>
        <v>QFD8</v>
      </c>
      <c r="EL192" t="str">
        <f t="shared" si="222"/>
        <v/>
      </c>
      <c r="EM192">
        <f t="shared" si="223"/>
        <v>0</v>
      </c>
      <c r="EN192">
        <f>IF(AD192="","",IF(EM192=1,MAX(EE192,Мин_автомат_БП),EE192))</f>
        <v>16</v>
      </c>
      <c r="EO192" t="str">
        <f t="shared" si="224"/>
        <v>2P</v>
      </c>
      <c r="EP192" t="str">
        <f t="shared" si="225"/>
        <v>2P С16А 30мА</v>
      </c>
      <c r="EQ192">
        <f t="shared" si="226"/>
        <v>16</v>
      </c>
      <c r="ER192" t="str">
        <f>IF(OR(AI192="",AI192="-"),"",IFERROR(VLOOKUP(AI192,Модули_спр,2,FALSE),"R"))</f>
        <v/>
      </c>
      <c r="ES192" t="str">
        <f>IF(ER192="","",ER192&amp;"."&amp;COUNTIFS(A$3:A192,A192,ER$3:ER192,ER192))</f>
        <v/>
      </c>
      <c r="ET192" t="str">
        <f t="shared" si="227"/>
        <v/>
      </c>
      <c r="EU192" t="str">
        <f t="shared" si="228"/>
        <v/>
      </c>
      <c r="EV192" t="str">
        <f t="shared" si="229"/>
        <v/>
      </c>
      <c r="EW192" t="str">
        <f t="shared" si="230"/>
        <v/>
      </c>
      <c r="EX192">
        <f t="shared" si="231"/>
        <v>1</v>
      </c>
      <c r="EY192" t="str">
        <f>IF(AK192="нет","",IF(AK192&lt;&gt;"",AK192,IF(EX192=1,"XT"&amp;COUNTIFS(A$3:A192,A192,EX$3:EX192,1),"")))</f>
        <v>XT8</v>
      </c>
      <c r="EZ192" t="str">
        <f t="shared" si="232"/>
        <v>QFD8</v>
      </c>
      <c r="FA192" t="str">
        <f t="shared" si="233"/>
        <v/>
      </c>
      <c r="FB192" t="str">
        <f t="shared" si="234"/>
        <v>ok</v>
      </c>
      <c r="FC192" t="str">
        <f>IF(OR(EV192="",ET192=""),"",IF(EV192&gt;IFERROR(VLOOKUP(EU192,Модули_спр,3,FALSE),99),"ЛИШНИЙ КАНАЛ",IF(AND(AJ192&lt;&gt;"=",COUNTIFS(Линии[_модуль гр.],ET192,Линии[Канал (итог)],EV192,Линии[Канал],"&lt;&gt;=",Линии[Щит],A192)&gt;1),"ДУБЛЬ КАНАЛА","")))</f>
        <v/>
      </c>
      <c r="FD192">
        <f t="shared" si="235"/>
        <v>16</v>
      </c>
      <c r="FE192" t="str">
        <f t="shared" si="236"/>
        <v>2P С16А 30мА</v>
      </c>
      <c r="FF192">
        <f t="shared" si="237"/>
        <v>1</v>
      </c>
      <c r="FG192">
        <f t="shared" si="238"/>
        <v>30</v>
      </c>
      <c r="FH192" t="str">
        <f t="shared" si="239"/>
        <v/>
      </c>
      <c r="FI192">
        <f t="shared" si="240"/>
        <v>10</v>
      </c>
      <c r="FJ192" t="str">
        <f t="shared" si="241"/>
        <v/>
      </c>
      <c r="FK192" t="str">
        <f>IF(AND(D192="",EZ192=""),"",_xlfn.TEXTJOIN("; ",TRUE,IF(AND(D192&lt;&gt;"",DD192=""),"нет фазы",""),IF(AND(D192&lt;&gt;"",N(DT192)=0,CN192&lt;&gt;"Нет"),"нет мощности",""),IF(AND(EY192&lt;&gt;"",COUNTIFS(Линии[Щит],A192,Линии[Клемма (итог)],EY192)&gt;1),"дубль клеммы "&amp;EY192,""),IF(AND(FB192&lt;&gt;"",FB192&lt;&gt;"ok"),FB192,""),IF(FC192&lt;&gt;"",FC192,""),IF(AND(ISNUMBER(SEARCH("(5х",DS192)),N(DV192)=1),"5 жил на 1 фазе",""),IF(AND(AT192="R",AD192&lt;&gt;"",OR(N(EH192)=0,N(EH192)&gt;30)),"розетка без дифзащиты до 30 мА",""),IFERROR(IF(AND(ISNUMBER(CD192),CD192&gt;CE192),"потери "&amp;FIXED(CD192,1)&amp;" % &gt; "&amp;CE192&amp;" %",""),""),IFERROR(IF(LEFT(FJ192,4)="мало","Iкз мало — отключение &gt; 0,4 с",""),""),IF(AND(D192&lt;&gt;"",BD192=""),"не на схеме","")))</f>
        <v/>
      </c>
      <c r="FL192">
        <f>IF(AD192="","",_xlfn.LET(_xlpm.t,IFERROR(_xlfn.XLOOKUP(EP192,Каталог!$U$4:$U$500,Каталог!$G$4:$G$500),""),_xlpm.k,SEARCH("кА",_xlpm.t),IFERROR(--TRIM(RIGHT(SUBSTITUTE(MID(_xlpm.t,MAX(1,_xlpm.k-4),_xlpm.k-MAX(1,_xlpm.k-4))," ",REPT(" ",9)),5)),"")))</f>
        <v>6</v>
      </c>
      <c r="FM192" t="str">
        <f>IF(OR(FL192="",AD192=""),"",IF(_xlfn.XLOOKUP(A192,Щиты[Щит],Щиты[Iкз max на шинах, кА],"")="","",IF(FL192&lt;_xlfn.XLOOKUP(A192,Щиты[Щит],Щиты[Iкз max на шинах, кА]),"Icu "&amp;FL192&amp;" кА &lt; Iкз max","ok")))</f>
        <v/>
      </c>
      <c r="FN192" t="str">
        <f t="shared" si="242"/>
        <v>QFD8|XT8</v>
      </c>
      <c r="FO192" t="str">
        <f t="shared" si="243"/>
        <v>QFD8|XT8|кабель ВВГнг(А)-LS (3х2,5) → Розеточная группа Цокольный этаж Пом. №003A</v>
      </c>
      <c r="FP192" t="str" cm="1">
        <f t="array" ref="FP192">IF(FO192="","",_xlfn.LET(_xlpm.nd,_xlfn.TEXTSPLIT(FO192,"|"),IF(COLUMNS(_xlpm.nd)&gt;1,A192&amp;"¦"&amp;INDEX(_xlpm.nd,1)&amp;"¦"&amp;INDEX(_xlpm.nd,2),"")))</f>
        <v>ЩР-01¦QFD8¦XT8</v>
      </c>
      <c r="FQ192" t="str">
        <f t="shared" si="244"/>
        <v>R.0.003A.3¦Розеточная группа Цокольный этаж Пом. №003A</v>
      </c>
      <c r="FR192" t="str" cm="1">
        <f t="array" ref="FR192">IF(FO192="","",_xlfn.LET(_xlpm.nd,_xlfn.TEXTSPLIT(FO192,"|"),IF(COLUMNS(_xlpm.nd)&gt;2,A192&amp;"¦"&amp;INDEX(_xlpm.nd,2)&amp;"¦"&amp;INDEX(_xlpm.nd,3),"")))</f>
        <v>ЩР-01¦XT8¦кабель ВВГнг(А)-LS (3х2,5) → Розеточная группа Цокольный этаж Пом. №003A</v>
      </c>
      <c r="FS192" t="str">
        <f t="shared" si="245"/>
        <v>R.0.003A.3¦Розеточная группа Цокольный этаж Пом. №003A</v>
      </c>
      <c r="FT192" t="str" cm="1">
        <f t="array" ref="FT192">IF(FO192="","",_xlfn.LET(_xlpm.nd,_xlfn.TEXTSPLIT(FO192,"|"),IF(COLUMNS(_xlpm.nd)&gt;3,A192&amp;"¦"&amp;INDEX(_xlpm.nd,3)&amp;"¦"&amp;INDEX(_xlpm.nd,4),"")))</f>
        <v/>
      </c>
      <c r="FU192" t="str">
        <f t="shared" si="246"/>
        <v/>
      </c>
      <c r="FV192" t="str" cm="1">
        <f t="array" ref="FV192">IF(FO192="","",_xlfn.LET(_xlpm.nd,_xlfn.TEXTSPLIT(FO192,"|"),IF(COLUMNS(_xlpm.nd)&gt;4,A192&amp;"¦"&amp;INDEX(_xlpm.nd,4)&amp;"¦"&amp;INDEX(_xlpm.nd,5),"")))</f>
        <v/>
      </c>
      <c r="FW192" t="str">
        <f t="shared" si="247"/>
        <v/>
      </c>
      <c r="FX192" t="str" cm="1">
        <f t="array" ref="FX192">IF(FO192="","",_xlfn.LET(_xlpm.nd,_xlfn.TEXTSPLIT(FO192,"|"),IF(COLUMNS(_xlpm.nd)&gt;5,A192&amp;"¦"&amp;INDEX(_xlpm.nd,5)&amp;"¦"&amp;INDEX(_xlpm.nd,6),"")))</f>
        <v/>
      </c>
      <c r="FY192" t="str">
        <f t="shared" si="248"/>
        <v/>
      </c>
      <c r="FZ192" t="str" cm="1">
        <f t="array" ref="FZ192">IF(FO192="","",_xlfn.LET(_xlpm.nd,_xlfn.TEXTSPLIT(FO192,"|"),IF(COLUMNS(_xlpm.nd)&gt;6,A192&amp;"¦"&amp;INDEX(_xlpm.nd,6)&amp;"¦"&amp;INDEX(_xlpm.nd,7),"")))</f>
        <v/>
      </c>
      <c r="GA192" t="str">
        <f t="shared" si="249"/>
        <v/>
      </c>
      <c r="GB192" t="str">
        <f t="shared" si="250"/>
        <v/>
      </c>
      <c r="GC192" t="str">
        <f t="shared" si="251"/>
        <v>QFD8 → XT8</v>
      </c>
      <c r="GD192">
        <f t="shared" si="252"/>
        <v>1</v>
      </c>
      <c r="GE192">
        <f t="shared" si="253"/>
        <v>0</v>
      </c>
      <c r="GF192">
        <f t="shared" si="254"/>
        <v>1</v>
      </c>
      <c r="GG192" t="str">
        <f t="shared" si="255"/>
        <v/>
      </c>
      <c r="GH192" t="str">
        <f t="shared" si="256"/>
        <v/>
      </c>
      <c r="GI192" t="str">
        <f t="shared" si="257"/>
        <v/>
      </c>
      <c r="GJ192" t="str">
        <f t="shared" si="258"/>
        <v/>
      </c>
      <c r="GK192" t="str">
        <f>IF(D192="","",IFERROR(VLOOKUP(D192,УГО_спр,2,FALSE),IFERROR(VLOOKUP(AT192,УГО_спр,2,FALSE),IFERROR(VLOOKUP(LEFT(AT192,2),УГО_спр,2,FALSE),""))))</f>
        <v>Розетка</v>
      </c>
      <c r="GL192" t="str">
        <f>IF(D192="","",IF(OR(GK192="",GK192=0),"BOX",IFERROR(IF(VLOOKUP(GK192,УГО_блоки,3,FALSE)&amp;""&lt;&gt;"",VLOOKUP(GK192,УГО_блоки,3,FALSE),VLOOKUP(GK192,УГО_блоки,2,FALSE)),GK192)))</f>
        <v>SOCKET</v>
      </c>
      <c r="GM192">
        <f t="shared" si="259"/>
        <v>1</v>
      </c>
      <c r="GN192" t="str">
        <f>IF(EP192="","",IF(COUNTIF(EP$3:EP192,EP192)=1,MAX(GN$2:GN191)+1,""))</f>
        <v/>
      </c>
      <c r="GO192" t="str">
        <f>IF(AF192="","",IF(COUNTIF(AF$3:AF192,AF192)+COUNTIF(AG$2:AG191,AF192)+COUNTIF(AH$2:AH191,AF192)=1,MAX(GO$2:GQ191)+1,""))</f>
        <v/>
      </c>
      <c r="GP192" t="str">
        <f>IF(AG192="","",IF(COUNTIF(AF$3:AF192,AG192)+COUNTIF(AG$3:AG192,AG192)+COUNTIF(AH$2:AH191,AG192)=1,MAX(GO$2:GQ191,GO192)+1,""))</f>
        <v/>
      </c>
      <c r="GQ192" t="str">
        <f>IF(AH192="","",IF(COUNTIF(AF$3:AF192,AH192)+COUNTIF(AG$3:AG192,AH192)+COUNTIF(AH$3:AH192,AH192)=1,MAX(GO$2:GQ191,GO192,GP192)+1,""))</f>
        <v/>
      </c>
      <c r="GR192" t="str">
        <f t="shared" si="260"/>
        <v>3х2,5</v>
      </c>
      <c r="GS192" t="str">
        <f>IF(GR192="","",IF(COUNTIF(GR$3:GR192,GR192)=1,MAX(GS$2:GS191)+1,""))</f>
        <v/>
      </c>
      <c r="GT192" t="str">
        <f>IF(ES192="","",COUNTIF(ES$3:ES192,"?*"))</f>
        <v/>
      </c>
      <c r="GU192" t="str">
        <f>IF(OR(ES192="",EU192=""),"",IF(COUNTIFS(ES$3:ES192,"?*",EU$3:EU192,EU192)=1,MAX(GU$2:GU191)+1,""))</f>
        <v/>
      </c>
      <c r="GV192">
        <f t="shared" si="261"/>
        <v>0</v>
      </c>
      <c r="GW192">
        <f>IF(D192="","",COUNTIF(D$3:D192,"?*"))</f>
        <v>190</v>
      </c>
      <c r="GX192">
        <f>IF(EX192&lt;&gt;1,0,_xlfn.LET(_xlpm.k,MAX(IFERROR(--VLOOKUP(D192,УГО_спр,5,FALSE),0),IFERROR(--VLOOKUP(AT192,УГО_спр,5,FALSE),0),IFERROR(--VLOOKUP(LEFT(AT192,2),УГО_спр,5,FALSE),0)),IF(_xlpm.k&gt;0,_xlpm.k,IF(IFERROR(--LEFT(SUBSTITUTE(GR192,"x","х"),FIND("х",SUBSTITUTE(GR192,"x","х"))-1),3)&gt;3,Каталог!$S$9,1))))</f>
        <v>1</v>
      </c>
      <c r="GY192">
        <f t="shared" si="262"/>
        <v>0</v>
      </c>
    </row>
    <row r="193" spans="1:207" x14ac:dyDescent="0.3">
      <c r="A193" t="s">
        <v>760</v>
      </c>
      <c r="B193">
        <v>19</v>
      </c>
      <c r="C193" t="str">
        <f>IF(BD193="","",IF(BE193="вводной узел","узел ","")&amp;"л."&amp;(INT((BD193-1)/Столбцов_на_лист)+1)&amp;" / "&amp;(MOD(BD193-1,Столбцов_на_лист)+1))</f>
        <v>л.2 / 2</v>
      </c>
      <c r="D193" t="s">
        <v>1501</v>
      </c>
      <c r="E193" s="133" t="str">
        <f t="shared" si="263"/>
        <v>Розеточная группа Цокольный этаж Пом. №003Б</v>
      </c>
      <c r="G193">
        <v>0.06</v>
      </c>
      <c r="H193">
        <v>1</v>
      </c>
      <c r="I193">
        <v>1</v>
      </c>
      <c r="J193">
        <v>230</v>
      </c>
      <c r="K193" t="s">
        <v>566</v>
      </c>
      <c r="O193">
        <v>2</v>
      </c>
      <c r="P193">
        <v>44</v>
      </c>
      <c r="Q193">
        <v>8</v>
      </c>
      <c r="R193">
        <v>39</v>
      </c>
      <c r="S193">
        <v>0</v>
      </c>
      <c r="U193" t="s">
        <v>11</v>
      </c>
      <c r="V193">
        <v>3</v>
      </c>
      <c r="W193">
        <v>2.5</v>
      </c>
      <c r="Z193" t="s">
        <v>565</v>
      </c>
      <c r="AA193" t="s">
        <v>818</v>
      </c>
      <c r="AD193" t="s">
        <v>517</v>
      </c>
      <c r="AK193" t="s">
        <v>488</v>
      </c>
      <c r="AR193" t="str">
        <f t="shared" si="176"/>
        <v/>
      </c>
      <c r="AS193" cm="1">
        <f t="array" ref="AS193">ROW()-ROW(Линии[#Headers])</f>
        <v>191</v>
      </c>
      <c r="AT193" t="str">
        <f t="shared" si="177"/>
        <v>R</v>
      </c>
      <c r="AU193" t="str">
        <f t="shared" si="178"/>
        <v>0.003Б.1</v>
      </c>
      <c r="AV193" t="str">
        <f t="shared" si="179"/>
        <v>0</v>
      </c>
      <c r="AW193" t="str">
        <f t="shared" si="180"/>
        <v>003Б.1</v>
      </c>
      <c r="AX193" t="str">
        <f t="shared" si="181"/>
        <v>003Б</v>
      </c>
      <c r="AY193" t="str">
        <f>IF(D193="","",IF(ISERROR(SEARCH(".",D193)),IFERROR(VLOOKUP(D193,Потребители_обозначение,2,FALSE)&amp;"",""),IFERROR(IF(VLOOKUP(AT193,Потребители_обозначение,4,FALSE)=1,VLOOKUP(AT193,Потребители_обозначение,2,FALSE)&amp;" "&amp;VLOOKUP(AV193,Этаж_обозначение,2,FALSE)&amp;" Пом. №"&amp;AX193,VLOOKUP(AT193,Потребители_обозначение,2,FALSE)&amp;" Шлейф №"&amp;AV193),IFERROR(VLOOKUP(D193,Потребители_обозначение,2,FALSE),""))))</f>
        <v>Розеточная группа Цокольный этаж Пом. №003Б</v>
      </c>
      <c r="AZ193" t="str">
        <f t="shared" si="182"/>
        <v>Розеточная группа Цокольный этаж Пом. №003Б</v>
      </c>
      <c r="BA193" t="str">
        <f>IF(F193&lt;&gt;"",F193,IF(AND(D193&lt;&gt;"",D193&lt;&gt;A193,ISNUMBER(_xlfn.XMATCH(D193,Щиты[Щит]))),D193,""))</f>
        <v/>
      </c>
      <c r="BB193">
        <f>IFERROR(_xlfn.XMATCH(A193,Щиты[Щит]),0)</f>
        <v>9</v>
      </c>
      <c r="BC193">
        <f>IFERROR(N(_xlfn.XLOOKUP(A193,Щиты[Щит],Щиты[Мест под вводной узел])),15)</f>
        <v>8</v>
      </c>
      <c r="BD193">
        <f t="shared" si="183"/>
        <v>19</v>
      </c>
      <c r="BE193" t="str">
        <f t="shared" si="184"/>
        <v>линии</v>
      </c>
      <c r="BF193">
        <f>IF(D193="","",IF(BA193&lt;&gt;"",IFERROR(_xlfn.XLOOKUP(BA193,Щиты[Щит],Щиты[Руст, кВт]),0),N(G193)))</f>
        <v>0.06</v>
      </c>
      <c r="BG193">
        <f>IF(J193&lt;&gt;"",J193,IF(D193="","",IFERROR(IF(VLOOKUP(AT193,Потребители_обозначение,8,FALSE)=0,"",VLOOKUP(AT193,Потребители_обозначение,8,FALSE)),"")))</f>
        <v>230</v>
      </c>
      <c r="BH193">
        <f>IF(I193&lt;&gt;"",I193,IF(D193="","",IFERROR(IF(VLOOKUP(AT193,Потребители_обозначение,9,FALSE)=0,"",VLOOKUP(AT193,Потребители_обозначение,9,FALSE)),"")))</f>
        <v>1</v>
      </c>
      <c r="BI193" t="str">
        <f>IF(U193&lt;&gt;"",U193,IF(D193="","",IFERROR(IF(VLOOKUP(AT193,Потребители_обозначение,6,FALSE)=0,"",VLOOKUP(AT193,Потребители_обозначение,6,FALSE)),"")))</f>
        <v>мс</v>
      </c>
      <c r="BJ193">
        <f>IF(V193&lt;&gt;"",V193,IF(D193="","",IFERROR(IF(VLOOKUP(AT193,Потребители_обозначение,7,FALSE)=0,"",VLOOKUP(AT193,Потребители_обозначение,7,FALSE)),"")))</f>
        <v>3</v>
      </c>
      <c r="BK193">
        <f>IF(W193&lt;&gt;"",W193,IF(D193="","",IFERROR(IF(VLOOKUP(AT193,Потребители_обозначение,10,FALSE)=0,"",VLOOKUP(AT193,Потребители_обозначение,10,FALSE)),"")))</f>
        <v>2.5</v>
      </c>
      <c r="BL193">
        <f>IFERROR(VLOOKUP(AT193,Потребители_обозначение,5,FALSE),0)</f>
        <v>1</v>
      </c>
      <c r="BM193" cm="1">
        <f t="array" ref="BM193">IF(D193="","",IF(BA193&lt;&gt;"",IFERROR(_xlfn.XLOOKUP(BA193,Щиты[Щит],Щиты[cos φ]),0.95),IF(ISNUMBER(M193),M193,IFERROR(IF(BL193=2,_xlfn.IFS(BH193=3,VLOOKUP(BF193,Справочная_двигатели,8,FALSE),BH193=1,VLOOKUP(BF193,Справочная_двигатели,10,TRUE)),IF(AND(Методика="нормы 2026",CN193="Сил"),0.8,0.95)),0.95))))</f>
        <v>0.95</v>
      </c>
      <c r="BN193" cm="1">
        <f t="array" ref="BN193">IF(D193="","",IF(BA193&lt;&gt;"",IFERROR(_xlfn.XLOOKUP(BA193,Щиты[Щит],Щиты[Iр, А]),""),IFERROR(_xlfn.IFS(BH193=1,BF193/((Uн_лин/SQRT(3))*BM193),BH193=3,BF193/(SQRT(3)*Uн_лин*BM193)),"")))</f>
        <v>0.27348170645824377</v>
      </c>
      <c r="BO193">
        <f>IF(D193="","",IF(N(X193)=0,IFERROR(VLOOKUP(BN193,Автомат_номиналы,2,TRUE),""),X193))</f>
        <v>6</v>
      </c>
      <c r="BP193">
        <f t="shared" si="185"/>
        <v>1</v>
      </c>
      <c r="BQ193">
        <f>IF(ISNUMBER(Y193),Y193,К_прокл)</f>
        <v>1</v>
      </c>
      <c r="BR193">
        <f t="shared" si="186"/>
        <v>2</v>
      </c>
      <c r="BS193" cm="1">
        <f t="array" ref="BS193">IF(D193="","",IF(N(BK193)&lt;&gt;0,BK193,IFERROR(_xlfn.LET(_xlpm.need,BO193/(BP193*BQ193),_xlpm.t,CHOOSE(BR193,Iдоп_1ж,Iдоп_2ж,Iдоп_3ж),_xlpm.k,_xlfn.XMATCH(_xlpm.need,_xlpm.t,1),IF(ISNA(_xlpm.k),"Не исп",INDEX(Iдоп_S,_xlpm.k))),"Не исп")))</f>
        <v>2.5</v>
      </c>
      <c r="BT193">
        <f>IFERROR(VLOOKUP(BS193,Кабель_сопротивление,3,FALSE),"")</f>
        <v>2.2499999999999999E-2</v>
      </c>
      <c r="BU193">
        <f>IFERROR(VLOOKUP(BS193,Кабель_сопротивление,2,FALSE),"")</f>
        <v>0.1</v>
      </c>
      <c r="BV193">
        <f t="shared" si="187"/>
        <v>44</v>
      </c>
      <c r="BW193">
        <f>IF(D193="","",IFERROR(IF(VLOOKUP(AT193,Потребители_обозначение,4,FALSE)=1,VLOOKUP(AT193,Потребители_обозначение,3,FALSE)*(H193*2-1)+BV193+VLOOKUP(AV193,Этаж_обозначение,3,FALSE)+VLOOKUP(AV193,Этаж_обозначение,4,FALSE),VLOOKUP(AT193,Потребители_обозначение,3,FALSE)*(H193*2-1)+BV193),BV193))</f>
        <v>47</v>
      </c>
      <c r="BX193">
        <f t="shared" si="188"/>
        <v>39</v>
      </c>
      <c r="BY193">
        <f t="shared" si="189"/>
        <v>0</v>
      </c>
      <c r="BZ193">
        <f t="shared" si="190"/>
        <v>2</v>
      </c>
      <c r="CA193">
        <f t="shared" si="191"/>
        <v>0.31</v>
      </c>
      <c r="CB193">
        <f t="shared" si="192"/>
        <v>0.22059417317310978</v>
      </c>
      <c r="CC193">
        <f>IFERROR(ROUNDUP(CB193/((Uн_лин/SQRT(3))*1000)*100,2),"")</f>
        <v>9.9999999999999992E-2</v>
      </c>
      <c r="CD193">
        <f>IF(ISNUMBER(CC193),CC193+IFERROR(_xlfn.XLOOKUP(A193,Щиты[Щит],Щиты[ΔU до шин, %]),0),"")</f>
        <v>0.53</v>
      </c>
      <c r="CE193">
        <f>IF(D193="","",IF(IFERROR(VLOOKUP(AT193,УГО_спр,2,FALSE),"")="Светильник",3,4)+IF(Методика="нормы 2026",MIN(0.5,MAX(0,N(BW193)-100)*0.005),0))</f>
        <v>4</v>
      </c>
      <c r="CF193" t="str">
        <f>IFERROR(VLOOKUP(BI193,Кабель_обозначение,2,FALSE),"")</f>
        <v>ВВГнг(А)-LS</v>
      </c>
      <c r="CG193" t="str">
        <f>IFERROR(IF(VLOOKUP(BI193,Кабель_обозначение,3,FALSE)=1,CF193&amp;" ("&amp;BJ193&amp;"х"&amp;BS193&amp;")",CF193),"")</f>
        <v>ВВГнг(А)-LS (3х2,5)</v>
      </c>
      <c r="CH193" t="str">
        <f t="shared" si="193"/>
        <v>ВВГнг(А)-LS (3х2,5)
L=47-0,1%</v>
      </c>
      <c r="CI193">
        <f>IFERROR(2*ρкз_Cu*BW193/BS193,"")</f>
        <v>0.98887999999999998</v>
      </c>
      <c r="CJ193">
        <f t="shared" si="194"/>
        <v>0.32900000000000007</v>
      </c>
      <c r="CK193" t="str">
        <f>IFERROR(IF(OR(D193="",NOT(ISNUMBER(BS193)),N(BW193)=0),"",_xlfn.XLOOKUP(A193,Щиты[Щит],Щиты[Zпетли на шинах, Ом])+CI193),"")</f>
        <v/>
      </c>
      <c r="CL193" t="str">
        <f>IF(ISNUMBER(CK193),c_min*(Uн_лин*1000/SQRT(3))/CK193,"")</f>
        <v/>
      </c>
      <c r="CM193" t="str">
        <f>IFERROR(IF(OR(D193="",NOT(ISNUMBER(BS193))),"",1.05*(Uн_лин*1000/SQRT(3))/(_xlfn.XLOOKUP(A193,Щиты[Щит],Щиты[Zmax на шинах, Ом])+CJ193)/1000),"")</f>
        <v/>
      </c>
      <c r="CN193" t="str">
        <f>IF(D193="","",IF(BA193&lt;&gt;"","Щит",IF(K193&lt;&gt;"",K193,IF(ISNUMBER(L193),"Сил",IF(IFERROR(_xlfn.XLOOKUP(AT193,Коды_код,Коды_группа)&amp;"","")="","Быт",_xlfn.XLOOKUP(AT193,Коды_код,Коды_группа)&amp;"")))))</f>
        <v>Быт</v>
      </c>
      <c r="CO193">
        <f>IF(CN193="Щит","щит",IF(CN193="","",IF(CN193="Быт",IFERROR(_xlfn.XLOOKUP(A193,Щиты[Щит],Щиты[Кс быт]),1),IF(CN193="Сил",IF(ISNUMBER(L193),L193,IF(Методика="нормы 2026",IFERROR(_xlfn.XLOOKUP(A193,Щиты[Щит],Щиты[Кс силовых (табл. 7.5)]),1),1)),IF(OR(CN193="Пост",CN193="Отоп"),1,IF(CN193="ВНГ",0.7,0))))))</f>
        <v>0.79799999999999993</v>
      </c>
      <c r="CP193">
        <f t="shared" si="195"/>
        <v>1</v>
      </c>
      <c r="CQ193">
        <f t="shared" si="196"/>
        <v>0.06</v>
      </c>
      <c r="CR193">
        <f t="shared" si="197"/>
        <v>0.06</v>
      </c>
      <c r="CS193">
        <f t="shared" si="198"/>
        <v>0</v>
      </c>
      <c r="CT193">
        <f t="shared" si="199"/>
        <v>0</v>
      </c>
      <c r="CU193">
        <f t="shared" si="200"/>
        <v>0</v>
      </c>
      <c r="CV193">
        <f t="shared" si="201"/>
        <v>0</v>
      </c>
      <c r="CW193">
        <f t="shared" si="202"/>
        <v>0.06</v>
      </c>
      <c r="CX193">
        <f t="shared" si="203"/>
        <v>5.6999999999999995E-2</v>
      </c>
      <c r="CY193">
        <f t="shared" si="204"/>
        <v>3</v>
      </c>
      <c r="CZ193" t="str">
        <f t="shared" si="205"/>
        <v>L3</v>
      </c>
      <c r="DA193" cm="1">
        <f t="array" ref="DA193">IFERROR(IF(BL193=2,_xlfn.IFS(BH193=3,VLOOKUP(BF193,Справочная_двигатели,3,FALSE),BH193=1,VLOOKUP(BF193,Справочная_двигатели,5,TRUE)),0),0)</f>
        <v>0</v>
      </c>
      <c r="DB193">
        <f>IFERROR(IF(BL193=3,VLOOKUP(BF193,Справочная_ЛЭД,2,TRUE),0),0)</f>
        <v>0</v>
      </c>
      <c r="DC193">
        <f t="shared" si="206"/>
        <v>0</v>
      </c>
      <c r="DD193" t="str">
        <f t="shared" si="207"/>
        <v>L2</v>
      </c>
      <c r="DE193" t="str" cm="1">
        <f t="array" ref="DE193">IF(D193="","",IFERROR(INDEX({"I особая","I","II","III"},MATCH(TRIM(AA193&amp;""),{"I особая","I","II","III"},0)),"III"))</f>
        <v>II</v>
      </c>
      <c r="DF193" t="str">
        <f>IF(D193="","",IF(TRIM(AB193&amp;"")&lt;&gt;"",IF(LOWER(TRIM(AB193&amp;""))="да","да","нет"),IF(IFERROR(_xlfn.XLOOKUP(AT193,Коды_код,Коды_пожарная),"")="да","да","нет")))</f>
        <v>нет</v>
      </c>
      <c r="DG193" t="str">
        <f t="shared" si="208"/>
        <v/>
      </c>
      <c r="DH193" t="str">
        <f t="shared" si="209"/>
        <v>основная</v>
      </c>
      <c r="DI193">
        <f t="shared" si="210"/>
        <v>1</v>
      </c>
      <c r="DJ193" t="str" cm="1">
        <f t="array" ref="DJ193">IF(D193="","",_xlfn.LET(_xlpm.t,IFERROR(_xlfn.XLOOKUP(1,(Шины[Шина]=DH193)*(((Шины[Щит]=A193)+(Шины[Щит]=""))&gt;0),Шины[Тип]),"")&amp;"",IF(_xlpm.t&lt;&gt;"",_xlpm.t,IF(ISNUMBER(SEARCH("ИБП",DH193)),"ИБП",IF(ISNUMBER(SEARCH("ДГУ",DH193)),"ДГУ","Ввод "&amp;DI193)))))</f>
        <v>Ввод 1</v>
      </c>
      <c r="DK193" t="str">
        <f t="shared" si="211"/>
        <v>Ввод 1</v>
      </c>
      <c r="DL193" t="str">
        <f>IF(D193="","",IF(OR(DJ193="ИБП",DJ193="ДГУ"),"I особая",IF(DJ193="Одиночная","III",_xlfn.XLOOKUP(A193,Щиты[Щит],Щиты[Категория шины «Ввод»],"III"))))</f>
        <v>II</v>
      </c>
      <c r="DM193">
        <f>IF(D193="",0,IFERROR(MATCH(DE193,{"III","II","I","I особая"},0),1))</f>
        <v>2</v>
      </c>
      <c r="DN193">
        <f t="shared" si="212"/>
        <v>2</v>
      </c>
      <c r="DO193" t="str">
        <f>IF(D193="","",IF(DM193&gt;IFERROR(MATCH(DL193,{"III","II","I","I особая"},0),1),"НЕ ОБЕСПЕЧЕНА","ОК"))</f>
        <v>ОК</v>
      </c>
      <c r="DP193" t="str">
        <f>IF(A193="","",_xlfn.XLOOKUP(A193,Щиты[Щит],Щиты[Путь],""))</f>
        <v>|ГРЩ-ЖД|ЩР-01|</v>
      </c>
      <c r="DQ193" t="str">
        <f>IF(D193="","",IF(Z193&lt;&gt;"",Z193,IF(IFERROR(_xlfn.XLOOKUP(AT193,Коды_код,Коды_вид)&amp;"","")="","Прочее",_xlfn.XLOOKUP(AT193,Коды_код,Коды_вид)&amp;"")))</f>
        <v>Розеточная сеть и бытовые приборы</v>
      </c>
      <c r="DR193">
        <f>IF(BD193="","",INT((BD193-1)/Столбцов_на_лист)+1)</f>
        <v>2</v>
      </c>
      <c r="DS193" t="str">
        <f t="shared" si="213"/>
        <v>ВВГнг(А)-LS (3х2,5) L=47-0,1%</v>
      </c>
      <c r="DT193">
        <f t="shared" si="214"/>
        <v>0.06</v>
      </c>
      <c r="DU193">
        <f t="shared" si="215"/>
        <v>0.28000000000000003</v>
      </c>
      <c r="DV193">
        <f t="shared" si="216"/>
        <v>1</v>
      </c>
      <c r="DW193">
        <f>IF(AT193="",0,_xlfn.LET(_xlpm.v,IFERROR(VLOOKUP(D193,УГО_спр,3,FALSE),IFERROR(VLOOKUP(AT193,УГО_спр,3,FALSE),IFERROR(VLOOKUP(LEFT(AT193,2),УГО_спр,3,FALSE),""))),IF(_xlpm.v="да",30,IF(ISNUMBER(_xlpm.v),_xlpm.v,0))))</f>
        <v>30</v>
      </c>
      <c r="DX193">
        <f t="shared" si="217"/>
        <v>0</v>
      </c>
      <c r="DY193">
        <f>IF(BD193="","",IF(AD193&lt;&gt;"",COUNTIFS(A$3:A193,A193,AD$3:AD193,"?*"),IF(OR(OR(AS193=1,A193&lt;&gt;A192),AL193="вручную"),"",IF(AS193=1,"",DZ192))))</f>
        <v>9</v>
      </c>
      <c r="DZ193">
        <f t="shared" si="218"/>
        <v>9</v>
      </c>
      <c r="EA193">
        <f>IF(D193="",0,MAX(IFERROR(--X193,0),IFERROR(--VLOOKUP(D193,УГО_спр,4,FALSE),IFERROR(--VLOOKUP(AT193,УГО_спр,4,FALSE),IFERROR(--VLOOKUP(LEFT(AT193,2),УГО_спр,4,FALSE),0)))))</f>
        <v>16</v>
      </c>
      <c r="EB193">
        <f>IF(D193="","",IFERROR(LOOKUP(INDEX(CHOOSE(BR193,Iдоп_1ж,Iдоп_2ж,Iдоп_3ж),MATCH(BS193,Iдоп_S,0))*BP193*BQ193,{6,10,16,20,25,32,40,50,63,80,100,125,160,200,250,315,400,500,630}),""))</f>
        <v>25</v>
      </c>
      <c r="EC193">
        <f>IF(AD193="","",SUMIFS(Линии[_Ток схемы],Линии[_гр.],DY193,Линии[Щит],A193,Линии[_в кабель выше],0))</f>
        <v>0.28000000000000003</v>
      </c>
      <c r="ED193">
        <f>IF(AD193="","",IFERROR(VLOOKUP(EC193,Автомат_номиналы,2,TRUE),""))</f>
        <v>6</v>
      </c>
      <c r="EE193">
        <f>IF(AD193="","",MAX(N(ED193),_xlfn.MAXIFS(Линии[_мин. по типу],Линии[_гр.],DY193,Линии[Щит],A193)))</f>
        <v>16</v>
      </c>
      <c r="EF193">
        <f>IF(AD193="","",_xlfn.MINIFS(Линии[_макс. автомат по кабелю],Линии[_гр.],DY193,Линии[Щит],A193))</f>
        <v>25</v>
      </c>
      <c r="EG193">
        <f>IF(AD193="","",MAX(1,_xlfn.MAXIFS(Линии[_фаз],Линии[_гр.],DY193,Линии[Щит],A193)))</f>
        <v>1</v>
      </c>
      <c r="EH193">
        <f>IF(AD193="","",IF(AND(AD193&lt;&gt;"авто",AD193&lt;&gt;"+"),IF(ISNUMBER(SEARCH("мА",AD193)),IFERROR(--TRIM(RIGHT(SUBSTITUTE(LEFT(AD193,SEARCH("мА",AD193)-1)," ",REPT(" ",9)),6)),30),0),IF(AE193="нет",0,IF(ISNUMBER(AE193),AE193,IF(AE193="да",30,_xlfn.MINIFS(Линии[_дифзащита по коду, мА],Линии[_гр.],DY193,Линии[Щит],A193,Линии[_дифзащита по коду, мА],"&gt;0"))))))</f>
        <v>30</v>
      </c>
      <c r="EI193">
        <f t="shared" si="219"/>
        <v>1</v>
      </c>
      <c r="EJ193" t="str">
        <f t="shared" si="220"/>
        <v>QFD9</v>
      </c>
      <c r="EK193" t="str">
        <f t="shared" si="221"/>
        <v>QFD9</v>
      </c>
      <c r="EL193" t="str">
        <f t="shared" si="222"/>
        <v/>
      </c>
      <c r="EM193">
        <f t="shared" si="223"/>
        <v>0</v>
      </c>
      <c r="EN193">
        <f>IF(AD193="","",IF(EM193=1,MAX(EE193,Мин_автомат_БП),EE193))</f>
        <v>16</v>
      </c>
      <c r="EO193" t="str">
        <f t="shared" si="224"/>
        <v>2P</v>
      </c>
      <c r="EP193" t="str">
        <f t="shared" si="225"/>
        <v>2P С16А 30мА</v>
      </c>
      <c r="EQ193">
        <f t="shared" si="226"/>
        <v>16</v>
      </c>
      <c r="ER193" t="str">
        <f>IF(OR(AI193="",AI193="-"),"",IFERROR(VLOOKUP(AI193,Модули_спр,2,FALSE),"R"))</f>
        <v/>
      </c>
      <c r="ES193" t="str">
        <f>IF(ER193="","",ER193&amp;"."&amp;COUNTIFS(A$3:A193,A193,ER$3:ER193,ER193))</f>
        <v/>
      </c>
      <c r="ET193" t="str">
        <f t="shared" si="227"/>
        <v/>
      </c>
      <c r="EU193" t="str">
        <f t="shared" si="228"/>
        <v/>
      </c>
      <c r="EV193" t="str">
        <f t="shared" si="229"/>
        <v/>
      </c>
      <c r="EW193" t="str">
        <f t="shared" si="230"/>
        <v/>
      </c>
      <c r="EX193">
        <f t="shared" si="231"/>
        <v>1</v>
      </c>
      <c r="EY193" t="str">
        <f>IF(AK193="нет","",IF(AK193&lt;&gt;"",AK193,IF(EX193=1,"XT"&amp;COUNTIFS(A$3:A193,A193,EX$3:EX193,1),"")))</f>
        <v/>
      </c>
      <c r="EZ193" t="str">
        <f t="shared" si="232"/>
        <v>QFD9</v>
      </c>
      <c r="FA193" t="str">
        <f t="shared" si="233"/>
        <v/>
      </c>
      <c r="FB193" t="str">
        <f t="shared" si="234"/>
        <v>ok</v>
      </c>
      <c r="FC193" t="str">
        <f>IF(OR(EV193="",ET193=""),"",IF(EV193&gt;IFERROR(VLOOKUP(EU193,Модули_спр,3,FALSE),99),"ЛИШНИЙ КАНАЛ",IF(AND(AJ193&lt;&gt;"=",COUNTIFS(Линии[_модуль гр.],ET193,Линии[Канал (итог)],EV193,Линии[Канал],"&lt;&gt;=",Линии[Щит],A193)&gt;1),"ДУБЛЬ КАНАЛА","")))</f>
        <v/>
      </c>
      <c r="FD193">
        <f t="shared" si="235"/>
        <v>16</v>
      </c>
      <c r="FE193" t="str">
        <f t="shared" si="236"/>
        <v>2P С16А 30мА</v>
      </c>
      <c r="FF193">
        <f t="shared" si="237"/>
        <v>1</v>
      </c>
      <c r="FG193">
        <f t="shared" si="238"/>
        <v>30</v>
      </c>
      <c r="FH193" t="str">
        <f t="shared" si="239"/>
        <v/>
      </c>
      <c r="FI193">
        <f t="shared" si="240"/>
        <v>10</v>
      </c>
      <c r="FJ193" t="str">
        <f t="shared" si="241"/>
        <v/>
      </c>
      <c r="FK193" t="str">
        <f>IF(AND(D193="",EZ193=""),"",_xlfn.TEXTJOIN("; ",TRUE,IF(AND(D193&lt;&gt;"",DD193=""),"нет фазы",""),IF(AND(D193&lt;&gt;"",N(DT193)=0,CN193&lt;&gt;"Нет"),"нет мощности",""),IF(AND(EY193&lt;&gt;"",COUNTIFS(Линии[Щит],A193,Линии[Клемма (итог)],EY193)&gt;1),"дубль клеммы "&amp;EY193,""),IF(AND(FB193&lt;&gt;"",FB193&lt;&gt;"ok"),FB193,""),IF(FC193&lt;&gt;"",FC193,""),IF(AND(ISNUMBER(SEARCH("(5х",DS193)),N(DV193)=1),"5 жил на 1 фазе",""),IF(AND(AT193="R",AD193&lt;&gt;"",OR(N(EH193)=0,N(EH193)&gt;30)),"розетка без дифзащиты до 30 мА",""),IFERROR(IF(AND(ISNUMBER(CD193),CD193&gt;CE193),"потери "&amp;FIXED(CD193,1)&amp;" % &gt; "&amp;CE193&amp;" %",""),""),IFERROR(IF(LEFT(FJ193,4)="мало","Iкз мало — отключение &gt; 0,4 с",""),""),IF(AND(D193&lt;&gt;"",BD193=""),"не на схеме","")))</f>
        <v/>
      </c>
      <c r="FL193">
        <f>IF(AD193="","",_xlfn.LET(_xlpm.t,IFERROR(_xlfn.XLOOKUP(EP193,Каталог!$U$4:$U$500,Каталог!$G$4:$G$500),""),_xlpm.k,SEARCH("кА",_xlpm.t),IFERROR(--TRIM(RIGHT(SUBSTITUTE(MID(_xlpm.t,MAX(1,_xlpm.k-4),_xlpm.k-MAX(1,_xlpm.k-4))," ",REPT(" ",9)),5)),"")))</f>
        <v>6</v>
      </c>
      <c r="FM193" t="str">
        <f>IF(OR(FL193="",AD193=""),"",IF(_xlfn.XLOOKUP(A193,Щиты[Щит],Щиты[Iкз max на шинах, кА],"")="","",IF(FL193&lt;_xlfn.XLOOKUP(A193,Щиты[Щит],Щиты[Iкз max на шинах, кА]),"Icu "&amp;FL193&amp;" кА &lt; Iкз max","ok")))</f>
        <v/>
      </c>
      <c r="FN193" t="str">
        <f t="shared" si="242"/>
        <v>QFD9</v>
      </c>
      <c r="FO193" t="str">
        <f t="shared" si="243"/>
        <v>QFD9|кабель ВВГнг(А)-LS (3х2,5) → Розеточная группа Цокольный этаж Пом. №003Б</v>
      </c>
      <c r="FP193" t="str" cm="1">
        <f t="array" ref="FP193">IF(FO193="","",_xlfn.LET(_xlpm.nd,_xlfn.TEXTSPLIT(FO193,"|"),IF(COLUMNS(_xlpm.nd)&gt;1,A193&amp;"¦"&amp;INDEX(_xlpm.nd,1)&amp;"¦"&amp;INDEX(_xlpm.nd,2),"")))</f>
        <v>ЩР-01¦QFD9¦кабель ВВГнг(А)-LS (3х2,5) → Розеточная группа Цокольный этаж Пом. №003Б</v>
      </c>
      <c r="FQ193" t="str">
        <f t="shared" si="244"/>
        <v>R.0.003Б.1¦Розеточная группа Цокольный этаж Пом. №003Б</v>
      </c>
      <c r="FR193" t="str" cm="1">
        <f t="array" ref="FR193">IF(FO193="","",_xlfn.LET(_xlpm.nd,_xlfn.TEXTSPLIT(FO193,"|"),IF(COLUMNS(_xlpm.nd)&gt;2,A193&amp;"¦"&amp;INDEX(_xlpm.nd,2)&amp;"¦"&amp;INDEX(_xlpm.nd,3),"")))</f>
        <v/>
      </c>
      <c r="FS193" t="str">
        <f t="shared" si="245"/>
        <v/>
      </c>
      <c r="FT193" t="str" cm="1">
        <f t="array" ref="FT193">IF(FO193="","",_xlfn.LET(_xlpm.nd,_xlfn.TEXTSPLIT(FO193,"|"),IF(COLUMNS(_xlpm.nd)&gt;3,A193&amp;"¦"&amp;INDEX(_xlpm.nd,3)&amp;"¦"&amp;INDEX(_xlpm.nd,4),"")))</f>
        <v/>
      </c>
      <c r="FU193" t="str">
        <f t="shared" si="246"/>
        <v/>
      </c>
      <c r="FV193" t="str" cm="1">
        <f t="array" ref="FV193">IF(FO193="","",_xlfn.LET(_xlpm.nd,_xlfn.TEXTSPLIT(FO193,"|"),IF(COLUMNS(_xlpm.nd)&gt;4,A193&amp;"¦"&amp;INDEX(_xlpm.nd,4)&amp;"¦"&amp;INDEX(_xlpm.nd,5),"")))</f>
        <v/>
      </c>
      <c r="FW193" t="str">
        <f t="shared" si="247"/>
        <v/>
      </c>
      <c r="FX193" t="str" cm="1">
        <f t="array" ref="FX193">IF(FO193="","",_xlfn.LET(_xlpm.nd,_xlfn.TEXTSPLIT(FO193,"|"),IF(COLUMNS(_xlpm.nd)&gt;5,A193&amp;"¦"&amp;INDEX(_xlpm.nd,5)&amp;"¦"&amp;INDEX(_xlpm.nd,6),"")))</f>
        <v/>
      </c>
      <c r="FY193" t="str">
        <f t="shared" si="248"/>
        <v/>
      </c>
      <c r="FZ193" t="str" cm="1">
        <f t="array" ref="FZ193">IF(FO193="","",_xlfn.LET(_xlpm.nd,_xlfn.TEXTSPLIT(FO193,"|"),IF(COLUMNS(_xlpm.nd)&gt;6,A193&amp;"¦"&amp;INDEX(_xlpm.nd,6)&amp;"¦"&amp;INDEX(_xlpm.nd,7),"")))</f>
        <v/>
      </c>
      <c r="GA193" t="str">
        <f t="shared" si="249"/>
        <v/>
      </c>
      <c r="GB193" t="str">
        <f t="shared" si="250"/>
        <v/>
      </c>
      <c r="GC193" t="str">
        <f t="shared" si="251"/>
        <v>QFD9</v>
      </c>
      <c r="GD193">
        <f t="shared" si="252"/>
        <v>1</v>
      </c>
      <c r="GE193">
        <f t="shared" si="253"/>
        <v>0</v>
      </c>
      <c r="GF193">
        <f t="shared" si="254"/>
        <v>1</v>
      </c>
      <c r="GG193" t="str">
        <f t="shared" si="255"/>
        <v/>
      </c>
      <c r="GH193" t="str">
        <f t="shared" si="256"/>
        <v/>
      </c>
      <c r="GI193" t="str">
        <f t="shared" si="257"/>
        <v/>
      </c>
      <c r="GJ193" t="str">
        <f t="shared" si="258"/>
        <v/>
      </c>
      <c r="GK193" t="str">
        <f>IF(D193="","",IFERROR(VLOOKUP(D193,УГО_спр,2,FALSE),IFERROR(VLOOKUP(AT193,УГО_спр,2,FALSE),IFERROR(VLOOKUP(LEFT(AT193,2),УГО_спр,2,FALSE),""))))</f>
        <v>Розетка</v>
      </c>
      <c r="GL193" t="str">
        <f>IF(D193="","",IF(OR(GK193="",GK193=0),"BOX",IFERROR(IF(VLOOKUP(GK193,УГО_блоки,3,FALSE)&amp;""&lt;&gt;"",VLOOKUP(GK193,УГО_блоки,3,FALSE),VLOOKUP(GK193,УГО_блоки,2,FALSE)),GK193)))</f>
        <v>SOCKET</v>
      </c>
      <c r="GM193">
        <f t="shared" si="259"/>
        <v>1</v>
      </c>
      <c r="GN193" t="str">
        <f>IF(EP193="","",IF(COUNTIF(EP$3:EP193,EP193)=1,MAX(GN$2:GN192)+1,""))</f>
        <v/>
      </c>
      <c r="GO193" t="str">
        <f>IF(AF193="","",IF(COUNTIF(AF$3:AF193,AF193)+COUNTIF(AG$2:AG192,AF193)+COUNTIF(AH$2:AH192,AF193)=1,MAX(GO$2:GQ192)+1,""))</f>
        <v/>
      </c>
      <c r="GP193" t="str">
        <f>IF(AG193="","",IF(COUNTIF(AF$3:AF193,AG193)+COUNTIF(AG$3:AG193,AG193)+COUNTIF(AH$2:AH192,AG193)=1,MAX(GO$2:GQ192,GO193)+1,""))</f>
        <v/>
      </c>
      <c r="GQ193" t="str">
        <f>IF(AH193="","",IF(COUNTIF(AF$3:AF193,AH193)+COUNTIF(AG$3:AG193,AH193)+COUNTIF(AH$3:AH193,AH193)=1,MAX(GO$2:GQ192,GO193,GP193)+1,""))</f>
        <v/>
      </c>
      <c r="GR193" t="str">
        <f t="shared" si="260"/>
        <v>3х2,5</v>
      </c>
      <c r="GS193" t="str">
        <f>IF(GR193="","",IF(COUNTIF(GR$3:GR193,GR193)=1,MAX(GS$2:GS192)+1,""))</f>
        <v/>
      </c>
      <c r="GT193" t="str">
        <f>IF(ES193="","",COUNTIF(ES$3:ES193,"?*"))</f>
        <v/>
      </c>
      <c r="GU193" t="str">
        <f>IF(OR(ES193="",EU193=""),"",IF(COUNTIFS(ES$3:ES193,"?*",EU$3:EU193,EU193)=1,MAX(GU$2:GU192)+1,""))</f>
        <v/>
      </c>
      <c r="GV193">
        <f t="shared" si="261"/>
        <v>0</v>
      </c>
      <c r="GW193">
        <f>IF(D193="","",COUNTIF(D$3:D193,"?*"))</f>
        <v>191</v>
      </c>
      <c r="GX193">
        <f>IF(EX193&lt;&gt;1,0,_xlfn.LET(_xlpm.k,MAX(IFERROR(--VLOOKUP(D193,УГО_спр,5,FALSE),0),IFERROR(--VLOOKUP(AT193,УГО_спр,5,FALSE),0),IFERROR(--VLOOKUP(LEFT(AT193,2),УГО_спр,5,FALSE),0)),IF(_xlpm.k&gt;0,_xlpm.k,IF(IFERROR(--LEFT(SUBSTITUTE(GR193,"x","х"),FIND("х",SUBSTITUTE(GR193,"x","х"))-1),3)&gt;3,Каталог!$S$9,1))))</f>
        <v>1</v>
      </c>
      <c r="GY193">
        <f t="shared" si="262"/>
        <v>0</v>
      </c>
    </row>
    <row r="194" spans="1:207" x14ac:dyDescent="0.3">
      <c r="A194" t="s">
        <v>760</v>
      </c>
      <c r="B194">
        <v>20</v>
      </c>
      <c r="C194" t="str">
        <f>IF(BD194="","",IF(BE194="вводной узел","узел ","")&amp;"л."&amp;(INT((BD194-1)/Столбцов_на_лист)+1)&amp;" / "&amp;(MOD(BD194-1,Столбцов_на_лист)+1))</f>
        <v>л.2 / 3</v>
      </c>
      <c r="D194" t="s">
        <v>1502</v>
      </c>
      <c r="E194" s="133" t="str">
        <f t="shared" si="263"/>
        <v>Розеточная группа Цокольный этаж Пом. №004Б</v>
      </c>
      <c r="G194">
        <v>0.18</v>
      </c>
      <c r="H194">
        <v>3</v>
      </c>
      <c r="I194">
        <v>1</v>
      </c>
      <c r="J194">
        <v>230</v>
      </c>
      <c r="K194" t="s">
        <v>566</v>
      </c>
      <c r="O194">
        <v>3</v>
      </c>
      <c r="P194">
        <v>20</v>
      </c>
      <c r="Q194">
        <v>12</v>
      </c>
      <c r="R194">
        <v>23</v>
      </c>
      <c r="S194">
        <v>0</v>
      </c>
      <c r="U194" t="s">
        <v>11</v>
      </c>
      <c r="V194">
        <v>3</v>
      </c>
      <c r="W194">
        <v>2.5</v>
      </c>
      <c r="Z194" t="s">
        <v>565</v>
      </c>
      <c r="AA194" t="s">
        <v>818</v>
      </c>
      <c r="AD194" t="s">
        <v>517</v>
      </c>
      <c r="AR194" t="str">
        <f t="shared" si="176"/>
        <v/>
      </c>
      <c r="AS194" cm="1">
        <f t="array" ref="AS194">ROW()-ROW(Линии[#Headers])</f>
        <v>192</v>
      </c>
      <c r="AT194" t="str">
        <f t="shared" si="177"/>
        <v>R</v>
      </c>
      <c r="AU194" t="str">
        <f t="shared" si="178"/>
        <v>0.004Б.1</v>
      </c>
      <c r="AV194" t="str">
        <f t="shared" si="179"/>
        <v>0</v>
      </c>
      <c r="AW194" t="str">
        <f t="shared" si="180"/>
        <v>004Б.1</v>
      </c>
      <c r="AX194" t="str">
        <f t="shared" si="181"/>
        <v>004Б</v>
      </c>
      <c r="AY194" t="str">
        <f>IF(D194="","",IF(ISERROR(SEARCH(".",D194)),IFERROR(VLOOKUP(D194,Потребители_обозначение,2,FALSE)&amp;"",""),IFERROR(IF(VLOOKUP(AT194,Потребители_обозначение,4,FALSE)=1,VLOOKUP(AT194,Потребители_обозначение,2,FALSE)&amp;" "&amp;VLOOKUP(AV194,Этаж_обозначение,2,FALSE)&amp;" Пом. №"&amp;AX194,VLOOKUP(AT194,Потребители_обозначение,2,FALSE)&amp;" Шлейф №"&amp;AV194),IFERROR(VLOOKUP(D194,Потребители_обозначение,2,FALSE),""))))</f>
        <v>Розеточная группа Цокольный этаж Пом. №004Б</v>
      </c>
      <c r="AZ194" t="str">
        <f t="shared" si="182"/>
        <v>Розеточная группа Цокольный этаж Пом. №004Б</v>
      </c>
      <c r="BA194" t="str">
        <f>IF(F194&lt;&gt;"",F194,IF(AND(D194&lt;&gt;"",D194&lt;&gt;A194,ISNUMBER(_xlfn.XMATCH(D194,Щиты[Щит]))),D194,""))</f>
        <v/>
      </c>
      <c r="BB194">
        <f>IFERROR(_xlfn.XMATCH(A194,Щиты[Щит]),0)</f>
        <v>9</v>
      </c>
      <c r="BC194">
        <f>IFERROR(N(_xlfn.XLOOKUP(A194,Щиты[Щит],Щиты[Мест под вводной узел])),15)</f>
        <v>8</v>
      </c>
      <c r="BD194">
        <f t="shared" si="183"/>
        <v>20</v>
      </c>
      <c r="BE194" t="str">
        <f t="shared" si="184"/>
        <v>линии</v>
      </c>
      <c r="BF194">
        <f>IF(D194="","",IF(BA194&lt;&gt;"",IFERROR(_xlfn.XLOOKUP(BA194,Щиты[Щит],Щиты[Руст, кВт]),0),N(G194)))</f>
        <v>0.18</v>
      </c>
      <c r="BG194">
        <f>IF(J194&lt;&gt;"",J194,IF(D194="","",IFERROR(IF(VLOOKUP(AT194,Потребители_обозначение,8,FALSE)=0,"",VLOOKUP(AT194,Потребители_обозначение,8,FALSE)),"")))</f>
        <v>230</v>
      </c>
      <c r="BH194">
        <f>IF(I194&lt;&gt;"",I194,IF(D194="","",IFERROR(IF(VLOOKUP(AT194,Потребители_обозначение,9,FALSE)=0,"",VLOOKUP(AT194,Потребители_обозначение,9,FALSE)),"")))</f>
        <v>1</v>
      </c>
      <c r="BI194" t="str">
        <f>IF(U194&lt;&gt;"",U194,IF(D194="","",IFERROR(IF(VLOOKUP(AT194,Потребители_обозначение,6,FALSE)=0,"",VLOOKUP(AT194,Потребители_обозначение,6,FALSE)),"")))</f>
        <v>мс</v>
      </c>
      <c r="BJ194">
        <f>IF(V194&lt;&gt;"",V194,IF(D194="","",IFERROR(IF(VLOOKUP(AT194,Потребители_обозначение,7,FALSE)=0,"",VLOOKUP(AT194,Потребители_обозначение,7,FALSE)),"")))</f>
        <v>3</v>
      </c>
      <c r="BK194">
        <f>IF(W194&lt;&gt;"",W194,IF(D194="","",IFERROR(IF(VLOOKUP(AT194,Потребители_обозначение,10,FALSE)=0,"",VLOOKUP(AT194,Потребители_обозначение,10,FALSE)),"")))</f>
        <v>2.5</v>
      </c>
      <c r="BL194">
        <f>IFERROR(VLOOKUP(AT194,Потребители_обозначение,5,FALSE),0)</f>
        <v>1</v>
      </c>
      <c r="BM194" cm="1">
        <f t="array" ref="BM194">IF(D194="","",IF(BA194&lt;&gt;"",IFERROR(_xlfn.XLOOKUP(BA194,Щиты[Щит],Щиты[cos φ]),0.95),IF(ISNUMBER(M194),M194,IFERROR(IF(BL194=2,_xlfn.IFS(BH194=3,VLOOKUP(BF194,Справочная_двигатели,8,FALSE),BH194=1,VLOOKUP(BF194,Справочная_двигатели,10,TRUE)),IF(AND(Методика="нормы 2026",CN194="Сил"),0.8,0.95)),0.95))))</f>
        <v>0.95</v>
      </c>
      <c r="BN194" cm="1">
        <f t="array" ref="BN194">IF(D194="","",IF(BA194&lt;&gt;"",IFERROR(_xlfn.XLOOKUP(BA194,Щиты[Щит],Щиты[Iр, А]),""),IFERROR(_xlfn.IFS(BH194=1,BF194/((Uн_лин/SQRT(3))*BM194),BH194=3,BF194/(SQRT(3)*Uн_лин*BM194)),"")))</f>
        <v>0.8204451193747313</v>
      </c>
      <c r="BO194">
        <f>IF(D194="","",IF(N(X194)=0,IFERROR(VLOOKUP(BN194,Автомат_номиналы,2,TRUE),""),X194))</f>
        <v>6</v>
      </c>
      <c r="BP194">
        <f t="shared" si="185"/>
        <v>1</v>
      </c>
      <c r="BQ194">
        <f>IF(ISNUMBER(Y194),Y194,К_прокл)</f>
        <v>1</v>
      </c>
      <c r="BR194">
        <f t="shared" si="186"/>
        <v>2</v>
      </c>
      <c r="BS194" cm="1">
        <f t="array" ref="BS194">IF(D194="","",IF(N(BK194)&lt;&gt;0,BK194,IFERROR(_xlfn.LET(_xlpm.need,BO194/(BP194*BQ194),_xlpm.t,CHOOSE(BR194,Iдоп_1ж,Iдоп_2ж,Iдоп_3ж),_xlpm.k,_xlfn.XMATCH(_xlpm.need,_xlpm.t,1),IF(ISNA(_xlpm.k),"Не исп",INDEX(Iдоп_S,_xlpm.k))),"Не исп")))</f>
        <v>2.5</v>
      </c>
      <c r="BT194">
        <f>IFERROR(VLOOKUP(BS194,Кабель_сопротивление,3,FALSE),"")</f>
        <v>2.2499999999999999E-2</v>
      </c>
      <c r="BU194">
        <f>IFERROR(VLOOKUP(BS194,Кабель_сопротивление,2,FALSE),"")</f>
        <v>0.1</v>
      </c>
      <c r="BV194">
        <f t="shared" si="187"/>
        <v>20</v>
      </c>
      <c r="BW194">
        <f>IF(D194="","",IFERROR(IF(VLOOKUP(AT194,Потребители_обозначение,4,FALSE)=1,VLOOKUP(AT194,Потребители_обозначение,3,FALSE)*(H194*2-1)+BV194+VLOOKUP(AV194,Этаж_обозначение,3,FALSE)+VLOOKUP(AV194,Этаж_обозначение,4,FALSE),VLOOKUP(AT194,Потребители_обозначение,3,FALSE)*(H194*2-1)+BV194),BV194))</f>
        <v>35</v>
      </c>
      <c r="BX194">
        <f t="shared" si="188"/>
        <v>23</v>
      </c>
      <c r="BY194">
        <f t="shared" si="189"/>
        <v>0</v>
      </c>
      <c r="BZ194">
        <f t="shared" si="190"/>
        <v>2</v>
      </c>
      <c r="CA194">
        <f t="shared" si="191"/>
        <v>0.31</v>
      </c>
      <c r="CB194">
        <f t="shared" si="192"/>
        <v>0.49281676985481981</v>
      </c>
      <c r="CC194">
        <f>IFERROR(ROUNDUP(CB194/((Uн_лин/SQRT(3))*1000)*100,2),"")</f>
        <v>0.22</v>
      </c>
      <c r="CD194">
        <f>IF(ISNUMBER(CC194),CC194+IFERROR(_xlfn.XLOOKUP(A194,Щиты[Щит],Щиты[ΔU до шин, %]),0),"")</f>
        <v>0.65</v>
      </c>
      <c r="CE194">
        <f>IF(D194="","",IF(IFERROR(VLOOKUP(AT194,УГО_спр,2,FALSE),"")="Светильник",3,4)+IF(Методика="нормы 2026",MIN(0.5,MAX(0,N(BW194)-100)*0.005),0))</f>
        <v>4</v>
      </c>
      <c r="CF194" t="str">
        <f>IFERROR(VLOOKUP(BI194,Кабель_обозначение,2,FALSE),"")</f>
        <v>ВВГнг(А)-LS</v>
      </c>
      <c r="CG194" t="str">
        <f>IFERROR(IF(VLOOKUP(BI194,Кабель_обозначение,3,FALSE)=1,CF194&amp;" ("&amp;BJ194&amp;"х"&amp;BS194&amp;")",CF194),"")</f>
        <v>ВВГнг(А)-LS (3х2,5)</v>
      </c>
      <c r="CH194" t="str">
        <f t="shared" si="193"/>
        <v>ВВГнг(А)-LS (3х2,5)
L=35-0,22%</v>
      </c>
      <c r="CI194">
        <f>IFERROR(2*ρкз_Cu*BW194/BS194,"")</f>
        <v>0.73639999999999994</v>
      </c>
      <c r="CJ194">
        <f t="shared" si="194"/>
        <v>0.24500000000000002</v>
      </c>
      <c r="CK194" t="str">
        <f>IFERROR(IF(OR(D194="",NOT(ISNUMBER(BS194)),N(BW194)=0),"",_xlfn.XLOOKUP(A194,Щиты[Щит],Щиты[Zпетли на шинах, Ом])+CI194),"")</f>
        <v/>
      </c>
      <c r="CL194" t="str">
        <f>IF(ISNUMBER(CK194),c_min*(Uн_лин*1000/SQRT(3))/CK194,"")</f>
        <v/>
      </c>
      <c r="CM194" t="str">
        <f>IFERROR(IF(OR(D194="",NOT(ISNUMBER(BS194))),"",1.05*(Uн_лин*1000/SQRT(3))/(_xlfn.XLOOKUP(A194,Щиты[Щит],Щиты[Zmax на шинах, Ом])+CJ194)/1000),"")</f>
        <v/>
      </c>
      <c r="CN194" t="str">
        <f>IF(D194="","",IF(BA194&lt;&gt;"","Щит",IF(K194&lt;&gt;"",K194,IF(ISNUMBER(L194),"Сил",IF(IFERROR(_xlfn.XLOOKUP(AT194,Коды_код,Коды_группа)&amp;"","")="","Быт",_xlfn.XLOOKUP(AT194,Коды_код,Коды_группа)&amp;"")))))</f>
        <v>Быт</v>
      </c>
      <c r="CO194">
        <f>IF(CN194="Щит","щит",IF(CN194="","",IF(CN194="Быт",IFERROR(_xlfn.XLOOKUP(A194,Щиты[Щит],Щиты[Кс быт]),1),IF(CN194="Сил",IF(ISNUMBER(L194),L194,IF(Методика="нормы 2026",IFERROR(_xlfn.XLOOKUP(A194,Щиты[Щит],Щиты[Кс силовых (табл. 7.5)]),1),1)),IF(OR(CN194="Пост",CN194="Отоп"),1,IF(CN194="ВНГ",0.7,0))))))</f>
        <v>0.79799999999999993</v>
      </c>
      <c r="CP194">
        <f t="shared" si="195"/>
        <v>1</v>
      </c>
      <c r="CQ194">
        <f t="shared" si="196"/>
        <v>0.18</v>
      </c>
      <c r="CR194">
        <f t="shared" si="197"/>
        <v>0.18</v>
      </c>
      <c r="CS194">
        <f t="shared" si="198"/>
        <v>0</v>
      </c>
      <c r="CT194">
        <f t="shared" si="199"/>
        <v>0</v>
      </c>
      <c r="CU194">
        <f t="shared" si="200"/>
        <v>0</v>
      </c>
      <c r="CV194">
        <f t="shared" si="201"/>
        <v>0</v>
      </c>
      <c r="CW194">
        <f t="shared" si="202"/>
        <v>0.18</v>
      </c>
      <c r="CX194">
        <f t="shared" si="203"/>
        <v>0.17099999999999999</v>
      </c>
      <c r="CY194">
        <f t="shared" si="204"/>
        <v>1</v>
      </c>
      <c r="CZ194" t="str">
        <f t="shared" si="205"/>
        <v>L1</v>
      </c>
      <c r="DA194" cm="1">
        <f t="array" ref="DA194">IFERROR(IF(BL194=2,_xlfn.IFS(BH194=3,VLOOKUP(BF194,Справочная_двигатели,3,FALSE),BH194=1,VLOOKUP(BF194,Справочная_двигатели,5,TRUE)),0),0)</f>
        <v>0</v>
      </c>
      <c r="DB194">
        <f>IFERROR(IF(BL194=3,VLOOKUP(BF194,Справочная_ЛЭД,2,TRUE),0),0)</f>
        <v>0</v>
      </c>
      <c r="DC194">
        <f t="shared" si="206"/>
        <v>0</v>
      </c>
      <c r="DD194" t="str">
        <f t="shared" si="207"/>
        <v>L3</v>
      </c>
      <c r="DE194" t="str" cm="1">
        <f t="array" ref="DE194">IF(D194="","",IFERROR(INDEX({"I особая","I","II","III"},MATCH(TRIM(AA194&amp;""),{"I особая","I","II","III"},0)),"III"))</f>
        <v>II</v>
      </c>
      <c r="DF194" t="str">
        <f>IF(D194="","",IF(TRIM(AB194&amp;"")&lt;&gt;"",IF(LOWER(TRIM(AB194&amp;""))="да","да","нет"),IF(IFERROR(_xlfn.XLOOKUP(AT194,Коды_код,Коды_пожарная),"")="да","да","нет")))</f>
        <v>нет</v>
      </c>
      <c r="DG194" t="str">
        <f t="shared" si="208"/>
        <v/>
      </c>
      <c r="DH194" t="str">
        <f t="shared" si="209"/>
        <v>основная</v>
      </c>
      <c r="DI194">
        <f t="shared" si="210"/>
        <v>1</v>
      </c>
      <c r="DJ194" t="str" cm="1">
        <f t="array" ref="DJ194">IF(D194="","",_xlfn.LET(_xlpm.t,IFERROR(_xlfn.XLOOKUP(1,(Шины[Шина]=DH194)*(((Шины[Щит]=A194)+(Шины[Щит]=""))&gt;0),Шины[Тип]),"")&amp;"",IF(_xlpm.t&lt;&gt;"",_xlpm.t,IF(ISNUMBER(SEARCH("ИБП",DH194)),"ИБП",IF(ISNUMBER(SEARCH("ДГУ",DH194)),"ДГУ","Ввод "&amp;DI194)))))</f>
        <v>Ввод 1</v>
      </c>
      <c r="DK194" t="str">
        <f t="shared" si="211"/>
        <v>Ввод 1</v>
      </c>
      <c r="DL194" t="str">
        <f>IF(D194="","",IF(OR(DJ194="ИБП",DJ194="ДГУ"),"I особая",IF(DJ194="Одиночная","III",_xlfn.XLOOKUP(A194,Щиты[Щит],Щиты[Категория шины «Ввод»],"III"))))</f>
        <v>II</v>
      </c>
      <c r="DM194">
        <f>IF(D194="",0,IFERROR(MATCH(DE194,{"III","II","I","I особая"},0),1))</f>
        <v>2</v>
      </c>
      <c r="DN194">
        <f t="shared" si="212"/>
        <v>2</v>
      </c>
      <c r="DO194" t="str">
        <f>IF(D194="","",IF(DM194&gt;IFERROR(MATCH(DL194,{"III","II","I","I особая"},0),1),"НЕ ОБЕСПЕЧЕНА","ОК"))</f>
        <v>ОК</v>
      </c>
      <c r="DP194" t="str">
        <f>IF(A194="","",_xlfn.XLOOKUP(A194,Щиты[Щит],Щиты[Путь],""))</f>
        <v>|ГРЩ-ЖД|ЩР-01|</v>
      </c>
      <c r="DQ194" t="str">
        <f>IF(D194="","",IF(Z194&lt;&gt;"",Z194,IF(IFERROR(_xlfn.XLOOKUP(AT194,Коды_код,Коды_вид)&amp;"","")="","Прочее",_xlfn.XLOOKUP(AT194,Коды_код,Коды_вид)&amp;"")))</f>
        <v>Розеточная сеть и бытовые приборы</v>
      </c>
      <c r="DR194">
        <f>IF(BD194="","",INT((BD194-1)/Столбцов_на_лист)+1)</f>
        <v>2</v>
      </c>
      <c r="DS194" t="str">
        <f t="shared" si="213"/>
        <v>ВВГнг(А)-LS (3х2,5) L=35-0,22%</v>
      </c>
      <c r="DT194">
        <f t="shared" si="214"/>
        <v>0.18</v>
      </c>
      <c r="DU194">
        <f t="shared" si="215"/>
        <v>0.83</v>
      </c>
      <c r="DV194">
        <f t="shared" si="216"/>
        <v>1</v>
      </c>
      <c r="DW194">
        <f>IF(AT194="",0,_xlfn.LET(_xlpm.v,IFERROR(VLOOKUP(D194,УГО_спр,3,FALSE),IFERROR(VLOOKUP(AT194,УГО_спр,3,FALSE),IFERROR(VLOOKUP(LEFT(AT194,2),УГО_спр,3,FALSE),""))),IF(_xlpm.v="да",30,IF(ISNUMBER(_xlpm.v),_xlpm.v,0))))</f>
        <v>30</v>
      </c>
      <c r="DX194">
        <f t="shared" si="217"/>
        <v>0</v>
      </c>
      <c r="DY194">
        <f>IF(BD194="","",IF(AD194&lt;&gt;"",COUNTIFS(A$3:A194,A194,AD$3:AD194,"?*"),IF(OR(OR(AS194=1,A194&lt;&gt;A193),AL194="вручную"),"",IF(AS194=1,"",DZ193))))</f>
        <v>10</v>
      </c>
      <c r="DZ194">
        <f t="shared" si="218"/>
        <v>10</v>
      </c>
      <c r="EA194">
        <f>IF(D194="",0,MAX(IFERROR(--X194,0),IFERROR(--VLOOKUP(D194,УГО_спр,4,FALSE),IFERROR(--VLOOKUP(AT194,УГО_спр,4,FALSE),IFERROR(--VLOOKUP(LEFT(AT194,2),УГО_спр,4,FALSE),0)))))</f>
        <v>16</v>
      </c>
      <c r="EB194">
        <f>IF(D194="","",IFERROR(LOOKUP(INDEX(CHOOSE(BR194,Iдоп_1ж,Iдоп_2ж,Iдоп_3ж),MATCH(BS194,Iдоп_S,0))*BP194*BQ194,{6,10,16,20,25,32,40,50,63,80,100,125,160,200,250,315,400,500,630}),""))</f>
        <v>25</v>
      </c>
      <c r="EC194">
        <f>IF(AD194="","",SUMIFS(Линии[_Ток схемы],Линии[_гр.],DY194,Линии[Щит],A194,Линии[_в кабель выше],0))</f>
        <v>0.83</v>
      </c>
      <c r="ED194">
        <f>IF(AD194="","",IFERROR(VLOOKUP(EC194,Автомат_номиналы,2,TRUE),""))</f>
        <v>6</v>
      </c>
      <c r="EE194">
        <f>IF(AD194="","",MAX(N(ED194),_xlfn.MAXIFS(Линии[_мин. по типу],Линии[_гр.],DY194,Линии[Щит],A194)))</f>
        <v>16</v>
      </c>
      <c r="EF194">
        <f>IF(AD194="","",_xlfn.MINIFS(Линии[_макс. автомат по кабелю],Линии[_гр.],DY194,Линии[Щит],A194))</f>
        <v>25</v>
      </c>
      <c r="EG194">
        <f>IF(AD194="","",MAX(1,_xlfn.MAXIFS(Линии[_фаз],Линии[_гр.],DY194,Линии[Щит],A194)))</f>
        <v>1</v>
      </c>
      <c r="EH194">
        <f>IF(AD194="","",IF(AND(AD194&lt;&gt;"авто",AD194&lt;&gt;"+"),IF(ISNUMBER(SEARCH("мА",AD194)),IFERROR(--TRIM(RIGHT(SUBSTITUTE(LEFT(AD194,SEARCH("мА",AD194)-1)," ",REPT(" ",9)),6)),30),0),IF(AE194="нет",0,IF(ISNUMBER(AE194),AE194,IF(AE194="да",30,_xlfn.MINIFS(Линии[_дифзащита по коду, мА],Линии[_гр.],DY194,Линии[Щит],A194,Линии[_дифзащита по коду, мА],"&gt;0"))))))</f>
        <v>30</v>
      </c>
      <c r="EI194">
        <f t="shared" si="219"/>
        <v>1</v>
      </c>
      <c r="EJ194" t="str">
        <f t="shared" si="220"/>
        <v>QFD10</v>
      </c>
      <c r="EK194" t="str">
        <f t="shared" si="221"/>
        <v>QFD10</v>
      </c>
      <c r="EL194" t="str">
        <f t="shared" si="222"/>
        <v/>
      </c>
      <c r="EM194">
        <f t="shared" si="223"/>
        <v>0</v>
      </c>
      <c r="EN194">
        <f>IF(AD194="","",IF(EM194=1,MAX(EE194,Мин_автомат_БП),EE194))</f>
        <v>16</v>
      </c>
      <c r="EO194" t="str">
        <f t="shared" si="224"/>
        <v>2P</v>
      </c>
      <c r="EP194" t="str">
        <f t="shared" si="225"/>
        <v>2P С16А 30мА</v>
      </c>
      <c r="EQ194">
        <f t="shared" si="226"/>
        <v>16</v>
      </c>
      <c r="ER194" t="str">
        <f>IF(OR(AI194="",AI194="-"),"",IFERROR(VLOOKUP(AI194,Модули_спр,2,FALSE),"R"))</f>
        <v/>
      </c>
      <c r="ES194" t="str">
        <f>IF(ER194="","",ER194&amp;"."&amp;COUNTIFS(A$3:A194,A194,ER$3:ER194,ER194))</f>
        <v/>
      </c>
      <c r="ET194" t="str">
        <f t="shared" si="227"/>
        <v/>
      </c>
      <c r="EU194" t="str">
        <f t="shared" si="228"/>
        <v/>
      </c>
      <c r="EV194" t="str">
        <f t="shared" si="229"/>
        <v/>
      </c>
      <c r="EW194" t="str">
        <f t="shared" si="230"/>
        <v/>
      </c>
      <c r="EX194">
        <f t="shared" si="231"/>
        <v>1</v>
      </c>
      <c r="EY194" t="str">
        <f>IF(AK194="нет","",IF(AK194&lt;&gt;"",AK194,IF(EX194=1,"XT"&amp;COUNTIFS(A$3:A194,A194,EX$3:EX194,1),"")))</f>
        <v>XT10</v>
      </c>
      <c r="EZ194" t="str">
        <f t="shared" si="232"/>
        <v>QFD10</v>
      </c>
      <c r="FA194" t="str">
        <f t="shared" si="233"/>
        <v/>
      </c>
      <c r="FB194" t="str">
        <f t="shared" si="234"/>
        <v>ok</v>
      </c>
      <c r="FC194" t="str">
        <f>IF(OR(EV194="",ET194=""),"",IF(EV194&gt;IFERROR(VLOOKUP(EU194,Модули_спр,3,FALSE),99),"ЛИШНИЙ КАНАЛ",IF(AND(AJ194&lt;&gt;"=",COUNTIFS(Линии[_модуль гр.],ET194,Линии[Канал (итог)],EV194,Линии[Канал],"&lt;&gt;=",Линии[Щит],A194)&gt;1),"ДУБЛЬ КАНАЛА","")))</f>
        <v/>
      </c>
      <c r="FD194">
        <f t="shared" si="235"/>
        <v>16</v>
      </c>
      <c r="FE194" t="str">
        <f t="shared" si="236"/>
        <v>2P С16А 30мА</v>
      </c>
      <c r="FF194">
        <f t="shared" si="237"/>
        <v>1</v>
      </c>
      <c r="FG194">
        <f t="shared" si="238"/>
        <v>30</v>
      </c>
      <c r="FH194" t="str">
        <f t="shared" si="239"/>
        <v/>
      </c>
      <c r="FI194">
        <f t="shared" si="240"/>
        <v>10</v>
      </c>
      <c r="FJ194" t="str">
        <f t="shared" si="241"/>
        <v/>
      </c>
      <c r="FK194" t="str">
        <f>IF(AND(D194="",EZ194=""),"",_xlfn.TEXTJOIN("; ",TRUE,IF(AND(D194&lt;&gt;"",DD194=""),"нет фазы",""),IF(AND(D194&lt;&gt;"",N(DT194)=0,CN194&lt;&gt;"Нет"),"нет мощности",""),IF(AND(EY194&lt;&gt;"",COUNTIFS(Линии[Щит],A194,Линии[Клемма (итог)],EY194)&gt;1),"дубль клеммы "&amp;EY194,""),IF(AND(FB194&lt;&gt;"",FB194&lt;&gt;"ok"),FB194,""),IF(FC194&lt;&gt;"",FC194,""),IF(AND(ISNUMBER(SEARCH("(5х",DS194)),N(DV194)=1),"5 жил на 1 фазе",""),IF(AND(AT194="R",AD194&lt;&gt;"",OR(N(EH194)=0,N(EH194)&gt;30)),"розетка без дифзащиты до 30 мА",""),IFERROR(IF(AND(ISNUMBER(CD194),CD194&gt;CE194),"потери "&amp;FIXED(CD194,1)&amp;" % &gt; "&amp;CE194&amp;" %",""),""),IFERROR(IF(LEFT(FJ194,4)="мало","Iкз мало — отключение &gt; 0,4 с",""),""),IF(AND(D194&lt;&gt;"",BD194=""),"не на схеме","")))</f>
        <v/>
      </c>
      <c r="FL194">
        <f>IF(AD194="","",_xlfn.LET(_xlpm.t,IFERROR(_xlfn.XLOOKUP(EP194,Каталог!$U$4:$U$500,Каталог!$G$4:$G$500),""),_xlpm.k,SEARCH("кА",_xlpm.t),IFERROR(--TRIM(RIGHT(SUBSTITUTE(MID(_xlpm.t,MAX(1,_xlpm.k-4),_xlpm.k-MAX(1,_xlpm.k-4))," ",REPT(" ",9)),5)),"")))</f>
        <v>6</v>
      </c>
      <c r="FM194" t="str">
        <f>IF(OR(FL194="",AD194=""),"",IF(_xlfn.XLOOKUP(A194,Щиты[Щит],Щиты[Iкз max на шинах, кА],"")="","",IF(FL194&lt;_xlfn.XLOOKUP(A194,Щиты[Щит],Щиты[Iкз max на шинах, кА]),"Icu "&amp;FL194&amp;" кА &lt; Iкз max","ok")))</f>
        <v/>
      </c>
      <c r="FN194" t="str">
        <f t="shared" si="242"/>
        <v>QFD10|XT10</v>
      </c>
      <c r="FO194" t="str">
        <f t="shared" si="243"/>
        <v>QFD10|XT10|кабель ВВГнг(А)-LS (3х2,5) → Розеточная группа Цокольный этаж Пом. №004Б</v>
      </c>
      <c r="FP194" t="str" cm="1">
        <f t="array" ref="FP194">IF(FO194="","",_xlfn.LET(_xlpm.nd,_xlfn.TEXTSPLIT(FO194,"|"),IF(COLUMNS(_xlpm.nd)&gt;1,A194&amp;"¦"&amp;INDEX(_xlpm.nd,1)&amp;"¦"&amp;INDEX(_xlpm.nd,2),"")))</f>
        <v>ЩР-01¦QFD10¦XT10</v>
      </c>
      <c r="FQ194" t="str">
        <f t="shared" si="244"/>
        <v>R.0.004Б.1¦Розеточная группа Цокольный этаж Пом. №004Б</v>
      </c>
      <c r="FR194" t="str" cm="1">
        <f t="array" ref="FR194">IF(FO194="","",_xlfn.LET(_xlpm.nd,_xlfn.TEXTSPLIT(FO194,"|"),IF(COLUMNS(_xlpm.nd)&gt;2,A194&amp;"¦"&amp;INDEX(_xlpm.nd,2)&amp;"¦"&amp;INDEX(_xlpm.nd,3),"")))</f>
        <v>ЩР-01¦XT10¦кабель ВВГнг(А)-LS (3х2,5) → Розеточная группа Цокольный этаж Пом. №004Б</v>
      </c>
      <c r="FS194" t="str">
        <f t="shared" si="245"/>
        <v>R.0.004Б.1¦Розеточная группа Цокольный этаж Пом. №004Б</v>
      </c>
      <c r="FT194" t="str" cm="1">
        <f t="array" ref="FT194">IF(FO194="","",_xlfn.LET(_xlpm.nd,_xlfn.TEXTSPLIT(FO194,"|"),IF(COLUMNS(_xlpm.nd)&gt;3,A194&amp;"¦"&amp;INDEX(_xlpm.nd,3)&amp;"¦"&amp;INDEX(_xlpm.nd,4),"")))</f>
        <v/>
      </c>
      <c r="FU194" t="str">
        <f t="shared" si="246"/>
        <v/>
      </c>
      <c r="FV194" t="str" cm="1">
        <f t="array" ref="FV194">IF(FO194="","",_xlfn.LET(_xlpm.nd,_xlfn.TEXTSPLIT(FO194,"|"),IF(COLUMNS(_xlpm.nd)&gt;4,A194&amp;"¦"&amp;INDEX(_xlpm.nd,4)&amp;"¦"&amp;INDEX(_xlpm.nd,5),"")))</f>
        <v/>
      </c>
      <c r="FW194" t="str">
        <f t="shared" si="247"/>
        <v/>
      </c>
      <c r="FX194" t="str" cm="1">
        <f t="array" ref="FX194">IF(FO194="","",_xlfn.LET(_xlpm.nd,_xlfn.TEXTSPLIT(FO194,"|"),IF(COLUMNS(_xlpm.nd)&gt;5,A194&amp;"¦"&amp;INDEX(_xlpm.nd,5)&amp;"¦"&amp;INDEX(_xlpm.nd,6),"")))</f>
        <v/>
      </c>
      <c r="FY194" t="str">
        <f t="shared" si="248"/>
        <v/>
      </c>
      <c r="FZ194" t="str" cm="1">
        <f t="array" ref="FZ194">IF(FO194="","",_xlfn.LET(_xlpm.nd,_xlfn.TEXTSPLIT(FO194,"|"),IF(COLUMNS(_xlpm.nd)&gt;6,A194&amp;"¦"&amp;INDEX(_xlpm.nd,6)&amp;"¦"&amp;INDEX(_xlpm.nd,7),"")))</f>
        <v/>
      </c>
      <c r="GA194" t="str">
        <f t="shared" si="249"/>
        <v/>
      </c>
      <c r="GB194" t="str">
        <f t="shared" si="250"/>
        <v/>
      </c>
      <c r="GC194" t="str">
        <f t="shared" si="251"/>
        <v>QFD10 → XT10</v>
      </c>
      <c r="GD194">
        <f t="shared" si="252"/>
        <v>1</v>
      </c>
      <c r="GE194">
        <f t="shared" si="253"/>
        <v>0</v>
      </c>
      <c r="GF194">
        <f t="shared" si="254"/>
        <v>1</v>
      </c>
      <c r="GG194" t="str">
        <f t="shared" si="255"/>
        <v/>
      </c>
      <c r="GH194" t="str">
        <f t="shared" si="256"/>
        <v/>
      </c>
      <c r="GI194" t="str">
        <f t="shared" si="257"/>
        <v/>
      </c>
      <c r="GJ194" t="str">
        <f t="shared" si="258"/>
        <v/>
      </c>
      <c r="GK194" t="str">
        <f>IF(D194="","",IFERROR(VLOOKUP(D194,УГО_спр,2,FALSE),IFERROR(VLOOKUP(AT194,УГО_спр,2,FALSE),IFERROR(VLOOKUP(LEFT(AT194,2),УГО_спр,2,FALSE),""))))</f>
        <v>Розетка</v>
      </c>
      <c r="GL194" t="str">
        <f>IF(D194="","",IF(OR(GK194="",GK194=0),"BOX",IFERROR(IF(VLOOKUP(GK194,УГО_блоки,3,FALSE)&amp;""&lt;&gt;"",VLOOKUP(GK194,УГО_блоки,3,FALSE),VLOOKUP(GK194,УГО_блоки,2,FALSE)),GK194)))</f>
        <v>SOCKET</v>
      </c>
      <c r="GM194">
        <f t="shared" si="259"/>
        <v>1</v>
      </c>
      <c r="GN194" t="str">
        <f>IF(EP194="","",IF(COUNTIF(EP$3:EP194,EP194)=1,MAX(GN$2:GN193)+1,""))</f>
        <v/>
      </c>
      <c r="GO194" t="str">
        <f>IF(AF194="","",IF(COUNTIF(AF$3:AF194,AF194)+COUNTIF(AG$2:AG193,AF194)+COUNTIF(AH$2:AH193,AF194)=1,MAX(GO$2:GQ193)+1,""))</f>
        <v/>
      </c>
      <c r="GP194" t="str">
        <f>IF(AG194="","",IF(COUNTIF(AF$3:AF194,AG194)+COUNTIF(AG$3:AG194,AG194)+COUNTIF(AH$2:AH193,AG194)=1,MAX(GO$2:GQ193,GO194)+1,""))</f>
        <v/>
      </c>
      <c r="GQ194" t="str">
        <f>IF(AH194="","",IF(COUNTIF(AF$3:AF194,AH194)+COUNTIF(AG$3:AG194,AH194)+COUNTIF(AH$3:AH194,AH194)=1,MAX(GO$2:GQ193,GO194,GP194)+1,""))</f>
        <v/>
      </c>
      <c r="GR194" t="str">
        <f t="shared" si="260"/>
        <v>3х2,5</v>
      </c>
      <c r="GS194" t="str">
        <f>IF(GR194="","",IF(COUNTIF(GR$3:GR194,GR194)=1,MAX(GS$2:GS193)+1,""))</f>
        <v/>
      </c>
      <c r="GT194" t="str">
        <f>IF(ES194="","",COUNTIF(ES$3:ES194,"?*"))</f>
        <v/>
      </c>
      <c r="GU194" t="str">
        <f>IF(OR(ES194="",EU194=""),"",IF(COUNTIFS(ES$3:ES194,"?*",EU$3:EU194,EU194)=1,MAX(GU$2:GU193)+1,""))</f>
        <v/>
      </c>
      <c r="GV194">
        <f t="shared" si="261"/>
        <v>0</v>
      </c>
      <c r="GW194">
        <f>IF(D194="","",COUNTIF(D$3:D194,"?*"))</f>
        <v>192</v>
      </c>
      <c r="GX194">
        <f>IF(EX194&lt;&gt;1,0,_xlfn.LET(_xlpm.k,MAX(IFERROR(--VLOOKUP(D194,УГО_спр,5,FALSE),0),IFERROR(--VLOOKUP(AT194,УГО_спр,5,FALSE),0),IFERROR(--VLOOKUP(LEFT(AT194,2),УГО_спр,5,FALSE),0)),IF(_xlpm.k&gt;0,_xlpm.k,IF(IFERROR(--LEFT(SUBSTITUTE(GR194,"x","х"),FIND("х",SUBSTITUTE(GR194,"x","х"))-1),3)&gt;3,Каталог!$S$9,1))))</f>
        <v>1</v>
      </c>
      <c r="GY194">
        <f t="shared" si="262"/>
        <v>0</v>
      </c>
    </row>
    <row r="195" spans="1:207" x14ac:dyDescent="0.3">
      <c r="A195" t="s">
        <v>760</v>
      </c>
      <c r="B195">
        <v>21</v>
      </c>
      <c r="C195" t="str">
        <f>IF(BD195="","",IF(BE195="вводной узел","узел ","")&amp;"л."&amp;(INT((BD195-1)/Столбцов_на_лист)+1)&amp;" / "&amp;(MOD(BD195-1,Столбцов_на_лист)+1))</f>
        <v>л.2 / 4</v>
      </c>
      <c r="D195" t="s">
        <v>1503</v>
      </c>
      <c r="E195" s="133" t="s">
        <v>1504</v>
      </c>
      <c r="G195">
        <v>2.2000000000000002</v>
      </c>
      <c r="H195">
        <v>1</v>
      </c>
      <c r="I195">
        <v>1</v>
      </c>
      <c r="J195">
        <v>230</v>
      </c>
      <c r="K195" t="s">
        <v>566</v>
      </c>
      <c r="O195">
        <v>2</v>
      </c>
      <c r="P195">
        <v>16</v>
      </c>
      <c r="Q195">
        <v>12</v>
      </c>
      <c r="R195">
        <v>7</v>
      </c>
      <c r="S195">
        <v>0</v>
      </c>
      <c r="U195" t="s">
        <v>11</v>
      </c>
      <c r="V195">
        <v>3</v>
      </c>
      <c r="W195">
        <v>2.5</v>
      </c>
      <c r="Z195" t="s">
        <v>565</v>
      </c>
      <c r="AA195" t="s">
        <v>818</v>
      </c>
      <c r="AD195" t="s">
        <v>517</v>
      </c>
      <c r="AK195" t="s">
        <v>488</v>
      </c>
      <c r="AR195" t="str">
        <f t="shared" ref="AR195:AR258" si="264">_xlfn.TEXTJOIN("; ",TRUE,FK195,IF(DO195="НЕ ОБЕСПЕЧЕНА","категория "&amp;DE195&amp;" не обеспечена (есть "&amp;DL195&amp;")",""),IF(LEFT(FM195,3)="Icu",FM195,""),IF(AND(D195&lt;&gt;"",BS195="Не исп"),"сечение не подобрано",""))</f>
        <v/>
      </c>
      <c r="AS195" cm="1">
        <f t="array" ref="AS195">ROW()-ROW(Линии[#Headers])</f>
        <v>193</v>
      </c>
      <c r="AT195" t="str">
        <f t="shared" ref="AT195:AT258" si="265">IF(D195="","",IFERROR(LEFT(D195,SEARCH(".",D195)-1),D195))</f>
        <v>R</v>
      </c>
      <c r="AU195" t="str">
        <f t="shared" ref="AU195:AU258" si="266">IFERROR(RIGHT(D195,LEN(D195)-SEARCH(".",D195)),"")</f>
        <v>0.004Б.2</v>
      </c>
      <c r="AV195" t="str">
        <f t="shared" ref="AV195:AV258" si="267">IFERROR(LEFT(AU195,SEARCH(".",AU195)-1),AU195)</f>
        <v>0</v>
      </c>
      <c r="AW195" t="str">
        <f t="shared" ref="AW195:AW258" si="268">IFERROR(RIGHT(AU195,LEN(AU195)-SEARCH(".",AU195)),"")</f>
        <v>004Б.2</v>
      </c>
      <c r="AX195" t="str">
        <f t="shared" ref="AX195:AX258" si="269">IFERROR(LEFT(AW195,SEARCH(".",AW195)-1),AW195)</f>
        <v>004Б</v>
      </c>
      <c r="AY195" t="str">
        <f>IF(D195="","",IF(ISERROR(SEARCH(".",D195)),IFERROR(VLOOKUP(D195,Потребители_обозначение,2,FALSE)&amp;"",""),IFERROR(IF(VLOOKUP(AT195,Потребители_обозначение,4,FALSE)=1,VLOOKUP(AT195,Потребители_обозначение,2,FALSE)&amp;" "&amp;VLOOKUP(AV195,Этаж_обозначение,2,FALSE)&amp;" Пом. №"&amp;AX195,VLOOKUP(AT195,Потребители_обозначение,2,FALSE)&amp;" Шлейф №"&amp;AV195),IFERROR(VLOOKUP(D195,Потребители_обозначение,2,FALSE),""))))</f>
        <v>Розеточная группа Цокольный этаж Пом. №004Б</v>
      </c>
      <c r="AZ195" t="str">
        <f t="shared" ref="AZ195:AZ258" si="270">IF(E195&lt;&gt;"",E195,AY195)</f>
        <v>Розеточная группа Цокольный этаж Пом. №004Б Сушильная машина</v>
      </c>
      <c r="BA195" t="str">
        <f>IF(F195&lt;&gt;"",F195,IF(AND(D195&lt;&gt;"",D195&lt;&gt;A195,ISNUMBER(_xlfn.XMATCH(D195,Щиты[Щит]))),D195,""))</f>
        <v/>
      </c>
      <c r="BB195">
        <f>IFERROR(_xlfn.XMATCH(A195,Щиты[Щит]),0)</f>
        <v>9</v>
      </c>
      <c r="BC195">
        <f>IFERROR(N(_xlfn.XLOOKUP(A195,Щиты[Щит],Щиты[Мест под вводной узел])),15)</f>
        <v>8</v>
      </c>
      <c r="BD195">
        <f t="shared" ref="BD195:BD258" si="271">IF(B195="-","",IF(ISNUMBER(B195),B195,_xlfn.LET(_xlpm.prev,IF(OR(AS195=1,A195&lt;&gt;A194),0,N(IF(AS195=1,"",BD194))),_xlpm.nx,_xlpm.prev+1,IF(AND(AL195&lt;&gt;"вручную",_xlpm.nx&lt;=BC195),BC195+1,_xlpm.nx))))</f>
        <v>21</v>
      </c>
      <c r="BE195" t="str">
        <f t="shared" ref="BE195:BE258" si="272">IF(BD195="","",IF(BD195&lt;=BC195,"вводной узел","линии"))</f>
        <v>линии</v>
      </c>
      <c r="BF195">
        <f>IF(D195="","",IF(BA195&lt;&gt;"",IFERROR(_xlfn.XLOOKUP(BA195,Щиты[Щит],Щиты[Руст, кВт]),0),N(G195)))</f>
        <v>2.2000000000000002</v>
      </c>
      <c r="BG195">
        <f>IF(J195&lt;&gt;"",J195,IF(D195="","",IFERROR(IF(VLOOKUP(AT195,Потребители_обозначение,8,FALSE)=0,"",VLOOKUP(AT195,Потребители_обозначение,8,FALSE)),"")))</f>
        <v>230</v>
      </c>
      <c r="BH195">
        <f>IF(I195&lt;&gt;"",I195,IF(D195="","",IFERROR(IF(VLOOKUP(AT195,Потребители_обозначение,9,FALSE)=0,"",VLOOKUP(AT195,Потребители_обозначение,9,FALSE)),"")))</f>
        <v>1</v>
      </c>
      <c r="BI195" t="str">
        <f>IF(U195&lt;&gt;"",U195,IF(D195="","",IFERROR(IF(VLOOKUP(AT195,Потребители_обозначение,6,FALSE)=0,"",VLOOKUP(AT195,Потребители_обозначение,6,FALSE)),"")))</f>
        <v>мс</v>
      </c>
      <c r="BJ195">
        <f>IF(V195&lt;&gt;"",V195,IF(D195="","",IFERROR(IF(VLOOKUP(AT195,Потребители_обозначение,7,FALSE)=0,"",VLOOKUP(AT195,Потребители_обозначение,7,FALSE)),"")))</f>
        <v>3</v>
      </c>
      <c r="BK195">
        <f>IF(W195&lt;&gt;"",W195,IF(D195="","",IFERROR(IF(VLOOKUP(AT195,Потребители_обозначение,10,FALSE)=0,"",VLOOKUP(AT195,Потребители_обозначение,10,FALSE)),"")))</f>
        <v>2.5</v>
      </c>
      <c r="BL195">
        <f>IFERROR(VLOOKUP(AT195,Потребители_обозначение,5,FALSE),0)</f>
        <v>1</v>
      </c>
      <c r="BM195" cm="1">
        <f t="array" ref="BM195">IF(D195="","",IF(BA195&lt;&gt;"",IFERROR(_xlfn.XLOOKUP(BA195,Щиты[Щит],Щиты[cos φ]),0.95),IF(ISNUMBER(M195),M195,IFERROR(IF(BL195=2,_xlfn.IFS(BH195=3,VLOOKUP(BF195,Справочная_двигатели,8,FALSE),BH195=1,VLOOKUP(BF195,Справочная_двигатели,10,TRUE)),IF(AND(Методика="нормы 2026",CN195="Сил"),0.8,0.95)),0.95))))</f>
        <v>0.95</v>
      </c>
      <c r="BN195" cm="1">
        <f t="array" ref="BN195">IF(D195="","",IF(BA195&lt;&gt;"",IFERROR(_xlfn.XLOOKUP(BA195,Щиты[Щит],Щиты[Iр, А]),""),IFERROR(_xlfn.IFS(BH195=1,BF195/((Uн_лин/SQRT(3))*BM195),BH195=3,BF195/(SQRT(3)*Uн_лин*BM195)),"")))</f>
        <v>10.027662570135606</v>
      </c>
      <c r="BO195">
        <f>IF(D195="","",IF(N(X195)=0,IFERROR(VLOOKUP(BN195,Автомат_номиналы,2,TRUE),""),X195))</f>
        <v>16</v>
      </c>
      <c r="BP195">
        <f t="shared" ref="BP195:BP258" si="273">IF(N(BJ195)=1,1,IF(BH195=1,1,IF(N(BJ195)&gt;=4,0.92,1)))</f>
        <v>1</v>
      </c>
      <c r="BQ195">
        <f>IF(ISNUMBER(Y195),Y195,К_прокл)</f>
        <v>1</v>
      </c>
      <c r="BR195">
        <f t="shared" ref="BR195:BR258" si="274">IF(N(BJ195)=1,1,IF(BH195=1,2,3))</f>
        <v>2</v>
      </c>
      <c r="BS195" cm="1">
        <f t="array" ref="BS195">IF(D195="","",IF(N(BK195)&lt;&gt;0,BK195,IFERROR(_xlfn.LET(_xlpm.need,BO195/(BP195*BQ195),_xlpm.t,CHOOSE(BR195,Iдоп_1ж,Iдоп_2ж,Iдоп_3ж),_xlpm.k,_xlfn.XMATCH(_xlpm.need,_xlpm.t,1),IF(ISNA(_xlpm.k),"Не исп",INDEX(Iдоп_S,_xlpm.k))),"Не исп")))</f>
        <v>2.5</v>
      </c>
      <c r="BT195">
        <f>IFERROR(VLOOKUP(BS195,Кабель_сопротивление,3,FALSE),"")</f>
        <v>2.2499999999999999E-2</v>
      </c>
      <c r="BU195">
        <f>IFERROR(VLOOKUP(BS195,Кабель_сопротивление,2,FALSE),"")</f>
        <v>0.1</v>
      </c>
      <c r="BV195">
        <f t="shared" ref="BV195:BV258" si="275">IF(P195&lt;&gt;"",P195,IF(COUNT(AM195,AN195)=0,"",ROUNDUP(SUM(AM195,AN195),0)))</f>
        <v>16</v>
      </c>
      <c r="BW195">
        <f>IF(D195="","",IFERROR(IF(VLOOKUP(AT195,Потребители_обозначение,4,FALSE)=1,VLOOKUP(AT195,Потребители_обозначение,3,FALSE)*(H195*2-1)+BV195+VLOOKUP(AV195,Этаж_обозначение,3,FALSE)+VLOOKUP(AV195,Этаж_обозначение,4,FALSE),VLOOKUP(AT195,Потребители_обозначение,3,FALSE)*(H195*2-1)+BV195),BV195))</f>
        <v>19</v>
      </c>
      <c r="BX195">
        <f t="shared" ref="BX195:BX258" si="276">IF(R195&lt;&gt;"",R195,IF(OR(BV195="",T195=""),"",IF(T195=1,MAX(0,BW195-ROUNDUP(N(AN195),0)-4),ROUNDUP(N(AM195),0))))</f>
        <v>7</v>
      </c>
      <c r="BY195">
        <f t="shared" ref="BY195:BY258" si="277">IF(S195&lt;&gt;"",S195,IF(OR(BV195="",T195=""),"",IF(T195=2,MAX(0,BW195-ROUNDUP(N(AM195),0)-4),ROUNDUP(N(AN195),0))))</f>
        <v>0</v>
      </c>
      <c r="BZ195">
        <f t="shared" ref="BZ195:BZ258" si="278">IF(BH195=1,2,IF(BH195=3,1,""))</f>
        <v>2</v>
      </c>
      <c r="CA195">
        <f t="shared" ref="CA195:CA258" si="279">IFERROR(ROUND(SIN(ACOS(BM195)),2),"")</f>
        <v>0.31</v>
      </c>
      <c r="CB195">
        <f t="shared" ref="CB195:CB258" si="280">IFERROR(BZ195*(BT195*BW195/BS195*BM195+BU195*BW195*CA195/1000)*BN195,"")</f>
        <v>3.2698001555446776</v>
      </c>
      <c r="CC195">
        <f>IFERROR(ROUNDUP(CB195/((Uн_лин/SQRT(3))*1000)*100,2),"")</f>
        <v>1.42</v>
      </c>
      <c r="CD195">
        <f>IF(ISNUMBER(CC195),CC195+IFERROR(_xlfn.XLOOKUP(A195,Щиты[Щит],Щиты[ΔU до шин, %]),0),"")</f>
        <v>1.8499999999999999</v>
      </c>
      <c r="CE195">
        <f>IF(D195="","",IF(IFERROR(VLOOKUP(AT195,УГО_спр,2,FALSE),"")="Светильник",3,4)+IF(Методика="нормы 2026",MIN(0.5,MAX(0,N(BW195)-100)*0.005),0))</f>
        <v>4</v>
      </c>
      <c r="CF195" t="str">
        <f>IFERROR(VLOOKUP(BI195,Кабель_обозначение,2,FALSE),"")</f>
        <v>ВВГнг(А)-LS</v>
      </c>
      <c r="CG195" t="str">
        <f>IFERROR(IF(VLOOKUP(BI195,Кабель_обозначение,3,FALSE)=1,CF195&amp;" ("&amp;BJ195&amp;"х"&amp;BS195&amp;")",CF195),"")</f>
        <v>ВВГнг(А)-LS (3х2,5)</v>
      </c>
      <c r="CH195" t="str">
        <f t="shared" ref="CH195:CH258" si="281">IF(OR(D195="",CF195="",AND(G195&lt;&gt;"",NOT(ISNUMBER(G195)))),"",IF(BS195=0,CF195,CG195&amp;CHAR(10)&amp;"L="&amp;BW195&amp;"-"&amp;CC195&amp;"%"))</f>
        <v>ВВГнг(А)-LS (3х2,5)
L=19-1,42%</v>
      </c>
      <c r="CI195">
        <f>IFERROR(2*ρкз_Cu*BW195/BS195,"")</f>
        <v>0.39976</v>
      </c>
      <c r="CJ195">
        <f t="shared" ref="CJ195:CJ258" si="282">IFERROR(0.0175*N(BW195)/BS195,"")</f>
        <v>0.13300000000000001</v>
      </c>
      <c r="CK195" t="str">
        <f>IFERROR(IF(OR(D195="",NOT(ISNUMBER(BS195)),N(BW195)=0),"",_xlfn.XLOOKUP(A195,Щиты[Щит],Щиты[Zпетли на шинах, Ом])+CI195),"")</f>
        <v/>
      </c>
      <c r="CL195" t="str">
        <f>IF(ISNUMBER(CK195),c_min*(Uн_лин*1000/SQRT(3))/CK195,"")</f>
        <v/>
      </c>
      <c r="CM195" t="str">
        <f>IFERROR(IF(OR(D195="",NOT(ISNUMBER(BS195))),"",1.05*(Uн_лин*1000/SQRT(3))/(_xlfn.XLOOKUP(A195,Щиты[Щит],Щиты[Zmax на шинах, Ом])+CJ195)/1000),"")</f>
        <v/>
      </c>
      <c r="CN195" t="str">
        <f>IF(D195="","",IF(BA195&lt;&gt;"","Щит",IF(K195&lt;&gt;"",K195,IF(ISNUMBER(L195),"Сил",IF(IFERROR(_xlfn.XLOOKUP(AT195,Коды_код,Коды_группа)&amp;"","")="","Быт",_xlfn.XLOOKUP(AT195,Коды_код,Коды_группа)&amp;"")))))</f>
        <v>Быт</v>
      </c>
      <c r="CO195">
        <f>IF(CN195="Щит","щит",IF(CN195="","",IF(CN195="Быт",IFERROR(_xlfn.XLOOKUP(A195,Щиты[Щит],Щиты[Кс быт]),1),IF(CN195="Сил",IF(ISNUMBER(L195),L195,IF(Методика="нормы 2026",IFERROR(_xlfn.XLOOKUP(A195,Щиты[Щит],Щиты[Кс силовых (табл. 7.5)]),1),1)),IF(OR(CN195="Пост",CN195="Отоп"),1,IF(CN195="ВНГ",0.7,0))))))</f>
        <v>0.79799999999999993</v>
      </c>
      <c r="CP195">
        <f t="shared" ref="CP195:CP258" si="283">IF(CN195="","",IFERROR(MIN(3,MAX(1,INT(--N195))),1))</f>
        <v>1</v>
      </c>
      <c r="CQ195">
        <f t="shared" ref="CQ195:CQ258" si="284">IF(OR(CN195="",CN195="Нет",CN195="Щит"),0,N(BF195))</f>
        <v>2.2000000000000002</v>
      </c>
      <c r="CR195">
        <f t="shared" ref="CR195:CR258" si="285">IF(CN195="Быт",N(BF195),0)</f>
        <v>2.2000000000000002</v>
      </c>
      <c r="CS195">
        <f t="shared" ref="CS195:CS258" si="286">IF(CN195="Сил",N(BF195)*N(CO195),0)</f>
        <v>0</v>
      </c>
      <c r="CT195">
        <f t="shared" ref="CT195:CT258" si="287">IF(CN195="Пост",N(BF195),0)</f>
        <v>0</v>
      </c>
      <c r="CU195">
        <f t="shared" ref="CU195:CU258" si="288">IF(CN195="Отоп",N(BF195),0)</f>
        <v>0</v>
      </c>
      <c r="CV195">
        <f t="shared" ref="CV195:CV258" si="289">IF(CN195="ВНГ",N(BF195)*0.7,0)</f>
        <v>0</v>
      </c>
      <c r="CW195">
        <f t="shared" ref="CW195:CW258" si="290">IF(OR(D195="",CN195="Щит"),0,N(BF195))</f>
        <v>2.2000000000000002</v>
      </c>
      <c r="CX195">
        <f t="shared" ref="CX195:CX258" si="291">IF(OR(D195="",CN195="Щит"),0,N(BF195)*N(BM195))</f>
        <v>2.09</v>
      </c>
      <c r="CY195">
        <f t="shared" ref="CY195:CY258" si="292">_xlfn.LET(_xlpm.prev,IF(OR(OR(AS195=1,A195&lt;&gt;A194)),0,N(IF(AS195=1,"",CY194))),IF(OR(D195="",BH195=3),_xlpm.prev,IF(_xlpm.prev&gt;=3,1,_xlpm.prev+1)))</f>
        <v>2</v>
      </c>
      <c r="CZ195" t="str">
        <f t="shared" ref="CZ195:CZ258" si="293">IF(D195="","",IF(BH195=3,"L1,L2,L3","L"&amp;MAX(1,CY195)))</f>
        <v>L2</v>
      </c>
      <c r="DA195" cm="1">
        <f t="array" ref="DA195">IFERROR(IF(BL195=2,_xlfn.IFS(BH195=3,VLOOKUP(BF195,Справочная_двигатели,3,FALSE),BH195=1,VLOOKUP(BF195,Справочная_двигатели,5,TRUE)),0),0)</f>
        <v>0</v>
      </c>
      <c r="DB195">
        <f>IFERROR(IF(BL195=3,VLOOKUP(BF195,Справочная_ЛЭД,2,TRUE),0),0)</f>
        <v>0</v>
      </c>
      <c r="DC195">
        <f t="shared" ref="DC195:DC258" si="294">IF(D195="","",IF(DA195=0,DB195,DA195))</f>
        <v>0</v>
      </c>
      <c r="DD195" t="str">
        <f t="shared" ref="DD195:DD258" si="295">IF(D195="","",IF(O195="упр","",IF(O195="",CZ195,IF(O195&amp;""="1,2,3","L1,L2,L3","L"&amp;O195))))</f>
        <v>L2</v>
      </c>
      <c r="DE195" t="str" cm="1">
        <f t="array" ref="DE195">IF(D195="","",IFERROR(INDEX({"I особая","I","II","III"},MATCH(TRIM(AA195&amp;""),{"I особая","I","II","III"},0)),"III"))</f>
        <v>II</v>
      </c>
      <c r="DF195" t="str">
        <f>IF(D195="","",IF(TRIM(AB195&amp;"")&lt;&gt;"",IF(LOWER(TRIM(AB195&amp;""))="да","да","нет"),IF(IFERROR(_xlfn.XLOOKUP(AT195,Коды_код,Коды_пожарная),"")="да","да","нет")))</f>
        <v>нет</v>
      </c>
      <c r="DG195" t="str">
        <f t="shared" ref="DG195:DG258" si="296">IF(AC195&lt;&gt;"",AC195,IF(AD195&lt;&gt;"","",IF(EK195="","",IF(AS195=1,"",DG194))))</f>
        <v/>
      </c>
      <c r="DH195" t="str">
        <f t="shared" ref="DH195:DH258" si="297">IF(D195="","",IF(DG195="","основная",DG195))</f>
        <v>основная</v>
      </c>
      <c r="DI195">
        <f t="shared" ref="DI195:DI258" si="298">IFERROR(MIN(3,MAX(1,INT(--N195))),1)</f>
        <v>1</v>
      </c>
      <c r="DJ195" t="str" cm="1">
        <f t="array" ref="DJ195">IF(D195="","",_xlfn.LET(_xlpm.t,IFERROR(_xlfn.XLOOKUP(1,(Шины[Шина]=DH195)*(((Шины[Щит]=A195)+(Шины[Щит]=""))&gt;0),Шины[Тип]),"")&amp;"",IF(_xlpm.t&lt;&gt;"",_xlpm.t,IF(ISNUMBER(SEARCH("ИБП",DH195)),"ИБП",IF(ISNUMBER(SEARCH("ДГУ",DH195)),"ДГУ","Ввод "&amp;DI195)))))</f>
        <v>Ввод 1</v>
      </c>
      <c r="DK195" t="str">
        <f t="shared" ref="DK195:DK258" si="299">IF(D195="","",IF(OR(DJ195="ИБП",DJ195="ДГУ"),DJ195,IF(LEFT(DJ195,5)="Ввод ",DJ195,"Ввод "&amp;DI195)))</f>
        <v>Ввод 1</v>
      </c>
      <c r="DL195" t="str">
        <f>IF(D195="","",IF(OR(DJ195="ИБП",DJ195="ДГУ"),"I особая",IF(DJ195="Одиночная","III",_xlfn.XLOOKUP(A195,Щиты[Щит],Щиты[Категория шины «Ввод»],"III"))))</f>
        <v>II</v>
      </c>
      <c r="DM195">
        <f>IF(D195="",0,IFERROR(MATCH(DE195,{"III","II","I","I особая"},0),1))</f>
        <v>2</v>
      </c>
      <c r="DN195">
        <f t="shared" ref="DN195:DN258" si="300">IF(OR(DJ195="ИБП",DJ195="ДГУ"),MIN(DM195,3),DM195)</f>
        <v>2</v>
      </c>
      <c r="DO195" t="str">
        <f>IF(D195="","",IF(DM195&gt;IFERROR(MATCH(DL195,{"III","II","I","I особая"},0),1),"НЕ ОБЕСПЕЧЕНА","ОК"))</f>
        <v>ОК</v>
      </c>
      <c r="DP195" t="str">
        <f>IF(A195="","",_xlfn.XLOOKUP(A195,Щиты[Щит],Щиты[Путь],""))</f>
        <v>|ГРЩ-ЖД|ЩР-01|</v>
      </c>
      <c r="DQ195" t="str">
        <f>IF(D195="","",IF(Z195&lt;&gt;"",Z195,IF(IFERROR(_xlfn.XLOOKUP(AT195,Коды_код,Коды_вид)&amp;"","")="","Прочее",_xlfn.XLOOKUP(AT195,Коды_код,Коды_вид)&amp;"")))</f>
        <v>Розеточная сеть и бытовые приборы</v>
      </c>
      <c r="DR195">
        <f>IF(BD195="","",INT((BD195-1)/Столбцов_на_лист)+1)</f>
        <v>2</v>
      </c>
      <c r="DS195" t="str">
        <f t="shared" ref="DS195:DS258" si="301">IF(D195="","",SUBSTITUTE(CH195,CHAR(10)," "))</f>
        <v>ВВГнг(А)-LS (3х2,5) L=19-1,42%</v>
      </c>
      <c r="DT195">
        <f t="shared" ref="DT195:DT258" si="302">IF(D195="","",IFERROR(--BF195,""))</f>
        <v>2.2000000000000002</v>
      </c>
      <c r="DU195">
        <f t="shared" ref="DU195:DU258" si="303">IF(D195="","",IFERROR(ROUNDUP(BN195,2),""))</f>
        <v>10.029999999999999</v>
      </c>
      <c r="DV195">
        <f t="shared" ref="DV195:DV258" si="304">IF(D195="","",IFERROR(--BH195,1))</f>
        <v>1</v>
      </c>
      <c r="DW195">
        <f>IF(AT195="",0,_xlfn.LET(_xlpm.v,IFERROR(VLOOKUP(D195,УГО_спр,3,FALSE),IFERROR(VLOOKUP(AT195,УГО_спр,3,FALSE),IFERROR(VLOOKUP(LEFT(AT195,2),УГО_спр,3,FALSE),""))),IF(_xlpm.v="да",30,IF(ISNUMBER(_xlpm.v),_xlpm.v,0))))</f>
        <v>30</v>
      </c>
      <c r="DX195">
        <f t="shared" ref="DX195:DX258" si="305">IF(OR(AJ195="+",AND(D195&lt;&gt;"",D195=IF(AS195=1,"",D194))),1,0)</f>
        <v>0</v>
      </c>
      <c r="DY195">
        <f>IF(BD195="","",IF(AD195&lt;&gt;"",COUNTIFS(A$3:A195,A195,AD$3:AD195,"?*"),IF(OR(OR(AS195=1,A195&lt;&gt;A194),AL195="вручную"),"",IF(AS195=1,"",DZ194))))</f>
        <v>11</v>
      </c>
      <c r="DZ195">
        <f t="shared" ref="DZ195:DZ258" si="306">IF(BD195="",IF(OR(AS195=1,A195&lt;&gt;A194),"",IF(AS195=1,"",DZ194)),DY195)</f>
        <v>11</v>
      </c>
      <c r="EA195">
        <f>IF(D195="",0,MAX(IFERROR(--X195,0),IFERROR(--VLOOKUP(D195,УГО_спр,4,FALSE),IFERROR(--VLOOKUP(AT195,УГО_спр,4,FALSE),IFERROR(--VLOOKUP(LEFT(AT195,2),УГО_спр,4,FALSE),0)))))</f>
        <v>16</v>
      </c>
      <c r="EB195">
        <f>IF(D195="","",IFERROR(LOOKUP(INDEX(CHOOSE(BR195,Iдоп_1ж,Iдоп_2ж,Iдоп_3ж),MATCH(BS195,Iдоп_S,0))*BP195*BQ195,{6,10,16,20,25,32,40,50,63,80,100,125,160,200,250,315,400,500,630}),""))</f>
        <v>25</v>
      </c>
      <c r="EC195">
        <f>IF(AD195="","",SUMIFS(Линии[_Ток схемы],Линии[_гр.],DY195,Линии[Щит],A195,Линии[_в кабель выше],0))</f>
        <v>10.029999999999999</v>
      </c>
      <c r="ED195">
        <f>IF(AD195="","",IFERROR(VLOOKUP(EC195,Автомат_номиналы,2,TRUE),""))</f>
        <v>16</v>
      </c>
      <c r="EE195">
        <f>IF(AD195="","",MAX(N(ED195),_xlfn.MAXIFS(Линии[_мин. по типу],Линии[_гр.],DY195,Линии[Щит],A195)))</f>
        <v>16</v>
      </c>
      <c r="EF195">
        <f>IF(AD195="","",_xlfn.MINIFS(Линии[_макс. автомат по кабелю],Линии[_гр.],DY195,Линии[Щит],A195))</f>
        <v>25</v>
      </c>
      <c r="EG195">
        <f>IF(AD195="","",MAX(1,_xlfn.MAXIFS(Линии[_фаз],Линии[_гр.],DY195,Линии[Щит],A195)))</f>
        <v>1</v>
      </c>
      <c r="EH195">
        <f>IF(AD195="","",IF(AND(AD195&lt;&gt;"авто",AD195&lt;&gt;"+"),IF(ISNUMBER(SEARCH("мА",AD195)),IFERROR(--TRIM(RIGHT(SUBSTITUTE(LEFT(AD195,SEARCH("мА",AD195)-1)," ",REPT(" ",9)),6)),30),0),IF(AE195="нет",0,IF(ISNUMBER(AE195),AE195,IF(AE195="да",30,_xlfn.MINIFS(Линии[_дифзащита по коду, мА],Линии[_гр.],DY195,Линии[Щит],A195,Линии[_дифзащита по коду, мА],"&gt;0"))))))</f>
        <v>30</v>
      </c>
      <c r="EI195">
        <f t="shared" ref="EI195:EI258" si="307">IF(AD195="","",IF(N(EH195)&gt;0,1,0))</f>
        <v>1</v>
      </c>
      <c r="EJ195" t="str">
        <f t="shared" ref="EJ195:EJ258" si="308">IF(AD195="","",IF(EI195=1,"QFD","QF")&amp;DY195)</f>
        <v>QFD11</v>
      </c>
      <c r="EK195" t="str">
        <f t="shared" ref="EK195:EK258" si="309">IF(EJ195&lt;&gt;"",EJ195,IF(OR(OR(AS195=1,A195&lt;&gt;A194),AL195="вручную"),"",IF(AS195=1,"",EK194)))</f>
        <v>QFD11</v>
      </c>
      <c r="EL195" t="str">
        <f t="shared" ref="EL195:EL258" si="310">IF(EJ195&lt;&gt;"",_xlfn.TEXTJOIN(" → ",TRUE,AF195,AG195,AH195),IF(EK195="","",IF(AS195=1,"",EL194)))</f>
        <v/>
      </c>
      <c r="EM195">
        <f t="shared" ref="EM195:EM258" si="311">IF(EL195="",0,IF(OR(LEFT(EL195,2)="T ",LEFT(EL195,2)="Т ",ISNUMBER(SEARCH("→ T ",EL195)),ISNUMBER(SEARCH("→ Т ",EL195)),ISNUMBER(SEARCH("БП",EL195))),1,0))</f>
        <v>0</v>
      </c>
      <c r="EN195">
        <f>IF(AD195="","",IF(EM195=1,MAX(EE195,Мин_автомат_БП),EE195))</f>
        <v>16</v>
      </c>
      <c r="EO195" t="str">
        <f t="shared" ref="EO195:EO258" si="312">IF(AD195="","",IF(EG195&gt;=3,IF(EI195=1,"4P","3P"),IF(EI195=1,"2P","1P")))</f>
        <v>2P</v>
      </c>
      <c r="EP195" t="str">
        <f t="shared" ref="EP195:EP258" si="313">IF(AD195="","",IF(AND(AD195&lt;&gt;"авто",AD195&lt;&gt;"+"),AD195,EO195&amp;" С"&amp;EN195&amp;"А"&amp;IF(EI195=1," "&amp;EH195&amp;"мА","")))</f>
        <v>2P С16А 30мА</v>
      </c>
      <c r="EQ195">
        <f t="shared" ref="EQ195:EQ258" si="314">IF(EP195="","",_xlfn.LET(_xlpm.t,SUBSTITUTE(SUBSTITUTE(UPPER(EP195),"С","C"),"А","A"),_xlpm.c,FIND("C",_xlpm.t),IFERROR(--MID(_xlpm.t,_xlpm.c+1,FIND("A",_xlpm.t&amp;"A",_xlpm.c)-_xlpm.c-1),"")))</f>
        <v>16</v>
      </c>
      <c r="ER195" t="str">
        <f>IF(OR(AI195="",AI195="-"),"",IFERROR(VLOOKUP(AI195,Модули_спр,2,FALSE),"R"))</f>
        <v/>
      </c>
      <c r="ES195" t="str">
        <f>IF(ER195="","",ER195&amp;"."&amp;COUNTIFS(A$3:A195,A195,ER$3:ER195,ER195))</f>
        <v/>
      </c>
      <c r="ET195" t="str">
        <f t="shared" ref="ET195:ET258" si="315">IF(AI195="-","",IF(ES195&lt;&gt;"",ES195,IF(OR(AS195=1,A195&lt;&gt;A194),"",IF(AS195=1,"",ET194))))</f>
        <v/>
      </c>
      <c r="EU195" t="str">
        <f t="shared" ref="EU195:EU258" si="316">IF(ET195="","",IF(AND(AI195&lt;&gt;"",AI195&lt;&gt;"-"),AI195,IF(AS195=1,"",EU194)))</f>
        <v/>
      </c>
      <c r="EV195" t="str">
        <f t="shared" ref="EV195:EV258" si="317">IF(AJ195="=",IF(AS195=1,"",EW194),IF(ISNUMBER(AJ195),AJ195,IF(ET195="","",IF(OR(D195&lt;&gt;"",AJ195="+",AJ195="р"),IF(OR(ES195&lt;&gt;"",IF(AS195=1,"",EW194)=""),1,IF(AS195=1,"",EW194)+1),""))))</f>
        <v/>
      </c>
      <c r="EW195" t="str">
        <f t="shared" ref="EW195:EW258" si="318">IF(EV195&lt;&gt;"",EV195,IF(OR(OR(AS195=1,A195&lt;&gt;A194),AI195="-",ES195&lt;&gt;""),"",IF(AS195=1,"",EW194)))</f>
        <v/>
      </c>
      <c r="EX195">
        <f t="shared" ref="EX195:EX258" si="319">IF(AJ195="б/к",0,IF(OR(ISNUMBER(SEARCH("L=",CH195)),AJ195="+",AJ195="="),1,0))</f>
        <v>1</v>
      </c>
      <c r="EY195" t="str">
        <f>IF(AK195="нет","",IF(AK195&lt;&gt;"",AK195,IF(EX195=1,"XT"&amp;COUNTIFS(A$3:A195,A195,EX$3:EX195,1),"")))</f>
        <v/>
      </c>
      <c r="EZ195" t="str">
        <f t="shared" ref="EZ195:EZ258" si="320">IF(OR(D195&lt;&gt;"",EV195&lt;&gt;"",EX195=1),EK195,"")</f>
        <v>QFD11</v>
      </c>
      <c r="FA195" t="str">
        <f t="shared" ref="FA195:FA258" si="321">IF(OR(EV195&lt;&gt;"",AND(AI195&lt;&gt;"",AI195&lt;&gt;"-")),ET195,"")</f>
        <v/>
      </c>
      <c r="FB195" t="str">
        <f t="shared" ref="FB195:FB258" si="322">IF(AD195="","",IF(NOT(ISNUMBER(EQ195)),"",IF(EC195&gt;EQ195,"ПЕРЕГРУЗ",IF(AND(EM195=0,EF195&gt;0,EQ195&gt;EF195),"КАБЕЛЬ НЕ ЗАЩИЩЁН","ok"))))</f>
        <v>ok</v>
      </c>
      <c r="FC195" t="str">
        <f>IF(OR(EV195="",ET195=""),"",IF(EV195&gt;IFERROR(VLOOKUP(EU195,Модули_спр,3,FALSE),99),"ЛИШНИЙ КАНАЛ",IF(AND(AJ195&lt;&gt;"=",COUNTIFS(Линии[_модуль гр.],ET195,Линии[Канал (итог)],EV195,Линии[Канал],"&lt;&gt;=",Линии[Щит],A195)&gt;1),"ДУБЛЬ КАНАЛА","")))</f>
        <v/>
      </c>
      <c r="FD195">
        <f t="shared" ref="FD195:FD258" si="323">IF(AD195&lt;&gt;"",EQ195,IF(EK195="","",IF(AS195=1,"",FD194)))</f>
        <v>16</v>
      </c>
      <c r="FE195" t="str">
        <f t="shared" ref="FE195:FE258" si="324">IF(AD195&lt;&gt;"",EP195,IF(EK195="","",IF(AS195=1,"",FE194)))</f>
        <v>2P С16А 30мА</v>
      </c>
      <c r="FF195">
        <f t="shared" ref="FF195:FF258" si="325">IF(AD195&lt;&gt;"",EI195,IF(EK195="","",IF(AS195=1,"",FF194)))</f>
        <v>1</v>
      </c>
      <c r="FG195">
        <f t="shared" ref="FG195:FG258" si="326">IF(AD195&lt;&gt;"",EH195,IF(EK195="","",IF(AS195=1,"",FG194)))</f>
        <v>30</v>
      </c>
      <c r="FH195" t="str">
        <f t="shared" ref="FH195:FH258" si="327">IFERROR(IF(ISNUMBER(CL195),CL195/IFERROR(--FD195,N(BO195)),""),"")</f>
        <v/>
      </c>
      <c r="FI195">
        <f t="shared" ref="FI195:FI258" si="328">IF(OR(ISNUMBER(SEARCH(" B"," "&amp;FE195)),ISNUMBER(SEARCH(" В"," "&amp;FE195))),5,IF(ISNUMBER(SEARCH(" D"," "&amp;FE195)),20,10))</f>
        <v>10</v>
      </c>
      <c r="FJ195" t="str">
        <f t="shared" ref="FJ195:FJ258" si="329">IF(NOT(ISNUMBER(FH195)),"",IF(FH195&gt;=FI195,"ok",IF(N(FF195)=1,"ok (дифзащита "&amp;FG195&amp;" мА)","мало: Iкз &lt; "&amp;FI195&amp;"·In")))</f>
        <v/>
      </c>
      <c r="FK195" t="str">
        <f>IF(AND(D195="",EZ195=""),"",_xlfn.TEXTJOIN("; ",TRUE,IF(AND(D195&lt;&gt;"",DD195=""),"нет фазы",""),IF(AND(D195&lt;&gt;"",N(DT195)=0,CN195&lt;&gt;"Нет"),"нет мощности",""),IF(AND(EY195&lt;&gt;"",COUNTIFS(Линии[Щит],A195,Линии[Клемма (итог)],EY195)&gt;1),"дубль клеммы "&amp;EY195,""),IF(AND(FB195&lt;&gt;"",FB195&lt;&gt;"ok"),FB195,""),IF(FC195&lt;&gt;"",FC195,""),IF(AND(ISNUMBER(SEARCH("(5х",DS195)),N(DV195)=1),"5 жил на 1 фазе",""),IF(AND(AT195="R",AD195&lt;&gt;"",OR(N(EH195)=0,N(EH195)&gt;30)),"розетка без дифзащиты до 30 мА",""),IFERROR(IF(AND(ISNUMBER(CD195),CD195&gt;CE195),"потери "&amp;FIXED(CD195,1)&amp;" % &gt; "&amp;CE195&amp;" %",""),""),IFERROR(IF(LEFT(FJ195,4)="мало","Iкз мало — отключение &gt; 0,4 с",""),""),IF(AND(D195&lt;&gt;"",BD195=""),"не на схеме","")))</f>
        <v/>
      </c>
      <c r="FL195">
        <f>IF(AD195="","",_xlfn.LET(_xlpm.t,IFERROR(_xlfn.XLOOKUP(EP195,Каталог!$U$4:$U$500,Каталог!$G$4:$G$500),""),_xlpm.k,SEARCH("кА",_xlpm.t),IFERROR(--TRIM(RIGHT(SUBSTITUTE(MID(_xlpm.t,MAX(1,_xlpm.k-4),_xlpm.k-MAX(1,_xlpm.k-4))," ",REPT(" ",9)),5)),"")))</f>
        <v>6</v>
      </c>
      <c r="FM195" t="str">
        <f>IF(OR(FL195="",AD195=""),"",IF(_xlfn.XLOOKUP(A195,Щиты[Щит],Щиты[Iкз max на шинах, кА],"")="","",IF(FL195&lt;_xlfn.XLOOKUP(A195,Щиты[Щит],Щиты[Iкз max на шинах, кА]),"Icu "&amp;FL195&amp;" кА &lt; Iкз max","ok")))</f>
        <v/>
      </c>
      <c r="FN195" t="str">
        <f t="shared" ref="FN195:FN258" si="330">IF(OR(AL195="вручную",BD195="",AND(D195="",EY195="")),"",_xlfn.TEXTJOIN("|",TRUE,EK195,SUBSTITUTE(EL195," → ","|"),IF(ET195&lt;&gt;"",ET195&amp;IF(EV195&lt;&gt;""," к."&amp;EV195,""),""),EY195))</f>
        <v>QFD11</v>
      </c>
      <c r="FO195" t="str">
        <f t="shared" ref="FO195:FO258" si="331">IF(FN195="","",FN195&amp;IF(D195&lt;&gt;"","|кабель "&amp;CG195&amp;" → "&amp;AZ195,""))</f>
        <v>QFD11|кабель ВВГнг(А)-LS (3х2,5) → Розеточная группа Цокольный этаж Пом. №004Б Сушильная машина</v>
      </c>
      <c r="FP195" t="str" cm="1">
        <f t="array" ref="FP195">IF(FO195="","",_xlfn.LET(_xlpm.nd,_xlfn.TEXTSPLIT(FO195,"|"),IF(COLUMNS(_xlpm.nd)&gt;1,A195&amp;"¦"&amp;INDEX(_xlpm.nd,1)&amp;"¦"&amp;INDEX(_xlpm.nd,2),"")))</f>
        <v>ЩР-01¦QFD11¦кабель ВВГнг(А)-LS (3х2,5) → Розеточная группа Цокольный этаж Пом. №004Б Сушильная машина</v>
      </c>
      <c r="FQ195" t="str">
        <f t="shared" ref="FQ195:FQ258" si="332">IF(FP195="","",D195&amp;"¦"&amp;AZ195)</f>
        <v>R.0.004Б.2¦Розеточная группа Цокольный этаж Пом. №004Б Сушильная машина</v>
      </c>
      <c r="FR195" t="str" cm="1">
        <f t="array" ref="FR195">IF(FO195="","",_xlfn.LET(_xlpm.nd,_xlfn.TEXTSPLIT(FO195,"|"),IF(COLUMNS(_xlpm.nd)&gt;2,A195&amp;"¦"&amp;INDEX(_xlpm.nd,2)&amp;"¦"&amp;INDEX(_xlpm.nd,3),"")))</f>
        <v/>
      </c>
      <c r="FS195" t="str">
        <f t="shared" ref="FS195:FS258" si="333">IF(FR195="","",D195&amp;"¦"&amp;AZ195)</f>
        <v/>
      </c>
      <c r="FT195" t="str" cm="1">
        <f t="array" ref="FT195">IF(FO195="","",_xlfn.LET(_xlpm.nd,_xlfn.TEXTSPLIT(FO195,"|"),IF(COLUMNS(_xlpm.nd)&gt;3,A195&amp;"¦"&amp;INDEX(_xlpm.nd,3)&amp;"¦"&amp;INDEX(_xlpm.nd,4),"")))</f>
        <v/>
      </c>
      <c r="FU195" t="str">
        <f t="shared" ref="FU195:FU258" si="334">IF(FT195="","",D195&amp;"¦"&amp;AZ195)</f>
        <v/>
      </c>
      <c r="FV195" t="str" cm="1">
        <f t="array" ref="FV195">IF(FO195="","",_xlfn.LET(_xlpm.nd,_xlfn.TEXTSPLIT(FO195,"|"),IF(COLUMNS(_xlpm.nd)&gt;4,A195&amp;"¦"&amp;INDEX(_xlpm.nd,4)&amp;"¦"&amp;INDEX(_xlpm.nd,5),"")))</f>
        <v/>
      </c>
      <c r="FW195" t="str">
        <f t="shared" ref="FW195:FW258" si="335">IF(FV195="","",D195&amp;"¦"&amp;AZ195)</f>
        <v/>
      </c>
      <c r="FX195" t="str" cm="1">
        <f t="array" ref="FX195">IF(FO195="","",_xlfn.LET(_xlpm.nd,_xlfn.TEXTSPLIT(FO195,"|"),IF(COLUMNS(_xlpm.nd)&gt;5,A195&amp;"¦"&amp;INDEX(_xlpm.nd,5)&amp;"¦"&amp;INDEX(_xlpm.nd,6),"")))</f>
        <v/>
      </c>
      <c r="FY195" t="str">
        <f t="shared" ref="FY195:FY258" si="336">IF(FX195="","",D195&amp;"¦"&amp;AZ195)</f>
        <v/>
      </c>
      <c r="FZ195" t="str" cm="1">
        <f t="array" ref="FZ195">IF(FO195="","",_xlfn.LET(_xlpm.nd,_xlfn.TEXTSPLIT(FO195,"|"),IF(COLUMNS(_xlpm.nd)&gt;6,A195&amp;"¦"&amp;INDEX(_xlpm.nd,6)&amp;"¦"&amp;INDEX(_xlpm.nd,7),"")))</f>
        <v/>
      </c>
      <c r="GA195" t="str">
        <f t="shared" ref="GA195:GA258" si="337">IF(FZ195="","",D195&amp;"¦"&amp;AZ195)</f>
        <v/>
      </c>
      <c r="GB195" t="str">
        <f t="shared" ref="GB195:GB258" si="338">IF(FA195="","",EU195)</f>
        <v/>
      </c>
      <c r="GC195" t="str">
        <f t="shared" ref="GC195:GC258" si="339">IF(AND(D195="",EV195="",EY195=""),"",_xlfn.TEXTJOIN(" → ",TRUE,EK195,EL195,IF(ET195&lt;&gt;"",ET195&amp;IF(EV195&lt;&gt;""," к."&amp;EV195,""),IF(EV195&lt;&gt;"","к."&amp;EV195,"")),EY195,IF(DX195=1,"(в кабель выше)","")))</f>
        <v>QFD11</v>
      </c>
      <c r="GD195">
        <f t="shared" ref="GD195:GD258" si="340">IF(OR(BD195="",AL195="вручную",AND(BE195="вводной узел",AL195&lt;&gt;"рисовать")),0,1)</f>
        <v>1</v>
      </c>
      <c r="GE195">
        <f t="shared" ref="GE195:GE258" si="341">IF(AC195="",0,1)</f>
        <v>0</v>
      </c>
      <c r="GF195">
        <f t="shared" ref="GF195:GF258" si="342">IF(EJ195="",0,IF(LEFT(EJ195,3)="QFD",1,0))</f>
        <v>1</v>
      </c>
      <c r="GG195" t="str">
        <f t="shared" ref="GG195:GG258" si="343">IF(AJ195="=","=",IF(AJ195="+","+",IF(AJ195="р","R","")))</f>
        <v/>
      </c>
      <c r="GH195" t="str">
        <f t="shared" ref="GH195:GH258" si="344">IF(AF195="","",IF(OR(LEFT(AF195,1)="T",LEFT(AF195,1)="Т"),"T",IF(LEFT(UPPER(AF195),2)="БП","PS",IF(OR(LEFT(UPPER(AF195),2)="МК",LEFT(UPPER(AF195),2)="MK"),"MK",IF(OR(LEFT(UPPER(AF195),2)="КМ",LEFT(UPPER(AF195),2)="KM"),"KM","X")))))</f>
        <v/>
      </c>
      <c r="GI195" t="str">
        <f t="shared" ref="GI195:GI258" si="345">IF(AG195="","",IF(OR(LEFT(AG195,1)="T",LEFT(AG195,1)="Т"),"T",IF(LEFT(UPPER(AG195),2)="БП","PS",IF(OR(LEFT(UPPER(AG195),2)="МК",LEFT(UPPER(AG195),2)="MK"),"MK",IF(OR(LEFT(UPPER(AG195),2)="КМ",LEFT(UPPER(AG195),2)="KM"),"KM","X")))))</f>
        <v/>
      </c>
      <c r="GJ195" t="str">
        <f t="shared" ref="GJ195:GJ258" si="346">IF(AH195="","",IF(OR(LEFT(AH195,1)="T",LEFT(AH195,1)="Т"),"T",IF(LEFT(UPPER(AH195),2)="БП","PS",IF(OR(LEFT(UPPER(AH195),2)="МК",LEFT(UPPER(AH195),2)="MK"),"MK",IF(OR(LEFT(UPPER(AH195),2)="КМ",LEFT(UPPER(AH195),2)="KM"),"KM","X")))))</f>
        <v/>
      </c>
      <c r="GK195" t="str">
        <f>IF(D195="","",IFERROR(VLOOKUP(D195,УГО_спр,2,FALSE),IFERROR(VLOOKUP(AT195,УГО_спр,2,FALSE),IFERROR(VLOOKUP(LEFT(AT195,2),УГО_спр,2,FALSE),""))))</f>
        <v>Розетка</v>
      </c>
      <c r="GL195" t="str">
        <f>IF(D195="","",IF(OR(GK195="",GK195=0),"BOX",IFERROR(IF(VLOOKUP(GK195,УГО_блоки,3,FALSE)&amp;""&lt;&gt;"",VLOOKUP(GK195,УГО_блоки,3,FALSE),VLOOKUP(GK195,УГО_блоки,2,FALSE)),GK195)))</f>
        <v>SOCKET</v>
      </c>
      <c r="GM195">
        <f t="shared" ref="GM195:GM258" si="347">IF(D195="",0,1)</f>
        <v>1</v>
      </c>
      <c r="GN195" t="str">
        <f>IF(EP195="","",IF(COUNTIF(EP$3:EP195,EP195)=1,MAX(GN$2:GN194)+1,""))</f>
        <v/>
      </c>
      <c r="GO195" t="str">
        <f>IF(AF195="","",IF(COUNTIF(AF$3:AF195,AF195)+COUNTIF(AG$2:AG194,AF195)+COUNTIF(AH$2:AH194,AF195)=1,MAX(GO$2:GQ194)+1,""))</f>
        <v/>
      </c>
      <c r="GP195" t="str">
        <f>IF(AG195="","",IF(COUNTIF(AF$3:AF195,AG195)+COUNTIF(AG$3:AG195,AG195)+COUNTIF(AH$2:AH194,AG195)=1,MAX(GO$2:GQ194,GO195)+1,""))</f>
        <v/>
      </c>
      <c r="GQ195" t="str">
        <f>IF(AH195="","",IF(COUNTIF(AF$3:AF195,AH195)+COUNTIF(AG$3:AG195,AH195)+COUNTIF(AH$3:AH195,AH195)=1,MAX(GO$2:GQ194,GO195,GP195)+1,""))</f>
        <v/>
      </c>
      <c r="GR195" t="str">
        <f t="shared" ref="GR195:GR258" si="348">IF(EX195=1,IFERROR(MID(DS195,FIND(" (",DS195)+2,FIND(")",DS195,FIND(" (",DS195))-FIND(" (",DS195)-2),"?"),"")</f>
        <v>3х2,5</v>
      </c>
      <c r="GS195" t="str">
        <f>IF(GR195="","",IF(COUNTIF(GR$3:GR195,GR195)=1,MAX(GS$2:GS194)+1,""))</f>
        <v/>
      </c>
      <c r="GT195" t="str">
        <f>IF(ES195="","",COUNTIF(ES$3:ES195,"?*"))</f>
        <v/>
      </c>
      <c r="GU195" t="str">
        <f>IF(OR(ES195="",EU195=""),"",IF(COUNTIFS(ES$3:ES195,"?*",EU$3:EU195,EU195)=1,MAX(GU$2:GU194)+1,""))</f>
        <v/>
      </c>
      <c r="GV195">
        <f t="shared" ref="GV195:GV258" si="349">IF(FK195="",0,IF(OR(ISNUMBER(SEARCH("дубль",FK195)),ISNUMBER(SEARCH("ПЕРЕГРУЗ",FK195)),ISNUMBER(SEARCH("ЗАЩИЩ",FK195)),ISNUMBER(SEARCH("КАНАЛ",FK195)),ISNUMBER(SEARCH("без диф",FK195))),2,1))</f>
        <v>0</v>
      </c>
      <c r="GW195">
        <f>IF(D195="","",COUNTIF(D$3:D195,"?*"))</f>
        <v>193</v>
      </c>
      <c r="GX195">
        <f>IF(EX195&lt;&gt;1,0,_xlfn.LET(_xlpm.k,MAX(IFERROR(--VLOOKUP(D195,УГО_спр,5,FALSE),0),IFERROR(--VLOOKUP(AT195,УГО_спр,5,FALSE),0),IFERROR(--VLOOKUP(LEFT(AT195,2),УГО_спр,5,FALSE),0)),IF(_xlpm.k&gt;0,_xlpm.k,IF(IFERROR(--LEFT(SUBSTITUTE(GR195,"x","х"),FIND("х",SUBSTITUTE(GR195,"x","х"))-1),3)&gt;3,Каталог!$S$9,1))))</f>
        <v>1</v>
      </c>
      <c r="GY195">
        <f t="shared" ref="GY195:GY258" si="350">IF(EX195&lt;&gt;1,0,MAX(0,IFERROR(--LEFT(SUBSTITUTE(GR195,"x","х"),FIND("х",SUBSTITUTE(GR195,"x","х"))-1),3)-3*GX195))</f>
        <v>0</v>
      </c>
    </row>
    <row r="196" spans="1:207" x14ac:dyDescent="0.3">
      <c r="A196" t="s">
        <v>760</v>
      </c>
      <c r="B196">
        <v>22</v>
      </c>
      <c r="C196" t="str">
        <f>IF(BD196="","",IF(BE196="вводной узел","узел ","")&amp;"л."&amp;(INT((BD196-1)/Столбцов_на_лист)+1)&amp;" / "&amp;(MOD(BD196-1,Столбцов_на_лист)+1))</f>
        <v>л.2 / 5</v>
      </c>
      <c r="D196" t="s">
        <v>1505</v>
      </c>
      <c r="E196" s="133" t="s">
        <v>1506</v>
      </c>
      <c r="G196">
        <v>2.2000000000000002</v>
      </c>
      <c r="H196">
        <v>1</v>
      </c>
      <c r="I196">
        <v>1</v>
      </c>
      <c r="J196">
        <v>230</v>
      </c>
      <c r="K196" t="s">
        <v>566</v>
      </c>
      <c r="O196">
        <v>3</v>
      </c>
      <c r="P196">
        <v>26</v>
      </c>
      <c r="Q196">
        <v>12</v>
      </c>
      <c r="R196">
        <v>17</v>
      </c>
      <c r="S196">
        <v>0</v>
      </c>
      <c r="U196" t="s">
        <v>11</v>
      </c>
      <c r="V196">
        <v>3</v>
      </c>
      <c r="W196">
        <v>2.5</v>
      </c>
      <c r="Z196" t="s">
        <v>565</v>
      </c>
      <c r="AA196" t="s">
        <v>818</v>
      </c>
      <c r="AD196" t="s">
        <v>517</v>
      </c>
      <c r="AK196" t="s">
        <v>488</v>
      </c>
      <c r="AR196" t="str">
        <f t="shared" si="264"/>
        <v/>
      </c>
      <c r="AS196" cm="1">
        <f t="array" ref="AS196">ROW()-ROW(Линии[#Headers])</f>
        <v>194</v>
      </c>
      <c r="AT196" t="str">
        <f t="shared" si="265"/>
        <v>R</v>
      </c>
      <c r="AU196" t="str">
        <f t="shared" si="266"/>
        <v>0.004Б.3</v>
      </c>
      <c r="AV196" t="str">
        <f t="shared" si="267"/>
        <v>0</v>
      </c>
      <c r="AW196" t="str">
        <f t="shared" si="268"/>
        <v>004Б.3</v>
      </c>
      <c r="AX196" t="str">
        <f t="shared" si="269"/>
        <v>004Б</v>
      </c>
      <c r="AY196" t="str">
        <f>IF(D196="","",IF(ISERROR(SEARCH(".",D196)),IFERROR(VLOOKUP(D196,Потребители_обозначение,2,FALSE)&amp;"",""),IFERROR(IF(VLOOKUP(AT196,Потребители_обозначение,4,FALSE)=1,VLOOKUP(AT196,Потребители_обозначение,2,FALSE)&amp;" "&amp;VLOOKUP(AV196,Этаж_обозначение,2,FALSE)&amp;" Пом. №"&amp;AX196,VLOOKUP(AT196,Потребители_обозначение,2,FALSE)&amp;" Шлейф №"&amp;AV196),IFERROR(VLOOKUP(D196,Потребители_обозначение,2,FALSE),""))))</f>
        <v>Розеточная группа Цокольный этаж Пом. №004Б</v>
      </c>
      <c r="AZ196" t="str">
        <f t="shared" si="270"/>
        <v>Розеточная группа Цокольный этаж Пом. №004Б Стиральная машина</v>
      </c>
      <c r="BA196" t="str">
        <f>IF(F196&lt;&gt;"",F196,IF(AND(D196&lt;&gt;"",D196&lt;&gt;A196,ISNUMBER(_xlfn.XMATCH(D196,Щиты[Щит]))),D196,""))</f>
        <v/>
      </c>
      <c r="BB196">
        <f>IFERROR(_xlfn.XMATCH(A196,Щиты[Щит]),0)</f>
        <v>9</v>
      </c>
      <c r="BC196">
        <f>IFERROR(N(_xlfn.XLOOKUP(A196,Щиты[Щит],Щиты[Мест под вводной узел])),15)</f>
        <v>8</v>
      </c>
      <c r="BD196">
        <f t="shared" si="271"/>
        <v>22</v>
      </c>
      <c r="BE196" t="str">
        <f t="shared" si="272"/>
        <v>линии</v>
      </c>
      <c r="BF196">
        <f>IF(D196="","",IF(BA196&lt;&gt;"",IFERROR(_xlfn.XLOOKUP(BA196,Щиты[Щит],Щиты[Руст, кВт]),0),N(G196)))</f>
        <v>2.2000000000000002</v>
      </c>
      <c r="BG196">
        <f>IF(J196&lt;&gt;"",J196,IF(D196="","",IFERROR(IF(VLOOKUP(AT196,Потребители_обозначение,8,FALSE)=0,"",VLOOKUP(AT196,Потребители_обозначение,8,FALSE)),"")))</f>
        <v>230</v>
      </c>
      <c r="BH196">
        <f>IF(I196&lt;&gt;"",I196,IF(D196="","",IFERROR(IF(VLOOKUP(AT196,Потребители_обозначение,9,FALSE)=0,"",VLOOKUP(AT196,Потребители_обозначение,9,FALSE)),"")))</f>
        <v>1</v>
      </c>
      <c r="BI196" t="str">
        <f>IF(U196&lt;&gt;"",U196,IF(D196="","",IFERROR(IF(VLOOKUP(AT196,Потребители_обозначение,6,FALSE)=0,"",VLOOKUP(AT196,Потребители_обозначение,6,FALSE)),"")))</f>
        <v>мс</v>
      </c>
      <c r="BJ196">
        <f>IF(V196&lt;&gt;"",V196,IF(D196="","",IFERROR(IF(VLOOKUP(AT196,Потребители_обозначение,7,FALSE)=0,"",VLOOKUP(AT196,Потребители_обозначение,7,FALSE)),"")))</f>
        <v>3</v>
      </c>
      <c r="BK196">
        <f>IF(W196&lt;&gt;"",W196,IF(D196="","",IFERROR(IF(VLOOKUP(AT196,Потребители_обозначение,10,FALSE)=0,"",VLOOKUP(AT196,Потребители_обозначение,10,FALSE)),"")))</f>
        <v>2.5</v>
      </c>
      <c r="BL196">
        <f>IFERROR(VLOOKUP(AT196,Потребители_обозначение,5,FALSE),0)</f>
        <v>1</v>
      </c>
      <c r="BM196" cm="1">
        <f t="array" ref="BM196">IF(D196="","",IF(BA196&lt;&gt;"",IFERROR(_xlfn.XLOOKUP(BA196,Щиты[Щит],Щиты[cos φ]),0.95),IF(ISNUMBER(M196),M196,IFERROR(IF(BL196=2,_xlfn.IFS(BH196=3,VLOOKUP(BF196,Справочная_двигатели,8,FALSE),BH196=1,VLOOKUP(BF196,Справочная_двигатели,10,TRUE)),IF(AND(Методика="нормы 2026",CN196="Сил"),0.8,0.95)),0.95))))</f>
        <v>0.95</v>
      </c>
      <c r="BN196" cm="1">
        <f t="array" ref="BN196">IF(D196="","",IF(BA196&lt;&gt;"",IFERROR(_xlfn.XLOOKUP(BA196,Щиты[Щит],Щиты[Iр, А]),""),IFERROR(_xlfn.IFS(BH196=1,BF196/((Uн_лин/SQRT(3))*BM196),BH196=3,BF196/(SQRT(3)*Uн_лин*BM196)),"")))</f>
        <v>10.027662570135606</v>
      </c>
      <c r="BO196">
        <f>IF(D196="","",IF(N(X196)=0,IFERROR(VLOOKUP(BN196,Автомат_номиналы,2,TRUE),""),X196))</f>
        <v>16</v>
      </c>
      <c r="BP196">
        <f t="shared" si="273"/>
        <v>1</v>
      </c>
      <c r="BQ196">
        <f>IF(ISNUMBER(Y196),Y196,К_прокл)</f>
        <v>1</v>
      </c>
      <c r="BR196">
        <f t="shared" si="274"/>
        <v>2</v>
      </c>
      <c r="BS196" cm="1">
        <f t="array" ref="BS196">IF(D196="","",IF(N(BK196)&lt;&gt;0,BK196,IFERROR(_xlfn.LET(_xlpm.need,BO196/(BP196*BQ196),_xlpm.t,CHOOSE(BR196,Iдоп_1ж,Iдоп_2ж,Iдоп_3ж),_xlpm.k,_xlfn.XMATCH(_xlpm.need,_xlpm.t,1),IF(ISNA(_xlpm.k),"Не исп",INDEX(Iдоп_S,_xlpm.k))),"Не исп")))</f>
        <v>2.5</v>
      </c>
      <c r="BT196">
        <f>IFERROR(VLOOKUP(BS196,Кабель_сопротивление,3,FALSE),"")</f>
        <v>2.2499999999999999E-2</v>
      </c>
      <c r="BU196">
        <f>IFERROR(VLOOKUP(BS196,Кабель_сопротивление,2,FALSE),"")</f>
        <v>0.1</v>
      </c>
      <c r="BV196">
        <f t="shared" si="275"/>
        <v>26</v>
      </c>
      <c r="BW196">
        <f>IF(D196="","",IFERROR(IF(VLOOKUP(AT196,Потребители_обозначение,4,FALSE)=1,VLOOKUP(AT196,Потребители_обозначение,3,FALSE)*(H196*2-1)+BV196+VLOOKUP(AV196,Этаж_обозначение,3,FALSE)+VLOOKUP(AV196,Этаж_обозначение,4,FALSE),VLOOKUP(AT196,Потребители_обозначение,3,FALSE)*(H196*2-1)+BV196),BV196))</f>
        <v>29</v>
      </c>
      <c r="BX196">
        <f t="shared" si="276"/>
        <v>17</v>
      </c>
      <c r="BY196">
        <f t="shared" si="277"/>
        <v>0</v>
      </c>
      <c r="BZ196">
        <f t="shared" si="278"/>
        <v>2</v>
      </c>
      <c r="CA196">
        <f t="shared" si="279"/>
        <v>0.31</v>
      </c>
      <c r="CB196">
        <f t="shared" si="280"/>
        <v>4.9907476058313511</v>
      </c>
      <c r="CC196">
        <f>IFERROR(ROUNDUP(CB196/((Uн_лин/SQRT(3))*1000)*100,2),"")</f>
        <v>2.17</v>
      </c>
      <c r="CD196">
        <f>IF(ISNUMBER(CC196),CC196+IFERROR(_xlfn.XLOOKUP(A196,Щиты[Щит],Щиты[ΔU до шин, %]),0),"")</f>
        <v>2.6</v>
      </c>
      <c r="CE196">
        <f>IF(D196="","",IF(IFERROR(VLOOKUP(AT196,УГО_спр,2,FALSE),"")="Светильник",3,4)+IF(Методика="нормы 2026",MIN(0.5,MAX(0,N(BW196)-100)*0.005),0))</f>
        <v>4</v>
      </c>
      <c r="CF196" t="str">
        <f>IFERROR(VLOOKUP(BI196,Кабель_обозначение,2,FALSE),"")</f>
        <v>ВВГнг(А)-LS</v>
      </c>
      <c r="CG196" t="str">
        <f>IFERROR(IF(VLOOKUP(BI196,Кабель_обозначение,3,FALSE)=1,CF196&amp;" ("&amp;BJ196&amp;"х"&amp;BS196&amp;")",CF196),"")</f>
        <v>ВВГнг(А)-LS (3х2,5)</v>
      </c>
      <c r="CH196" t="str">
        <f t="shared" si="281"/>
        <v>ВВГнг(А)-LS (3х2,5)
L=29-2,17%</v>
      </c>
      <c r="CI196">
        <f>IFERROR(2*ρкз_Cu*BW196/BS196,"")</f>
        <v>0.61016000000000004</v>
      </c>
      <c r="CJ196">
        <f t="shared" si="282"/>
        <v>0.20300000000000001</v>
      </c>
      <c r="CK196" t="str">
        <f>IFERROR(IF(OR(D196="",NOT(ISNUMBER(BS196)),N(BW196)=0),"",_xlfn.XLOOKUP(A196,Щиты[Щит],Щиты[Zпетли на шинах, Ом])+CI196),"")</f>
        <v/>
      </c>
      <c r="CL196" t="str">
        <f>IF(ISNUMBER(CK196),c_min*(Uн_лин*1000/SQRT(3))/CK196,"")</f>
        <v/>
      </c>
      <c r="CM196" t="str">
        <f>IFERROR(IF(OR(D196="",NOT(ISNUMBER(BS196))),"",1.05*(Uн_лин*1000/SQRT(3))/(_xlfn.XLOOKUP(A196,Щиты[Щит],Щиты[Zmax на шинах, Ом])+CJ196)/1000),"")</f>
        <v/>
      </c>
      <c r="CN196" t="str">
        <f>IF(D196="","",IF(BA196&lt;&gt;"","Щит",IF(K196&lt;&gt;"",K196,IF(ISNUMBER(L196),"Сил",IF(IFERROR(_xlfn.XLOOKUP(AT196,Коды_код,Коды_группа)&amp;"","")="","Быт",_xlfn.XLOOKUP(AT196,Коды_код,Коды_группа)&amp;"")))))</f>
        <v>Быт</v>
      </c>
      <c r="CO196">
        <f>IF(CN196="Щит","щит",IF(CN196="","",IF(CN196="Быт",IFERROR(_xlfn.XLOOKUP(A196,Щиты[Щит],Щиты[Кс быт]),1),IF(CN196="Сил",IF(ISNUMBER(L196),L196,IF(Методика="нормы 2026",IFERROR(_xlfn.XLOOKUP(A196,Щиты[Щит],Щиты[Кс силовых (табл. 7.5)]),1),1)),IF(OR(CN196="Пост",CN196="Отоп"),1,IF(CN196="ВНГ",0.7,0))))))</f>
        <v>0.79799999999999993</v>
      </c>
      <c r="CP196">
        <f t="shared" si="283"/>
        <v>1</v>
      </c>
      <c r="CQ196">
        <f t="shared" si="284"/>
        <v>2.2000000000000002</v>
      </c>
      <c r="CR196">
        <f t="shared" si="285"/>
        <v>2.2000000000000002</v>
      </c>
      <c r="CS196">
        <f t="shared" si="286"/>
        <v>0</v>
      </c>
      <c r="CT196">
        <f t="shared" si="287"/>
        <v>0</v>
      </c>
      <c r="CU196">
        <f t="shared" si="288"/>
        <v>0</v>
      </c>
      <c r="CV196">
        <f t="shared" si="289"/>
        <v>0</v>
      </c>
      <c r="CW196">
        <f t="shared" si="290"/>
        <v>2.2000000000000002</v>
      </c>
      <c r="CX196">
        <f t="shared" si="291"/>
        <v>2.09</v>
      </c>
      <c r="CY196">
        <f t="shared" si="292"/>
        <v>3</v>
      </c>
      <c r="CZ196" t="str">
        <f t="shared" si="293"/>
        <v>L3</v>
      </c>
      <c r="DA196" cm="1">
        <f t="array" ref="DA196">IFERROR(IF(BL196=2,_xlfn.IFS(BH196=3,VLOOKUP(BF196,Справочная_двигатели,3,FALSE),BH196=1,VLOOKUP(BF196,Справочная_двигатели,5,TRUE)),0),0)</f>
        <v>0</v>
      </c>
      <c r="DB196">
        <f>IFERROR(IF(BL196=3,VLOOKUP(BF196,Справочная_ЛЭД,2,TRUE),0),0)</f>
        <v>0</v>
      </c>
      <c r="DC196">
        <f t="shared" si="294"/>
        <v>0</v>
      </c>
      <c r="DD196" t="str">
        <f t="shared" si="295"/>
        <v>L3</v>
      </c>
      <c r="DE196" t="str" cm="1">
        <f t="array" ref="DE196">IF(D196="","",IFERROR(INDEX({"I особая","I","II","III"},MATCH(TRIM(AA196&amp;""),{"I особая","I","II","III"},0)),"III"))</f>
        <v>II</v>
      </c>
      <c r="DF196" t="str">
        <f>IF(D196="","",IF(TRIM(AB196&amp;"")&lt;&gt;"",IF(LOWER(TRIM(AB196&amp;""))="да","да","нет"),IF(IFERROR(_xlfn.XLOOKUP(AT196,Коды_код,Коды_пожарная),"")="да","да","нет")))</f>
        <v>нет</v>
      </c>
      <c r="DG196" t="str">
        <f t="shared" si="296"/>
        <v/>
      </c>
      <c r="DH196" t="str">
        <f t="shared" si="297"/>
        <v>основная</v>
      </c>
      <c r="DI196">
        <f t="shared" si="298"/>
        <v>1</v>
      </c>
      <c r="DJ196" t="str" cm="1">
        <f t="array" ref="DJ196">IF(D196="","",_xlfn.LET(_xlpm.t,IFERROR(_xlfn.XLOOKUP(1,(Шины[Шина]=DH196)*(((Шины[Щит]=A196)+(Шины[Щит]=""))&gt;0),Шины[Тип]),"")&amp;"",IF(_xlpm.t&lt;&gt;"",_xlpm.t,IF(ISNUMBER(SEARCH("ИБП",DH196)),"ИБП",IF(ISNUMBER(SEARCH("ДГУ",DH196)),"ДГУ","Ввод "&amp;DI196)))))</f>
        <v>Ввод 1</v>
      </c>
      <c r="DK196" t="str">
        <f t="shared" si="299"/>
        <v>Ввод 1</v>
      </c>
      <c r="DL196" t="str">
        <f>IF(D196="","",IF(OR(DJ196="ИБП",DJ196="ДГУ"),"I особая",IF(DJ196="Одиночная","III",_xlfn.XLOOKUP(A196,Щиты[Щит],Щиты[Категория шины «Ввод»],"III"))))</f>
        <v>II</v>
      </c>
      <c r="DM196">
        <f>IF(D196="",0,IFERROR(MATCH(DE196,{"III","II","I","I особая"},0),1))</f>
        <v>2</v>
      </c>
      <c r="DN196">
        <f t="shared" si="300"/>
        <v>2</v>
      </c>
      <c r="DO196" t="str">
        <f>IF(D196="","",IF(DM196&gt;IFERROR(MATCH(DL196,{"III","II","I","I особая"},0),1),"НЕ ОБЕСПЕЧЕНА","ОК"))</f>
        <v>ОК</v>
      </c>
      <c r="DP196" t="str">
        <f>IF(A196="","",_xlfn.XLOOKUP(A196,Щиты[Щит],Щиты[Путь],""))</f>
        <v>|ГРЩ-ЖД|ЩР-01|</v>
      </c>
      <c r="DQ196" t="str">
        <f>IF(D196="","",IF(Z196&lt;&gt;"",Z196,IF(IFERROR(_xlfn.XLOOKUP(AT196,Коды_код,Коды_вид)&amp;"","")="","Прочее",_xlfn.XLOOKUP(AT196,Коды_код,Коды_вид)&amp;"")))</f>
        <v>Розеточная сеть и бытовые приборы</v>
      </c>
      <c r="DR196">
        <f>IF(BD196="","",INT((BD196-1)/Столбцов_на_лист)+1)</f>
        <v>2</v>
      </c>
      <c r="DS196" t="str">
        <f t="shared" si="301"/>
        <v>ВВГнг(А)-LS (3х2,5) L=29-2,17%</v>
      </c>
      <c r="DT196">
        <f t="shared" si="302"/>
        <v>2.2000000000000002</v>
      </c>
      <c r="DU196">
        <f t="shared" si="303"/>
        <v>10.029999999999999</v>
      </c>
      <c r="DV196">
        <f t="shared" si="304"/>
        <v>1</v>
      </c>
      <c r="DW196">
        <f>IF(AT196="",0,_xlfn.LET(_xlpm.v,IFERROR(VLOOKUP(D196,УГО_спр,3,FALSE),IFERROR(VLOOKUP(AT196,УГО_спр,3,FALSE),IFERROR(VLOOKUP(LEFT(AT196,2),УГО_спр,3,FALSE),""))),IF(_xlpm.v="да",30,IF(ISNUMBER(_xlpm.v),_xlpm.v,0))))</f>
        <v>30</v>
      </c>
      <c r="DX196">
        <f t="shared" si="305"/>
        <v>0</v>
      </c>
      <c r="DY196">
        <f>IF(BD196="","",IF(AD196&lt;&gt;"",COUNTIFS(A$3:A196,A196,AD$3:AD196,"?*"),IF(OR(OR(AS196=1,A196&lt;&gt;A195),AL196="вручную"),"",IF(AS196=1,"",DZ195))))</f>
        <v>12</v>
      </c>
      <c r="DZ196">
        <f t="shared" si="306"/>
        <v>12</v>
      </c>
      <c r="EA196">
        <f>IF(D196="",0,MAX(IFERROR(--X196,0),IFERROR(--VLOOKUP(D196,УГО_спр,4,FALSE),IFERROR(--VLOOKUP(AT196,УГО_спр,4,FALSE),IFERROR(--VLOOKUP(LEFT(AT196,2),УГО_спр,4,FALSE),0)))))</f>
        <v>16</v>
      </c>
      <c r="EB196">
        <f>IF(D196="","",IFERROR(LOOKUP(INDEX(CHOOSE(BR196,Iдоп_1ж,Iдоп_2ж,Iдоп_3ж),MATCH(BS196,Iдоп_S,0))*BP196*BQ196,{6,10,16,20,25,32,40,50,63,80,100,125,160,200,250,315,400,500,630}),""))</f>
        <v>25</v>
      </c>
      <c r="EC196">
        <f>IF(AD196="","",SUMIFS(Линии[_Ток схемы],Линии[_гр.],DY196,Линии[Щит],A196,Линии[_в кабель выше],0))</f>
        <v>10.029999999999999</v>
      </c>
      <c r="ED196">
        <f>IF(AD196="","",IFERROR(VLOOKUP(EC196,Автомат_номиналы,2,TRUE),""))</f>
        <v>16</v>
      </c>
      <c r="EE196">
        <f>IF(AD196="","",MAX(N(ED196),_xlfn.MAXIFS(Линии[_мин. по типу],Линии[_гр.],DY196,Линии[Щит],A196)))</f>
        <v>16</v>
      </c>
      <c r="EF196">
        <f>IF(AD196="","",_xlfn.MINIFS(Линии[_макс. автомат по кабелю],Линии[_гр.],DY196,Линии[Щит],A196))</f>
        <v>25</v>
      </c>
      <c r="EG196">
        <f>IF(AD196="","",MAX(1,_xlfn.MAXIFS(Линии[_фаз],Линии[_гр.],DY196,Линии[Щит],A196)))</f>
        <v>1</v>
      </c>
      <c r="EH196">
        <f>IF(AD196="","",IF(AND(AD196&lt;&gt;"авто",AD196&lt;&gt;"+"),IF(ISNUMBER(SEARCH("мА",AD196)),IFERROR(--TRIM(RIGHT(SUBSTITUTE(LEFT(AD196,SEARCH("мА",AD196)-1)," ",REPT(" ",9)),6)),30),0),IF(AE196="нет",0,IF(ISNUMBER(AE196),AE196,IF(AE196="да",30,_xlfn.MINIFS(Линии[_дифзащита по коду, мА],Линии[_гр.],DY196,Линии[Щит],A196,Линии[_дифзащита по коду, мА],"&gt;0"))))))</f>
        <v>30</v>
      </c>
      <c r="EI196">
        <f t="shared" si="307"/>
        <v>1</v>
      </c>
      <c r="EJ196" t="str">
        <f t="shared" si="308"/>
        <v>QFD12</v>
      </c>
      <c r="EK196" t="str">
        <f t="shared" si="309"/>
        <v>QFD12</v>
      </c>
      <c r="EL196" t="str">
        <f t="shared" si="310"/>
        <v/>
      </c>
      <c r="EM196">
        <f t="shared" si="311"/>
        <v>0</v>
      </c>
      <c r="EN196">
        <f>IF(AD196="","",IF(EM196=1,MAX(EE196,Мин_автомат_БП),EE196))</f>
        <v>16</v>
      </c>
      <c r="EO196" t="str">
        <f t="shared" si="312"/>
        <v>2P</v>
      </c>
      <c r="EP196" t="str">
        <f t="shared" si="313"/>
        <v>2P С16А 30мА</v>
      </c>
      <c r="EQ196">
        <f t="shared" si="314"/>
        <v>16</v>
      </c>
      <c r="ER196" t="str">
        <f>IF(OR(AI196="",AI196="-"),"",IFERROR(VLOOKUP(AI196,Модули_спр,2,FALSE),"R"))</f>
        <v/>
      </c>
      <c r="ES196" t="str">
        <f>IF(ER196="","",ER196&amp;"."&amp;COUNTIFS(A$3:A196,A196,ER$3:ER196,ER196))</f>
        <v/>
      </c>
      <c r="ET196" t="str">
        <f t="shared" si="315"/>
        <v/>
      </c>
      <c r="EU196" t="str">
        <f t="shared" si="316"/>
        <v/>
      </c>
      <c r="EV196" t="str">
        <f t="shared" si="317"/>
        <v/>
      </c>
      <c r="EW196" t="str">
        <f t="shared" si="318"/>
        <v/>
      </c>
      <c r="EX196">
        <f t="shared" si="319"/>
        <v>1</v>
      </c>
      <c r="EY196" t="str">
        <f>IF(AK196="нет","",IF(AK196&lt;&gt;"",AK196,IF(EX196=1,"XT"&amp;COUNTIFS(A$3:A196,A196,EX$3:EX196,1),"")))</f>
        <v/>
      </c>
      <c r="EZ196" t="str">
        <f t="shared" si="320"/>
        <v>QFD12</v>
      </c>
      <c r="FA196" t="str">
        <f t="shared" si="321"/>
        <v/>
      </c>
      <c r="FB196" t="str">
        <f t="shared" si="322"/>
        <v>ok</v>
      </c>
      <c r="FC196" t="str">
        <f>IF(OR(EV196="",ET196=""),"",IF(EV196&gt;IFERROR(VLOOKUP(EU196,Модули_спр,3,FALSE),99),"ЛИШНИЙ КАНАЛ",IF(AND(AJ196&lt;&gt;"=",COUNTIFS(Линии[_модуль гр.],ET196,Линии[Канал (итог)],EV196,Линии[Канал],"&lt;&gt;=",Линии[Щит],A196)&gt;1),"ДУБЛЬ КАНАЛА","")))</f>
        <v/>
      </c>
      <c r="FD196">
        <f t="shared" si="323"/>
        <v>16</v>
      </c>
      <c r="FE196" t="str">
        <f t="shared" si="324"/>
        <v>2P С16А 30мА</v>
      </c>
      <c r="FF196">
        <f t="shared" si="325"/>
        <v>1</v>
      </c>
      <c r="FG196">
        <f t="shared" si="326"/>
        <v>30</v>
      </c>
      <c r="FH196" t="str">
        <f t="shared" si="327"/>
        <v/>
      </c>
      <c r="FI196">
        <f t="shared" si="328"/>
        <v>10</v>
      </c>
      <c r="FJ196" t="str">
        <f t="shared" si="329"/>
        <v/>
      </c>
      <c r="FK196" t="str">
        <f>IF(AND(D196="",EZ196=""),"",_xlfn.TEXTJOIN("; ",TRUE,IF(AND(D196&lt;&gt;"",DD196=""),"нет фазы",""),IF(AND(D196&lt;&gt;"",N(DT196)=0,CN196&lt;&gt;"Нет"),"нет мощности",""),IF(AND(EY196&lt;&gt;"",COUNTIFS(Линии[Щит],A196,Линии[Клемма (итог)],EY196)&gt;1),"дубль клеммы "&amp;EY196,""),IF(AND(FB196&lt;&gt;"",FB196&lt;&gt;"ok"),FB196,""),IF(FC196&lt;&gt;"",FC196,""),IF(AND(ISNUMBER(SEARCH("(5х",DS196)),N(DV196)=1),"5 жил на 1 фазе",""),IF(AND(AT196="R",AD196&lt;&gt;"",OR(N(EH196)=0,N(EH196)&gt;30)),"розетка без дифзащиты до 30 мА",""),IFERROR(IF(AND(ISNUMBER(CD196),CD196&gt;CE196),"потери "&amp;FIXED(CD196,1)&amp;" % &gt; "&amp;CE196&amp;" %",""),""),IFERROR(IF(LEFT(FJ196,4)="мало","Iкз мало — отключение &gt; 0,4 с",""),""),IF(AND(D196&lt;&gt;"",BD196=""),"не на схеме","")))</f>
        <v/>
      </c>
      <c r="FL196">
        <f>IF(AD196="","",_xlfn.LET(_xlpm.t,IFERROR(_xlfn.XLOOKUP(EP196,Каталог!$U$4:$U$500,Каталог!$G$4:$G$500),""),_xlpm.k,SEARCH("кА",_xlpm.t),IFERROR(--TRIM(RIGHT(SUBSTITUTE(MID(_xlpm.t,MAX(1,_xlpm.k-4),_xlpm.k-MAX(1,_xlpm.k-4))," ",REPT(" ",9)),5)),"")))</f>
        <v>6</v>
      </c>
      <c r="FM196" t="str">
        <f>IF(OR(FL196="",AD196=""),"",IF(_xlfn.XLOOKUP(A196,Щиты[Щит],Щиты[Iкз max на шинах, кА],"")="","",IF(FL196&lt;_xlfn.XLOOKUP(A196,Щиты[Щит],Щиты[Iкз max на шинах, кА]),"Icu "&amp;FL196&amp;" кА &lt; Iкз max","ok")))</f>
        <v/>
      </c>
      <c r="FN196" t="str">
        <f t="shared" si="330"/>
        <v>QFD12</v>
      </c>
      <c r="FO196" t="str">
        <f t="shared" si="331"/>
        <v>QFD12|кабель ВВГнг(А)-LS (3х2,5) → Розеточная группа Цокольный этаж Пом. №004Б Стиральная машина</v>
      </c>
      <c r="FP196" t="str" cm="1">
        <f t="array" ref="FP196">IF(FO196="","",_xlfn.LET(_xlpm.nd,_xlfn.TEXTSPLIT(FO196,"|"),IF(COLUMNS(_xlpm.nd)&gt;1,A196&amp;"¦"&amp;INDEX(_xlpm.nd,1)&amp;"¦"&amp;INDEX(_xlpm.nd,2),"")))</f>
        <v>ЩР-01¦QFD12¦кабель ВВГнг(А)-LS (3х2,5) → Розеточная группа Цокольный этаж Пом. №004Б Стиральная машина</v>
      </c>
      <c r="FQ196" t="str">
        <f t="shared" si="332"/>
        <v>R.0.004Б.3¦Розеточная группа Цокольный этаж Пом. №004Б Стиральная машина</v>
      </c>
      <c r="FR196" t="str" cm="1">
        <f t="array" ref="FR196">IF(FO196="","",_xlfn.LET(_xlpm.nd,_xlfn.TEXTSPLIT(FO196,"|"),IF(COLUMNS(_xlpm.nd)&gt;2,A196&amp;"¦"&amp;INDEX(_xlpm.nd,2)&amp;"¦"&amp;INDEX(_xlpm.nd,3),"")))</f>
        <v/>
      </c>
      <c r="FS196" t="str">
        <f t="shared" si="333"/>
        <v/>
      </c>
      <c r="FT196" t="str" cm="1">
        <f t="array" ref="FT196">IF(FO196="","",_xlfn.LET(_xlpm.nd,_xlfn.TEXTSPLIT(FO196,"|"),IF(COLUMNS(_xlpm.nd)&gt;3,A196&amp;"¦"&amp;INDEX(_xlpm.nd,3)&amp;"¦"&amp;INDEX(_xlpm.nd,4),"")))</f>
        <v/>
      </c>
      <c r="FU196" t="str">
        <f t="shared" si="334"/>
        <v/>
      </c>
      <c r="FV196" t="str" cm="1">
        <f t="array" ref="FV196">IF(FO196="","",_xlfn.LET(_xlpm.nd,_xlfn.TEXTSPLIT(FO196,"|"),IF(COLUMNS(_xlpm.nd)&gt;4,A196&amp;"¦"&amp;INDEX(_xlpm.nd,4)&amp;"¦"&amp;INDEX(_xlpm.nd,5),"")))</f>
        <v/>
      </c>
      <c r="FW196" t="str">
        <f t="shared" si="335"/>
        <v/>
      </c>
      <c r="FX196" t="str" cm="1">
        <f t="array" ref="FX196">IF(FO196="","",_xlfn.LET(_xlpm.nd,_xlfn.TEXTSPLIT(FO196,"|"),IF(COLUMNS(_xlpm.nd)&gt;5,A196&amp;"¦"&amp;INDEX(_xlpm.nd,5)&amp;"¦"&amp;INDEX(_xlpm.nd,6),"")))</f>
        <v/>
      </c>
      <c r="FY196" t="str">
        <f t="shared" si="336"/>
        <v/>
      </c>
      <c r="FZ196" t="str" cm="1">
        <f t="array" ref="FZ196">IF(FO196="","",_xlfn.LET(_xlpm.nd,_xlfn.TEXTSPLIT(FO196,"|"),IF(COLUMNS(_xlpm.nd)&gt;6,A196&amp;"¦"&amp;INDEX(_xlpm.nd,6)&amp;"¦"&amp;INDEX(_xlpm.nd,7),"")))</f>
        <v/>
      </c>
      <c r="GA196" t="str">
        <f t="shared" si="337"/>
        <v/>
      </c>
      <c r="GB196" t="str">
        <f t="shared" si="338"/>
        <v/>
      </c>
      <c r="GC196" t="str">
        <f t="shared" si="339"/>
        <v>QFD12</v>
      </c>
      <c r="GD196">
        <f t="shared" si="340"/>
        <v>1</v>
      </c>
      <c r="GE196">
        <f t="shared" si="341"/>
        <v>0</v>
      </c>
      <c r="GF196">
        <f t="shared" si="342"/>
        <v>1</v>
      </c>
      <c r="GG196" t="str">
        <f t="shared" si="343"/>
        <v/>
      </c>
      <c r="GH196" t="str">
        <f t="shared" si="344"/>
        <v/>
      </c>
      <c r="GI196" t="str">
        <f t="shared" si="345"/>
        <v/>
      </c>
      <c r="GJ196" t="str">
        <f t="shared" si="346"/>
        <v/>
      </c>
      <c r="GK196" t="str">
        <f>IF(D196="","",IFERROR(VLOOKUP(D196,УГО_спр,2,FALSE),IFERROR(VLOOKUP(AT196,УГО_спр,2,FALSE),IFERROR(VLOOKUP(LEFT(AT196,2),УГО_спр,2,FALSE),""))))</f>
        <v>Розетка</v>
      </c>
      <c r="GL196" t="str">
        <f>IF(D196="","",IF(OR(GK196="",GK196=0),"BOX",IFERROR(IF(VLOOKUP(GK196,УГО_блоки,3,FALSE)&amp;""&lt;&gt;"",VLOOKUP(GK196,УГО_блоки,3,FALSE),VLOOKUP(GK196,УГО_блоки,2,FALSE)),GK196)))</f>
        <v>SOCKET</v>
      </c>
      <c r="GM196">
        <f t="shared" si="347"/>
        <v>1</v>
      </c>
      <c r="GN196" t="str">
        <f>IF(EP196="","",IF(COUNTIF(EP$3:EP196,EP196)=1,MAX(GN$2:GN195)+1,""))</f>
        <v/>
      </c>
      <c r="GO196" t="str">
        <f>IF(AF196="","",IF(COUNTIF(AF$3:AF196,AF196)+COUNTIF(AG$2:AG195,AF196)+COUNTIF(AH$2:AH195,AF196)=1,MAX(GO$2:GQ195)+1,""))</f>
        <v/>
      </c>
      <c r="GP196" t="str">
        <f>IF(AG196="","",IF(COUNTIF(AF$3:AF196,AG196)+COUNTIF(AG$3:AG196,AG196)+COUNTIF(AH$2:AH195,AG196)=1,MAX(GO$2:GQ195,GO196)+1,""))</f>
        <v/>
      </c>
      <c r="GQ196" t="str">
        <f>IF(AH196="","",IF(COUNTIF(AF$3:AF196,AH196)+COUNTIF(AG$3:AG196,AH196)+COUNTIF(AH$3:AH196,AH196)=1,MAX(GO$2:GQ195,GO196,GP196)+1,""))</f>
        <v/>
      </c>
      <c r="GR196" t="str">
        <f t="shared" si="348"/>
        <v>3х2,5</v>
      </c>
      <c r="GS196" t="str">
        <f>IF(GR196="","",IF(COUNTIF(GR$3:GR196,GR196)=1,MAX(GS$2:GS195)+1,""))</f>
        <v/>
      </c>
      <c r="GT196" t="str">
        <f>IF(ES196="","",COUNTIF(ES$3:ES196,"?*"))</f>
        <v/>
      </c>
      <c r="GU196" t="str">
        <f>IF(OR(ES196="",EU196=""),"",IF(COUNTIFS(ES$3:ES196,"?*",EU$3:EU196,EU196)=1,MAX(GU$2:GU195)+1,""))</f>
        <v/>
      </c>
      <c r="GV196">
        <f t="shared" si="349"/>
        <v>0</v>
      </c>
      <c r="GW196">
        <f>IF(D196="","",COUNTIF(D$3:D196,"?*"))</f>
        <v>194</v>
      </c>
      <c r="GX196">
        <f>IF(EX196&lt;&gt;1,0,_xlfn.LET(_xlpm.k,MAX(IFERROR(--VLOOKUP(D196,УГО_спр,5,FALSE),0),IFERROR(--VLOOKUP(AT196,УГО_спр,5,FALSE),0),IFERROR(--VLOOKUP(LEFT(AT196,2),УГО_спр,5,FALSE),0)),IF(_xlpm.k&gt;0,_xlpm.k,IF(IFERROR(--LEFT(SUBSTITUTE(GR196,"x","х"),FIND("х",SUBSTITUTE(GR196,"x","х"))-1),3)&gt;3,Каталог!$S$9,1))))</f>
        <v>1</v>
      </c>
      <c r="GY196">
        <f t="shared" si="350"/>
        <v>0</v>
      </c>
    </row>
    <row r="197" spans="1:207" x14ac:dyDescent="0.3">
      <c r="A197" t="s">
        <v>760</v>
      </c>
      <c r="B197">
        <v>23</v>
      </c>
      <c r="C197" t="str">
        <f>IF(BD197="","",IF(BE197="вводной узел","узел ","")&amp;"л."&amp;(INT((BD197-1)/Столбцов_на_лист)+1)&amp;" / "&amp;(MOD(BD197-1,Столбцов_на_лист)+1))</f>
        <v>л.2 / 6</v>
      </c>
      <c r="D197" t="s">
        <v>1507</v>
      </c>
      <c r="E197" s="133" t="str">
        <f t="shared" ref="E195:E258" si="351">AY197</f>
        <v>Розеточная группа Цокольный этаж Пом. №006A</v>
      </c>
      <c r="G197">
        <v>0.18</v>
      </c>
      <c r="H197">
        <v>3</v>
      </c>
      <c r="I197">
        <v>1</v>
      </c>
      <c r="J197">
        <v>230</v>
      </c>
      <c r="K197" t="s">
        <v>566</v>
      </c>
      <c r="O197">
        <v>2</v>
      </c>
      <c r="P197">
        <v>46</v>
      </c>
      <c r="Q197">
        <v>15</v>
      </c>
      <c r="R197">
        <v>39</v>
      </c>
      <c r="S197">
        <v>7</v>
      </c>
      <c r="U197" t="s">
        <v>11</v>
      </c>
      <c r="V197">
        <v>3</v>
      </c>
      <c r="W197">
        <v>2.5</v>
      </c>
      <c r="Z197" t="s">
        <v>565</v>
      </c>
      <c r="AA197" t="s">
        <v>818</v>
      </c>
      <c r="AD197" t="s">
        <v>517</v>
      </c>
      <c r="AK197" t="s">
        <v>488</v>
      </c>
      <c r="AR197" t="str">
        <f t="shared" si="264"/>
        <v/>
      </c>
      <c r="AS197" cm="1">
        <f t="array" ref="AS197">ROW()-ROW(Линии[#Headers])</f>
        <v>195</v>
      </c>
      <c r="AT197" t="str">
        <f t="shared" si="265"/>
        <v>R</v>
      </c>
      <c r="AU197" t="str">
        <f t="shared" si="266"/>
        <v>0.006A.1</v>
      </c>
      <c r="AV197" t="str">
        <f t="shared" si="267"/>
        <v>0</v>
      </c>
      <c r="AW197" t="str">
        <f t="shared" si="268"/>
        <v>006A.1</v>
      </c>
      <c r="AX197" t="str">
        <f t="shared" si="269"/>
        <v>006A</v>
      </c>
      <c r="AY197" t="str">
        <f>IF(D197="","",IF(ISERROR(SEARCH(".",D197)),IFERROR(VLOOKUP(D197,Потребители_обозначение,2,FALSE)&amp;"",""),IFERROR(IF(VLOOKUP(AT197,Потребители_обозначение,4,FALSE)=1,VLOOKUP(AT197,Потребители_обозначение,2,FALSE)&amp;" "&amp;VLOOKUP(AV197,Этаж_обозначение,2,FALSE)&amp;" Пом. №"&amp;AX197,VLOOKUP(AT197,Потребители_обозначение,2,FALSE)&amp;" Шлейф №"&amp;AV197),IFERROR(VLOOKUP(D197,Потребители_обозначение,2,FALSE),""))))</f>
        <v>Розеточная группа Цокольный этаж Пом. №006A</v>
      </c>
      <c r="AZ197" t="str">
        <f t="shared" si="270"/>
        <v>Розеточная группа Цокольный этаж Пом. №006A</v>
      </c>
      <c r="BA197" t="str">
        <f>IF(F197&lt;&gt;"",F197,IF(AND(D197&lt;&gt;"",D197&lt;&gt;A197,ISNUMBER(_xlfn.XMATCH(D197,Щиты[Щит]))),D197,""))</f>
        <v/>
      </c>
      <c r="BB197">
        <f>IFERROR(_xlfn.XMATCH(A197,Щиты[Щит]),0)</f>
        <v>9</v>
      </c>
      <c r="BC197">
        <f>IFERROR(N(_xlfn.XLOOKUP(A197,Щиты[Щит],Щиты[Мест под вводной узел])),15)</f>
        <v>8</v>
      </c>
      <c r="BD197">
        <f t="shared" si="271"/>
        <v>23</v>
      </c>
      <c r="BE197" t="str">
        <f t="shared" si="272"/>
        <v>линии</v>
      </c>
      <c r="BF197">
        <f>IF(D197="","",IF(BA197&lt;&gt;"",IFERROR(_xlfn.XLOOKUP(BA197,Щиты[Щит],Щиты[Руст, кВт]),0),N(G197)))</f>
        <v>0.18</v>
      </c>
      <c r="BG197">
        <f>IF(J197&lt;&gt;"",J197,IF(D197="","",IFERROR(IF(VLOOKUP(AT197,Потребители_обозначение,8,FALSE)=0,"",VLOOKUP(AT197,Потребители_обозначение,8,FALSE)),"")))</f>
        <v>230</v>
      </c>
      <c r="BH197">
        <f>IF(I197&lt;&gt;"",I197,IF(D197="","",IFERROR(IF(VLOOKUP(AT197,Потребители_обозначение,9,FALSE)=0,"",VLOOKUP(AT197,Потребители_обозначение,9,FALSE)),"")))</f>
        <v>1</v>
      </c>
      <c r="BI197" t="str">
        <f>IF(U197&lt;&gt;"",U197,IF(D197="","",IFERROR(IF(VLOOKUP(AT197,Потребители_обозначение,6,FALSE)=0,"",VLOOKUP(AT197,Потребители_обозначение,6,FALSE)),"")))</f>
        <v>мс</v>
      </c>
      <c r="BJ197">
        <f>IF(V197&lt;&gt;"",V197,IF(D197="","",IFERROR(IF(VLOOKUP(AT197,Потребители_обозначение,7,FALSE)=0,"",VLOOKUP(AT197,Потребители_обозначение,7,FALSE)),"")))</f>
        <v>3</v>
      </c>
      <c r="BK197">
        <f>IF(W197&lt;&gt;"",W197,IF(D197="","",IFERROR(IF(VLOOKUP(AT197,Потребители_обозначение,10,FALSE)=0,"",VLOOKUP(AT197,Потребители_обозначение,10,FALSE)),"")))</f>
        <v>2.5</v>
      </c>
      <c r="BL197">
        <f>IFERROR(VLOOKUP(AT197,Потребители_обозначение,5,FALSE),0)</f>
        <v>1</v>
      </c>
      <c r="BM197" cm="1">
        <f t="array" ref="BM197">IF(D197="","",IF(BA197&lt;&gt;"",IFERROR(_xlfn.XLOOKUP(BA197,Щиты[Щит],Щиты[cos φ]),0.95),IF(ISNUMBER(M197),M197,IFERROR(IF(BL197=2,_xlfn.IFS(BH197=3,VLOOKUP(BF197,Справочная_двигатели,8,FALSE),BH197=1,VLOOKUP(BF197,Справочная_двигатели,10,TRUE)),IF(AND(Методика="нормы 2026",CN197="Сил"),0.8,0.95)),0.95))))</f>
        <v>0.95</v>
      </c>
      <c r="BN197" cm="1">
        <f t="array" ref="BN197">IF(D197="","",IF(BA197&lt;&gt;"",IFERROR(_xlfn.XLOOKUP(BA197,Щиты[Щит],Щиты[Iр, А]),""),IFERROR(_xlfn.IFS(BH197=1,BF197/((Uн_лин/SQRT(3))*BM197),BH197=3,BF197/(SQRT(3)*Uн_лин*BM197)),"")))</f>
        <v>0.8204451193747313</v>
      </c>
      <c r="BO197">
        <f>IF(D197="","",IF(N(X197)=0,IFERROR(VLOOKUP(BN197,Автомат_номиналы,2,TRUE),""),X197))</f>
        <v>6</v>
      </c>
      <c r="BP197">
        <f t="shared" si="273"/>
        <v>1</v>
      </c>
      <c r="BQ197">
        <f>IF(ISNUMBER(Y197),Y197,К_прокл)</f>
        <v>1</v>
      </c>
      <c r="BR197">
        <f t="shared" si="274"/>
        <v>2</v>
      </c>
      <c r="BS197" cm="1">
        <f t="array" ref="BS197">IF(D197="","",IF(N(BK197)&lt;&gt;0,BK197,IFERROR(_xlfn.LET(_xlpm.need,BO197/(BP197*BQ197),_xlpm.t,CHOOSE(BR197,Iдоп_1ж,Iдоп_2ж,Iдоп_3ж),_xlpm.k,_xlfn.XMATCH(_xlpm.need,_xlpm.t,1),IF(ISNA(_xlpm.k),"Не исп",INDEX(Iдоп_S,_xlpm.k))),"Не исп")))</f>
        <v>2.5</v>
      </c>
      <c r="BT197">
        <f>IFERROR(VLOOKUP(BS197,Кабель_сопротивление,3,FALSE),"")</f>
        <v>2.2499999999999999E-2</v>
      </c>
      <c r="BU197">
        <f>IFERROR(VLOOKUP(BS197,Кабель_сопротивление,2,FALSE),"")</f>
        <v>0.1</v>
      </c>
      <c r="BV197">
        <f t="shared" si="275"/>
        <v>46</v>
      </c>
      <c r="BW197">
        <f>IF(D197="","",IFERROR(IF(VLOOKUP(AT197,Потребители_обозначение,4,FALSE)=1,VLOOKUP(AT197,Потребители_обозначение,3,FALSE)*(H197*2-1)+BV197+VLOOKUP(AV197,Этаж_обозначение,3,FALSE)+VLOOKUP(AV197,Этаж_обозначение,4,FALSE),VLOOKUP(AT197,Потребители_обозначение,3,FALSE)*(H197*2-1)+BV197),BV197))</f>
        <v>61</v>
      </c>
      <c r="BX197">
        <f t="shared" si="276"/>
        <v>39</v>
      </c>
      <c r="BY197">
        <f t="shared" si="277"/>
        <v>7</v>
      </c>
      <c r="BZ197">
        <f t="shared" si="278"/>
        <v>2</v>
      </c>
      <c r="CA197">
        <f t="shared" si="279"/>
        <v>0.31</v>
      </c>
      <c r="CB197">
        <f t="shared" si="280"/>
        <v>0.85890922746125753</v>
      </c>
      <c r="CC197">
        <f>IFERROR(ROUNDUP(CB197/((Uн_лин/SQRT(3))*1000)*100,2),"")</f>
        <v>0.38</v>
      </c>
      <c r="CD197">
        <f>IF(ISNUMBER(CC197),CC197+IFERROR(_xlfn.XLOOKUP(A197,Щиты[Щит],Щиты[ΔU до шин, %]),0),"")</f>
        <v>0.81</v>
      </c>
      <c r="CE197">
        <f>IF(D197="","",IF(IFERROR(VLOOKUP(AT197,УГО_спр,2,FALSE),"")="Светильник",3,4)+IF(Методика="нормы 2026",MIN(0.5,MAX(0,N(BW197)-100)*0.005),0))</f>
        <v>4</v>
      </c>
      <c r="CF197" t="str">
        <f>IFERROR(VLOOKUP(BI197,Кабель_обозначение,2,FALSE),"")</f>
        <v>ВВГнг(А)-LS</v>
      </c>
      <c r="CG197" t="str">
        <f>IFERROR(IF(VLOOKUP(BI197,Кабель_обозначение,3,FALSE)=1,CF197&amp;" ("&amp;BJ197&amp;"х"&amp;BS197&amp;")",CF197),"")</f>
        <v>ВВГнг(А)-LS (3х2,5)</v>
      </c>
      <c r="CH197" t="str">
        <f t="shared" si="281"/>
        <v>ВВГнг(А)-LS (3х2,5)
L=61-0,38%</v>
      </c>
      <c r="CI197">
        <f>IFERROR(2*ρкз_Cu*BW197/BS197,"")</f>
        <v>1.2834400000000001</v>
      </c>
      <c r="CJ197">
        <f t="shared" si="282"/>
        <v>0.42700000000000005</v>
      </c>
      <c r="CK197" t="str">
        <f>IFERROR(IF(OR(D197="",NOT(ISNUMBER(BS197)),N(BW197)=0),"",_xlfn.XLOOKUP(A197,Щиты[Щит],Щиты[Zпетли на шинах, Ом])+CI197),"")</f>
        <v/>
      </c>
      <c r="CL197" t="str">
        <f>IF(ISNUMBER(CK197),c_min*(Uн_лин*1000/SQRT(3))/CK197,"")</f>
        <v/>
      </c>
      <c r="CM197" t="str">
        <f>IFERROR(IF(OR(D197="",NOT(ISNUMBER(BS197))),"",1.05*(Uн_лин*1000/SQRT(3))/(_xlfn.XLOOKUP(A197,Щиты[Щит],Щиты[Zmax на шинах, Ом])+CJ197)/1000),"")</f>
        <v/>
      </c>
      <c r="CN197" t="str">
        <f>IF(D197="","",IF(BA197&lt;&gt;"","Щит",IF(K197&lt;&gt;"",K197,IF(ISNUMBER(L197),"Сил",IF(IFERROR(_xlfn.XLOOKUP(AT197,Коды_код,Коды_группа)&amp;"","")="","Быт",_xlfn.XLOOKUP(AT197,Коды_код,Коды_группа)&amp;"")))))</f>
        <v>Быт</v>
      </c>
      <c r="CO197">
        <f>IF(CN197="Щит","щит",IF(CN197="","",IF(CN197="Быт",IFERROR(_xlfn.XLOOKUP(A197,Щиты[Щит],Щиты[Кс быт]),1),IF(CN197="Сил",IF(ISNUMBER(L197),L197,IF(Методика="нормы 2026",IFERROR(_xlfn.XLOOKUP(A197,Щиты[Щит],Щиты[Кс силовых (табл. 7.5)]),1),1)),IF(OR(CN197="Пост",CN197="Отоп"),1,IF(CN197="ВНГ",0.7,0))))))</f>
        <v>0.79799999999999993</v>
      </c>
      <c r="CP197">
        <f t="shared" si="283"/>
        <v>1</v>
      </c>
      <c r="CQ197">
        <f t="shared" si="284"/>
        <v>0.18</v>
      </c>
      <c r="CR197">
        <f t="shared" si="285"/>
        <v>0.18</v>
      </c>
      <c r="CS197">
        <f t="shared" si="286"/>
        <v>0</v>
      </c>
      <c r="CT197">
        <f t="shared" si="287"/>
        <v>0</v>
      </c>
      <c r="CU197">
        <f t="shared" si="288"/>
        <v>0</v>
      </c>
      <c r="CV197">
        <f t="shared" si="289"/>
        <v>0</v>
      </c>
      <c r="CW197">
        <f t="shared" si="290"/>
        <v>0.18</v>
      </c>
      <c r="CX197">
        <f t="shared" si="291"/>
        <v>0.17099999999999999</v>
      </c>
      <c r="CY197">
        <f t="shared" si="292"/>
        <v>1</v>
      </c>
      <c r="CZ197" t="str">
        <f t="shared" si="293"/>
        <v>L1</v>
      </c>
      <c r="DA197" cm="1">
        <f t="array" ref="DA197">IFERROR(IF(BL197=2,_xlfn.IFS(BH197=3,VLOOKUP(BF197,Справочная_двигатели,3,FALSE),BH197=1,VLOOKUP(BF197,Справочная_двигатели,5,TRUE)),0),0)</f>
        <v>0</v>
      </c>
      <c r="DB197">
        <f>IFERROR(IF(BL197=3,VLOOKUP(BF197,Справочная_ЛЭД,2,TRUE),0),0)</f>
        <v>0</v>
      </c>
      <c r="DC197">
        <f t="shared" si="294"/>
        <v>0</v>
      </c>
      <c r="DD197" t="str">
        <f t="shared" si="295"/>
        <v>L2</v>
      </c>
      <c r="DE197" t="str" cm="1">
        <f t="array" ref="DE197">IF(D197="","",IFERROR(INDEX({"I особая","I","II","III"},MATCH(TRIM(AA197&amp;""),{"I особая","I","II","III"},0)),"III"))</f>
        <v>II</v>
      </c>
      <c r="DF197" t="str">
        <f>IF(D197="","",IF(TRIM(AB197&amp;"")&lt;&gt;"",IF(LOWER(TRIM(AB197&amp;""))="да","да","нет"),IF(IFERROR(_xlfn.XLOOKUP(AT197,Коды_код,Коды_пожарная),"")="да","да","нет")))</f>
        <v>нет</v>
      </c>
      <c r="DG197" t="str">
        <f t="shared" si="296"/>
        <v/>
      </c>
      <c r="DH197" t="str">
        <f t="shared" si="297"/>
        <v>основная</v>
      </c>
      <c r="DI197">
        <f t="shared" si="298"/>
        <v>1</v>
      </c>
      <c r="DJ197" t="str" cm="1">
        <f t="array" ref="DJ197">IF(D197="","",_xlfn.LET(_xlpm.t,IFERROR(_xlfn.XLOOKUP(1,(Шины[Шина]=DH197)*(((Шины[Щит]=A197)+(Шины[Щит]=""))&gt;0),Шины[Тип]),"")&amp;"",IF(_xlpm.t&lt;&gt;"",_xlpm.t,IF(ISNUMBER(SEARCH("ИБП",DH197)),"ИБП",IF(ISNUMBER(SEARCH("ДГУ",DH197)),"ДГУ","Ввод "&amp;DI197)))))</f>
        <v>Ввод 1</v>
      </c>
      <c r="DK197" t="str">
        <f t="shared" si="299"/>
        <v>Ввод 1</v>
      </c>
      <c r="DL197" t="str">
        <f>IF(D197="","",IF(OR(DJ197="ИБП",DJ197="ДГУ"),"I особая",IF(DJ197="Одиночная","III",_xlfn.XLOOKUP(A197,Щиты[Щит],Щиты[Категория шины «Ввод»],"III"))))</f>
        <v>II</v>
      </c>
      <c r="DM197">
        <f>IF(D197="",0,IFERROR(MATCH(DE197,{"III","II","I","I особая"},0),1))</f>
        <v>2</v>
      </c>
      <c r="DN197">
        <f t="shared" si="300"/>
        <v>2</v>
      </c>
      <c r="DO197" t="str">
        <f>IF(D197="","",IF(DM197&gt;IFERROR(MATCH(DL197,{"III","II","I","I особая"},0),1),"НЕ ОБЕСПЕЧЕНА","ОК"))</f>
        <v>ОК</v>
      </c>
      <c r="DP197" t="str">
        <f>IF(A197="","",_xlfn.XLOOKUP(A197,Щиты[Щит],Щиты[Путь],""))</f>
        <v>|ГРЩ-ЖД|ЩР-01|</v>
      </c>
      <c r="DQ197" t="str">
        <f>IF(D197="","",IF(Z197&lt;&gt;"",Z197,IF(IFERROR(_xlfn.XLOOKUP(AT197,Коды_код,Коды_вид)&amp;"","")="","Прочее",_xlfn.XLOOKUP(AT197,Коды_код,Коды_вид)&amp;"")))</f>
        <v>Розеточная сеть и бытовые приборы</v>
      </c>
      <c r="DR197">
        <f>IF(BD197="","",INT((BD197-1)/Столбцов_на_лист)+1)</f>
        <v>2</v>
      </c>
      <c r="DS197" t="str">
        <f t="shared" si="301"/>
        <v>ВВГнг(А)-LS (3х2,5) L=61-0,38%</v>
      </c>
      <c r="DT197">
        <f t="shared" si="302"/>
        <v>0.18</v>
      </c>
      <c r="DU197">
        <f t="shared" si="303"/>
        <v>0.83</v>
      </c>
      <c r="DV197">
        <f t="shared" si="304"/>
        <v>1</v>
      </c>
      <c r="DW197">
        <f>IF(AT197="",0,_xlfn.LET(_xlpm.v,IFERROR(VLOOKUP(D197,УГО_спр,3,FALSE),IFERROR(VLOOKUP(AT197,УГО_спр,3,FALSE),IFERROR(VLOOKUP(LEFT(AT197,2),УГО_спр,3,FALSE),""))),IF(_xlpm.v="да",30,IF(ISNUMBER(_xlpm.v),_xlpm.v,0))))</f>
        <v>30</v>
      </c>
      <c r="DX197">
        <f t="shared" si="305"/>
        <v>0</v>
      </c>
      <c r="DY197">
        <f>IF(BD197="","",IF(AD197&lt;&gt;"",COUNTIFS(A$3:A197,A197,AD$3:AD197,"?*"),IF(OR(OR(AS197=1,A197&lt;&gt;A196),AL197="вручную"),"",IF(AS197=1,"",DZ196))))</f>
        <v>13</v>
      </c>
      <c r="DZ197">
        <f t="shared" si="306"/>
        <v>13</v>
      </c>
      <c r="EA197">
        <f>IF(D197="",0,MAX(IFERROR(--X197,0),IFERROR(--VLOOKUP(D197,УГО_спр,4,FALSE),IFERROR(--VLOOKUP(AT197,УГО_спр,4,FALSE),IFERROR(--VLOOKUP(LEFT(AT197,2),УГО_спр,4,FALSE),0)))))</f>
        <v>16</v>
      </c>
      <c r="EB197">
        <f>IF(D197="","",IFERROR(LOOKUP(INDEX(CHOOSE(BR197,Iдоп_1ж,Iдоп_2ж,Iдоп_3ж),MATCH(BS197,Iдоп_S,0))*BP197*BQ197,{6,10,16,20,25,32,40,50,63,80,100,125,160,200,250,315,400,500,630}),""))</f>
        <v>25</v>
      </c>
      <c r="EC197">
        <f>IF(AD197="","",SUMIFS(Линии[_Ток схемы],Линии[_гр.],DY197,Линии[Щит],A197,Линии[_в кабель выше],0))</f>
        <v>0.83</v>
      </c>
      <c r="ED197">
        <f>IF(AD197="","",IFERROR(VLOOKUP(EC197,Автомат_номиналы,2,TRUE),""))</f>
        <v>6</v>
      </c>
      <c r="EE197">
        <f>IF(AD197="","",MAX(N(ED197),_xlfn.MAXIFS(Линии[_мин. по типу],Линии[_гр.],DY197,Линии[Щит],A197)))</f>
        <v>16</v>
      </c>
      <c r="EF197">
        <f>IF(AD197="","",_xlfn.MINIFS(Линии[_макс. автомат по кабелю],Линии[_гр.],DY197,Линии[Щит],A197))</f>
        <v>25</v>
      </c>
      <c r="EG197">
        <f>IF(AD197="","",MAX(1,_xlfn.MAXIFS(Линии[_фаз],Линии[_гр.],DY197,Линии[Щит],A197)))</f>
        <v>1</v>
      </c>
      <c r="EH197">
        <f>IF(AD197="","",IF(AND(AD197&lt;&gt;"авто",AD197&lt;&gt;"+"),IF(ISNUMBER(SEARCH("мА",AD197)),IFERROR(--TRIM(RIGHT(SUBSTITUTE(LEFT(AD197,SEARCH("мА",AD197)-1)," ",REPT(" ",9)),6)),30),0),IF(AE197="нет",0,IF(ISNUMBER(AE197),AE197,IF(AE197="да",30,_xlfn.MINIFS(Линии[_дифзащита по коду, мА],Линии[_гр.],DY197,Линии[Щит],A197,Линии[_дифзащита по коду, мА],"&gt;0"))))))</f>
        <v>30</v>
      </c>
      <c r="EI197">
        <f t="shared" si="307"/>
        <v>1</v>
      </c>
      <c r="EJ197" t="str">
        <f t="shared" si="308"/>
        <v>QFD13</v>
      </c>
      <c r="EK197" t="str">
        <f t="shared" si="309"/>
        <v>QFD13</v>
      </c>
      <c r="EL197" t="str">
        <f t="shared" si="310"/>
        <v/>
      </c>
      <c r="EM197">
        <f t="shared" si="311"/>
        <v>0</v>
      </c>
      <c r="EN197">
        <f>IF(AD197="","",IF(EM197=1,MAX(EE197,Мин_автомат_БП),EE197))</f>
        <v>16</v>
      </c>
      <c r="EO197" t="str">
        <f t="shared" si="312"/>
        <v>2P</v>
      </c>
      <c r="EP197" t="str">
        <f t="shared" si="313"/>
        <v>2P С16А 30мА</v>
      </c>
      <c r="EQ197">
        <f t="shared" si="314"/>
        <v>16</v>
      </c>
      <c r="ER197" t="str">
        <f>IF(OR(AI197="",AI197="-"),"",IFERROR(VLOOKUP(AI197,Модули_спр,2,FALSE),"R"))</f>
        <v/>
      </c>
      <c r="ES197" t="str">
        <f>IF(ER197="","",ER197&amp;"."&amp;COUNTIFS(A$3:A197,A197,ER$3:ER197,ER197))</f>
        <v/>
      </c>
      <c r="ET197" t="str">
        <f t="shared" si="315"/>
        <v/>
      </c>
      <c r="EU197" t="str">
        <f t="shared" si="316"/>
        <v/>
      </c>
      <c r="EV197" t="str">
        <f t="shared" si="317"/>
        <v/>
      </c>
      <c r="EW197" t="str">
        <f t="shared" si="318"/>
        <v/>
      </c>
      <c r="EX197">
        <f t="shared" si="319"/>
        <v>1</v>
      </c>
      <c r="EY197" t="str">
        <f>IF(AK197="нет","",IF(AK197&lt;&gt;"",AK197,IF(EX197=1,"XT"&amp;COUNTIFS(A$3:A197,A197,EX$3:EX197,1),"")))</f>
        <v/>
      </c>
      <c r="EZ197" t="str">
        <f t="shared" si="320"/>
        <v>QFD13</v>
      </c>
      <c r="FA197" t="str">
        <f t="shared" si="321"/>
        <v/>
      </c>
      <c r="FB197" t="str">
        <f t="shared" si="322"/>
        <v>ok</v>
      </c>
      <c r="FC197" t="str">
        <f>IF(OR(EV197="",ET197=""),"",IF(EV197&gt;IFERROR(VLOOKUP(EU197,Модули_спр,3,FALSE),99),"ЛИШНИЙ КАНАЛ",IF(AND(AJ197&lt;&gt;"=",COUNTIFS(Линии[_модуль гр.],ET197,Линии[Канал (итог)],EV197,Линии[Канал],"&lt;&gt;=",Линии[Щит],A197)&gt;1),"ДУБЛЬ КАНАЛА","")))</f>
        <v/>
      </c>
      <c r="FD197">
        <f t="shared" si="323"/>
        <v>16</v>
      </c>
      <c r="FE197" t="str">
        <f t="shared" si="324"/>
        <v>2P С16А 30мА</v>
      </c>
      <c r="FF197">
        <f t="shared" si="325"/>
        <v>1</v>
      </c>
      <c r="FG197">
        <f t="shared" si="326"/>
        <v>30</v>
      </c>
      <c r="FH197" t="str">
        <f t="shared" si="327"/>
        <v/>
      </c>
      <c r="FI197">
        <f t="shared" si="328"/>
        <v>10</v>
      </c>
      <c r="FJ197" t="str">
        <f t="shared" si="329"/>
        <v/>
      </c>
      <c r="FK197" t="str">
        <f>IF(AND(D197="",EZ197=""),"",_xlfn.TEXTJOIN("; ",TRUE,IF(AND(D197&lt;&gt;"",DD197=""),"нет фазы",""),IF(AND(D197&lt;&gt;"",N(DT197)=0,CN197&lt;&gt;"Нет"),"нет мощности",""),IF(AND(EY197&lt;&gt;"",COUNTIFS(Линии[Щит],A197,Линии[Клемма (итог)],EY197)&gt;1),"дубль клеммы "&amp;EY197,""),IF(AND(FB197&lt;&gt;"",FB197&lt;&gt;"ok"),FB197,""),IF(FC197&lt;&gt;"",FC197,""),IF(AND(ISNUMBER(SEARCH("(5х",DS197)),N(DV197)=1),"5 жил на 1 фазе",""),IF(AND(AT197="R",AD197&lt;&gt;"",OR(N(EH197)=0,N(EH197)&gt;30)),"розетка без дифзащиты до 30 мА",""),IFERROR(IF(AND(ISNUMBER(CD197),CD197&gt;CE197),"потери "&amp;FIXED(CD197,1)&amp;" % &gt; "&amp;CE197&amp;" %",""),""),IFERROR(IF(LEFT(FJ197,4)="мало","Iкз мало — отключение &gt; 0,4 с",""),""),IF(AND(D197&lt;&gt;"",BD197=""),"не на схеме","")))</f>
        <v/>
      </c>
      <c r="FL197">
        <f>IF(AD197="","",_xlfn.LET(_xlpm.t,IFERROR(_xlfn.XLOOKUP(EP197,Каталог!$U$4:$U$500,Каталог!$G$4:$G$500),""),_xlpm.k,SEARCH("кА",_xlpm.t),IFERROR(--TRIM(RIGHT(SUBSTITUTE(MID(_xlpm.t,MAX(1,_xlpm.k-4),_xlpm.k-MAX(1,_xlpm.k-4))," ",REPT(" ",9)),5)),"")))</f>
        <v>6</v>
      </c>
      <c r="FM197" t="str">
        <f>IF(OR(FL197="",AD197=""),"",IF(_xlfn.XLOOKUP(A197,Щиты[Щит],Щиты[Iкз max на шинах, кА],"")="","",IF(FL197&lt;_xlfn.XLOOKUP(A197,Щиты[Щит],Щиты[Iкз max на шинах, кА]),"Icu "&amp;FL197&amp;" кА &lt; Iкз max","ok")))</f>
        <v/>
      </c>
      <c r="FN197" t="str">
        <f t="shared" si="330"/>
        <v>QFD13</v>
      </c>
      <c r="FO197" t="str">
        <f t="shared" si="331"/>
        <v>QFD13|кабель ВВГнг(А)-LS (3х2,5) → Розеточная группа Цокольный этаж Пом. №006A</v>
      </c>
      <c r="FP197" t="str" cm="1">
        <f t="array" ref="FP197">IF(FO197="","",_xlfn.LET(_xlpm.nd,_xlfn.TEXTSPLIT(FO197,"|"),IF(COLUMNS(_xlpm.nd)&gt;1,A197&amp;"¦"&amp;INDEX(_xlpm.nd,1)&amp;"¦"&amp;INDEX(_xlpm.nd,2),"")))</f>
        <v>ЩР-01¦QFD13¦кабель ВВГнг(А)-LS (3х2,5) → Розеточная группа Цокольный этаж Пом. №006A</v>
      </c>
      <c r="FQ197" t="str">
        <f t="shared" si="332"/>
        <v>R.0.006A.1¦Розеточная группа Цокольный этаж Пом. №006A</v>
      </c>
      <c r="FR197" t="str" cm="1">
        <f t="array" ref="FR197">IF(FO197="","",_xlfn.LET(_xlpm.nd,_xlfn.TEXTSPLIT(FO197,"|"),IF(COLUMNS(_xlpm.nd)&gt;2,A197&amp;"¦"&amp;INDEX(_xlpm.nd,2)&amp;"¦"&amp;INDEX(_xlpm.nd,3),"")))</f>
        <v/>
      </c>
      <c r="FS197" t="str">
        <f t="shared" si="333"/>
        <v/>
      </c>
      <c r="FT197" t="str" cm="1">
        <f t="array" ref="FT197">IF(FO197="","",_xlfn.LET(_xlpm.nd,_xlfn.TEXTSPLIT(FO197,"|"),IF(COLUMNS(_xlpm.nd)&gt;3,A197&amp;"¦"&amp;INDEX(_xlpm.nd,3)&amp;"¦"&amp;INDEX(_xlpm.nd,4),"")))</f>
        <v/>
      </c>
      <c r="FU197" t="str">
        <f t="shared" si="334"/>
        <v/>
      </c>
      <c r="FV197" t="str" cm="1">
        <f t="array" ref="FV197">IF(FO197="","",_xlfn.LET(_xlpm.nd,_xlfn.TEXTSPLIT(FO197,"|"),IF(COLUMNS(_xlpm.nd)&gt;4,A197&amp;"¦"&amp;INDEX(_xlpm.nd,4)&amp;"¦"&amp;INDEX(_xlpm.nd,5),"")))</f>
        <v/>
      </c>
      <c r="FW197" t="str">
        <f t="shared" si="335"/>
        <v/>
      </c>
      <c r="FX197" t="str" cm="1">
        <f t="array" ref="FX197">IF(FO197="","",_xlfn.LET(_xlpm.nd,_xlfn.TEXTSPLIT(FO197,"|"),IF(COLUMNS(_xlpm.nd)&gt;5,A197&amp;"¦"&amp;INDEX(_xlpm.nd,5)&amp;"¦"&amp;INDEX(_xlpm.nd,6),"")))</f>
        <v/>
      </c>
      <c r="FY197" t="str">
        <f t="shared" si="336"/>
        <v/>
      </c>
      <c r="FZ197" t="str" cm="1">
        <f t="array" ref="FZ197">IF(FO197="","",_xlfn.LET(_xlpm.nd,_xlfn.TEXTSPLIT(FO197,"|"),IF(COLUMNS(_xlpm.nd)&gt;6,A197&amp;"¦"&amp;INDEX(_xlpm.nd,6)&amp;"¦"&amp;INDEX(_xlpm.nd,7),"")))</f>
        <v/>
      </c>
      <c r="GA197" t="str">
        <f t="shared" si="337"/>
        <v/>
      </c>
      <c r="GB197" t="str">
        <f t="shared" si="338"/>
        <v/>
      </c>
      <c r="GC197" t="str">
        <f t="shared" si="339"/>
        <v>QFD13</v>
      </c>
      <c r="GD197">
        <f t="shared" si="340"/>
        <v>1</v>
      </c>
      <c r="GE197">
        <f t="shared" si="341"/>
        <v>0</v>
      </c>
      <c r="GF197">
        <f t="shared" si="342"/>
        <v>1</v>
      </c>
      <c r="GG197" t="str">
        <f t="shared" si="343"/>
        <v/>
      </c>
      <c r="GH197" t="str">
        <f t="shared" si="344"/>
        <v/>
      </c>
      <c r="GI197" t="str">
        <f t="shared" si="345"/>
        <v/>
      </c>
      <c r="GJ197" t="str">
        <f t="shared" si="346"/>
        <v/>
      </c>
      <c r="GK197" t="str">
        <f>IF(D197="","",IFERROR(VLOOKUP(D197,УГО_спр,2,FALSE),IFERROR(VLOOKUP(AT197,УГО_спр,2,FALSE),IFERROR(VLOOKUP(LEFT(AT197,2),УГО_спр,2,FALSE),""))))</f>
        <v>Розетка</v>
      </c>
      <c r="GL197" t="str">
        <f>IF(D197="","",IF(OR(GK197="",GK197=0),"BOX",IFERROR(IF(VLOOKUP(GK197,УГО_блоки,3,FALSE)&amp;""&lt;&gt;"",VLOOKUP(GK197,УГО_блоки,3,FALSE),VLOOKUP(GK197,УГО_блоки,2,FALSE)),GK197)))</f>
        <v>SOCKET</v>
      </c>
      <c r="GM197">
        <f t="shared" si="347"/>
        <v>1</v>
      </c>
      <c r="GN197" t="str">
        <f>IF(EP197="","",IF(COUNTIF(EP$3:EP197,EP197)=1,MAX(GN$2:GN196)+1,""))</f>
        <v/>
      </c>
      <c r="GO197" t="str">
        <f>IF(AF197="","",IF(COUNTIF(AF$3:AF197,AF197)+COUNTIF(AG$2:AG196,AF197)+COUNTIF(AH$2:AH196,AF197)=1,MAX(GO$2:GQ196)+1,""))</f>
        <v/>
      </c>
      <c r="GP197" t="str">
        <f>IF(AG197="","",IF(COUNTIF(AF$3:AF197,AG197)+COUNTIF(AG$3:AG197,AG197)+COUNTIF(AH$2:AH196,AG197)=1,MAX(GO$2:GQ196,GO197)+1,""))</f>
        <v/>
      </c>
      <c r="GQ197" t="str">
        <f>IF(AH197="","",IF(COUNTIF(AF$3:AF197,AH197)+COUNTIF(AG$3:AG197,AH197)+COUNTIF(AH$3:AH197,AH197)=1,MAX(GO$2:GQ196,GO197,GP197)+1,""))</f>
        <v/>
      </c>
      <c r="GR197" t="str">
        <f t="shared" si="348"/>
        <v>3х2,5</v>
      </c>
      <c r="GS197" t="str">
        <f>IF(GR197="","",IF(COUNTIF(GR$3:GR197,GR197)=1,MAX(GS$2:GS196)+1,""))</f>
        <v/>
      </c>
      <c r="GT197" t="str">
        <f>IF(ES197="","",COUNTIF(ES$3:ES197,"?*"))</f>
        <v/>
      </c>
      <c r="GU197" t="str">
        <f>IF(OR(ES197="",EU197=""),"",IF(COUNTIFS(ES$3:ES197,"?*",EU$3:EU197,EU197)=1,MAX(GU$2:GU196)+1,""))</f>
        <v/>
      </c>
      <c r="GV197">
        <f t="shared" si="349"/>
        <v>0</v>
      </c>
      <c r="GW197">
        <f>IF(D197="","",COUNTIF(D$3:D197,"?*"))</f>
        <v>195</v>
      </c>
      <c r="GX197">
        <f>IF(EX197&lt;&gt;1,0,_xlfn.LET(_xlpm.k,MAX(IFERROR(--VLOOKUP(D197,УГО_спр,5,FALSE),0),IFERROR(--VLOOKUP(AT197,УГО_спр,5,FALSE),0),IFERROR(--VLOOKUP(LEFT(AT197,2),УГО_спр,5,FALSE),0)),IF(_xlpm.k&gt;0,_xlpm.k,IF(IFERROR(--LEFT(SUBSTITUTE(GR197,"x","х"),FIND("х",SUBSTITUTE(GR197,"x","х"))-1),3)&gt;3,Каталог!$S$9,1))))</f>
        <v>1</v>
      </c>
      <c r="GY197">
        <f t="shared" si="350"/>
        <v>0</v>
      </c>
    </row>
    <row r="198" spans="1:207" x14ac:dyDescent="0.3">
      <c r="A198" t="s">
        <v>760</v>
      </c>
      <c r="B198">
        <v>24</v>
      </c>
      <c r="C198" t="str">
        <f>IF(BD198="","",IF(BE198="вводной узел","узел ","")&amp;"л."&amp;(INT((BD198-1)/Столбцов_на_лист)+1)&amp;" / "&amp;(MOD(BD198-1,Столбцов_на_лист)+1))</f>
        <v>л.2 / 7</v>
      </c>
      <c r="D198" t="s">
        <v>1508</v>
      </c>
      <c r="E198" s="133" t="str">
        <f t="shared" si="351"/>
        <v>Розеточная группа Цокольный этаж Пом. №007A</v>
      </c>
      <c r="G198">
        <v>0.12</v>
      </c>
      <c r="H198">
        <v>2</v>
      </c>
      <c r="I198">
        <v>1</v>
      </c>
      <c r="J198">
        <v>230</v>
      </c>
      <c r="K198" t="s">
        <v>566</v>
      </c>
      <c r="O198">
        <v>2</v>
      </c>
      <c r="P198">
        <v>20</v>
      </c>
      <c r="Q198">
        <v>7</v>
      </c>
      <c r="R198">
        <v>22</v>
      </c>
      <c r="S198">
        <v>0</v>
      </c>
      <c r="U198" t="s">
        <v>11</v>
      </c>
      <c r="V198">
        <v>3</v>
      </c>
      <c r="W198">
        <v>2.5</v>
      </c>
      <c r="Z198" t="s">
        <v>565</v>
      </c>
      <c r="AA198" t="s">
        <v>818</v>
      </c>
      <c r="AD198" t="s">
        <v>517</v>
      </c>
      <c r="AK198" t="s">
        <v>488</v>
      </c>
      <c r="AR198" t="str">
        <f t="shared" si="264"/>
        <v/>
      </c>
      <c r="AS198" cm="1">
        <f t="array" ref="AS198">ROW()-ROW(Линии[#Headers])</f>
        <v>196</v>
      </c>
      <c r="AT198" t="str">
        <f t="shared" si="265"/>
        <v>R</v>
      </c>
      <c r="AU198" t="str">
        <f t="shared" si="266"/>
        <v>0.007A.1</v>
      </c>
      <c r="AV198" t="str">
        <f t="shared" si="267"/>
        <v>0</v>
      </c>
      <c r="AW198" t="str">
        <f t="shared" si="268"/>
        <v>007A.1</v>
      </c>
      <c r="AX198" t="str">
        <f t="shared" si="269"/>
        <v>007A</v>
      </c>
      <c r="AY198" t="str">
        <f>IF(D198="","",IF(ISERROR(SEARCH(".",D198)),IFERROR(VLOOKUP(D198,Потребители_обозначение,2,FALSE)&amp;"",""),IFERROR(IF(VLOOKUP(AT198,Потребители_обозначение,4,FALSE)=1,VLOOKUP(AT198,Потребители_обозначение,2,FALSE)&amp;" "&amp;VLOOKUP(AV198,Этаж_обозначение,2,FALSE)&amp;" Пом. №"&amp;AX198,VLOOKUP(AT198,Потребители_обозначение,2,FALSE)&amp;" Шлейф №"&amp;AV198),IFERROR(VLOOKUP(D198,Потребители_обозначение,2,FALSE),""))))</f>
        <v>Розеточная группа Цокольный этаж Пом. №007A</v>
      </c>
      <c r="AZ198" t="str">
        <f t="shared" si="270"/>
        <v>Розеточная группа Цокольный этаж Пом. №007A</v>
      </c>
      <c r="BA198" t="str">
        <f>IF(F198&lt;&gt;"",F198,IF(AND(D198&lt;&gt;"",D198&lt;&gt;A198,ISNUMBER(_xlfn.XMATCH(D198,Щиты[Щит]))),D198,""))</f>
        <v/>
      </c>
      <c r="BB198">
        <f>IFERROR(_xlfn.XMATCH(A198,Щиты[Щит]),0)</f>
        <v>9</v>
      </c>
      <c r="BC198">
        <f>IFERROR(N(_xlfn.XLOOKUP(A198,Щиты[Щит],Щиты[Мест под вводной узел])),15)</f>
        <v>8</v>
      </c>
      <c r="BD198">
        <f t="shared" si="271"/>
        <v>24</v>
      </c>
      <c r="BE198" t="str">
        <f t="shared" si="272"/>
        <v>линии</v>
      </c>
      <c r="BF198">
        <f>IF(D198="","",IF(BA198&lt;&gt;"",IFERROR(_xlfn.XLOOKUP(BA198,Щиты[Щит],Щиты[Руст, кВт]),0),N(G198)))</f>
        <v>0.12</v>
      </c>
      <c r="BG198">
        <f>IF(J198&lt;&gt;"",J198,IF(D198="","",IFERROR(IF(VLOOKUP(AT198,Потребители_обозначение,8,FALSE)=0,"",VLOOKUP(AT198,Потребители_обозначение,8,FALSE)),"")))</f>
        <v>230</v>
      </c>
      <c r="BH198">
        <f>IF(I198&lt;&gt;"",I198,IF(D198="","",IFERROR(IF(VLOOKUP(AT198,Потребители_обозначение,9,FALSE)=0,"",VLOOKUP(AT198,Потребители_обозначение,9,FALSE)),"")))</f>
        <v>1</v>
      </c>
      <c r="BI198" t="str">
        <f>IF(U198&lt;&gt;"",U198,IF(D198="","",IFERROR(IF(VLOOKUP(AT198,Потребители_обозначение,6,FALSE)=0,"",VLOOKUP(AT198,Потребители_обозначение,6,FALSE)),"")))</f>
        <v>мс</v>
      </c>
      <c r="BJ198">
        <f>IF(V198&lt;&gt;"",V198,IF(D198="","",IFERROR(IF(VLOOKUP(AT198,Потребители_обозначение,7,FALSE)=0,"",VLOOKUP(AT198,Потребители_обозначение,7,FALSE)),"")))</f>
        <v>3</v>
      </c>
      <c r="BK198">
        <f>IF(W198&lt;&gt;"",W198,IF(D198="","",IFERROR(IF(VLOOKUP(AT198,Потребители_обозначение,10,FALSE)=0,"",VLOOKUP(AT198,Потребители_обозначение,10,FALSE)),"")))</f>
        <v>2.5</v>
      </c>
      <c r="BL198">
        <f>IFERROR(VLOOKUP(AT198,Потребители_обозначение,5,FALSE),0)</f>
        <v>1</v>
      </c>
      <c r="BM198" cm="1">
        <f t="array" ref="BM198">IF(D198="","",IF(BA198&lt;&gt;"",IFERROR(_xlfn.XLOOKUP(BA198,Щиты[Щит],Щиты[cos φ]),0.95),IF(ISNUMBER(M198),M198,IFERROR(IF(BL198=2,_xlfn.IFS(BH198=3,VLOOKUP(BF198,Справочная_двигатели,8,FALSE),BH198=1,VLOOKUP(BF198,Справочная_двигатели,10,TRUE)),IF(AND(Методика="нормы 2026",CN198="Сил"),0.8,0.95)),0.95))))</f>
        <v>0.95</v>
      </c>
      <c r="BN198" cm="1">
        <f t="array" ref="BN198">IF(D198="","",IF(BA198&lt;&gt;"",IFERROR(_xlfn.XLOOKUP(BA198,Щиты[Щит],Щиты[Iр, А]),""),IFERROR(_xlfn.IFS(BH198=1,BF198/((Uн_лин/SQRT(3))*BM198),BH198=3,BF198/(SQRT(3)*Uн_лин*BM198)),"")))</f>
        <v>0.54696341291648753</v>
      </c>
      <c r="BO198">
        <f>IF(D198="","",IF(N(X198)=0,IFERROR(VLOOKUP(BN198,Автомат_номиналы,2,TRUE),""),X198))</f>
        <v>6</v>
      </c>
      <c r="BP198">
        <f t="shared" si="273"/>
        <v>1</v>
      </c>
      <c r="BQ198">
        <f>IF(ISNUMBER(Y198),Y198,К_прокл)</f>
        <v>1</v>
      </c>
      <c r="BR198">
        <f t="shared" si="274"/>
        <v>2</v>
      </c>
      <c r="BS198" cm="1">
        <f t="array" ref="BS198">IF(D198="","",IF(N(BK198)&lt;&gt;0,BK198,IFERROR(_xlfn.LET(_xlpm.need,BO198/(BP198*BQ198),_xlpm.t,CHOOSE(BR198,Iдоп_1ж,Iдоп_2ж,Iдоп_3ж),_xlpm.k,_xlfn.XMATCH(_xlpm.need,_xlpm.t,1),IF(ISNA(_xlpm.k),"Не исп",INDEX(Iдоп_S,_xlpm.k))),"Не исп")))</f>
        <v>2.5</v>
      </c>
      <c r="BT198">
        <f>IFERROR(VLOOKUP(BS198,Кабель_сопротивление,3,FALSE),"")</f>
        <v>2.2499999999999999E-2</v>
      </c>
      <c r="BU198">
        <f>IFERROR(VLOOKUP(BS198,Кабель_сопротивление,2,FALSE),"")</f>
        <v>0.1</v>
      </c>
      <c r="BV198">
        <f t="shared" si="275"/>
        <v>20</v>
      </c>
      <c r="BW198">
        <f>IF(D198="","",IFERROR(IF(VLOOKUP(AT198,Потребители_обозначение,4,FALSE)=1,VLOOKUP(AT198,Потребители_обозначение,3,FALSE)*(H198*2-1)+BV198+VLOOKUP(AV198,Этаж_обозначение,3,FALSE)+VLOOKUP(AV198,Этаж_обозначение,4,FALSE),VLOOKUP(AT198,Потребители_обозначение,3,FALSE)*(H198*2-1)+BV198),BV198))</f>
        <v>29</v>
      </c>
      <c r="BX198">
        <f t="shared" si="276"/>
        <v>22</v>
      </c>
      <c r="BY198">
        <f t="shared" si="277"/>
        <v>0</v>
      </c>
      <c r="BZ198">
        <f t="shared" si="278"/>
        <v>2</v>
      </c>
      <c r="CA198">
        <f t="shared" si="279"/>
        <v>0.31</v>
      </c>
      <c r="CB198">
        <f t="shared" si="280"/>
        <v>0.27222259668171001</v>
      </c>
      <c r="CC198">
        <f>IFERROR(ROUNDUP(CB198/((Uн_лин/SQRT(3))*1000)*100,2),"")</f>
        <v>0.12</v>
      </c>
      <c r="CD198">
        <f>IF(ISNUMBER(CC198),CC198+IFERROR(_xlfn.XLOOKUP(A198,Щиты[Щит],Щиты[ΔU до шин, %]),0),"")</f>
        <v>0.55000000000000004</v>
      </c>
      <c r="CE198">
        <f>IF(D198="","",IF(IFERROR(VLOOKUP(AT198,УГО_спр,2,FALSE),"")="Светильник",3,4)+IF(Методика="нормы 2026",MIN(0.5,MAX(0,N(BW198)-100)*0.005),0))</f>
        <v>4</v>
      </c>
      <c r="CF198" t="str">
        <f>IFERROR(VLOOKUP(BI198,Кабель_обозначение,2,FALSE),"")</f>
        <v>ВВГнг(А)-LS</v>
      </c>
      <c r="CG198" t="str">
        <f>IFERROR(IF(VLOOKUP(BI198,Кабель_обозначение,3,FALSE)=1,CF198&amp;" ("&amp;BJ198&amp;"х"&amp;BS198&amp;")",CF198),"")</f>
        <v>ВВГнг(А)-LS (3х2,5)</v>
      </c>
      <c r="CH198" t="str">
        <f t="shared" si="281"/>
        <v>ВВГнг(А)-LS (3х2,5)
L=29-0,12%</v>
      </c>
      <c r="CI198">
        <f>IFERROR(2*ρкз_Cu*BW198/BS198,"")</f>
        <v>0.61016000000000004</v>
      </c>
      <c r="CJ198">
        <f t="shared" si="282"/>
        <v>0.20300000000000001</v>
      </c>
      <c r="CK198" t="str">
        <f>IFERROR(IF(OR(D198="",NOT(ISNUMBER(BS198)),N(BW198)=0),"",_xlfn.XLOOKUP(A198,Щиты[Щит],Щиты[Zпетли на шинах, Ом])+CI198),"")</f>
        <v/>
      </c>
      <c r="CL198" t="str">
        <f>IF(ISNUMBER(CK198),c_min*(Uн_лин*1000/SQRT(3))/CK198,"")</f>
        <v/>
      </c>
      <c r="CM198" t="str">
        <f>IFERROR(IF(OR(D198="",NOT(ISNUMBER(BS198))),"",1.05*(Uн_лин*1000/SQRT(3))/(_xlfn.XLOOKUP(A198,Щиты[Щит],Щиты[Zmax на шинах, Ом])+CJ198)/1000),"")</f>
        <v/>
      </c>
      <c r="CN198" t="str">
        <f>IF(D198="","",IF(BA198&lt;&gt;"","Щит",IF(K198&lt;&gt;"",K198,IF(ISNUMBER(L198),"Сил",IF(IFERROR(_xlfn.XLOOKUP(AT198,Коды_код,Коды_группа)&amp;"","")="","Быт",_xlfn.XLOOKUP(AT198,Коды_код,Коды_группа)&amp;"")))))</f>
        <v>Быт</v>
      </c>
      <c r="CO198">
        <f>IF(CN198="Щит","щит",IF(CN198="","",IF(CN198="Быт",IFERROR(_xlfn.XLOOKUP(A198,Щиты[Щит],Щиты[Кс быт]),1),IF(CN198="Сил",IF(ISNUMBER(L198),L198,IF(Методика="нормы 2026",IFERROR(_xlfn.XLOOKUP(A198,Щиты[Щит],Щиты[Кс силовых (табл. 7.5)]),1),1)),IF(OR(CN198="Пост",CN198="Отоп"),1,IF(CN198="ВНГ",0.7,0))))))</f>
        <v>0.79799999999999993</v>
      </c>
      <c r="CP198">
        <f t="shared" si="283"/>
        <v>1</v>
      </c>
      <c r="CQ198">
        <f t="shared" si="284"/>
        <v>0.12</v>
      </c>
      <c r="CR198">
        <f t="shared" si="285"/>
        <v>0.12</v>
      </c>
      <c r="CS198">
        <f t="shared" si="286"/>
        <v>0</v>
      </c>
      <c r="CT198">
        <f t="shared" si="287"/>
        <v>0</v>
      </c>
      <c r="CU198">
        <f t="shared" si="288"/>
        <v>0</v>
      </c>
      <c r="CV198">
        <f t="shared" si="289"/>
        <v>0</v>
      </c>
      <c r="CW198">
        <f t="shared" si="290"/>
        <v>0.12</v>
      </c>
      <c r="CX198">
        <f t="shared" si="291"/>
        <v>0.11399999999999999</v>
      </c>
      <c r="CY198">
        <f t="shared" si="292"/>
        <v>2</v>
      </c>
      <c r="CZ198" t="str">
        <f t="shared" si="293"/>
        <v>L2</v>
      </c>
      <c r="DA198" cm="1">
        <f t="array" ref="DA198">IFERROR(IF(BL198=2,_xlfn.IFS(BH198=3,VLOOKUP(BF198,Справочная_двигатели,3,FALSE),BH198=1,VLOOKUP(BF198,Справочная_двигатели,5,TRUE)),0),0)</f>
        <v>0</v>
      </c>
      <c r="DB198">
        <f>IFERROR(IF(BL198=3,VLOOKUP(BF198,Справочная_ЛЭД,2,TRUE),0),0)</f>
        <v>0</v>
      </c>
      <c r="DC198">
        <f t="shared" si="294"/>
        <v>0</v>
      </c>
      <c r="DD198" t="str">
        <f t="shared" si="295"/>
        <v>L2</v>
      </c>
      <c r="DE198" t="str" cm="1">
        <f t="array" ref="DE198">IF(D198="","",IFERROR(INDEX({"I особая","I","II","III"},MATCH(TRIM(AA198&amp;""),{"I особая","I","II","III"},0)),"III"))</f>
        <v>II</v>
      </c>
      <c r="DF198" t="str">
        <f>IF(D198="","",IF(TRIM(AB198&amp;"")&lt;&gt;"",IF(LOWER(TRIM(AB198&amp;""))="да","да","нет"),IF(IFERROR(_xlfn.XLOOKUP(AT198,Коды_код,Коды_пожарная),"")="да","да","нет")))</f>
        <v>нет</v>
      </c>
      <c r="DG198" t="str">
        <f t="shared" si="296"/>
        <v/>
      </c>
      <c r="DH198" t="str">
        <f t="shared" si="297"/>
        <v>основная</v>
      </c>
      <c r="DI198">
        <f t="shared" si="298"/>
        <v>1</v>
      </c>
      <c r="DJ198" t="str" cm="1">
        <f t="array" ref="DJ198">IF(D198="","",_xlfn.LET(_xlpm.t,IFERROR(_xlfn.XLOOKUP(1,(Шины[Шина]=DH198)*(((Шины[Щит]=A198)+(Шины[Щит]=""))&gt;0),Шины[Тип]),"")&amp;"",IF(_xlpm.t&lt;&gt;"",_xlpm.t,IF(ISNUMBER(SEARCH("ИБП",DH198)),"ИБП",IF(ISNUMBER(SEARCH("ДГУ",DH198)),"ДГУ","Ввод "&amp;DI198)))))</f>
        <v>Ввод 1</v>
      </c>
      <c r="DK198" t="str">
        <f t="shared" si="299"/>
        <v>Ввод 1</v>
      </c>
      <c r="DL198" t="str">
        <f>IF(D198="","",IF(OR(DJ198="ИБП",DJ198="ДГУ"),"I особая",IF(DJ198="Одиночная","III",_xlfn.XLOOKUP(A198,Щиты[Щит],Щиты[Категория шины «Ввод»],"III"))))</f>
        <v>II</v>
      </c>
      <c r="DM198">
        <f>IF(D198="",0,IFERROR(MATCH(DE198,{"III","II","I","I особая"},0),1))</f>
        <v>2</v>
      </c>
      <c r="DN198">
        <f t="shared" si="300"/>
        <v>2</v>
      </c>
      <c r="DO198" t="str">
        <f>IF(D198="","",IF(DM198&gt;IFERROR(MATCH(DL198,{"III","II","I","I особая"},0),1),"НЕ ОБЕСПЕЧЕНА","ОК"))</f>
        <v>ОК</v>
      </c>
      <c r="DP198" t="str">
        <f>IF(A198="","",_xlfn.XLOOKUP(A198,Щиты[Щит],Щиты[Путь],""))</f>
        <v>|ГРЩ-ЖД|ЩР-01|</v>
      </c>
      <c r="DQ198" t="str">
        <f>IF(D198="","",IF(Z198&lt;&gt;"",Z198,IF(IFERROR(_xlfn.XLOOKUP(AT198,Коды_код,Коды_вид)&amp;"","")="","Прочее",_xlfn.XLOOKUP(AT198,Коды_код,Коды_вид)&amp;"")))</f>
        <v>Розеточная сеть и бытовые приборы</v>
      </c>
      <c r="DR198">
        <f>IF(BD198="","",INT((BD198-1)/Столбцов_на_лист)+1)</f>
        <v>2</v>
      </c>
      <c r="DS198" t="str">
        <f t="shared" si="301"/>
        <v>ВВГнг(А)-LS (3х2,5) L=29-0,12%</v>
      </c>
      <c r="DT198">
        <f t="shared" si="302"/>
        <v>0.12</v>
      </c>
      <c r="DU198">
        <f t="shared" si="303"/>
        <v>0.55000000000000004</v>
      </c>
      <c r="DV198">
        <f t="shared" si="304"/>
        <v>1</v>
      </c>
      <c r="DW198">
        <f>IF(AT198="",0,_xlfn.LET(_xlpm.v,IFERROR(VLOOKUP(D198,УГО_спр,3,FALSE),IFERROR(VLOOKUP(AT198,УГО_спр,3,FALSE),IFERROR(VLOOKUP(LEFT(AT198,2),УГО_спр,3,FALSE),""))),IF(_xlpm.v="да",30,IF(ISNUMBER(_xlpm.v),_xlpm.v,0))))</f>
        <v>30</v>
      </c>
      <c r="DX198">
        <f t="shared" si="305"/>
        <v>0</v>
      </c>
      <c r="DY198">
        <f>IF(BD198="","",IF(AD198&lt;&gt;"",COUNTIFS(A$3:A198,A198,AD$3:AD198,"?*"),IF(OR(OR(AS198=1,A198&lt;&gt;A197),AL198="вручную"),"",IF(AS198=1,"",DZ197))))</f>
        <v>14</v>
      </c>
      <c r="DZ198">
        <f t="shared" si="306"/>
        <v>14</v>
      </c>
      <c r="EA198">
        <f>IF(D198="",0,MAX(IFERROR(--X198,0),IFERROR(--VLOOKUP(D198,УГО_спр,4,FALSE),IFERROR(--VLOOKUP(AT198,УГО_спр,4,FALSE),IFERROR(--VLOOKUP(LEFT(AT198,2),УГО_спр,4,FALSE),0)))))</f>
        <v>16</v>
      </c>
      <c r="EB198">
        <f>IF(D198="","",IFERROR(LOOKUP(INDEX(CHOOSE(BR198,Iдоп_1ж,Iдоп_2ж,Iдоп_3ж),MATCH(BS198,Iдоп_S,0))*BP198*BQ198,{6,10,16,20,25,32,40,50,63,80,100,125,160,200,250,315,400,500,630}),""))</f>
        <v>25</v>
      </c>
      <c r="EC198">
        <f>IF(AD198="","",SUMIFS(Линии[_Ток схемы],Линии[_гр.],DY198,Линии[Щит],A198,Линии[_в кабель выше],0))</f>
        <v>0.55000000000000004</v>
      </c>
      <c r="ED198">
        <f>IF(AD198="","",IFERROR(VLOOKUP(EC198,Автомат_номиналы,2,TRUE),""))</f>
        <v>6</v>
      </c>
      <c r="EE198">
        <f>IF(AD198="","",MAX(N(ED198),_xlfn.MAXIFS(Линии[_мин. по типу],Линии[_гр.],DY198,Линии[Щит],A198)))</f>
        <v>16</v>
      </c>
      <c r="EF198">
        <f>IF(AD198="","",_xlfn.MINIFS(Линии[_макс. автомат по кабелю],Линии[_гр.],DY198,Линии[Щит],A198))</f>
        <v>25</v>
      </c>
      <c r="EG198">
        <f>IF(AD198="","",MAX(1,_xlfn.MAXIFS(Линии[_фаз],Линии[_гр.],DY198,Линии[Щит],A198)))</f>
        <v>1</v>
      </c>
      <c r="EH198">
        <f>IF(AD198="","",IF(AND(AD198&lt;&gt;"авто",AD198&lt;&gt;"+"),IF(ISNUMBER(SEARCH("мА",AD198)),IFERROR(--TRIM(RIGHT(SUBSTITUTE(LEFT(AD198,SEARCH("мА",AD198)-1)," ",REPT(" ",9)),6)),30),0),IF(AE198="нет",0,IF(ISNUMBER(AE198),AE198,IF(AE198="да",30,_xlfn.MINIFS(Линии[_дифзащита по коду, мА],Линии[_гр.],DY198,Линии[Щит],A198,Линии[_дифзащита по коду, мА],"&gt;0"))))))</f>
        <v>30</v>
      </c>
      <c r="EI198">
        <f t="shared" si="307"/>
        <v>1</v>
      </c>
      <c r="EJ198" t="str">
        <f t="shared" si="308"/>
        <v>QFD14</v>
      </c>
      <c r="EK198" t="str">
        <f t="shared" si="309"/>
        <v>QFD14</v>
      </c>
      <c r="EL198" t="str">
        <f t="shared" si="310"/>
        <v/>
      </c>
      <c r="EM198">
        <f t="shared" si="311"/>
        <v>0</v>
      </c>
      <c r="EN198">
        <f>IF(AD198="","",IF(EM198=1,MAX(EE198,Мин_автомат_БП),EE198))</f>
        <v>16</v>
      </c>
      <c r="EO198" t="str">
        <f t="shared" si="312"/>
        <v>2P</v>
      </c>
      <c r="EP198" t="str">
        <f t="shared" si="313"/>
        <v>2P С16А 30мА</v>
      </c>
      <c r="EQ198">
        <f t="shared" si="314"/>
        <v>16</v>
      </c>
      <c r="ER198" t="str">
        <f>IF(OR(AI198="",AI198="-"),"",IFERROR(VLOOKUP(AI198,Модули_спр,2,FALSE),"R"))</f>
        <v/>
      </c>
      <c r="ES198" t="str">
        <f>IF(ER198="","",ER198&amp;"."&amp;COUNTIFS(A$3:A198,A198,ER$3:ER198,ER198))</f>
        <v/>
      </c>
      <c r="ET198" t="str">
        <f t="shared" si="315"/>
        <v/>
      </c>
      <c r="EU198" t="str">
        <f t="shared" si="316"/>
        <v/>
      </c>
      <c r="EV198" t="str">
        <f t="shared" si="317"/>
        <v/>
      </c>
      <c r="EW198" t="str">
        <f t="shared" si="318"/>
        <v/>
      </c>
      <c r="EX198">
        <f t="shared" si="319"/>
        <v>1</v>
      </c>
      <c r="EY198" t="str">
        <f>IF(AK198="нет","",IF(AK198&lt;&gt;"",AK198,IF(EX198=1,"XT"&amp;COUNTIFS(A$3:A198,A198,EX$3:EX198,1),"")))</f>
        <v/>
      </c>
      <c r="EZ198" t="str">
        <f t="shared" si="320"/>
        <v>QFD14</v>
      </c>
      <c r="FA198" t="str">
        <f t="shared" si="321"/>
        <v/>
      </c>
      <c r="FB198" t="str">
        <f t="shared" si="322"/>
        <v>ok</v>
      </c>
      <c r="FC198" t="str">
        <f>IF(OR(EV198="",ET198=""),"",IF(EV198&gt;IFERROR(VLOOKUP(EU198,Модули_спр,3,FALSE),99),"ЛИШНИЙ КАНАЛ",IF(AND(AJ198&lt;&gt;"=",COUNTIFS(Линии[_модуль гр.],ET198,Линии[Канал (итог)],EV198,Линии[Канал],"&lt;&gt;=",Линии[Щит],A198)&gt;1),"ДУБЛЬ КАНАЛА","")))</f>
        <v/>
      </c>
      <c r="FD198">
        <f t="shared" si="323"/>
        <v>16</v>
      </c>
      <c r="FE198" t="str">
        <f t="shared" si="324"/>
        <v>2P С16А 30мА</v>
      </c>
      <c r="FF198">
        <f t="shared" si="325"/>
        <v>1</v>
      </c>
      <c r="FG198">
        <f t="shared" si="326"/>
        <v>30</v>
      </c>
      <c r="FH198" t="str">
        <f t="shared" si="327"/>
        <v/>
      </c>
      <c r="FI198">
        <f t="shared" si="328"/>
        <v>10</v>
      </c>
      <c r="FJ198" t="str">
        <f t="shared" si="329"/>
        <v/>
      </c>
      <c r="FK198" t="str">
        <f>IF(AND(D198="",EZ198=""),"",_xlfn.TEXTJOIN("; ",TRUE,IF(AND(D198&lt;&gt;"",DD198=""),"нет фазы",""),IF(AND(D198&lt;&gt;"",N(DT198)=0,CN198&lt;&gt;"Нет"),"нет мощности",""),IF(AND(EY198&lt;&gt;"",COUNTIFS(Линии[Щит],A198,Линии[Клемма (итог)],EY198)&gt;1),"дубль клеммы "&amp;EY198,""),IF(AND(FB198&lt;&gt;"",FB198&lt;&gt;"ok"),FB198,""),IF(FC198&lt;&gt;"",FC198,""),IF(AND(ISNUMBER(SEARCH("(5х",DS198)),N(DV198)=1),"5 жил на 1 фазе",""),IF(AND(AT198="R",AD198&lt;&gt;"",OR(N(EH198)=0,N(EH198)&gt;30)),"розетка без дифзащиты до 30 мА",""),IFERROR(IF(AND(ISNUMBER(CD198),CD198&gt;CE198),"потери "&amp;FIXED(CD198,1)&amp;" % &gt; "&amp;CE198&amp;" %",""),""),IFERROR(IF(LEFT(FJ198,4)="мало","Iкз мало — отключение &gt; 0,4 с",""),""),IF(AND(D198&lt;&gt;"",BD198=""),"не на схеме","")))</f>
        <v/>
      </c>
      <c r="FL198">
        <f>IF(AD198="","",_xlfn.LET(_xlpm.t,IFERROR(_xlfn.XLOOKUP(EP198,Каталог!$U$4:$U$500,Каталог!$G$4:$G$500),""),_xlpm.k,SEARCH("кА",_xlpm.t),IFERROR(--TRIM(RIGHT(SUBSTITUTE(MID(_xlpm.t,MAX(1,_xlpm.k-4),_xlpm.k-MAX(1,_xlpm.k-4))," ",REPT(" ",9)),5)),"")))</f>
        <v>6</v>
      </c>
      <c r="FM198" t="str">
        <f>IF(OR(FL198="",AD198=""),"",IF(_xlfn.XLOOKUP(A198,Щиты[Щит],Щиты[Iкз max на шинах, кА],"")="","",IF(FL198&lt;_xlfn.XLOOKUP(A198,Щиты[Щит],Щиты[Iкз max на шинах, кА]),"Icu "&amp;FL198&amp;" кА &lt; Iкз max","ok")))</f>
        <v/>
      </c>
      <c r="FN198" t="str">
        <f t="shared" si="330"/>
        <v>QFD14</v>
      </c>
      <c r="FO198" t="str">
        <f t="shared" si="331"/>
        <v>QFD14|кабель ВВГнг(А)-LS (3х2,5) → Розеточная группа Цокольный этаж Пом. №007A</v>
      </c>
      <c r="FP198" t="str" cm="1">
        <f t="array" ref="FP198">IF(FO198="","",_xlfn.LET(_xlpm.nd,_xlfn.TEXTSPLIT(FO198,"|"),IF(COLUMNS(_xlpm.nd)&gt;1,A198&amp;"¦"&amp;INDEX(_xlpm.nd,1)&amp;"¦"&amp;INDEX(_xlpm.nd,2),"")))</f>
        <v>ЩР-01¦QFD14¦кабель ВВГнг(А)-LS (3х2,5) → Розеточная группа Цокольный этаж Пом. №007A</v>
      </c>
      <c r="FQ198" t="str">
        <f t="shared" si="332"/>
        <v>R.0.007A.1¦Розеточная группа Цокольный этаж Пом. №007A</v>
      </c>
      <c r="FR198" t="str" cm="1">
        <f t="array" ref="FR198">IF(FO198="","",_xlfn.LET(_xlpm.nd,_xlfn.TEXTSPLIT(FO198,"|"),IF(COLUMNS(_xlpm.nd)&gt;2,A198&amp;"¦"&amp;INDEX(_xlpm.nd,2)&amp;"¦"&amp;INDEX(_xlpm.nd,3),"")))</f>
        <v/>
      </c>
      <c r="FS198" t="str">
        <f t="shared" si="333"/>
        <v/>
      </c>
      <c r="FT198" t="str" cm="1">
        <f t="array" ref="FT198">IF(FO198="","",_xlfn.LET(_xlpm.nd,_xlfn.TEXTSPLIT(FO198,"|"),IF(COLUMNS(_xlpm.nd)&gt;3,A198&amp;"¦"&amp;INDEX(_xlpm.nd,3)&amp;"¦"&amp;INDEX(_xlpm.nd,4),"")))</f>
        <v/>
      </c>
      <c r="FU198" t="str">
        <f t="shared" si="334"/>
        <v/>
      </c>
      <c r="FV198" t="str" cm="1">
        <f t="array" ref="FV198">IF(FO198="","",_xlfn.LET(_xlpm.nd,_xlfn.TEXTSPLIT(FO198,"|"),IF(COLUMNS(_xlpm.nd)&gt;4,A198&amp;"¦"&amp;INDEX(_xlpm.nd,4)&amp;"¦"&amp;INDEX(_xlpm.nd,5),"")))</f>
        <v/>
      </c>
      <c r="FW198" t="str">
        <f t="shared" si="335"/>
        <v/>
      </c>
      <c r="FX198" t="str" cm="1">
        <f t="array" ref="FX198">IF(FO198="","",_xlfn.LET(_xlpm.nd,_xlfn.TEXTSPLIT(FO198,"|"),IF(COLUMNS(_xlpm.nd)&gt;5,A198&amp;"¦"&amp;INDEX(_xlpm.nd,5)&amp;"¦"&amp;INDEX(_xlpm.nd,6),"")))</f>
        <v/>
      </c>
      <c r="FY198" t="str">
        <f t="shared" si="336"/>
        <v/>
      </c>
      <c r="FZ198" t="str" cm="1">
        <f t="array" ref="FZ198">IF(FO198="","",_xlfn.LET(_xlpm.nd,_xlfn.TEXTSPLIT(FO198,"|"),IF(COLUMNS(_xlpm.nd)&gt;6,A198&amp;"¦"&amp;INDEX(_xlpm.nd,6)&amp;"¦"&amp;INDEX(_xlpm.nd,7),"")))</f>
        <v/>
      </c>
      <c r="GA198" t="str">
        <f t="shared" si="337"/>
        <v/>
      </c>
      <c r="GB198" t="str">
        <f t="shared" si="338"/>
        <v/>
      </c>
      <c r="GC198" t="str">
        <f t="shared" si="339"/>
        <v>QFD14</v>
      </c>
      <c r="GD198">
        <f t="shared" si="340"/>
        <v>1</v>
      </c>
      <c r="GE198">
        <f t="shared" si="341"/>
        <v>0</v>
      </c>
      <c r="GF198">
        <f t="shared" si="342"/>
        <v>1</v>
      </c>
      <c r="GG198" t="str">
        <f t="shared" si="343"/>
        <v/>
      </c>
      <c r="GH198" t="str">
        <f t="shared" si="344"/>
        <v/>
      </c>
      <c r="GI198" t="str">
        <f t="shared" si="345"/>
        <v/>
      </c>
      <c r="GJ198" t="str">
        <f t="shared" si="346"/>
        <v/>
      </c>
      <c r="GK198" t="str">
        <f>IF(D198="","",IFERROR(VLOOKUP(D198,УГО_спр,2,FALSE),IFERROR(VLOOKUP(AT198,УГО_спр,2,FALSE),IFERROR(VLOOKUP(LEFT(AT198,2),УГО_спр,2,FALSE),""))))</f>
        <v>Розетка</v>
      </c>
      <c r="GL198" t="str">
        <f>IF(D198="","",IF(OR(GK198="",GK198=0),"BOX",IFERROR(IF(VLOOKUP(GK198,УГО_блоки,3,FALSE)&amp;""&lt;&gt;"",VLOOKUP(GK198,УГО_блоки,3,FALSE),VLOOKUP(GK198,УГО_блоки,2,FALSE)),GK198)))</f>
        <v>SOCKET</v>
      </c>
      <c r="GM198">
        <f t="shared" si="347"/>
        <v>1</v>
      </c>
      <c r="GN198" t="str">
        <f>IF(EP198="","",IF(COUNTIF(EP$3:EP198,EP198)=1,MAX(GN$2:GN197)+1,""))</f>
        <v/>
      </c>
      <c r="GO198" t="str">
        <f>IF(AF198="","",IF(COUNTIF(AF$3:AF198,AF198)+COUNTIF(AG$2:AG197,AF198)+COUNTIF(AH$2:AH197,AF198)=1,MAX(GO$2:GQ197)+1,""))</f>
        <v/>
      </c>
      <c r="GP198" t="str">
        <f>IF(AG198="","",IF(COUNTIF(AF$3:AF198,AG198)+COUNTIF(AG$3:AG198,AG198)+COUNTIF(AH$2:AH197,AG198)=1,MAX(GO$2:GQ197,GO198)+1,""))</f>
        <v/>
      </c>
      <c r="GQ198" t="str">
        <f>IF(AH198="","",IF(COUNTIF(AF$3:AF198,AH198)+COUNTIF(AG$3:AG198,AH198)+COUNTIF(AH$3:AH198,AH198)=1,MAX(GO$2:GQ197,GO198,GP198)+1,""))</f>
        <v/>
      </c>
      <c r="GR198" t="str">
        <f t="shared" si="348"/>
        <v>3х2,5</v>
      </c>
      <c r="GS198" t="str">
        <f>IF(GR198="","",IF(COUNTIF(GR$3:GR198,GR198)=1,MAX(GS$2:GS197)+1,""))</f>
        <v/>
      </c>
      <c r="GT198" t="str">
        <f>IF(ES198="","",COUNTIF(ES$3:ES198,"?*"))</f>
        <v/>
      </c>
      <c r="GU198" t="str">
        <f>IF(OR(ES198="",EU198=""),"",IF(COUNTIFS(ES$3:ES198,"?*",EU$3:EU198,EU198)=1,MAX(GU$2:GU197)+1,""))</f>
        <v/>
      </c>
      <c r="GV198">
        <f t="shared" si="349"/>
        <v>0</v>
      </c>
      <c r="GW198">
        <f>IF(D198="","",COUNTIF(D$3:D198,"?*"))</f>
        <v>196</v>
      </c>
      <c r="GX198">
        <f>IF(EX198&lt;&gt;1,0,_xlfn.LET(_xlpm.k,MAX(IFERROR(--VLOOKUP(D198,УГО_спр,5,FALSE),0),IFERROR(--VLOOKUP(AT198,УГО_спр,5,FALSE),0),IFERROR(--VLOOKUP(LEFT(AT198,2),УГО_спр,5,FALSE),0)),IF(_xlpm.k&gt;0,_xlpm.k,IF(IFERROR(--LEFT(SUBSTITUTE(GR198,"x","х"),FIND("х",SUBSTITUTE(GR198,"x","х"))-1),3)&gt;3,Каталог!$S$9,1))))</f>
        <v>1</v>
      </c>
      <c r="GY198">
        <f t="shared" si="350"/>
        <v>0</v>
      </c>
    </row>
    <row r="199" spans="1:207" x14ac:dyDescent="0.3">
      <c r="A199" t="s">
        <v>760</v>
      </c>
      <c r="B199">
        <v>25</v>
      </c>
      <c r="C199" t="str">
        <f>IF(BD199="","",IF(BE199="вводной узел","узел ","")&amp;"л."&amp;(INT((BD199-1)/Столбцов_на_лист)+1)&amp;" / "&amp;(MOD(BD199-1,Столбцов_на_лист)+1))</f>
        <v>л.2 / 8</v>
      </c>
      <c r="D199" t="s">
        <v>1509</v>
      </c>
      <c r="E199" s="133" t="str">
        <f t="shared" si="351"/>
        <v>Розеточная группа Цокольный этаж Пом. №008A</v>
      </c>
      <c r="G199">
        <v>0.12</v>
      </c>
      <c r="H199">
        <v>2</v>
      </c>
      <c r="I199">
        <v>1</v>
      </c>
      <c r="J199">
        <v>230</v>
      </c>
      <c r="K199" t="s">
        <v>566</v>
      </c>
      <c r="O199">
        <v>1</v>
      </c>
      <c r="P199">
        <v>53</v>
      </c>
      <c r="Q199">
        <v>47</v>
      </c>
      <c r="R199">
        <v>10</v>
      </c>
      <c r="S199">
        <v>5</v>
      </c>
      <c r="U199" t="s">
        <v>11</v>
      </c>
      <c r="V199">
        <v>3</v>
      </c>
      <c r="W199">
        <v>2.5</v>
      </c>
      <c r="Z199" t="s">
        <v>565</v>
      </c>
      <c r="AA199" t="s">
        <v>818</v>
      </c>
      <c r="AD199" t="s">
        <v>517</v>
      </c>
      <c r="AK199" t="s">
        <v>488</v>
      </c>
      <c r="AR199" t="str">
        <f t="shared" si="264"/>
        <v/>
      </c>
      <c r="AS199" cm="1">
        <f t="array" ref="AS199">ROW()-ROW(Линии[#Headers])</f>
        <v>197</v>
      </c>
      <c r="AT199" t="str">
        <f t="shared" si="265"/>
        <v>R</v>
      </c>
      <c r="AU199" t="str">
        <f t="shared" si="266"/>
        <v>0.008A.1</v>
      </c>
      <c r="AV199" t="str">
        <f t="shared" si="267"/>
        <v>0</v>
      </c>
      <c r="AW199" t="str">
        <f t="shared" si="268"/>
        <v>008A.1</v>
      </c>
      <c r="AX199" t="str">
        <f t="shared" si="269"/>
        <v>008A</v>
      </c>
      <c r="AY199" t="str">
        <f>IF(D199="","",IF(ISERROR(SEARCH(".",D199)),IFERROR(VLOOKUP(D199,Потребители_обозначение,2,FALSE)&amp;"",""),IFERROR(IF(VLOOKUP(AT199,Потребители_обозначение,4,FALSE)=1,VLOOKUP(AT199,Потребители_обозначение,2,FALSE)&amp;" "&amp;VLOOKUP(AV199,Этаж_обозначение,2,FALSE)&amp;" Пом. №"&amp;AX199,VLOOKUP(AT199,Потребители_обозначение,2,FALSE)&amp;" Шлейф №"&amp;AV199),IFERROR(VLOOKUP(D199,Потребители_обозначение,2,FALSE),""))))</f>
        <v>Розеточная группа Цокольный этаж Пом. №008A</v>
      </c>
      <c r="AZ199" t="str">
        <f t="shared" si="270"/>
        <v>Розеточная группа Цокольный этаж Пом. №008A</v>
      </c>
      <c r="BA199" t="str">
        <f>IF(F199&lt;&gt;"",F199,IF(AND(D199&lt;&gt;"",D199&lt;&gt;A199,ISNUMBER(_xlfn.XMATCH(D199,Щиты[Щит]))),D199,""))</f>
        <v/>
      </c>
      <c r="BB199">
        <f>IFERROR(_xlfn.XMATCH(A199,Щиты[Щит]),0)</f>
        <v>9</v>
      </c>
      <c r="BC199">
        <f>IFERROR(N(_xlfn.XLOOKUP(A199,Щиты[Щит],Щиты[Мест под вводной узел])),15)</f>
        <v>8</v>
      </c>
      <c r="BD199">
        <f t="shared" si="271"/>
        <v>25</v>
      </c>
      <c r="BE199" t="str">
        <f t="shared" si="272"/>
        <v>линии</v>
      </c>
      <c r="BF199">
        <f>IF(D199="","",IF(BA199&lt;&gt;"",IFERROR(_xlfn.XLOOKUP(BA199,Щиты[Щит],Щиты[Руст, кВт]),0),N(G199)))</f>
        <v>0.12</v>
      </c>
      <c r="BG199">
        <f>IF(J199&lt;&gt;"",J199,IF(D199="","",IFERROR(IF(VLOOKUP(AT199,Потребители_обозначение,8,FALSE)=0,"",VLOOKUP(AT199,Потребители_обозначение,8,FALSE)),"")))</f>
        <v>230</v>
      </c>
      <c r="BH199">
        <f>IF(I199&lt;&gt;"",I199,IF(D199="","",IFERROR(IF(VLOOKUP(AT199,Потребители_обозначение,9,FALSE)=0,"",VLOOKUP(AT199,Потребители_обозначение,9,FALSE)),"")))</f>
        <v>1</v>
      </c>
      <c r="BI199" t="str">
        <f>IF(U199&lt;&gt;"",U199,IF(D199="","",IFERROR(IF(VLOOKUP(AT199,Потребители_обозначение,6,FALSE)=0,"",VLOOKUP(AT199,Потребители_обозначение,6,FALSE)),"")))</f>
        <v>мс</v>
      </c>
      <c r="BJ199">
        <f>IF(V199&lt;&gt;"",V199,IF(D199="","",IFERROR(IF(VLOOKUP(AT199,Потребители_обозначение,7,FALSE)=0,"",VLOOKUP(AT199,Потребители_обозначение,7,FALSE)),"")))</f>
        <v>3</v>
      </c>
      <c r="BK199">
        <f>IF(W199&lt;&gt;"",W199,IF(D199="","",IFERROR(IF(VLOOKUP(AT199,Потребители_обозначение,10,FALSE)=0,"",VLOOKUP(AT199,Потребители_обозначение,10,FALSE)),"")))</f>
        <v>2.5</v>
      </c>
      <c r="BL199">
        <f>IFERROR(VLOOKUP(AT199,Потребители_обозначение,5,FALSE),0)</f>
        <v>1</v>
      </c>
      <c r="BM199" cm="1">
        <f t="array" ref="BM199">IF(D199="","",IF(BA199&lt;&gt;"",IFERROR(_xlfn.XLOOKUP(BA199,Щиты[Щит],Щиты[cos φ]),0.95),IF(ISNUMBER(M199),M199,IFERROR(IF(BL199=2,_xlfn.IFS(BH199=3,VLOOKUP(BF199,Справочная_двигатели,8,FALSE),BH199=1,VLOOKUP(BF199,Справочная_двигатели,10,TRUE)),IF(AND(Методика="нормы 2026",CN199="Сил"),0.8,0.95)),0.95))))</f>
        <v>0.95</v>
      </c>
      <c r="BN199" cm="1">
        <f t="array" ref="BN199">IF(D199="","",IF(BA199&lt;&gt;"",IFERROR(_xlfn.XLOOKUP(BA199,Щиты[Щит],Щиты[Iр, А]),""),IFERROR(_xlfn.IFS(BH199=1,BF199/((Uн_лин/SQRT(3))*BM199),BH199=3,BF199/(SQRT(3)*Uн_лин*BM199)),"")))</f>
        <v>0.54696341291648753</v>
      </c>
      <c r="BO199">
        <f>IF(D199="","",IF(N(X199)=0,IFERROR(VLOOKUP(BN199,Автомат_номиналы,2,TRUE),""),X199))</f>
        <v>6</v>
      </c>
      <c r="BP199">
        <f t="shared" si="273"/>
        <v>1</v>
      </c>
      <c r="BQ199">
        <f>IF(ISNUMBER(Y199),Y199,К_прокл)</f>
        <v>1</v>
      </c>
      <c r="BR199">
        <f t="shared" si="274"/>
        <v>2</v>
      </c>
      <c r="BS199" cm="1">
        <f t="array" ref="BS199">IF(D199="","",IF(N(BK199)&lt;&gt;0,BK199,IFERROR(_xlfn.LET(_xlpm.need,BO199/(BP199*BQ199),_xlpm.t,CHOOSE(BR199,Iдоп_1ж,Iдоп_2ж,Iдоп_3ж),_xlpm.k,_xlfn.XMATCH(_xlpm.need,_xlpm.t,1),IF(ISNA(_xlpm.k),"Не исп",INDEX(Iдоп_S,_xlpm.k))),"Не исп")))</f>
        <v>2.5</v>
      </c>
      <c r="BT199">
        <f>IFERROR(VLOOKUP(BS199,Кабель_сопротивление,3,FALSE),"")</f>
        <v>2.2499999999999999E-2</v>
      </c>
      <c r="BU199">
        <f>IFERROR(VLOOKUP(BS199,Кабель_сопротивление,2,FALSE),"")</f>
        <v>0.1</v>
      </c>
      <c r="BV199">
        <f t="shared" si="275"/>
        <v>53</v>
      </c>
      <c r="BW199">
        <f>IF(D199="","",IFERROR(IF(VLOOKUP(AT199,Потребители_обозначение,4,FALSE)=1,VLOOKUP(AT199,Потребители_обозначение,3,FALSE)*(H199*2-1)+BV199+VLOOKUP(AV199,Этаж_обозначение,3,FALSE)+VLOOKUP(AV199,Этаж_обозначение,4,FALSE),VLOOKUP(AT199,Потребители_обозначение,3,FALSE)*(H199*2-1)+BV199),BV199))</f>
        <v>62</v>
      </c>
      <c r="BX199">
        <f t="shared" si="276"/>
        <v>10</v>
      </c>
      <c r="BY199">
        <f t="shared" si="277"/>
        <v>5</v>
      </c>
      <c r="BZ199">
        <f t="shared" si="278"/>
        <v>2</v>
      </c>
      <c r="CA199">
        <f t="shared" si="279"/>
        <v>0.31</v>
      </c>
      <c r="CB199">
        <f t="shared" si="280"/>
        <v>0.58199313773331107</v>
      </c>
      <c r="CC199">
        <f>IFERROR(ROUNDUP(CB199/((Uн_лин/SQRT(3))*1000)*100,2),"")</f>
        <v>0.26</v>
      </c>
      <c r="CD199">
        <f>IF(ISNUMBER(CC199),CC199+IFERROR(_xlfn.XLOOKUP(A199,Щиты[Щит],Щиты[ΔU до шин, %]),0),"")</f>
        <v>0.69</v>
      </c>
      <c r="CE199">
        <f>IF(D199="","",IF(IFERROR(VLOOKUP(AT199,УГО_спр,2,FALSE),"")="Светильник",3,4)+IF(Методика="нормы 2026",MIN(0.5,MAX(0,N(BW199)-100)*0.005),0))</f>
        <v>4</v>
      </c>
      <c r="CF199" t="str">
        <f>IFERROR(VLOOKUP(BI199,Кабель_обозначение,2,FALSE),"")</f>
        <v>ВВГнг(А)-LS</v>
      </c>
      <c r="CG199" t="str">
        <f>IFERROR(IF(VLOOKUP(BI199,Кабель_обозначение,3,FALSE)=1,CF199&amp;" ("&amp;BJ199&amp;"х"&amp;BS199&amp;")",CF199),"")</f>
        <v>ВВГнг(А)-LS (3х2,5)</v>
      </c>
      <c r="CH199" t="str">
        <f t="shared" si="281"/>
        <v>ВВГнг(А)-LS (3х2,5)
L=62-0,26%</v>
      </c>
      <c r="CI199">
        <f>IFERROR(2*ρкз_Cu*BW199/BS199,"")</f>
        <v>1.3044800000000001</v>
      </c>
      <c r="CJ199">
        <f t="shared" si="282"/>
        <v>0.43400000000000005</v>
      </c>
      <c r="CK199" t="str">
        <f>IFERROR(IF(OR(D199="",NOT(ISNUMBER(BS199)),N(BW199)=0),"",_xlfn.XLOOKUP(A199,Щиты[Щит],Щиты[Zпетли на шинах, Ом])+CI199),"")</f>
        <v/>
      </c>
      <c r="CL199" t="str">
        <f>IF(ISNUMBER(CK199),c_min*(Uн_лин*1000/SQRT(3))/CK199,"")</f>
        <v/>
      </c>
      <c r="CM199" t="str">
        <f>IFERROR(IF(OR(D199="",NOT(ISNUMBER(BS199))),"",1.05*(Uн_лин*1000/SQRT(3))/(_xlfn.XLOOKUP(A199,Щиты[Щит],Щиты[Zmax на шинах, Ом])+CJ199)/1000),"")</f>
        <v/>
      </c>
      <c r="CN199" t="str">
        <f>IF(D199="","",IF(BA199&lt;&gt;"","Щит",IF(K199&lt;&gt;"",K199,IF(ISNUMBER(L199),"Сил",IF(IFERROR(_xlfn.XLOOKUP(AT199,Коды_код,Коды_группа)&amp;"","")="","Быт",_xlfn.XLOOKUP(AT199,Коды_код,Коды_группа)&amp;"")))))</f>
        <v>Быт</v>
      </c>
      <c r="CO199">
        <f>IF(CN199="Щит","щит",IF(CN199="","",IF(CN199="Быт",IFERROR(_xlfn.XLOOKUP(A199,Щиты[Щит],Щиты[Кс быт]),1),IF(CN199="Сил",IF(ISNUMBER(L199),L199,IF(Методика="нормы 2026",IFERROR(_xlfn.XLOOKUP(A199,Щиты[Щит],Щиты[Кс силовых (табл. 7.5)]),1),1)),IF(OR(CN199="Пост",CN199="Отоп"),1,IF(CN199="ВНГ",0.7,0))))))</f>
        <v>0.79799999999999993</v>
      </c>
      <c r="CP199">
        <f t="shared" si="283"/>
        <v>1</v>
      </c>
      <c r="CQ199">
        <f t="shared" si="284"/>
        <v>0.12</v>
      </c>
      <c r="CR199">
        <f t="shared" si="285"/>
        <v>0.12</v>
      </c>
      <c r="CS199">
        <f t="shared" si="286"/>
        <v>0</v>
      </c>
      <c r="CT199">
        <f t="shared" si="287"/>
        <v>0</v>
      </c>
      <c r="CU199">
        <f t="shared" si="288"/>
        <v>0</v>
      </c>
      <c r="CV199">
        <f t="shared" si="289"/>
        <v>0</v>
      </c>
      <c r="CW199">
        <f t="shared" si="290"/>
        <v>0.12</v>
      </c>
      <c r="CX199">
        <f t="shared" si="291"/>
        <v>0.11399999999999999</v>
      </c>
      <c r="CY199">
        <f t="shared" si="292"/>
        <v>3</v>
      </c>
      <c r="CZ199" t="str">
        <f t="shared" si="293"/>
        <v>L3</v>
      </c>
      <c r="DA199" cm="1">
        <f t="array" ref="DA199">IFERROR(IF(BL199=2,_xlfn.IFS(BH199=3,VLOOKUP(BF199,Справочная_двигатели,3,FALSE),BH199=1,VLOOKUP(BF199,Справочная_двигатели,5,TRUE)),0),0)</f>
        <v>0</v>
      </c>
      <c r="DB199">
        <f>IFERROR(IF(BL199=3,VLOOKUP(BF199,Справочная_ЛЭД,2,TRUE),0),0)</f>
        <v>0</v>
      </c>
      <c r="DC199">
        <f t="shared" si="294"/>
        <v>0</v>
      </c>
      <c r="DD199" t="str">
        <f t="shared" si="295"/>
        <v>L1</v>
      </c>
      <c r="DE199" t="str" cm="1">
        <f t="array" ref="DE199">IF(D199="","",IFERROR(INDEX({"I особая","I","II","III"},MATCH(TRIM(AA199&amp;""),{"I особая","I","II","III"},0)),"III"))</f>
        <v>II</v>
      </c>
      <c r="DF199" t="str">
        <f>IF(D199="","",IF(TRIM(AB199&amp;"")&lt;&gt;"",IF(LOWER(TRIM(AB199&amp;""))="да","да","нет"),IF(IFERROR(_xlfn.XLOOKUP(AT199,Коды_код,Коды_пожарная),"")="да","да","нет")))</f>
        <v>нет</v>
      </c>
      <c r="DG199" t="str">
        <f t="shared" si="296"/>
        <v/>
      </c>
      <c r="DH199" t="str">
        <f t="shared" si="297"/>
        <v>основная</v>
      </c>
      <c r="DI199">
        <f t="shared" si="298"/>
        <v>1</v>
      </c>
      <c r="DJ199" t="str" cm="1">
        <f t="array" ref="DJ199">IF(D199="","",_xlfn.LET(_xlpm.t,IFERROR(_xlfn.XLOOKUP(1,(Шины[Шина]=DH199)*(((Шины[Щит]=A199)+(Шины[Щит]=""))&gt;0),Шины[Тип]),"")&amp;"",IF(_xlpm.t&lt;&gt;"",_xlpm.t,IF(ISNUMBER(SEARCH("ИБП",DH199)),"ИБП",IF(ISNUMBER(SEARCH("ДГУ",DH199)),"ДГУ","Ввод "&amp;DI199)))))</f>
        <v>Ввод 1</v>
      </c>
      <c r="DK199" t="str">
        <f t="shared" si="299"/>
        <v>Ввод 1</v>
      </c>
      <c r="DL199" t="str">
        <f>IF(D199="","",IF(OR(DJ199="ИБП",DJ199="ДГУ"),"I особая",IF(DJ199="Одиночная","III",_xlfn.XLOOKUP(A199,Щиты[Щит],Щиты[Категория шины «Ввод»],"III"))))</f>
        <v>II</v>
      </c>
      <c r="DM199">
        <f>IF(D199="",0,IFERROR(MATCH(DE199,{"III","II","I","I особая"},0),1))</f>
        <v>2</v>
      </c>
      <c r="DN199">
        <f t="shared" si="300"/>
        <v>2</v>
      </c>
      <c r="DO199" t="str">
        <f>IF(D199="","",IF(DM199&gt;IFERROR(MATCH(DL199,{"III","II","I","I особая"},0),1),"НЕ ОБЕСПЕЧЕНА","ОК"))</f>
        <v>ОК</v>
      </c>
      <c r="DP199" t="str">
        <f>IF(A199="","",_xlfn.XLOOKUP(A199,Щиты[Щит],Щиты[Путь],""))</f>
        <v>|ГРЩ-ЖД|ЩР-01|</v>
      </c>
      <c r="DQ199" t="str">
        <f>IF(D199="","",IF(Z199&lt;&gt;"",Z199,IF(IFERROR(_xlfn.XLOOKUP(AT199,Коды_код,Коды_вид)&amp;"","")="","Прочее",_xlfn.XLOOKUP(AT199,Коды_код,Коды_вид)&amp;"")))</f>
        <v>Розеточная сеть и бытовые приборы</v>
      </c>
      <c r="DR199">
        <f>IF(BD199="","",INT((BD199-1)/Столбцов_на_лист)+1)</f>
        <v>2</v>
      </c>
      <c r="DS199" t="str">
        <f t="shared" si="301"/>
        <v>ВВГнг(А)-LS (3х2,5) L=62-0,26%</v>
      </c>
      <c r="DT199">
        <f t="shared" si="302"/>
        <v>0.12</v>
      </c>
      <c r="DU199">
        <f t="shared" si="303"/>
        <v>0.55000000000000004</v>
      </c>
      <c r="DV199">
        <f t="shared" si="304"/>
        <v>1</v>
      </c>
      <c r="DW199">
        <f>IF(AT199="",0,_xlfn.LET(_xlpm.v,IFERROR(VLOOKUP(D199,УГО_спр,3,FALSE),IFERROR(VLOOKUP(AT199,УГО_спр,3,FALSE),IFERROR(VLOOKUP(LEFT(AT199,2),УГО_спр,3,FALSE),""))),IF(_xlpm.v="да",30,IF(ISNUMBER(_xlpm.v),_xlpm.v,0))))</f>
        <v>30</v>
      </c>
      <c r="DX199">
        <f t="shared" si="305"/>
        <v>0</v>
      </c>
      <c r="DY199">
        <f>IF(BD199="","",IF(AD199&lt;&gt;"",COUNTIFS(A$3:A199,A199,AD$3:AD199,"?*"),IF(OR(OR(AS199=1,A199&lt;&gt;A198),AL199="вручную"),"",IF(AS199=1,"",DZ198))))</f>
        <v>15</v>
      </c>
      <c r="DZ199">
        <f t="shared" si="306"/>
        <v>15</v>
      </c>
      <c r="EA199">
        <f>IF(D199="",0,MAX(IFERROR(--X199,0),IFERROR(--VLOOKUP(D199,УГО_спр,4,FALSE),IFERROR(--VLOOKUP(AT199,УГО_спр,4,FALSE),IFERROR(--VLOOKUP(LEFT(AT199,2),УГО_спр,4,FALSE),0)))))</f>
        <v>16</v>
      </c>
      <c r="EB199">
        <f>IF(D199="","",IFERROR(LOOKUP(INDEX(CHOOSE(BR199,Iдоп_1ж,Iдоп_2ж,Iдоп_3ж),MATCH(BS199,Iдоп_S,0))*BP199*BQ199,{6,10,16,20,25,32,40,50,63,80,100,125,160,200,250,315,400,500,630}),""))</f>
        <v>25</v>
      </c>
      <c r="EC199">
        <f>IF(AD199="","",SUMIFS(Линии[_Ток схемы],Линии[_гр.],DY199,Линии[Щит],A199,Линии[_в кабель выше],0))</f>
        <v>0.55000000000000004</v>
      </c>
      <c r="ED199">
        <f>IF(AD199="","",IFERROR(VLOOKUP(EC199,Автомат_номиналы,2,TRUE),""))</f>
        <v>6</v>
      </c>
      <c r="EE199">
        <f>IF(AD199="","",MAX(N(ED199),_xlfn.MAXIFS(Линии[_мин. по типу],Линии[_гр.],DY199,Линии[Щит],A199)))</f>
        <v>16</v>
      </c>
      <c r="EF199">
        <f>IF(AD199="","",_xlfn.MINIFS(Линии[_макс. автомат по кабелю],Линии[_гр.],DY199,Линии[Щит],A199))</f>
        <v>25</v>
      </c>
      <c r="EG199">
        <f>IF(AD199="","",MAX(1,_xlfn.MAXIFS(Линии[_фаз],Линии[_гр.],DY199,Линии[Щит],A199)))</f>
        <v>1</v>
      </c>
      <c r="EH199">
        <f>IF(AD199="","",IF(AND(AD199&lt;&gt;"авто",AD199&lt;&gt;"+"),IF(ISNUMBER(SEARCH("мА",AD199)),IFERROR(--TRIM(RIGHT(SUBSTITUTE(LEFT(AD199,SEARCH("мА",AD199)-1)," ",REPT(" ",9)),6)),30),0),IF(AE199="нет",0,IF(ISNUMBER(AE199),AE199,IF(AE199="да",30,_xlfn.MINIFS(Линии[_дифзащита по коду, мА],Линии[_гр.],DY199,Линии[Щит],A199,Линии[_дифзащита по коду, мА],"&gt;0"))))))</f>
        <v>30</v>
      </c>
      <c r="EI199">
        <f t="shared" si="307"/>
        <v>1</v>
      </c>
      <c r="EJ199" t="str">
        <f t="shared" si="308"/>
        <v>QFD15</v>
      </c>
      <c r="EK199" t="str">
        <f t="shared" si="309"/>
        <v>QFD15</v>
      </c>
      <c r="EL199" t="str">
        <f t="shared" si="310"/>
        <v/>
      </c>
      <c r="EM199">
        <f t="shared" si="311"/>
        <v>0</v>
      </c>
      <c r="EN199">
        <f>IF(AD199="","",IF(EM199=1,MAX(EE199,Мин_автомат_БП),EE199))</f>
        <v>16</v>
      </c>
      <c r="EO199" t="str">
        <f t="shared" si="312"/>
        <v>2P</v>
      </c>
      <c r="EP199" t="str">
        <f t="shared" si="313"/>
        <v>2P С16А 30мА</v>
      </c>
      <c r="EQ199">
        <f t="shared" si="314"/>
        <v>16</v>
      </c>
      <c r="ER199" t="str">
        <f>IF(OR(AI199="",AI199="-"),"",IFERROR(VLOOKUP(AI199,Модули_спр,2,FALSE),"R"))</f>
        <v/>
      </c>
      <c r="ES199" t="str">
        <f>IF(ER199="","",ER199&amp;"."&amp;COUNTIFS(A$3:A199,A199,ER$3:ER199,ER199))</f>
        <v/>
      </c>
      <c r="ET199" t="str">
        <f t="shared" si="315"/>
        <v/>
      </c>
      <c r="EU199" t="str">
        <f t="shared" si="316"/>
        <v/>
      </c>
      <c r="EV199" t="str">
        <f t="shared" si="317"/>
        <v/>
      </c>
      <c r="EW199" t="str">
        <f t="shared" si="318"/>
        <v/>
      </c>
      <c r="EX199">
        <f t="shared" si="319"/>
        <v>1</v>
      </c>
      <c r="EY199" t="str">
        <f>IF(AK199="нет","",IF(AK199&lt;&gt;"",AK199,IF(EX199=1,"XT"&amp;COUNTIFS(A$3:A199,A199,EX$3:EX199,1),"")))</f>
        <v/>
      </c>
      <c r="EZ199" t="str">
        <f t="shared" si="320"/>
        <v>QFD15</v>
      </c>
      <c r="FA199" t="str">
        <f t="shared" si="321"/>
        <v/>
      </c>
      <c r="FB199" t="str">
        <f t="shared" si="322"/>
        <v>ok</v>
      </c>
      <c r="FC199" t="str">
        <f>IF(OR(EV199="",ET199=""),"",IF(EV199&gt;IFERROR(VLOOKUP(EU199,Модули_спр,3,FALSE),99),"ЛИШНИЙ КАНАЛ",IF(AND(AJ199&lt;&gt;"=",COUNTIFS(Линии[_модуль гр.],ET199,Линии[Канал (итог)],EV199,Линии[Канал],"&lt;&gt;=",Линии[Щит],A199)&gt;1),"ДУБЛЬ КАНАЛА","")))</f>
        <v/>
      </c>
      <c r="FD199">
        <f t="shared" si="323"/>
        <v>16</v>
      </c>
      <c r="FE199" t="str">
        <f t="shared" si="324"/>
        <v>2P С16А 30мА</v>
      </c>
      <c r="FF199">
        <f t="shared" si="325"/>
        <v>1</v>
      </c>
      <c r="FG199">
        <f t="shared" si="326"/>
        <v>30</v>
      </c>
      <c r="FH199" t="str">
        <f t="shared" si="327"/>
        <v/>
      </c>
      <c r="FI199">
        <f t="shared" si="328"/>
        <v>10</v>
      </c>
      <c r="FJ199" t="str">
        <f t="shared" si="329"/>
        <v/>
      </c>
      <c r="FK199" t="str">
        <f>IF(AND(D199="",EZ199=""),"",_xlfn.TEXTJOIN("; ",TRUE,IF(AND(D199&lt;&gt;"",DD199=""),"нет фазы",""),IF(AND(D199&lt;&gt;"",N(DT199)=0,CN199&lt;&gt;"Нет"),"нет мощности",""),IF(AND(EY199&lt;&gt;"",COUNTIFS(Линии[Щит],A199,Линии[Клемма (итог)],EY199)&gt;1),"дубль клеммы "&amp;EY199,""),IF(AND(FB199&lt;&gt;"",FB199&lt;&gt;"ok"),FB199,""),IF(FC199&lt;&gt;"",FC199,""),IF(AND(ISNUMBER(SEARCH("(5х",DS199)),N(DV199)=1),"5 жил на 1 фазе",""),IF(AND(AT199="R",AD199&lt;&gt;"",OR(N(EH199)=0,N(EH199)&gt;30)),"розетка без дифзащиты до 30 мА",""),IFERROR(IF(AND(ISNUMBER(CD199),CD199&gt;CE199),"потери "&amp;FIXED(CD199,1)&amp;" % &gt; "&amp;CE199&amp;" %",""),""),IFERROR(IF(LEFT(FJ199,4)="мало","Iкз мало — отключение &gt; 0,4 с",""),""),IF(AND(D199&lt;&gt;"",BD199=""),"не на схеме","")))</f>
        <v/>
      </c>
      <c r="FL199">
        <f>IF(AD199="","",_xlfn.LET(_xlpm.t,IFERROR(_xlfn.XLOOKUP(EP199,Каталог!$U$4:$U$500,Каталог!$G$4:$G$500),""),_xlpm.k,SEARCH("кА",_xlpm.t),IFERROR(--TRIM(RIGHT(SUBSTITUTE(MID(_xlpm.t,MAX(1,_xlpm.k-4),_xlpm.k-MAX(1,_xlpm.k-4))," ",REPT(" ",9)),5)),"")))</f>
        <v>6</v>
      </c>
      <c r="FM199" t="str">
        <f>IF(OR(FL199="",AD199=""),"",IF(_xlfn.XLOOKUP(A199,Щиты[Щит],Щиты[Iкз max на шинах, кА],"")="","",IF(FL199&lt;_xlfn.XLOOKUP(A199,Щиты[Щит],Щиты[Iкз max на шинах, кА]),"Icu "&amp;FL199&amp;" кА &lt; Iкз max","ok")))</f>
        <v/>
      </c>
      <c r="FN199" t="str">
        <f t="shared" si="330"/>
        <v>QFD15</v>
      </c>
      <c r="FO199" t="str">
        <f t="shared" si="331"/>
        <v>QFD15|кабель ВВГнг(А)-LS (3х2,5) → Розеточная группа Цокольный этаж Пом. №008A</v>
      </c>
      <c r="FP199" t="str" cm="1">
        <f t="array" ref="FP199">IF(FO199="","",_xlfn.LET(_xlpm.nd,_xlfn.TEXTSPLIT(FO199,"|"),IF(COLUMNS(_xlpm.nd)&gt;1,A199&amp;"¦"&amp;INDEX(_xlpm.nd,1)&amp;"¦"&amp;INDEX(_xlpm.nd,2),"")))</f>
        <v>ЩР-01¦QFD15¦кабель ВВГнг(А)-LS (3х2,5) → Розеточная группа Цокольный этаж Пом. №008A</v>
      </c>
      <c r="FQ199" t="str">
        <f t="shared" si="332"/>
        <v>R.0.008A.1¦Розеточная группа Цокольный этаж Пом. №008A</v>
      </c>
      <c r="FR199" t="str" cm="1">
        <f t="array" ref="FR199">IF(FO199="","",_xlfn.LET(_xlpm.nd,_xlfn.TEXTSPLIT(FO199,"|"),IF(COLUMNS(_xlpm.nd)&gt;2,A199&amp;"¦"&amp;INDEX(_xlpm.nd,2)&amp;"¦"&amp;INDEX(_xlpm.nd,3),"")))</f>
        <v/>
      </c>
      <c r="FS199" t="str">
        <f t="shared" si="333"/>
        <v/>
      </c>
      <c r="FT199" t="str" cm="1">
        <f t="array" ref="FT199">IF(FO199="","",_xlfn.LET(_xlpm.nd,_xlfn.TEXTSPLIT(FO199,"|"),IF(COLUMNS(_xlpm.nd)&gt;3,A199&amp;"¦"&amp;INDEX(_xlpm.nd,3)&amp;"¦"&amp;INDEX(_xlpm.nd,4),"")))</f>
        <v/>
      </c>
      <c r="FU199" t="str">
        <f t="shared" si="334"/>
        <v/>
      </c>
      <c r="FV199" t="str" cm="1">
        <f t="array" ref="FV199">IF(FO199="","",_xlfn.LET(_xlpm.nd,_xlfn.TEXTSPLIT(FO199,"|"),IF(COLUMNS(_xlpm.nd)&gt;4,A199&amp;"¦"&amp;INDEX(_xlpm.nd,4)&amp;"¦"&amp;INDEX(_xlpm.nd,5),"")))</f>
        <v/>
      </c>
      <c r="FW199" t="str">
        <f t="shared" si="335"/>
        <v/>
      </c>
      <c r="FX199" t="str" cm="1">
        <f t="array" ref="FX199">IF(FO199="","",_xlfn.LET(_xlpm.nd,_xlfn.TEXTSPLIT(FO199,"|"),IF(COLUMNS(_xlpm.nd)&gt;5,A199&amp;"¦"&amp;INDEX(_xlpm.nd,5)&amp;"¦"&amp;INDEX(_xlpm.nd,6),"")))</f>
        <v/>
      </c>
      <c r="FY199" t="str">
        <f t="shared" si="336"/>
        <v/>
      </c>
      <c r="FZ199" t="str" cm="1">
        <f t="array" ref="FZ199">IF(FO199="","",_xlfn.LET(_xlpm.nd,_xlfn.TEXTSPLIT(FO199,"|"),IF(COLUMNS(_xlpm.nd)&gt;6,A199&amp;"¦"&amp;INDEX(_xlpm.nd,6)&amp;"¦"&amp;INDEX(_xlpm.nd,7),"")))</f>
        <v/>
      </c>
      <c r="GA199" t="str">
        <f t="shared" si="337"/>
        <v/>
      </c>
      <c r="GB199" t="str">
        <f t="shared" si="338"/>
        <v/>
      </c>
      <c r="GC199" t="str">
        <f t="shared" si="339"/>
        <v>QFD15</v>
      </c>
      <c r="GD199">
        <f t="shared" si="340"/>
        <v>1</v>
      </c>
      <c r="GE199">
        <f t="shared" si="341"/>
        <v>0</v>
      </c>
      <c r="GF199">
        <f t="shared" si="342"/>
        <v>1</v>
      </c>
      <c r="GG199" t="str">
        <f t="shared" si="343"/>
        <v/>
      </c>
      <c r="GH199" t="str">
        <f t="shared" si="344"/>
        <v/>
      </c>
      <c r="GI199" t="str">
        <f t="shared" si="345"/>
        <v/>
      </c>
      <c r="GJ199" t="str">
        <f t="shared" si="346"/>
        <v/>
      </c>
      <c r="GK199" t="str">
        <f>IF(D199="","",IFERROR(VLOOKUP(D199,УГО_спр,2,FALSE),IFERROR(VLOOKUP(AT199,УГО_спр,2,FALSE),IFERROR(VLOOKUP(LEFT(AT199,2),УГО_спр,2,FALSE),""))))</f>
        <v>Розетка</v>
      </c>
      <c r="GL199" t="str">
        <f>IF(D199="","",IF(OR(GK199="",GK199=0),"BOX",IFERROR(IF(VLOOKUP(GK199,УГО_блоки,3,FALSE)&amp;""&lt;&gt;"",VLOOKUP(GK199,УГО_блоки,3,FALSE),VLOOKUP(GK199,УГО_блоки,2,FALSE)),GK199)))</f>
        <v>SOCKET</v>
      </c>
      <c r="GM199">
        <f t="shared" si="347"/>
        <v>1</v>
      </c>
      <c r="GN199" t="str">
        <f>IF(EP199="","",IF(COUNTIF(EP$3:EP199,EP199)=1,MAX(GN$2:GN198)+1,""))</f>
        <v/>
      </c>
      <c r="GO199" t="str">
        <f>IF(AF199="","",IF(COUNTIF(AF$3:AF199,AF199)+COUNTIF(AG$2:AG198,AF199)+COUNTIF(AH$2:AH198,AF199)=1,MAX(GO$2:GQ198)+1,""))</f>
        <v/>
      </c>
      <c r="GP199" t="str">
        <f>IF(AG199="","",IF(COUNTIF(AF$3:AF199,AG199)+COUNTIF(AG$3:AG199,AG199)+COUNTIF(AH$2:AH198,AG199)=1,MAX(GO$2:GQ198,GO199)+1,""))</f>
        <v/>
      </c>
      <c r="GQ199" t="str">
        <f>IF(AH199="","",IF(COUNTIF(AF$3:AF199,AH199)+COUNTIF(AG$3:AG199,AH199)+COUNTIF(AH$3:AH199,AH199)=1,MAX(GO$2:GQ198,GO199,GP199)+1,""))</f>
        <v/>
      </c>
      <c r="GR199" t="str">
        <f t="shared" si="348"/>
        <v>3х2,5</v>
      </c>
      <c r="GS199" t="str">
        <f>IF(GR199="","",IF(COUNTIF(GR$3:GR199,GR199)=1,MAX(GS$2:GS198)+1,""))</f>
        <v/>
      </c>
      <c r="GT199" t="str">
        <f>IF(ES199="","",COUNTIF(ES$3:ES199,"?*"))</f>
        <v/>
      </c>
      <c r="GU199" t="str">
        <f>IF(OR(ES199="",EU199=""),"",IF(COUNTIFS(ES$3:ES199,"?*",EU$3:EU199,EU199)=1,MAX(GU$2:GU198)+1,""))</f>
        <v/>
      </c>
      <c r="GV199">
        <f t="shared" si="349"/>
        <v>0</v>
      </c>
      <c r="GW199">
        <f>IF(D199="","",COUNTIF(D$3:D199,"?*"))</f>
        <v>197</v>
      </c>
      <c r="GX199">
        <f>IF(EX199&lt;&gt;1,0,_xlfn.LET(_xlpm.k,MAX(IFERROR(--VLOOKUP(D199,УГО_спр,5,FALSE),0),IFERROR(--VLOOKUP(AT199,УГО_спр,5,FALSE),0),IFERROR(--VLOOKUP(LEFT(AT199,2),УГО_спр,5,FALSE),0)),IF(_xlpm.k&gt;0,_xlpm.k,IF(IFERROR(--LEFT(SUBSTITUTE(GR199,"x","х"),FIND("х",SUBSTITUTE(GR199,"x","х"))-1),3)&gt;3,Каталог!$S$9,1))))</f>
        <v>1</v>
      </c>
      <c r="GY199">
        <f t="shared" si="350"/>
        <v>0</v>
      </c>
    </row>
    <row r="200" spans="1:207" x14ac:dyDescent="0.3">
      <c r="A200" t="s">
        <v>760</v>
      </c>
      <c r="B200">
        <v>26</v>
      </c>
      <c r="C200" t="str">
        <f>IF(BD200="","",IF(BE200="вводной узел","узел ","")&amp;"л."&amp;(INT((BD200-1)/Столбцов_на_лист)+1)&amp;" / "&amp;(MOD(BD200-1,Столбцов_на_лист)+1))</f>
        <v>л.2 / 9</v>
      </c>
      <c r="D200" t="s">
        <v>1510</v>
      </c>
      <c r="E200" s="133" t="s">
        <v>1511</v>
      </c>
      <c r="G200">
        <v>2.2000000000000002</v>
      </c>
      <c r="H200">
        <v>1</v>
      </c>
      <c r="I200">
        <v>1</v>
      </c>
      <c r="J200">
        <v>230</v>
      </c>
      <c r="K200" t="s">
        <v>566</v>
      </c>
      <c r="O200">
        <v>1</v>
      </c>
      <c r="P200">
        <v>61</v>
      </c>
      <c r="Q200">
        <v>49</v>
      </c>
      <c r="R200">
        <v>15</v>
      </c>
      <c r="S200">
        <v>0</v>
      </c>
      <c r="U200" t="s">
        <v>11</v>
      </c>
      <c r="V200">
        <v>3</v>
      </c>
      <c r="W200">
        <v>2.5</v>
      </c>
      <c r="Z200" t="s">
        <v>565</v>
      </c>
      <c r="AA200" t="s">
        <v>818</v>
      </c>
      <c r="AD200" t="s">
        <v>517</v>
      </c>
      <c r="AK200" t="s">
        <v>488</v>
      </c>
      <c r="AR200" t="str">
        <f t="shared" si="264"/>
        <v>потери 5,2 % &gt; 4 %</v>
      </c>
      <c r="AS200" cm="1">
        <f t="array" ref="AS200">ROW()-ROW(Линии[#Headers])</f>
        <v>198</v>
      </c>
      <c r="AT200" t="str">
        <f t="shared" si="265"/>
        <v>R</v>
      </c>
      <c r="AU200" t="str">
        <f t="shared" si="266"/>
        <v>0.008A.2</v>
      </c>
      <c r="AV200" t="str">
        <f t="shared" si="267"/>
        <v>0</v>
      </c>
      <c r="AW200" t="str">
        <f t="shared" si="268"/>
        <v>008A.2</v>
      </c>
      <c r="AX200" t="str">
        <f t="shared" si="269"/>
        <v>008A</v>
      </c>
      <c r="AY200" t="str">
        <f>IF(D200="","",IF(ISERROR(SEARCH(".",D200)),IFERROR(VLOOKUP(D200,Потребители_обозначение,2,FALSE)&amp;"",""),IFERROR(IF(VLOOKUP(AT200,Потребители_обозначение,4,FALSE)=1,VLOOKUP(AT200,Потребители_обозначение,2,FALSE)&amp;" "&amp;VLOOKUP(AV200,Этаж_обозначение,2,FALSE)&amp;" Пом. №"&amp;AX200,VLOOKUP(AT200,Потребители_обозначение,2,FALSE)&amp;" Шлейф №"&amp;AV200),IFERROR(VLOOKUP(D200,Потребители_обозначение,2,FALSE),""))))</f>
        <v>Розеточная группа Цокольный этаж Пом. №008A</v>
      </c>
      <c r="AZ200" t="str">
        <f t="shared" si="270"/>
        <v>Розеточная группа Цокольный этаж Пом. №008A Душ виши</v>
      </c>
      <c r="BA200" t="str">
        <f>IF(F200&lt;&gt;"",F200,IF(AND(D200&lt;&gt;"",D200&lt;&gt;A200,ISNUMBER(_xlfn.XMATCH(D200,Щиты[Щит]))),D200,""))</f>
        <v/>
      </c>
      <c r="BB200">
        <f>IFERROR(_xlfn.XMATCH(A200,Щиты[Щит]),0)</f>
        <v>9</v>
      </c>
      <c r="BC200">
        <f>IFERROR(N(_xlfn.XLOOKUP(A200,Щиты[Щит],Щиты[Мест под вводной узел])),15)</f>
        <v>8</v>
      </c>
      <c r="BD200">
        <f t="shared" si="271"/>
        <v>26</v>
      </c>
      <c r="BE200" t="str">
        <f t="shared" si="272"/>
        <v>линии</v>
      </c>
      <c r="BF200">
        <f>IF(D200="","",IF(BA200&lt;&gt;"",IFERROR(_xlfn.XLOOKUP(BA200,Щиты[Щит],Щиты[Руст, кВт]),0),N(G200)))</f>
        <v>2.2000000000000002</v>
      </c>
      <c r="BG200">
        <f>IF(J200&lt;&gt;"",J200,IF(D200="","",IFERROR(IF(VLOOKUP(AT200,Потребители_обозначение,8,FALSE)=0,"",VLOOKUP(AT200,Потребители_обозначение,8,FALSE)),"")))</f>
        <v>230</v>
      </c>
      <c r="BH200">
        <f>IF(I200&lt;&gt;"",I200,IF(D200="","",IFERROR(IF(VLOOKUP(AT200,Потребители_обозначение,9,FALSE)=0,"",VLOOKUP(AT200,Потребители_обозначение,9,FALSE)),"")))</f>
        <v>1</v>
      </c>
      <c r="BI200" t="str">
        <f>IF(U200&lt;&gt;"",U200,IF(D200="","",IFERROR(IF(VLOOKUP(AT200,Потребители_обозначение,6,FALSE)=0,"",VLOOKUP(AT200,Потребители_обозначение,6,FALSE)),"")))</f>
        <v>мс</v>
      </c>
      <c r="BJ200">
        <f>IF(V200&lt;&gt;"",V200,IF(D200="","",IFERROR(IF(VLOOKUP(AT200,Потребители_обозначение,7,FALSE)=0,"",VLOOKUP(AT200,Потребители_обозначение,7,FALSE)),"")))</f>
        <v>3</v>
      </c>
      <c r="BK200">
        <f>IF(W200&lt;&gt;"",W200,IF(D200="","",IFERROR(IF(VLOOKUP(AT200,Потребители_обозначение,10,FALSE)=0,"",VLOOKUP(AT200,Потребители_обозначение,10,FALSE)),"")))</f>
        <v>2.5</v>
      </c>
      <c r="BL200">
        <f>IFERROR(VLOOKUP(AT200,Потребители_обозначение,5,FALSE),0)</f>
        <v>1</v>
      </c>
      <c r="BM200" cm="1">
        <f t="array" ref="BM200">IF(D200="","",IF(BA200&lt;&gt;"",IFERROR(_xlfn.XLOOKUP(BA200,Щиты[Щит],Щиты[cos φ]),0.95),IF(ISNUMBER(M200),M200,IFERROR(IF(BL200=2,_xlfn.IFS(BH200=3,VLOOKUP(BF200,Справочная_двигатели,8,FALSE),BH200=1,VLOOKUP(BF200,Справочная_двигатели,10,TRUE)),IF(AND(Методика="нормы 2026",CN200="Сил"),0.8,0.95)),0.95))))</f>
        <v>0.95</v>
      </c>
      <c r="BN200" cm="1">
        <f t="array" ref="BN200">IF(D200="","",IF(BA200&lt;&gt;"",IFERROR(_xlfn.XLOOKUP(BA200,Щиты[Щит],Щиты[Iр, А]),""),IFERROR(_xlfn.IFS(BH200=1,BF200/((Uн_лин/SQRT(3))*BM200),BH200=3,BF200/(SQRT(3)*Uн_лин*BM200)),"")))</f>
        <v>10.027662570135606</v>
      </c>
      <c r="BO200">
        <f>IF(D200="","",IF(N(X200)=0,IFERROR(VLOOKUP(BN200,Автомат_номиналы,2,TRUE),""),X200))</f>
        <v>16</v>
      </c>
      <c r="BP200">
        <f t="shared" si="273"/>
        <v>1</v>
      </c>
      <c r="BQ200">
        <f>IF(ISNUMBER(Y200),Y200,К_прокл)</f>
        <v>1</v>
      </c>
      <c r="BR200">
        <f t="shared" si="274"/>
        <v>2</v>
      </c>
      <c r="BS200" cm="1">
        <f t="array" ref="BS200">IF(D200="","",IF(N(BK200)&lt;&gt;0,BK200,IFERROR(_xlfn.LET(_xlpm.need,BO200/(BP200*BQ200),_xlpm.t,CHOOSE(BR200,Iдоп_1ж,Iдоп_2ж,Iдоп_3ж),_xlpm.k,_xlfn.XMATCH(_xlpm.need,_xlpm.t,1),IF(ISNA(_xlpm.k),"Не исп",INDEX(Iдоп_S,_xlpm.k))),"Не исп")))</f>
        <v>2.5</v>
      </c>
      <c r="BT200">
        <f>IFERROR(VLOOKUP(BS200,Кабель_сопротивление,3,FALSE),"")</f>
        <v>2.2499999999999999E-2</v>
      </c>
      <c r="BU200">
        <f>IFERROR(VLOOKUP(BS200,Кабель_сопротивление,2,FALSE),"")</f>
        <v>0.1</v>
      </c>
      <c r="BV200">
        <f t="shared" si="275"/>
        <v>61</v>
      </c>
      <c r="BW200">
        <f>IF(D200="","",IFERROR(IF(VLOOKUP(AT200,Потребители_обозначение,4,FALSE)=1,VLOOKUP(AT200,Потребители_обозначение,3,FALSE)*(H200*2-1)+BV200+VLOOKUP(AV200,Этаж_обозначение,3,FALSE)+VLOOKUP(AV200,Этаж_обозначение,4,FALSE),VLOOKUP(AT200,Потребители_обозначение,3,FALSE)*(H200*2-1)+BV200),BV200))</f>
        <v>64</v>
      </c>
      <c r="BX200">
        <f t="shared" si="276"/>
        <v>15</v>
      </c>
      <c r="BY200">
        <f t="shared" si="277"/>
        <v>0</v>
      </c>
      <c r="BZ200">
        <f t="shared" si="278"/>
        <v>2</v>
      </c>
      <c r="CA200">
        <f t="shared" si="279"/>
        <v>0.31</v>
      </c>
      <c r="CB200">
        <f t="shared" si="280"/>
        <v>11.014063681834703</v>
      </c>
      <c r="CC200">
        <f>IFERROR(ROUNDUP(CB200/((Uн_лин/SQRT(3))*1000)*100,2),"")</f>
        <v>4.7699999999999996</v>
      </c>
      <c r="CD200">
        <f>IF(ISNUMBER(CC200),CC200+IFERROR(_xlfn.XLOOKUP(A200,Щиты[Щит],Щиты[ΔU до шин, %]),0),"")</f>
        <v>5.1999999999999993</v>
      </c>
      <c r="CE200">
        <f>IF(D200="","",IF(IFERROR(VLOOKUP(AT200,УГО_спр,2,FALSE),"")="Светильник",3,4)+IF(Методика="нормы 2026",MIN(0.5,MAX(0,N(BW200)-100)*0.005),0))</f>
        <v>4</v>
      </c>
      <c r="CF200" t="str">
        <f>IFERROR(VLOOKUP(BI200,Кабель_обозначение,2,FALSE),"")</f>
        <v>ВВГнг(А)-LS</v>
      </c>
      <c r="CG200" t="str">
        <f>IFERROR(IF(VLOOKUP(BI200,Кабель_обозначение,3,FALSE)=1,CF200&amp;" ("&amp;BJ200&amp;"х"&amp;BS200&amp;")",CF200),"")</f>
        <v>ВВГнг(А)-LS (3х2,5)</v>
      </c>
      <c r="CH200" t="str">
        <f t="shared" si="281"/>
        <v>ВВГнг(А)-LS (3х2,5)
L=64-4,77%</v>
      </c>
      <c r="CI200">
        <f>IFERROR(2*ρкз_Cu*BW200/BS200,"")</f>
        <v>1.34656</v>
      </c>
      <c r="CJ200">
        <f t="shared" si="282"/>
        <v>0.44800000000000006</v>
      </c>
      <c r="CK200" t="str">
        <f>IFERROR(IF(OR(D200="",NOT(ISNUMBER(BS200)),N(BW200)=0),"",_xlfn.XLOOKUP(A200,Щиты[Щит],Щиты[Zпетли на шинах, Ом])+CI200),"")</f>
        <v/>
      </c>
      <c r="CL200" t="str">
        <f>IF(ISNUMBER(CK200),c_min*(Uн_лин*1000/SQRT(3))/CK200,"")</f>
        <v/>
      </c>
      <c r="CM200" t="str">
        <f>IFERROR(IF(OR(D200="",NOT(ISNUMBER(BS200))),"",1.05*(Uн_лин*1000/SQRT(3))/(_xlfn.XLOOKUP(A200,Щиты[Щит],Щиты[Zmax на шинах, Ом])+CJ200)/1000),"")</f>
        <v/>
      </c>
      <c r="CN200" t="str">
        <f>IF(D200="","",IF(BA200&lt;&gt;"","Щит",IF(K200&lt;&gt;"",K200,IF(ISNUMBER(L200),"Сил",IF(IFERROR(_xlfn.XLOOKUP(AT200,Коды_код,Коды_группа)&amp;"","")="","Быт",_xlfn.XLOOKUP(AT200,Коды_код,Коды_группа)&amp;"")))))</f>
        <v>Быт</v>
      </c>
      <c r="CO200">
        <f>IF(CN200="Щит","щит",IF(CN200="","",IF(CN200="Быт",IFERROR(_xlfn.XLOOKUP(A200,Щиты[Щит],Щиты[Кс быт]),1),IF(CN200="Сил",IF(ISNUMBER(L200),L200,IF(Методика="нормы 2026",IFERROR(_xlfn.XLOOKUP(A200,Щиты[Щит],Щиты[Кс силовых (табл. 7.5)]),1),1)),IF(OR(CN200="Пост",CN200="Отоп"),1,IF(CN200="ВНГ",0.7,0))))))</f>
        <v>0.79799999999999993</v>
      </c>
      <c r="CP200">
        <f t="shared" si="283"/>
        <v>1</v>
      </c>
      <c r="CQ200">
        <f t="shared" si="284"/>
        <v>2.2000000000000002</v>
      </c>
      <c r="CR200">
        <f t="shared" si="285"/>
        <v>2.2000000000000002</v>
      </c>
      <c r="CS200">
        <f t="shared" si="286"/>
        <v>0</v>
      </c>
      <c r="CT200">
        <f t="shared" si="287"/>
        <v>0</v>
      </c>
      <c r="CU200">
        <f t="shared" si="288"/>
        <v>0</v>
      </c>
      <c r="CV200">
        <f t="shared" si="289"/>
        <v>0</v>
      </c>
      <c r="CW200">
        <f t="shared" si="290"/>
        <v>2.2000000000000002</v>
      </c>
      <c r="CX200">
        <f t="shared" si="291"/>
        <v>2.09</v>
      </c>
      <c r="CY200">
        <f t="shared" si="292"/>
        <v>1</v>
      </c>
      <c r="CZ200" t="str">
        <f t="shared" si="293"/>
        <v>L1</v>
      </c>
      <c r="DA200" cm="1">
        <f t="array" ref="DA200">IFERROR(IF(BL200=2,_xlfn.IFS(BH200=3,VLOOKUP(BF200,Справочная_двигатели,3,FALSE),BH200=1,VLOOKUP(BF200,Справочная_двигатели,5,TRUE)),0),0)</f>
        <v>0</v>
      </c>
      <c r="DB200">
        <f>IFERROR(IF(BL200=3,VLOOKUP(BF200,Справочная_ЛЭД,2,TRUE),0),0)</f>
        <v>0</v>
      </c>
      <c r="DC200">
        <f t="shared" si="294"/>
        <v>0</v>
      </c>
      <c r="DD200" t="str">
        <f t="shared" si="295"/>
        <v>L1</v>
      </c>
      <c r="DE200" t="str" cm="1">
        <f t="array" ref="DE200">IF(D200="","",IFERROR(INDEX({"I особая","I","II","III"},MATCH(TRIM(AA200&amp;""),{"I особая","I","II","III"},0)),"III"))</f>
        <v>II</v>
      </c>
      <c r="DF200" t="str">
        <f>IF(D200="","",IF(TRIM(AB200&amp;"")&lt;&gt;"",IF(LOWER(TRIM(AB200&amp;""))="да","да","нет"),IF(IFERROR(_xlfn.XLOOKUP(AT200,Коды_код,Коды_пожарная),"")="да","да","нет")))</f>
        <v>нет</v>
      </c>
      <c r="DG200" t="str">
        <f t="shared" si="296"/>
        <v/>
      </c>
      <c r="DH200" t="str">
        <f t="shared" si="297"/>
        <v>основная</v>
      </c>
      <c r="DI200">
        <f t="shared" si="298"/>
        <v>1</v>
      </c>
      <c r="DJ200" t="str" cm="1">
        <f t="array" ref="DJ200">IF(D200="","",_xlfn.LET(_xlpm.t,IFERROR(_xlfn.XLOOKUP(1,(Шины[Шина]=DH200)*(((Шины[Щит]=A200)+(Шины[Щит]=""))&gt;0),Шины[Тип]),"")&amp;"",IF(_xlpm.t&lt;&gt;"",_xlpm.t,IF(ISNUMBER(SEARCH("ИБП",DH200)),"ИБП",IF(ISNUMBER(SEARCH("ДГУ",DH200)),"ДГУ","Ввод "&amp;DI200)))))</f>
        <v>Ввод 1</v>
      </c>
      <c r="DK200" t="str">
        <f t="shared" si="299"/>
        <v>Ввод 1</v>
      </c>
      <c r="DL200" t="str">
        <f>IF(D200="","",IF(OR(DJ200="ИБП",DJ200="ДГУ"),"I особая",IF(DJ200="Одиночная","III",_xlfn.XLOOKUP(A200,Щиты[Щит],Щиты[Категория шины «Ввод»],"III"))))</f>
        <v>II</v>
      </c>
      <c r="DM200">
        <f>IF(D200="",0,IFERROR(MATCH(DE200,{"III","II","I","I особая"},0),1))</f>
        <v>2</v>
      </c>
      <c r="DN200">
        <f t="shared" si="300"/>
        <v>2</v>
      </c>
      <c r="DO200" t="str">
        <f>IF(D200="","",IF(DM200&gt;IFERROR(MATCH(DL200,{"III","II","I","I особая"},0),1),"НЕ ОБЕСПЕЧЕНА","ОК"))</f>
        <v>ОК</v>
      </c>
      <c r="DP200" t="str">
        <f>IF(A200="","",_xlfn.XLOOKUP(A200,Щиты[Щит],Щиты[Путь],""))</f>
        <v>|ГРЩ-ЖД|ЩР-01|</v>
      </c>
      <c r="DQ200" t="str">
        <f>IF(D200="","",IF(Z200&lt;&gt;"",Z200,IF(IFERROR(_xlfn.XLOOKUP(AT200,Коды_код,Коды_вид)&amp;"","")="","Прочее",_xlfn.XLOOKUP(AT200,Коды_код,Коды_вид)&amp;"")))</f>
        <v>Розеточная сеть и бытовые приборы</v>
      </c>
      <c r="DR200">
        <f>IF(BD200="","",INT((BD200-1)/Столбцов_на_лист)+1)</f>
        <v>2</v>
      </c>
      <c r="DS200" t="str">
        <f t="shared" si="301"/>
        <v>ВВГнг(А)-LS (3х2,5) L=64-4,77%</v>
      </c>
      <c r="DT200">
        <f t="shared" si="302"/>
        <v>2.2000000000000002</v>
      </c>
      <c r="DU200">
        <f t="shared" si="303"/>
        <v>10.029999999999999</v>
      </c>
      <c r="DV200">
        <f t="shared" si="304"/>
        <v>1</v>
      </c>
      <c r="DW200">
        <f>IF(AT200="",0,_xlfn.LET(_xlpm.v,IFERROR(VLOOKUP(D200,УГО_спр,3,FALSE),IFERROR(VLOOKUP(AT200,УГО_спр,3,FALSE),IFERROR(VLOOKUP(LEFT(AT200,2),УГО_спр,3,FALSE),""))),IF(_xlpm.v="да",30,IF(ISNUMBER(_xlpm.v),_xlpm.v,0))))</f>
        <v>30</v>
      </c>
      <c r="DX200">
        <f t="shared" si="305"/>
        <v>0</v>
      </c>
      <c r="DY200">
        <f>IF(BD200="","",IF(AD200&lt;&gt;"",COUNTIFS(A$3:A200,A200,AD$3:AD200,"?*"),IF(OR(OR(AS200=1,A200&lt;&gt;A199),AL200="вручную"),"",IF(AS200=1,"",DZ199))))</f>
        <v>16</v>
      </c>
      <c r="DZ200">
        <f t="shared" si="306"/>
        <v>16</v>
      </c>
      <c r="EA200">
        <f>IF(D200="",0,MAX(IFERROR(--X200,0),IFERROR(--VLOOKUP(D200,УГО_спр,4,FALSE),IFERROR(--VLOOKUP(AT200,УГО_спр,4,FALSE),IFERROR(--VLOOKUP(LEFT(AT200,2),УГО_спр,4,FALSE),0)))))</f>
        <v>16</v>
      </c>
      <c r="EB200">
        <f>IF(D200="","",IFERROR(LOOKUP(INDEX(CHOOSE(BR200,Iдоп_1ж,Iдоп_2ж,Iдоп_3ж),MATCH(BS200,Iдоп_S,0))*BP200*BQ200,{6,10,16,20,25,32,40,50,63,80,100,125,160,200,250,315,400,500,630}),""))</f>
        <v>25</v>
      </c>
      <c r="EC200">
        <f>IF(AD200="","",SUMIFS(Линии[_Ток схемы],Линии[_гр.],DY200,Линии[Щит],A200,Линии[_в кабель выше],0))</f>
        <v>10.029999999999999</v>
      </c>
      <c r="ED200">
        <f>IF(AD200="","",IFERROR(VLOOKUP(EC200,Автомат_номиналы,2,TRUE),""))</f>
        <v>16</v>
      </c>
      <c r="EE200">
        <f>IF(AD200="","",MAX(N(ED200),_xlfn.MAXIFS(Линии[_мин. по типу],Линии[_гр.],DY200,Линии[Щит],A200)))</f>
        <v>16</v>
      </c>
      <c r="EF200">
        <f>IF(AD200="","",_xlfn.MINIFS(Линии[_макс. автомат по кабелю],Линии[_гр.],DY200,Линии[Щит],A200))</f>
        <v>25</v>
      </c>
      <c r="EG200">
        <f>IF(AD200="","",MAX(1,_xlfn.MAXIFS(Линии[_фаз],Линии[_гр.],DY200,Линии[Щит],A200)))</f>
        <v>1</v>
      </c>
      <c r="EH200">
        <f>IF(AD200="","",IF(AND(AD200&lt;&gt;"авто",AD200&lt;&gt;"+"),IF(ISNUMBER(SEARCH("мА",AD200)),IFERROR(--TRIM(RIGHT(SUBSTITUTE(LEFT(AD200,SEARCH("мА",AD200)-1)," ",REPT(" ",9)),6)),30),0),IF(AE200="нет",0,IF(ISNUMBER(AE200),AE200,IF(AE200="да",30,_xlfn.MINIFS(Линии[_дифзащита по коду, мА],Линии[_гр.],DY200,Линии[Щит],A200,Линии[_дифзащита по коду, мА],"&gt;0"))))))</f>
        <v>30</v>
      </c>
      <c r="EI200">
        <f t="shared" si="307"/>
        <v>1</v>
      </c>
      <c r="EJ200" t="str">
        <f t="shared" si="308"/>
        <v>QFD16</v>
      </c>
      <c r="EK200" t="str">
        <f t="shared" si="309"/>
        <v>QFD16</v>
      </c>
      <c r="EL200" t="str">
        <f t="shared" si="310"/>
        <v/>
      </c>
      <c r="EM200">
        <f t="shared" si="311"/>
        <v>0</v>
      </c>
      <c r="EN200">
        <f>IF(AD200="","",IF(EM200=1,MAX(EE200,Мин_автомат_БП),EE200))</f>
        <v>16</v>
      </c>
      <c r="EO200" t="str">
        <f t="shared" si="312"/>
        <v>2P</v>
      </c>
      <c r="EP200" t="str">
        <f t="shared" si="313"/>
        <v>2P С16А 30мА</v>
      </c>
      <c r="EQ200">
        <f t="shared" si="314"/>
        <v>16</v>
      </c>
      <c r="ER200" t="str">
        <f>IF(OR(AI200="",AI200="-"),"",IFERROR(VLOOKUP(AI200,Модули_спр,2,FALSE),"R"))</f>
        <v/>
      </c>
      <c r="ES200" t="str">
        <f>IF(ER200="","",ER200&amp;"."&amp;COUNTIFS(A$3:A200,A200,ER$3:ER200,ER200))</f>
        <v/>
      </c>
      <c r="ET200" t="str">
        <f t="shared" si="315"/>
        <v/>
      </c>
      <c r="EU200" t="str">
        <f t="shared" si="316"/>
        <v/>
      </c>
      <c r="EV200" t="str">
        <f t="shared" si="317"/>
        <v/>
      </c>
      <c r="EW200" t="str">
        <f t="shared" si="318"/>
        <v/>
      </c>
      <c r="EX200">
        <f t="shared" si="319"/>
        <v>1</v>
      </c>
      <c r="EY200" t="str">
        <f>IF(AK200="нет","",IF(AK200&lt;&gt;"",AK200,IF(EX200=1,"XT"&amp;COUNTIFS(A$3:A200,A200,EX$3:EX200,1),"")))</f>
        <v/>
      </c>
      <c r="EZ200" t="str">
        <f t="shared" si="320"/>
        <v>QFD16</v>
      </c>
      <c r="FA200" t="str">
        <f t="shared" si="321"/>
        <v/>
      </c>
      <c r="FB200" t="str">
        <f t="shared" si="322"/>
        <v>ok</v>
      </c>
      <c r="FC200" t="str">
        <f>IF(OR(EV200="",ET200=""),"",IF(EV200&gt;IFERROR(VLOOKUP(EU200,Модули_спр,3,FALSE),99),"ЛИШНИЙ КАНАЛ",IF(AND(AJ200&lt;&gt;"=",COUNTIFS(Линии[_модуль гр.],ET200,Линии[Канал (итог)],EV200,Линии[Канал],"&lt;&gt;=",Линии[Щит],A200)&gt;1),"ДУБЛЬ КАНАЛА","")))</f>
        <v/>
      </c>
      <c r="FD200">
        <f t="shared" si="323"/>
        <v>16</v>
      </c>
      <c r="FE200" t="str">
        <f t="shared" si="324"/>
        <v>2P С16А 30мА</v>
      </c>
      <c r="FF200">
        <f t="shared" si="325"/>
        <v>1</v>
      </c>
      <c r="FG200">
        <f t="shared" si="326"/>
        <v>30</v>
      </c>
      <c r="FH200" t="str">
        <f t="shared" si="327"/>
        <v/>
      </c>
      <c r="FI200">
        <f t="shared" si="328"/>
        <v>10</v>
      </c>
      <c r="FJ200" t="str">
        <f t="shared" si="329"/>
        <v/>
      </c>
      <c r="FK200" t="str">
        <f>IF(AND(D200="",EZ200=""),"",_xlfn.TEXTJOIN("; ",TRUE,IF(AND(D200&lt;&gt;"",DD200=""),"нет фазы",""),IF(AND(D200&lt;&gt;"",N(DT200)=0,CN200&lt;&gt;"Нет"),"нет мощности",""),IF(AND(EY200&lt;&gt;"",COUNTIFS(Линии[Щит],A200,Линии[Клемма (итог)],EY200)&gt;1),"дубль клеммы "&amp;EY200,""),IF(AND(FB200&lt;&gt;"",FB200&lt;&gt;"ok"),FB200,""),IF(FC200&lt;&gt;"",FC200,""),IF(AND(ISNUMBER(SEARCH("(5х",DS200)),N(DV200)=1),"5 жил на 1 фазе",""),IF(AND(AT200="R",AD200&lt;&gt;"",OR(N(EH200)=0,N(EH200)&gt;30)),"розетка без дифзащиты до 30 мА",""),IFERROR(IF(AND(ISNUMBER(CD200),CD200&gt;CE200),"потери "&amp;FIXED(CD200,1)&amp;" % &gt; "&amp;CE200&amp;" %",""),""),IFERROR(IF(LEFT(FJ200,4)="мало","Iкз мало — отключение &gt; 0,4 с",""),""),IF(AND(D200&lt;&gt;"",BD200=""),"не на схеме","")))</f>
        <v>потери 5,2 % &gt; 4 %</v>
      </c>
      <c r="FL200">
        <f>IF(AD200="","",_xlfn.LET(_xlpm.t,IFERROR(_xlfn.XLOOKUP(EP200,Каталог!$U$4:$U$500,Каталог!$G$4:$G$500),""),_xlpm.k,SEARCH("кА",_xlpm.t),IFERROR(--TRIM(RIGHT(SUBSTITUTE(MID(_xlpm.t,MAX(1,_xlpm.k-4),_xlpm.k-MAX(1,_xlpm.k-4))," ",REPT(" ",9)),5)),"")))</f>
        <v>6</v>
      </c>
      <c r="FM200" t="str">
        <f>IF(OR(FL200="",AD200=""),"",IF(_xlfn.XLOOKUP(A200,Щиты[Щит],Щиты[Iкз max на шинах, кА],"")="","",IF(FL200&lt;_xlfn.XLOOKUP(A200,Щиты[Щит],Щиты[Iкз max на шинах, кА]),"Icu "&amp;FL200&amp;" кА &lt; Iкз max","ok")))</f>
        <v/>
      </c>
      <c r="FN200" t="str">
        <f t="shared" si="330"/>
        <v>QFD16</v>
      </c>
      <c r="FO200" t="str">
        <f t="shared" si="331"/>
        <v>QFD16|кабель ВВГнг(А)-LS (3х2,5) → Розеточная группа Цокольный этаж Пом. №008A Душ виши</v>
      </c>
      <c r="FP200" t="str" cm="1">
        <f t="array" ref="FP200">IF(FO200="","",_xlfn.LET(_xlpm.nd,_xlfn.TEXTSPLIT(FO200,"|"),IF(COLUMNS(_xlpm.nd)&gt;1,A200&amp;"¦"&amp;INDEX(_xlpm.nd,1)&amp;"¦"&amp;INDEX(_xlpm.nd,2),"")))</f>
        <v>ЩР-01¦QFD16¦кабель ВВГнг(А)-LS (3х2,5) → Розеточная группа Цокольный этаж Пом. №008A Душ виши</v>
      </c>
      <c r="FQ200" t="str">
        <f t="shared" si="332"/>
        <v>R.0.008A.2¦Розеточная группа Цокольный этаж Пом. №008A Душ виши</v>
      </c>
      <c r="FR200" t="str" cm="1">
        <f t="array" ref="FR200">IF(FO200="","",_xlfn.LET(_xlpm.nd,_xlfn.TEXTSPLIT(FO200,"|"),IF(COLUMNS(_xlpm.nd)&gt;2,A200&amp;"¦"&amp;INDEX(_xlpm.nd,2)&amp;"¦"&amp;INDEX(_xlpm.nd,3),"")))</f>
        <v/>
      </c>
      <c r="FS200" t="str">
        <f t="shared" si="333"/>
        <v/>
      </c>
      <c r="FT200" t="str" cm="1">
        <f t="array" ref="FT200">IF(FO200="","",_xlfn.LET(_xlpm.nd,_xlfn.TEXTSPLIT(FO200,"|"),IF(COLUMNS(_xlpm.nd)&gt;3,A200&amp;"¦"&amp;INDEX(_xlpm.nd,3)&amp;"¦"&amp;INDEX(_xlpm.nd,4),"")))</f>
        <v/>
      </c>
      <c r="FU200" t="str">
        <f t="shared" si="334"/>
        <v/>
      </c>
      <c r="FV200" t="str" cm="1">
        <f t="array" ref="FV200">IF(FO200="","",_xlfn.LET(_xlpm.nd,_xlfn.TEXTSPLIT(FO200,"|"),IF(COLUMNS(_xlpm.nd)&gt;4,A200&amp;"¦"&amp;INDEX(_xlpm.nd,4)&amp;"¦"&amp;INDEX(_xlpm.nd,5),"")))</f>
        <v/>
      </c>
      <c r="FW200" t="str">
        <f t="shared" si="335"/>
        <v/>
      </c>
      <c r="FX200" t="str" cm="1">
        <f t="array" ref="FX200">IF(FO200="","",_xlfn.LET(_xlpm.nd,_xlfn.TEXTSPLIT(FO200,"|"),IF(COLUMNS(_xlpm.nd)&gt;5,A200&amp;"¦"&amp;INDEX(_xlpm.nd,5)&amp;"¦"&amp;INDEX(_xlpm.nd,6),"")))</f>
        <v/>
      </c>
      <c r="FY200" t="str">
        <f t="shared" si="336"/>
        <v/>
      </c>
      <c r="FZ200" t="str" cm="1">
        <f t="array" ref="FZ200">IF(FO200="","",_xlfn.LET(_xlpm.nd,_xlfn.TEXTSPLIT(FO200,"|"),IF(COLUMNS(_xlpm.nd)&gt;6,A200&amp;"¦"&amp;INDEX(_xlpm.nd,6)&amp;"¦"&amp;INDEX(_xlpm.nd,7),"")))</f>
        <v/>
      </c>
      <c r="GA200" t="str">
        <f t="shared" si="337"/>
        <v/>
      </c>
      <c r="GB200" t="str">
        <f t="shared" si="338"/>
        <v/>
      </c>
      <c r="GC200" t="str">
        <f t="shared" si="339"/>
        <v>QFD16</v>
      </c>
      <c r="GD200">
        <f t="shared" si="340"/>
        <v>1</v>
      </c>
      <c r="GE200">
        <f t="shared" si="341"/>
        <v>0</v>
      </c>
      <c r="GF200">
        <f t="shared" si="342"/>
        <v>1</v>
      </c>
      <c r="GG200" t="str">
        <f t="shared" si="343"/>
        <v/>
      </c>
      <c r="GH200" t="str">
        <f t="shared" si="344"/>
        <v/>
      </c>
      <c r="GI200" t="str">
        <f t="shared" si="345"/>
        <v/>
      </c>
      <c r="GJ200" t="str">
        <f t="shared" si="346"/>
        <v/>
      </c>
      <c r="GK200" t="str">
        <f>IF(D200="","",IFERROR(VLOOKUP(D200,УГО_спр,2,FALSE),IFERROR(VLOOKUP(AT200,УГО_спр,2,FALSE),IFERROR(VLOOKUP(LEFT(AT200,2),УГО_спр,2,FALSE),""))))</f>
        <v>Розетка</v>
      </c>
      <c r="GL200" t="str">
        <f>IF(D200="","",IF(OR(GK200="",GK200=0),"BOX",IFERROR(IF(VLOOKUP(GK200,УГО_блоки,3,FALSE)&amp;""&lt;&gt;"",VLOOKUP(GK200,УГО_блоки,3,FALSE),VLOOKUP(GK200,УГО_блоки,2,FALSE)),GK200)))</f>
        <v>SOCKET</v>
      </c>
      <c r="GM200">
        <f t="shared" si="347"/>
        <v>1</v>
      </c>
      <c r="GN200" t="str">
        <f>IF(EP200="","",IF(COUNTIF(EP$3:EP200,EP200)=1,MAX(GN$2:GN199)+1,""))</f>
        <v/>
      </c>
      <c r="GO200" t="str">
        <f>IF(AF200="","",IF(COUNTIF(AF$3:AF200,AF200)+COUNTIF(AG$2:AG199,AF200)+COUNTIF(AH$2:AH199,AF200)=1,MAX(GO$2:GQ199)+1,""))</f>
        <v/>
      </c>
      <c r="GP200" t="str">
        <f>IF(AG200="","",IF(COUNTIF(AF$3:AF200,AG200)+COUNTIF(AG$3:AG200,AG200)+COUNTIF(AH$2:AH199,AG200)=1,MAX(GO$2:GQ199,GO200)+1,""))</f>
        <v/>
      </c>
      <c r="GQ200" t="str">
        <f>IF(AH200="","",IF(COUNTIF(AF$3:AF200,AH200)+COUNTIF(AG$3:AG200,AH200)+COUNTIF(AH$3:AH200,AH200)=1,MAX(GO$2:GQ199,GO200,GP200)+1,""))</f>
        <v/>
      </c>
      <c r="GR200" t="str">
        <f t="shared" si="348"/>
        <v>3х2,5</v>
      </c>
      <c r="GS200" t="str">
        <f>IF(GR200="","",IF(COUNTIF(GR$3:GR200,GR200)=1,MAX(GS$2:GS199)+1,""))</f>
        <v/>
      </c>
      <c r="GT200" t="str">
        <f>IF(ES200="","",COUNTIF(ES$3:ES200,"?*"))</f>
        <v/>
      </c>
      <c r="GU200" t="str">
        <f>IF(OR(ES200="",EU200=""),"",IF(COUNTIFS(ES$3:ES200,"?*",EU$3:EU200,EU200)=1,MAX(GU$2:GU199)+1,""))</f>
        <v/>
      </c>
      <c r="GV200">
        <f t="shared" si="349"/>
        <v>1</v>
      </c>
      <c r="GW200">
        <f>IF(D200="","",COUNTIF(D$3:D200,"?*"))</f>
        <v>198</v>
      </c>
      <c r="GX200">
        <f>IF(EX200&lt;&gt;1,0,_xlfn.LET(_xlpm.k,MAX(IFERROR(--VLOOKUP(D200,УГО_спр,5,FALSE),0),IFERROR(--VLOOKUP(AT200,УГО_спр,5,FALSE),0),IFERROR(--VLOOKUP(LEFT(AT200,2),УГО_спр,5,FALSE),0)),IF(_xlpm.k&gt;0,_xlpm.k,IF(IFERROR(--LEFT(SUBSTITUTE(GR200,"x","х"),FIND("х",SUBSTITUTE(GR200,"x","х"))-1),3)&gt;3,Каталог!$S$9,1))))</f>
        <v>1</v>
      </c>
      <c r="GY200">
        <f t="shared" si="350"/>
        <v>0</v>
      </c>
    </row>
    <row r="201" spans="1:207" x14ac:dyDescent="0.3">
      <c r="A201" t="s">
        <v>760</v>
      </c>
      <c r="B201">
        <v>27</v>
      </c>
      <c r="C201" t="str">
        <f>IF(BD201="","",IF(BE201="вводной узел","узел ","")&amp;"л."&amp;(INT((BD201-1)/Столбцов_на_лист)+1)&amp;" / "&amp;(MOD(BD201-1,Столбцов_на_лист)+1))</f>
        <v>л.2 / 10</v>
      </c>
      <c r="D201" t="s">
        <v>1512</v>
      </c>
      <c r="E201" s="133" t="str">
        <f t="shared" si="351"/>
        <v>Розеточная группа Цокольный этаж Пом. №009A</v>
      </c>
      <c r="G201">
        <v>0.24</v>
      </c>
      <c r="H201">
        <v>4</v>
      </c>
      <c r="I201">
        <v>1</v>
      </c>
      <c r="J201">
        <v>230</v>
      </c>
      <c r="K201" t="s">
        <v>566</v>
      </c>
      <c r="O201">
        <v>2</v>
      </c>
      <c r="P201">
        <v>31</v>
      </c>
      <c r="Q201">
        <v>12</v>
      </c>
      <c r="R201">
        <v>40</v>
      </c>
      <c r="S201">
        <v>0</v>
      </c>
      <c r="U201" t="s">
        <v>11</v>
      </c>
      <c r="V201">
        <v>3</v>
      </c>
      <c r="W201">
        <v>2.5</v>
      </c>
      <c r="Z201" t="s">
        <v>565</v>
      </c>
      <c r="AA201" t="s">
        <v>818</v>
      </c>
      <c r="AD201" t="s">
        <v>517</v>
      </c>
      <c r="AK201" t="s">
        <v>488</v>
      </c>
      <c r="AR201" t="str">
        <f t="shared" si="264"/>
        <v/>
      </c>
      <c r="AS201" cm="1">
        <f t="array" ref="AS201">ROW()-ROW(Линии[#Headers])</f>
        <v>199</v>
      </c>
      <c r="AT201" t="str">
        <f t="shared" si="265"/>
        <v>R</v>
      </c>
      <c r="AU201" t="str">
        <f t="shared" si="266"/>
        <v>0.009A.1</v>
      </c>
      <c r="AV201" t="str">
        <f t="shared" si="267"/>
        <v>0</v>
      </c>
      <c r="AW201" t="str">
        <f t="shared" si="268"/>
        <v>009A.1</v>
      </c>
      <c r="AX201" t="str">
        <f t="shared" si="269"/>
        <v>009A</v>
      </c>
      <c r="AY201" t="str">
        <f>IF(D201="","",IF(ISERROR(SEARCH(".",D201)),IFERROR(VLOOKUP(D201,Потребители_обозначение,2,FALSE)&amp;"",""),IFERROR(IF(VLOOKUP(AT201,Потребители_обозначение,4,FALSE)=1,VLOOKUP(AT201,Потребители_обозначение,2,FALSE)&amp;" "&amp;VLOOKUP(AV201,Этаж_обозначение,2,FALSE)&amp;" Пом. №"&amp;AX201,VLOOKUP(AT201,Потребители_обозначение,2,FALSE)&amp;" Шлейф №"&amp;AV201),IFERROR(VLOOKUP(D201,Потребители_обозначение,2,FALSE),""))))</f>
        <v>Розеточная группа Цокольный этаж Пом. №009A</v>
      </c>
      <c r="AZ201" t="str">
        <f t="shared" si="270"/>
        <v>Розеточная группа Цокольный этаж Пом. №009A</v>
      </c>
      <c r="BA201" t="str">
        <f>IF(F201&lt;&gt;"",F201,IF(AND(D201&lt;&gt;"",D201&lt;&gt;A201,ISNUMBER(_xlfn.XMATCH(D201,Щиты[Щит]))),D201,""))</f>
        <v/>
      </c>
      <c r="BB201">
        <f>IFERROR(_xlfn.XMATCH(A201,Щиты[Щит]),0)</f>
        <v>9</v>
      </c>
      <c r="BC201">
        <f>IFERROR(N(_xlfn.XLOOKUP(A201,Щиты[Щит],Щиты[Мест под вводной узел])),15)</f>
        <v>8</v>
      </c>
      <c r="BD201">
        <f t="shared" si="271"/>
        <v>27</v>
      </c>
      <c r="BE201" t="str">
        <f t="shared" si="272"/>
        <v>линии</v>
      </c>
      <c r="BF201">
        <f>IF(D201="","",IF(BA201&lt;&gt;"",IFERROR(_xlfn.XLOOKUP(BA201,Щиты[Щит],Щиты[Руст, кВт]),0),N(G201)))</f>
        <v>0.24</v>
      </c>
      <c r="BG201">
        <f>IF(J201&lt;&gt;"",J201,IF(D201="","",IFERROR(IF(VLOOKUP(AT201,Потребители_обозначение,8,FALSE)=0,"",VLOOKUP(AT201,Потребители_обозначение,8,FALSE)),"")))</f>
        <v>230</v>
      </c>
      <c r="BH201">
        <f>IF(I201&lt;&gt;"",I201,IF(D201="","",IFERROR(IF(VLOOKUP(AT201,Потребители_обозначение,9,FALSE)=0,"",VLOOKUP(AT201,Потребители_обозначение,9,FALSE)),"")))</f>
        <v>1</v>
      </c>
      <c r="BI201" t="str">
        <f>IF(U201&lt;&gt;"",U201,IF(D201="","",IFERROR(IF(VLOOKUP(AT201,Потребители_обозначение,6,FALSE)=0,"",VLOOKUP(AT201,Потребители_обозначение,6,FALSE)),"")))</f>
        <v>мс</v>
      </c>
      <c r="BJ201">
        <f>IF(V201&lt;&gt;"",V201,IF(D201="","",IFERROR(IF(VLOOKUP(AT201,Потребители_обозначение,7,FALSE)=0,"",VLOOKUP(AT201,Потребители_обозначение,7,FALSE)),"")))</f>
        <v>3</v>
      </c>
      <c r="BK201">
        <f>IF(W201&lt;&gt;"",W201,IF(D201="","",IFERROR(IF(VLOOKUP(AT201,Потребители_обозначение,10,FALSE)=0,"",VLOOKUP(AT201,Потребители_обозначение,10,FALSE)),"")))</f>
        <v>2.5</v>
      </c>
      <c r="BL201">
        <f>IFERROR(VLOOKUP(AT201,Потребители_обозначение,5,FALSE),0)</f>
        <v>1</v>
      </c>
      <c r="BM201" cm="1">
        <f t="array" ref="BM201">IF(D201="","",IF(BA201&lt;&gt;"",IFERROR(_xlfn.XLOOKUP(BA201,Щиты[Щит],Щиты[cos φ]),0.95),IF(ISNUMBER(M201),M201,IFERROR(IF(BL201=2,_xlfn.IFS(BH201=3,VLOOKUP(BF201,Справочная_двигатели,8,FALSE),BH201=1,VLOOKUP(BF201,Справочная_двигатели,10,TRUE)),IF(AND(Методика="нормы 2026",CN201="Сил"),0.8,0.95)),0.95))))</f>
        <v>0.95</v>
      </c>
      <c r="BN201" cm="1">
        <f t="array" ref="BN201">IF(D201="","",IF(BA201&lt;&gt;"",IFERROR(_xlfn.XLOOKUP(BA201,Щиты[Щит],Щиты[Iр, А]),""),IFERROR(_xlfn.IFS(BH201=1,BF201/((Uн_лин/SQRT(3))*BM201),BH201=3,BF201/(SQRT(3)*Uн_лин*BM201)),"")))</f>
        <v>1.0939268258329751</v>
      </c>
      <c r="BO201">
        <f>IF(D201="","",IF(N(X201)=0,IFERROR(VLOOKUP(BN201,Автомат_номиналы,2,TRUE),""),X201))</f>
        <v>6</v>
      </c>
      <c r="BP201">
        <f t="shared" si="273"/>
        <v>1</v>
      </c>
      <c r="BQ201">
        <f>IF(ISNUMBER(Y201),Y201,К_прокл)</f>
        <v>1</v>
      </c>
      <c r="BR201">
        <f t="shared" si="274"/>
        <v>2</v>
      </c>
      <c r="BS201" cm="1">
        <f t="array" ref="BS201">IF(D201="","",IF(N(BK201)&lt;&gt;0,BK201,IFERROR(_xlfn.LET(_xlpm.need,BO201/(BP201*BQ201),_xlpm.t,CHOOSE(BR201,Iдоп_1ж,Iдоп_2ж,Iдоп_3ж),_xlpm.k,_xlfn.XMATCH(_xlpm.need,_xlpm.t,1),IF(ISNA(_xlpm.k),"Не исп",INDEX(Iдоп_S,_xlpm.k))),"Не исп")))</f>
        <v>2.5</v>
      </c>
      <c r="BT201">
        <f>IFERROR(VLOOKUP(BS201,Кабель_сопротивление,3,FALSE),"")</f>
        <v>2.2499999999999999E-2</v>
      </c>
      <c r="BU201">
        <f>IFERROR(VLOOKUP(BS201,Кабель_сопротивление,2,FALSE),"")</f>
        <v>0.1</v>
      </c>
      <c r="BV201">
        <f t="shared" si="275"/>
        <v>31</v>
      </c>
      <c r="BW201">
        <f>IF(D201="","",IFERROR(IF(VLOOKUP(AT201,Потребители_обозначение,4,FALSE)=1,VLOOKUP(AT201,Потребители_обозначение,3,FALSE)*(H201*2-1)+BV201+VLOOKUP(AV201,Этаж_обозначение,3,FALSE)+VLOOKUP(AV201,Этаж_обозначение,4,FALSE),VLOOKUP(AT201,Потребители_обозначение,3,FALSE)*(H201*2-1)+BV201),BV201))</f>
        <v>52</v>
      </c>
      <c r="BX201">
        <f t="shared" si="276"/>
        <v>40</v>
      </c>
      <c r="BY201">
        <f t="shared" si="277"/>
        <v>0</v>
      </c>
      <c r="BZ201">
        <f t="shared" si="278"/>
        <v>2</v>
      </c>
      <c r="CA201">
        <f t="shared" si="279"/>
        <v>0.31</v>
      </c>
      <c r="CB201">
        <f t="shared" si="280"/>
        <v>0.97624655361716683</v>
      </c>
      <c r="CC201">
        <f>IFERROR(ROUNDUP(CB201/((Uн_лин/SQRT(3))*1000)*100,2),"")</f>
        <v>0.43</v>
      </c>
      <c r="CD201">
        <f>IF(ISNUMBER(CC201),CC201+IFERROR(_xlfn.XLOOKUP(A201,Щиты[Щит],Щиты[ΔU до шин, %]),0),"")</f>
        <v>0.86</v>
      </c>
      <c r="CE201">
        <f>IF(D201="","",IF(IFERROR(VLOOKUP(AT201,УГО_спр,2,FALSE),"")="Светильник",3,4)+IF(Методика="нормы 2026",MIN(0.5,MAX(0,N(BW201)-100)*0.005),0))</f>
        <v>4</v>
      </c>
      <c r="CF201" t="str">
        <f>IFERROR(VLOOKUP(BI201,Кабель_обозначение,2,FALSE),"")</f>
        <v>ВВГнг(А)-LS</v>
      </c>
      <c r="CG201" t="str">
        <f>IFERROR(IF(VLOOKUP(BI201,Кабель_обозначение,3,FALSE)=1,CF201&amp;" ("&amp;BJ201&amp;"х"&amp;BS201&amp;")",CF201),"")</f>
        <v>ВВГнг(А)-LS (3х2,5)</v>
      </c>
      <c r="CH201" t="str">
        <f t="shared" si="281"/>
        <v>ВВГнг(А)-LS (3х2,5)
L=52-0,43%</v>
      </c>
      <c r="CI201">
        <f>IFERROR(2*ρкз_Cu*BW201/BS201,"")</f>
        <v>1.0940799999999999</v>
      </c>
      <c r="CJ201">
        <f t="shared" si="282"/>
        <v>0.36400000000000005</v>
      </c>
      <c r="CK201" t="str">
        <f>IFERROR(IF(OR(D201="",NOT(ISNUMBER(BS201)),N(BW201)=0),"",_xlfn.XLOOKUP(A201,Щиты[Щит],Щиты[Zпетли на шинах, Ом])+CI201),"")</f>
        <v/>
      </c>
      <c r="CL201" t="str">
        <f>IF(ISNUMBER(CK201),c_min*(Uн_лин*1000/SQRT(3))/CK201,"")</f>
        <v/>
      </c>
      <c r="CM201" t="str">
        <f>IFERROR(IF(OR(D201="",NOT(ISNUMBER(BS201))),"",1.05*(Uн_лин*1000/SQRT(3))/(_xlfn.XLOOKUP(A201,Щиты[Щит],Щиты[Zmax на шинах, Ом])+CJ201)/1000),"")</f>
        <v/>
      </c>
      <c r="CN201" t="str">
        <f>IF(D201="","",IF(BA201&lt;&gt;"","Щит",IF(K201&lt;&gt;"",K201,IF(ISNUMBER(L201),"Сил",IF(IFERROR(_xlfn.XLOOKUP(AT201,Коды_код,Коды_группа)&amp;"","")="","Быт",_xlfn.XLOOKUP(AT201,Коды_код,Коды_группа)&amp;"")))))</f>
        <v>Быт</v>
      </c>
      <c r="CO201">
        <f>IF(CN201="Щит","щит",IF(CN201="","",IF(CN201="Быт",IFERROR(_xlfn.XLOOKUP(A201,Щиты[Щит],Щиты[Кс быт]),1),IF(CN201="Сил",IF(ISNUMBER(L201),L201,IF(Методика="нормы 2026",IFERROR(_xlfn.XLOOKUP(A201,Щиты[Щит],Щиты[Кс силовых (табл. 7.5)]),1),1)),IF(OR(CN201="Пост",CN201="Отоп"),1,IF(CN201="ВНГ",0.7,0))))))</f>
        <v>0.79799999999999993</v>
      </c>
      <c r="CP201">
        <f t="shared" si="283"/>
        <v>1</v>
      </c>
      <c r="CQ201">
        <f t="shared" si="284"/>
        <v>0.24</v>
      </c>
      <c r="CR201">
        <f t="shared" si="285"/>
        <v>0.24</v>
      </c>
      <c r="CS201">
        <f t="shared" si="286"/>
        <v>0</v>
      </c>
      <c r="CT201">
        <f t="shared" si="287"/>
        <v>0</v>
      </c>
      <c r="CU201">
        <f t="shared" si="288"/>
        <v>0</v>
      </c>
      <c r="CV201">
        <f t="shared" si="289"/>
        <v>0</v>
      </c>
      <c r="CW201">
        <f t="shared" si="290"/>
        <v>0.24</v>
      </c>
      <c r="CX201">
        <f t="shared" si="291"/>
        <v>0.22799999999999998</v>
      </c>
      <c r="CY201">
        <f t="shared" si="292"/>
        <v>2</v>
      </c>
      <c r="CZ201" t="str">
        <f t="shared" si="293"/>
        <v>L2</v>
      </c>
      <c r="DA201" cm="1">
        <f t="array" ref="DA201">IFERROR(IF(BL201=2,_xlfn.IFS(BH201=3,VLOOKUP(BF201,Справочная_двигатели,3,FALSE),BH201=1,VLOOKUP(BF201,Справочная_двигатели,5,TRUE)),0),0)</f>
        <v>0</v>
      </c>
      <c r="DB201">
        <f>IFERROR(IF(BL201=3,VLOOKUP(BF201,Справочная_ЛЭД,2,TRUE),0),0)</f>
        <v>0</v>
      </c>
      <c r="DC201">
        <f t="shared" si="294"/>
        <v>0</v>
      </c>
      <c r="DD201" t="str">
        <f t="shared" si="295"/>
        <v>L2</v>
      </c>
      <c r="DE201" t="str" cm="1">
        <f t="array" ref="DE201">IF(D201="","",IFERROR(INDEX({"I особая","I","II","III"},MATCH(TRIM(AA201&amp;""),{"I особая","I","II","III"},0)),"III"))</f>
        <v>II</v>
      </c>
      <c r="DF201" t="str">
        <f>IF(D201="","",IF(TRIM(AB201&amp;"")&lt;&gt;"",IF(LOWER(TRIM(AB201&amp;""))="да","да","нет"),IF(IFERROR(_xlfn.XLOOKUP(AT201,Коды_код,Коды_пожарная),"")="да","да","нет")))</f>
        <v>нет</v>
      </c>
      <c r="DG201" t="str">
        <f t="shared" si="296"/>
        <v/>
      </c>
      <c r="DH201" t="str">
        <f t="shared" si="297"/>
        <v>основная</v>
      </c>
      <c r="DI201">
        <f t="shared" si="298"/>
        <v>1</v>
      </c>
      <c r="DJ201" t="str" cm="1">
        <f t="array" ref="DJ201">IF(D201="","",_xlfn.LET(_xlpm.t,IFERROR(_xlfn.XLOOKUP(1,(Шины[Шина]=DH201)*(((Шины[Щит]=A201)+(Шины[Щит]=""))&gt;0),Шины[Тип]),"")&amp;"",IF(_xlpm.t&lt;&gt;"",_xlpm.t,IF(ISNUMBER(SEARCH("ИБП",DH201)),"ИБП",IF(ISNUMBER(SEARCH("ДГУ",DH201)),"ДГУ","Ввод "&amp;DI201)))))</f>
        <v>Ввод 1</v>
      </c>
      <c r="DK201" t="str">
        <f t="shared" si="299"/>
        <v>Ввод 1</v>
      </c>
      <c r="DL201" t="str">
        <f>IF(D201="","",IF(OR(DJ201="ИБП",DJ201="ДГУ"),"I особая",IF(DJ201="Одиночная","III",_xlfn.XLOOKUP(A201,Щиты[Щит],Щиты[Категория шины «Ввод»],"III"))))</f>
        <v>II</v>
      </c>
      <c r="DM201">
        <f>IF(D201="",0,IFERROR(MATCH(DE201,{"III","II","I","I особая"},0),1))</f>
        <v>2</v>
      </c>
      <c r="DN201">
        <f t="shared" si="300"/>
        <v>2</v>
      </c>
      <c r="DO201" t="str">
        <f>IF(D201="","",IF(DM201&gt;IFERROR(MATCH(DL201,{"III","II","I","I особая"},0),1),"НЕ ОБЕСПЕЧЕНА","ОК"))</f>
        <v>ОК</v>
      </c>
      <c r="DP201" t="str">
        <f>IF(A201="","",_xlfn.XLOOKUP(A201,Щиты[Щит],Щиты[Путь],""))</f>
        <v>|ГРЩ-ЖД|ЩР-01|</v>
      </c>
      <c r="DQ201" t="str">
        <f>IF(D201="","",IF(Z201&lt;&gt;"",Z201,IF(IFERROR(_xlfn.XLOOKUP(AT201,Коды_код,Коды_вид)&amp;"","")="","Прочее",_xlfn.XLOOKUP(AT201,Коды_код,Коды_вид)&amp;"")))</f>
        <v>Розеточная сеть и бытовые приборы</v>
      </c>
      <c r="DR201">
        <f>IF(BD201="","",INT((BD201-1)/Столбцов_на_лист)+1)</f>
        <v>2</v>
      </c>
      <c r="DS201" t="str">
        <f t="shared" si="301"/>
        <v>ВВГнг(А)-LS (3х2,5) L=52-0,43%</v>
      </c>
      <c r="DT201">
        <f t="shared" si="302"/>
        <v>0.24</v>
      </c>
      <c r="DU201">
        <f t="shared" si="303"/>
        <v>1.1000000000000001</v>
      </c>
      <c r="DV201">
        <f t="shared" si="304"/>
        <v>1</v>
      </c>
      <c r="DW201">
        <f>IF(AT201="",0,_xlfn.LET(_xlpm.v,IFERROR(VLOOKUP(D201,УГО_спр,3,FALSE),IFERROR(VLOOKUP(AT201,УГО_спр,3,FALSE),IFERROR(VLOOKUP(LEFT(AT201,2),УГО_спр,3,FALSE),""))),IF(_xlpm.v="да",30,IF(ISNUMBER(_xlpm.v),_xlpm.v,0))))</f>
        <v>30</v>
      </c>
      <c r="DX201">
        <f t="shared" si="305"/>
        <v>0</v>
      </c>
      <c r="DY201">
        <f>IF(BD201="","",IF(AD201&lt;&gt;"",COUNTIFS(A$3:A201,A201,AD$3:AD201,"?*"),IF(OR(OR(AS201=1,A201&lt;&gt;A200),AL201="вручную"),"",IF(AS201=1,"",DZ200))))</f>
        <v>17</v>
      </c>
      <c r="DZ201">
        <f t="shared" si="306"/>
        <v>17</v>
      </c>
      <c r="EA201">
        <f>IF(D201="",0,MAX(IFERROR(--X201,0),IFERROR(--VLOOKUP(D201,УГО_спр,4,FALSE),IFERROR(--VLOOKUP(AT201,УГО_спр,4,FALSE),IFERROR(--VLOOKUP(LEFT(AT201,2),УГО_спр,4,FALSE),0)))))</f>
        <v>16</v>
      </c>
      <c r="EB201">
        <f>IF(D201="","",IFERROR(LOOKUP(INDEX(CHOOSE(BR201,Iдоп_1ж,Iдоп_2ж,Iдоп_3ж),MATCH(BS201,Iдоп_S,0))*BP201*BQ201,{6,10,16,20,25,32,40,50,63,80,100,125,160,200,250,315,400,500,630}),""))</f>
        <v>25</v>
      </c>
      <c r="EC201">
        <f>IF(AD201="","",SUMIFS(Линии[_Ток схемы],Линии[_гр.],DY201,Линии[Щит],A201,Линии[_в кабель выше],0))</f>
        <v>1.1000000000000001</v>
      </c>
      <c r="ED201">
        <f>IF(AD201="","",IFERROR(VLOOKUP(EC201,Автомат_номиналы,2,TRUE),""))</f>
        <v>6</v>
      </c>
      <c r="EE201">
        <f>IF(AD201="","",MAX(N(ED201),_xlfn.MAXIFS(Линии[_мин. по типу],Линии[_гр.],DY201,Линии[Щит],A201)))</f>
        <v>16</v>
      </c>
      <c r="EF201">
        <f>IF(AD201="","",_xlfn.MINIFS(Линии[_макс. автомат по кабелю],Линии[_гр.],DY201,Линии[Щит],A201))</f>
        <v>25</v>
      </c>
      <c r="EG201">
        <f>IF(AD201="","",MAX(1,_xlfn.MAXIFS(Линии[_фаз],Линии[_гр.],DY201,Линии[Щит],A201)))</f>
        <v>1</v>
      </c>
      <c r="EH201">
        <f>IF(AD201="","",IF(AND(AD201&lt;&gt;"авто",AD201&lt;&gt;"+"),IF(ISNUMBER(SEARCH("мА",AD201)),IFERROR(--TRIM(RIGHT(SUBSTITUTE(LEFT(AD201,SEARCH("мА",AD201)-1)," ",REPT(" ",9)),6)),30),0),IF(AE201="нет",0,IF(ISNUMBER(AE201),AE201,IF(AE201="да",30,_xlfn.MINIFS(Линии[_дифзащита по коду, мА],Линии[_гр.],DY201,Линии[Щит],A201,Линии[_дифзащита по коду, мА],"&gt;0"))))))</f>
        <v>30</v>
      </c>
      <c r="EI201">
        <f t="shared" si="307"/>
        <v>1</v>
      </c>
      <c r="EJ201" t="str">
        <f t="shared" si="308"/>
        <v>QFD17</v>
      </c>
      <c r="EK201" t="str">
        <f t="shared" si="309"/>
        <v>QFD17</v>
      </c>
      <c r="EL201" t="str">
        <f t="shared" si="310"/>
        <v/>
      </c>
      <c r="EM201">
        <f t="shared" si="311"/>
        <v>0</v>
      </c>
      <c r="EN201">
        <f>IF(AD201="","",IF(EM201=1,MAX(EE201,Мин_автомат_БП),EE201))</f>
        <v>16</v>
      </c>
      <c r="EO201" t="str">
        <f t="shared" si="312"/>
        <v>2P</v>
      </c>
      <c r="EP201" t="str">
        <f t="shared" si="313"/>
        <v>2P С16А 30мА</v>
      </c>
      <c r="EQ201">
        <f t="shared" si="314"/>
        <v>16</v>
      </c>
      <c r="ER201" t="str">
        <f>IF(OR(AI201="",AI201="-"),"",IFERROR(VLOOKUP(AI201,Модули_спр,2,FALSE),"R"))</f>
        <v/>
      </c>
      <c r="ES201" t="str">
        <f>IF(ER201="","",ER201&amp;"."&amp;COUNTIFS(A$3:A201,A201,ER$3:ER201,ER201))</f>
        <v/>
      </c>
      <c r="ET201" t="str">
        <f t="shared" si="315"/>
        <v/>
      </c>
      <c r="EU201" t="str">
        <f t="shared" si="316"/>
        <v/>
      </c>
      <c r="EV201" t="str">
        <f t="shared" si="317"/>
        <v/>
      </c>
      <c r="EW201" t="str">
        <f t="shared" si="318"/>
        <v/>
      </c>
      <c r="EX201">
        <f t="shared" si="319"/>
        <v>1</v>
      </c>
      <c r="EY201" t="str">
        <f>IF(AK201="нет","",IF(AK201&lt;&gt;"",AK201,IF(EX201=1,"XT"&amp;COUNTIFS(A$3:A201,A201,EX$3:EX201,1),"")))</f>
        <v/>
      </c>
      <c r="EZ201" t="str">
        <f t="shared" si="320"/>
        <v>QFD17</v>
      </c>
      <c r="FA201" t="str">
        <f t="shared" si="321"/>
        <v/>
      </c>
      <c r="FB201" t="str">
        <f t="shared" si="322"/>
        <v>ok</v>
      </c>
      <c r="FC201" t="str">
        <f>IF(OR(EV201="",ET201=""),"",IF(EV201&gt;IFERROR(VLOOKUP(EU201,Модули_спр,3,FALSE),99),"ЛИШНИЙ КАНАЛ",IF(AND(AJ201&lt;&gt;"=",COUNTIFS(Линии[_модуль гр.],ET201,Линии[Канал (итог)],EV201,Линии[Канал],"&lt;&gt;=",Линии[Щит],A201)&gt;1),"ДУБЛЬ КАНАЛА","")))</f>
        <v/>
      </c>
      <c r="FD201">
        <f t="shared" si="323"/>
        <v>16</v>
      </c>
      <c r="FE201" t="str">
        <f t="shared" si="324"/>
        <v>2P С16А 30мА</v>
      </c>
      <c r="FF201">
        <f t="shared" si="325"/>
        <v>1</v>
      </c>
      <c r="FG201">
        <f t="shared" si="326"/>
        <v>30</v>
      </c>
      <c r="FH201" t="str">
        <f t="shared" si="327"/>
        <v/>
      </c>
      <c r="FI201">
        <f t="shared" si="328"/>
        <v>10</v>
      </c>
      <c r="FJ201" t="str">
        <f t="shared" si="329"/>
        <v/>
      </c>
      <c r="FK201" t="str">
        <f>IF(AND(D201="",EZ201=""),"",_xlfn.TEXTJOIN("; ",TRUE,IF(AND(D201&lt;&gt;"",DD201=""),"нет фазы",""),IF(AND(D201&lt;&gt;"",N(DT201)=0,CN201&lt;&gt;"Нет"),"нет мощности",""),IF(AND(EY201&lt;&gt;"",COUNTIFS(Линии[Щит],A201,Линии[Клемма (итог)],EY201)&gt;1),"дубль клеммы "&amp;EY201,""),IF(AND(FB201&lt;&gt;"",FB201&lt;&gt;"ok"),FB201,""),IF(FC201&lt;&gt;"",FC201,""),IF(AND(ISNUMBER(SEARCH("(5х",DS201)),N(DV201)=1),"5 жил на 1 фазе",""),IF(AND(AT201="R",AD201&lt;&gt;"",OR(N(EH201)=0,N(EH201)&gt;30)),"розетка без дифзащиты до 30 мА",""),IFERROR(IF(AND(ISNUMBER(CD201),CD201&gt;CE201),"потери "&amp;FIXED(CD201,1)&amp;" % &gt; "&amp;CE201&amp;" %",""),""),IFERROR(IF(LEFT(FJ201,4)="мало","Iкз мало — отключение &gt; 0,4 с",""),""),IF(AND(D201&lt;&gt;"",BD201=""),"не на схеме","")))</f>
        <v/>
      </c>
      <c r="FL201">
        <f>IF(AD201="","",_xlfn.LET(_xlpm.t,IFERROR(_xlfn.XLOOKUP(EP201,Каталог!$U$4:$U$500,Каталог!$G$4:$G$500),""),_xlpm.k,SEARCH("кА",_xlpm.t),IFERROR(--TRIM(RIGHT(SUBSTITUTE(MID(_xlpm.t,MAX(1,_xlpm.k-4),_xlpm.k-MAX(1,_xlpm.k-4))," ",REPT(" ",9)),5)),"")))</f>
        <v>6</v>
      </c>
      <c r="FM201" t="str">
        <f>IF(OR(FL201="",AD201=""),"",IF(_xlfn.XLOOKUP(A201,Щиты[Щит],Щиты[Iкз max на шинах, кА],"")="","",IF(FL201&lt;_xlfn.XLOOKUP(A201,Щиты[Щит],Щиты[Iкз max на шинах, кА]),"Icu "&amp;FL201&amp;" кА &lt; Iкз max","ok")))</f>
        <v/>
      </c>
      <c r="FN201" t="str">
        <f t="shared" si="330"/>
        <v>QFD17</v>
      </c>
      <c r="FO201" t="str">
        <f t="shared" si="331"/>
        <v>QFD17|кабель ВВГнг(А)-LS (3х2,5) → Розеточная группа Цокольный этаж Пом. №009A</v>
      </c>
      <c r="FP201" t="str" cm="1">
        <f t="array" ref="FP201">IF(FO201="","",_xlfn.LET(_xlpm.nd,_xlfn.TEXTSPLIT(FO201,"|"),IF(COLUMNS(_xlpm.nd)&gt;1,A201&amp;"¦"&amp;INDEX(_xlpm.nd,1)&amp;"¦"&amp;INDEX(_xlpm.nd,2),"")))</f>
        <v>ЩР-01¦QFD17¦кабель ВВГнг(А)-LS (3х2,5) → Розеточная группа Цокольный этаж Пом. №009A</v>
      </c>
      <c r="FQ201" t="str">
        <f t="shared" si="332"/>
        <v>R.0.009A.1¦Розеточная группа Цокольный этаж Пом. №009A</v>
      </c>
      <c r="FR201" t="str" cm="1">
        <f t="array" ref="FR201">IF(FO201="","",_xlfn.LET(_xlpm.nd,_xlfn.TEXTSPLIT(FO201,"|"),IF(COLUMNS(_xlpm.nd)&gt;2,A201&amp;"¦"&amp;INDEX(_xlpm.nd,2)&amp;"¦"&amp;INDEX(_xlpm.nd,3),"")))</f>
        <v/>
      </c>
      <c r="FS201" t="str">
        <f t="shared" si="333"/>
        <v/>
      </c>
      <c r="FT201" t="str" cm="1">
        <f t="array" ref="FT201">IF(FO201="","",_xlfn.LET(_xlpm.nd,_xlfn.TEXTSPLIT(FO201,"|"),IF(COLUMNS(_xlpm.nd)&gt;3,A201&amp;"¦"&amp;INDEX(_xlpm.nd,3)&amp;"¦"&amp;INDEX(_xlpm.nd,4),"")))</f>
        <v/>
      </c>
      <c r="FU201" t="str">
        <f t="shared" si="334"/>
        <v/>
      </c>
      <c r="FV201" t="str" cm="1">
        <f t="array" ref="FV201">IF(FO201="","",_xlfn.LET(_xlpm.nd,_xlfn.TEXTSPLIT(FO201,"|"),IF(COLUMNS(_xlpm.nd)&gt;4,A201&amp;"¦"&amp;INDEX(_xlpm.nd,4)&amp;"¦"&amp;INDEX(_xlpm.nd,5),"")))</f>
        <v/>
      </c>
      <c r="FW201" t="str">
        <f t="shared" si="335"/>
        <v/>
      </c>
      <c r="FX201" t="str" cm="1">
        <f t="array" ref="FX201">IF(FO201="","",_xlfn.LET(_xlpm.nd,_xlfn.TEXTSPLIT(FO201,"|"),IF(COLUMNS(_xlpm.nd)&gt;5,A201&amp;"¦"&amp;INDEX(_xlpm.nd,5)&amp;"¦"&amp;INDEX(_xlpm.nd,6),"")))</f>
        <v/>
      </c>
      <c r="FY201" t="str">
        <f t="shared" si="336"/>
        <v/>
      </c>
      <c r="FZ201" t="str" cm="1">
        <f t="array" ref="FZ201">IF(FO201="","",_xlfn.LET(_xlpm.nd,_xlfn.TEXTSPLIT(FO201,"|"),IF(COLUMNS(_xlpm.nd)&gt;6,A201&amp;"¦"&amp;INDEX(_xlpm.nd,6)&amp;"¦"&amp;INDEX(_xlpm.nd,7),"")))</f>
        <v/>
      </c>
      <c r="GA201" t="str">
        <f t="shared" si="337"/>
        <v/>
      </c>
      <c r="GB201" t="str">
        <f t="shared" si="338"/>
        <v/>
      </c>
      <c r="GC201" t="str">
        <f t="shared" si="339"/>
        <v>QFD17</v>
      </c>
      <c r="GD201">
        <f t="shared" si="340"/>
        <v>1</v>
      </c>
      <c r="GE201">
        <f t="shared" si="341"/>
        <v>0</v>
      </c>
      <c r="GF201">
        <f t="shared" si="342"/>
        <v>1</v>
      </c>
      <c r="GG201" t="str">
        <f t="shared" si="343"/>
        <v/>
      </c>
      <c r="GH201" t="str">
        <f t="shared" si="344"/>
        <v/>
      </c>
      <c r="GI201" t="str">
        <f t="shared" si="345"/>
        <v/>
      </c>
      <c r="GJ201" t="str">
        <f t="shared" si="346"/>
        <v/>
      </c>
      <c r="GK201" t="str">
        <f>IF(D201="","",IFERROR(VLOOKUP(D201,УГО_спр,2,FALSE),IFERROR(VLOOKUP(AT201,УГО_спр,2,FALSE),IFERROR(VLOOKUP(LEFT(AT201,2),УГО_спр,2,FALSE),""))))</f>
        <v>Розетка</v>
      </c>
      <c r="GL201" t="str">
        <f>IF(D201="","",IF(OR(GK201="",GK201=0),"BOX",IFERROR(IF(VLOOKUP(GK201,УГО_блоки,3,FALSE)&amp;""&lt;&gt;"",VLOOKUP(GK201,УГО_блоки,3,FALSE),VLOOKUP(GK201,УГО_блоки,2,FALSE)),GK201)))</f>
        <v>SOCKET</v>
      </c>
      <c r="GM201">
        <f t="shared" si="347"/>
        <v>1</v>
      </c>
      <c r="GN201" t="str">
        <f>IF(EP201="","",IF(COUNTIF(EP$3:EP201,EP201)=1,MAX(GN$2:GN200)+1,""))</f>
        <v/>
      </c>
      <c r="GO201" t="str">
        <f>IF(AF201="","",IF(COUNTIF(AF$3:AF201,AF201)+COUNTIF(AG$2:AG200,AF201)+COUNTIF(AH$2:AH200,AF201)=1,MAX(GO$2:GQ200)+1,""))</f>
        <v/>
      </c>
      <c r="GP201" t="str">
        <f>IF(AG201="","",IF(COUNTIF(AF$3:AF201,AG201)+COUNTIF(AG$3:AG201,AG201)+COUNTIF(AH$2:AH200,AG201)=1,MAX(GO$2:GQ200,GO201)+1,""))</f>
        <v/>
      </c>
      <c r="GQ201" t="str">
        <f>IF(AH201="","",IF(COUNTIF(AF$3:AF201,AH201)+COUNTIF(AG$3:AG201,AH201)+COUNTIF(AH$3:AH201,AH201)=1,MAX(GO$2:GQ200,GO201,GP201)+1,""))</f>
        <v/>
      </c>
      <c r="GR201" t="str">
        <f t="shared" si="348"/>
        <v>3х2,5</v>
      </c>
      <c r="GS201" t="str">
        <f>IF(GR201="","",IF(COUNTIF(GR$3:GR201,GR201)=1,MAX(GS$2:GS200)+1,""))</f>
        <v/>
      </c>
      <c r="GT201" t="str">
        <f>IF(ES201="","",COUNTIF(ES$3:ES201,"?*"))</f>
        <v/>
      </c>
      <c r="GU201" t="str">
        <f>IF(OR(ES201="",EU201=""),"",IF(COUNTIFS(ES$3:ES201,"?*",EU$3:EU201,EU201)=1,MAX(GU$2:GU200)+1,""))</f>
        <v/>
      </c>
      <c r="GV201">
        <f t="shared" si="349"/>
        <v>0</v>
      </c>
      <c r="GW201">
        <f>IF(D201="","",COUNTIF(D$3:D201,"?*"))</f>
        <v>199</v>
      </c>
      <c r="GX201">
        <f>IF(EX201&lt;&gt;1,0,_xlfn.LET(_xlpm.k,MAX(IFERROR(--VLOOKUP(D201,УГО_спр,5,FALSE),0),IFERROR(--VLOOKUP(AT201,УГО_спр,5,FALSE),0),IFERROR(--VLOOKUP(LEFT(AT201,2),УГО_спр,5,FALSE),0)),IF(_xlpm.k&gt;0,_xlpm.k,IF(IFERROR(--LEFT(SUBSTITUTE(GR201,"x","х"),FIND("х",SUBSTITUTE(GR201,"x","х"))-1),3)&gt;3,Каталог!$S$9,1))))</f>
        <v>1</v>
      </c>
      <c r="GY201">
        <f t="shared" si="350"/>
        <v>0</v>
      </c>
    </row>
    <row r="202" spans="1:207" x14ac:dyDescent="0.3">
      <c r="A202" t="s">
        <v>760</v>
      </c>
      <c r="B202">
        <v>28</v>
      </c>
      <c r="C202" t="str">
        <f>IF(BD202="","",IF(BE202="вводной узел","узел ","")&amp;"л."&amp;(INT((BD202-1)/Столбцов_на_лист)+1)&amp;" / "&amp;(MOD(BD202-1,Столбцов_на_лист)+1))</f>
        <v>л.2 / 11</v>
      </c>
      <c r="D202" t="s">
        <v>1513</v>
      </c>
      <c r="E202" s="133" t="str">
        <f t="shared" si="351"/>
        <v>Розеточная группа Цокольный этаж Пом. №009A</v>
      </c>
      <c r="G202">
        <v>0.36</v>
      </c>
      <c r="H202">
        <v>6</v>
      </c>
      <c r="I202">
        <v>1</v>
      </c>
      <c r="J202">
        <v>230</v>
      </c>
      <c r="K202" t="s">
        <v>566</v>
      </c>
      <c r="O202">
        <v>3</v>
      </c>
      <c r="P202">
        <v>26</v>
      </c>
      <c r="Q202">
        <v>14</v>
      </c>
      <c r="R202">
        <v>45</v>
      </c>
      <c r="S202">
        <v>0</v>
      </c>
      <c r="U202" t="s">
        <v>11</v>
      </c>
      <c r="V202">
        <v>3</v>
      </c>
      <c r="W202">
        <v>2.5</v>
      </c>
      <c r="Z202" t="s">
        <v>565</v>
      </c>
      <c r="AA202" t="s">
        <v>818</v>
      </c>
      <c r="AD202" t="s">
        <v>517</v>
      </c>
      <c r="AK202" t="s">
        <v>488</v>
      </c>
      <c r="AR202" t="str">
        <f t="shared" si="264"/>
        <v/>
      </c>
      <c r="AS202" cm="1">
        <f t="array" ref="AS202">ROW()-ROW(Линии[#Headers])</f>
        <v>200</v>
      </c>
      <c r="AT202" t="str">
        <f t="shared" si="265"/>
        <v>R</v>
      </c>
      <c r="AU202" t="str">
        <f t="shared" si="266"/>
        <v>0.009A.2</v>
      </c>
      <c r="AV202" t="str">
        <f t="shared" si="267"/>
        <v>0</v>
      </c>
      <c r="AW202" t="str">
        <f t="shared" si="268"/>
        <v>009A.2</v>
      </c>
      <c r="AX202" t="str">
        <f t="shared" si="269"/>
        <v>009A</v>
      </c>
      <c r="AY202" t="str">
        <f>IF(D202="","",IF(ISERROR(SEARCH(".",D202)),IFERROR(VLOOKUP(D202,Потребители_обозначение,2,FALSE)&amp;"",""),IFERROR(IF(VLOOKUP(AT202,Потребители_обозначение,4,FALSE)=1,VLOOKUP(AT202,Потребители_обозначение,2,FALSE)&amp;" "&amp;VLOOKUP(AV202,Этаж_обозначение,2,FALSE)&amp;" Пом. №"&amp;AX202,VLOOKUP(AT202,Потребители_обозначение,2,FALSE)&amp;" Шлейф №"&amp;AV202),IFERROR(VLOOKUP(D202,Потребители_обозначение,2,FALSE),""))))</f>
        <v>Розеточная группа Цокольный этаж Пом. №009A</v>
      </c>
      <c r="AZ202" t="str">
        <f t="shared" si="270"/>
        <v>Розеточная группа Цокольный этаж Пом. №009A</v>
      </c>
      <c r="BA202" t="str">
        <f>IF(F202&lt;&gt;"",F202,IF(AND(D202&lt;&gt;"",D202&lt;&gt;A202,ISNUMBER(_xlfn.XMATCH(D202,Щиты[Щит]))),D202,""))</f>
        <v/>
      </c>
      <c r="BB202">
        <f>IFERROR(_xlfn.XMATCH(A202,Щиты[Щит]),0)</f>
        <v>9</v>
      </c>
      <c r="BC202">
        <f>IFERROR(N(_xlfn.XLOOKUP(A202,Щиты[Щит],Щиты[Мест под вводной узел])),15)</f>
        <v>8</v>
      </c>
      <c r="BD202">
        <f t="shared" si="271"/>
        <v>28</v>
      </c>
      <c r="BE202" t="str">
        <f t="shared" si="272"/>
        <v>линии</v>
      </c>
      <c r="BF202">
        <f>IF(D202="","",IF(BA202&lt;&gt;"",IFERROR(_xlfn.XLOOKUP(BA202,Щиты[Щит],Щиты[Руст, кВт]),0),N(G202)))</f>
        <v>0.36</v>
      </c>
      <c r="BG202">
        <f>IF(J202&lt;&gt;"",J202,IF(D202="","",IFERROR(IF(VLOOKUP(AT202,Потребители_обозначение,8,FALSE)=0,"",VLOOKUP(AT202,Потребители_обозначение,8,FALSE)),"")))</f>
        <v>230</v>
      </c>
      <c r="BH202">
        <f>IF(I202&lt;&gt;"",I202,IF(D202="","",IFERROR(IF(VLOOKUP(AT202,Потребители_обозначение,9,FALSE)=0,"",VLOOKUP(AT202,Потребители_обозначение,9,FALSE)),"")))</f>
        <v>1</v>
      </c>
      <c r="BI202" t="str">
        <f>IF(U202&lt;&gt;"",U202,IF(D202="","",IFERROR(IF(VLOOKUP(AT202,Потребители_обозначение,6,FALSE)=0,"",VLOOKUP(AT202,Потребители_обозначение,6,FALSE)),"")))</f>
        <v>мс</v>
      </c>
      <c r="BJ202">
        <f>IF(V202&lt;&gt;"",V202,IF(D202="","",IFERROR(IF(VLOOKUP(AT202,Потребители_обозначение,7,FALSE)=0,"",VLOOKUP(AT202,Потребители_обозначение,7,FALSE)),"")))</f>
        <v>3</v>
      </c>
      <c r="BK202">
        <f>IF(W202&lt;&gt;"",W202,IF(D202="","",IFERROR(IF(VLOOKUP(AT202,Потребители_обозначение,10,FALSE)=0,"",VLOOKUP(AT202,Потребители_обозначение,10,FALSE)),"")))</f>
        <v>2.5</v>
      </c>
      <c r="BL202">
        <f>IFERROR(VLOOKUP(AT202,Потребители_обозначение,5,FALSE),0)</f>
        <v>1</v>
      </c>
      <c r="BM202" cm="1">
        <f t="array" ref="BM202">IF(D202="","",IF(BA202&lt;&gt;"",IFERROR(_xlfn.XLOOKUP(BA202,Щиты[Щит],Щиты[cos φ]),0.95),IF(ISNUMBER(M202),M202,IFERROR(IF(BL202=2,_xlfn.IFS(BH202=3,VLOOKUP(BF202,Справочная_двигатели,8,FALSE),BH202=1,VLOOKUP(BF202,Справочная_двигатели,10,TRUE)),IF(AND(Методика="нормы 2026",CN202="Сил"),0.8,0.95)),0.95))))</f>
        <v>0.95</v>
      </c>
      <c r="BN202" cm="1">
        <f t="array" ref="BN202">IF(D202="","",IF(BA202&lt;&gt;"",IFERROR(_xlfn.XLOOKUP(BA202,Щиты[Щит],Щиты[Iр, А]),""),IFERROR(_xlfn.IFS(BH202=1,BF202/((Uн_лин/SQRT(3))*BM202),BH202=3,BF202/(SQRT(3)*Uн_лин*BM202)),"")))</f>
        <v>1.6408902387494626</v>
      </c>
      <c r="BO202">
        <f>IF(D202="","",IF(N(X202)=0,IFERROR(VLOOKUP(BN202,Автомат_номиналы,2,TRUE),""),X202))</f>
        <v>6</v>
      </c>
      <c r="BP202">
        <f t="shared" si="273"/>
        <v>1</v>
      </c>
      <c r="BQ202">
        <f>IF(ISNUMBER(Y202),Y202,К_прокл)</f>
        <v>1</v>
      </c>
      <c r="BR202">
        <f t="shared" si="274"/>
        <v>2</v>
      </c>
      <c r="BS202" cm="1">
        <f t="array" ref="BS202">IF(D202="","",IF(N(BK202)&lt;&gt;0,BK202,IFERROR(_xlfn.LET(_xlpm.need,BO202/(BP202*BQ202),_xlpm.t,CHOOSE(BR202,Iдоп_1ж,Iдоп_2ж,Iдоп_3ж),_xlpm.k,_xlfn.XMATCH(_xlpm.need,_xlpm.t,1),IF(ISNA(_xlpm.k),"Не исп",INDEX(Iдоп_S,_xlpm.k))),"Не исп")))</f>
        <v>2.5</v>
      </c>
      <c r="BT202">
        <f>IFERROR(VLOOKUP(BS202,Кабель_сопротивление,3,FALSE),"")</f>
        <v>2.2499999999999999E-2</v>
      </c>
      <c r="BU202">
        <f>IFERROR(VLOOKUP(BS202,Кабель_сопротивление,2,FALSE),"")</f>
        <v>0.1</v>
      </c>
      <c r="BV202">
        <f t="shared" si="275"/>
        <v>26</v>
      </c>
      <c r="BW202">
        <f>IF(D202="","",IFERROR(IF(VLOOKUP(AT202,Потребители_обозначение,4,FALSE)=1,VLOOKUP(AT202,Потребители_обозначение,3,FALSE)*(H202*2-1)+BV202+VLOOKUP(AV202,Этаж_обозначение,3,FALSE)+VLOOKUP(AV202,Этаж_обозначение,4,FALSE),VLOOKUP(AT202,Потребители_обозначение,3,FALSE)*(H202*2-1)+BV202),BV202))</f>
        <v>59</v>
      </c>
      <c r="BX202">
        <f t="shared" si="276"/>
        <v>45</v>
      </c>
      <c r="BY202">
        <f t="shared" si="277"/>
        <v>0</v>
      </c>
      <c r="BZ202">
        <f t="shared" si="278"/>
        <v>2</v>
      </c>
      <c r="CA202">
        <f t="shared" si="279"/>
        <v>0.31</v>
      </c>
      <c r="CB202">
        <f t="shared" si="280"/>
        <v>1.6614965383676776</v>
      </c>
      <c r="CC202">
        <f>IFERROR(ROUNDUP(CB202/((Uн_лин/SQRT(3))*1000)*100,2),"")</f>
        <v>0.72</v>
      </c>
      <c r="CD202">
        <f>IF(ISNUMBER(CC202),CC202+IFERROR(_xlfn.XLOOKUP(A202,Щиты[Щит],Щиты[ΔU до шин, %]),0),"")</f>
        <v>1.1499999999999999</v>
      </c>
      <c r="CE202">
        <f>IF(D202="","",IF(IFERROR(VLOOKUP(AT202,УГО_спр,2,FALSE),"")="Светильник",3,4)+IF(Методика="нормы 2026",MIN(0.5,MAX(0,N(BW202)-100)*0.005),0))</f>
        <v>4</v>
      </c>
      <c r="CF202" t="str">
        <f>IFERROR(VLOOKUP(BI202,Кабель_обозначение,2,FALSE),"")</f>
        <v>ВВГнг(А)-LS</v>
      </c>
      <c r="CG202" t="str">
        <f>IFERROR(IF(VLOOKUP(BI202,Кабель_обозначение,3,FALSE)=1,CF202&amp;" ("&amp;BJ202&amp;"х"&amp;BS202&amp;")",CF202),"")</f>
        <v>ВВГнг(А)-LS (3х2,5)</v>
      </c>
      <c r="CH202" t="str">
        <f t="shared" si="281"/>
        <v>ВВГнг(А)-LS (3х2,5)
L=59-0,72%</v>
      </c>
      <c r="CI202">
        <f>IFERROR(2*ρкз_Cu*BW202/BS202,"")</f>
        <v>1.24136</v>
      </c>
      <c r="CJ202">
        <f t="shared" si="282"/>
        <v>0.41300000000000009</v>
      </c>
      <c r="CK202" t="str">
        <f>IFERROR(IF(OR(D202="",NOT(ISNUMBER(BS202)),N(BW202)=0),"",_xlfn.XLOOKUP(A202,Щиты[Щит],Щиты[Zпетли на шинах, Ом])+CI202),"")</f>
        <v/>
      </c>
      <c r="CL202" t="str">
        <f>IF(ISNUMBER(CK202),c_min*(Uн_лин*1000/SQRT(3))/CK202,"")</f>
        <v/>
      </c>
      <c r="CM202" t="str">
        <f>IFERROR(IF(OR(D202="",NOT(ISNUMBER(BS202))),"",1.05*(Uн_лин*1000/SQRT(3))/(_xlfn.XLOOKUP(A202,Щиты[Щит],Щиты[Zmax на шинах, Ом])+CJ202)/1000),"")</f>
        <v/>
      </c>
      <c r="CN202" t="str">
        <f>IF(D202="","",IF(BA202&lt;&gt;"","Щит",IF(K202&lt;&gt;"",K202,IF(ISNUMBER(L202),"Сил",IF(IFERROR(_xlfn.XLOOKUP(AT202,Коды_код,Коды_группа)&amp;"","")="","Быт",_xlfn.XLOOKUP(AT202,Коды_код,Коды_группа)&amp;"")))))</f>
        <v>Быт</v>
      </c>
      <c r="CO202">
        <f>IF(CN202="Щит","щит",IF(CN202="","",IF(CN202="Быт",IFERROR(_xlfn.XLOOKUP(A202,Щиты[Щит],Щиты[Кс быт]),1),IF(CN202="Сил",IF(ISNUMBER(L202),L202,IF(Методика="нормы 2026",IFERROR(_xlfn.XLOOKUP(A202,Щиты[Щит],Щиты[Кс силовых (табл. 7.5)]),1),1)),IF(OR(CN202="Пост",CN202="Отоп"),1,IF(CN202="ВНГ",0.7,0))))))</f>
        <v>0.79799999999999993</v>
      </c>
      <c r="CP202">
        <f t="shared" si="283"/>
        <v>1</v>
      </c>
      <c r="CQ202">
        <f t="shared" si="284"/>
        <v>0.36</v>
      </c>
      <c r="CR202">
        <f t="shared" si="285"/>
        <v>0.36</v>
      </c>
      <c r="CS202">
        <f t="shared" si="286"/>
        <v>0</v>
      </c>
      <c r="CT202">
        <f t="shared" si="287"/>
        <v>0</v>
      </c>
      <c r="CU202">
        <f t="shared" si="288"/>
        <v>0</v>
      </c>
      <c r="CV202">
        <f t="shared" si="289"/>
        <v>0</v>
      </c>
      <c r="CW202">
        <f t="shared" si="290"/>
        <v>0.36</v>
      </c>
      <c r="CX202">
        <f t="shared" si="291"/>
        <v>0.34199999999999997</v>
      </c>
      <c r="CY202">
        <f t="shared" si="292"/>
        <v>3</v>
      </c>
      <c r="CZ202" t="str">
        <f t="shared" si="293"/>
        <v>L3</v>
      </c>
      <c r="DA202" cm="1">
        <f t="array" ref="DA202">IFERROR(IF(BL202=2,_xlfn.IFS(BH202=3,VLOOKUP(BF202,Справочная_двигатели,3,FALSE),BH202=1,VLOOKUP(BF202,Справочная_двигатели,5,TRUE)),0),0)</f>
        <v>0</v>
      </c>
      <c r="DB202">
        <f>IFERROR(IF(BL202=3,VLOOKUP(BF202,Справочная_ЛЭД,2,TRUE),0),0)</f>
        <v>0</v>
      </c>
      <c r="DC202">
        <f t="shared" si="294"/>
        <v>0</v>
      </c>
      <c r="DD202" t="str">
        <f t="shared" si="295"/>
        <v>L3</v>
      </c>
      <c r="DE202" t="str" cm="1">
        <f t="array" ref="DE202">IF(D202="","",IFERROR(INDEX({"I особая","I","II","III"},MATCH(TRIM(AA202&amp;""),{"I особая","I","II","III"},0)),"III"))</f>
        <v>II</v>
      </c>
      <c r="DF202" t="str">
        <f>IF(D202="","",IF(TRIM(AB202&amp;"")&lt;&gt;"",IF(LOWER(TRIM(AB202&amp;""))="да","да","нет"),IF(IFERROR(_xlfn.XLOOKUP(AT202,Коды_код,Коды_пожарная),"")="да","да","нет")))</f>
        <v>нет</v>
      </c>
      <c r="DG202" t="str">
        <f t="shared" si="296"/>
        <v/>
      </c>
      <c r="DH202" t="str">
        <f t="shared" si="297"/>
        <v>основная</v>
      </c>
      <c r="DI202">
        <f t="shared" si="298"/>
        <v>1</v>
      </c>
      <c r="DJ202" t="str" cm="1">
        <f t="array" ref="DJ202">IF(D202="","",_xlfn.LET(_xlpm.t,IFERROR(_xlfn.XLOOKUP(1,(Шины[Шина]=DH202)*(((Шины[Щит]=A202)+(Шины[Щит]=""))&gt;0),Шины[Тип]),"")&amp;"",IF(_xlpm.t&lt;&gt;"",_xlpm.t,IF(ISNUMBER(SEARCH("ИБП",DH202)),"ИБП",IF(ISNUMBER(SEARCH("ДГУ",DH202)),"ДГУ","Ввод "&amp;DI202)))))</f>
        <v>Ввод 1</v>
      </c>
      <c r="DK202" t="str">
        <f t="shared" si="299"/>
        <v>Ввод 1</v>
      </c>
      <c r="DL202" t="str">
        <f>IF(D202="","",IF(OR(DJ202="ИБП",DJ202="ДГУ"),"I особая",IF(DJ202="Одиночная","III",_xlfn.XLOOKUP(A202,Щиты[Щит],Щиты[Категория шины «Ввод»],"III"))))</f>
        <v>II</v>
      </c>
      <c r="DM202">
        <f>IF(D202="",0,IFERROR(MATCH(DE202,{"III","II","I","I особая"},0),1))</f>
        <v>2</v>
      </c>
      <c r="DN202">
        <f t="shared" si="300"/>
        <v>2</v>
      </c>
      <c r="DO202" t="str">
        <f>IF(D202="","",IF(DM202&gt;IFERROR(MATCH(DL202,{"III","II","I","I особая"},0),1),"НЕ ОБЕСПЕЧЕНА","ОК"))</f>
        <v>ОК</v>
      </c>
      <c r="DP202" t="str">
        <f>IF(A202="","",_xlfn.XLOOKUP(A202,Щиты[Щит],Щиты[Путь],""))</f>
        <v>|ГРЩ-ЖД|ЩР-01|</v>
      </c>
      <c r="DQ202" t="str">
        <f>IF(D202="","",IF(Z202&lt;&gt;"",Z202,IF(IFERROR(_xlfn.XLOOKUP(AT202,Коды_код,Коды_вид)&amp;"","")="","Прочее",_xlfn.XLOOKUP(AT202,Коды_код,Коды_вид)&amp;"")))</f>
        <v>Розеточная сеть и бытовые приборы</v>
      </c>
      <c r="DR202">
        <f>IF(BD202="","",INT((BD202-1)/Столбцов_на_лист)+1)</f>
        <v>2</v>
      </c>
      <c r="DS202" t="str">
        <f t="shared" si="301"/>
        <v>ВВГнг(А)-LS (3х2,5) L=59-0,72%</v>
      </c>
      <c r="DT202">
        <f t="shared" si="302"/>
        <v>0.36</v>
      </c>
      <c r="DU202">
        <f t="shared" si="303"/>
        <v>1.65</v>
      </c>
      <c r="DV202">
        <f t="shared" si="304"/>
        <v>1</v>
      </c>
      <c r="DW202">
        <f>IF(AT202="",0,_xlfn.LET(_xlpm.v,IFERROR(VLOOKUP(D202,УГО_спр,3,FALSE),IFERROR(VLOOKUP(AT202,УГО_спр,3,FALSE),IFERROR(VLOOKUP(LEFT(AT202,2),УГО_спр,3,FALSE),""))),IF(_xlpm.v="да",30,IF(ISNUMBER(_xlpm.v),_xlpm.v,0))))</f>
        <v>30</v>
      </c>
      <c r="DX202">
        <f t="shared" si="305"/>
        <v>0</v>
      </c>
      <c r="DY202">
        <f>IF(BD202="","",IF(AD202&lt;&gt;"",COUNTIFS(A$3:A202,A202,AD$3:AD202,"?*"),IF(OR(OR(AS202=1,A202&lt;&gt;A201),AL202="вручную"),"",IF(AS202=1,"",DZ201))))</f>
        <v>18</v>
      </c>
      <c r="DZ202">
        <f t="shared" si="306"/>
        <v>18</v>
      </c>
      <c r="EA202">
        <f>IF(D202="",0,MAX(IFERROR(--X202,0),IFERROR(--VLOOKUP(D202,УГО_спр,4,FALSE),IFERROR(--VLOOKUP(AT202,УГО_спр,4,FALSE),IFERROR(--VLOOKUP(LEFT(AT202,2),УГО_спр,4,FALSE),0)))))</f>
        <v>16</v>
      </c>
      <c r="EB202">
        <f>IF(D202="","",IFERROR(LOOKUP(INDEX(CHOOSE(BR202,Iдоп_1ж,Iдоп_2ж,Iдоп_3ж),MATCH(BS202,Iдоп_S,0))*BP202*BQ202,{6,10,16,20,25,32,40,50,63,80,100,125,160,200,250,315,400,500,630}),""))</f>
        <v>25</v>
      </c>
      <c r="EC202">
        <f>IF(AD202="","",SUMIFS(Линии[_Ток схемы],Линии[_гр.],DY202,Линии[Щит],A202,Линии[_в кабель выше],0))</f>
        <v>1.65</v>
      </c>
      <c r="ED202">
        <f>IF(AD202="","",IFERROR(VLOOKUP(EC202,Автомат_номиналы,2,TRUE),""))</f>
        <v>6</v>
      </c>
      <c r="EE202">
        <f>IF(AD202="","",MAX(N(ED202),_xlfn.MAXIFS(Линии[_мин. по типу],Линии[_гр.],DY202,Линии[Щит],A202)))</f>
        <v>16</v>
      </c>
      <c r="EF202">
        <f>IF(AD202="","",_xlfn.MINIFS(Линии[_макс. автомат по кабелю],Линии[_гр.],DY202,Линии[Щит],A202))</f>
        <v>25</v>
      </c>
      <c r="EG202">
        <f>IF(AD202="","",MAX(1,_xlfn.MAXIFS(Линии[_фаз],Линии[_гр.],DY202,Линии[Щит],A202)))</f>
        <v>1</v>
      </c>
      <c r="EH202">
        <f>IF(AD202="","",IF(AND(AD202&lt;&gt;"авто",AD202&lt;&gt;"+"),IF(ISNUMBER(SEARCH("мА",AD202)),IFERROR(--TRIM(RIGHT(SUBSTITUTE(LEFT(AD202,SEARCH("мА",AD202)-1)," ",REPT(" ",9)),6)),30),0),IF(AE202="нет",0,IF(ISNUMBER(AE202),AE202,IF(AE202="да",30,_xlfn.MINIFS(Линии[_дифзащита по коду, мА],Линии[_гр.],DY202,Линии[Щит],A202,Линии[_дифзащита по коду, мА],"&gt;0"))))))</f>
        <v>30</v>
      </c>
      <c r="EI202">
        <f t="shared" si="307"/>
        <v>1</v>
      </c>
      <c r="EJ202" t="str">
        <f t="shared" si="308"/>
        <v>QFD18</v>
      </c>
      <c r="EK202" t="str">
        <f t="shared" si="309"/>
        <v>QFD18</v>
      </c>
      <c r="EL202" t="str">
        <f t="shared" si="310"/>
        <v/>
      </c>
      <c r="EM202">
        <f t="shared" si="311"/>
        <v>0</v>
      </c>
      <c r="EN202">
        <f>IF(AD202="","",IF(EM202=1,MAX(EE202,Мин_автомат_БП),EE202))</f>
        <v>16</v>
      </c>
      <c r="EO202" t="str">
        <f t="shared" si="312"/>
        <v>2P</v>
      </c>
      <c r="EP202" t="str">
        <f t="shared" si="313"/>
        <v>2P С16А 30мА</v>
      </c>
      <c r="EQ202">
        <f t="shared" si="314"/>
        <v>16</v>
      </c>
      <c r="ER202" t="str">
        <f>IF(OR(AI202="",AI202="-"),"",IFERROR(VLOOKUP(AI202,Модули_спр,2,FALSE),"R"))</f>
        <v/>
      </c>
      <c r="ES202" t="str">
        <f>IF(ER202="","",ER202&amp;"."&amp;COUNTIFS(A$3:A202,A202,ER$3:ER202,ER202))</f>
        <v/>
      </c>
      <c r="ET202" t="str">
        <f t="shared" si="315"/>
        <v/>
      </c>
      <c r="EU202" t="str">
        <f t="shared" si="316"/>
        <v/>
      </c>
      <c r="EV202" t="str">
        <f t="shared" si="317"/>
        <v/>
      </c>
      <c r="EW202" t="str">
        <f t="shared" si="318"/>
        <v/>
      </c>
      <c r="EX202">
        <f t="shared" si="319"/>
        <v>1</v>
      </c>
      <c r="EY202" t="str">
        <f>IF(AK202="нет","",IF(AK202&lt;&gt;"",AK202,IF(EX202=1,"XT"&amp;COUNTIFS(A$3:A202,A202,EX$3:EX202,1),"")))</f>
        <v/>
      </c>
      <c r="EZ202" t="str">
        <f t="shared" si="320"/>
        <v>QFD18</v>
      </c>
      <c r="FA202" t="str">
        <f t="shared" si="321"/>
        <v/>
      </c>
      <c r="FB202" t="str">
        <f t="shared" si="322"/>
        <v>ok</v>
      </c>
      <c r="FC202" t="str">
        <f>IF(OR(EV202="",ET202=""),"",IF(EV202&gt;IFERROR(VLOOKUP(EU202,Модули_спр,3,FALSE),99),"ЛИШНИЙ КАНАЛ",IF(AND(AJ202&lt;&gt;"=",COUNTIFS(Линии[_модуль гр.],ET202,Линии[Канал (итог)],EV202,Линии[Канал],"&lt;&gt;=",Линии[Щит],A202)&gt;1),"ДУБЛЬ КАНАЛА","")))</f>
        <v/>
      </c>
      <c r="FD202">
        <f t="shared" si="323"/>
        <v>16</v>
      </c>
      <c r="FE202" t="str">
        <f t="shared" si="324"/>
        <v>2P С16А 30мА</v>
      </c>
      <c r="FF202">
        <f t="shared" si="325"/>
        <v>1</v>
      </c>
      <c r="FG202">
        <f t="shared" si="326"/>
        <v>30</v>
      </c>
      <c r="FH202" t="str">
        <f t="shared" si="327"/>
        <v/>
      </c>
      <c r="FI202">
        <f t="shared" si="328"/>
        <v>10</v>
      </c>
      <c r="FJ202" t="str">
        <f t="shared" si="329"/>
        <v/>
      </c>
      <c r="FK202" t="str">
        <f>IF(AND(D202="",EZ202=""),"",_xlfn.TEXTJOIN("; ",TRUE,IF(AND(D202&lt;&gt;"",DD202=""),"нет фазы",""),IF(AND(D202&lt;&gt;"",N(DT202)=0,CN202&lt;&gt;"Нет"),"нет мощности",""),IF(AND(EY202&lt;&gt;"",COUNTIFS(Линии[Щит],A202,Линии[Клемма (итог)],EY202)&gt;1),"дубль клеммы "&amp;EY202,""),IF(AND(FB202&lt;&gt;"",FB202&lt;&gt;"ok"),FB202,""),IF(FC202&lt;&gt;"",FC202,""),IF(AND(ISNUMBER(SEARCH("(5х",DS202)),N(DV202)=1),"5 жил на 1 фазе",""),IF(AND(AT202="R",AD202&lt;&gt;"",OR(N(EH202)=0,N(EH202)&gt;30)),"розетка без дифзащиты до 30 мА",""),IFERROR(IF(AND(ISNUMBER(CD202),CD202&gt;CE202),"потери "&amp;FIXED(CD202,1)&amp;" % &gt; "&amp;CE202&amp;" %",""),""),IFERROR(IF(LEFT(FJ202,4)="мало","Iкз мало — отключение &gt; 0,4 с",""),""),IF(AND(D202&lt;&gt;"",BD202=""),"не на схеме","")))</f>
        <v/>
      </c>
      <c r="FL202">
        <f>IF(AD202="","",_xlfn.LET(_xlpm.t,IFERROR(_xlfn.XLOOKUP(EP202,Каталог!$U$4:$U$500,Каталог!$G$4:$G$500),""),_xlpm.k,SEARCH("кА",_xlpm.t),IFERROR(--TRIM(RIGHT(SUBSTITUTE(MID(_xlpm.t,MAX(1,_xlpm.k-4),_xlpm.k-MAX(1,_xlpm.k-4))," ",REPT(" ",9)),5)),"")))</f>
        <v>6</v>
      </c>
      <c r="FM202" t="str">
        <f>IF(OR(FL202="",AD202=""),"",IF(_xlfn.XLOOKUP(A202,Щиты[Щит],Щиты[Iкз max на шинах, кА],"")="","",IF(FL202&lt;_xlfn.XLOOKUP(A202,Щиты[Щит],Щиты[Iкз max на шинах, кА]),"Icu "&amp;FL202&amp;" кА &lt; Iкз max","ok")))</f>
        <v/>
      </c>
      <c r="FN202" t="str">
        <f t="shared" si="330"/>
        <v>QFD18</v>
      </c>
      <c r="FO202" t="str">
        <f t="shared" si="331"/>
        <v>QFD18|кабель ВВГнг(А)-LS (3х2,5) → Розеточная группа Цокольный этаж Пом. №009A</v>
      </c>
      <c r="FP202" t="str" cm="1">
        <f t="array" ref="FP202">IF(FO202="","",_xlfn.LET(_xlpm.nd,_xlfn.TEXTSPLIT(FO202,"|"),IF(COLUMNS(_xlpm.nd)&gt;1,A202&amp;"¦"&amp;INDEX(_xlpm.nd,1)&amp;"¦"&amp;INDEX(_xlpm.nd,2),"")))</f>
        <v>ЩР-01¦QFD18¦кабель ВВГнг(А)-LS (3х2,5) → Розеточная группа Цокольный этаж Пом. №009A</v>
      </c>
      <c r="FQ202" t="str">
        <f t="shared" si="332"/>
        <v>R.0.009A.2¦Розеточная группа Цокольный этаж Пом. №009A</v>
      </c>
      <c r="FR202" t="str" cm="1">
        <f t="array" ref="FR202">IF(FO202="","",_xlfn.LET(_xlpm.nd,_xlfn.TEXTSPLIT(FO202,"|"),IF(COLUMNS(_xlpm.nd)&gt;2,A202&amp;"¦"&amp;INDEX(_xlpm.nd,2)&amp;"¦"&amp;INDEX(_xlpm.nd,3),"")))</f>
        <v/>
      </c>
      <c r="FS202" t="str">
        <f t="shared" si="333"/>
        <v/>
      </c>
      <c r="FT202" t="str" cm="1">
        <f t="array" ref="FT202">IF(FO202="","",_xlfn.LET(_xlpm.nd,_xlfn.TEXTSPLIT(FO202,"|"),IF(COLUMNS(_xlpm.nd)&gt;3,A202&amp;"¦"&amp;INDEX(_xlpm.nd,3)&amp;"¦"&amp;INDEX(_xlpm.nd,4),"")))</f>
        <v/>
      </c>
      <c r="FU202" t="str">
        <f t="shared" si="334"/>
        <v/>
      </c>
      <c r="FV202" t="str" cm="1">
        <f t="array" ref="FV202">IF(FO202="","",_xlfn.LET(_xlpm.nd,_xlfn.TEXTSPLIT(FO202,"|"),IF(COLUMNS(_xlpm.nd)&gt;4,A202&amp;"¦"&amp;INDEX(_xlpm.nd,4)&amp;"¦"&amp;INDEX(_xlpm.nd,5),"")))</f>
        <v/>
      </c>
      <c r="FW202" t="str">
        <f t="shared" si="335"/>
        <v/>
      </c>
      <c r="FX202" t="str" cm="1">
        <f t="array" ref="FX202">IF(FO202="","",_xlfn.LET(_xlpm.nd,_xlfn.TEXTSPLIT(FO202,"|"),IF(COLUMNS(_xlpm.nd)&gt;5,A202&amp;"¦"&amp;INDEX(_xlpm.nd,5)&amp;"¦"&amp;INDEX(_xlpm.nd,6),"")))</f>
        <v/>
      </c>
      <c r="FY202" t="str">
        <f t="shared" si="336"/>
        <v/>
      </c>
      <c r="FZ202" t="str" cm="1">
        <f t="array" ref="FZ202">IF(FO202="","",_xlfn.LET(_xlpm.nd,_xlfn.TEXTSPLIT(FO202,"|"),IF(COLUMNS(_xlpm.nd)&gt;6,A202&amp;"¦"&amp;INDEX(_xlpm.nd,6)&amp;"¦"&amp;INDEX(_xlpm.nd,7),"")))</f>
        <v/>
      </c>
      <c r="GA202" t="str">
        <f t="shared" si="337"/>
        <v/>
      </c>
      <c r="GB202" t="str">
        <f t="shared" si="338"/>
        <v/>
      </c>
      <c r="GC202" t="str">
        <f t="shared" si="339"/>
        <v>QFD18</v>
      </c>
      <c r="GD202">
        <f t="shared" si="340"/>
        <v>1</v>
      </c>
      <c r="GE202">
        <f t="shared" si="341"/>
        <v>0</v>
      </c>
      <c r="GF202">
        <f t="shared" si="342"/>
        <v>1</v>
      </c>
      <c r="GG202" t="str">
        <f t="shared" si="343"/>
        <v/>
      </c>
      <c r="GH202" t="str">
        <f t="shared" si="344"/>
        <v/>
      </c>
      <c r="GI202" t="str">
        <f t="shared" si="345"/>
        <v/>
      </c>
      <c r="GJ202" t="str">
        <f t="shared" si="346"/>
        <v/>
      </c>
      <c r="GK202" t="str">
        <f>IF(D202="","",IFERROR(VLOOKUP(D202,УГО_спр,2,FALSE),IFERROR(VLOOKUP(AT202,УГО_спр,2,FALSE),IFERROR(VLOOKUP(LEFT(AT202,2),УГО_спр,2,FALSE),""))))</f>
        <v>Розетка</v>
      </c>
      <c r="GL202" t="str">
        <f>IF(D202="","",IF(OR(GK202="",GK202=0),"BOX",IFERROR(IF(VLOOKUP(GK202,УГО_блоки,3,FALSE)&amp;""&lt;&gt;"",VLOOKUP(GK202,УГО_блоки,3,FALSE),VLOOKUP(GK202,УГО_блоки,2,FALSE)),GK202)))</f>
        <v>SOCKET</v>
      </c>
      <c r="GM202">
        <f t="shared" si="347"/>
        <v>1</v>
      </c>
      <c r="GN202" t="str">
        <f>IF(EP202="","",IF(COUNTIF(EP$3:EP202,EP202)=1,MAX(GN$2:GN201)+1,""))</f>
        <v/>
      </c>
      <c r="GO202" t="str">
        <f>IF(AF202="","",IF(COUNTIF(AF$3:AF202,AF202)+COUNTIF(AG$2:AG201,AF202)+COUNTIF(AH$2:AH201,AF202)=1,MAX(GO$2:GQ201)+1,""))</f>
        <v/>
      </c>
      <c r="GP202" t="str">
        <f>IF(AG202="","",IF(COUNTIF(AF$3:AF202,AG202)+COUNTIF(AG$3:AG202,AG202)+COUNTIF(AH$2:AH201,AG202)=1,MAX(GO$2:GQ201,GO202)+1,""))</f>
        <v/>
      </c>
      <c r="GQ202" t="str">
        <f>IF(AH202="","",IF(COUNTIF(AF$3:AF202,AH202)+COUNTIF(AG$3:AG202,AH202)+COUNTIF(AH$3:AH202,AH202)=1,MAX(GO$2:GQ201,GO202,GP202)+1,""))</f>
        <v/>
      </c>
      <c r="GR202" t="str">
        <f t="shared" si="348"/>
        <v>3х2,5</v>
      </c>
      <c r="GS202" t="str">
        <f>IF(GR202="","",IF(COUNTIF(GR$3:GR202,GR202)=1,MAX(GS$2:GS201)+1,""))</f>
        <v/>
      </c>
      <c r="GT202" t="str">
        <f>IF(ES202="","",COUNTIF(ES$3:ES202,"?*"))</f>
        <v/>
      </c>
      <c r="GU202" t="str">
        <f>IF(OR(ES202="",EU202=""),"",IF(COUNTIFS(ES$3:ES202,"?*",EU$3:EU202,EU202)=1,MAX(GU$2:GU201)+1,""))</f>
        <v/>
      </c>
      <c r="GV202">
        <f t="shared" si="349"/>
        <v>0</v>
      </c>
      <c r="GW202">
        <f>IF(D202="","",COUNTIF(D$3:D202,"?*"))</f>
        <v>200</v>
      </c>
      <c r="GX202">
        <f>IF(EX202&lt;&gt;1,0,_xlfn.LET(_xlpm.k,MAX(IFERROR(--VLOOKUP(D202,УГО_спр,5,FALSE),0),IFERROR(--VLOOKUP(AT202,УГО_спр,5,FALSE),0),IFERROR(--VLOOKUP(LEFT(AT202,2),УГО_спр,5,FALSE),0)),IF(_xlpm.k&gt;0,_xlpm.k,IF(IFERROR(--LEFT(SUBSTITUTE(GR202,"x","х"),FIND("х",SUBSTITUTE(GR202,"x","х"))-1),3)&gt;3,Каталог!$S$9,1))))</f>
        <v>1</v>
      </c>
      <c r="GY202">
        <f t="shared" si="350"/>
        <v>0</v>
      </c>
    </row>
    <row r="203" spans="1:207" x14ac:dyDescent="0.3">
      <c r="A203" t="s">
        <v>760</v>
      </c>
      <c r="B203">
        <v>29</v>
      </c>
      <c r="C203" t="str">
        <f>IF(BD203="","",IF(BE203="вводной узел","узел ","")&amp;"л."&amp;(INT((BD203-1)/Столбцов_на_лист)+1)&amp;" / "&amp;(MOD(BD203-1,Столбцов_на_лист)+1))</f>
        <v>л.2 / 12</v>
      </c>
      <c r="D203" t="s">
        <v>1514</v>
      </c>
      <c r="E203" s="133" t="str">
        <f t="shared" si="351"/>
        <v>Розеточная группа Цокольный этаж Пом. №010A</v>
      </c>
      <c r="G203">
        <v>0.06</v>
      </c>
      <c r="H203">
        <v>1</v>
      </c>
      <c r="I203">
        <v>1</v>
      </c>
      <c r="J203">
        <v>230</v>
      </c>
      <c r="K203" t="s">
        <v>566</v>
      </c>
      <c r="O203">
        <v>3</v>
      </c>
      <c r="P203">
        <v>27</v>
      </c>
      <c r="Q203">
        <v>13</v>
      </c>
      <c r="R203">
        <v>17</v>
      </c>
      <c r="S203">
        <v>0</v>
      </c>
      <c r="U203" t="s">
        <v>11</v>
      </c>
      <c r="V203">
        <v>3</v>
      </c>
      <c r="W203">
        <v>2.5</v>
      </c>
      <c r="Z203" t="s">
        <v>565</v>
      </c>
      <c r="AA203" t="s">
        <v>818</v>
      </c>
      <c r="AD203" t="s">
        <v>517</v>
      </c>
      <c r="AK203" t="s">
        <v>488</v>
      </c>
      <c r="AR203" t="str">
        <f t="shared" si="264"/>
        <v/>
      </c>
      <c r="AS203" cm="1">
        <f t="array" ref="AS203">ROW()-ROW(Линии[#Headers])</f>
        <v>201</v>
      </c>
      <c r="AT203" t="str">
        <f t="shared" si="265"/>
        <v>R</v>
      </c>
      <c r="AU203" t="str">
        <f t="shared" si="266"/>
        <v>0.010A.1</v>
      </c>
      <c r="AV203" t="str">
        <f t="shared" si="267"/>
        <v>0</v>
      </c>
      <c r="AW203" t="str">
        <f t="shared" si="268"/>
        <v>010A.1</v>
      </c>
      <c r="AX203" t="str">
        <f t="shared" si="269"/>
        <v>010A</v>
      </c>
      <c r="AY203" t="str">
        <f>IF(D203="","",IF(ISERROR(SEARCH(".",D203)),IFERROR(VLOOKUP(D203,Потребители_обозначение,2,FALSE)&amp;"",""),IFERROR(IF(VLOOKUP(AT203,Потребители_обозначение,4,FALSE)=1,VLOOKUP(AT203,Потребители_обозначение,2,FALSE)&amp;" "&amp;VLOOKUP(AV203,Этаж_обозначение,2,FALSE)&amp;" Пом. №"&amp;AX203,VLOOKUP(AT203,Потребители_обозначение,2,FALSE)&amp;" Шлейф №"&amp;AV203),IFERROR(VLOOKUP(D203,Потребители_обозначение,2,FALSE),""))))</f>
        <v>Розеточная группа Цокольный этаж Пом. №010A</v>
      </c>
      <c r="AZ203" t="str">
        <f t="shared" si="270"/>
        <v>Розеточная группа Цокольный этаж Пом. №010A</v>
      </c>
      <c r="BA203" t="str">
        <f>IF(F203&lt;&gt;"",F203,IF(AND(D203&lt;&gt;"",D203&lt;&gt;A203,ISNUMBER(_xlfn.XMATCH(D203,Щиты[Щит]))),D203,""))</f>
        <v/>
      </c>
      <c r="BB203">
        <f>IFERROR(_xlfn.XMATCH(A203,Щиты[Щит]),0)</f>
        <v>9</v>
      </c>
      <c r="BC203">
        <f>IFERROR(N(_xlfn.XLOOKUP(A203,Щиты[Щит],Щиты[Мест под вводной узел])),15)</f>
        <v>8</v>
      </c>
      <c r="BD203">
        <f t="shared" si="271"/>
        <v>29</v>
      </c>
      <c r="BE203" t="str">
        <f t="shared" si="272"/>
        <v>линии</v>
      </c>
      <c r="BF203">
        <f>IF(D203="","",IF(BA203&lt;&gt;"",IFERROR(_xlfn.XLOOKUP(BA203,Щиты[Щит],Щиты[Руст, кВт]),0),N(G203)))</f>
        <v>0.06</v>
      </c>
      <c r="BG203">
        <f>IF(J203&lt;&gt;"",J203,IF(D203="","",IFERROR(IF(VLOOKUP(AT203,Потребители_обозначение,8,FALSE)=0,"",VLOOKUP(AT203,Потребители_обозначение,8,FALSE)),"")))</f>
        <v>230</v>
      </c>
      <c r="BH203">
        <f>IF(I203&lt;&gt;"",I203,IF(D203="","",IFERROR(IF(VLOOKUP(AT203,Потребители_обозначение,9,FALSE)=0,"",VLOOKUP(AT203,Потребители_обозначение,9,FALSE)),"")))</f>
        <v>1</v>
      </c>
      <c r="BI203" t="str">
        <f>IF(U203&lt;&gt;"",U203,IF(D203="","",IFERROR(IF(VLOOKUP(AT203,Потребители_обозначение,6,FALSE)=0,"",VLOOKUP(AT203,Потребители_обозначение,6,FALSE)),"")))</f>
        <v>мс</v>
      </c>
      <c r="BJ203">
        <f>IF(V203&lt;&gt;"",V203,IF(D203="","",IFERROR(IF(VLOOKUP(AT203,Потребители_обозначение,7,FALSE)=0,"",VLOOKUP(AT203,Потребители_обозначение,7,FALSE)),"")))</f>
        <v>3</v>
      </c>
      <c r="BK203">
        <f>IF(W203&lt;&gt;"",W203,IF(D203="","",IFERROR(IF(VLOOKUP(AT203,Потребители_обозначение,10,FALSE)=0,"",VLOOKUP(AT203,Потребители_обозначение,10,FALSE)),"")))</f>
        <v>2.5</v>
      </c>
      <c r="BL203">
        <f>IFERROR(VLOOKUP(AT203,Потребители_обозначение,5,FALSE),0)</f>
        <v>1</v>
      </c>
      <c r="BM203" cm="1">
        <f t="array" ref="BM203">IF(D203="","",IF(BA203&lt;&gt;"",IFERROR(_xlfn.XLOOKUP(BA203,Щиты[Щит],Щиты[cos φ]),0.95),IF(ISNUMBER(M203),M203,IFERROR(IF(BL203=2,_xlfn.IFS(BH203=3,VLOOKUP(BF203,Справочная_двигатели,8,FALSE),BH203=1,VLOOKUP(BF203,Справочная_двигатели,10,TRUE)),IF(AND(Методика="нормы 2026",CN203="Сил"),0.8,0.95)),0.95))))</f>
        <v>0.95</v>
      </c>
      <c r="BN203" cm="1">
        <f t="array" ref="BN203">IF(D203="","",IF(BA203&lt;&gt;"",IFERROR(_xlfn.XLOOKUP(BA203,Щиты[Щит],Щиты[Iр, А]),""),IFERROR(_xlfn.IFS(BH203=1,BF203/((Uн_лин/SQRT(3))*BM203),BH203=3,BF203/(SQRT(3)*Uн_лин*BM203)),"")))</f>
        <v>0.27348170645824377</v>
      </c>
      <c r="BO203">
        <f>IF(D203="","",IF(N(X203)=0,IFERROR(VLOOKUP(BN203,Автомат_номиналы,2,TRUE),""),X203))</f>
        <v>6</v>
      </c>
      <c r="BP203">
        <f t="shared" si="273"/>
        <v>1</v>
      </c>
      <c r="BQ203">
        <f>IF(ISNUMBER(Y203),Y203,К_прокл)</f>
        <v>1</v>
      </c>
      <c r="BR203">
        <f t="shared" si="274"/>
        <v>2</v>
      </c>
      <c r="BS203" cm="1">
        <f t="array" ref="BS203">IF(D203="","",IF(N(BK203)&lt;&gt;0,BK203,IFERROR(_xlfn.LET(_xlpm.need,BO203/(BP203*BQ203),_xlpm.t,CHOOSE(BR203,Iдоп_1ж,Iдоп_2ж,Iдоп_3ж),_xlpm.k,_xlfn.XMATCH(_xlpm.need,_xlpm.t,1),IF(ISNA(_xlpm.k),"Не исп",INDEX(Iдоп_S,_xlpm.k))),"Не исп")))</f>
        <v>2.5</v>
      </c>
      <c r="BT203">
        <f>IFERROR(VLOOKUP(BS203,Кабель_сопротивление,3,FALSE),"")</f>
        <v>2.2499999999999999E-2</v>
      </c>
      <c r="BU203">
        <f>IFERROR(VLOOKUP(BS203,Кабель_сопротивление,2,FALSE),"")</f>
        <v>0.1</v>
      </c>
      <c r="BV203">
        <f t="shared" si="275"/>
        <v>27</v>
      </c>
      <c r="BW203">
        <f>IF(D203="","",IFERROR(IF(VLOOKUP(AT203,Потребители_обозначение,4,FALSE)=1,VLOOKUP(AT203,Потребители_обозначение,3,FALSE)*(H203*2-1)+BV203+VLOOKUP(AV203,Этаж_обозначение,3,FALSE)+VLOOKUP(AV203,Этаж_обозначение,4,FALSE),VLOOKUP(AT203,Потребители_обозначение,3,FALSE)*(H203*2-1)+BV203),BV203))</f>
        <v>30</v>
      </c>
      <c r="BX203">
        <f t="shared" si="276"/>
        <v>17</v>
      </c>
      <c r="BY203">
        <f t="shared" si="277"/>
        <v>0</v>
      </c>
      <c r="BZ203">
        <f t="shared" si="278"/>
        <v>2</v>
      </c>
      <c r="CA203">
        <f t="shared" si="279"/>
        <v>0.31</v>
      </c>
      <c r="CB203">
        <f t="shared" si="280"/>
        <v>0.14080479138709134</v>
      </c>
      <c r="CC203">
        <f>IFERROR(ROUNDUP(CB203/((Uн_лин/SQRT(3))*1000)*100,2),"")</f>
        <v>6.9999999999999993E-2</v>
      </c>
      <c r="CD203">
        <f>IF(ISNUMBER(CC203),CC203+IFERROR(_xlfn.XLOOKUP(A203,Щиты[Щит],Щиты[ΔU до шин, %]),0),"")</f>
        <v>0.5</v>
      </c>
      <c r="CE203">
        <f>IF(D203="","",IF(IFERROR(VLOOKUP(AT203,УГО_спр,2,FALSE),"")="Светильник",3,4)+IF(Методика="нормы 2026",MIN(0.5,MAX(0,N(BW203)-100)*0.005),0))</f>
        <v>4</v>
      </c>
      <c r="CF203" t="str">
        <f>IFERROR(VLOOKUP(BI203,Кабель_обозначение,2,FALSE),"")</f>
        <v>ВВГнг(А)-LS</v>
      </c>
      <c r="CG203" t="str">
        <f>IFERROR(IF(VLOOKUP(BI203,Кабель_обозначение,3,FALSE)=1,CF203&amp;" ("&amp;BJ203&amp;"х"&amp;BS203&amp;")",CF203),"")</f>
        <v>ВВГнг(А)-LS (3х2,5)</v>
      </c>
      <c r="CH203" t="str">
        <f t="shared" si="281"/>
        <v>ВВГнг(А)-LS (3х2,5)
L=30-0,07%</v>
      </c>
      <c r="CI203">
        <f>IFERROR(2*ρкз_Cu*BW203/BS203,"")</f>
        <v>0.63119999999999998</v>
      </c>
      <c r="CJ203">
        <f t="shared" si="282"/>
        <v>0.21000000000000002</v>
      </c>
      <c r="CK203" t="str">
        <f>IFERROR(IF(OR(D203="",NOT(ISNUMBER(BS203)),N(BW203)=0),"",_xlfn.XLOOKUP(A203,Щиты[Щит],Щиты[Zпетли на шинах, Ом])+CI203),"")</f>
        <v/>
      </c>
      <c r="CL203" t="str">
        <f>IF(ISNUMBER(CK203),c_min*(Uн_лин*1000/SQRT(3))/CK203,"")</f>
        <v/>
      </c>
      <c r="CM203" t="str">
        <f>IFERROR(IF(OR(D203="",NOT(ISNUMBER(BS203))),"",1.05*(Uн_лин*1000/SQRT(3))/(_xlfn.XLOOKUP(A203,Щиты[Щит],Щиты[Zmax на шинах, Ом])+CJ203)/1000),"")</f>
        <v/>
      </c>
      <c r="CN203" t="str">
        <f>IF(D203="","",IF(BA203&lt;&gt;"","Щит",IF(K203&lt;&gt;"",K203,IF(ISNUMBER(L203),"Сил",IF(IFERROR(_xlfn.XLOOKUP(AT203,Коды_код,Коды_группа)&amp;"","")="","Быт",_xlfn.XLOOKUP(AT203,Коды_код,Коды_группа)&amp;"")))))</f>
        <v>Быт</v>
      </c>
      <c r="CO203">
        <f>IF(CN203="Щит","щит",IF(CN203="","",IF(CN203="Быт",IFERROR(_xlfn.XLOOKUP(A203,Щиты[Щит],Щиты[Кс быт]),1),IF(CN203="Сил",IF(ISNUMBER(L203),L203,IF(Методика="нормы 2026",IFERROR(_xlfn.XLOOKUP(A203,Щиты[Щит],Щиты[Кс силовых (табл. 7.5)]),1),1)),IF(OR(CN203="Пост",CN203="Отоп"),1,IF(CN203="ВНГ",0.7,0))))))</f>
        <v>0.79799999999999993</v>
      </c>
      <c r="CP203">
        <f t="shared" si="283"/>
        <v>1</v>
      </c>
      <c r="CQ203">
        <f t="shared" si="284"/>
        <v>0.06</v>
      </c>
      <c r="CR203">
        <f t="shared" si="285"/>
        <v>0.06</v>
      </c>
      <c r="CS203">
        <f t="shared" si="286"/>
        <v>0</v>
      </c>
      <c r="CT203">
        <f t="shared" si="287"/>
        <v>0</v>
      </c>
      <c r="CU203">
        <f t="shared" si="288"/>
        <v>0</v>
      </c>
      <c r="CV203">
        <f t="shared" si="289"/>
        <v>0</v>
      </c>
      <c r="CW203">
        <f t="shared" si="290"/>
        <v>0.06</v>
      </c>
      <c r="CX203">
        <f t="shared" si="291"/>
        <v>5.6999999999999995E-2</v>
      </c>
      <c r="CY203">
        <f t="shared" si="292"/>
        <v>1</v>
      </c>
      <c r="CZ203" t="str">
        <f t="shared" si="293"/>
        <v>L1</v>
      </c>
      <c r="DA203" cm="1">
        <f t="array" ref="DA203">IFERROR(IF(BL203=2,_xlfn.IFS(BH203=3,VLOOKUP(BF203,Справочная_двигатели,3,FALSE),BH203=1,VLOOKUP(BF203,Справочная_двигатели,5,TRUE)),0),0)</f>
        <v>0</v>
      </c>
      <c r="DB203">
        <f>IFERROR(IF(BL203=3,VLOOKUP(BF203,Справочная_ЛЭД,2,TRUE),0),0)</f>
        <v>0</v>
      </c>
      <c r="DC203">
        <f t="shared" si="294"/>
        <v>0</v>
      </c>
      <c r="DD203" t="str">
        <f t="shared" si="295"/>
        <v>L3</v>
      </c>
      <c r="DE203" t="str" cm="1">
        <f t="array" ref="DE203">IF(D203="","",IFERROR(INDEX({"I особая","I","II","III"},MATCH(TRIM(AA203&amp;""),{"I особая","I","II","III"},0)),"III"))</f>
        <v>II</v>
      </c>
      <c r="DF203" t="str">
        <f>IF(D203="","",IF(TRIM(AB203&amp;"")&lt;&gt;"",IF(LOWER(TRIM(AB203&amp;""))="да","да","нет"),IF(IFERROR(_xlfn.XLOOKUP(AT203,Коды_код,Коды_пожарная),"")="да","да","нет")))</f>
        <v>нет</v>
      </c>
      <c r="DG203" t="str">
        <f t="shared" si="296"/>
        <v/>
      </c>
      <c r="DH203" t="str">
        <f t="shared" si="297"/>
        <v>основная</v>
      </c>
      <c r="DI203">
        <f t="shared" si="298"/>
        <v>1</v>
      </c>
      <c r="DJ203" t="str" cm="1">
        <f t="array" ref="DJ203">IF(D203="","",_xlfn.LET(_xlpm.t,IFERROR(_xlfn.XLOOKUP(1,(Шины[Шина]=DH203)*(((Шины[Щит]=A203)+(Шины[Щит]=""))&gt;0),Шины[Тип]),"")&amp;"",IF(_xlpm.t&lt;&gt;"",_xlpm.t,IF(ISNUMBER(SEARCH("ИБП",DH203)),"ИБП",IF(ISNUMBER(SEARCH("ДГУ",DH203)),"ДГУ","Ввод "&amp;DI203)))))</f>
        <v>Ввод 1</v>
      </c>
      <c r="DK203" t="str">
        <f t="shared" si="299"/>
        <v>Ввод 1</v>
      </c>
      <c r="DL203" t="str">
        <f>IF(D203="","",IF(OR(DJ203="ИБП",DJ203="ДГУ"),"I особая",IF(DJ203="Одиночная","III",_xlfn.XLOOKUP(A203,Щиты[Щит],Щиты[Категория шины «Ввод»],"III"))))</f>
        <v>II</v>
      </c>
      <c r="DM203">
        <f>IF(D203="",0,IFERROR(MATCH(DE203,{"III","II","I","I особая"},0),1))</f>
        <v>2</v>
      </c>
      <c r="DN203">
        <f t="shared" si="300"/>
        <v>2</v>
      </c>
      <c r="DO203" t="str">
        <f>IF(D203="","",IF(DM203&gt;IFERROR(MATCH(DL203,{"III","II","I","I особая"},0),1),"НЕ ОБЕСПЕЧЕНА","ОК"))</f>
        <v>ОК</v>
      </c>
      <c r="DP203" t="str">
        <f>IF(A203="","",_xlfn.XLOOKUP(A203,Щиты[Щит],Щиты[Путь],""))</f>
        <v>|ГРЩ-ЖД|ЩР-01|</v>
      </c>
      <c r="DQ203" t="str">
        <f>IF(D203="","",IF(Z203&lt;&gt;"",Z203,IF(IFERROR(_xlfn.XLOOKUP(AT203,Коды_код,Коды_вид)&amp;"","")="","Прочее",_xlfn.XLOOKUP(AT203,Коды_код,Коды_вид)&amp;"")))</f>
        <v>Розеточная сеть и бытовые приборы</v>
      </c>
      <c r="DR203">
        <f>IF(BD203="","",INT((BD203-1)/Столбцов_на_лист)+1)</f>
        <v>2</v>
      </c>
      <c r="DS203" t="str">
        <f t="shared" si="301"/>
        <v>ВВГнг(А)-LS (3х2,5) L=30-0,07%</v>
      </c>
      <c r="DT203">
        <f t="shared" si="302"/>
        <v>0.06</v>
      </c>
      <c r="DU203">
        <f t="shared" si="303"/>
        <v>0.28000000000000003</v>
      </c>
      <c r="DV203">
        <f t="shared" si="304"/>
        <v>1</v>
      </c>
      <c r="DW203">
        <f>IF(AT203="",0,_xlfn.LET(_xlpm.v,IFERROR(VLOOKUP(D203,УГО_спр,3,FALSE),IFERROR(VLOOKUP(AT203,УГО_спр,3,FALSE),IFERROR(VLOOKUP(LEFT(AT203,2),УГО_спр,3,FALSE),""))),IF(_xlpm.v="да",30,IF(ISNUMBER(_xlpm.v),_xlpm.v,0))))</f>
        <v>30</v>
      </c>
      <c r="DX203">
        <f t="shared" si="305"/>
        <v>0</v>
      </c>
      <c r="DY203">
        <f>IF(BD203="","",IF(AD203&lt;&gt;"",COUNTIFS(A$3:A203,A203,AD$3:AD203,"?*"),IF(OR(OR(AS203=1,A203&lt;&gt;A202),AL203="вручную"),"",IF(AS203=1,"",DZ202))))</f>
        <v>19</v>
      </c>
      <c r="DZ203">
        <f t="shared" si="306"/>
        <v>19</v>
      </c>
      <c r="EA203">
        <f>IF(D203="",0,MAX(IFERROR(--X203,0),IFERROR(--VLOOKUP(D203,УГО_спр,4,FALSE),IFERROR(--VLOOKUP(AT203,УГО_спр,4,FALSE),IFERROR(--VLOOKUP(LEFT(AT203,2),УГО_спр,4,FALSE),0)))))</f>
        <v>16</v>
      </c>
      <c r="EB203">
        <f>IF(D203="","",IFERROR(LOOKUP(INDEX(CHOOSE(BR203,Iдоп_1ж,Iдоп_2ж,Iдоп_3ж),MATCH(BS203,Iдоп_S,0))*BP203*BQ203,{6,10,16,20,25,32,40,50,63,80,100,125,160,200,250,315,400,500,630}),""))</f>
        <v>25</v>
      </c>
      <c r="EC203">
        <f>IF(AD203="","",SUMIFS(Линии[_Ток схемы],Линии[_гр.],DY203,Линии[Щит],A203,Линии[_в кабель выше],0))</f>
        <v>0.28000000000000003</v>
      </c>
      <c r="ED203">
        <f>IF(AD203="","",IFERROR(VLOOKUP(EC203,Автомат_номиналы,2,TRUE),""))</f>
        <v>6</v>
      </c>
      <c r="EE203">
        <f>IF(AD203="","",MAX(N(ED203),_xlfn.MAXIFS(Линии[_мин. по типу],Линии[_гр.],DY203,Линии[Щит],A203)))</f>
        <v>16</v>
      </c>
      <c r="EF203">
        <f>IF(AD203="","",_xlfn.MINIFS(Линии[_макс. автомат по кабелю],Линии[_гр.],DY203,Линии[Щит],A203))</f>
        <v>25</v>
      </c>
      <c r="EG203">
        <f>IF(AD203="","",MAX(1,_xlfn.MAXIFS(Линии[_фаз],Линии[_гр.],DY203,Линии[Щит],A203)))</f>
        <v>1</v>
      </c>
      <c r="EH203">
        <f>IF(AD203="","",IF(AND(AD203&lt;&gt;"авто",AD203&lt;&gt;"+"),IF(ISNUMBER(SEARCH("мА",AD203)),IFERROR(--TRIM(RIGHT(SUBSTITUTE(LEFT(AD203,SEARCH("мА",AD203)-1)," ",REPT(" ",9)),6)),30),0),IF(AE203="нет",0,IF(ISNUMBER(AE203),AE203,IF(AE203="да",30,_xlfn.MINIFS(Линии[_дифзащита по коду, мА],Линии[_гр.],DY203,Линии[Щит],A203,Линии[_дифзащита по коду, мА],"&gt;0"))))))</f>
        <v>30</v>
      </c>
      <c r="EI203">
        <f t="shared" si="307"/>
        <v>1</v>
      </c>
      <c r="EJ203" t="str">
        <f t="shared" si="308"/>
        <v>QFD19</v>
      </c>
      <c r="EK203" t="str">
        <f t="shared" si="309"/>
        <v>QFD19</v>
      </c>
      <c r="EL203" t="str">
        <f t="shared" si="310"/>
        <v/>
      </c>
      <c r="EM203">
        <f t="shared" si="311"/>
        <v>0</v>
      </c>
      <c r="EN203">
        <f>IF(AD203="","",IF(EM203=1,MAX(EE203,Мин_автомат_БП),EE203))</f>
        <v>16</v>
      </c>
      <c r="EO203" t="str">
        <f t="shared" si="312"/>
        <v>2P</v>
      </c>
      <c r="EP203" t="str">
        <f t="shared" si="313"/>
        <v>2P С16А 30мА</v>
      </c>
      <c r="EQ203">
        <f t="shared" si="314"/>
        <v>16</v>
      </c>
      <c r="ER203" t="str">
        <f>IF(OR(AI203="",AI203="-"),"",IFERROR(VLOOKUP(AI203,Модули_спр,2,FALSE),"R"))</f>
        <v/>
      </c>
      <c r="ES203" t="str">
        <f>IF(ER203="","",ER203&amp;"."&amp;COUNTIFS(A$3:A203,A203,ER$3:ER203,ER203))</f>
        <v/>
      </c>
      <c r="ET203" t="str">
        <f t="shared" si="315"/>
        <v/>
      </c>
      <c r="EU203" t="str">
        <f t="shared" si="316"/>
        <v/>
      </c>
      <c r="EV203" t="str">
        <f t="shared" si="317"/>
        <v/>
      </c>
      <c r="EW203" t="str">
        <f t="shared" si="318"/>
        <v/>
      </c>
      <c r="EX203">
        <f t="shared" si="319"/>
        <v>1</v>
      </c>
      <c r="EY203" t="str">
        <f>IF(AK203="нет","",IF(AK203&lt;&gt;"",AK203,IF(EX203=1,"XT"&amp;COUNTIFS(A$3:A203,A203,EX$3:EX203,1),"")))</f>
        <v/>
      </c>
      <c r="EZ203" t="str">
        <f t="shared" si="320"/>
        <v>QFD19</v>
      </c>
      <c r="FA203" t="str">
        <f t="shared" si="321"/>
        <v/>
      </c>
      <c r="FB203" t="str">
        <f t="shared" si="322"/>
        <v>ok</v>
      </c>
      <c r="FC203" t="str">
        <f>IF(OR(EV203="",ET203=""),"",IF(EV203&gt;IFERROR(VLOOKUP(EU203,Модули_спр,3,FALSE),99),"ЛИШНИЙ КАНАЛ",IF(AND(AJ203&lt;&gt;"=",COUNTIFS(Линии[_модуль гр.],ET203,Линии[Канал (итог)],EV203,Линии[Канал],"&lt;&gt;=",Линии[Щит],A203)&gt;1),"ДУБЛЬ КАНАЛА","")))</f>
        <v/>
      </c>
      <c r="FD203">
        <f t="shared" si="323"/>
        <v>16</v>
      </c>
      <c r="FE203" t="str">
        <f t="shared" si="324"/>
        <v>2P С16А 30мА</v>
      </c>
      <c r="FF203">
        <f t="shared" si="325"/>
        <v>1</v>
      </c>
      <c r="FG203">
        <f t="shared" si="326"/>
        <v>30</v>
      </c>
      <c r="FH203" t="str">
        <f t="shared" si="327"/>
        <v/>
      </c>
      <c r="FI203">
        <f t="shared" si="328"/>
        <v>10</v>
      </c>
      <c r="FJ203" t="str">
        <f t="shared" si="329"/>
        <v/>
      </c>
      <c r="FK203" t="str">
        <f>IF(AND(D203="",EZ203=""),"",_xlfn.TEXTJOIN("; ",TRUE,IF(AND(D203&lt;&gt;"",DD203=""),"нет фазы",""),IF(AND(D203&lt;&gt;"",N(DT203)=0,CN203&lt;&gt;"Нет"),"нет мощности",""),IF(AND(EY203&lt;&gt;"",COUNTIFS(Линии[Щит],A203,Линии[Клемма (итог)],EY203)&gt;1),"дубль клеммы "&amp;EY203,""),IF(AND(FB203&lt;&gt;"",FB203&lt;&gt;"ok"),FB203,""),IF(FC203&lt;&gt;"",FC203,""),IF(AND(ISNUMBER(SEARCH("(5х",DS203)),N(DV203)=1),"5 жил на 1 фазе",""),IF(AND(AT203="R",AD203&lt;&gt;"",OR(N(EH203)=0,N(EH203)&gt;30)),"розетка без дифзащиты до 30 мА",""),IFERROR(IF(AND(ISNUMBER(CD203),CD203&gt;CE203),"потери "&amp;FIXED(CD203,1)&amp;" % &gt; "&amp;CE203&amp;" %",""),""),IFERROR(IF(LEFT(FJ203,4)="мало","Iкз мало — отключение &gt; 0,4 с",""),""),IF(AND(D203&lt;&gt;"",BD203=""),"не на схеме","")))</f>
        <v/>
      </c>
      <c r="FL203">
        <f>IF(AD203="","",_xlfn.LET(_xlpm.t,IFERROR(_xlfn.XLOOKUP(EP203,Каталог!$U$4:$U$500,Каталог!$G$4:$G$500),""),_xlpm.k,SEARCH("кА",_xlpm.t),IFERROR(--TRIM(RIGHT(SUBSTITUTE(MID(_xlpm.t,MAX(1,_xlpm.k-4),_xlpm.k-MAX(1,_xlpm.k-4))," ",REPT(" ",9)),5)),"")))</f>
        <v>6</v>
      </c>
      <c r="FM203" t="str">
        <f>IF(OR(FL203="",AD203=""),"",IF(_xlfn.XLOOKUP(A203,Щиты[Щит],Щиты[Iкз max на шинах, кА],"")="","",IF(FL203&lt;_xlfn.XLOOKUP(A203,Щиты[Щит],Щиты[Iкз max на шинах, кА]),"Icu "&amp;FL203&amp;" кА &lt; Iкз max","ok")))</f>
        <v/>
      </c>
      <c r="FN203" t="str">
        <f t="shared" si="330"/>
        <v>QFD19</v>
      </c>
      <c r="FO203" t="str">
        <f t="shared" si="331"/>
        <v>QFD19|кабель ВВГнг(А)-LS (3х2,5) → Розеточная группа Цокольный этаж Пом. №010A</v>
      </c>
      <c r="FP203" t="str" cm="1">
        <f t="array" ref="FP203">IF(FO203="","",_xlfn.LET(_xlpm.nd,_xlfn.TEXTSPLIT(FO203,"|"),IF(COLUMNS(_xlpm.nd)&gt;1,A203&amp;"¦"&amp;INDEX(_xlpm.nd,1)&amp;"¦"&amp;INDEX(_xlpm.nd,2),"")))</f>
        <v>ЩР-01¦QFD19¦кабель ВВГнг(А)-LS (3х2,5) → Розеточная группа Цокольный этаж Пом. №010A</v>
      </c>
      <c r="FQ203" t="str">
        <f t="shared" si="332"/>
        <v>R.0.010A.1¦Розеточная группа Цокольный этаж Пом. №010A</v>
      </c>
      <c r="FR203" t="str" cm="1">
        <f t="array" ref="FR203">IF(FO203="","",_xlfn.LET(_xlpm.nd,_xlfn.TEXTSPLIT(FO203,"|"),IF(COLUMNS(_xlpm.nd)&gt;2,A203&amp;"¦"&amp;INDEX(_xlpm.nd,2)&amp;"¦"&amp;INDEX(_xlpm.nd,3),"")))</f>
        <v/>
      </c>
      <c r="FS203" t="str">
        <f t="shared" si="333"/>
        <v/>
      </c>
      <c r="FT203" t="str" cm="1">
        <f t="array" ref="FT203">IF(FO203="","",_xlfn.LET(_xlpm.nd,_xlfn.TEXTSPLIT(FO203,"|"),IF(COLUMNS(_xlpm.nd)&gt;3,A203&amp;"¦"&amp;INDEX(_xlpm.nd,3)&amp;"¦"&amp;INDEX(_xlpm.nd,4),"")))</f>
        <v/>
      </c>
      <c r="FU203" t="str">
        <f t="shared" si="334"/>
        <v/>
      </c>
      <c r="FV203" t="str" cm="1">
        <f t="array" ref="FV203">IF(FO203="","",_xlfn.LET(_xlpm.nd,_xlfn.TEXTSPLIT(FO203,"|"),IF(COLUMNS(_xlpm.nd)&gt;4,A203&amp;"¦"&amp;INDEX(_xlpm.nd,4)&amp;"¦"&amp;INDEX(_xlpm.nd,5),"")))</f>
        <v/>
      </c>
      <c r="FW203" t="str">
        <f t="shared" si="335"/>
        <v/>
      </c>
      <c r="FX203" t="str" cm="1">
        <f t="array" ref="FX203">IF(FO203="","",_xlfn.LET(_xlpm.nd,_xlfn.TEXTSPLIT(FO203,"|"),IF(COLUMNS(_xlpm.nd)&gt;5,A203&amp;"¦"&amp;INDEX(_xlpm.nd,5)&amp;"¦"&amp;INDEX(_xlpm.nd,6),"")))</f>
        <v/>
      </c>
      <c r="FY203" t="str">
        <f t="shared" si="336"/>
        <v/>
      </c>
      <c r="FZ203" t="str" cm="1">
        <f t="array" ref="FZ203">IF(FO203="","",_xlfn.LET(_xlpm.nd,_xlfn.TEXTSPLIT(FO203,"|"),IF(COLUMNS(_xlpm.nd)&gt;6,A203&amp;"¦"&amp;INDEX(_xlpm.nd,6)&amp;"¦"&amp;INDEX(_xlpm.nd,7),"")))</f>
        <v/>
      </c>
      <c r="GA203" t="str">
        <f t="shared" si="337"/>
        <v/>
      </c>
      <c r="GB203" t="str">
        <f t="shared" si="338"/>
        <v/>
      </c>
      <c r="GC203" t="str">
        <f t="shared" si="339"/>
        <v>QFD19</v>
      </c>
      <c r="GD203">
        <f t="shared" si="340"/>
        <v>1</v>
      </c>
      <c r="GE203">
        <f t="shared" si="341"/>
        <v>0</v>
      </c>
      <c r="GF203">
        <f t="shared" si="342"/>
        <v>1</v>
      </c>
      <c r="GG203" t="str">
        <f t="shared" si="343"/>
        <v/>
      </c>
      <c r="GH203" t="str">
        <f t="shared" si="344"/>
        <v/>
      </c>
      <c r="GI203" t="str">
        <f t="shared" si="345"/>
        <v/>
      </c>
      <c r="GJ203" t="str">
        <f t="shared" si="346"/>
        <v/>
      </c>
      <c r="GK203" t="str">
        <f>IF(D203="","",IFERROR(VLOOKUP(D203,УГО_спр,2,FALSE),IFERROR(VLOOKUP(AT203,УГО_спр,2,FALSE),IFERROR(VLOOKUP(LEFT(AT203,2),УГО_спр,2,FALSE),""))))</f>
        <v>Розетка</v>
      </c>
      <c r="GL203" t="str">
        <f>IF(D203="","",IF(OR(GK203="",GK203=0),"BOX",IFERROR(IF(VLOOKUP(GK203,УГО_блоки,3,FALSE)&amp;""&lt;&gt;"",VLOOKUP(GK203,УГО_блоки,3,FALSE),VLOOKUP(GK203,УГО_блоки,2,FALSE)),GK203)))</f>
        <v>SOCKET</v>
      </c>
      <c r="GM203">
        <f t="shared" si="347"/>
        <v>1</v>
      </c>
      <c r="GN203" t="str">
        <f>IF(EP203="","",IF(COUNTIF(EP$3:EP203,EP203)=1,MAX(GN$2:GN202)+1,""))</f>
        <v/>
      </c>
      <c r="GO203" t="str">
        <f>IF(AF203="","",IF(COUNTIF(AF$3:AF203,AF203)+COUNTIF(AG$2:AG202,AF203)+COUNTIF(AH$2:AH202,AF203)=1,MAX(GO$2:GQ202)+1,""))</f>
        <v/>
      </c>
      <c r="GP203" t="str">
        <f>IF(AG203="","",IF(COUNTIF(AF$3:AF203,AG203)+COUNTIF(AG$3:AG203,AG203)+COUNTIF(AH$2:AH202,AG203)=1,MAX(GO$2:GQ202,GO203)+1,""))</f>
        <v/>
      </c>
      <c r="GQ203" t="str">
        <f>IF(AH203="","",IF(COUNTIF(AF$3:AF203,AH203)+COUNTIF(AG$3:AG203,AH203)+COUNTIF(AH$3:AH203,AH203)=1,MAX(GO$2:GQ202,GO203,GP203)+1,""))</f>
        <v/>
      </c>
      <c r="GR203" t="str">
        <f t="shared" si="348"/>
        <v>3х2,5</v>
      </c>
      <c r="GS203" t="str">
        <f>IF(GR203="","",IF(COUNTIF(GR$3:GR203,GR203)=1,MAX(GS$2:GS202)+1,""))</f>
        <v/>
      </c>
      <c r="GT203" t="str">
        <f>IF(ES203="","",COUNTIF(ES$3:ES203,"?*"))</f>
        <v/>
      </c>
      <c r="GU203" t="str">
        <f>IF(OR(ES203="",EU203=""),"",IF(COUNTIFS(ES$3:ES203,"?*",EU$3:EU203,EU203)=1,MAX(GU$2:GU202)+1,""))</f>
        <v/>
      </c>
      <c r="GV203">
        <f t="shared" si="349"/>
        <v>0</v>
      </c>
      <c r="GW203">
        <f>IF(D203="","",COUNTIF(D$3:D203,"?*"))</f>
        <v>201</v>
      </c>
      <c r="GX203">
        <f>IF(EX203&lt;&gt;1,0,_xlfn.LET(_xlpm.k,MAX(IFERROR(--VLOOKUP(D203,УГО_спр,5,FALSE),0),IFERROR(--VLOOKUP(AT203,УГО_спр,5,FALSE),0),IFERROR(--VLOOKUP(LEFT(AT203,2),УГО_спр,5,FALSE),0)),IF(_xlpm.k&gt;0,_xlpm.k,IF(IFERROR(--LEFT(SUBSTITUTE(GR203,"x","х"),FIND("х",SUBSTITUTE(GR203,"x","х"))-1),3)&gt;3,Каталог!$S$9,1))))</f>
        <v>1</v>
      </c>
      <c r="GY203">
        <f t="shared" si="350"/>
        <v>0</v>
      </c>
    </row>
    <row r="204" spans="1:207" x14ac:dyDescent="0.3">
      <c r="A204" t="s">
        <v>760</v>
      </c>
      <c r="B204">
        <v>30</v>
      </c>
      <c r="C204" t="str">
        <f>IF(BD204="","",IF(BE204="вводной узел","узел ","")&amp;"л."&amp;(INT((BD204-1)/Столбцов_на_лист)+1)&amp;" / "&amp;(MOD(BD204-1,Столбцов_на_лист)+1))</f>
        <v>л.2 / 13</v>
      </c>
      <c r="D204" t="s">
        <v>1515</v>
      </c>
      <c r="E204" s="133" t="str">
        <f t="shared" si="351"/>
        <v>Розеточная группа Цокольный этаж Пом. №011</v>
      </c>
      <c r="G204">
        <v>0.06</v>
      </c>
      <c r="H204">
        <v>1</v>
      </c>
      <c r="I204">
        <v>1</v>
      </c>
      <c r="J204">
        <v>230</v>
      </c>
      <c r="K204" t="s">
        <v>566</v>
      </c>
      <c r="O204">
        <v>1</v>
      </c>
      <c r="P204">
        <v>22</v>
      </c>
      <c r="Q204">
        <v>8</v>
      </c>
      <c r="R204">
        <v>17</v>
      </c>
      <c r="S204">
        <v>0</v>
      </c>
      <c r="U204" t="s">
        <v>11</v>
      </c>
      <c r="V204">
        <v>3</v>
      </c>
      <c r="W204">
        <v>2.5</v>
      </c>
      <c r="Z204" t="s">
        <v>565</v>
      </c>
      <c r="AA204" t="s">
        <v>818</v>
      </c>
      <c r="AD204" t="s">
        <v>517</v>
      </c>
      <c r="AK204" t="s">
        <v>488</v>
      </c>
      <c r="AR204" t="str">
        <f t="shared" si="264"/>
        <v/>
      </c>
      <c r="AS204" cm="1">
        <f t="array" ref="AS204">ROW()-ROW(Линии[#Headers])</f>
        <v>202</v>
      </c>
      <c r="AT204" t="str">
        <f t="shared" si="265"/>
        <v>R</v>
      </c>
      <c r="AU204" t="str">
        <f t="shared" si="266"/>
        <v>0.011.1A</v>
      </c>
      <c r="AV204" t="str">
        <f t="shared" si="267"/>
        <v>0</v>
      </c>
      <c r="AW204" t="str">
        <f t="shared" si="268"/>
        <v>011.1A</v>
      </c>
      <c r="AX204" t="str">
        <f t="shared" si="269"/>
        <v>011</v>
      </c>
      <c r="AY204" t="str">
        <f>IF(D204="","",IF(ISERROR(SEARCH(".",D204)),IFERROR(VLOOKUP(D204,Потребители_обозначение,2,FALSE)&amp;"",""),IFERROR(IF(VLOOKUP(AT204,Потребители_обозначение,4,FALSE)=1,VLOOKUP(AT204,Потребители_обозначение,2,FALSE)&amp;" "&amp;VLOOKUP(AV204,Этаж_обозначение,2,FALSE)&amp;" Пом. №"&amp;AX204,VLOOKUP(AT204,Потребители_обозначение,2,FALSE)&amp;" Шлейф №"&amp;AV204),IFERROR(VLOOKUP(D204,Потребители_обозначение,2,FALSE),""))))</f>
        <v>Розеточная группа Цокольный этаж Пом. №011</v>
      </c>
      <c r="AZ204" t="str">
        <f t="shared" si="270"/>
        <v>Розеточная группа Цокольный этаж Пом. №011</v>
      </c>
      <c r="BA204" t="str">
        <f>IF(F204&lt;&gt;"",F204,IF(AND(D204&lt;&gt;"",D204&lt;&gt;A204,ISNUMBER(_xlfn.XMATCH(D204,Щиты[Щит]))),D204,""))</f>
        <v/>
      </c>
      <c r="BB204">
        <f>IFERROR(_xlfn.XMATCH(A204,Щиты[Щит]),0)</f>
        <v>9</v>
      </c>
      <c r="BC204">
        <f>IFERROR(N(_xlfn.XLOOKUP(A204,Щиты[Щит],Щиты[Мест под вводной узел])),15)</f>
        <v>8</v>
      </c>
      <c r="BD204">
        <f t="shared" si="271"/>
        <v>30</v>
      </c>
      <c r="BE204" t="str">
        <f t="shared" si="272"/>
        <v>линии</v>
      </c>
      <c r="BF204">
        <f>IF(D204="","",IF(BA204&lt;&gt;"",IFERROR(_xlfn.XLOOKUP(BA204,Щиты[Щит],Щиты[Руст, кВт]),0),N(G204)))</f>
        <v>0.06</v>
      </c>
      <c r="BG204">
        <f>IF(J204&lt;&gt;"",J204,IF(D204="","",IFERROR(IF(VLOOKUP(AT204,Потребители_обозначение,8,FALSE)=0,"",VLOOKUP(AT204,Потребители_обозначение,8,FALSE)),"")))</f>
        <v>230</v>
      </c>
      <c r="BH204">
        <f>IF(I204&lt;&gt;"",I204,IF(D204="","",IFERROR(IF(VLOOKUP(AT204,Потребители_обозначение,9,FALSE)=0,"",VLOOKUP(AT204,Потребители_обозначение,9,FALSE)),"")))</f>
        <v>1</v>
      </c>
      <c r="BI204" t="str">
        <f>IF(U204&lt;&gt;"",U204,IF(D204="","",IFERROR(IF(VLOOKUP(AT204,Потребители_обозначение,6,FALSE)=0,"",VLOOKUP(AT204,Потребители_обозначение,6,FALSE)),"")))</f>
        <v>мс</v>
      </c>
      <c r="BJ204">
        <f>IF(V204&lt;&gt;"",V204,IF(D204="","",IFERROR(IF(VLOOKUP(AT204,Потребители_обозначение,7,FALSE)=0,"",VLOOKUP(AT204,Потребители_обозначение,7,FALSE)),"")))</f>
        <v>3</v>
      </c>
      <c r="BK204">
        <f>IF(W204&lt;&gt;"",W204,IF(D204="","",IFERROR(IF(VLOOKUP(AT204,Потребители_обозначение,10,FALSE)=0,"",VLOOKUP(AT204,Потребители_обозначение,10,FALSE)),"")))</f>
        <v>2.5</v>
      </c>
      <c r="BL204">
        <f>IFERROR(VLOOKUP(AT204,Потребители_обозначение,5,FALSE),0)</f>
        <v>1</v>
      </c>
      <c r="BM204" cm="1">
        <f t="array" ref="BM204">IF(D204="","",IF(BA204&lt;&gt;"",IFERROR(_xlfn.XLOOKUP(BA204,Щиты[Щит],Щиты[cos φ]),0.95),IF(ISNUMBER(M204),M204,IFERROR(IF(BL204=2,_xlfn.IFS(BH204=3,VLOOKUP(BF204,Справочная_двигатели,8,FALSE),BH204=1,VLOOKUP(BF204,Справочная_двигатели,10,TRUE)),IF(AND(Методика="нормы 2026",CN204="Сил"),0.8,0.95)),0.95))))</f>
        <v>0.95</v>
      </c>
      <c r="BN204" cm="1">
        <f t="array" ref="BN204">IF(D204="","",IF(BA204&lt;&gt;"",IFERROR(_xlfn.XLOOKUP(BA204,Щиты[Щит],Щиты[Iр, А]),""),IFERROR(_xlfn.IFS(BH204=1,BF204/((Uн_лин/SQRT(3))*BM204),BH204=3,BF204/(SQRT(3)*Uн_лин*BM204)),"")))</f>
        <v>0.27348170645824377</v>
      </c>
      <c r="BO204">
        <f>IF(D204="","",IF(N(X204)=0,IFERROR(VLOOKUP(BN204,Автомат_номиналы,2,TRUE),""),X204))</f>
        <v>6</v>
      </c>
      <c r="BP204">
        <f t="shared" si="273"/>
        <v>1</v>
      </c>
      <c r="BQ204">
        <f>IF(ISNUMBER(Y204),Y204,К_прокл)</f>
        <v>1</v>
      </c>
      <c r="BR204">
        <f t="shared" si="274"/>
        <v>2</v>
      </c>
      <c r="BS204" cm="1">
        <f t="array" ref="BS204">IF(D204="","",IF(N(BK204)&lt;&gt;0,BK204,IFERROR(_xlfn.LET(_xlpm.need,BO204/(BP204*BQ204),_xlpm.t,CHOOSE(BR204,Iдоп_1ж,Iдоп_2ж,Iдоп_3ж),_xlpm.k,_xlfn.XMATCH(_xlpm.need,_xlpm.t,1),IF(ISNA(_xlpm.k),"Не исп",INDEX(Iдоп_S,_xlpm.k))),"Не исп")))</f>
        <v>2.5</v>
      </c>
      <c r="BT204">
        <f>IFERROR(VLOOKUP(BS204,Кабель_сопротивление,3,FALSE),"")</f>
        <v>2.2499999999999999E-2</v>
      </c>
      <c r="BU204">
        <f>IFERROR(VLOOKUP(BS204,Кабель_сопротивление,2,FALSE),"")</f>
        <v>0.1</v>
      </c>
      <c r="BV204">
        <f t="shared" si="275"/>
        <v>22</v>
      </c>
      <c r="BW204">
        <f>IF(D204="","",IFERROR(IF(VLOOKUP(AT204,Потребители_обозначение,4,FALSE)=1,VLOOKUP(AT204,Потребители_обозначение,3,FALSE)*(H204*2-1)+BV204+VLOOKUP(AV204,Этаж_обозначение,3,FALSE)+VLOOKUP(AV204,Этаж_обозначение,4,FALSE),VLOOKUP(AT204,Потребители_обозначение,3,FALSE)*(H204*2-1)+BV204),BV204))</f>
        <v>25</v>
      </c>
      <c r="BX204">
        <f t="shared" si="276"/>
        <v>17</v>
      </c>
      <c r="BY204">
        <f t="shared" si="277"/>
        <v>0</v>
      </c>
      <c r="BZ204">
        <f t="shared" si="278"/>
        <v>2</v>
      </c>
      <c r="CA204">
        <f t="shared" si="279"/>
        <v>0.31</v>
      </c>
      <c r="CB204">
        <f t="shared" si="280"/>
        <v>0.11733732615590949</v>
      </c>
      <c r="CC204">
        <f>IFERROR(ROUNDUP(CB204/((Uн_лин/SQRT(3))*1000)*100,2),"")</f>
        <v>6.0000000000000005E-2</v>
      </c>
      <c r="CD204">
        <f>IF(ISNUMBER(CC204),CC204+IFERROR(_xlfn.XLOOKUP(A204,Щиты[Щит],Щиты[ΔU до шин, %]),0),"")</f>
        <v>0.49</v>
      </c>
      <c r="CE204">
        <f>IF(D204="","",IF(IFERROR(VLOOKUP(AT204,УГО_спр,2,FALSE),"")="Светильник",3,4)+IF(Методика="нормы 2026",MIN(0.5,MAX(0,N(BW204)-100)*0.005),0))</f>
        <v>4</v>
      </c>
      <c r="CF204" t="str">
        <f>IFERROR(VLOOKUP(BI204,Кабель_обозначение,2,FALSE),"")</f>
        <v>ВВГнг(А)-LS</v>
      </c>
      <c r="CG204" t="str">
        <f>IFERROR(IF(VLOOKUP(BI204,Кабель_обозначение,3,FALSE)=1,CF204&amp;" ("&amp;BJ204&amp;"х"&amp;BS204&amp;")",CF204),"")</f>
        <v>ВВГнг(А)-LS (3х2,5)</v>
      </c>
      <c r="CH204" t="str">
        <f t="shared" si="281"/>
        <v>ВВГнг(А)-LS (3х2,5)
L=25-0,06%</v>
      </c>
      <c r="CI204">
        <f>IFERROR(2*ρкз_Cu*BW204/BS204,"")</f>
        <v>0.52600000000000002</v>
      </c>
      <c r="CJ204">
        <f t="shared" si="282"/>
        <v>0.17500000000000002</v>
      </c>
      <c r="CK204" t="str">
        <f>IFERROR(IF(OR(D204="",NOT(ISNUMBER(BS204)),N(BW204)=0),"",_xlfn.XLOOKUP(A204,Щиты[Щит],Щиты[Zпетли на шинах, Ом])+CI204),"")</f>
        <v/>
      </c>
      <c r="CL204" t="str">
        <f>IF(ISNUMBER(CK204),c_min*(Uн_лин*1000/SQRT(3))/CK204,"")</f>
        <v/>
      </c>
      <c r="CM204" t="str">
        <f>IFERROR(IF(OR(D204="",NOT(ISNUMBER(BS204))),"",1.05*(Uн_лин*1000/SQRT(3))/(_xlfn.XLOOKUP(A204,Щиты[Щит],Щиты[Zmax на шинах, Ом])+CJ204)/1000),"")</f>
        <v/>
      </c>
      <c r="CN204" t="str">
        <f>IF(D204="","",IF(BA204&lt;&gt;"","Щит",IF(K204&lt;&gt;"",K204,IF(ISNUMBER(L204),"Сил",IF(IFERROR(_xlfn.XLOOKUP(AT204,Коды_код,Коды_группа)&amp;"","")="","Быт",_xlfn.XLOOKUP(AT204,Коды_код,Коды_группа)&amp;"")))))</f>
        <v>Быт</v>
      </c>
      <c r="CO204">
        <f>IF(CN204="Щит","щит",IF(CN204="","",IF(CN204="Быт",IFERROR(_xlfn.XLOOKUP(A204,Щиты[Щит],Щиты[Кс быт]),1),IF(CN204="Сил",IF(ISNUMBER(L204),L204,IF(Методика="нормы 2026",IFERROR(_xlfn.XLOOKUP(A204,Щиты[Щит],Щиты[Кс силовых (табл. 7.5)]),1),1)),IF(OR(CN204="Пост",CN204="Отоп"),1,IF(CN204="ВНГ",0.7,0))))))</f>
        <v>0.79799999999999993</v>
      </c>
      <c r="CP204">
        <f t="shared" si="283"/>
        <v>1</v>
      </c>
      <c r="CQ204">
        <f t="shared" si="284"/>
        <v>0.06</v>
      </c>
      <c r="CR204">
        <f t="shared" si="285"/>
        <v>0.06</v>
      </c>
      <c r="CS204">
        <f t="shared" si="286"/>
        <v>0</v>
      </c>
      <c r="CT204">
        <f t="shared" si="287"/>
        <v>0</v>
      </c>
      <c r="CU204">
        <f t="shared" si="288"/>
        <v>0</v>
      </c>
      <c r="CV204">
        <f t="shared" si="289"/>
        <v>0</v>
      </c>
      <c r="CW204">
        <f t="shared" si="290"/>
        <v>0.06</v>
      </c>
      <c r="CX204">
        <f t="shared" si="291"/>
        <v>5.6999999999999995E-2</v>
      </c>
      <c r="CY204">
        <f t="shared" si="292"/>
        <v>2</v>
      </c>
      <c r="CZ204" t="str">
        <f t="shared" si="293"/>
        <v>L2</v>
      </c>
      <c r="DA204" cm="1">
        <f t="array" ref="DA204">IFERROR(IF(BL204=2,_xlfn.IFS(BH204=3,VLOOKUP(BF204,Справочная_двигатели,3,FALSE),BH204=1,VLOOKUP(BF204,Справочная_двигатели,5,TRUE)),0),0)</f>
        <v>0</v>
      </c>
      <c r="DB204">
        <f>IFERROR(IF(BL204=3,VLOOKUP(BF204,Справочная_ЛЭД,2,TRUE),0),0)</f>
        <v>0</v>
      </c>
      <c r="DC204">
        <f t="shared" si="294"/>
        <v>0</v>
      </c>
      <c r="DD204" t="str">
        <f t="shared" si="295"/>
        <v>L1</v>
      </c>
      <c r="DE204" t="str" cm="1">
        <f t="array" ref="DE204">IF(D204="","",IFERROR(INDEX({"I особая","I","II","III"},MATCH(TRIM(AA204&amp;""),{"I особая","I","II","III"},0)),"III"))</f>
        <v>II</v>
      </c>
      <c r="DF204" t="str">
        <f>IF(D204="","",IF(TRIM(AB204&amp;"")&lt;&gt;"",IF(LOWER(TRIM(AB204&amp;""))="да","да","нет"),IF(IFERROR(_xlfn.XLOOKUP(AT204,Коды_код,Коды_пожарная),"")="да","да","нет")))</f>
        <v>нет</v>
      </c>
      <c r="DG204" t="str">
        <f t="shared" si="296"/>
        <v/>
      </c>
      <c r="DH204" t="str">
        <f t="shared" si="297"/>
        <v>основная</v>
      </c>
      <c r="DI204">
        <f t="shared" si="298"/>
        <v>1</v>
      </c>
      <c r="DJ204" t="str" cm="1">
        <f t="array" ref="DJ204">IF(D204="","",_xlfn.LET(_xlpm.t,IFERROR(_xlfn.XLOOKUP(1,(Шины[Шина]=DH204)*(((Шины[Щит]=A204)+(Шины[Щит]=""))&gt;0),Шины[Тип]),"")&amp;"",IF(_xlpm.t&lt;&gt;"",_xlpm.t,IF(ISNUMBER(SEARCH("ИБП",DH204)),"ИБП",IF(ISNUMBER(SEARCH("ДГУ",DH204)),"ДГУ","Ввод "&amp;DI204)))))</f>
        <v>Ввод 1</v>
      </c>
      <c r="DK204" t="str">
        <f t="shared" si="299"/>
        <v>Ввод 1</v>
      </c>
      <c r="DL204" t="str">
        <f>IF(D204="","",IF(OR(DJ204="ИБП",DJ204="ДГУ"),"I особая",IF(DJ204="Одиночная","III",_xlfn.XLOOKUP(A204,Щиты[Щит],Щиты[Категория шины «Ввод»],"III"))))</f>
        <v>II</v>
      </c>
      <c r="DM204">
        <f>IF(D204="",0,IFERROR(MATCH(DE204,{"III","II","I","I особая"},0),1))</f>
        <v>2</v>
      </c>
      <c r="DN204">
        <f t="shared" si="300"/>
        <v>2</v>
      </c>
      <c r="DO204" t="str">
        <f>IF(D204="","",IF(DM204&gt;IFERROR(MATCH(DL204,{"III","II","I","I особая"},0),1),"НЕ ОБЕСПЕЧЕНА","ОК"))</f>
        <v>ОК</v>
      </c>
      <c r="DP204" t="str">
        <f>IF(A204="","",_xlfn.XLOOKUP(A204,Щиты[Щит],Щиты[Путь],""))</f>
        <v>|ГРЩ-ЖД|ЩР-01|</v>
      </c>
      <c r="DQ204" t="str">
        <f>IF(D204="","",IF(Z204&lt;&gt;"",Z204,IF(IFERROR(_xlfn.XLOOKUP(AT204,Коды_код,Коды_вид)&amp;"","")="","Прочее",_xlfn.XLOOKUP(AT204,Коды_код,Коды_вид)&amp;"")))</f>
        <v>Розеточная сеть и бытовые приборы</v>
      </c>
      <c r="DR204">
        <f>IF(BD204="","",INT((BD204-1)/Столбцов_на_лист)+1)</f>
        <v>2</v>
      </c>
      <c r="DS204" t="str">
        <f t="shared" si="301"/>
        <v>ВВГнг(А)-LS (3х2,5) L=25-0,06%</v>
      </c>
      <c r="DT204">
        <f t="shared" si="302"/>
        <v>0.06</v>
      </c>
      <c r="DU204">
        <f t="shared" si="303"/>
        <v>0.28000000000000003</v>
      </c>
      <c r="DV204">
        <f t="shared" si="304"/>
        <v>1</v>
      </c>
      <c r="DW204">
        <f>IF(AT204="",0,_xlfn.LET(_xlpm.v,IFERROR(VLOOKUP(D204,УГО_спр,3,FALSE),IFERROR(VLOOKUP(AT204,УГО_спр,3,FALSE),IFERROR(VLOOKUP(LEFT(AT204,2),УГО_спр,3,FALSE),""))),IF(_xlpm.v="да",30,IF(ISNUMBER(_xlpm.v),_xlpm.v,0))))</f>
        <v>30</v>
      </c>
      <c r="DX204">
        <f t="shared" si="305"/>
        <v>0</v>
      </c>
      <c r="DY204">
        <f>IF(BD204="","",IF(AD204&lt;&gt;"",COUNTIFS(A$3:A204,A204,AD$3:AD204,"?*"),IF(OR(OR(AS204=1,A204&lt;&gt;A203),AL204="вручную"),"",IF(AS204=1,"",DZ203))))</f>
        <v>20</v>
      </c>
      <c r="DZ204">
        <f t="shared" si="306"/>
        <v>20</v>
      </c>
      <c r="EA204">
        <f>IF(D204="",0,MAX(IFERROR(--X204,0),IFERROR(--VLOOKUP(D204,УГО_спр,4,FALSE),IFERROR(--VLOOKUP(AT204,УГО_спр,4,FALSE),IFERROR(--VLOOKUP(LEFT(AT204,2),УГО_спр,4,FALSE),0)))))</f>
        <v>16</v>
      </c>
      <c r="EB204">
        <f>IF(D204="","",IFERROR(LOOKUP(INDEX(CHOOSE(BR204,Iдоп_1ж,Iдоп_2ж,Iдоп_3ж),MATCH(BS204,Iдоп_S,0))*BP204*BQ204,{6,10,16,20,25,32,40,50,63,80,100,125,160,200,250,315,400,500,630}),""))</f>
        <v>25</v>
      </c>
      <c r="EC204">
        <f>IF(AD204="","",SUMIFS(Линии[_Ток схемы],Линии[_гр.],DY204,Линии[Щит],A204,Линии[_в кабель выше],0))</f>
        <v>0.28000000000000003</v>
      </c>
      <c r="ED204">
        <f>IF(AD204="","",IFERROR(VLOOKUP(EC204,Автомат_номиналы,2,TRUE),""))</f>
        <v>6</v>
      </c>
      <c r="EE204">
        <f>IF(AD204="","",MAX(N(ED204),_xlfn.MAXIFS(Линии[_мин. по типу],Линии[_гр.],DY204,Линии[Щит],A204)))</f>
        <v>16</v>
      </c>
      <c r="EF204">
        <f>IF(AD204="","",_xlfn.MINIFS(Линии[_макс. автомат по кабелю],Линии[_гр.],DY204,Линии[Щит],A204))</f>
        <v>25</v>
      </c>
      <c r="EG204">
        <f>IF(AD204="","",MAX(1,_xlfn.MAXIFS(Линии[_фаз],Линии[_гр.],DY204,Линии[Щит],A204)))</f>
        <v>1</v>
      </c>
      <c r="EH204">
        <f>IF(AD204="","",IF(AND(AD204&lt;&gt;"авто",AD204&lt;&gt;"+"),IF(ISNUMBER(SEARCH("мА",AD204)),IFERROR(--TRIM(RIGHT(SUBSTITUTE(LEFT(AD204,SEARCH("мА",AD204)-1)," ",REPT(" ",9)),6)),30),0),IF(AE204="нет",0,IF(ISNUMBER(AE204),AE204,IF(AE204="да",30,_xlfn.MINIFS(Линии[_дифзащита по коду, мА],Линии[_гр.],DY204,Линии[Щит],A204,Линии[_дифзащита по коду, мА],"&gt;0"))))))</f>
        <v>30</v>
      </c>
      <c r="EI204">
        <f t="shared" si="307"/>
        <v>1</v>
      </c>
      <c r="EJ204" t="str">
        <f t="shared" si="308"/>
        <v>QFD20</v>
      </c>
      <c r="EK204" t="str">
        <f t="shared" si="309"/>
        <v>QFD20</v>
      </c>
      <c r="EL204" t="str">
        <f t="shared" si="310"/>
        <v/>
      </c>
      <c r="EM204">
        <f t="shared" si="311"/>
        <v>0</v>
      </c>
      <c r="EN204">
        <f>IF(AD204="","",IF(EM204=1,MAX(EE204,Мин_автомат_БП),EE204))</f>
        <v>16</v>
      </c>
      <c r="EO204" t="str">
        <f t="shared" si="312"/>
        <v>2P</v>
      </c>
      <c r="EP204" t="str">
        <f t="shared" si="313"/>
        <v>2P С16А 30мА</v>
      </c>
      <c r="EQ204">
        <f t="shared" si="314"/>
        <v>16</v>
      </c>
      <c r="ER204" t="str">
        <f>IF(OR(AI204="",AI204="-"),"",IFERROR(VLOOKUP(AI204,Модули_спр,2,FALSE),"R"))</f>
        <v/>
      </c>
      <c r="ES204" t="str">
        <f>IF(ER204="","",ER204&amp;"."&amp;COUNTIFS(A$3:A204,A204,ER$3:ER204,ER204))</f>
        <v/>
      </c>
      <c r="ET204" t="str">
        <f t="shared" si="315"/>
        <v/>
      </c>
      <c r="EU204" t="str">
        <f t="shared" si="316"/>
        <v/>
      </c>
      <c r="EV204" t="str">
        <f t="shared" si="317"/>
        <v/>
      </c>
      <c r="EW204" t="str">
        <f t="shared" si="318"/>
        <v/>
      </c>
      <c r="EX204">
        <f t="shared" si="319"/>
        <v>1</v>
      </c>
      <c r="EY204" t="str">
        <f>IF(AK204="нет","",IF(AK204&lt;&gt;"",AK204,IF(EX204=1,"XT"&amp;COUNTIFS(A$3:A204,A204,EX$3:EX204,1),"")))</f>
        <v/>
      </c>
      <c r="EZ204" t="str">
        <f t="shared" si="320"/>
        <v>QFD20</v>
      </c>
      <c r="FA204" t="str">
        <f t="shared" si="321"/>
        <v/>
      </c>
      <c r="FB204" t="str">
        <f t="shared" si="322"/>
        <v>ok</v>
      </c>
      <c r="FC204" t="str">
        <f>IF(OR(EV204="",ET204=""),"",IF(EV204&gt;IFERROR(VLOOKUP(EU204,Модули_спр,3,FALSE),99),"ЛИШНИЙ КАНАЛ",IF(AND(AJ204&lt;&gt;"=",COUNTIFS(Линии[_модуль гр.],ET204,Линии[Канал (итог)],EV204,Линии[Канал],"&lt;&gt;=",Линии[Щит],A204)&gt;1),"ДУБЛЬ КАНАЛА","")))</f>
        <v/>
      </c>
      <c r="FD204">
        <f t="shared" si="323"/>
        <v>16</v>
      </c>
      <c r="FE204" t="str">
        <f t="shared" si="324"/>
        <v>2P С16А 30мА</v>
      </c>
      <c r="FF204">
        <f t="shared" si="325"/>
        <v>1</v>
      </c>
      <c r="FG204">
        <f t="shared" si="326"/>
        <v>30</v>
      </c>
      <c r="FH204" t="str">
        <f t="shared" si="327"/>
        <v/>
      </c>
      <c r="FI204">
        <f t="shared" si="328"/>
        <v>10</v>
      </c>
      <c r="FJ204" t="str">
        <f t="shared" si="329"/>
        <v/>
      </c>
      <c r="FK204" t="str">
        <f>IF(AND(D204="",EZ204=""),"",_xlfn.TEXTJOIN("; ",TRUE,IF(AND(D204&lt;&gt;"",DD204=""),"нет фазы",""),IF(AND(D204&lt;&gt;"",N(DT204)=0,CN204&lt;&gt;"Нет"),"нет мощности",""),IF(AND(EY204&lt;&gt;"",COUNTIFS(Линии[Щит],A204,Линии[Клемма (итог)],EY204)&gt;1),"дубль клеммы "&amp;EY204,""),IF(AND(FB204&lt;&gt;"",FB204&lt;&gt;"ok"),FB204,""),IF(FC204&lt;&gt;"",FC204,""),IF(AND(ISNUMBER(SEARCH("(5х",DS204)),N(DV204)=1),"5 жил на 1 фазе",""),IF(AND(AT204="R",AD204&lt;&gt;"",OR(N(EH204)=0,N(EH204)&gt;30)),"розетка без дифзащиты до 30 мА",""),IFERROR(IF(AND(ISNUMBER(CD204),CD204&gt;CE204),"потери "&amp;FIXED(CD204,1)&amp;" % &gt; "&amp;CE204&amp;" %",""),""),IFERROR(IF(LEFT(FJ204,4)="мало","Iкз мало — отключение &gt; 0,4 с",""),""),IF(AND(D204&lt;&gt;"",BD204=""),"не на схеме","")))</f>
        <v/>
      </c>
      <c r="FL204">
        <f>IF(AD204="","",_xlfn.LET(_xlpm.t,IFERROR(_xlfn.XLOOKUP(EP204,Каталог!$U$4:$U$500,Каталог!$G$4:$G$500),""),_xlpm.k,SEARCH("кА",_xlpm.t),IFERROR(--TRIM(RIGHT(SUBSTITUTE(MID(_xlpm.t,MAX(1,_xlpm.k-4),_xlpm.k-MAX(1,_xlpm.k-4))," ",REPT(" ",9)),5)),"")))</f>
        <v>6</v>
      </c>
      <c r="FM204" t="str">
        <f>IF(OR(FL204="",AD204=""),"",IF(_xlfn.XLOOKUP(A204,Щиты[Щит],Щиты[Iкз max на шинах, кА],"")="","",IF(FL204&lt;_xlfn.XLOOKUP(A204,Щиты[Щит],Щиты[Iкз max на шинах, кА]),"Icu "&amp;FL204&amp;" кА &lt; Iкз max","ok")))</f>
        <v/>
      </c>
      <c r="FN204" t="str">
        <f t="shared" si="330"/>
        <v>QFD20</v>
      </c>
      <c r="FO204" t="str">
        <f t="shared" si="331"/>
        <v>QFD20|кабель ВВГнг(А)-LS (3х2,5) → Розеточная группа Цокольный этаж Пом. №011</v>
      </c>
      <c r="FP204" t="str" cm="1">
        <f t="array" ref="FP204">IF(FO204="","",_xlfn.LET(_xlpm.nd,_xlfn.TEXTSPLIT(FO204,"|"),IF(COLUMNS(_xlpm.nd)&gt;1,A204&amp;"¦"&amp;INDEX(_xlpm.nd,1)&amp;"¦"&amp;INDEX(_xlpm.nd,2),"")))</f>
        <v>ЩР-01¦QFD20¦кабель ВВГнг(А)-LS (3х2,5) → Розеточная группа Цокольный этаж Пом. №011</v>
      </c>
      <c r="FQ204" t="str">
        <f t="shared" si="332"/>
        <v>R.0.011.1A¦Розеточная группа Цокольный этаж Пом. №011</v>
      </c>
      <c r="FR204" t="str" cm="1">
        <f t="array" ref="FR204">IF(FO204="","",_xlfn.LET(_xlpm.nd,_xlfn.TEXTSPLIT(FO204,"|"),IF(COLUMNS(_xlpm.nd)&gt;2,A204&amp;"¦"&amp;INDEX(_xlpm.nd,2)&amp;"¦"&amp;INDEX(_xlpm.nd,3),"")))</f>
        <v/>
      </c>
      <c r="FS204" t="str">
        <f t="shared" si="333"/>
        <v/>
      </c>
      <c r="FT204" t="str" cm="1">
        <f t="array" ref="FT204">IF(FO204="","",_xlfn.LET(_xlpm.nd,_xlfn.TEXTSPLIT(FO204,"|"),IF(COLUMNS(_xlpm.nd)&gt;3,A204&amp;"¦"&amp;INDEX(_xlpm.nd,3)&amp;"¦"&amp;INDEX(_xlpm.nd,4),"")))</f>
        <v/>
      </c>
      <c r="FU204" t="str">
        <f t="shared" si="334"/>
        <v/>
      </c>
      <c r="FV204" t="str" cm="1">
        <f t="array" ref="FV204">IF(FO204="","",_xlfn.LET(_xlpm.nd,_xlfn.TEXTSPLIT(FO204,"|"),IF(COLUMNS(_xlpm.nd)&gt;4,A204&amp;"¦"&amp;INDEX(_xlpm.nd,4)&amp;"¦"&amp;INDEX(_xlpm.nd,5),"")))</f>
        <v/>
      </c>
      <c r="FW204" t="str">
        <f t="shared" si="335"/>
        <v/>
      </c>
      <c r="FX204" t="str" cm="1">
        <f t="array" ref="FX204">IF(FO204="","",_xlfn.LET(_xlpm.nd,_xlfn.TEXTSPLIT(FO204,"|"),IF(COLUMNS(_xlpm.nd)&gt;5,A204&amp;"¦"&amp;INDEX(_xlpm.nd,5)&amp;"¦"&amp;INDEX(_xlpm.nd,6),"")))</f>
        <v/>
      </c>
      <c r="FY204" t="str">
        <f t="shared" si="336"/>
        <v/>
      </c>
      <c r="FZ204" t="str" cm="1">
        <f t="array" ref="FZ204">IF(FO204="","",_xlfn.LET(_xlpm.nd,_xlfn.TEXTSPLIT(FO204,"|"),IF(COLUMNS(_xlpm.nd)&gt;6,A204&amp;"¦"&amp;INDEX(_xlpm.nd,6)&amp;"¦"&amp;INDEX(_xlpm.nd,7),"")))</f>
        <v/>
      </c>
      <c r="GA204" t="str">
        <f t="shared" si="337"/>
        <v/>
      </c>
      <c r="GB204" t="str">
        <f t="shared" si="338"/>
        <v/>
      </c>
      <c r="GC204" t="str">
        <f t="shared" si="339"/>
        <v>QFD20</v>
      </c>
      <c r="GD204">
        <f t="shared" si="340"/>
        <v>1</v>
      </c>
      <c r="GE204">
        <f t="shared" si="341"/>
        <v>0</v>
      </c>
      <c r="GF204">
        <f t="shared" si="342"/>
        <v>1</v>
      </c>
      <c r="GG204" t="str">
        <f t="shared" si="343"/>
        <v/>
      </c>
      <c r="GH204" t="str">
        <f t="shared" si="344"/>
        <v/>
      </c>
      <c r="GI204" t="str">
        <f t="shared" si="345"/>
        <v/>
      </c>
      <c r="GJ204" t="str">
        <f t="shared" si="346"/>
        <v/>
      </c>
      <c r="GK204" t="str">
        <f>IF(D204="","",IFERROR(VLOOKUP(D204,УГО_спр,2,FALSE),IFERROR(VLOOKUP(AT204,УГО_спр,2,FALSE),IFERROR(VLOOKUP(LEFT(AT204,2),УГО_спр,2,FALSE),""))))</f>
        <v>Розетка</v>
      </c>
      <c r="GL204" t="str">
        <f>IF(D204="","",IF(OR(GK204="",GK204=0),"BOX",IFERROR(IF(VLOOKUP(GK204,УГО_блоки,3,FALSE)&amp;""&lt;&gt;"",VLOOKUP(GK204,УГО_блоки,3,FALSE),VLOOKUP(GK204,УГО_блоки,2,FALSE)),GK204)))</f>
        <v>SOCKET</v>
      </c>
      <c r="GM204">
        <f t="shared" si="347"/>
        <v>1</v>
      </c>
      <c r="GN204" t="str">
        <f>IF(EP204="","",IF(COUNTIF(EP$3:EP204,EP204)=1,MAX(GN$2:GN203)+1,""))</f>
        <v/>
      </c>
      <c r="GO204" t="str">
        <f>IF(AF204="","",IF(COUNTIF(AF$3:AF204,AF204)+COUNTIF(AG$2:AG203,AF204)+COUNTIF(AH$2:AH203,AF204)=1,MAX(GO$2:GQ203)+1,""))</f>
        <v/>
      </c>
      <c r="GP204" t="str">
        <f>IF(AG204="","",IF(COUNTIF(AF$3:AF204,AG204)+COUNTIF(AG$3:AG204,AG204)+COUNTIF(AH$2:AH203,AG204)=1,MAX(GO$2:GQ203,GO204)+1,""))</f>
        <v/>
      </c>
      <c r="GQ204" t="str">
        <f>IF(AH204="","",IF(COUNTIF(AF$3:AF204,AH204)+COUNTIF(AG$3:AG204,AH204)+COUNTIF(AH$3:AH204,AH204)=1,MAX(GO$2:GQ203,GO204,GP204)+1,""))</f>
        <v/>
      </c>
      <c r="GR204" t="str">
        <f t="shared" si="348"/>
        <v>3х2,5</v>
      </c>
      <c r="GS204" t="str">
        <f>IF(GR204="","",IF(COUNTIF(GR$3:GR204,GR204)=1,MAX(GS$2:GS203)+1,""))</f>
        <v/>
      </c>
      <c r="GT204" t="str">
        <f>IF(ES204="","",COUNTIF(ES$3:ES204,"?*"))</f>
        <v/>
      </c>
      <c r="GU204" t="str">
        <f>IF(OR(ES204="",EU204=""),"",IF(COUNTIFS(ES$3:ES204,"?*",EU$3:EU204,EU204)=1,MAX(GU$2:GU203)+1,""))</f>
        <v/>
      </c>
      <c r="GV204">
        <f t="shared" si="349"/>
        <v>0</v>
      </c>
      <c r="GW204">
        <f>IF(D204="","",COUNTIF(D$3:D204,"?*"))</f>
        <v>202</v>
      </c>
      <c r="GX204">
        <f>IF(EX204&lt;&gt;1,0,_xlfn.LET(_xlpm.k,MAX(IFERROR(--VLOOKUP(D204,УГО_спр,5,FALSE),0),IFERROR(--VLOOKUP(AT204,УГО_спр,5,FALSE),0),IFERROR(--VLOOKUP(LEFT(AT204,2),УГО_спр,5,FALSE),0)),IF(_xlpm.k&gt;0,_xlpm.k,IF(IFERROR(--LEFT(SUBSTITUTE(GR204,"x","х"),FIND("х",SUBSTITUTE(GR204,"x","х"))-1),3)&gt;3,Каталог!$S$9,1))))</f>
        <v>1</v>
      </c>
      <c r="GY204">
        <f t="shared" si="350"/>
        <v>0</v>
      </c>
    </row>
    <row r="205" spans="1:207" x14ac:dyDescent="0.3">
      <c r="A205" t="s">
        <v>760</v>
      </c>
      <c r="B205">
        <v>31</v>
      </c>
      <c r="C205" t="str">
        <f>IF(BD205="","",IF(BE205="вводной узел","узел ","")&amp;"л."&amp;(INT((BD205-1)/Столбцов_на_лист)+1)&amp;" / "&amp;(MOD(BD205-1,Столбцов_на_лист)+1))</f>
        <v>л.2 / 14</v>
      </c>
      <c r="D205" t="s">
        <v>1516</v>
      </c>
      <c r="E205" s="133" t="str">
        <f t="shared" si="351"/>
        <v>Розеточная группа Цокольный этаж Пом. №011Б</v>
      </c>
      <c r="G205">
        <v>0.06</v>
      </c>
      <c r="H205">
        <v>1</v>
      </c>
      <c r="I205">
        <v>1</v>
      </c>
      <c r="J205">
        <v>230</v>
      </c>
      <c r="K205" t="s">
        <v>566</v>
      </c>
      <c r="O205">
        <v>2</v>
      </c>
      <c r="P205">
        <v>28</v>
      </c>
      <c r="Q205">
        <v>17</v>
      </c>
      <c r="R205">
        <v>14</v>
      </c>
      <c r="S205">
        <v>0</v>
      </c>
      <c r="U205" t="s">
        <v>11</v>
      </c>
      <c r="V205">
        <v>3</v>
      </c>
      <c r="W205">
        <v>2.5</v>
      </c>
      <c r="Z205" t="s">
        <v>565</v>
      </c>
      <c r="AA205" t="s">
        <v>818</v>
      </c>
      <c r="AD205" t="s">
        <v>517</v>
      </c>
      <c r="AK205" t="s">
        <v>488</v>
      </c>
      <c r="AR205" t="str">
        <f t="shared" si="264"/>
        <v/>
      </c>
      <c r="AS205" cm="1">
        <f t="array" ref="AS205">ROW()-ROW(Линии[#Headers])</f>
        <v>203</v>
      </c>
      <c r="AT205" t="str">
        <f t="shared" si="265"/>
        <v>R</v>
      </c>
      <c r="AU205" t="str">
        <f t="shared" si="266"/>
        <v>0.011Б.1</v>
      </c>
      <c r="AV205" t="str">
        <f t="shared" si="267"/>
        <v>0</v>
      </c>
      <c r="AW205" t="str">
        <f t="shared" si="268"/>
        <v>011Б.1</v>
      </c>
      <c r="AX205" t="str">
        <f t="shared" si="269"/>
        <v>011Б</v>
      </c>
      <c r="AY205" t="str">
        <f>IF(D205="","",IF(ISERROR(SEARCH(".",D205)),IFERROR(VLOOKUP(D205,Потребители_обозначение,2,FALSE)&amp;"",""),IFERROR(IF(VLOOKUP(AT205,Потребители_обозначение,4,FALSE)=1,VLOOKUP(AT205,Потребители_обозначение,2,FALSE)&amp;" "&amp;VLOOKUP(AV205,Этаж_обозначение,2,FALSE)&amp;" Пом. №"&amp;AX205,VLOOKUP(AT205,Потребители_обозначение,2,FALSE)&amp;" Шлейф №"&amp;AV205),IFERROR(VLOOKUP(D205,Потребители_обозначение,2,FALSE),""))))</f>
        <v>Розеточная группа Цокольный этаж Пом. №011Б</v>
      </c>
      <c r="AZ205" t="str">
        <f t="shared" si="270"/>
        <v>Розеточная группа Цокольный этаж Пом. №011Б</v>
      </c>
      <c r="BA205" t="str">
        <f>IF(F205&lt;&gt;"",F205,IF(AND(D205&lt;&gt;"",D205&lt;&gt;A205,ISNUMBER(_xlfn.XMATCH(D205,Щиты[Щит]))),D205,""))</f>
        <v/>
      </c>
      <c r="BB205">
        <f>IFERROR(_xlfn.XMATCH(A205,Щиты[Щит]),0)</f>
        <v>9</v>
      </c>
      <c r="BC205">
        <f>IFERROR(N(_xlfn.XLOOKUP(A205,Щиты[Щит],Щиты[Мест под вводной узел])),15)</f>
        <v>8</v>
      </c>
      <c r="BD205">
        <f t="shared" si="271"/>
        <v>31</v>
      </c>
      <c r="BE205" t="str">
        <f t="shared" si="272"/>
        <v>линии</v>
      </c>
      <c r="BF205">
        <f>IF(D205="","",IF(BA205&lt;&gt;"",IFERROR(_xlfn.XLOOKUP(BA205,Щиты[Щит],Щиты[Руст, кВт]),0),N(G205)))</f>
        <v>0.06</v>
      </c>
      <c r="BG205">
        <f>IF(J205&lt;&gt;"",J205,IF(D205="","",IFERROR(IF(VLOOKUP(AT205,Потребители_обозначение,8,FALSE)=0,"",VLOOKUP(AT205,Потребители_обозначение,8,FALSE)),"")))</f>
        <v>230</v>
      </c>
      <c r="BH205">
        <f>IF(I205&lt;&gt;"",I205,IF(D205="","",IFERROR(IF(VLOOKUP(AT205,Потребители_обозначение,9,FALSE)=0,"",VLOOKUP(AT205,Потребители_обозначение,9,FALSE)),"")))</f>
        <v>1</v>
      </c>
      <c r="BI205" t="str">
        <f>IF(U205&lt;&gt;"",U205,IF(D205="","",IFERROR(IF(VLOOKUP(AT205,Потребители_обозначение,6,FALSE)=0,"",VLOOKUP(AT205,Потребители_обозначение,6,FALSE)),"")))</f>
        <v>мс</v>
      </c>
      <c r="BJ205">
        <f>IF(V205&lt;&gt;"",V205,IF(D205="","",IFERROR(IF(VLOOKUP(AT205,Потребители_обозначение,7,FALSE)=0,"",VLOOKUP(AT205,Потребители_обозначение,7,FALSE)),"")))</f>
        <v>3</v>
      </c>
      <c r="BK205">
        <f>IF(W205&lt;&gt;"",W205,IF(D205="","",IFERROR(IF(VLOOKUP(AT205,Потребители_обозначение,10,FALSE)=0,"",VLOOKUP(AT205,Потребители_обозначение,10,FALSE)),"")))</f>
        <v>2.5</v>
      </c>
      <c r="BL205">
        <f>IFERROR(VLOOKUP(AT205,Потребители_обозначение,5,FALSE),0)</f>
        <v>1</v>
      </c>
      <c r="BM205" cm="1">
        <f t="array" ref="BM205">IF(D205="","",IF(BA205&lt;&gt;"",IFERROR(_xlfn.XLOOKUP(BA205,Щиты[Щит],Щиты[cos φ]),0.95),IF(ISNUMBER(M205),M205,IFERROR(IF(BL205=2,_xlfn.IFS(BH205=3,VLOOKUP(BF205,Справочная_двигатели,8,FALSE),BH205=1,VLOOKUP(BF205,Справочная_двигатели,10,TRUE)),IF(AND(Методика="нормы 2026",CN205="Сил"),0.8,0.95)),0.95))))</f>
        <v>0.95</v>
      </c>
      <c r="BN205" cm="1">
        <f t="array" ref="BN205">IF(D205="","",IF(BA205&lt;&gt;"",IFERROR(_xlfn.XLOOKUP(BA205,Щиты[Щит],Щиты[Iр, А]),""),IFERROR(_xlfn.IFS(BH205=1,BF205/((Uн_лин/SQRT(3))*BM205),BH205=3,BF205/(SQRT(3)*Uн_лин*BM205)),"")))</f>
        <v>0.27348170645824377</v>
      </c>
      <c r="BO205">
        <f>IF(D205="","",IF(N(X205)=0,IFERROR(VLOOKUP(BN205,Автомат_номиналы,2,TRUE),""),X205))</f>
        <v>6</v>
      </c>
      <c r="BP205">
        <f t="shared" si="273"/>
        <v>1</v>
      </c>
      <c r="BQ205">
        <f>IF(ISNUMBER(Y205),Y205,К_прокл)</f>
        <v>1</v>
      </c>
      <c r="BR205">
        <f t="shared" si="274"/>
        <v>2</v>
      </c>
      <c r="BS205" cm="1">
        <f t="array" ref="BS205">IF(D205="","",IF(N(BK205)&lt;&gt;0,BK205,IFERROR(_xlfn.LET(_xlpm.need,BO205/(BP205*BQ205),_xlpm.t,CHOOSE(BR205,Iдоп_1ж,Iдоп_2ж,Iдоп_3ж),_xlpm.k,_xlfn.XMATCH(_xlpm.need,_xlpm.t,1),IF(ISNA(_xlpm.k),"Не исп",INDEX(Iдоп_S,_xlpm.k))),"Не исп")))</f>
        <v>2.5</v>
      </c>
      <c r="BT205">
        <f>IFERROR(VLOOKUP(BS205,Кабель_сопротивление,3,FALSE),"")</f>
        <v>2.2499999999999999E-2</v>
      </c>
      <c r="BU205">
        <f>IFERROR(VLOOKUP(BS205,Кабель_сопротивление,2,FALSE),"")</f>
        <v>0.1</v>
      </c>
      <c r="BV205">
        <f t="shared" si="275"/>
        <v>28</v>
      </c>
      <c r="BW205">
        <f>IF(D205="","",IFERROR(IF(VLOOKUP(AT205,Потребители_обозначение,4,FALSE)=1,VLOOKUP(AT205,Потребители_обозначение,3,FALSE)*(H205*2-1)+BV205+VLOOKUP(AV205,Этаж_обозначение,3,FALSE)+VLOOKUP(AV205,Этаж_обозначение,4,FALSE),VLOOKUP(AT205,Потребители_обозначение,3,FALSE)*(H205*2-1)+BV205),BV205))</f>
        <v>31</v>
      </c>
      <c r="BX205">
        <f t="shared" si="276"/>
        <v>14</v>
      </c>
      <c r="BY205">
        <f t="shared" si="277"/>
        <v>0</v>
      </c>
      <c r="BZ205">
        <f t="shared" si="278"/>
        <v>2</v>
      </c>
      <c r="CA205">
        <f t="shared" si="279"/>
        <v>0.31</v>
      </c>
      <c r="CB205">
        <f t="shared" si="280"/>
        <v>0.14549828443332777</v>
      </c>
      <c r="CC205">
        <f>IFERROR(ROUNDUP(CB205/((Uн_лин/SQRT(3))*1000)*100,2),"")</f>
        <v>6.9999999999999993E-2</v>
      </c>
      <c r="CD205">
        <f>IF(ISNUMBER(CC205),CC205+IFERROR(_xlfn.XLOOKUP(A205,Щиты[Щит],Щиты[ΔU до шин, %]),0),"")</f>
        <v>0.5</v>
      </c>
      <c r="CE205">
        <f>IF(D205="","",IF(IFERROR(VLOOKUP(AT205,УГО_спр,2,FALSE),"")="Светильник",3,4)+IF(Методика="нормы 2026",MIN(0.5,MAX(0,N(BW205)-100)*0.005),0))</f>
        <v>4</v>
      </c>
      <c r="CF205" t="str">
        <f>IFERROR(VLOOKUP(BI205,Кабель_обозначение,2,FALSE),"")</f>
        <v>ВВГнг(А)-LS</v>
      </c>
      <c r="CG205" t="str">
        <f>IFERROR(IF(VLOOKUP(BI205,Кабель_обозначение,3,FALSE)=1,CF205&amp;" ("&amp;BJ205&amp;"х"&amp;BS205&amp;")",CF205),"")</f>
        <v>ВВГнг(А)-LS (3х2,5)</v>
      </c>
      <c r="CH205" t="str">
        <f t="shared" si="281"/>
        <v>ВВГнг(А)-LS (3х2,5)
L=31-0,07%</v>
      </c>
      <c r="CI205">
        <f>IFERROR(2*ρкз_Cu*BW205/BS205,"")</f>
        <v>0.65224000000000004</v>
      </c>
      <c r="CJ205">
        <f t="shared" si="282"/>
        <v>0.21700000000000003</v>
      </c>
      <c r="CK205" t="str">
        <f>IFERROR(IF(OR(D205="",NOT(ISNUMBER(BS205)),N(BW205)=0),"",_xlfn.XLOOKUP(A205,Щиты[Щит],Щиты[Zпетли на шинах, Ом])+CI205),"")</f>
        <v/>
      </c>
      <c r="CL205" t="str">
        <f>IF(ISNUMBER(CK205),c_min*(Uн_лин*1000/SQRT(3))/CK205,"")</f>
        <v/>
      </c>
      <c r="CM205" t="str">
        <f>IFERROR(IF(OR(D205="",NOT(ISNUMBER(BS205))),"",1.05*(Uн_лин*1000/SQRT(3))/(_xlfn.XLOOKUP(A205,Щиты[Щит],Щиты[Zmax на шинах, Ом])+CJ205)/1000),"")</f>
        <v/>
      </c>
      <c r="CN205" t="str">
        <f>IF(D205="","",IF(BA205&lt;&gt;"","Щит",IF(K205&lt;&gt;"",K205,IF(ISNUMBER(L205),"Сил",IF(IFERROR(_xlfn.XLOOKUP(AT205,Коды_код,Коды_группа)&amp;"","")="","Быт",_xlfn.XLOOKUP(AT205,Коды_код,Коды_группа)&amp;"")))))</f>
        <v>Быт</v>
      </c>
      <c r="CO205">
        <f>IF(CN205="Щит","щит",IF(CN205="","",IF(CN205="Быт",IFERROR(_xlfn.XLOOKUP(A205,Щиты[Щит],Щиты[Кс быт]),1),IF(CN205="Сил",IF(ISNUMBER(L205),L205,IF(Методика="нормы 2026",IFERROR(_xlfn.XLOOKUP(A205,Щиты[Щит],Щиты[Кс силовых (табл. 7.5)]),1),1)),IF(OR(CN205="Пост",CN205="Отоп"),1,IF(CN205="ВНГ",0.7,0))))))</f>
        <v>0.79799999999999993</v>
      </c>
      <c r="CP205">
        <f t="shared" si="283"/>
        <v>1</v>
      </c>
      <c r="CQ205">
        <f t="shared" si="284"/>
        <v>0.06</v>
      </c>
      <c r="CR205">
        <f t="shared" si="285"/>
        <v>0.06</v>
      </c>
      <c r="CS205">
        <f t="shared" si="286"/>
        <v>0</v>
      </c>
      <c r="CT205">
        <f t="shared" si="287"/>
        <v>0</v>
      </c>
      <c r="CU205">
        <f t="shared" si="288"/>
        <v>0</v>
      </c>
      <c r="CV205">
        <f t="shared" si="289"/>
        <v>0</v>
      </c>
      <c r="CW205">
        <f t="shared" si="290"/>
        <v>0.06</v>
      </c>
      <c r="CX205">
        <f t="shared" si="291"/>
        <v>5.6999999999999995E-2</v>
      </c>
      <c r="CY205">
        <f t="shared" si="292"/>
        <v>3</v>
      </c>
      <c r="CZ205" t="str">
        <f t="shared" si="293"/>
        <v>L3</v>
      </c>
      <c r="DA205" cm="1">
        <f t="array" ref="DA205">IFERROR(IF(BL205=2,_xlfn.IFS(BH205=3,VLOOKUP(BF205,Справочная_двигатели,3,FALSE),BH205=1,VLOOKUP(BF205,Справочная_двигатели,5,TRUE)),0),0)</f>
        <v>0</v>
      </c>
      <c r="DB205">
        <f>IFERROR(IF(BL205=3,VLOOKUP(BF205,Справочная_ЛЭД,2,TRUE),0),0)</f>
        <v>0</v>
      </c>
      <c r="DC205">
        <f t="shared" si="294"/>
        <v>0</v>
      </c>
      <c r="DD205" t="str">
        <f t="shared" si="295"/>
        <v>L2</v>
      </c>
      <c r="DE205" t="str" cm="1">
        <f t="array" ref="DE205">IF(D205="","",IFERROR(INDEX({"I особая","I","II","III"},MATCH(TRIM(AA205&amp;""),{"I особая","I","II","III"},0)),"III"))</f>
        <v>II</v>
      </c>
      <c r="DF205" t="str">
        <f>IF(D205="","",IF(TRIM(AB205&amp;"")&lt;&gt;"",IF(LOWER(TRIM(AB205&amp;""))="да","да","нет"),IF(IFERROR(_xlfn.XLOOKUP(AT205,Коды_код,Коды_пожарная),"")="да","да","нет")))</f>
        <v>нет</v>
      </c>
      <c r="DG205" t="str">
        <f t="shared" si="296"/>
        <v/>
      </c>
      <c r="DH205" t="str">
        <f t="shared" si="297"/>
        <v>основная</v>
      </c>
      <c r="DI205">
        <f t="shared" si="298"/>
        <v>1</v>
      </c>
      <c r="DJ205" t="str" cm="1">
        <f t="array" ref="DJ205">IF(D205="","",_xlfn.LET(_xlpm.t,IFERROR(_xlfn.XLOOKUP(1,(Шины[Шина]=DH205)*(((Шины[Щит]=A205)+(Шины[Щит]=""))&gt;0),Шины[Тип]),"")&amp;"",IF(_xlpm.t&lt;&gt;"",_xlpm.t,IF(ISNUMBER(SEARCH("ИБП",DH205)),"ИБП",IF(ISNUMBER(SEARCH("ДГУ",DH205)),"ДГУ","Ввод "&amp;DI205)))))</f>
        <v>Ввод 1</v>
      </c>
      <c r="DK205" t="str">
        <f t="shared" si="299"/>
        <v>Ввод 1</v>
      </c>
      <c r="DL205" t="str">
        <f>IF(D205="","",IF(OR(DJ205="ИБП",DJ205="ДГУ"),"I особая",IF(DJ205="Одиночная","III",_xlfn.XLOOKUP(A205,Щиты[Щит],Щиты[Категория шины «Ввод»],"III"))))</f>
        <v>II</v>
      </c>
      <c r="DM205">
        <f>IF(D205="",0,IFERROR(MATCH(DE205,{"III","II","I","I особая"},0),1))</f>
        <v>2</v>
      </c>
      <c r="DN205">
        <f t="shared" si="300"/>
        <v>2</v>
      </c>
      <c r="DO205" t="str">
        <f>IF(D205="","",IF(DM205&gt;IFERROR(MATCH(DL205,{"III","II","I","I особая"},0),1),"НЕ ОБЕСПЕЧЕНА","ОК"))</f>
        <v>ОК</v>
      </c>
      <c r="DP205" t="str">
        <f>IF(A205="","",_xlfn.XLOOKUP(A205,Щиты[Щит],Щиты[Путь],""))</f>
        <v>|ГРЩ-ЖД|ЩР-01|</v>
      </c>
      <c r="DQ205" t="str">
        <f>IF(D205="","",IF(Z205&lt;&gt;"",Z205,IF(IFERROR(_xlfn.XLOOKUP(AT205,Коды_код,Коды_вид)&amp;"","")="","Прочее",_xlfn.XLOOKUP(AT205,Коды_код,Коды_вид)&amp;"")))</f>
        <v>Розеточная сеть и бытовые приборы</v>
      </c>
      <c r="DR205">
        <f>IF(BD205="","",INT((BD205-1)/Столбцов_на_лист)+1)</f>
        <v>2</v>
      </c>
      <c r="DS205" t="str">
        <f t="shared" si="301"/>
        <v>ВВГнг(А)-LS (3х2,5) L=31-0,07%</v>
      </c>
      <c r="DT205">
        <f t="shared" si="302"/>
        <v>0.06</v>
      </c>
      <c r="DU205">
        <f t="shared" si="303"/>
        <v>0.28000000000000003</v>
      </c>
      <c r="DV205">
        <f t="shared" si="304"/>
        <v>1</v>
      </c>
      <c r="DW205">
        <f>IF(AT205="",0,_xlfn.LET(_xlpm.v,IFERROR(VLOOKUP(D205,УГО_спр,3,FALSE),IFERROR(VLOOKUP(AT205,УГО_спр,3,FALSE),IFERROR(VLOOKUP(LEFT(AT205,2),УГО_спр,3,FALSE),""))),IF(_xlpm.v="да",30,IF(ISNUMBER(_xlpm.v),_xlpm.v,0))))</f>
        <v>30</v>
      </c>
      <c r="DX205">
        <f t="shared" si="305"/>
        <v>0</v>
      </c>
      <c r="DY205">
        <f>IF(BD205="","",IF(AD205&lt;&gt;"",COUNTIFS(A$3:A205,A205,AD$3:AD205,"?*"),IF(OR(OR(AS205=1,A205&lt;&gt;A204),AL205="вручную"),"",IF(AS205=1,"",DZ204))))</f>
        <v>21</v>
      </c>
      <c r="DZ205">
        <f t="shared" si="306"/>
        <v>21</v>
      </c>
      <c r="EA205">
        <f>IF(D205="",0,MAX(IFERROR(--X205,0),IFERROR(--VLOOKUP(D205,УГО_спр,4,FALSE),IFERROR(--VLOOKUP(AT205,УГО_спр,4,FALSE),IFERROR(--VLOOKUP(LEFT(AT205,2),УГО_спр,4,FALSE),0)))))</f>
        <v>16</v>
      </c>
      <c r="EB205">
        <f>IF(D205="","",IFERROR(LOOKUP(INDEX(CHOOSE(BR205,Iдоп_1ж,Iдоп_2ж,Iдоп_3ж),MATCH(BS205,Iдоп_S,0))*BP205*BQ205,{6,10,16,20,25,32,40,50,63,80,100,125,160,200,250,315,400,500,630}),""))</f>
        <v>25</v>
      </c>
      <c r="EC205">
        <f>IF(AD205="","",SUMIFS(Линии[_Ток схемы],Линии[_гр.],DY205,Линии[Щит],A205,Линии[_в кабель выше],0))</f>
        <v>0.28000000000000003</v>
      </c>
      <c r="ED205">
        <f>IF(AD205="","",IFERROR(VLOOKUP(EC205,Автомат_номиналы,2,TRUE),""))</f>
        <v>6</v>
      </c>
      <c r="EE205">
        <f>IF(AD205="","",MAX(N(ED205),_xlfn.MAXIFS(Линии[_мин. по типу],Линии[_гр.],DY205,Линии[Щит],A205)))</f>
        <v>16</v>
      </c>
      <c r="EF205">
        <f>IF(AD205="","",_xlfn.MINIFS(Линии[_макс. автомат по кабелю],Линии[_гр.],DY205,Линии[Щит],A205))</f>
        <v>25</v>
      </c>
      <c r="EG205">
        <f>IF(AD205="","",MAX(1,_xlfn.MAXIFS(Линии[_фаз],Линии[_гр.],DY205,Линии[Щит],A205)))</f>
        <v>1</v>
      </c>
      <c r="EH205">
        <f>IF(AD205="","",IF(AND(AD205&lt;&gt;"авто",AD205&lt;&gt;"+"),IF(ISNUMBER(SEARCH("мА",AD205)),IFERROR(--TRIM(RIGHT(SUBSTITUTE(LEFT(AD205,SEARCH("мА",AD205)-1)," ",REPT(" ",9)),6)),30),0),IF(AE205="нет",0,IF(ISNUMBER(AE205),AE205,IF(AE205="да",30,_xlfn.MINIFS(Линии[_дифзащита по коду, мА],Линии[_гр.],DY205,Линии[Щит],A205,Линии[_дифзащита по коду, мА],"&gt;0"))))))</f>
        <v>30</v>
      </c>
      <c r="EI205">
        <f t="shared" si="307"/>
        <v>1</v>
      </c>
      <c r="EJ205" t="str">
        <f t="shared" si="308"/>
        <v>QFD21</v>
      </c>
      <c r="EK205" t="str">
        <f t="shared" si="309"/>
        <v>QFD21</v>
      </c>
      <c r="EL205" t="str">
        <f t="shared" si="310"/>
        <v/>
      </c>
      <c r="EM205">
        <f t="shared" si="311"/>
        <v>0</v>
      </c>
      <c r="EN205">
        <f>IF(AD205="","",IF(EM205=1,MAX(EE205,Мин_автомат_БП),EE205))</f>
        <v>16</v>
      </c>
      <c r="EO205" t="str">
        <f t="shared" si="312"/>
        <v>2P</v>
      </c>
      <c r="EP205" t="str">
        <f t="shared" si="313"/>
        <v>2P С16А 30мА</v>
      </c>
      <c r="EQ205">
        <f t="shared" si="314"/>
        <v>16</v>
      </c>
      <c r="ER205" t="str">
        <f>IF(OR(AI205="",AI205="-"),"",IFERROR(VLOOKUP(AI205,Модули_спр,2,FALSE),"R"))</f>
        <v/>
      </c>
      <c r="ES205" t="str">
        <f>IF(ER205="","",ER205&amp;"."&amp;COUNTIFS(A$3:A205,A205,ER$3:ER205,ER205))</f>
        <v/>
      </c>
      <c r="ET205" t="str">
        <f t="shared" si="315"/>
        <v/>
      </c>
      <c r="EU205" t="str">
        <f t="shared" si="316"/>
        <v/>
      </c>
      <c r="EV205" t="str">
        <f t="shared" si="317"/>
        <v/>
      </c>
      <c r="EW205" t="str">
        <f t="shared" si="318"/>
        <v/>
      </c>
      <c r="EX205">
        <f t="shared" si="319"/>
        <v>1</v>
      </c>
      <c r="EY205" t="str">
        <f>IF(AK205="нет","",IF(AK205&lt;&gt;"",AK205,IF(EX205=1,"XT"&amp;COUNTIFS(A$3:A205,A205,EX$3:EX205,1),"")))</f>
        <v/>
      </c>
      <c r="EZ205" t="str">
        <f t="shared" si="320"/>
        <v>QFD21</v>
      </c>
      <c r="FA205" t="str">
        <f t="shared" si="321"/>
        <v/>
      </c>
      <c r="FB205" t="str">
        <f t="shared" si="322"/>
        <v>ok</v>
      </c>
      <c r="FC205" t="str">
        <f>IF(OR(EV205="",ET205=""),"",IF(EV205&gt;IFERROR(VLOOKUP(EU205,Модули_спр,3,FALSE),99),"ЛИШНИЙ КАНАЛ",IF(AND(AJ205&lt;&gt;"=",COUNTIFS(Линии[_модуль гр.],ET205,Линии[Канал (итог)],EV205,Линии[Канал],"&lt;&gt;=",Линии[Щит],A205)&gt;1),"ДУБЛЬ КАНАЛА","")))</f>
        <v/>
      </c>
      <c r="FD205">
        <f t="shared" si="323"/>
        <v>16</v>
      </c>
      <c r="FE205" t="str">
        <f t="shared" si="324"/>
        <v>2P С16А 30мА</v>
      </c>
      <c r="FF205">
        <f t="shared" si="325"/>
        <v>1</v>
      </c>
      <c r="FG205">
        <f t="shared" si="326"/>
        <v>30</v>
      </c>
      <c r="FH205" t="str">
        <f t="shared" si="327"/>
        <v/>
      </c>
      <c r="FI205">
        <f t="shared" si="328"/>
        <v>10</v>
      </c>
      <c r="FJ205" t="str">
        <f t="shared" si="329"/>
        <v/>
      </c>
      <c r="FK205" t="str">
        <f>IF(AND(D205="",EZ205=""),"",_xlfn.TEXTJOIN("; ",TRUE,IF(AND(D205&lt;&gt;"",DD205=""),"нет фазы",""),IF(AND(D205&lt;&gt;"",N(DT205)=0,CN205&lt;&gt;"Нет"),"нет мощности",""),IF(AND(EY205&lt;&gt;"",COUNTIFS(Линии[Щит],A205,Линии[Клемма (итог)],EY205)&gt;1),"дубль клеммы "&amp;EY205,""),IF(AND(FB205&lt;&gt;"",FB205&lt;&gt;"ok"),FB205,""),IF(FC205&lt;&gt;"",FC205,""),IF(AND(ISNUMBER(SEARCH("(5х",DS205)),N(DV205)=1),"5 жил на 1 фазе",""),IF(AND(AT205="R",AD205&lt;&gt;"",OR(N(EH205)=0,N(EH205)&gt;30)),"розетка без дифзащиты до 30 мА",""),IFERROR(IF(AND(ISNUMBER(CD205),CD205&gt;CE205),"потери "&amp;FIXED(CD205,1)&amp;" % &gt; "&amp;CE205&amp;" %",""),""),IFERROR(IF(LEFT(FJ205,4)="мало","Iкз мало — отключение &gt; 0,4 с",""),""),IF(AND(D205&lt;&gt;"",BD205=""),"не на схеме","")))</f>
        <v/>
      </c>
      <c r="FL205">
        <f>IF(AD205="","",_xlfn.LET(_xlpm.t,IFERROR(_xlfn.XLOOKUP(EP205,Каталог!$U$4:$U$500,Каталог!$G$4:$G$500),""),_xlpm.k,SEARCH("кА",_xlpm.t),IFERROR(--TRIM(RIGHT(SUBSTITUTE(MID(_xlpm.t,MAX(1,_xlpm.k-4),_xlpm.k-MAX(1,_xlpm.k-4))," ",REPT(" ",9)),5)),"")))</f>
        <v>6</v>
      </c>
      <c r="FM205" t="str">
        <f>IF(OR(FL205="",AD205=""),"",IF(_xlfn.XLOOKUP(A205,Щиты[Щит],Щиты[Iкз max на шинах, кА],"")="","",IF(FL205&lt;_xlfn.XLOOKUP(A205,Щиты[Щит],Щиты[Iкз max на шинах, кА]),"Icu "&amp;FL205&amp;" кА &lt; Iкз max","ok")))</f>
        <v/>
      </c>
      <c r="FN205" t="str">
        <f t="shared" si="330"/>
        <v>QFD21</v>
      </c>
      <c r="FO205" t="str">
        <f t="shared" si="331"/>
        <v>QFD21|кабель ВВГнг(А)-LS (3х2,5) → Розеточная группа Цокольный этаж Пом. №011Б</v>
      </c>
      <c r="FP205" t="str" cm="1">
        <f t="array" ref="FP205">IF(FO205="","",_xlfn.LET(_xlpm.nd,_xlfn.TEXTSPLIT(FO205,"|"),IF(COLUMNS(_xlpm.nd)&gt;1,A205&amp;"¦"&amp;INDEX(_xlpm.nd,1)&amp;"¦"&amp;INDEX(_xlpm.nd,2),"")))</f>
        <v>ЩР-01¦QFD21¦кабель ВВГнг(А)-LS (3х2,5) → Розеточная группа Цокольный этаж Пом. №011Б</v>
      </c>
      <c r="FQ205" t="str">
        <f t="shared" si="332"/>
        <v>R.0.011Б.1¦Розеточная группа Цокольный этаж Пом. №011Б</v>
      </c>
      <c r="FR205" t="str" cm="1">
        <f t="array" ref="FR205">IF(FO205="","",_xlfn.LET(_xlpm.nd,_xlfn.TEXTSPLIT(FO205,"|"),IF(COLUMNS(_xlpm.nd)&gt;2,A205&amp;"¦"&amp;INDEX(_xlpm.nd,2)&amp;"¦"&amp;INDEX(_xlpm.nd,3),"")))</f>
        <v/>
      </c>
      <c r="FS205" t="str">
        <f t="shared" si="333"/>
        <v/>
      </c>
      <c r="FT205" t="str" cm="1">
        <f t="array" ref="FT205">IF(FO205="","",_xlfn.LET(_xlpm.nd,_xlfn.TEXTSPLIT(FO205,"|"),IF(COLUMNS(_xlpm.nd)&gt;3,A205&amp;"¦"&amp;INDEX(_xlpm.nd,3)&amp;"¦"&amp;INDEX(_xlpm.nd,4),"")))</f>
        <v/>
      </c>
      <c r="FU205" t="str">
        <f t="shared" si="334"/>
        <v/>
      </c>
      <c r="FV205" t="str" cm="1">
        <f t="array" ref="FV205">IF(FO205="","",_xlfn.LET(_xlpm.nd,_xlfn.TEXTSPLIT(FO205,"|"),IF(COLUMNS(_xlpm.nd)&gt;4,A205&amp;"¦"&amp;INDEX(_xlpm.nd,4)&amp;"¦"&amp;INDEX(_xlpm.nd,5),"")))</f>
        <v/>
      </c>
      <c r="FW205" t="str">
        <f t="shared" si="335"/>
        <v/>
      </c>
      <c r="FX205" t="str" cm="1">
        <f t="array" ref="FX205">IF(FO205="","",_xlfn.LET(_xlpm.nd,_xlfn.TEXTSPLIT(FO205,"|"),IF(COLUMNS(_xlpm.nd)&gt;5,A205&amp;"¦"&amp;INDEX(_xlpm.nd,5)&amp;"¦"&amp;INDEX(_xlpm.nd,6),"")))</f>
        <v/>
      </c>
      <c r="FY205" t="str">
        <f t="shared" si="336"/>
        <v/>
      </c>
      <c r="FZ205" t="str" cm="1">
        <f t="array" ref="FZ205">IF(FO205="","",_xlfn.LET(_xlpm.nd,_xlfn.TEXTSPLIT(FO205,"|"),IF(COLUMNS(_xlpm.nd)&gt;6,A205&amp;"¦"&amp;INDEX(_xlpm.nd,6)&amp;"¦"&amp;INDEX(_xlpm.nd,7),"")))</f>
        <v/>
      </c>
      <c r="GA205" t="str">
        <f t="shared" si="337"/>
        <v/>
      </c>
      <c r="GB205" t="str">
        <f t="shared" si="338"/>
        <v/>
      </c>
      <c r="GC205" t="str">
        <f t="shared" si="339"/>
        <v>QFD21</v>
      </c>
      <c r="GD205">
        <f t="shared" si="340"/>
        <v>1</v>
      </c>
      <c r="GE205">
        <f t="shared" si="341"/>
        <v>0</v>
      </c>
      <c r="GF205">
        <f t="shared" si="342"/>
        <v>1</v>
      </c>
      <c r="GG205" t="str">
        <f t="shared" si="343"/>
        <v/>
      </c>
      <c r="GH205" t="str">
        <f t="shared" si="344"/>
        <v/>
      </c>
      <c r="GI205" t="str">
        <f t="shared" si="345"/>
        <v/>
      </c>
      <c r="GJ205" t="str">
        <f t="shared" si="346"/>
        <v/>
      </c>
      <c r="GK205" t="str">
        <f>IF(D205="","",IFERROR(VLOOKUP(D205,УГО_спр,2,FALSE),IFERROR(VLOOKUP(AT205,УГО_спр,2,FALSE),IFERROR(VLOOKUP(LEFT(AT205,2),УГО_спр,2,FALSE),""))))</f>
        <v>Розетка</v>
      </c>
      <c r="GL205" t="str">
        <f>IF(D205="","",IF(OR(GK205="",GK205=0),"BOX",IFERROR(IF(VLOOKUP(GK205,УГО_блоки,3,FALSE)&amp;""&lt;&gt;"",VLOOKUP(GK205,УГО_блоки,3,FALSE),VLOOKUP(GK205,УГО_блоки,2,FALSE)),GK205)))</f>
        <v>SOCKET</v>
      </c>
      <c r="GM205">
        <f t="shared" si="347"/>
        <v>1</v>
      </c>
      <c r="GN205" t="str">
        <f>IF(EP205="","",IF(COUNTIF(EP$3:EP205,EP205)=1,MAX(GN$2:GN204)+1,""))</f>
        <v/>
      </c>
      <c r="GO205" t="str">
        <f>IF(AF205="","",IF(COUNTIF(AF$3:AF205,AF205)+COUNTIF(AG$2:AG204,AF205)+COUNTIF(AH$2:AH204,AF205)=1,MAX(GO$2:GQ204)+1,""))</f>
        <v/>
      </c>
      <c r="GP205" t="str">
        <f>IF(AG205="","",IF(COUNTIF(AF$3:AF205,AG205)+COUNTIF(AG$3:AG205,AG205)+COUNTIF(AH$2:AH204,AG205)=1,MAX(GO$2:GQ204,GO205)+1,""))</f>
        <v/>
      </c>
      <c r="GQ205" t="str">
        <f>IF(AH205="","",IF(COUNTIF(AF$3:AF205,AH205)+COUNTIF(AG$3:AG205,AH205)+COUNTIF(AH$3:AH205,AH205)=1,MAX(GO$2:GQ204,GO205,GP205)+1,""))</f>
        <v/>
      </c>
      <c r="GR205" t="str">
        <f t="shared" si="348"/>
        <v>3х2,5</v>
      </c>
      <c r="GS205" t="str">
        <f>IF(GR205="","",IF(COUNTIF(GR$3:GR205,GR205)=1,MAX(GS$2:GS204)+1,""))</f>
        <v/>
      </c>
      <c r="GT205" t="str">
        <f>IF(ES205="","",COUNTIF(ES$3:ES205,"?*"))</f>
        <v/>
      </c>
      <c r="GU205" t="str">
        <f>IF(OR(ES205="",EU205=""),"",IF(COUNTIFS(ES$3:ES205,"?*",EU$3:EU205,EU205)=1,MAX(GU$2:GU204)+1,""))</f>
        <v/>
      </c>
      <c r="GV205">
        <f t="shared" si="349"/>
        <v>0</v>
      </c>
      <c r="GW205">
        <f>IF(D205="","",COUNTIF(D$3:D205,"?*"))</f>
        <v>203</v>
      </c>
      <c r="GX205">
        <f>IF(EX205&lt;&gt;1,0,_xlfn.LET(_xlpm.k,MAX(IFERROR(--VLOOKUP(D205,УГО_спр,5,FALSE),0),IFERROR(--VLOOKUP(AT205,УГО_спр,5,FALSE),0),IFERROR(--VLOOKUP(LEFT(AT205,2),УГО_спр,5,FALSE),0)),IF(_xlpm.k&gt;0,_xlpm.k,IF(IFERROR(--LEFT(SUBSTITUTE(GR205,"x","х"),FIND("х",SUBSTITUTE(GR205,"x","х"))-1),3)&gt;3,Каталог!$S$9,1))))</f>
        <v>1</v>
      </c>
      <c r="GY205">
        <f t="shared" si="350"/>
        <v>0</v>
      </c>
    </row>
    <row r="206" spans="1:207" x14ac:dyDescent="0.3">
      <c r="A206" t="s">
        <v>760</v>
      </c>
      <c r="B206">
        <v>32</v>
      </c>
      <c r="C206" t="str">
        <f>IF(BD206="","",IF(BE206="вводной узел","узел ","")&amp;"л."&amp;(INT((BD206-1)/Столбцов_на_лист)+1)&amp;" / "&amp;(MOD(BD206-1,Столбцов_на_лист)+1))</f>
        <v>л.2 / 15</v>
      </c>
      <c r="D206" t="s">
        <v>1517</v>
      </c>
      <c r="E206" s="133" t="str">
        <f t="shared" si="351"/>
        <v>Розеточная группа Цокольный этаж Пом. №012A</v>
      </c>
      <c r="G206">
        <v>0.3</v>
      </c>
      <c r="H206">
        <v>5</v>
      </c>
      <c r="I206">
        <v>1</v>
      </c>
      <c r="J206">
        <v>230</v>
      </c>
      <c r="K206" t="s">
        <v>566</v>
      </c>
      <c r="O206">
        <v>3</v>
      </c>
      <c r="P206">
        <v>52</v>
      </c>
      <c r="Q206">
        <v>48</v>
      </c>
      <c r="R206">
        <v>31</v>
      </c>
      <c r="S206">
        <v>0</v>
      </c>
      <c r="U206" t="s">
        <v>11</v>
      </c>
      <c r="V206">
        <v>3</v>
      </c>
      <c r="W206">
        <v>2.5</v>
      </c>
      <c r="Z206" t="s">
        <v>565</v>
      </c>
      <c r="AA206" t="s">
        <v>818</v>
      </c>
      <c r="AD206" t="s">
        <v>517</v>
      </c>
      <c r="AK206" t="s">
        <v>488</v>
      </c>
      <c r="AR206" t="str">
        <f t="shared" si="264"/>
        <v/>
      </c>
      <c r="AS206" cm="1">
        <f t="array" ref="AS206">ROW()-ROW(Линии[#Headers])</f>
        <v>204</v>
      </c>
      <c r="AT206" t="str">
        <f t="shared" si="265"/>
        <v>R</v>
      </c>
      <c r="AU206" t="str">
        <f t="shared" si="266"/>
        <v>0.012A.1</v>
      </c>
      <c r="AV206" t="str">
        <f t="shared" si="267"/>
        <v>0</v>
      </c>
      <c r="AW206" t="str">
        <f t="shared" si="268"/>
        <v>012A.1</v>
      </c>
      <c r="AX206" t="str">
        <f t="shared" si="269"/>
        <v>012A</v>
      </c>
      <c r="AY206" t="str">
        <f>IF(D206="","",IF(ISERROR(SEARCH(".",D206)),IFERROR(VLOOKUP(D206,Потребители_обозначение,2,FALSE)&amp;"",""),IFERROR(IF(VLOOKUP(AT206,Потребители_обозначение,4,FALSE)=1,VLOOKUP(AT206,Потребители_обозначение,2,FALSE)&amp;" "&amp;VLOOKUP(AV206,Этаж_обозначение,2,FALSE)&amp;" Пом. №"&amp;AX206,VLOOKUP(AT206,Потребители_обозначение,2,FALSE)&amp;" Шлейф №"&amp;AV206),IFERROR(VLOOKUP(D206,Потребители_обозначение,2,FALSE),""))))</f>
        <v>Розеточная группа Цокольный этаж Пом. №012A</v>
      </c>
      <c r="AZ206" t="str">
        <f t="shared" si="270"/>
        <v>Розеточная группа Цокольный этаж Пом. №012A</v>
      </c>
      <c r="BA206" t="str">
        <f>IF(F206&lt;&gt;"",F206,IF(AND(D206&lt;&gt;"",D206&lt;&gt;A206,ISNUMBER(_xlfn.XMATCH(D206,Щиты[Щит]))),D206,""))</f>
        <v/>
      </c>
      <c r="BB206">
        <f>IFERROR(_xlfn.XMATCH(A206,Щиты[Щит]),0)</f>
        <v>9</v>
      </c>
      <c r="BC206">
        <f>IFERROR(N(_xlfn.XLOOKUP(A206,Щиты[Щит],Щиты[Мест под вводной узел])),15)</f>
        <v>8</v>
      </c>
      <c r="BD206">
        <f t="shared" si="271"/>
        <v>32</v>
      </c>
      <c r="BE206" t="str">
        <f t="shared" si="272"/>
        <v>линии</v>
      </c>
      <c r="BF206">
        <f>IF(D206="","",IF(BA206&lt;&gt;"",IFERROR(_xlfn.XLOOKUP(BA206,Щиты[Щит],Щиты[Руст, кВт]),0),N(G206)))</f>
        <v>0.3</v>
      </c>
      <c r="BG206">
        <f>IF(J206&lt;&gt;"",J206,IF(D206="","",IFERROR(IF(VLOOKUP(AT206,Потребители_обозначение,8,FALSE)=0,"",VLOOKUP(AT206,Потребители_обозначение,8,FALSE)),"")))</f>
        <v>230</v>
      </c>
      <c r="BH206">
        <f>IF(I206&lt;&gt;"",I206,IF(D206="","",IFERROR(IF(VLOOKUP(AT206,Потребители_обозначение,9,FALSE)=0,"",VLOOKUP(AT206,Потребители_обозначение,9,FALSE)),"")))</f>
        <v>1</v>
      </c>
      <c r="BI206" t="str">
        <f>IF(U206&lt;&gt;"",U206,IF(D206="","",IFERROR(IF(VLOOKUP(AT206,Потребители_обозначение,6,FALSE)=0,"",VLOOKUP(AT206,Потребители_обозначение,6,FALSE)),"")))</f>
        <v>мс</v>
      </c>
      <c r="BJ206">
        <f>IF(V206&lt;&gt;"",V206,IF(D206="","",IFERROR(IF(VLOOKUP(AT206,Потребители_обозначение,7,FALSE)=0,"",VLOOKUP(AT206,Потребители_обозначение,7,FALSE)),"")))</f>
        <v>3</v>
      </c>
      <c r="BK206">
        <f>IF(W206&lt;&gt;"",W206,IF(D206="","",IFERROR(IF(VLOOKUP(AT206,Потребители_обозначение,10,FALSE)=0,"",VLOOKUP(AT206,Потребители_обозначение,10,FALSE)),"")))</f>
        <v>2.5</v>
      </c>
      <c r="BL206">
        <f>IFERROR(VLOOKUP(AT206,Потребители_обозначение,5,FALSE),0)</f>
        <v>1</v>
      </c>
      <c r="BM206" cm="1">
        <f t="array" ref="BM206">IF(D206="","",IF(BA206&lt;&gt;"",IFERROR(_xlfn.XLOOKUP(BA206,Щиты[Щит],Щиты[cos φ]),0.95),IF(ISNUMBER(M206),M206,IFERROR(IF(BL206=2,_xlfn.IFS(BH206=3,VLOOKUP(BF206,Справочная_двигатели,8,FALSE),BH206=1,VLOOKUP(BF206,Справочная_двигатели,10,TRUE)),IF(AND(Методика="нормы 2026",CN206="Сил"),0.8,0.95)),0.95))))</f>
        <v>0.95</v>
      </c>
      <c r="BN206" cm="1">
        <f t="array" ref="BN206">IF(D206="","",IF(BA206&lt;&gt;"",IFERROR(_xlfn.XLOOKUP(BA206,Щиты[Щит],Щиты[Iр, А]),""),IFERROR(_xlfn.IFS(BH206=1,BF206/((Uн_лин/SQRT(3))*BM206),BH206=3,BF206/(SQRT(3)*Uн_лин*BM206)),"")))</f>
        <v>1.3674085322912188</v>
      </c>
      <c r="BO206">
        <f>IF(D206="","",IF(N(X206)=0,IFERROR(VLOOKUP(BN206,Автомат_номиналы,2,TRUE),""),X206))</f>
        <v>6</v>
      </c>
      <c r="BP206">
        <f t="shared" si="273"/>
        <v>1</v>
      </c>
      <c r="BQ206">
        <f>IF(ISNUMBER(Y206),Y206,К_прокл)</f>
        <v>1</v>
      </c>
      <c r="BR206">
        <f t="shared" si="274"/>
        <v>2</v>
      </c>
      <c r="BS206" cm="1">
        <f t="array" ref="BS206">IF(D206="","",IF(N(BK206)&lt;&gt;0,BK206,IFERROR(_xlfn.LET(_xlpm.need,BO206/(BP206*BQ206),_xlpm.t,CHOOSE(BR206,Iдоп_1ж,Iдоп_2ж,Iдоп_3ж),_xlpm.k,_xlfn.XMATCH(_xlpm.need,_xlpm.t,1),IF(ISNA(_xlpm.k),"Не исп",INDEX(Iдоп_S,_xlpm.k))),"Не исп")))</f>
        <v>2.5</v>
      </c>
      <c r="BT206">
        <f>IFERROR(VLOOKUP(BS206,Кабель_сопротивление,3,FALSE),"")</f>
        <v>2.2499999999999999E-2</v>
      </c>
      <c r="BU206">
        <f>IFERROR(VLOOKUP(BS206,Кабель_сопротивление,2,FALSE),"")</f>
        <v>0.1</v>
      </c>
      <c r="BV206">
        <f t="shared" si="275"/>
        <v>52</v>
      </c>
      <c r="BW206">
        <f>IF(D206="","",IFERROR(IF(VLOOKUP(AT206,Потребители_обозначение,4,FALSE)=1,VLOOKUP(AT206,Потребители_обозначение,3,FALSE)*(H206*2-1)+BV206+VLOOKUP(AV206,Этаж_обозначение,3,FALSE)+VLOOKUP(AV206,Этаж_обозначение,4,FALSE),VLOOKUP(AT206,Потребители_обозначение,3,FALSE)*(H206*2-1)+BV206),BV206))</f>
        <v>79</v>
      </c>
      <c r="BX206">
        <f t="shared" si="276"/>
        <v>31</v>
      </c>
      <c r="BY206">
        <f t="shared" si="277"/>
        <v>0</v>
      </c>
      <c r="BZ206">
        <f t="shared" si="278"/>
        <v>2</v>
      </c>
      <c r="CA206">
        <f t="shared" si="279"/>
        <v>0.31</v>
      </c>
      <c r="CB206">
        <f t="shared" si="280"/>
        <v>1.8539297532633696</v>
      </c>
      <c r="CC206">
        <f>IFERROR(ROUNDUP(CB206/((Uн_лин/SQRT(3))*1000)*100,2),"")</f>
        <v>0.81</v>
      </c>
      <c r="CD206">
        <f>IF(ISNUMBER(CC206),CC206+IFERROR(_xlfn.XLOOKUP(A206,Щиты[Щит],Щиты[ΔU до шин, %]),0),"")</f>
        <v>1.24</v>
      </c>
      <c r="CE206">
        <f>IF(D206="","",IF(IFERROR(VLOOKUP(AT206,УГО_спр,2,FALSE),"")="Светильник",3,4)+IF(Методика="нормы 2026",MIN(0.5,MAX(0,N(BW206)-100)*0.005),0))</f>
        <v>4</v>
      </c>
      <c r="CF206" t="str">
        <f>IFERROR(VLOOKUP(BI206,Кабель_обозначение,2,FALSE),"")</f>
        <v>ВВГнг(А)-LS</v>
      </c>
      <c r="CG206" t="str">
        <f>IFERROR(IF(VLOOKUP(BI206,Кабель_обозначение,3,FALSE)=1,CF206&amp;" ("&amp;BJ206&amp;"х"&amp;BS206&amp;")",CF206),"")</f>
        <v>ВВГнг(А)-LS (3х2,5)</v>
      </c>
      <c r="CH206" t="str">
        <f t="shared" si="281"/>
        <v>ВВГнг(А)-LS (3х2,5)
L=79-0,81%</v>
      </c>
      <c r="CI206">
        <f>IFERROR(2*ρкз_Cu*BW206/BS206,"")</f>
        <v>1.6621600000000001</v>
      </c>
      <c r="CJ206">
        <f t="shared" si="282"/>
        <v>0.55300000000000005</v>
      </c>
      <c r="CK206" t="str">
        <f>IFERROR(IF(OR(D206="",NOT(ISNUMBER(BS206)),N(BW206)=0),"",_xlfn.XLOOKUP(A206,Щиты[Щит],Щиты[Zпетли на шинах, Ом])+CI206),"")</f>
        <v/>
      </c>
      <c r="CL206" t="str">
        <f>IF(ISNUMBER(CK206),c_min*(Uн_лин*1000/SQRT(3))/CK206,"")</f>
        <v/>
      </c>
      <c r="CM206" t="str">
        <f>IFERROR(IF(OR(D206="",NOT(ISNUMBER(BS206))),"",1.05*(Uн_лин*1000/SQRT(3))/(_xlfn.XLOOKUP(A206,Щиты[Щит],Щиты[Zmax на шинах, Ом])+CJ206)/1000),"")</f>
        <v/>
      </c>
      <c r="CN206" t="str">
        <f>IF(D206="","",IF(BA206&lt;&gt;"","Щит",IF(K206&lt;&gt;"",K206,IF(ISNUMBER(L206),"Сил",IF(IFERROR(_xlfn.XLOOKUP(AT206,Коды_код,Коды_группа)&amp;"","")="","Быт",_xlfn.XLOOKUP(AT206,Коды_код,Коды_группа)&amp;"")))))</f>
        <v>Быт</v>
      </c>
      <c r="CO206">
        <f>IF(CN206="Щит","щит",IF(CN206="","",IF(CN206="Быт",IFERROR(_xlfn.XLOOKUP(A206,Щиты[Щит],Щиты[Кс быт]),1),IF(CN206="Сил",IF(ISNUMBER(L206),L206,IF(Методика="нормы 2026",IFERROR(_xlfn.XLOOKUP(A206,Щиты[Щит],Щиты[Кс силовых (табл. 7.5)]),1),1)),IF(OR(CN206="Пост",CN206="Отоп"),1,IF(CN206="ВНГ",0.7,0))))))</f>
        <v>0.79799999999999993</v>
      </c>
      <c r="CP206">
        <f t="shared" si="283"/>
        <v>1</v>
      </c>
      <c r="CQ206">
        <f t="shared" si="284"/>
        <v>0.3</v>
      </c>
      <c r="CR206">
        <f t="shared" si="285"/>
        <v>0.3</v>
      </c>
      <c r="CS206">
        <f t="shared" si="286"/>
        <v>0</v>
      </c>
      <c r="CT206">
        <f t="shared" si="287"/>
        <v>0</v>
      </c>
      <c r="CU206">
        <f t="shared" si="288"/>
        <v>0</v>
      </c>
      <c r="CV206">
        <f t="shared" si="289"/>
        <v>0</v>
      </c>
      <c r="CW206">
        <f t="shared" si="290"/>
        <v>0.3</v>
      </c>
      <c r="CX206">
        <f t="shared" si="291"/>
        <v>0.28499999999999998</v>
      </c>
      <c r="CY206">
        <f t="shared" si="292"/>
        <v>1</v>
      </c>
      <c r="CZ206" t="str">
        <f t="shared" si="293"/>
        <v>L1</v>
      </c>
      <c r="DA206" cm="1">
        <f t="array" ref="DA206">IFERROR(IF(BL206=2,_xlfn.IFS(BH206=3,VLOOKUP(BF206,Справочная_двигатели,3,FALSE),BH206=1,VLOOKUP(BF206,Справочная_двигатели,5,TRUE)),0),0)</f>
        <v>0</v>
      </c>
      <c r="DB206">
        <f>IFERROR(IF(BL206=3,VLOOKUP(BF206,Справочная_ЛЭД,2,TRUE),0),0)</f>
        <v>0</v>
      </c>
      <c r="DC206">
        <f t="shared" si="294"/>
        <v>0</v>
      </c>
      <c r="DD206" t="str">
        <f t="shared" si="295"/>
        <v>L3</v>
      </c>
      <c r="DE206" t="str" cm="1">
        <f t="array" ref="DE206">IF(D206="","",IFERROR(INDEX({"I особая","I","II","III"},MATCH(TRIM(AA206&amp;""),{"I особая","I","II","III"},0)),"III"))</f>
        <v>II</v>
      </c>
      <c r="DF206" t="str">
        <f>IF(D206="","",IF(TRIM(AB206&amp;"")&lt;&gt;"",IF(LOWER(TRIM(AB206&amp;""))="да","да","нет"),IF(IFERROR(_xlfn.XLOOKUP(AT206,Коды_код,Коды_пожарная),"")="да","да","нет")))</f>
        <v>нет</v>
      </c>
      <c r="DG206" t="str">
        <f t="shared" si="296"/>
        <v/>
      </c>
      <c r="DH206" t="str">
        <f t="shared" si="297"/>
        <v>основная</v>
      </c>
      <c r="DI206">
        <f t="shared" si="298"/>
        <v>1</v>
      </c>
      <c r="DJ206" t="str" cm="1">
        <f t="array" ref="DJ206">IF(D206="","",_xlfn.LET(_xlpm.t,IFERROR(_xlfn.XLOOKUP(1,(Шины[Шина]=DH206)*(((Шины[Щит]=A206)+(Шины[Щит]=""))&gt;0),Шины[Тип]),"")&amp;"",IF(_xlpm.t&lt;&gt;"",_xlpm.t,IF(ISNUMBER(SEARCH("ИБП",DH206)),"ИБП",IF(ISNUMBER(SEARCH("ДГУ",DH206)),"ДГУ","Ввод "&amp;DI206)))))</f>
        <v>Ввод 1</v>
      </c>
      <c r="DK206" t="str">
        <f t="shared" si="299"/>
        <v>Ввод 1</v>
      </c>
      <c r="DL206" t="str">
        <f>IF(D206="","",IF(OR(DJ206="ИБП",DJ206="ДГУ"),"I особая",IF(DJ206="Одиночная","III",_xlfn.XLOOKUP(A206,Щиты[Щит],Щиты[Категория шины «Ввод»],"III"))))</f>
        <v>II</v>
      </c>
      <c r="DM206">
        <f>IF(D206="",0,IFERROR(MATCH(DE206,{"III","II","I","I особая"},0),1))</f>
        <v>2</v>
      </c>
      <c r="DN206">
        <f t="shared" si="300"/>
        <v>2</v>
      </c>
      <c r="DO206" t="str">
        <f>IF(D206="","",IF(DM206&gt;IFERROR(MATCH(DL206,{"III","II","I","I особая"},0),1),"НЕ ОБЕСПЕЧЕНА","ОК"))</f>
        <v>ОК</v>
      </c>
      <c r="DP206" t="str">
        <f>IF(A206="","",_xlfn.XLOOKUP(A206,Щиты[Щит],Щиты[Путь],""))</f>
        <v>|ГРЩ-ЖД|ЩР-01|</v>
      </c>
      <c r="DQ206" t="str">
        <f>IF(D206="","",IF(Z206&lt;&gt;"",Z206,IF(IFERROR(_xlfn.XLOOKUP(AT206,Коды_код,Коды_вид)&amp;"","")="","Прочее",_xlfn.XLOOKUP(AT206,Коды_код,Коды_вид)&amp;"")))</f>
        <v>Розеточная сеть и бытовые приборы</v>
      </c>
      <c r="DR206">
        <f>IF(BD206="","",INT((BD206-1)/Столбцов_на_лист)+1)</f>
        <v>2</v>
      </c>
      <c r="DS206" t="str">
        <f t="shared" si="301"/>
        <v>ВВГнг(А)-LS (3х2,5) L=79-0,81%</v>
      </c>
      <c r="DT206">
        <f t="shared" si="302"/>
        <v>0.3</v>
      </c>
      <c r="DU206">
        <f t="shared" si="303"/>
        <v>1.37</v>
      </c>
      <c r="DV206">
        <f t="shared" si="304"/>
        <v>1</v>
      </c>
      <c r="DW206">
        <f>IF(AT206="",0,_xlfn.LET(_xlpm.v,IFERROR(VLOOKUP(D206,УГО_спр,3,FALSE),IFERROR(VLOOKUP(AT206,УГО_спр,3,FALSE),IFERROR(VLOOKUP(LEFT(AT206,2),УГО_спр,3,FALSE),""))),IF(_xlpm.v="да",30,IF(ISNUMBER(_xlpm.v),_xlpm.v,0))))</f>
        <v>30</v>
      </c>
      <c r="DX206">
        <f t="shared" si="305"/>
        <v>0</v>
      </c>
      <c r="DY206">
        <f>IF(BD206="","",IF(AD206&lt;&gt;"",COUNTIFS(A$3:A206,A206,AD$3:AD206,"?*"),IF(OR(OR(AS206=1,A206&lt;&gt;A205),AL206="вручную"),"",IF(AS206=1,"",DZ205))))</f>
        <v>22</v>
      </c>
      <c r="DZ206">
        <f t="shared" si="306"/>
        <v>22</v>
      </c>
      <c r="EA206">
        <f>IF(D206="",0,MAX(IFERROR(--X206,0),IFERROR(--VLOOKUP(D206,УГО_спр,4,FALSE),IFERROR(--VLOOKUP(AT206,УГО_спр,4,FALSE),IFERROR(--VLOOKUP(LEFT(AT206,2),УГО_спр,4,FALSE),0)))))</f>
        <v>16</v>
      </c>
      <c r="EB206">
        <f>IF(D206="","",IFERROR(LOOKUP(INDEX(CHOOSE(BR206,Iдоп_1ж,Iдоп_2ж,Iдоп_3ж),MATCH(BS206,Iдоп_S,0))*BP206*BQ206,{6,10,16,20,25,32,40,50,63,80,100,125,160,200,250,315,400,500,630}),""))</f>
        <v>25</v>
      </c>
      <c r="EC206">
        <f>IF(AD206="","",SUMIFS(Линии[_Ток схемы],Линии[_гр.],DY206,Линии[Щит],A206,Линии[_в кабель выше],0))</f>
        <v>1.37</v>
      </c>
      <c r="ED206">
        <f>IF(AD206="","",IFERROR(VLOOKUP(EC206,Автомат_номиналы,2,TRUE),""))</f>
        <v>6</v>
      </c>
      <c r="EE206">
        <f>IF(AD206="","",MAX(N(ED206),_xlfn.MAXIFS(Линии[_мин. по типу],Линии[_гр.],DY206,Линии[Щит],A206)))</f>
        <v>16</v>
      </c>
      <c r="EF206">
        <f>IF(AD206="","",_xlfn.MINIFS(Линии[_макс. автомат по кабелю],Линии[_гр.],DY206,Линии[Щит],A206))</f>
        <v>25</v>
      </c>
      <c r="EG206">
        <f>IF(AD206="","",MAX(1,_xlfn.MAXIFS(Линии[_фаз],Линии[_гр.],DY206,Линии[Щит],A206)))</f>
        <v>1</v>
      </c>
      <c r="EH206">
        <f>IF(AD206="","",IF(AND(AD206&lt;&gt;"авто",AD206&lt;&gt;"+"),IF(ISNUMBER(SEARCH("мА",AD206)),IFERROR(--TRIM(RIGHT(SUBSTITUTE(LEFT(AD206,SEARCH("мА",AD206)-1)," ",REPT(" ",9)),6)),30),0),IF(AE206="нет",0,IF(ISNUMBER(AE206),AE206,IF(AE206="да",30,_xlfn.MINIFS(Линии[_дифзащита по коду, мА],Линии[_гр.],DY206,Линии[Щит],A206,Линии[_дифзащита по коду, мА],"&gt;0"))))))</f>
        <v>30</v>
      </c>
      <c r="EI206">
        <f t="shared" si="307"/>
        <v>1</v>
      </c>
      <c r="EJ206" t="str">
        <f t="shared" si="308"/>
        <v>QFD22</v>
      </c>
      <c r="EK206" t="str">
        <f t="shared" si="309"/>
        <v>QFD22</v>
      </c>
      <c r="EL206" t="str">
        <f t="shared" si="310"/>
        <v/>
      </c>
      <c r="EM206">
        <f t="shared" si="311"/>
        <v>0</v>
      </c>
      <c r="EN206">
        <f>IF(AD206="","",IF(EM206=1,MAX(EE206,Мин_автомат_БП),EE206))</f>
        <v>16</v>
      </c>
      <c r="EO206" t="str">
        <f t="shared" si="312"/>
        <v>2P</v>
      </c>
      <c r="EP206" t="str">
        <f t="shared" si="313"/>
        <v>2P С16А 30мА</v>
      </c>
      <c r="EQ206">
        <f t="shared" si="314"/>
        <v>16</v>
      </c>
      <c r="ER206" t="str">
        <f>IF(OR(AI206="",AI206="-"),"",IFERROR(VLOOKUP(AI206,Модули_спр,2,FALSE),"R"))</f>
        <v/>
      </c>
      <c r="ES206" t="str">
        <f>IF(ER206="","",ER206&amp;"."&amp;COUNTIFS(A$3:A206,A206,ER$3:ER206,ER206))</f>
        <v/>
      </c>
      <c r="ET206" t="str">
        <f t="shared" si="315"/>
        <v/>
      </c>
      <c r="EU206" t="str">
        <f t="shared" si="316"/>
        <v/>
      </c>
      <c r="EV206" t="str">
        <f t="shared" si="317"/>
        <v/>
      </c>
      <c r="EW206" t="str">
        <f t="shared" si="318"/>
        <v/>
      </c>
      <c r="EX206">
        <f t="shared" si="319"/>
        <v>1</v>
      </c>
      <c r="EY206" t="str">
        <f>IF(AK206="нет","",IF(AK206&lt;&gt;"",AK206,IF(EX206=1,"XT"&amp;COUNTIFS(A$3:A206,A206,EX$3:EX206,1),"")))</f>
        <v/>
      </c>
      <c r="EZ206" t="str">
        <f t="shared" si="320"/>
        <v>QFD22</v>
      </c>
      <c r="FA206" t="str">
        <f t="shared" si="321"/>
        <v/>
      </c>
      <c r="FB206" t="str">
        <f t="shared" si="322"/>
        <v>ok</v>
      </c>
      <c r="FC206" t="str">
        <f>IF(OR(EV206="",ET206=""),"",IF(EV206&gt;IFERROR(VLOOKUP(EU206,Модули_спр,3,FALSE),99),"ЛИШНИЙ КАНАЛ",IF(AND(AJ206&lt;&gt;"=",COUNTIFS(Линии[_модуль гр.],ET206,Линии[Канал (итог)],EV206,Линии[Канал],"&lt;&gt;=",Линии[Щит],A206)&gt;1),"ДУБЛЬ КАНАЛА","")))</f>
        <v/>
      </c>
      <c r="FD206">
        <f t="shared" si="323"/>
        <v>16</v>
      </c>
      <c r="FE206" t="str">
        <f t="shared" si="324"/>
        <v>2P С16А 30мА</v>
      </c>
      <c r="FF206">
        <f t="shared" si="325"/>
        <v>1</v>
      </c>
      <c r="FG206">
        <f t="shared" si="326"/>
        <v>30</v>
      </c>
      <c r="FH206" t="str">
        <f t="shared" si="327"/>
        <v/>
      </c>
      <c r="FI206">
        <f t="shared" si="328"/>
        <v>10</v>
      </c>
      <c r="FJ206" t="str">
        <f t="shared" si="329"/>
        <v/>
      </c>
      <c r="FK206" t="str">
        <f>IF(AND(D206="",EZ206=""),"",_xlfn.TEXTJOIN("; ",TRUE,IF(AND(D206&lt;&gt;"",DD206=""),"нет фазы",""),IF(AND(D206&lt;&gt;"",N(DT206)=0,CN206&lt;&gt;"Нет"),"нет мощности",""),IF(AND(EY206&lt;&gt;"",COUNTIFS(Линии[Щит],A206,Линии[Клемма (итог)],EY206)&gt;1),"дубль клеммы "&amp;EY206,""),IF(AND(FB206&lt;&gt;"",FB206&lt;&gt;"ok"),FB206,""),IF(FC206&lt;&gt;"",FC206,""),IF(AND(ISNUMBER(SEARCH("(5х",DS206)),N(DV206)=1),"5 жил на 1 фазе",""),IF(AND(AT206="R",AD206&lt;&gt;"",OR(N(EH206)=0,N(EH206)&gt;30)),"розетка без дифзащиты до 30 мА",""),IFERROR(IF(AND(ISNUMBER(CD206),CD206&gt;CE206),"потери "&amp;FIXED(CD206,1)&amp;" % &gt; "&amp;CE206&amp;" %",""),""),IFERROR(IF(LEFT(FJ206,4)="мало","Iкз мало — отключение &gt; 0,4 с",""),""),IF(AND(D206&lt;&gt;"",BD206=""),"не на схеме","")))</f>
        <v/>
      </c>
      <c r="FL206">
        <f>IF(AD206="","",_xlfn.LET(_xlpm.t,IFERROR(_xlfn.XLOOKUP(EP206,Каталог!$U$4:$U$500,Каталог!$G$4:$G$500),""),_xlpm.k,SEARCH("кА",_xlpm.t),IFERROR(--TRIM(RIGHT(SUBSTITUTE(MID(_xlpm.t,MAX(1,_xlpm.k-4),_xlpm.k-MAX(1,_xlpm.k-4))," ",REPT(" ",9)),5)),"")))</f>
        <v>6</v>
      </c>
      <c r="FM206" t="str">
        <f>IF(OR(FL206="",AD206=""),"",IF(_xlfn.XLOOKUP(A206,Щиты[Щит],Щиты[Iкз max на шинах, кА],"")="","",IF(FL206&lt;_xlfn.XLOOKUP(A206,Щиты[Щит],Щиты[Iкз max на шинах, кА]),"Icu "&amp;FL206&amp;" кА &lt; Iкз max","ok")))</f>
        <v/>
      </c>
      <c r="FN206" t="str">
        <f t="shared" si="330"/>
        <v>QFD22</v>
      </c>
      <c r="FO206" t="str">
        <f t="shared" si="331"/>
        <v>QFD22|кабель ВВГнг(А)-LS (3х2,5) → Розеточная группа Цокольный этаж Пом. №012A</v>
      </c>
      <c r="FP206" t="str" cm="1">
        <f t="array" ref="FP206">IF(FO206="","",_xlfn.LET(_xlpm.nd,_xlfn.TEXTSPLIT(FO206,"|"),IF(COLUMNS(_xlpm.nd)&gt;1,A206&amp;"¦"&amp;INDEX(_xlpm.nd,1)&amp;"¦"&amp;INDEX(_xlpm.nd,2),"")))</f>
        <v>ЩР-01¦QFD22¦кабель ВВГнг(А)-LS (3х2,5) → Розеточная группа Цокольный этаж Пом. №012A</v>
      </c>
      <c r="FQ206" t="str">
        <f t="shared" si="332"/>
        <v>R.0.012A.1¦Розеточная группа Цокольный этаж Пом. №012A</v>
      </c>
      <c r="FR206" t="str" cm="1">
        <f t="array" ref="FR206">IF(FO206="","",_xlfn.LET(_xlpm.nd,_xlfn.TEXTSPLIT(FO206,"|"),IF(COLUMNS(_xlpm.nd)&gt;2,A206&amp;"¦"&amp;INDEX(_xlpm.nd,2)&amp;"¦"&amp;INDEX(_xlpm.nd,3),"")))</f>
        <v/>
      </c>
      <c r="FS206" t="str">
        <f t="shared" si="333"/>
        <v/>
      </c>
      <c r="FT206" t="str" cm="1">
        <f t="array" ref="FT206">IF(FO206="","",_xlfn.LET(_xlpm.nd,_xlfn.TEXTSPLIT(FO206,"|"),IF(COLUMNS(_xlpm.nd)&gt;3,A206&amp;"¦"&amp;INDEX(_xlpm.nd,3)&amp;"¦"&amp;INDEX(_xlpm.nd,4),"")))</f>
        <v/>
      </c>
      <c r="FU206" t="str">
        <f t="shared" si="334"/>
        <v/>
      </c>
      <c r="FV206" t="str" cm="1">
        <f t="array" ref="FV206">IF(FO206="","",_xlfn.LET(_xlpm.nd,_xlfn.TEXTSPLIT(FO206,"|"),IF(COLUMNS(_xlpm.nd)&gt;4,A206&amp;"¦"&amp;INDEX(_xlpm.nd,4)&amp;"¦"&amp;INDEX(_xlpm.nd,5),"")))</f>
        <v/>
      </c>
      <c r="FW206" t="str">
        <f t="shared" si="335"/>
        <v/>
      </c>
      <c r="FX206" t="str" cm="1">
        <f t="array" ref="FX206">IF(FO206="","",_xlfn.LET(_xlpm.nd,_xlfn.TEXTSPLIT(FO206,"|"),IF(COLUMNS(_xlpm.nd)&gt;5,A206&amp;"¦"&amp;INDEX(_xlpm.nd,5)&amp;"¦"&amp;INDEX(_xlpm.nd,6),"")))</f>
        <v/>
      </c>
      <c r="FY206" t="str">
        <f t="shared" si="336"/>
        <v/>
      </c>
      <c r="FZ206" t="str" cm="1">
        <f t="array" ref="FZ206">IF(FO206="","",_xlfn.LET(_xlpm.nd,_xlfn.TEXTSPLIT(FO206,"|"),IF(COLUMNS(_xlpm.nd)&gt;6,A206&amp;"¦"&amp;INDEX(_xlpm.nd,6)&amp;"¦"&amp;INDEX(_xlpm.nd,7),"")))</f>
        <v/>
      </c>
      <c r="GA206" t="str">
        <f t="shared" si="337"/>
        <v/>
      </c>
      <c r="GB206" t="str">
        <f t="shared" si="338"/>
        <v/>
      </c>
      <c r="GC206" t="str">
        <f t="shared" si="339"/>
        <v>QFD22</v>
      </c>
      <c r="GD206">
        <f t="shared" si="340"/>
        <v>1</v>
      </c>
      <c r="GE206">
        <f t="shared" si="341"/>
        <v>0</v>
      </c>
      <c r="GF206">
        <f t="shared" si="342"/>
        <v>1</v>
      </c>
      <c r="GG206" t="str">
        <f t="shared" si="343"/>
        <v/>
      </c>
      <c r="GH206" t="str">
        <f t="shared" si="344"/>
        <v/>
      </c>
      <c r="GI206" t="str">
        <f t="shared" si="345"/>
        <v/>
      </c>
      <c r="GJ206" t="str">
        <f t="shared" si="346"/>
        <v/>
      </c>
      <c r="GK206" t="str">
        <f>IF(D206="","",IFERROR(VLOOKUP(D206,УГО_спр,2,FALSE),IFERROR(VLOOKUP(AT206,УГО_спр,2,FALSE),IFERROR(VLOOKUP(LEFT(AT206,2),УГО_спр,2,FALSE),""))))</f>
        <v>Розетка</v>
      </c>
      <c r="GL206" t="str">
        <f>IF(D206="","",IF(OR(GK206="",GK206=0),"BOX",IFERROR(IF(VLOOKUP(GK206,УГО_блоки,3,FALSE)&amp;""&lt;&gt;"",VLOOKUP(GK206,УГО_блоки,3,FALSE),VLOOKUP(GK206,УГО_блоки,2,FALSE)),GK206)))</f>
        <v>SOCKET</v>
      </c>
      <c r="GM206">
        <f t="shared" si="347"/>
        <v>1</v>
      </c>
      <c r="GN206" t="str">
        <f>IF(EP206="","",IF(COUNTIF(EP$3:EP206,EP206)=1,MAX(GN$2:GN205)+1,""))</f>
        <v/>
      </c>
      <c r="GO206" t="str">
        <f>IF(AF206="","",IF(COUNTIF(AF$3:AF206,AF206)+COUNTIF(AG$2:AG205,AF206)+COUNTIF(AH$2:AH205,AF206)=1,MAX(GO$2:GQ205)+1,""))</f>
        <v/>
      </c>
      <c r="GP206" t="str">
        <f>IF(AG206="","",IF(COUNTIF(AF$3:AF206,AG206)+COUNTIF(AG$3:AG206,AG206)+COUNTIF(AH$2:AH205,AG206)=1,MAX(GO$2:GQ205,GO206)+1,""))</f>
        <v/>
      </c>
      <c r="GQ206" t="str">
        <f>IF(AH206="","",IF(COUNTIF(AF$3:AF206,AH206)+COUNTIF(AG$3:AG206,AH206)+COUNTIF(AH$3:AH206,AH206)=1,MAX(GO$2:GQ205,GO206,GP206)+1,""))</f>
        <v/>
      </c>
      <c r="GR206" t="str">
        <f t="shared" si="348"/>
        <v>3х2,5</v>
      </c>
      <c r="GS206" t="str">
        <f>IF(GR206="","",IF(COUNTIF(GR$3:GR206,GR206)=1,MAX(GS$2:GS205)+1,""))</f>
        <v/>
      </c>
      <c r="GT206" t="str">
        <f>IF(ES206="","",COUNTIF(ES$3:ES206,"?*"))</f>
        <v/>
      </c>
      <c r="GU206" t="str">
        <f>IF(OR(ES206="",EU206=""),"",IF(COUNTIFS(ES$3:ES206,"?*",EU$3:EU206,EU206)=1,MAX(GU$2:GU205)+1,""))</f>
        <v/>
      </c>
      <c r="GV206">
        <f t="shared" si="349"/>
        <v>0</v>
      </c>
      <c r="GW206">
        <f>IF(D206="","",COUNTIF(D$3:D206,"?*"))</f>
        <v>204</v>
      </c>
      <c r="GX206">
        <f>IF(EX206&lt;&gt;1,0,_xlfn.LET(_xlpm.k,MAX(IFERROR(--VLOOKUP(D206,УГО_спр,5,FALSE),0),IFERROR(--VLOOKUP(AT206,УГО_спр,5,FALSE),0),IFERROR(--VLOOKUP(LEFT(AT206,2),УГО_спр,5,FALSE),0)),IF(_xlpm.k&gt;0,_xlpm.k,IF(IFERROR(--LEFT(SUBSTITUTE(GR206,"x","х"),FIND("х",SUBSTITUTE(GR206,"x","х"))-1),3)&gt;3,Каталог!$S$9,1))))</f>
        <v>1</v>
      </c>
      <c r="GY206">
        <f t="shared" si="350"/>
        <v>0</v>
      </c>
    </row>
    <row r="207" spans="1:207" x14ac:dyDescent="0.3">
      <c r="A207" t="s">
        <v>760</v>
      </c>
      <c r="B207">
        <v>33</v>
      </c>
      <c r="C207" t="str">
        <f>IF(BD207="","",IF(BE207="вводной узел","узел ","")&amp;"л."&amp;(INT((BD207-1)/Столбцов_на_лист)+1)&amp;" / "&amp;(MOD(BD207-1,Столбцов_на_лист)+1))</f>
        <v>л.2 / 16</v>
      </c>
      <c r="D207" t="s">
        <v>1518</v>
      </c>
      <c r="E207" s="133" t="str">
        <f t="shared" si="351"/>
        <v>Розеточная группа Цокольный этаж Пом. №013A</v>
      </c>
      <c r="G207">
        <v>0.12</v>
      </c>
      <c r="H207">
        <v>2</v>
      </c>
      <c r="I207">
        <v>1</v>
      </c>
      <c r="J207">
        <v>230</v>
      </c>
      <c r="K207" t="s">
        <v>566</v>
      </c>
      <c r="O207">
        <v>3</v>
      </c>
      <c r="P207">
        <v>54</v>
      </c>
      <c r="Q207">
        <v>40</v>
      </c>
      <c r="R207">
        <v>23</v>
      </c>
      <c r="S207">
        <v>8</v>
      </c>
      <c r="U207" t="s">
        <v>11</v>
      </c>
      <c r="V207">
        <v>3</v>
      </c>
      <c r="W207">
        <v>2.5</v>
      </c>
      <c r="Z207" t="s">
        <v>565</v>
      </c>
      <c r="AA207" t="s">
        <v>818</v>
      </c>
      <c r="AD207" t="s">
        <v>517</v>
      </c>
      <c r="AK207" t="s">
        <v>488</v>
      </c>
      <c r="AR207" t="str">
        <f t="shared" si="264"/>
        <v/>
      </c>
      <c r="AS207" cm="1">
        <f t="array" ref="AS207">ROW()-ROW(Линии[#Headers])</f>
        <v>205</v>
      </c>
      <c r="AT207" t="str">
        <f t="shared" si="265"/>
        <v>R</v>
      </c>
      <c r="AU207" t="str">
        <f t="shared" si="266"/>
        <v>0.013A.1</v>
      </c>
      <c r="AV207" t="str">
        <f t="shared" si="267"/>
        <v>0</v>
      </c>
      <c r="AW207" t="str">
        <f t="shared" si="268"/>
        <v>013A.1</v>
      </c>
      <c r="AX207" t="str">
        <f t="shared" si="269"/>
        <v>013A</v>
      </c>
      <c r="AY207" t="str">
        <f>IF(D207="","",IF(ISERROR(SEARCH(".",D207)),IFERROR(VLOOKUP(D207,Потребители_обозначение,2,FALSE)&amp;"",""),IFERROR(IF(VLOOKUP(AT207,Потребители_обозначение,4,FALSE)=1,VLOOKUP(AT207,Потребители_обозначение,2,FALSE)&amp;" "&amp;VLOOKUP(AV207,Этаж_обозначение,2,FALSE)&amp;" Пом. №"&amp;AX207,VLOOKUP(AT207,Потребители_обозначение,2,FALSE)&amp;" Шлейф №"&amp;AV207),IFERROR(VLOOKUP(D207,Потребители_обозначение,2,FALSE),""))))</f>
        <v>Розеточная группа Цокольный этаж Пом. №013A</v>
      </c>
      <c r="AZ207" t="str">
        <f t="shared" si="270"/>
        <v>Розеточная группа Цокольный этаж Пом. №013A</v>
      </c>
      <c r="BA207" t="str">
        <f>IF(F207&lt;&gt;"",F207,IF(AND(D207&lt;&gt;"",D207&lt;&gt;A207,ISNUMBER(_xlfn.XMATCH(D207,Щиты[Щит]))),D207,""))</f>
        <v/>
      </c>
      <c r="BB207">
        <f>IFERROR(_xlfn.XMATCH(A207,Щиты[Щит]),0)</f>
        <v>9</v>
      </c>
      <c r="BC207">
        <f>IFERROR(N(_xlfn.XLOOKUP(A207,Щиты[Щит],Щиты[Мест под вводной узел])),15)</f>
        <v>8</v>
      </c>
      <c r="BD207">
        <f t="shared" si="271"/>
        <v>33</v>
      </c>
      <c r="BE207" t="str">
        <f t="shared" si="272"/>
        <v>линии</v>
      </c>
      <c r="BF207">
        <f>IF(D207="","",IF(BA207&lt;&gt;"",IFERROR(_xlfn.XLOOKUP(BA207,Щиты[Щит],Щиты[Руст, кВт]),0),N(G207)))</f>
        <v>0.12</v>
      </c>
      <c r="BG207">
        <f>IF(J207&lt;&gt;"",J207,IF(D207="","",IFERROR(IF(VLOOKUP(AT207,Потребители_обозначение,8,FALSE)=0,"",VLOOKUP(AT207,Потребители_обозначение,8,FALSE)),"")))</f>
        <v>230</v>
      </c>
      <c r="BH207">
        <f>IF(I207&lt;&gt;"",I207,IF(D207="","",IFERROR(IF(VLOOKUP(AT207,Потребители_обозначение,9,FALSE)=0,"",VLOOKUP(AT207,Потребители_обозначение,9,FALSE)),"")))</f>
        <v>1</v>
      </c>
      <c r="BI207" t="str">
        <f>IF(U207&lt;&gt;"",U207,IF(D207="","",IFERROR(IF(VLOOKUP(AT207,Потребители_обозначение,6,FALSE)=0,"",VLOOKUP(AT207,Потребители_обозначение,6,FALSE)),"")))</f>
        <v>мс</v>
      </c>
      <c r="BJ207">
        <f>IF(V207&lt;&gt;"",V207,IF(D207="","",IFERROR(IF(VLOOKUP(AT207,Потребители_обозначение,7,FALSE)=0,"",VLOOKUP(AT207,Потребители_обозначение,7,FALSE)),"")))</f>
        <v>3</v>
      </c>
      <c r="BK207">
        <f>IF(W207&lt;&gt;"",W207,IF(D207="","",IFERROR(IF(VLOOKUP(AT207,Потребители_обозначение,10,FALSE)=0,"",VLOOKUP(AT207,Потребители_обозначение,10,FALSE)),"")))</f>
        <v>2.5</v>
      </c>
      <c r="BL207">
        <f>IFERROR(VLOOKUP(AT207,Потребители_обозначение,5,FALSE),0)</f>
        <v>1</v>
      </c>
      <c r="BM207" cm="1">
        <f t="array" ref="BM207">IF(D207="","",IF(BA207&lt;&gt;"",IFERROR(_xlfn.XLOOKUP(BA207,Щиты[Щит],Щиты[cos φ]),0.95),IF(ISNUMBER(M207),M207,IFERROR(IF(BL207=2,_xlfn.IFS(BH207=3,VLOOKUP(BF207,Справочная_двигатели,8,FALSE),BH207=1,VLOOKUP(BF207,Справочная_двигатели,10,TRUE)),IF(AND(Методика="нормы 2026",CN207="Сил"),0.8,0.95)),0.95))))</f>
        <v>0.95</v>
      </c>
      <c r="BN207" cm="1">
        <f t="array" ref="BN207">IF(D207="","",IF(BA207&lt;&gt;"",IFERROR(_xlfn.XLOOKUP(BA207,Щиты[Щит],Щиты[Iр, А]),""),IFERROR(_xlfn.IFS(BH207=1,BF207/((Uн_лин/SQRT(3))*BM207),BH207=3,BF207/(SQRT(3)*Uн_лин*BM207)),"")))</f>
        <v>0.54696341291648753</v>
      </c>
      <c r="BO207">
        <f>IF(D207="","",IF(N(X207)=0,IFERROR(VLOOKUP(BN207,Автомат_номиналы,2,TRUE),""),X207))</f>
        <v>6</v>
      </c>
      <c r="BP207">
        <f t="shared" si="273"/>
        <v>1</v>
      </c>
      <c r="BQ207">
        <f>IF(ISNUMBER(Y207),Y207,К_прокл)</f>
        <v>1</v>
      </c>
      <c r="BR207">
        <f t="shared" si="274"/>
        <v>2</v>
      </c>
      <c r="BS207" cm="1">
        <f t="array" ref="BS207">IF(D207="","",IF(N(BK207)&lt;&gt;0,BK207,IFERROR(_xlfn.LET(_xlpm.need,BO207/(BP207*BQ207),_xlpm.t,CHOOSE(BR207,Iдоп_1ж,Iдоп_2ж,Iдоп_3ж),_xlpm.k,_xlfn.XMATCH(_xlpm.need,_xlpm.t,1),IF(ISNA(_xlpm.k),"Не исп",INDEX(Iдоп_S,_xlpm.k))),"Не исп")))</f>
        <v>2.5</v>
      </c>
      <c r="BT207">
        <f>IFERROR(VLOOKUP(BS207,Кабель_сопротивление,3,FALSE),"")</f>
        <v>2.2499999999999999E-2</v>
      </c>
      <c r="BU207">
        <f>IFERROR(VLOOKUP(BS207,Кабель_сопротивление,2,FALSE),"")</f>
        <v>0.1</v>
      </c>
      <c r="BV207">
        <f t="shared" si="275"/>
        <v>54</v>
      </c>
      <c r="BW207">
        <f>IF(D207="","",IFERROR(IF(VLOOKUP(AT207,Потребители_обозначение,4,FALSE)=1,VLOOKUP(AT207,Потребители_обозначение,3,FALSE)*(H207*2-1)+BV207+VLOOKUP(AV207,Этаж_обозначение,3,FALSE)+VLOOKUP(AV207,Этаж_обозначение,4,FALSE),VLOOKUP(AT207,Потребители_обозначение,3,FALSE)*(H207*2-1)+BV207),BV207))</f>
        <v>63</v>
      </c>
      <c r="BX207">
        <f t="shared" si="276"/>
        <v>23</v>
      </c>
      <c r="BY207">
        <f t="shared" si="277"/>
        <v>8</v>
      </c>
      <c r="BZ207">
        <f t="shared" si="278"/>
        <v>2</v>
      </c>
      <c r="CA207">
        <f t="shared" si="279"/>
        <v>0.31</v>
      </c>
      <c r="CB207">
        <f t="shared" si="280"/>
        <v>0.59138012382578375</v>
      </c>
      <c r="CC207">
        <f>IFERROR(ROUNDUP(CB207/((Uн_лин/SQRT(3))*1000)*100,2),"")</f>
        <v>0.26</v>
      </c>
      <c r="CD207">
        <f>IF(ISNUMBER(CC207),CC207+IFERROR(_xlfn.XLOOKUP(A207,Щиты[Щит],Щиты[ΔU до шин, %]),0),"")</f>
        <v>0.69</v>
      </c>
      <c r="CE207">
        <f>IF(D207="","",IF(IFERROR(VLOOKUP(AT207,УГО_спр,2,FALSE),"")="Светильник",3,4)+IF(Методика="нормы 2026",MIN(0.5,MAX(0,N(BW207)-100)*0.005),0))</f>
        <v>4</v>
      </c>
      <c r="CF207" t="str">
        <f>IFERROR(VLOOKUP(BI207,Кабель_обозначение,2,FALSE),"")</f>
        <v>ВВГнг(А)-LS</v>
      </c>
      <c r="CG207" t="str">
        <f>IFERROR(IF(VLOOKUP(BI207,Кабель_обозначение,3,FALSE)=1,CF207&amp;" ("&amp;BJ207&amp;"х"&amp;BS207&amp;")",CF207),"")</f>
        <v>ВВГнг(А)-LS (3х2,5)</v>
      </c>
      <c r="CH207" t="str">
        <f t="shared" si="281"/>
        <v>ВВГнг(А)-LS (3х2,5)
L=63-0,26%</v>
      </c>
      <c r="CI207">
        <f>IFERROR(2*ρкз_Cu*BW207/BS207,"")</f>
        <v>1.32552</v>
      </c>
      <c r="CJ207">
        <f t="shared" si="282"/>
        <v>0.441</v>
      </c>
      <c r="CK207" t="str">
        <f>IFERROR(IF(OR(D207="",NOT(ISNUMBER(BS207)),N(BW207)=0),"",_xlfn.XLOOKUP(A207,Щиты[Щит],Щиты[Zпетли на шинах, Ом])+CI207),"")</f>
        <v/>
      </c>
      <c r="CL207" t="str">
        <f>IF(ISNUMBER(CK207),c_min*(Uн_лин*1000/SQRT(3))/CK207,"")</f>
        <v/>
      </c>
      <c r="CM207" t="str">
        <f>IFERROR(IF(OR(D207="",NOT(ISNUMBER(BS207))),"",1.05*(Uн_лин*1000/SQRT(3))/(_xlfn.XLOOKUP(A207,Щиты[Щит],Щиты[Zmax на шинах, Ом])+CJ207)/1000),"")</f>
        <v/>
      </c>
      <c r="CN207" t="str">
        <f>IF(D207="","",IF(BA207&lt;&gt;"","Щит",IF(K207&lt;&gt;"",K207,IF(ISNUMBER(L207),"Сил",IF(IFERROR(_xlfn.XLOOKUP(AT207,Коды_код,Коды_группа)&amp;"","")="","Быт",_xlfn.XLOOKUP(AT207,Коды_код,Коды_группа)&amp;"")))))</f>
        <v>Быт</v>
      </c>
      <c r="CO207">
        <f>IF(CN207="Щит","щит",IF(CN207="","",IF(CN207="Быт",IFERROR(_xlfn.XLOOKUP(A207,Щиты[Щит],Щиты[Кс быт]),1),IF(CN207="Сил",IF(ISNUMBER(L207),L207,IF(Методика="нормы 2026",IFERROR(_xlfn.XLOOKUP(A207,Щиты[Щит],Щиты[Кс силовых (табл. 7.5)]),1),1)),IF(OR(CN207="Пост",CN207="Отоп"),1,IF(CN207="ВНГ",0.7,0))))))</f>
        <v>0.79799999999999993</v>
      </c>
      <c r="CP207">
        <f t="shared" si="283"/>
        <v>1</v>
      </c>
      <c r="CQ207">
        <f t="shared" si="284"/>
        <v>0.12</v>
      </c>
      <c r="CR207">
        <f t="shared" si="285"/>
        <v>0.12</v>
      </c>
      <c r="CS207">
        <f t="shared" si="286"/>
        <v>0</v>
      </c>
      <c r="CT207">
        <f t="shared" si="287"/>
        <v>0</v>
      </c>
      <c r="CU207">
        <f t="shared" si="288"/>
        <v>0</v>
      </c>
      <c r="CV207">
        <f t="shared" si="289"/>
        <v>0</v>
      </c>
      <c r="CW207">
        <f t="shared" si="290"/>
        <v>0.12</v>
      </c>
      <c r="CX207">
        <f t="shared" si="291"/>
        <v>0.11399999999999999</v>
      </c>
      <c r="CY207">
        <f t="shared" si="292"/>
        <v>2</v>
      </c>
      <c r="CZ207" t="str">
        <f t="shared" si="293"/>
        <v>L2</v>
      </c>
      <c r="DA207" cm="1">
        <f t="array" ref="DA207">IFERROR(IF(BL207=2,_xlfn.IFS(BH207=3,VLOOKUP(BF207,Справочная_двигатели,3,FALSE),BH207=1,VLOOKUP(BF207,Справочная_двигатели,5,TRUE)),0),0)</f>
        <v>0</v>
      </c>
      <c r="DB207">
        <f>IFERROR(IF(BL207=3,VLOOKUP(BF207,Справочная_ЛЭД,2,TRUE),0),0)</f>
        <v>0</v>
      </c>
      <c r="DC207">
        <f t="shared" si="294"/>
        <v>0</v>
      </c>
      <c r="DD207" t="str">
        <f t="shared" si="295"/>
        <v>L3</v>
      </c>
      <c r="DE207" t="str" cm="1">
        <f t="array" ref="DE207">IF(D207="","",IFERROR(INDEX({"I особая","I","II","III"},MATCH(TRIM(AA207&amp;""),{"I особая","I","II","III"},0)),"III"))</f>
        <v>II</v>
      </c>
      <c r="DF207" t="str">
        <f>IF(D207="","",IF(TRIM(AB207&amp;"")&lt;&gt;"",IF(LOWER(TRIM(AB207&amp;""))="да","да","нет"),IF(IFERROR(_xlfn.XLOOKUP(AT207,Коды_код,Коды_пожарная),"")="да","да","нет")))</f>
        <v>нет</v>
      </c>
      <c r="DG207" t="str">
        <f t="shared" si="296"/>
        <v/>
      </c>
      <c r="DH207" t="str">
        <f t="shared" si="297"/>
        <v>основная</v>
      </c>
      <c r="DI207">
        <f t="shared" si="298"/>
        <v>1</v>
      </c>
      <c r="DJ207" t="str" cm="1">
        <f t="array" ref="DJ207">IF(D207="","",_xlfn.LET(_xlpm.t,IFERROR(_xlfn.XLOOKUP(1,(Шины[Шина]=DH207)*(((Шины[Щит]=A207)+(Шины[Щит]=""))&gt;0),Шины[Тип]),"")&amp;"",IF(_xlpm.t&lt;&gt;"",_xlpm.t,IF(ISNUMBER(SEARCH("ИБП",DH207)),"ИБП",IF(ISNUMBER(SEARCH("ДГУ",DH207)),"ДГУ","Ввод "&amp;DI207)))))</f>
        <v>Ввод 1</v>
      </c>
      <c r="DK207" t="str">
        <f t="shared" si="299"/>
        <v>Ввод 1</v>
      </c>
      <c r="DL207" t="str">
        <f>IF(D207="","",IF(OR(DJ207="ИБП",DJ207="ДГУ"),"I особая",IF(DJ207="Одиночная","III",_xlfn.XLOOKUP(A207,Щиты[Щит],Щиты[Категория шины «Ввод»],"III"))))</f>
        <v>II</v>
      </c>
      <c r="DM207">
        <f>IF(D207="",0,IFERROR(MATCH(DE207,{"III","II","I","I особая"},0),1))</f>
        <v>2</v>
      </c>
      <c r="DN207">
        <f t="shared" si="300"/>
        <v>2</v>
      </c>
      <c r="DO207" t="str">
        <f>IF(D207="","",IF(DM207&gt;IFERROR(MATCH(DL207,{"III","II","I","I особая"},0),1),"НЕ ОБЕСПЕЧЕНА","ОК"))</f>
        <v>ОК</v>
      </c>
      <c r="DP207" t="str">
        <f>IF(A207="","",_xlfn.XLOOKUP(A207,Щиты[Щит],Щиты[Путь],""))</f>
        <v>|ГРЩ-ЖД|ЩР-01|</v>
      </c>
      <c r="DQ207" t="str">
        <f>IF(D207="","",IF(Z207&lt;&gt;"",Z207,IF(IFERROR(_xlfn.XLOOKUP(AT207,Коды_код,Коды_вид)&amp;"","")="","Прочее",_xlfn.XLOOKUP(AT207,Коды_код,Коды_вид)&amp;"")))</f>
        <v>Розеточная сеть и бытовые приборы</v>
      </c>
      <c r="DR207">
        <f>IF(BD207="","",INT((BD207-1)/Столбцов_на_лист)+1)</f>
        <v>2</v>
      </c>
      <c r="DS207" t="str">
        <f t="shared" si="301"/>
        <v>ВВГнг(А)-LS (3х2,5) L=63-0,26%</v>
      </c>
      <c r="DT207">
        <f t="shared" si="302"/>
        <v>0.12</v>
      </c>
      <c r="DU207">
        <f t="shared" si="303"/>
        <v>0.55000000000000004</v>
      </c>
      <c r="DV207">
        <f t="shared" si="304"/>
        <v>1</v>
      </c>
      <c r="DW207">
        <f>IF(AT207="",0,_xlfn.LET(_xlpm.v,IFERROR(VLOOKUP(D207,УГО_спр,3,FALSE),IFERROR(VLOOKUP(AT207,УГО_спр,3,FALSE),IFERROR(VLOOKUP(LEFT(AT207,2),УГО_спр,3,FALSE),""))),IF(_xlpm.v="да",30,IF(ISNUMBER(_xlpm.v),_xlpm.v,0))))</f>
        <v>30</v>
      </c>
      <c r="DX207">
        <f t="shared" si="305"/>
        <v>0</v>
      </c>
      <c r="DY207">
        <f>IF(BD207="","",IF(AD207&lt;&gt;"",COUNTIFS(A$3:A207,A207,AD$3:AD207,"?*"),IF(OR(OR(AS207=1,A207&lt;&gt;A206),AL207="вручную"),"",IF(AS207=1,"",DZ206))))</f>
        <v>23</v>
      </c>
      <c r="DZ207">
        <f t="shared" si="306"/>
        <v>23</v>
      </c>
      <c r="EA207">
        <f>IF(D207="",0,MAX(IFERROR(--X207,0),IFERROR(--VLOOKUP(D207,УГО_спр,4,FALSE),IFERROR(--VLOOKUP(AT207,УГО_спр,4,FALSE),IFERROR(--VLOOKUP(LEFT(AT207,2),УГО_спр,4,FALSE),0)))))</f>
        <v>16</v>
      </c>
      <c r="EB207">
        <f>IF(D207="","",IFERROR(LOOKUP(INDEX(CHOOSE(BR207,Iдоп_1ж,Iдоп_2ж,Iдоп_3ж),MATCH(BS207,Iдоп_S,0))*BP207*BQ207,{6,10,16,20,25,32,40,50,63,80,100,125,160,200,250,315,400,500,630}),""))</f>
        <v>25</v>
      </c>
      <c r="EC207">
        <f>IF(AD207="","",SUMIFS(Линии[_Ток схемы],Линии[_гр.],DY207,Линии[Щит],A207,Линии[_в кабель выше],0))</f>
        <v>0.55000000000000004</v>
      </c>
      <c r="ED207">
        <f>IF(AD207="","",IFERROR(VLOOKUP(EC207,Автомат_номиналы,2,TRUE),""))</f>
        <v>6</v>
      </c>
      <c r="EE207">
        <f>IF(AD207="","",MAX(N(ED207),_xlfn.MAXIFS(Линии[_мин. по типу],Линии[_гр.],DY207,Линии[Щит],A207)))</f>
        <v>16</v>
      </c>
      <c r="EF207">
        <f>IF(AD207="","",_xlfn.MINIFS(Линии[_макс. автомат по кабелю],Линии[_гр.],DY207,Линии[Щит],A207))</f>
        <v>25</v>
      </c>
      <c r="EG207">
        <f>IF(AD207="","",MAX(1,_xlfn.MAXIFS(Линии[_фаз],Линии[_гр.],DY207,Линии[Щит],A207)))</f>
        <v>1</v>
      </c>
      <c r="EH207">
        <f>IF(AD207="","",IF(AND(AD207&lt;&gt;"авто",AD207&lt;&gt;"+"),IF(ISNUMBER(SEARCH("мА",AD207)),IFERROR(--TRIM(RIGHT(SUBSTITUTE(LEFT(AD207,SEARCH("мА",AD207)-1)," ",REPT(" ",9)),6)),30),0),IF(AE207="нет",0,IF(ISNUMBER(AE207),AE207,IF(AE207="да",30,_xlfn.MINIFS(Линии[_дифзащита по коду, мА],Линии[_гр.],DY207,Линии[Щит],A207,Линии[_дифзащита по коду, мА],"&gt;0"))))))</f>
        <v>30</v>
      </c>
      <c r="EI207">
        <f t="shared" si="307"/>
        <v>1</v>
      </c>
      <c r="EJ207" t="str">
        <f t="shared" si="308"/>
        <v>QFD23</v>
      </c>
      <c r="EK207" t="str">
        <f t="shared" si="309"/>
        <v>QFD23</v>
      </c>
      <c r="EL207" t="str">
        <f t="shared" si="310"/>
        <v/>
      </c>
      <c r="EM207">
        <f t="shared" si="311"/>
        <v>0</v>
      </c>
      <c r="EN207">
        <f>IF(AD207="","",IF(EM207=1,MAX(EE207,Мин_автомат_БП),EE207))</f>
        <v>16</v>
      </c>
      <c r="EO207" t="str">
        <f t="shared" si="312"/>
        <v>2P</v>
      </c>
      <c r="EP207" t="str">
        <f t="shared" si="313"/>
        <v>2P С16А 30мА</v>
      </c>
      <c r="EQ207">
        <f t="shared" si="314"/>
        <v>16</v>
      </c>
      <c r="ER207" t="str">
        <f>IF(OR(AI207="",AI207="-"),"",IFERROR(VLOOKUP(AI207,Модули_спр,2,FALSE),"R"))</f>
        <v/>
      </c>
      <c r="ES207" t="str">
        <f>IF(ER207="","",ER207&amp;"."&amp;COUNTIFS(A$3:A207,A207,ER$3:ER207,ER207))</f>
        <v/>
      </c>
      <c r="ET207" t="str">
        <f t="shared" si="315"/>
        <v/>
      </c>
      <c r="EU207" t="str">
        <f t="shared" si="316"/>
        <v/>
      </c>
      <c r="EV207" t="str">
        <f t="shared" si="317"/>
        <v/>
      </c>
      <c r="EW207" t="str">
        <f t="shared" si="318"/>
        <v/>
      </c>
      <c r="EX207">
        <f t="shared" si="319"/>
        <v>1</v>
      </c>
      <c r="EY207" t="str">
        <f>IF(AK207="нет","",IF(AK207&lt;&gt;"",AK207,IF(EX207=1,"XT"&amp;COUNTIFS(A$3:A207,A207,EX$3:EX207,1),"")))</f>
        <v/>
      </c>
      <c r="EZ207" t="str">
        <f t="shared" si="320"/>
        <v>QFD23</v>
      </c>
      <c r="FA207" t="str">
        <f t="shared" si="321"/>
        <v/>
      </c>
      <c r="FB207" t="str">
        <f t="shared" si="322"/>
        <v>ok</v>
      </c>
      <c r="FC207" t="str">
        <f>IF(OR(EV207="",ET207=""),"",IF(EV207&gt;IFERROR(VLOOKUP(EU207,Модули_спр,3,FALSE),99),"ЛИШНИЙ КАНАЛ",IF(AND(AJ207&lt;&gt;"=",COUNTIFS(Линии[_модуль гр.],ET207,Линии[Канал (итог)],EV207,Линии[Канал],"&lt;&gt;=",Линии[Щит],A207)&gt;1),"ДУБЛЬ КАНАЛА","")))</f>
        <v/>
      </c>
      <c r="FD207">
        <f t="shared" si="323"/>
        <v>16</v>
      </c>
      <c r="FE207" t="str">
        <f t="shared" si="324"/>
        <v>2P С16А 30мА</v>
      </c>
      <c r="FF207">
        <f t="shared" si="325"/>
        <v>1</v>
      </c>
      <c r="FG207">
        <f t="shared" si="326"/>
        <v>30</v>
      </c>
      <c r="FH207" t="str">
        <f t="shared" si="327"/>
        <v/>
      </c>
      <c r="FI207">
        <f t="shared" si="328"/>
        <v>10</v>
      </c>
      <c r="FJ207" t="str">
        <f t="shared" si="329"/>
        <v/>
      </c>
      <c r="FK207" t="str">
        <f>IF(AND(D207="",EZ207=""),"",_xlfn.TEXTJOIN("; ",TRUE,IF(AND(D207&lt;&gt;"",DD207=""),"нет фазы",""),IF(AND(D207&lt;&gt;"",N(DT207)=0,CN207&lt;&gt;"Нет"),"нет мощности",""),IF(AND(EY207&lt;&gt;"",COUNTIFS(Линии[Щит],A207,Линии[Клемма (итог)],EY207)&gt;1),"дубль клеммы "&amp;EY207,""),IF(AND(FB207&lt;&gt;"",FB207&lt;&gt;"ok"),FB207,""),IF(FC207&lt;&gt;"",FC207,""),IF(AND(ISNUMBER(SEARCH("(5х",DS207)),N(DV207)=1),"5 жил на 1 фазе",""),IF(AND(AT207="R",AD207&lt;&gt;"",OR(N(EH207)=0,N(EH207)&gt;30)),"розетка без дифзащиты до 30 мА",""),IFERROR(IF(AND(ISNUMBER(CD207),CD207&gt;CE207),"потери "&amp;FIXED(CD207,1)&amp;" % &gt; "&amp;CE207&amp;" %",""),""),IFERROR(IF(LEFT(FJ207,4)="мало","Iкз мало — отключение &gt; 0,4 с",""),""),IF(AND(D207&lt;&gt;"",BD207=""),"не на схеме","")))</f>
        <v/>
      </c>
      <c r="FL207">
        <f>IF(AD207="","",_xlfn.LET(_xlpm.t,IFERROR(_xlfn.XLOOKUP(EP207,Каталог!$U$4:$U$500,Каталог!$G$4:$G$500),""),_xlpm.k,SEARCH("кА",_xlpm.t),IFERROR(--TRIM(RIGHT(SUBSTITUTE(MID(_xlpm.t,MAX(1,_xlpm.k-4),_xlpm.k-MAX(1,_xlpm.k-4))," ",REPT(" ",9)),5)),"")))</f>
        <v>6</v>
      </c>
      <c r="FM207" t="str">
        <f>IF(OR(FL207="",AD207=""),"",IF(_xlfn.XLOOKUP(A207,Щиты[Щит],Щиты[Iкз max на шинах, кА],"")="","",IF(FL207&lt;_xlfn.XLOOKUP(A207,Щиты[Щит],Щиты[Iкз max на шинах, кА]),"Icu "&amp;FL207&amp;" кА &lt; Iкз max","ok")))</f>
        <v/>
      </c>
      <c r="FN207" t="str">
        <f t="shared" si="330"/>
        <v>QFD23</v>
      </c>
      <c r="FO207" t="str">
        <f t="shared" si="331"/>
        <v>QFD23|кабель ВВГнг(А)-LS (3х2,5) → Розеточная группа Цокольный этаж Пом. №013A</v>
      </c>
      <c r="FP207" t="str" cm="1">
        <f t="array" ref="FP207">IF(FO207="","",_xlfn.LET(_xlpm.nd,_xlfn.TEXTSPLIT(FO207,"|"),IF(COLUMNS(_xlpm.nd)&gt;1,A207&amp;"¦"&amp;INDEX(_xlpm.nd,1)&amp;"¦"&amp;INDEX(_xlpm.nd,2),"")))</f>
        <v>ЩР-01¦QFD23¦кабель ВВГнг(А)-LS (3х2,5) → Розеточная группа Цокольный этаж Пом. №013A</v>
      </c>
      <c r="FQ207" t="str">
        <f t="shared" si="332"/>
        <v>R.0.013A.1¦Розеточная группа Цокольный этаж Пом. №013A</v>
      </c>
      <c r="FR207" t="str" cm="1">
        <f t="array" ref="FR207">IF(FO207="","",_xlfn.LET(_xlpm.nd,_xlfn.TEXTSPLIT(FO207,"|"),IF(COLUMNS(_xlpm.nd)&gt;2,A207&amp;"¦"&amp;INDEX(_xlpm.nd,2)&amp;"¦"&amp;INDEX(_xlpm.nd,3),"")))</f>
        <v/>
      </c>
      <c r="FS207" t="str">
        <f t="shared" si="333"/>
        <v/>
      </c>
      <c r="FT207" t="str" cm="1">
        <f t="array" ref="FT207">IF(FO207="","",_xlfn.LET(_xlpm.nd,_xlfn.TEXTSPLIT(FO207,"|"),IF(COLUMNS(_xlpm.nd)&gt;3,A207&amp;"¦"&amp;INDEX(_xlpm.nd,3)&amp;"¦"&amp;INDEX(_xlpm.nd,4),"")))</f>
        <v/>
      </c>
      <c r="FU207" t="str">
        <f t="shared" si="334"/>
        <v/>
      </c>
      <c r="FV207" t="str" cm="1">
        <f t="array" ref="FV207">IF(FO207="","",_xlfn.LET(_xlpm.nd,_xlfn.TEXTSPLIT(FO207,"|"),IF(COLUMNS(_xlpm.nd)&gt;4,A207&amp;"¦"&amp;INDEX(_xlpm.nd,4)&amp;"¦"&amp;INDEX(_xlpm.nd,5),"")))</f>
        <v/>
      </c>
      <c r="FW207" t="str">
        <f t="shared" si="335"/>
        <v/>
      </c>
      <c r="FX207" t="str" cm="1">
        <f t="array" ref="FX207">IF(FO207="","",_xlfn.LET(_xlpm.nd,_xlfn.TEXTSPLIT(FO207,"|"),IF(COLUMNS(_xlpm.nd)&gt;5,A207&amp;"¦"&amp;INDEX(_xlpm.nd,5)&amp;"¦"&amp;INDEX(_xlpm.nd,6),"")))</f>
        <v/>
      </c>
      <c r="FY207" t="str">
        <f t="shared" si="336"/>
        <v/>
      </c>
      <c r="FZ207" t="str" cm="1">
        <f t="array" ref="FZ207">IF(FO207="","",_xlfn.LET(_xlpm.nd,_xlfn.TEXTSPLIT(FO207,"|"),IF(COLUMNS(_xlpm.nd)&gt;6,A207&amp;"¦"&amp;INDEX(_xlpm.nd,6)&amp;"¦"&amp;INDEX(_xlpm.nd,7),"")))</f>
        <v/>
      </c>
      <c r="GA207" t="str">
        <f t="shared" si="337"/>
        <v/>
      </c>
      <c r="GB207" t="str">
        <f t="shared" si="338"/>
        <v/>
      </c>
      <c r="GC207" t="str">
        <f t="shared" si="339"/>
        <v>QFD23</v>
      </c>
      <c r="GD207">
        <f t="shared" si="340"/>
        <v>1</v>
      </c>
      <c r="GE207">
        <f t="shared" si="341"/>
        <v>0</v>
      </c>
      <c r="GF207">
        <f t="shared" si="342"/>
        <v>1</v>
      </c>
      <c r="GG207" t="str">
        <f t="shared" si="343"/>
        <v/>
      </c>
      <c r="GH207" t="str">
        <f t="shared" si="344"/>
        <v/>
      </c>
      <c r="GI207" t="str">
        <f t="shared" si="345"/>
        <v/>
      </c>
      <c r="GJ207" t="str">
        <f t="shared" si="346"/>
        <v/>
      </c>
      <c r="GK207" t="str">
        <f>IF(D207="","",IFERROR(VLOOKUP(D207,УГО_спр,2,FALSE),IFERROR(VLOOKUP(AT207,УГО_спр,2,FALSE),IFERROR(VLOOKUP(LEFT(AT207,2),УГО_спр,2,FALSE),""))))</f>
        <v>Розетка</v>
      </c>
      <c r="GL207" t="str">
        <f>IF(D207="","",IF(OR(GK207="",GK207=0),"BOX",IFERROR(IF(VLOOKUP(GK207,УГО_блоки,3,FALSE)&amp;""&lt;&gt;"",VLOOKUP(GK207,УГО_блоки,3,FALSE),VLOOKUP(GK207,УГО_блоки,2,FALSE)),GK207)))</f>
        <v>SOCKET</v>
      </c>
      <c r="GM207">
        <f t="shared" si="347"/>
        <v>1</v>
      </c>
      <c r="GN207" t="str">
        <f>IF(EP207="","",IF(COUNTIF(EP$3:EP207,EP207)=1,MAX(GN$2:GN206)+1,""))</f>
        <v/>
      </c>
      <c r="GO207" t="str">
        <f>IF(AF207="","",IF(COUNTIF(AF$3:AF207,AF207)+COUNTIF(AG$2:AG206,AF207)+COUNTIF(AH$2:AH206,AF207)=1,MAX(GO$2:GQ206)+1,""))</f>
        <v/>
      </c>
      <c r="GP207" t="str">
        <f>IF(AG207="","",IF(COUNTIF(AF$3:AF207,AG207)+COUNTIF(AG$3:AG207,AG207)+COUNTIF(AH$2:AH206,AG207)=1,MAX(GO$2:GQ206,GO207)+1,""))</f>
        <v/>
      </c>
      <c r="GQ207" t="str">
        <f>IF(AH207="","",IF(COUNTIF(AF$3:AF207,AH207)+COUNTIF(AG$3:AG207,AH207)+COUNTIF(AH$3:AH207,AH207)=1,MAX(GO$2:GQ206,GO207,GP207)+1,""))</f>
        <v/>
      </c>
      <c r="GR207" t="str">
        <f t="shared" si="348"/>
        <v>3х2,5</v>
      </c>
      <c r="GS207" t="str">
        <f>IF(GR207="","",IF(COUNTIF(GR$3:GR207,GR207)=1,MAX(GS$2:GS206)+1,""))</f>
        <v/>
      </c>
      <c r="GT207" t="str">
        <f>IF(ES207="","",COUNTIF(ES$3:ES207,"?*"))</f>
        <v/>
      </c>
      <c r="GU207" t="str">
        <f>IF(OR(ES207="",EU207=""),"",IF(COUNTIFS(ES$3:ES207,"?*",EU$3:EU207,EU207)=1,MAX(GU$2:GU206)+1,""))</f>
        <v/>
      </c>
      <c r="GV207">
        <f t="shared" si="349"/>
        <v>0</v>
      </c>
      <c r="GW207">
        <f>IF(D207="","",COUNTIF(D$3:D207,"?*"))</f>
        <v>205</v>
      </c>
      <c r="GX207">
        <f>IF(EX207&lt;&gt;1,0,_xlfn.LET(_xlpm.k,MAX(IFERROR(--VLOOKUP(D207,УГО_спр,5,FALSE),0),IFERROR(--VLOOKUP(AT207,УГО_спр,5,FALSE),0),IFERROR(--VLOOKUP(LEFT(AT207,2),УГО_спр,5,FALSE),0)),IF(_xlpm.k&gt;0,_xlpm.k,IF(IFERROR(--LEFT(SUBSTITUTE(GR207,"x","х"),FIND("х",SUBSTITUTE(GR207,"x","х"))-1),3)&gt;3,Каталог!$S$9,1))))</f>
        <v>1</v>
      </c>
      <c r="GY207">
        <f t="shared" si="350"/>
        <v>0</v>
      </c>
    </row>
    <row r="208" spans="1:207" x14ac:dyDescent="0.3">
      <c r="A208" t="s">
        <v>760</v>
      </c>
      <c r="B208">
        <v>36</v>
      </c>
      <c r="C208" t="str">
        <f>IF(BD208="","",IF(BE208="вводной узел","узел ","")&amp;"л."&amp;(INT((BD208-1)/Столбцов_на_лист)+1)&amp;" / "&amp;(MOD(BD208-1,Столбцов_на_лист)+1))</f>
        <v>л.3 / 2</v>
      </c>
      <c r="D208" t="s">
        <v>1519</v>
      </c>
      <c r="E208" s="133" t="str">
        <f t="shared" si="351"/>
        <v>Розеточная группа Цокольный этаж Пом. №013Б</v>
      </c>
      <c r="G208">
        <v>0.06</v>
      </c>
      <c r="H208">
        <v>1</v>
      </c>
      <c r="I208">
        <v>1</v>
      </c>
      <c r="J208">
        <v>230</v>
      </c>
      <c r="K208" t="s">
        <v>566</v>
      </c>
      <c r="O208">
        <v>3</v>
      </c>
      <c r="P208">
        <v>54</v>
      </c>
      <c r="Q208">
        <v>40</v>
      </c>
      <c r="R208">
        <v>13</v>
      </c>
      <c r="S208">
        <v>4</v>
      </c>
      <c r="U208" t="s">
        <v>11</v>
      </c>
      <c r="V208">
        <v>3</v>
      </c>
      <c r="W208">
        <v>2.5</v>
      </c>
      <c r="Z208" t="s">
        <v>565</v>
      </c>
      <c r="AA208" t="s">
        <v>818</v>
      </c>
      <c r="AD208" t="s">
        <v>517</v>
      </c>
      <c r="AR208" t="str">
        <f t="shared" si="264"/>
        <v/>
      </c>
      <c r="AS208" cm="1">
        <f t="array" ref="AS208">ROW()-ROW(Линии[#Headers])</f>
        <v>206</v>
      </c>
      <c r="AT208" t="str">
        <f t="shared" si="265"/>
        <v>R</v>
      </c>
      <c r="AU208" t="str">
        <f t="shared" si="266"/>
        <v>0.013Б.1</v>
      </c>
      <c r="AV208" t="str">
        <f t="shared" si="267"/>
        <v>0</v>
      </c>
      <c r="AW208" t="str">
        <f t="shared" si="268"/>
        <v>013Б.1</v>
      </c>
      <c r="AX208" t="str">
        <f t="shared" si="269"/>
        <v>013Б</v>
      </c>
      <c r="AY208" t="str">
        <f>IF(D208="","",IF(ISERROR(SEARCH(".",D208)),IFERROR(VLOOKUP(D208,Потребители_обозначение,2,FALSE)&amp;"",""),IFERROR(IF(VLOOKUP(AT208,Потребители_обозначение,4,FALSE)=1,VLOOKUP(AT208,Потребители_обозначение,2,FALSE)&amp;" "&amp;VLOOKUP(AV208,Этаж_обозначение,2,FALSE)&amp;" Пом. №"&amp;AX208,VLOOKUP(AT208,Потребители_обозначение,2,FALSE)&amp;" Шлейф №"&amp;AV208),IFERROR(VLOOKUP(D208,Потребители_обозначение,2,FALSE),""))))</f>
        <v>Розеточная группа Цокольный этаж Пом. №013Б</v>
      </c>
      <c r="AZ208" t="str">
        <f t="shared" si="270"/>
        <v>Розеточная группа Цокольный этаж Пом. №013Б</v>
      </c>
      <c r="BA208" t="str">
        <f>IF(F208&lt;&gt;"",F208,IF(AND(D208&lt;&gt;"",D208&lt;&gt;A208,ISNUMBER(_xlfn.XMATCH(D208,Щиты[Щит]))),D208,""))</f>
        <v/>
      </c>
      <c r="BB208">
        <f>IFERROR(_xlfn.XMATCH(A208,Щиты[Щит]),0)</f>
        <v>9</v>
      </c>
      <c r="BC208">
        <f>IFERROR(N(_xlfn.XLOOKUP(A208,Щиты[Щит],Щиты[Мест под вводной узел])),15)</f>
        <v>8</v>
      </c>
      <c r="BD208">
        <f t="shared" si="271"/>
        <v>36</v>
      </c>
      <c r="BE208" t="str">
        <f t="shared" si="272"/>
        <v>линии</v>
      </c>
      <c r="BF208">
        <f>IF(D208="","",IF(BA208&lt;&gt;"",IFERROR(_xlfn.XLOOKUP(BA208,Щиты[Щит],Щиты[Руст, кВт]),0),N(G208)))</f>
        <v>0.06</v>
      </c>
      <c r="BG208">
        <f>IF(J208&lt;&gt;"",J208,IF(D208="","",IFERROR(IF(VLOOKUP(AT208,Потребители_обозначение,8,FALSE)=0,"",VLOOKUP(AT208,Потребители_обозначение,8,FALSE)),"")))</f>
        <v>230</v>
      </c>
      <c r="BH208">
        <f>IF(I208&lt;&gt;"",I208,IF(D208="","",IFERROR(IF(VLOOKUP(AT208,Потребители_обозначение,9,FALSE)=0,"",VLOOKUP(AT208,Потребители_обозначение,9,FALSE)),"")))</f>
        <v>1</v>
      </c>
      <c r="BI208" t="str">
        <f>IF(U208&lt;&gt;"",U208,IF(D208="","",IFERROR(IF(VLOOKUP(AT208,Потребители_обозначение,6,FALSE)=0,"",VLOOKUP(AT208,Потребители_обозначение,6,FALSE)),"")))</f>
        <v>мс</v>
      </c>
      <c r="BJ208">
        <f>IF(V208&lt;&gt;"",V208,IF(D208="","",IFERROR(IF(VLOOKUP(AT208,Потребители_обозначение,7,FALSE)=0,"",VLOOKUP(AT208,Потребители_обозначение,7,FALSE)),"")))</f>
        <v>3</v>
      </c>
      <c r="BK208">
        <f>IF(W208&lt;&gt;"",W208,IF(D208="","",IFERROR(IF(VLOOKUP(AT208,Потребители_обозначение,10,FALSE)=0,"",VLOOKUP(AT208,Потребители_обозначение,10,FALSE)),"")))</f>
        <v>2.5</v>
      </c>
      <c r="BL208">
        <f>IFERROR(VLOOKUP(AT208,Потребители_обозначение,5,FALSE),0)</f>
        <v>1</v>
      </c>
      <c r="BM208" cm="1">
        <f t="array" ref="BM208">IF(D208="","",IF(BA208&lt;&gt;"",IFERROR(_xlfn.XLOOKUP(BA208,Щиты[Щит],Щиты[cos φ]),0.95),IF(ISNUMBER(M208),M208,IFERROR(IF(BL208=2,_xlfn.IFS(BH208=3,VLOOKUP(BF208,Справочная_двигатели,8,FALSE),BH208=1,VLOOKUP(BF208,Справочная_двигатели,10,TRUE)),IF(AND(Методика="нормы 2026",CN208="Сил"),0.8,0.95)),0.95))))</f>
        <v>0.95</v>
      </c>
      <c r="BN208" cm="1">
        <f t="array" ref="BN208">IF(D208="","",IF(BA208&lt;&gt;"",IFERROR(_xlfn.XLOOKUP(BA208,Щиты[Щит],Щиты[Iр, А]),""),IFERROR(_xlfn.IFS(BH208=1,BF208/((Uн_лин/SQRT(3))*BM208),BH208=3,BF208/(SQRT(3)*Uн_лин*BM208)),"")))</f>
        <v>0.27348170645824377</v>
      </c>
      <c r="BO208">
        <f>IF(D208="","",IF(N(X208)=0,IFERROR(VLOOKUP(BN208,Автомат_номиналы,2,TRUE),""),X208))</f>
        <v>6</v>
      </c>
      <c r="BP208">
        <f t="shared" si="273"/>
        <v>1</v>
      </c>
      <c r="BQ208">
        <f>IF(ISNUMBER(Y208),Y208,К_прокл)</f>
        <v>1</v>
      </c>
      <c r="BR208">
        <f t="shared" si="274"/>
        <v>2</v>
      </c>
      <c r="BS208" cm="1">
        <f t="array" ref="BS208">IF(D208="","",IF(N(BK208)&lt;&gt;0,BK208,IFERROR(_xlfn.LET(_xlpm.need,BO208/(BP208*BQ208),_xlpm.t,CHOOSE(BR208,Iдоп_1ж,Iдоп_2ж,Iдоп_3ж),_xlpm.k,_xlfn.XMATCH(_xlpm.need,_xlpm.t,1),IF(ISNA(_xlpm.k),"Не исп",INDEX(Iдоп_S,_xlpm.k))),"Не исп")))</f>
        <v>2.5</v>
      </c>
      <c r="BT208">
        <f>IFERROR(VLOOKUP(BS208,Кабель_сопротивление,3,FALSE),"")</f>
        <v>2.2499999999999999E-2</v>
      </c>
      <c r="BU208">
        <f>IFERROR(VLOOKUP(BS208,Кабель_сопротивление,2,FALSE),"")</f>
        <v>0.1</v>
      </c>
      <c r="BV208">
        <f t="shared" si="275"/>
        <v>54</v>
      </c>
      <c r="BW208">
        <f>IF(D208="","",IFERROR(IF(VLOOKUP(AT208,Потребители_обозначение,4,FALSE)=1,VLOOKUP(AT208,Потребители_обозначение,3,FALSE)*(H208*2-1)+BV208+VLOOKUP(AV208,Этаж_обозначение,3,FALSE)+VLOOKUP(AV208,Этаж_обозначение,4,FALSE),VLOOKUP(AT208,Потребители_обозначение,3,FALSE)*(H208*2-1)+BV208),BV208))</f>
        <v>57</v>
      </c>
      <c r="BX208">
        <f t="shared" si="276"/>
        <v>13</v>
      </c>
      <c r="BY208">
        <f t="shared" si="277"/>
        <v>4</v>
      </c>
      <c r="BZ208">
        <f t="shared" si="278"/>
        <v>2</v>
      </c>
      <c r="CA208">
        <f t="shared" si="279"/>
        <v>0.31</v>
      </c>
      <c r="CB208">
        <f t="shared" si="280"/>
        <v>0.26752910363547366</v>
      </c>
      <c r="CC208">
        <f>IFERROR(ROUNDUP(CB208/((Uн_лин/SQRT(3))*1000)*100,2),"")</f>
        <v>0.12</v>
      </c>
      <c r="CD208">
        <f>IF(ISNUMBER(CC208),CC208+IFERROR(_xlfn.XLOOKUP(A208,Щиты[Щит],Щиты[ΔU до шин, %]),0),"")</f>
        <v>0.55000000000000004</v>
      </c>
      <c r="CE208">
        <f>IF(D208="","",IF(IFERROR(VLOOKUP(AT208,УГО_спр,2,FALSE),"")="Светильник",3,4)+IF(Методика="нормы 2026",MIN(0.5,MAX(0,N(BW208)-100)*0.005),0))</f>
        <v>4</v>
      </c>
      <c r="CF208" t="str">
        <f>IFERROR(VLOOKUP(BI208,Кабель_обозначение,2,FALSE),"")</f>
        <v>ВВГнг(А)-LS</v>
      </c>
      <c r="CG208" t="str">
        <f>IFERROR(IF(VLOOKUP(BI208,Кабель_обозначение,3,FALSE)=1,CF208&amp;" ("&amp;BJ208&amp;"х"&amp;BS208&amp;")",CF208),"")</f>
        <v>ВВГнг(А)-LS (3х2,5)</v>
      </c>
      <c r="CH208" t="str">
        <f t="shared" si="281"/>
        <v>ВВГнг(А)-LS (3х2,5)
L=57-0,12%</v>
      </c>
      <c r="CI208">
        <f>IFERROR(2*ρкз_Cu*BW208/BS208,"")</f>
        <v>1.1992800000000001</v>
      </c>
      <c r="CJ208">
        <f t="shared" si="282"/>
        <v>0.39900000000000002</v>
      </c>
      <c r="CK208" t="str">
        <f>IFERROR(IF(OR(D208="",NOT(ISNUMBER(BS208)),N(BW208)=0),"",_xlfn.XLOOKUP(A208,Щиты[Щит],Щиты[Zпетли на шинах, Ом])+CI208),"")</f>
        <v/>
      </c>
      <c r="CL208" t="str">
        <f>IF(ISNUMBER(CK208),c_min*(Uн_лин*1000/SQRT(3))/CK208,"")</f>
        <v/>
      </c>
      <c r="CM208" t="str">
        <f>IFERROR(IF(OR(D208="",NOT(ISNUMBER(BS208))),"",1.05*(Uн_лин*1000/SQRT(3))/(_xlfn.XLOOKUP(A208,Щиты[Щит],Щиты[Zmax на шинах, Ом])+CJ208)/1000),"")</f>
        <v/>
      </c>
      <c r="CN208" t="str">
        <f>IF(D208="","",IF(BA208&lt;&gt;"","Щит",IF(K208&lt;&gt;"",K208,IF(ISNUMBER(L208),"Сил",IF(IFERROR(_xlfn.XLOOKUP(AT208,Коды_код,Коды_группа)&amp;"","")="","Быт",_xlfn.XLOOKUP(AT208,Коды_код,Коды_группа)&amp;"")))))</f>
        <v>Быт</v>
      </c>
      <c r="CO208">
        <f>IF(CN208="Щит","щит",IF(CN208="","",IF(CN208="Быт",IFERROR(_xlfn.XLOOKUP(A208,Щиты[Щит],Щиты[Кс быт]),1),IF(CN208="Сил",IF(ISNUMBER(L208),L208,IF(Методика="нормы 2026",IFERROR(_xlfn.XLOOKUP(A208,Щиты[Щит],Щиты[Кс силовых (табл. 7.5)]),1),1)),IF(OR(CN208="Пост",CN208="Отоп"),1,IF(CN208="ВНГ",0.7,0))))))</f>
        <v>0.79799999999999993</v>
      </c>
      <c r="CP208">
        <f t="shared" si="283"/>
        <v>1</v>
      </c>
      <c r="CQ208">
        <f t="shared" si="284"/>
        <v>0.06</v>
      </c>
      <c r="CR208">
        <f t="shared" si="285"/>
        <v>0.06</v>
      </c>
      <c r="CS208">
        <f t="shared" si="286"/>
        <v>0</v>
      </c>
      <c r="CT208">
        <f t="shared" si="287"/>
        <v>0</v>
      </c>
      <c r="CU208">
        <f t="shared" si="288"/>
        <v>0</v>
      </c>
      <c r="CV208">
        <f t="shared" si="289"/>
        <v>0</v>
      </c>
      <c r="CW208">
        <f t="shared" si="290"/>
        <v>0.06</v>
      </c>
      <c r="CX208">
        <f t="shared" si="291"/>
        <v>5.6999999999999995E-2</v>
      </c>
      <c r="CY208">
        <f t="shared" si="292"/>
        <v>3</v>
      </c>
      <c r="CZ208" t="str">
        <f t="shared" si="293"/>
        <v>L3</v>
      </c>
      <c r="DA208" cm="1">
        <f t="array" ref="DA208">IFERROR(IF(BL208=2,_xlfn.IFS(BH208=3,VLOOKUP(BF208,Справочная_двигатели,3,FALSE),BH208=1,VLOOKUP(BF208,Справочная_двигатели,5,TRUE)),0),0)</f>
        <v>0</v>
      </c>
      <c r="DB208">
        <f>IFERROR(IF(BL208=3,VLOOKUP(BF208,Справочная_ЛЭД,2,TRUE),0),0)</f>
        <v>0</v>
      </c>
      <c r="DC208">
        <f t="shared" si="294"/>
        <v>0</v>
      </c>
      <c r="DD208" t="str">
        <f t="shared" si="295"/>
        <v>L3</v>
      </c>
      <c r="DE208" t="str" cm="1">
        <f t="array" ref="DE208">IF(D208="","",IFERROR(INDEX({"I особая","I","II","III"},MATCH(TRIM(AA208&amp;""),{"I особая","I","II","III"},0)),"III"))</f>
        <v>II</v>
      </c>
      <c r="DF208" t="str">
        <f>IF(D208="","",IF(TRIM(AB208&amp;"")&lt;&gt;"",IF(LOWER(TRIM(AB208&amp;""))="да","да","нет"),IF(IFERROR(_xlfn.XLOOKUP(AT208,Коды_код,Коды_пожарная),"")="да","да","нет")))</f>
        <v>нет</v>
      </c>
      <c r="DG208" t="str">
        <f t="shared" si="296"/>
        <v/>
      </c>
      <c r="DH208" t="str">
        <f t="shared" si="297"/>
        <v>основная</v>
      </c>
      <c r="DI208">
        <f t="shared" si="298"/>
        <v>1</v>
      </c>
      <c r="DJ208" t="str" cm="1">
        <f t="array" ref="DJ208">IF(D208="","",_xlfn.LET(_xlpm.t,IFERROR(_xlfn.XLOOKUP(1,(Шины[Шина]=DH208)*(((Шины[Щит]=A208)+(Шины[Щит]=""))&gt;0),Шины[Тип]),"")&amp;"",IF(_xlpm.t&lt;&gt;"",_xlpm.t,IF(ISNUMBER(SEARCH("ИБП",DH208)),"ИБП",IF(ISNUMBER(SEARCH("ДГУ",DH208)),"ДГУ","Ввод "&amp;DI208)))))</f>
        <v>Ввод 1</v>
      </c>
      <c r="DK208" t="str">
        <f t="shared" si="299"/>
        <v>Ввод 1</v>
      </c>
      <c r="DL208" t="str">
        <f>IF(D208="","",IF(OR(DJ208="ИБП",DJ208="ДГУ"),"I особая",IF(DJ208="Одиночная","III",_xlfn.XLOOKUP(A208,Щиты[Щит],Щиты[Категория шины «Ввод»],"III"))))</f>
        <v>II</v>
      </c>
      <c r="DM208">
        <f>IF(D208="",0,IFERROR(MATCH(DE208,{"III","II","I","I особая"},0),1))</f>
        <v>2</v>
      </c>
      <c r="DN208">
        <f t="shared" si="300"/>
        <v>2</v>
      </c>
      <c r="DO208" t="str">
        <f>IF(D208="","",IF(DM208&gt;IFERROR(MATCH(DL208,{"III","II","I","I особая"},0),1),"НЕ ОБЕСПЕЧЕНА","ОК"))</f>
        <v>ОК</v>
      </c>
      <c r="DP208" t="str">
        <f>IF(A208="","",_xlfn.XLOOKUP(A208,Щиты[Щит],Щиты[Путь],""))</f>
        <v>|ГРЩ-ЖД|ЩР-01|</v>
      </c>
      <c r="DQ208" t="str">
        <f>IF(D208="","",IF(Z208&lt;&gt;"",Z208,IF(IFERROR(_xlfn.XLOOKUP(AT208,Коды_код,Коды_вид)&amp;"","")="","Прочее",_xlfn.XLOOKUP(AT208,Коды_код,Коды_вид)&amp;"")))</f>
        <v>Розеточная сеть и бытовые приборы</v>
      </c>
      <c r="DR208">
        <f>IF(BD208="","",INT((BD208-1)/Столбцов_на_лист)+1)</f>
        <v>3</v>
      </c>
      <c r="DS208" t="str">
        <f t="shared" si="301"/>
        <v>ВВГнг(А)-LS (3х2,5) L=57-0,12%</v>
      </c>
      <c r="DT208">
        <f t="shared" si="302"/>
        <v>0.06</v>
      </c>
      <c r="DU208">
        <f t="shared" si="303"/>
        <v>0.28000000000000003</v>
      </c>
      <c r="DV208">
        <f t="shared" si="304"/>
        <v>1</v>
      </c>
      <c r="DW208">
        <f>IF(AT208="",0,_xlfn.LET(_xlpm.v,IFERROR(VLOOKUP(D208,УГО_спр,3,FALSE),IFERROR(VLOOKUP(AT208,УГО_спр,3,FALSE),IFERROR(VLOOKUP(LEFT(AT208,2),УГО_спр,3,FALSE),""))),IF(_xlpm.v="да",30,IF(ISNUMBER(_xlpm.v),_xlpm.v,0))))</f>
        <v>30</v>
      </c>
      <c r="DX208">
        <f t="shared" si="305"/>
        <v>0</v>
      </c>
      <c r="DY208">
        <f>IF(BD208="","",IF(AD208&lt;&gt;"",COUNTIFS(A$3:A208,A208,AD$3:AD208,"?*"),IF(OR(OR(AS208=1,A208&lt;&gt;A207),AL208="вручную"),"",IF(AS208=1,"",DZ207))))</f>
        <v>24</v>
      </c>
      <c r="DZ208">
        <f t="shared" si="306"/>
        <v>24</v>
      </c>
      <c r="EA208">
        <f>IF(D208="",0,MAX(IFERROR(--X208,0),IFERROR(--VLOOKUP(D208,УГО_спр,4,FALSE),IFERROR(--VLOOKUP(AT208,УГО_спр,4,FALSE),IFERROR(--VLOOKUP(LEFT(AT208,2),УГО_спр,4,FALSE),0)))))</f>
        <v>16</v>
      </c>
      <c r="EB208">
        <f>IF(D208="","",IFERROR(LOOKUP(INDEX(CHOOSE(BR208,Iдоп_1ж,Iдоп_2ж,Iдоп_3ж),MATCH(BS208,Iдоп_S,0))*BP208*BQ208,{6,10,16,20,25,32,40,50,63,80,100,125,160,200,250,315,400,500,630}),""))</f>
        <v>25</v>
      </c>
      <c r="EC208">
        <f>IF(AD208="","",SUMIFS(Линии[_Ток схемы],Линии[_гр.],DY208,Линии[Щит],A208,Линии[_в кабель выше],0))</f>
        <v>0.28000000000000003</v>
      </c>
      <c r="ED208">
        <f>IF(AD208="","",IFERROR(VLOOKUP(EC208,Автомат_номиналы,2,TRUE),""))</f>
        <v>6</v>
      </c>
      <c r="EE208">
        <f>IF(AD208="","",MAX(N(ED208),_xlfn.MAXIFS(Линии[_мин. по типу],Линии[_гр.],DY208,Линии[Щит],A208)))</f>
        <v>16</v>
      </c>
      <c r="EF208">
        <f>IF(AD208="","",_xlfn.MINIFS(Линии[_макс. автомат по кабелю],Линии[_гр.],DY208,Линии[Щит],A208))</f>
        <v>25</v>
      </c>
      <c r="EG208">
        <f>IF(AD208="","",MAX(1,_xlfn.MAXIFS(Линии[_фаз],Линии[_гр.],DY208,Линии[Щит],A208)))</f>
        <v>1</v>
      </c>
      <c r="EH208">
        <f>IF(AD208="","",IF(AND(AD208&lt;&gt;"авто",AD208&lt;&gt;"+"),IF(ISNUMBER(SEARCH("мА",AD208)),IFERROR(--TRIM(RIGHT(SUBSTITUTE(LEFT(AD208,SEARCH("мА",AD208)-1)," ",REPT(" ",9)),6)),30),0),IF(AE208="нет",0,IF(ISNUMBER(AE208),AE208,IF(AE208="да",30,_xlfn.MINIFS(Линии[_дифзащита по коду, мА],Линии[_гр.],DY208,Линии[Щит],A208,Линии[_дифзащита по коду, мА],"&gt;0"))))))</f>
        <v>30</v>
      </c>
      <c r="EI208">
        <f t="shared" si="307"/>
        <v>1</v>
      </c>
      <c r="EJ208" t="str">
        <f t="shared" si="308"/>
        <v>QFD24</v>
      </c>
      <c r="EK208" t="str">
        <f t="shared" si="309"/>
        <v>QFD24</v>
      </c>
      <c r="EL208" t="str">
        <f t="shared" si="310"/>
        <v/>
      </c>
      <c r="EM208">
        <f t="shared" si="311"/>
        <v>0</v>
      </c>
      <c r="EN208">
        <f>IF(AD208="","",IF(EM208=1,MAX(EE208,Мин_автомат_БП),EE208))</f>
        <v>16</v>
      </c>
      <c r="EO208" t="str">
        <f t="shared" si="312"/>
        <v>2P</v>
      </c>
      <c r="EP208" t="str">
        <f t="shared" si="313"/>
        <v>2P С16А 30мА</v>
      </c>
      <c r="EQ208">
        <f t="shared" si="314"/>
        <v>16</v>
      </c>
      <c r="ER208" t="str">
        <f>IF(OR(AI208="",AI208="-"),"",IFERROR(VLOOKUP(AI208,Модули_спр,2,FALSE),"R"))</f>
        <v/>
      </c>
      <c r="ES208" t="str">
        <f>IF(ER208="","",ER208&amp;"."&amp;COUNTIFS(A$3:A208,A208,ER$3:ER208,ER208))</f>
        <v/>
      </c>
      <c r="ET208" t="str">
        <f t="shared" si="315"/>
        <v/>
      </c>
      <c r="EU208" t="str">
        <f t="shared" si="316"/>
        <v/>
      </c>
      <c r="EV208" t="str">
        <f t="shared" si="317"/>
        <v/>
      </c>
      <c r="EW208" t="str">
        <f t="shared" si="318"/>
        <v/>
      </c>
      <c r="EX208">
        <f t="shared" si="319"/>
        <v>1</v>
      </c>
      <c r="EY208" t="str">
        <f>IF(AK208="нет","",IF(AK208&lt;&gt;"",AK208,IF(EX208=1,"XT"&amp;COUNTIFS(A$3:A208,A208,EX$3:EX208,1),"")))</f>
        <v>XT24</v>
      </c>
      <c r="EZ208" t="str">
        <f t="shared" si="320"/>
        <v>QFD24</v>
      </c>
      <c r="FA208" t="str">
        <f t="shared" si="321"/>
        <v/>
      </c>
      <c r="FB208" t="str">
        <f t="shared" si="322"/>
        <v>ok</v>
      </c>
      <c r="FC208" t="str">
        <f>IF(OR(EV208="",ET208=""),"",IF(EV208&gt;IFERROR(VLOOKUP(EU208,Модули_спр,3,FALSE),99),"ЛИШНИЙ КАНАЛ",IF(AND(AJ208&lt;&gt;"=",COUNTIFS(Линии[_модуль гр.],ET208,Линии[Канал (итог)],EV208,Линии[Канал],"&lt;&gt;=",Линии[Щит],A208)&gt;1),"ДУБЛЬ КАНАЛА","")))</f>
        <v/>
      </c>
      <c r="FD208">
        <f t="shared" si="323"/>
        <v>16</v>
      </c>
      <c r="FE208" t="str">
        <f t="shared" si="324"/>
        <v>2P С16А 30мА</v>
      </c>
      <c r="FF208">
        <f t="shared" si="325"/>
        <v>1</v>
      </c>
      <c r="FG208">
        <f t="shared" si="326"/>
        <v>30</v>
      </c>
      <c r="FH208" t="str">
        <f t="shared" si="327"/>
        <v/>
      </c>
      <c r="FI208">
        <f t="shared" si="328"/>
        <v>10</v>
      </c>
      <c r="FJ208" t="str">
        <f t="shared" si="329"/>
        <v/>
      </c>
      <c r="FK208" t="str">
        <f>IF(AND(D208="",EZ208=""),"",_xlfn.TEXTJOIN("; ",TRUE,IF(AND(D208&lt;&gt;"",DD208=""),"нет фазы",""),IF(AND(D208&lt;&gt;"",N(DT208)=0,CN208&lt;&gt;"Нет"),"нет мощности",""),IF(AND(EY208&lt;&gt;"",COUNTIFS(Линии[Щит],A208,Линии[Клемма (итог)],EY208)&gt;1),"дубль клеммы "&amp;EY208,""),IF(AND(FB208&lt;&gt;"",FB208&lt;&gt;"ok"),FB208,""),IF(FC208&lt;&gt;"",FC208,""),IF(AND(ISNUMBER(SEARCH("(5х",DS208)),N(DV208)=1),"5 жил на 1 фазе",""),IF(AND(AT208="R",AD208&lt;&gt;"",OR(N(EH208)=0,N(EH208)&gt;30)),"розетка без дифзащиты до 30 мА",""),IFERROR(IF(AND(ISNUMBER(CD208),CD208&gt;CE208),"потери "&amp;FIXED(CD208,1)&amp;" % &gt; "&amp;CE208&amp;" %",""),""),IFERROR(IF(LEFT(FJ208,4)="мало","Iкз мало — отключение &gt; 0,4 с",""),""),IF(AND(D208&lt;&gt;"",BD208=""),"не на схеме","")))</f>
        <v/>
      </c>
      <c r="FL208">
        <f>IF(AD208="","",_xlfn.LET(_xlpm.t,IFERROR(_xlfn.XLOOKUP(EP208,Каталог!$U$4:$U$500,Каталог!$G$4:$G$500),""),_xlpm.k,SEARCH("кА",_xlpm.t),IFERROR(--TRIM(RIGHT(SUBSTITUTE(MID(_xlpm.t,MAX(1,_xlpm.k-4),_xlpm.k-MAX(1,_xlpm.k-4))," ",REPT(" ",9)),5)),"")))</f>
        <v>6</v>
      </c>
      <c r="FM208" t="str">
        <f>IF(OR(FL208="",AD208=""),"",IF(_xlfn.XLOOKUP(A208,Щиты[Щит],Щиты[Iкз max на шинах, кА],"")="","",IF(FL208&lt;_xlfn.XLOOKUP(A208,Щиты[Щит],Щиты[Iкз max на шинах, кА]),"Icu "&amp;FL208&amp;" кА &lt; Iкз max","ok")))</f>
        <v/>
      </c>
      <c r="FN208" t="str">
        <f t="shared" si="330"/>
        <v>QFD24|XT24</v>
      </c>
      <c r="FO208" t="str">
        <f t="shared" si="331"/>
        <v>QFD24|XT24|кабель ВВГнг(А)-LS (3х2,5) → Розеточная группа Цокольный этаж Пом. №013Б</v>
      </c>
      <c r="FP208" t="str" cm="1">
        <f t="array" ref="FP208">IF(FO208="","",_xlfn.LET(_xlpm.nd,_xlfn.TEXTSPLIT(FO208,"|"),IF(COLUMNS(_xlpm.nd)&gt;1,A208&amp;"¦"&amp;INDEX(_xlpm.nd,1)&amp;"¦"&amp;INDEX(_xlpm.nd,2),"")))</f>
        <v>ЩР-01¦QFD24¦XT24</v>
      </c>
      <c r="FQ208" t="str">
        <f t="shared" si="332"/>
        <v>R.0.013Б.1¦Розеточная группа Цокольный этаж Пом. №013Б</v>
      </c>
      <c r="FR208" t="str" cm="1">
        <f t="array" ref="FR208">IF(FO208="","",_xlfn.LET(_xlpm.nd,_xlfn.TEXTSPLIT(FO208,"|"),IF(COLUMNS(_xlpm.nd)&gt;2,A208&amp;"¦"&amp;INDEX(_xlpm.nd,2)&amp;"¦"&amp;INDEX(_xlpm.nd,3),"")))</f>
        <v>ЩР-01¦XT24¦кабель ВВГнг(А)-LS (3х2,5) → Розеточная группа Цокольный этаж Пом. №013Б</v>
      </c>
      <c r="FS208" t="str">
        <f t="shared" si="333"/>
        <v>R.0.013Б.1¦Розеточная группа Цокольный этаж Пом. №013Б</v>
      </c>
      <c r="FT208" t="str" cm="1">
        <f t="array" ref="FT208">IF(FO208="","",_xlfn.LET(_xlpm.nd,_xlfn.TEXTSPLIT(FO208,"|"),IF(COLUMNS(_xlpm.nd)&gt;3,A208&amp;"¦"&amp;INDEX(_xlpm.nd,3)&amp;"¦"&amp;INDEX(_xlpm.nd,4),"")))</f>
        <v/>
      </c>
      <c r="FU208" t="str">
        <f t="shared" si="334"/>
        <v/>
      </c>
      <c r="FV208" t="str" cm="1">
        <f t="array" ref="FV208">IF(FO208="","",_xlfn.LET(_xlpm.nd,_xlfn.TEXTSPLIT(FO208,"|"),IF(COLUMNS(_xlpm.nd)&gt;4,A208&amp;"¦"&amp;INDEX(_xlpm.nd,4)&amp;"¦"&amp;INDEX(_xlpm.nd,5),"")))</f>
        <v/>
      </c>
      <c r="FW208" t="str">
        <f t="shared" si="335"/>
        <v/>
      </c>
      <c r="FX208" t="str" cm="1">
        <f t="array" ref="FX208">IF(FO208="","",_xlfn.LET(_xlpm.nd,_xlfn.TEXTSPLIT(FO208,"|"),IF(COLUMNS(_xlpm.nd)&gt;5,A208&amp;"¦"&amp;INDEX(_xlpm.nd,5)&amp;"¦"&amp;INDEX(_xlpm.nd,6),"")))</f>
        <v/>
      </c>
      <c r="FY208" t="str">
        <f t="shared" si="336"/>
        <v/>
      </c>
      <c r="FZ208" t="str" cm="1">
        <f t="array" ref="FZ208">IF(FO208="","",_xlfn.LET(_xlpm.nd,_xlfn.TEXTSPLIT(FO208,"|"),IF(COLUMNS(_xlpm.nd)&gt;6,A208&amp;"¦"&amp;INDEX(_xlpm.nd,6)&amp;"¦"&amp;INDEX(_xlpm.nd,7),"")))</f>
        <v/>
      </c>
      <c r="GA208" t="str">
        <f t="shared" si="337"/>
        <v/>
      </c>
      <c r="GB208" t="str">
        <f t="shared" si="338"/>
        <v/>
      </c>
      <c r="GC208" t="str">
        <f t="shared" si="339"/>
        <v>QFD24 → XT24</v>
      </c>
      <c r="GD208">
        <f t="shared" si="340"/>
        <v>1</v>
      </c>
      <c r="GE208">
        <f t="shared" si="341"/>
        <v>0</v>
      </c>
      <c r="GF208">
        <f t="shared" si="342"/>
        <v>1</v>
      </c>
      <c r="GG208" t="str">
        <f t="shared" si="343"/>
        <v/>
      </c>
      <c r="GH208" t="str">
        <f t="shared" si="344"/>
        <v/>
      </c>
      <c r="GI208" t="str">
        <f t="shared" si="345"/>
        <v/>
      </c>
      <c r="GJ208" t="str">
        <f t="shared" si="346"/>
        <v/>
      </c>
      <c r="GK208" t="str">
        <f>IF(D208="","",IFERROR(VLOOKUP(D208,УГО_спр,2,FALSE),IFERROR(VLOOKUP(AT208,УГО_спр,2,FALSE),IFERROR(VLOOKUP(LEFT(AT208,2),УГО_спр,2,FALSE),""))))</f>
        <v>Розетка</v>
      </c>
      <c r="GL208" t="str">
        <f>IF(D208="","",IF(OR(GK208="",GK208=0),"BOX",IFERROR(IF(VLOOKUP(GK208,УГО_блоки,3,FALSE)&amp;""&lt;&gt;"",VLOOKUP(GK208,УГО_блоки,3,FALSE),VLOOKUP(GK208,УГО_блоки,2,FALSE)),GK208)))</f>
        <v>SOCKET</v>
      </c>
      <c r="GM208">
        <f t="shared" si="347"/>
        <v>1</v>
      </c>
      <c r="GN208" t="str">
        <f>IF(EP208="","",IF(COUNTIF(EP$3:EP208,EP208)=1,MAX(GN$2:GN207)+1,""))</f>
        <v/>
      </c>
      <c r="GO208" t="str">
        <f>IF(AF208="","",IF(COUNTIF(AF$3:AF208,AF208)+COUNTIF(AG$2:AG207,AF208)+COUNTIF(AH$2:AH207,AF208)=1,MAX(GO$2:GQ207)+1,""))</f>
        <v/>
      </c>
      <c r="GP208" t="str">
        <f>IF(AG208="","",IF(COUNTIF(AF$3:AF208,AG208)+COUNTIF(AG$3:AG208,AG208)+COUNTIF(AH$2:AH207,AG208)=1,MAX(GO$2:GQ207,GO208)+1,""))</f>
        <v/>
      </c>
      <c r="GQ208" t="str">
        <f>IF(AH208="","",IF(COUNTIF(AF$3:AF208,AH208)+COUNTIF(AG$3:AG208,AH208)+COUNTIF(AH$3:AH208,AH208)=1,MAX(GO$2:GQ207,GO208,GP208)+1,""))</f>
        <v/>
      </c>
      <c r="GR208" t="str">
        <f t="shared" si="348"/>
        <v>3х2,5</v>
      </c>
      <c r="GS208" t="str">
        <f>IF(GR208="","",IF(COUNTIF(GR$3:GR208,GR208)=1,MAX(GS$2:GS207)+1,""))</f>
        <v/>
      </c>
      <c r="GT208" t="str">
        <f>IF(ES208="","",COUNTIF(ES$3:ES208,"?*"))</f>
        <v/>
      </c>
      <c r="GU208" t="str">
        <f>IF(OR(ES208="",EU208=""),"",IF(COUNTIFS(ES$3:ES208,"?*",EU$3:EU208,EU208)=1,MAX(GU$2:GU207)+1,""))</f>
        <v/>
      </c>
      <c r="GV208">
        <f t="shared" si="349"/>
        <v>0</v>
      </c>
      <c r="GW208">
        <f>IF(D208="","",COUNTIF(D$3:D208,"?*"))</f>
        <v>206</v>
      </c>
      <c r="GX208">
        <f>IF(EX208&lt;&gt;1,0,_xlfn.LET(_xlpm.k,MAX(IFERROR(--VLOOKUP(D208,УГО_спр,5,FALSE),0),IFERROR(--VLOOKUP(AT208,УГО_спр,5,FALSE),0),IFERROR(--VLOOKUP(LEFT(AT208,2),УГО_спр,5,FALSE),0)),IF(_xlpm.k&gt;0,_xlpm.k,IF(IFERROR(--LEFT(SUBSTITUTE(GR208,"x","х"),FIND("х",SUBSTITUTE(GR208,"x","х"))-1),3)&gt;3,Каталог!$S$9,1))))</f>
        <v>1</v>
      </c>
      <c r="GY208">
        <f t="shared" si="350"/>
        <v>0</v>
      </c>
    </row>
    <row r="209" spans="1:207" x14ac:dyDescent="0.3">
      <c r="A209" t="s">
        <v>760</v>
      </c>
      <c r="B209">
        <v>37</v>
      </c>
      <c r="C209" t="str">
        <f>IF(BD209="","",IF(BE209="вводной узел","узел ","")&amp;"л."&amp;(INT((BD209-1)/Столбцов_на_лист)+1)&amp;" / "&amp;(MOD(BD209-1,Столбцов_на_лист)+1))</f>
        <v>л.3 / 3</v>
      </c>
      <c r="D209" t="s">
        <v>1520</v>
      </c>
      <c r="E209" s="133" t="str">
        <f t="shared" si="351"/>
        <v>Розеточная группа Цокольный этаж Пом. №013Б</v>
      </c>
      <c r="G209">
        <v>0.12</v>
      </c>
      <c r="H209">
        <v>2</v>
      </c>
      <c r="I209">
        <v>1</v>
      </c>
      <c r="J209">
        <v>230</v>
      </c>
      <c r="K209" t="s">
        <v>566</v>
      </c>
      <c r="O209">
        <v>2</v>
      </c>
      <c r="P209">
        <v>42</v>
      </c>
      <c r="Q209">
        <v>33</v>
      </c>
      <c r="R209">
        <v>18</v>
      </c>
      <c r="S209">
        <v>0</v>
      </c>
      <c r="U209" t="s">
        <v>11</v>
      </c>
      <c r="V209">
        <v>3</v>
      </c>
      <c r="W209">
        <v>2.5</v>
      </c>
      <c r="Z209" t="s">
        <v>565</v>
      </c>
      <c r="AA209" t="s">
        <v>818</v>
      </c>
      <c r="AD209" t="s">
        <v>517</v>
      </c>
      <c r="AR209" t="str">
        <f t="shared" si="264"/>
        <v/>
      </c>
      <c r="AS209" cm="1">
        <f t="array" ref="AS209">ROW()-ROW(Линии[#Headers])</f>
        <v>207</v>
      </c>
      <c r="AT209" t="str">
        <f t="shared" si="265"/>
        <v>R</v>
      </c>
      <c r="AU209" t="str">
        <f t="shared" si="266"/>
        <v>0.013Б.2</v>
      </c>
      <c r="AV209" t="str">
        <f t="shared" si="267"/>
        <v>0</v>
      </c>
      <c r="AW209" t="str">
        <f t="shared" si="268"/>
        <v>013Б.2</v>
      </c>
      <c r="AX209" t="str">
        <f t="shared" si="269"/>
        <v>013Б</v>
      </c>
      <c r="AY209" t="str">
        <f>IF(D209="","",IF(ISERROR(SEARCH(".",D209)),IFERROR(VLOOKUP(D209,Потребители_обозначение,2,FALSE)&amp;"",""),IFERROR(IF(VLOOKUP(AT209,Потребители_обозначение,4,FALSE)=1,VLOOKUP(AT209,Потребители_обозначение,2,FALSE)&amp;" "&amp;VLOOKUP(AV209,Этаж_обозначение,2,FALSE)&amp;" Пом. №"&amp;AX209,VLOOKUP(AT209,Потребители_обозначение,2,FALSE)&amp;" Шлейф №"&amp;AV209),IFERROR(VLOOKUP(D209,Потребители_обозначение,2,FALSE),""))))</f>
        <v>Розеточная группа Цокольный этаж Пом. №013Б</v>
      </c>
      <c r="AZ209" t="str">
        <f t="shared" si="270"/>
        <v>Розеточная группа Цокольный этаж Пом. №013Б</v>
      </c>
      <c r="BA209" t="str">
        <f>IF(F209&lt;&gt;"",F209,IF(AND(D209&lt;&gt;"",D209&lt;&gt;A209,ISNUMBER(_xlfn.XMATCH(D209,Щиты[Щит]))),D209,""))</f>
        <v/>
      </c>
      <c r="BB209">
        <f>IFERROR(_xlfn.XMATCH(A209,Щиты[Щит]),0)</f>
        <v>9</v>
      </c>
      <c r="BC209">
        <f>IFERROR(N(_xlfn.XLOOKUP(A209,Щиты[Щит],Щиты[Мест под вводной узел])),15)</f>
        <v>8</v>
      </c>
      <c r="BD209">
        <f t="shared" si="271"/>
        <v>37</v>
      </c>
      <c r="BE209" t="str">
        <f t="shared" si="272"/>
        <v>линии</v>
      </c>
      <c r="BF209">
        <f>IF(D209="","",IF(BA209&lt;&gt;"",IFERROR(_xlfn.XLOOKUP(BA209,Щиты[Щит],Щиты[Руст, кВт]),0),N(G209)))</f>
        <v>0.12</v>
      </c>
      <c r="BG209">
        <f>IF(J209&lt;&gt;"",J209,IF(D209="","",IFERROR(IF(VLOOKUP(AT209,Потребители_обозначение,8,FALSE)=0,"",VLOOKUP(AT209,Потребители_обозначение,8,FALSE)),"")))</f>
        <v>230</v>
      </c>
      <c r="BH209">
        <f>IF(I209&lt;&gt;"",I209,IF(D209="","",IFERROR(IF(VLOOKUP(AT209,Потребители_обозначение,9,FALSE)=0,"",VLOOKUP(AT209,Потребители_обозначение,9,FALSE)),"")))</f>
        <v>1</v>
      </c>
      <c r="BI209" t="str">
        <f>IF(U209&lt;&gt;"",U209,IF(D209="","",IFERROR(IF(VLOOKUP(AT209,Потребители_обозначение,6,FALSE)=0,"",VLOOKUP(AT209,Потребители_обозначение,6,FALSE)),"")))</f>
        <v>мс</v>
      </c>
      <c r="BJ209">
        <f>IF(V209&lt;&gt;"",V209,IF(D209="","",IFERROR(IF(VLOOKUP(AT209,Потребители_обозначение,7,FALSE)=0,"",VLOOKUP(AT209,Потребители_обозначение,7,FALSE)),"")))</f>
        <v>3</v>
      </c>
      <c r="BK209">
        <f>IF(W209&lt;&gt;"",W209,IF(D209="","",IFERROR(IF(VLOOKUP(AT209,Потребители_обозначение,10,FALSE)=0,"",VLOOKUP(AT209,Потребители_обозначение,10,FALSE)),"")))</f>
        <v>2.5</v>
      </c>
      <c r="BL209">
        <f>IFERROR(VLOOKUP(AT209,Потребители_обозначение,5,FALSE),0)</f>
        <v>1</v>
      </c>
      <c r="BM209" cm="1">
        <f t="array" ref="BM209">IF(D209="","",IF(BA209&lt;&gt;"",IFERROR(_xlfn.XLOOKUP(BA209,Щиты[Щит],Щиты[cos φ]),0.95),IF(ISNUMBER(M209),M209,IFERROR(IF(BL209=2,_xlfn.IFS(BH209=3,VLOOKUP(BF209,Справочная_двигатели,8,FALSE),BH209=1,VLOOKUP(BF209,Справочная_двигатели,10,TRUE)),IF(AND(Методика="нормы 2026",CN209="Сил"),0.8,0.95)),0.95))))</f>
        <v>0.95</v>
      </c>
      <c r="BN209" cm="1">
        <f t="array" ref="BN209">IF(D209="","",IF(BA209&lt;&gt;"",IFERROR(_xlfn.XLOOKUP(BA209,Щиты[Щит],Щиты[Iр, А]),""),IFERROR(_xlfn.IFS(BH209=1,BF209/((Uн_лин/SQRT(3))*BM209),BH209=3,BF209/(SQRT(3)*Uн_лин*BM209)),"")))</f>
        <v>0.54696341291648753</v>
      </c>
      <c r="BO209">
        <f>IF(D209="","",IF(N(X209)=0,IFERROR(VLOOKUP(BN209,Автомат_номиналы,2,TRUE),""),X209))</f>
        <v>6</v>
      </c>
      <c r="BP209">
        <f t="shared" si="273"/>
        <v>1</v>
      </c>
      <c r="BQ209">
        <f>IF(ISNUMBER(Y209),Y209,К_прокл)</f>
        <v>1</v>
      </c>
      <c r="BR209">
        <f t="shared" si="274"/>
        <v>2</v>
      </c>
      <c r="BS209" cm="1">
        <f t="array" ref="BS209">IF(D209="","",IF(N(BK209)&lt;&gt;0,BK209,IFERROR(_xlfn.LET(_xlpm.need,BO209/(BP209*BQ209),_xlpm.t,CHOOSE(BR209,Iдоп_1ж,Iдоп_2ж,Iдоп_3ж),_xlpm.k,_xlfn.XMATCH(_xlpm.need,_xlpm.t,1),IF(ISNA(_xlpm.k),"Не исп",INDEX(Iдоп_S,_xlpm.k))),"Не исп")))</f>
        <v>2.5</v>
      </c>
      <c r="BT209">
        <f>IFERROR(VLOOKUP(BS209,Кабель_сопротивление,3,FALSE),"")</f>
        <v>2.2499999999999999E-2</v>
      </c>
      <c r="BU209">
        <f>IFERROR(VLOOKUP(BS209,Кабель_сопротивление,2,FALSE),"")</f>
        <v>0.1</v>
      </c>
      <c r="BV209">
        <f t="shared" si="275"/>
        <v>42</v>
      </c>
      <c r="BW209">
        <f>IF(D209="","",IFERROR(IF(VLOOKUP(AT209,Потребители_обозначение,4,FALSE)=1,VLOOKUP(AT209,Потребители_обозначение,3,FALSE)*(H209*2-1)+BV209+VLOOKUP(AV209,Этаж_обозначение,3,FALSE)+VLOOKUP(AV209,Этаж_обозначение,4,FALSE),VLOOKUP(AT209,Потребители_обозначение,3,FALSE)*(H209*2-1)+BV209),BV209))</f>
        <v>51</v>
      </c>
      <c r="BX209">
        <f t="shared" si="276"/>
        <v>18</v>
      </c>
      <c r="BY209">
        <f t="shared" si="277"/>
        <v>0</v>
      </c>
      <c r="BZ209">
        <f t="shared" si="278"/>
        <v>2</v>
      </c>
      <c r="CA209">
        <f t="shared" si="279"/>
        <v>0.31</v>
      </c>
      <c r="CB209">
        <f t="shared" si="280"/>
        <v>0.47873629071611062</v>
      </c>
      <c r="CC209">
        <f>IFERROR(ROUNDUP(CB209/((Uн_лин/SQRT(3))*1000)*100,2),"")</f>
        <v>0.21000000000000002</v>
      </c>
      <c r="CD209">
        <f>IF(ISNUMBER(CC209),CC209+IFERROR(_xlfn.XLOOKUP(A209,Щиты[Щит],Щиты[ΔU до шин, %]),0),"")</f>
        <v>0.64</v>
      </c>
      <c r="CE209">
        <f>IF(D209="","",IF(IFERROR(VLOOKUP(AT209,УГО_спр,2,FALSE),"")="Светильник",3,4)+IF(Методика="нормы 2026",MIN(0.5,MAX(0,N(BW209)-100)*0.005),0))</f>
        <v>4</v>
      </c>
      <c r="CF209" t="str">
        <f>IFERROR(VLOOKUP(BI209,Кабель_обозначение,2,FALSE),"")</f>
        <v>ВВГнг(А)-LS</v>
      </c>
      <c r="CG209" t="str">
        <f>IFERROR(IF(VLOOKUP(BI209,Кабель_обозначение,3,FALSE)=1,CF209&amp;" ("&amp;BJ209&amp;"х"&amp;BS209&amp;")",CF209),"")</f>
        <v>ВВГнг(А)-LS (3х2,5)</v>
      </c>
      <c r="CH209" t="str">
        <f t="shared" si="281"/>
        <v>ВВГнг(А)-LS (3х2,5)
L=51-0,21%</v>
      </c>
      <c r="CI209">
        <f>IFERROR(2*ρкз_Cu*BW209/BS209,"")</f>
        <v>1.07304</v>
      </c>
      <c r="CJ209">
        <f t="shared" si="282"/>
        <v>0.35700000000000004</v>
      </c>
      <c r="CK209" t="str">
        <f>IFERROR(IF(OR(D209="",NOT(ISNUMBER(BS209)),N(BW209)=0),"",_xlfn.XLOOKUP(A209,Щиты[Щит],Щиты[Zпетли на шинах, Ом])+CI209),"")</f>
        <v/>
      </c>
      <c r="CL209" t="str">
        <f>IF(ISNUMBER(CK209),c_min*(Uн_лин*1000/SQRT(3))/CK209,"")</f>
        <v/>
      </c>
      <c r="CM209" t="str">
        <f>IFERROR(IF(OR(D209="",NOT(ISNUMBER(BS209))),"",1.05*(Uн_лин*1000/SQRT(3))/(_xlfn.XLOOKUP(A209,Щиты[Щит],Щиты[Zmax на шинах, Ом])+CJ209)/1000),"")</f>
        <v/>
      </c>
      <c r="CN209" t="str">
        <f>IF(D209="","",IF(BA209&lt;&gt;"","Щит",IF(K209&lt;&gt;"",K209,IF(ISNUMBER(L209),"Сил",IF(IFERROR(_xlfn.XLOOKUP(AT209,Коды_код,Коды_группа)&amp;"","")="","Быт",_xlfn.XLOOKUP(AT209,Коды_код,Коды_группа)&amp;"")))))</f>
        <v>Быт</v>
      </c>
      <c r="CO209">
        <f>IF(CN209="Щит","щит",IF(CN209="","",IF(CN209="Быт",IFERROR(_xlfn.XLOOKUP(A209,Щиты[Щит],Щиты[Кс быт]),1),IF(CN209="Сил",IF(ISNUMBER(L209),L209,IF(Методика="нормы 2026",IFERROR(_xlfn.XLOOKUP(A209,Щиты[Щит],Щиты[Кс силовых (табл. 7.5)]),1),1)),IF(OR(CN209="Пост",CN209="Отоп"),1,IF(CN209="ВНГ",0.7,0))))))</f>
        <v>0.79799999999999993</v>
      </c>
      <c r="CP209">
        <f t="shared" si="283"/>
        <v>1</v>
      </c>
      <c r="CQ209">
        <f t="shared" si="284"/>
        <v>0.12</v>
      </c>
      <c r="CR209">
        <f t="shared" si="285"/>
        <v>0.12</v>
      </c>
      <c r="CS209">
        <f t="shared" si="286"/>
        <v>0</v>
      </c>
      <c r="CT209">
        <f t="shared" si="287"/>
        <v>0</v>
      </c>
      <c r="CU209">
        <f t="shared" si="288"/>
        <v>0</v>
      </c>
      <c r="CV209">
        <f t="shared" si="289"/>
        <v>0</v>
      </c>
      <c r="CW209">
        <f t="shared" si="290"/>
        <v>0.12</v>
      </c>
      <c r="CX209">
        <f t="shared" si="291"/>
        <v>0.11399999999999999</v>
      </c>
      <c r="CY209">
        <f t="shared" si="292"/>
        <v>1</v>
      </c>
      <c r="CZ209" t="str">
        <f t="shared" si="293"/>
        <v>L1</v>
      </c>
      <c r="DA209" cm="1">
        <f t="array" ref="DA209">IFERROR(IF(BL209=2,_xlfn.IFS(BH209=3,VLOOKUP(BF209,Справочная_двигатели,3,FALSE),BH209=1,VLOOKUP(BF209,Справочная_двигатели,5,TRUE)),0),0)</f>
        <v>0</v>
      </c>
      <c r="DB209">
        <f>IFERROR(IF(BL209=3,VLOOKUP(BF209,Справочная_ЛЭД,2,TRUE),0),0)</f>
        <v>0</v>
      </c>
      <c r="DC209">
        <f t="shared" si="294"/>
        <v>0</v>
      </c>
      <c r="DD209" t="str">
        <f t="shared" si="295"/>
        <v>L2</v>
      </c>
      <c r="DE209" t="str" cm="1">
        <f t="array" ref="DE209">IF(D209="","",IFERROR(INDEX({"I особая","I","II","III"},MATCH(TRIM(AA209&amp;""),{"I особая","I","II","III"},0)),"III"))</f>
        <v>II</v>
      </c>
      <c r="DF209" t="str">
        <f>IF(D209="","",IF(TRIM(AB209&amp;"")&lt;&gt;"",IF(LOWER(TRIM(AB209&amp;""))="да","да","нет"),IF(IFERROR(_xlfn.XLOOKUP(AT209,Коды_код,Коды_пожарная),"")="да","да","нет")))</f>
        <v>нет</v>
      </c>
      <c r="DG209" t="str">
        <f t="shared" si="296"/>
        <v/>
      </c>
      <c r="DH209" t="str">
        <f t="shared" si="297"/>
        <v>основная</v>
      </c>
      <c r="DI209">
        <f t="shared" si="298"/>
        <v>1</v>
      </c>
      <c r="DJ209" t="str" cm="1">
        <f t="array" ref="DJ209">IF(D209="","",_xlfn.LET(_xlpm.t,IFERROR(_xlfn.XLOOKUP(1,(Шины[Шина]=DH209)*(((Шины[Щит]=A209)+(Шины[Щит]=""))&gt;0),Шины[Тип]),"")&amp;"",IF(_xlpm.t&lt;&gt;"",_xlpm.t,IF(ISNUMBER(SEARCH("ИБП",DH209)),"ИБП",IF(ISNUMBER(SEARCH("ДГУ",DH209)),"ДГУ","Ввод "&amp;DI209)))))</f>
        <v>Ввод 1</v>
      </c>
      <c r="DK209" t="str">
        <f t="shared" si="299"/>
        <v>Ввод 1</v>
      </c>
      <c r="DL209" t="str">
        <f>IF(D209="","",IF(OR(DJ209="ИБП",DJ209="ДГУ"),"I особая",IF(DJ209="Одиночная","III",_xlfn.XLOOKUP(A209,Щиты[Щит],Щиты[Категория шины «Ввод»],"III"))))</f>
        <v>II</v>
      </c>
      <c r="DM209">
        <f>IF(D209="",0,IFERROR(MATCH(DE209,{"III","II","I","I особая"},0),1))</f>
        <v>2</v>
      </c>
      <c r="DN209">
        <f t="shared" si="300"/>
        <v>2</v>
      </c>
      <c r="DO209" t="str">
        <f>IF(D209="","",IF(DM209&gt;IFERROR(MATCH(DL209,{"III","II","I","I особая"},0),1),"НЕ ОБЕСПЕЧЕНА","ОК"))</f>
        <v>ОК</v>
      </c>
      <c r="DP209" t="str">
        <f>IF(A209="","",_xlfn.XLOOKUP(A209,Щиты[Щит],Щиты[Путь],""))</f>
        <v>|ГРЩ-ЖД|ЩР-01|</v>
      </c>
      <c r="DQ209" t="str">
        <f>IF(D209="","",IF(Z209&lt;&gt;"",Z209,IF(IFERROR(_xlfn.XLOOKUP(AT209,Коды_код,Коды_вид)&amp;"","")="","Прочее",_xlfn.XLOOKUP(AT209,Коды_код,Коды_вид)&amp;"")))</f>
        <v>Розеточная сеть и бытовые приборы</v>
      </c>
      <c r="DR209">
        <f>IF(BD209="","",INT((BD209-1)/Столбцов_на_лист)+1)</f>
        <v>3</v>
      </c>
      <c r="DS209" t="str">
        <f t="shared" si="301"/>
        <v>ВВГнг(А)-LS (3х2,5) L=51-0,21%</v>
      </c>
      <c r="DT209">
        <f t="shared" si="302"/>
        <v>0.12</v>
      </c>
      <c r="DU209">
        <f t="shared" si="303"/>
        <v>0.55000000000000004</v>
      </c>
      <c r="DV209">
        <f t="shared" si="304"/>
        <v>1</v>
      </c>
      <c r="DW209">
        <f>IF(AT209="",0,_xlfn.LET(_xlpm.v,IFERROR(VLOOKUP(D209,УГО_спр,3,FALSE),IFERROR(VLOOKUP(AT209,УГО_спр,3,FALSE),IFERROR(VLOOKUP(LEFT(AT209,2),УГО_спр,3,FALSE),""))),IF(_xlpm.v="да",30,IF(ISNUMBER(_xlpm.v),_xlpm.v,0))))</f>
        <v>30</v>
      </c>
      <c r="DX209">
        <f t="shared" si="305"/>
        <v>0</v>
      </c>
      <c r="DY209">
        <f>IF(BD209="","",IF(AD209&lt;&gt;"",COUNTIFS(A$3:A209,A209,AD$3:AD209,"?*"),IF(OR(OR(AS209=1,A209&lt;&gt;A208),AL209="вручную"),"",IF(AS209=1,"",DZ208))))</f>
        <v>25</v>
      </c>
      <c r="DZ209">
        <f t="shared" si="306"/>
        <v>25</v>
      </c>
      <c r="EA209">
        <f>IF(D209="",0,MAX(IFERROR(--X209,0),IFERROR(--VLOOKUP(D209,УГО_спр,4,FALSE),IFERROR(--VLOOKUP(AT209,УГО_спр,4,FALSE),IFERROR(--VLOOKUP(LEFT(AT209,2),УГО_спр,4,FALSE),0)))))</f>
        <v>16</v>
      </c>
      <c r="EB209">
        <f>IF(D209="","",IFERROR(LOOKUP(INDEX(CHOOSE(BR209,Iдоп_1ж,Iдоп_2ж,Iдоп_3ж),MATCH(BS209,Iдоп_S,0))*BP209*BQ209,{6,10,16,20,25,32,40,50,63,80,100,125,160,200,250,315,400,500,630}),""))</f>
        <v>25</v>
      </c>
      <c r="EC209">
        <f>IF(AD209="","",SUMIFS(Линии[_Ток схемы],Линии[_гр.],DY209,Линии[Щит],A209,Линии[_в кабель выше],0))</f>
        <v>0.55000000000000004</v>
      </c>
      <c r="ED209">
        <f>IF(AD209="","",IFERROR(VLOOKUP(EC209,Автомат_номиналы,2,TRUE),""))</f>
        <v>6</v>
      </c>
      <c r="EE209">
        <f>IF(AD209="","",MAX(N(ED209),_xlfn.MAXIFS(Линии[_мин. по типу],Линии[_гр.],DY209,Линии[Щит],A209)))</f>
        <v>16</v>
      </c>
      <c r="EF209">
        <f>IF(AD209="","",_xlfn.MINIFS(Линии[_макс. автомат по кабелю],Линии[_гр.],DY209,Линии[Щит],A209))</f>
        <v>25</v>
      </c>
      <c r="EG209">
        <f>IF(AD209="","",MAX(1,_xlfn.MAXIFS(Линии[_фаз],Линии[_гр.],DY209,Линии[Щит],A209)))</f>
        <v>1</v>
      </c>
      <c r="EH209">
        <f>IF(AD209="","",IF(AND(AD209&lt;&gt;"авто",AD209&lt;&gt;"+"),IF(ISNUMBER(SEARCH("мА",AD209)),IFERROR(--TRIM(RIGHT(SUBSTITUTE(LEFT(AD209,SEARCH("мА",AD209)-1)," ",REPT(" ",9)),6)),30),0),IF(AE209="нет",0,IF(ISNUMBER(AE209),AE209,IF(AE209="да",30,_xlfn.MINIFS(Линии[_дифзащита по коду, мА],Линии[_гр.],DY209,Линии[Щит],A209,Линии[_дифзащита по коду, мА],"&gt;0"))))))</f>
        <v>30</v>
      </c>
      <c r="EI209">
        <f t="shared" si="307"/>
        <v>1</v>
      </c>
      <c r="EJ209" t="str">
        <f t="shared" si="308"/>
        <v>QFD25</v>
      </c>
      <c r="EK209" t="str">
        <f t="shared" si="309"/>
        <v>QFD25</v>
      </c>
      <c r="EL209" t="str">
        <f t="shared" si="310"/>
        <v/>
      </c>
      <c r="EM209">
        <f t="shared" si="311"/>
        <v>0</v>
      </c>
      <c r="EN209">
        <f>IF(AD209="","",IF(EM209=1,MAX(EE209,Мин_автомат_БП),EE209))</f>
        <v>16</v>
      </c>
      <c r="EO209" t="str">
        <f t="shared" si="312"/>
        <v>2P</v>
      </c>
      <c r="EP209" t="str">
        <f t="shared" si="313"/>
        <v>2P С16А 30мА</v>
      </c>
      <c r="EQ209">
        <f t="shared" si="314"/>
        <v>16</v>
      </c>
      <c r="ER209" t="str">
        <f>IF(OR(AI209="",AI209="-"),"",IFERROR(VLOOKUP(AI209,Модули_спр,2,FALSE),"R"))</f>
        <v/>
      </c>
      <c r="ES209" t="str">
        <f>IF(ER209="","",ER209&amp;"."&amp;COUNTIFS(A$3:A209,A209,ER$3:ER209,ER209))</f>
        <v/>
      </c>
      <c r="ET209" t="str">
        <f t="shared" si="315"/>
        <v/>
      </c>
      <c r="EU209" t="str">
        <f t="shared" si="316"/>
        <v/>
      </c>
      <c r="EV209" t="str">
        <f t="shared" si="317"/>
        <v/>
      </c>
      <c r="EW209" t="str">
        <f t="shared" si="318"/>
        <v/>
      </c>
      <c r="EX209">
        <f t="shared" si="319"/>
        <v>1</v>
      </c>
      <c r="EY209" t="str">
        <f>IF(AK209="нет","",IF(AK209&lt;&gt;"",AK209,IF(EX209=1,"XT"&amp;COUNTIFS(A$3:A209,A209,EX$3:EX209,1),"")))</f>
        <v>XT25</v>
      </c>
      <c r="EZ209" t="str">
        <f t="shared" si="320"/>
        <v>QFD25</v>
      </c>
      <c r="FA209" t="str">
        <f t="shared" si="321"/>
        <v/>
      </c>
      <c r="FB209" t="str">
        <f t="shared" si="322"/>
        <v>ok</v>
      </c>
      <c r="FC209" t="str">
        <f>IF(OR(EV209="",ET209=""),"",IF(EV209&gt;IFERROR(VLOOKUP(EU209,Модули_спр,3,FALSE),99),"ЛИШНИЙ КАНАЛ",IF(AND(AJ209&lt;&gt;"=",COUNTIFS(Линии[_модуль гр.],ET209,Линии[Канал (итог)],EV209,Линии[Канал],"&lt;&gt;=",Линии[Щит],A209)&gt;1),"ДУБЛЬ КАНАЛА","")))</f>
        <v/>
      </c>
      <c r="FD209">
        <f t="shared" si="323"/>
        <v>16</v>
      </c>
      <c r="FE209" t="str">
        <f t="shared" si="324"/>
        <v>2P С16А 30мА</v>
      </c>
      <c r="FF209">
        <f t="shared" si="325"/>
        <v>1</v>
      </c>
      <c r="FG209">
        <f t="shared" si="326"/>
        <v>30</v>
      </c>
      <c r="FH209" t="str">
        <f t="shared" si="327"/>
        <v/>
      </c>
      <c r="FI209">
        <f t="shared" si="328"/>
        <v>10</v>
      </c>
      <c r="FJ209" t="str">
        <f t="shared" si="329"/>
        <v/>
      </c>
      <c r="FK209" t="str">
        <f>IF(AND(D209="",EZ209=""),"",_xlfn.TEXTJOIN("; ",TRUE,IF(AND(D209&lt;&gt;"",DD209=""),"нет фазы",""),IF(AND(D209&lt;&gt;"",N(DT209)=0,CN209&lt;&gt;"Нет"),"нет мощности",""),IF(AND(EY209&lt;&gt;"",COUNTIFS(Линии[Щит],A209,Линии[Клемма (итог)],EY209)&gt;1),"дубль клеммы "&amp;EY209,""),IF(AND(FB209&lt;&gt;"",FB209&lt;&gt;"ok"),FB209,""),IF(FC209&lt;&gt;"",FC209,""),IF(AND(ISNUMBER(SEARCH("(5х",DS209)),N(DV209)=1),"5 жил на 1 фазе",""),IF(AND(AT209="R",AD209&lt;&gt;"",OR(N(EH209)=0,N(EH209)&gt;30)),"розетка без дифзащиты до 30 мА",""),IFERROR(IF(AND(ISNUMBER(CD209),CD209&gt;CE209),"потери "&amp;FIXED(CD209,1)&amp;" % &gt; "&amp;CE209&amp;" %",""),""),IFERROR(IF(LEFT(FJ209,4)="мало","Iкз мало — отключение &gt; 0,4 с",""),""),IF(AND(D209&lt;&gt;"",BD209=""),"не на схеме","")))</f>
        <v/>
      </c>
      <c r="FL209">
        <f>IF(AD209="","",_xlfn.LET(_xlpm.t,IFERROR(_xlfn.XLOOKUP(EP209,Каталог!$U$4:$U$500,Каталог!$G$4:$G$500),""),_xlpm.k,SEARCH("кА",_xlpm.t),IFERROR(--TRIM(RIGHT(SUBSTITUTE(MID(_xlpm.t,MAX(1,_xlpm.k-4),_xlpm.k-MAX(1,_xlpm.k-4))," ",REPT(" ",9)),5)),"")))</f>
        <v>6</v>
      </c>
      <c r="FM209" t="str">
        <f>IF(OR(FL209="",AD209=""),"",IF(_xlfn.XLOOKUP(A209,Щиты[Щит],Щиты[Iкз max на шинах, кА],"")="","",IF(FL209&lt;_xlfn.XLOOKUP(A209,Щиты[Щит],Щиты[Iкз max на шинах, кА]),"Icu "&amp;FL209&amp;" кА &lt; Iкз max","ok")))</f>
        <v/>
      </c>
      <c r="FN209" t="str">
        <f t="shared" si="330"/>
        <v>QFD25|XT25</v>
      </c>
      <c r="FO209" t="str">
        <f t="shared" si="331"/>
        <v>QFD25|XT25|кабель ВВГнг(А)-LS (3х2,5) → Розеточная группа Цокольный этаж Пом. №013Б</v>
      </c>
      <c r="FP209" t="str" cm="1">
        <f t="array" ref="FP209">IF(FO209="","",_xlfn.LET(_xlpm.nd,_xlfn.TEXTSPLIT(FO209,"|"),IF(COLUMNS(_xlpm.nd)&gt;1,A209&amp;"¦"&amp;INDEX(_xlpm.nd,1)&amp;"¦"&amp;INDEX(_xlpm.nd,2),"")))</f>
        <v>ЩР-01¦QFD25¦XT25</v>
      </c>
      <c r="FQ209" t="str">
        <f t="shared" si="332"/>
        <v>R.0.013Б.2¦Розеточная группа Цокольный этаж Пом. №013Б</v>
      </c>
      <c r="FR209" t="str" cm="1">
        <f t="array" ref="FR209">IF(FO209="","",_xlfn.LET(_xlpm.nd,_xlfn.TEXTSPLIT(FO209,"|"),IF(COLUMNS(_xlpm.nd)&gt;2,A209&amp;"¦"&amp;INDEX(_xlpm.nd,2)&amp;"¦"&amp;INDEX(_xlpm.nd,3),"")))</f>
        <v>ЩР-01¦XT25¦кабель ВВГнг(А)-LS (3х2,5) → Розеточная группа Цокольный этаж Пом. №013Б</v>
      </c>
      <c r="FS209" t="str">
        <f t="shared" si="333"/>
        <v>R.0.013Б.2¦Розеточная группа Цокольный этаж Пом. №013Б</v>
      </c>
      <c r="FT209" t="str" cm="1">
        <f t="array" ref="FT209">IF(FO209="","",_xlfn.LET(_xlpm.nd,_xlfn.TEXTSPLIT(FO209,"|"),IF(COLUMNS(_xlpm.nd)&gt;3,A209&amp;"¦"&amp;INDEX(_xlpm.nd,3)&amp;"¦"&amp;INDEX(_xlpm.nd,4),"")))</f>
        <v/>
      </c>
      <c r="FU209" t="str">
        <f t="shared" si="334"/>
        <v/>
      </c>
      <c r="FV209" t="str" cm="1">
        <f t="array" ref="FV209">IF(FO209="","",_xlfn.LET(_xlpm.nd,_xlfn.TEXTSPLIT(FO209,"|"),IF(COLUMNS(_xlpm.nd)&gt;4,A209&amp;"¦"&amp;INDEX(_xlpm.nd,4)&amp;"¦"&amp;INDEX(_xlpm.nd,5),"")))</f>
        <v/>
      </c>
      <c r="FW209" t="str">
        <f t="shared" si="335"/>
        <v/>
      </c>
      <c r="FX209" t="str" cm="1">
        <f t="array" ref="FX209">IF(FO209="","",_xlfn.LET(_xlpm.nd,_xlfn.TEXTSPLIT(FO209,"|"),IF(COLUMNS(_xlpm.nd)&gt;5,A209&amp;"¦"&amp;INDEX(_xlpm.nd,5)&amp;"¦"&amp;INDEX(_xlpm.nd,6),"")))</f>
        <v/>
      </c>
      <c r="FY209" t="str">
        <f t="shared" si="336"/>
        <v/>
      </c>
      <c r="FZ209" t="str" cm="1">
        <f t="array" ref="FZ209">IF(FO209="","",_xlfn.LET(_xlpm.nd,_xlfn.TEXTSPLIT(FO209,"|"),IF(COLUMNS(_xlpm.nd)&gt;6,A209&amp;"¦"&amp;INDEX(_xlpm.nd,6)&amp;"¦"&amp;INDEX(_xlpm.nd,7),"")))</f>
        <v/>
      </c>
      <c r="GA209" t="str">
        <f t="shared" si="337"/>
        <v/>
      </c>
      <c r="GB209" t="str">
        <f t="shared" si="338"/>
        <v/>
      </c>
      <c r="GC209" t="str">
        <f t="shared" si="339"/>
        <v>QFD25 → XT25</v>
      </c>
      <c r="GD209">
        <f t="shared" si="340"/>
        <v>1</v>
      </c>
      <c r="GE209">
        <f t="shared" si="341"/>
        <v>0</v>
      </c>
      <c r="GF209">
        <f t="shared" si="342"/>
        <v>1</v>
      </c>
      <c r="GG209" t="str">
        <f t="shared" si="343"/>
        <v/>
      </c>
      <c r="GH209" t="str">
        <f t="shared" si="344"/>
        <v/>
      </c>
      <c r="GI209" t="str">
        <f t="shared" si="345"/>
        <v/>
      </c>
      <c r="GJ209" t="str">
        <f t="shared" si="346"/>
        <v/>
      </c>
      <c r="GK209" t="str">
        <f>IF(D209="","",IFERROR(VLOOKUP(D209,УГО_спр,2,FALSE),IFERROR(VLOOKUP(AT209,УГО_спр,2,FALSE),IFERROR(VLOOKUP(LEFT(AT209,2),УГО_спр,2,FALSE),""))))</f>
        <v>Розетка</v>
      </c>
      <c r="GL209" t="str">
        <f>IF(D209="","",IF(OR(GK209="",GK209=0),"BOX",IFERROR(IF(VLOOKUP(GK209,УГО_блоки,3,FALSE)&amp;""&lt;&gt;"",VLOOKUP(GK209,УГО_блоки,3,FALSE),VLOOKUP(GK209,УГО_блоки,2,FALSE)),GK209)))</f>
        <v>SOCKET</v>
      </c>
      <c r="GM209">
        <f t="shared" si="347"/>
        <v>1</v>
      </c>
      <c r="GN209" t="str">
        <f>IF(EP209="","",IF(COUNTIF(EP$3:EP209,EP209)=1,MAX(GN$2:GN208)+1,""))</f>
        <v/>
      </c>
      <c r="GO209" t="str">
        <f>IF(AF209="","",IF(COUNTIF(AF$3:AF209,AF209)+COUNTIF(AG$2:AG208,AF209)+COUNTIF(AH$2:AH208,AF209)=1,MAX(GO$2:GQ208)+1,""))</f>
        <v/>
      </c>
      <c r="GP209" t="str">
        <f>IF(AG209="","",IF(COUNTIF(AF$3:AF209,AG209)+COUNTIF(AG$3:AG209,AG209)+COUNTIF(AH$2:AH208,AG209)=1,MAX(GO$2:GQ208,GO209)+1,""))</f>
        <v/>
      </c>
      <c r="GQ209" t="str">
        <f>IF(AH209="","",IF(COUNTIF(AF$3:AF209,AH209)+COUNTIF(AG$3:AG209,AH209)+COUNTIF(AH$3:AH209,AH209)=1,MAX(GO$2:GQ208,GO209,GP209)+1,""))</f>
        <v/>
      </c>
      <c r="GR209" t="str">
        <f t="shared" si="348"/>
        <v>3х2,5</v>
      </c>
      <c r="GS209" t="str">
        <f>IF(GR209="","",IF(COUNTIF(GR$3:GR209,GR209)=1,MAX(GS$2:GS208)+1,""))</f>
        <v/>
      </c>
      <c r="GT209" t="str">
        <f>IF(ES209="","",COUNTIF(ES$3:ES209,"?*"))</f>
        <v/>
      </c>
      <c r="GU209" t="str">
        <f>IF(OR(ES209="",EU209=""),"",IF(COUNTIFS(ES$3:ES209,"?*",EU$3:EU209,EU209)=1,MAX(GU$2:GU208)+1,""))</f>
        <v/>
      </c>
      <c r="GV209">
        <f t="shared" si="349"/>
        <v>0</v>
      </c>
      <c r="GW209">
        <f>IF(D209="","",COUNTIF(D$3:D209,"?*"))</f>
        <v>207</v>
      </c>
      <c r="GX209">
        <f>IF(EX209&lt;&gt;1,0,_xlfn.LET(_xlpm.k,MAX(IFERROR(--VLOOKUP(D209,УГО_спр,5,FALSE),0),IFERROR(--VLOOKUP(AT209,УГО_спр,5,FALSE),0),IFERROR(--VLOOKUP(LEFT(AT209,2),УГО_спр,5,FALSE),0)),IF(_xlpm.k&gt;0,_xlpm.k,IF(IFERROR(--LEFT(SUBSTITUTE(GR209,"x","х"),FIND("х",SUBSTITUTE(GR209,"x","х"))-1),3)&gt;3,Каталог!$S$9,1))))</f>
        <v>1</v>
      </c>
      <c r="GY209">
        <f t="shared" si="350"/>
        <v>0</v>
      </c>
    </row>
    <row r="210" spans="1:207" x14ac:dyDescent="0.3">
      <c r="A210" t="s">
        <v>760</v>
      </c>
      <c r="B210">
        <v>38</v>
      </c>
      <c r="C210" t="str">
        <f>IF(BD210="","",IF(BE210="вводной узел","узел ","")&amp;"л."&amp;(INT((BD210-1)/Столбцов_на_лист)+1)&amp;" / "&amp;(MOD(BD210-1,Столбцов_на_лист)+1))</f>
        <v>л.3 / 4</v>
      </c>
      <c r="D210" t="s">
        <v>1521</v>
      </c>
      <c r="E210" s="133" t="s">
        <v>1522</v>
      </c>
      <c r="G210">
        <v>0.3</v>
      </c>
      <c r="H210">
        <v>1</v>
      </c>
      <c r="I210">
        <v>1</v>
      </c>
      <c r="J210">
        <v>230</v>
      </c>
      <c r="K210" t="s">
        <v>566</v>
      </c>
      <c r="O210">
        <v>3</v>
      </c>
      <c r="P210">
        <v>48</v>
      </c>
      <c r="Q210">
        <v>36</v>
      </c>
      <c r="R210">
        <v>15</v>
      </c>
      <c r="S210">
        <v>0</v>
      </c>
      <c r="U210" t="s">
        <v>11</v>
      </c>
      <c r="V210">
        <v>3</v>
      </c>
      <c r="W210">
        <v>2.5</v>
      </c>
      <c r="Z210" t="s">
        <v>565</v>
      </c>
      <c r="AA210" t="s">
        <v>818</v>
      </c>
      <c r="AD210" t="s">
        <v>517</v>
      </c>
      <c r="AK210" t="s">
        <v>488</v>
      </c>
      <c r="AR210" t="str">
        <f t="shared" si="264"/>
        <v/>
      </c>
      <c r="AS210" cm="1">
        <f t="array" ref="AS210">ROW()-ROW(Линии[#Headers])</f>
        <v>208</v>
      </c>
      <c r="AT210" t="str">
        <f t="shared" si="265"/>
        <v>R</v>
      </c>
      <c r="AU210" t="str">
        <f t="shared" si="266"/>
        <v>0.013Б.3</v>
      </c>
      <c r="AV210" t="str">
        <f t="shared" si="267"/>
        <v>0</v>
      </c>
      <c r="AW210" t="str">
        <f t="shared" si="268"/>
        <v>013Б.3</v>
      </c>
      <c r="AX210" t="str">
        <f t="shared" si="269"/>
        <v>013Б</v>
      </c>
      <c r="AY210" t="str">
        <f>IF(D210="","",IF(ISERROR(SEARCH(".",D210)),IFERROR(VLOOKUP(D210,Потребители_обозначение,2,FALSE)&amp;"",""),IFERROR(IF(VLOOKUP(AT210,Потребители_обозначение,4,FALSE)=1,VLOOKUP(AT210,Потребители_обозначение,2,FALSE)&amp;" "&amp;VLOOKUP(AV210,Этаж_обозначение,2,FALSE)&amp;" Пом. №"&amp;AX210,VLOOKUP(AT210,Потребители_обозначение,2,FALSE)&amp;" Шлейф №"&amp;AV210),IFERROR(VLOOKUP(D210,Потребители_обозначение,2,FALSE),""))))</f>
        <v>Розеточная группа Цокольный этаж Пом. №013Б</v>
      </c>
      <c r="AZ210" t="str">
        <f t="shared" si="270"/>
        <v>Розеточная группа Цокольный этаж Пом. №013Б Полотенцесушитель</v>
      </c>
      <c r="BA210" t="str">
        <f>IF(F210&lt;&gt;"",F210,IF(AND(D210&lt;&gt;"",D210&lt;&gt;A210,ISNUMBER(_xlfn.XMATCH(D210,Щиты[Щит]))),D210,""))</f>
        <v/>
      </c>
      <c r="BB210">
        <f>IFERROR(_xlfn.XMATCH(A210,Щиты[Щит]),0)</f>
        <v>9</v>
      </c>
      <c r="BC210">
        <f>IFERROR(N(_xlfn.XLOOKUP(A210,Щиты[Щит],Щиты[Мест под вводной узел])),15)</f>
        <v>8</v>
      </c>
      <c r="BD210">
        <f t="shared" si="271"/>
        <v>38</v>
      </c>
      <c r="BE210" t="str">
        <f t="shared" si="272"/>
        <v>линии</v>
      </c>
      <c r="BF210">
        <f>IF(D210="","",IF(BA210&lt;&gt;"",IFERROR(_xlfn.XLOOKUP(BA210,Щиты[Щит],Щиты[Руст, кВт]),0),N(G210)))</f>
        <v>0.3</v>
      </c>
      <c r="BG210">
        <f>IF(J210&lt;&gt;"",J210,IF(D210="","",IFERROR(IF(VLOOKUP(AT210,Потребители_обозначение,8,FALSE)=0,"",VLOOKUP(AT210,Потребители_обозначение,8,FALSE)),"")))</f>
        <v>230</v>
      </c>
      <c r="BH210">
        <f>IF(I210&lt;&gt;"",I210,IF(D210="","",IFERROR(IF(VLOOKUP(AT210,Потребители_обозначение,9,FALSE)=0,"",VLOOKUP(AT210,Потребители_обозначение,9,FALSE)),"")))</f>
        <v>1</v>
      </c>
      <c r="BI210" t="str">
        <f>IF(U210&lt;&gt;"",U210,IF(D210="","",IFERROR(IF(VLOOKUP(AT210,Потребители_обозначение,6,FALSE)=0,"",VLOOKUP(AT210,Потребители_обозначение,6,FALSE)),"")))</f>
        <v>мс</v>
      </c>
      <c r="BJ210">
        <f>IF(V210&lt;&gt;"",V210,IF(D210="","",IFERROR(IF(VLOOKUP(AT210,Потребители_обозначение,7,FALSE)=0,"",VLOOKUP(AT210,Потребители_обозначение,7,FALSE)),"")))</f>
        <v>3</v>
      </c>
      <c r="BK210">
        <f>IF(W210&lt;&gt;"",W210,IF(D210="","",IFERROR(IF(VLOOKUP(AT210,Потребители_обозначение,10,FALSE)=0,"",VLOOKUP(AT210,Потребители_обозначение,10,FALSE)),"")))</f>
        <v>2.5</v>
      </c>
      <c r="BL210">
        <f>IFERROR(VLOOKUP(AT210,Потребители_обозначение,5,FALSE),0)</f>
        <v>1</v>
      </c>
      <c r="BM210" cm="1">
        <f t="array" ref="BM210">IF(D210="","",IF(BA210&lt;&gt;"",IFERROR(_xlfn.XLOOKUP(BA210,Щиты[Щит],Щиты[cos φ]),0.95),IF(ISNUMBER(M210),M210,IFERROR(IF(BL210=2,_xlfn.IFS(BH210=3,VLOOKUP(BF210,Справочная_двигатели,8,FALSE),BH210=1,VLOOKUP(BF210,Справочная_двигатели,10,TRUE)),IF(AND(Методика="нормы 2026",CN210="Сил"),0.8,0.95)),0.95))))</f>
        <v>0.95</v>
      </c>
      <c r="BN210" cm="1">
        <f t="array" ref="BN210">IF(D210="","",IF(BA210&lt;&gt;"",IFERROR(_xlfn.XLOOKUP(BA210,Щиты[Щит],Щиты[Iр, А]),""),IFERROR(_xlfn.IFS(BH210=1,BF210/((Uн_лин/SQRT(3))*BM210),BH210=3,BF210/(SQRT(3)*Uн_лин*BM210)),"")))</f>
        <v>1.3674085322912188</v>
      </c>
      <c r="BO210">
        <f>IF(D210="","",IF(N(X210)=0,IFERROR(VLOOKUP(BN210,Автомат_номиналы,2,TRUE),""),X210))</f>
        <v>6</v>
      </c>
      <c r="BP210">
        <f t="shared" si="273"/>
        <v>1</v>
      </c>
      <c r="BQ210">
        <f>IF(ISNUMBER(Y210),Y210,К_прокл)</f>
        <v>1</v>
      </c>
      <c r="BR210">
        <f t="shared" si="274"/>
        <v>2</v>
      </c>
      <c r="BS210" cm="1">
        <f t="array" ref="BS210">IF(D210="","",IF(N(BK210)&lt;&gt;0,BK210,IFERROR(_xlfn.LET(_xlpm.need,BO210/(BP210*BQ210),_xlpm.t,CHOOSE(BR210,Iдоп_1ж,Iдоп_2ж,Iдоп_3ж),_xlpm.k,_xlfn.XMATCH(_xlpm.need,_xlpm.t,1),IF(ISNA(_xlpm.k),"Не исп",INDEX(Iдоп_S,_xlpm.k))),"Не исп")))</f>
        <v>2.5</v>
      </c>
      <c r="BT210">
        <f>IFERROR(VLOOKUP(BS210,Кабель_сопротивление,3,FALSE),"")</f>
        <v>2.2499999999999999E-2</v>
      </c>
      <c r="BU210">
        <f>IFERROR(VLOOKUP(BS210,Кабель_сопротивление,2,FALSE),"")</f>
        <v>0.1</v>
      </c>
      <c r="BV210">
        <f t="shared" si="275"/>
        <v>48</v>
      </c>
      <c r="BW210">
        <f>IF(D210="","",IFERROR(IF(VLOOKUP(AT210,Потребители_обозначение,4,FALSE)=1,VLOOKUP(AT210,Потребители_обозначение,3,FALSE)*(H210*2-1)+BV210+VLOOKUP(AV210,Этаж_обозначение,3,FALSE)+VLOOKUP(AV210,Этаж_обозначение,4,FALSE),VLOOKUP(AT210,Потребители_обозначение,3,FALSE)*(H210*2-1)+BV210),BV210))</f>
        <v>51</v>
      </c>
      <c r="BX210">
        <f t="shared" si="276"/>
        <v>15</v>
      </c>
      <c r="BY210">
        <f t="shared" si="277"/>
        <v>0</v>
      </c>
      <c r="BZ210">
        <f t="shared" si="278"/>
        <v>2</v>
      </c>
      <c r="CA210">
        <f t="shared" si="279"/>
        <v>0.31</v>
      </c>
      <c r="CB210">
        <f t="shared" si="280"/>
        <v>1.1968407267902765</v>
      </c>
      <c r="CC210">
        <f>IFERROR(ROUNDUP(CB210/((Uн_лин/SQRT(3))*1000)*100,2),"")</f>
        <v>0.52</v>
      </c>
      <c r="CD210">
        <f>IF(ISNUMBER(CC210),CC210+IFERROR(_xlfn.XLOOKUP(A210,Щиты[Щит],Щиты[ΔU до шин, %]),0),"")</f>
        <v>0.95</v>
      </c>
      <c r="CE210">
        <f>IF(D210="","",IF(IFERROR(VLOOKUP(AT210,УГО_спр,2,FALSE),"")="Светильник",3,4)+IF(Методика="нормы 2026",MIN(0.5,MAX(0,N(BW210)-100)*0.005),0))</f>
        <v>4</v>
      </c>
      <c r="CF210" t="str">
        <f>IFERROR(VLOOKUP(BI210,Кабель_обозначение,2,FALSE),"")</f>
        <v>ВВГнг(А)-LS</v>
      </c>
      <c r="CG210" t="str">
        <f>IFERROR(IF(VLOOKUP(BI210,Кабель_обозначение,3,FALSE)=1,CF210&amp;" ("&amp;BJ210&amp;"х"&amp;BS210&amp;")",CF210),"")</f>
        <v>ВВГнг(А)-LS (3х2,5)</v>
      </c>
      <c r="CH210" t="str">
        <f t="shared" si="281"/>
        <v>ВВГнг(А)-LS (3х2,5)
L=51-0,52%</v>
      </c>
      <c r="CI210">
        <f>IFERROR(2*ρкз_Cu*BW210/BS210,"")</f>
        <v>1.07304</v>
      </c>
      <c r="CJ210">
        <f t="shared" si="282"/>
        <v>0.35700000000000004</v>
      </c>
      <c r="CK210" t="str">
        <f>IFERROR(IF(OR(D210="",NOT(ISNUMBER(BS210)),N(BW210)=0),"",_xlfn.XLOOKUP(A210,Щиты[Щит],Щиты[Zпетли на шинах, Ом])+CI210),"")</f>
        <v/>
      </c>
      <c r="CL210" t="str">
        <f>IF(ISNUMBER(CK210),c_min*(Uн_лин*1000/SQRT(3))/CK210,"")</f>
        <v/>
      </c>
      <c r="CM210" t="str">
        <f>IFERROR(IF(OR(D210="",NOT(ISNUMBER(BS210))),"",1.05*(Uн_лин*1000/SQRT(3))/(_xlfn.XLOOKUP(A210,Щиты[Щит],Щиты[Zmax на шинах, Ом])+CJ210)/1000),"")</f>
        <v/>
      </c>
      <c r="CN210" t="str">
        <f>IF(D210="","",IF(BA210&lt;&gt;"","Щит",IF(K210&lt;&gt;"",K210,IF(ISNUMBER(L210),"Сил",IF(IFERROR(_xlfn.XLOOKUP(AT210,Коды_код,Коды_группа)&amp;"","")="","Быт",_xlfn.XLOOKUP(AT210,Коды_код,Коды_группа)&amp;"")))))</f>
        <v>Быт</v>
      </c>
      <c r="CO210">
        <f>IF(CN210="Щит","щит",IF(CN210="","",IF(CN210="Быт",IFERROR(_xlfn.XLOOKUP(A210,Щиты[Щит],Щиты[Кс быт]),1),IF(CN210="Сил",IF(ISNUMBER(L210),L210,IF(Методика="нормы 2026",IFERROR(_xlfn.XLOOKUP(A210,Щиты[Щит],Щиты[Кс силовых (табл. 7.5)]),1),1)),IF(OR(CN210="Пост",CN210="Отоп"),1,IF(CN210="ВНГ",0.7,0))))))</f>
        <v>0.79799999999999993</v>
      </c>
      <c r="CP210">
        <f t="shared" si="283"/>
        <v>1</v>
      </c>
      <c r="CQ210">
        <f t="shared" si="284"/>
        <v>0.3</v>
      </c>
      <c r="CR210">
        <f t="shared" si="285"/>
        <v>0.3</v>
      </c>
      <c r="CS210">
        <f t="shared" si="286"/>
        <v>0</v>
      </c>
      <c r="CT210">
        <f t="shared" si="287"/>
        <v>0</v>
      </c>
      <c r="CU210">
        <f t="shared" si="288"/>
        <v>0</v>
      </c>
      <c r="CV210">
        <f t="shared" si="289"/>
        <v>0</v>
      </c>
      <c r="CW210">
        <f t="shared" si="290"/>
        <v>0.3</v>
      </c>
      <c r="CX210">
        <f t="shared" si="291"/>
        <v>0.28499999999999998</v>
      </c>
      <c r="CY210">
        <f t="shared" si="292"/>
        <v>2</v>
      </c>
      <c r="CZ210" t="str">
        <f t="shared" si="293"/>
        <v>L2</v>
      </c>
      <c r="DA210" cm="1">
        <f t="array" ref="DA210">IFERROR(IF(BL210=2,_xlfn.IFS(BH210=3,VLOOKUP(BF210,Справочная_двигатели,3,FALSE),BH210=1,VLOOKUP(BF210,Справочная_двигатели,5,TRUE)),0),0)</f>
        <v>0</v>
      </c>
      <c r="DB210">
        <f>IFERROR(IF(BL210=3,VLOOKUP(BF210,Справочная_ЛЭД,2,TRUE),0),0)</f>
        <v>0</v>
      </c>
      <c r="DC210">
        <f t="shared" si="294"/>
        <v>0</v>
      </c>
      <c r="DD210" t="str">
        <f t="shared" si="295"/>
        <v>L3</v>
      </c>
      <c r="DE210" t="str" cm="1">
        <f t="array" ref="DE210">IF(D210="","",IFERROR(INDEX({"I особая","I","II","III"},MATCH(TRIM(AA210&amp;""),{"I особая","I","II","III"},0)),"III"))</f>
        <v>II</v>
      </c>
      <c r="DF210" t="str">
        <f>IF(D210="","",IF(TRIM(AB210&amp;"")&lt;&gt;"",IF(LOWER(TRIM(AB210&amp;""))="да","да","нет"),IF(IFERROR(_xlfn.XLOOKUP(AT210,Коды_код,Коды_пожарная),"")="да","да","нет")))</f>
        <v>нет</v>
      </c>
      <c r="DG210" t="str">
        <f t="shared" si="296"/>
        <v/>
      </c>
      <c r="DH210" t="str">
        <f t="shared" si="297"/>
        <v>основная</v>
      </c>
      <c r="DI210">
        <f t="shared" si="298"/>
        <v>1</v>
      </c>
      <c r="DJ210" t="str" cm="1">
        <f t="array" ref="DJ210">IF(D210="","",_xlfn.LET(_xlpm.t,IFERROR(_xlfn.XLOOKUP(1,(Шины[Шина]=DH210)*(((Шины[Щит]=A210)+(Шины[Щит]=""))&gt;0),Шины[Тип]),"")&amp;"",IF(_xlpm.t&lt;&gt;"",_xlpm.t,IF(ISNUMBER(SEARCH("ИБП",DH210)),"ИБП",IF(ISNUMBER(SEARCH("ДГУ",DH210)),"ДГУ","Ввод "&amp;DI210)))))</f>
        <v>Ввод 1</v>
      </c>
      <c r="DK210" t="str">
        <f t="shared" si="299"/>
        <v>Ввод 1</v>
      </c>
      <c r="DL210" t="str">
        <f>IF(D210="","",IF(OR(DJ210="ИБП",DJ210="ДГУ"),"I особая",IF(DJ210="Одиночная","III",_xlfn.XLOOKUP(A210,Щиты[Щит],Щиты[Категория шины «Ввод»],"III"))))</f>
        <v>II</v>
      </c>
      <c r="DM210">
        <f>IF(D210="",0,IFERROR(MATCH(DE210,{"III","II","I","I особая"},0),1))</f>
        <v>2</v>
      </c>
      <c r="DN210">
        <f t="shared" si="300"/>
        <v>2</v>
      </c>
      <c r="DO210" t="str">
        <f>IF(D210="","",IF(DM210&gt;IFERROR(MATCH(DL210,{"III","II","I","I особая"},0),1),"НЕ ОБЕСПЕЧЕНА","ОК"))</f>
        <v>ОК</v>
      </c>
      <c r="DP210" t="str">
        <f>IF(A210="","",_xlfn.XLOOKUP(A210,Щиты[Щит],Щиты[Путь],""))</f>
        <v>|ГРЩ-ЖД|ЩР-01|</v>
      </c>
      <c r="DQ210" t="str">
        <f>IF(D210="","",IF(Z210&lt;&gt;"",Z210,IF(IFERROR(_xlfn.XLOOKUP(AT210,Коды_код,Коды_вид)&amp;"","")="","Прочее",_xlfn.XLOOKUP(AT210,Коды_код,Коды_вид)&amp;"")))</f>
        <v>Розеточная сеть и бытовые приборы</v>
      </c>
      <c r="DR210">
        <f>IF(BD210="","",INT((BD210-1)/Столбцов_на_лист)+1)</f>
        <v>3</v>
      </c>
      <c r="DS210" t="str">
        <f t="shared" si="301"/>
        <v>ВВГнг(А)-LS (3х2,5) L=51-0,52%</v>
      </c>
      <c r="DT210">
        <f t="shared" si="302"/>
        <v>0.3</v>
      </c>
      <c r="DU210">
        <f t="shared" si="303"/>
        <v>1.37</v>
      </c>
      <c r="DV210">
        <f t="shared" si="304"/>
        <v>1</v>
      </c>
      <c r="DW210">
        <f>IF(AT210="",0,_xlfn.LET(_xlpm.v,IFERROR(VLOOKUP(D210,УГО_спр,3,FALSE),IFERROR(VLOOKUP(AT210,УГО_спр,3,FALSE),IFERROR(VLOOKUP(LEFT(AT210,2),УГО_спр,3,FALSE),""))),IF(_xlpm.v="да",30,IF(ISNUMBER(_xlpm.v),_xlpm.v,0))))</f>
        <v>30</v>
      </c>
      <c r="DX210">
        <f t="shared" si="305"/>
        <v>0</v>
      </c>
      <c r="DY210">
        <f>IF(BD210="","",IF(AD210&lt;&gt;"",COUNTIFS(A$3:A210,A210,AD$3:AD210,"?*"),IF(OR(OR(AS210=1,A210&lt;&gt;A209),AL210="вручную"),"",IF(AS210=1,"",DZ209))))</f>
        <v>26</v>
      </c>
      <c r="DZ210">
        <f t="shared" si="306"/>
        <v>26</v>
      </c>
      <c r="EA210">
        <f>IF(D210="",0,MAX(IFERROR(--X210,0),IFERROR(--VLOOKUP(D210,УГО_спр,4,FALSE),IFERROR(--VLOOKUP(AT210,УГО_спр,4,FALSE),IFERROR(--VLOOKUP(LEFT(AT210,2),УГО_спр,4,FALSE),0)))))</f>
        <v>16</v>
      </c>
      <c r="EB210">
        <f>IF(D210="","",IFERROR(LOOKUP(INDEX(CHOOSE(BR210,Iдоп_1ж,Iдоп_2ж,Iдоп_3ж),MATCH(BS210,Iдоп_S,0))*BP210*BQ210,{6,10,16,20,25,32,40,50,63,80,100,125,160,200,250,315,400,500,630}),""))</f>
        <v>25</v>
      </c>
      <c r="EC210">
        <f>IF(AD210="","",SUMIFS(Линии[_Ток схемы],Линии[_гр.],DY210,Линии[Щит],A210,Линии[_в кабель выше],0))</f>
        <v>1.37</v>
      </c>
      <c r="ED210">
        <f>IF(AD210="","",IFERROR(VLOOKUP(EC210,Автомат_номиналы,2,TRUE),""))</f>
        <v>6</v>
      </c>
      <c r="EE210">
        <f>IF(AD210="","",MAX(N(ED210),_xlfn.MAXIFS(Линии[_мин. по типу],Линии[_гр.],DY210,Линии[Щит],A210)))</f>
        <v>16</v>
      </c>
      <c r="EF210">
        <f>IF(AD210="","",_xlfn.MINIFS(Линии[_макс. автомат по кабелю],Линии[_гр.],DY210,Линии[Щит],A210))</f>
        <v>25</v>
      </c>
      <c r="EG210">
        <f>IF(AD210="","",MAX(1,_xlfn.MAXIFS(Линии[_фаз],Линии[_гр.],DY210,Линии[Щит],A210)))</f>
        <v>1</v>
      </c>
      <c r="EH210">
        <f>IF(AD210="","",IF(AND(AD210&lt;&gt;"авто",AD210&lt;&gt;"+"),IF(ISNUMBER(SEARCH("мА",AD210)),IFERROR(--TRIM(RIGHT(SUBSTITUTE(LEFT(AD210,SEARCH("мА",AD210)-1)," ",REPT(" ",9)),6)),30),0),IF(AE210="нет",0,IF(ISNUMBER(AE210),AE210,IF(AE210="да",30,_xlfn.MINIFS(Линии[_дифзащита по коду, мА],Линии[_гр.],DY210,Линии[Щит],A210,Линии[_дифзащита по коду, мА],"&gt;0"))))))</f>
        <v>30</v>
      </c>
      <c r="EI210">
        <f t="shared" si="307"/>
        <v>1</v>
      </c>
      <c r="EJ210" t="str">
        <f t="shared" si="308"/>
        <v>QFD26</v>
      </c>
      <c r="EK210" t="str">
        <f t="shared" si="309"/>
        <v>QFD26</v>
      </c>
      <c r="EL210" t="str">
        <f t="shared" si="310"/>
        <v/>
      </c>
      <c r="EM210">
        <f t="shared" si="311"/>
        <v>0</v>
      </c>
      <c r="EN210">
        <f>IF(AD210="","",IF(EM210=1,MAX(EE210,Мин_автомат_БП),EE210))</f>
        <v>16</v>
      </c>
      <c r="EO210" t="str">
        <f t="shared" si="312"/>
        <v>2P</v>
      </c>
      <c r="EP210" t="str">
        <f t="shared" si="313"/>
        <v>2P С16А 30мА</v>
      </c>
      <c r="EQ210">
        <f t="shared" si="314"/>
        <v>16</v>
      </c>
      <c r="ER210" t="str">
        <f>IF(OR(AI210="",AI210="-"),"",IFERROR(VLOOKUP(AI210,Модули_спр,2,FALSE),"R"))</f>
        <v/>
      </c>
      <c r="ES210" t="str">
        <f>IF(ER210="","",ER210&amp;"."&amp;COUNTIFS(A$3:A210,A210,ER$3:ER210,ER210))</f>
        <v/>
      </c>
      <c r="ET210" t="str">
        <f t="shared" si="315"/>
        <v/>
      </c>
      <c r="EU210" t="str">
        <f t="shared" si="316"/>
        <v/>
      </c>
      <c r="EV210" t="str">
        <f t="shared" si="317"/>
        <v/>
      </c>
      <c r="EW210" t="str">
        <f t="shared" si="318"/>
        <v/>
      </c>
      <c r="EX210">
        <f t="shared" si="319"/>
        <v>1</v>
      </c>
      <c r="EY210" t="str">
        <f>IF(AK210="нет","",IF(AK210&lt;&gt;"",AK210,IF(EX210=1,"XT"&amp;COUNTIFS(A$3:A210,A210,EX$3:EX210,1),"")))</f>
        <v/>
      </c>
      <c r="EZ210" t="str">
        <f t="shared" si="320"/>
        <v>QFD26</v>
      </c>
      <c r="FA210" t="str">
        <f t="shared" si="321"/>
        <v/>
      </c>
      <c r="FB210" t="str">
        <f t="shared" si="322"/>
        <v>ok</v>
      </c>
      <c r="FC210" t="str">
        <f>IF(OR(EV210="",ET210=""),"",IF(EV210&gt;IFERROR(VLOOKUP(EU210,Модули_спр,3,FALSE),99),"ЛИШНИЙ КАНАЛ",IF(AND(AJ210&lt;&gt;"=",COUNTIFS(Линии[_модуль гр.],ET210,Линии[Канал (итог)],EV210,Линии[Канал],"&lt;&gt;=",Линии[Щит],A210)&gt;1),"ДУБЛЬ КАНАЛА","")))</f>
        <v/>
      </c>
      <c r="FD210">
        <f t="shared" si="323"/>
        <v>16</v>
      </c>
      <c r="FE210" t="str">
        <f t="shared" si="324"/>
        <v>2P С16А 30мА</v>
      </c>
      <c r="FF210">
        <f t="shared" si="325"/>
        <v>1</v>
      </c>
      <c r="FG210">
        <f t="shared" si="326"/>
        <v>30</v>
      </c>
      <c r="FH210" t="str">
        <f t="shared" si="327"/>
        <v/>
      </c>
      <c r="FI210">
        <f t="shared" si="328"/>
        <v>10</v>
      </c>
      <c r="FJ210" t="str">
        <f t="shared" si="329"/>
        <v/>
      </c>
      <c r="FK210" t="str">
        <f>IF(AND(D210="",EZ210=""),"",_xlfn.TEXTJOIN("; ",TRUE,IF(AND(D210&lt;&gt;"",DD210=""),"нет фазы",""),IF(AND(D210&lt;&gt;"",N(DT210)=0,CN210&lt;&gt;"Нет"),"нет мощности",""),IF(AND(EY210&lt;&gt;"",COUNTIFS(Линии[Щит],A210,Линии[Клемма (итог)],EY210)&gt;1),"дубль клеммы "&amp;EY210,""),IF(AND(FB210&lt;&gt;"",FB210&lt;&gt;"ok"),FB210,""),IF(FC210&lt;&gt;"",FC210,""),IF(AND(ISNUMBER(SEARCH("(5х",DS210)),N(DV210)=1),"5 жил на 1 фазе",""),IF(AND(AT210="R",AD210&lt;&gt;"",OR(N(EH210)=0,N(EH210)&gt;30)),"розетка без дифзащиты до 30 мА",""),IFERROR(IF(AND(ISNUMBER(CD210),CD210&gt;CE210),"потери "&amp;FIXED(CD210,1)&amp;" % &gt; "&amp;CE210&amp;" %",""),""),IFERROR(IF(LEFT(FJ210,4)="мало","Iкз мало — отключение &gt; 0,4 с",""),""),IF(AND(D210&lt;&gt;"",BD210=""),"не на схеме","")))</f>
        <v/>
      </c>
      <c r="FL210">
        <f>IF(AD210="","",_xlfn.LET(_xlpm.t,IFERROR(_xlfn.XLOOKUP(EP210,Каталог!$U$4:$U$500,Каталог!$G$4:$G$500),""),_xlpm.k,SEARCH("кА",_xlpm.t),IFERROR(--TRIM(RIGHT(SUBSTITUTE(MID(_xlpm.t,MAX(1,_xlpm.k-4),_xlpm.k-MAX(1,_xlpm.k-4))," ",REPT(" ",9)),5)),"")))</f>
        <v>6</v>
      </c>
      <c r="FM210" t="str">
        <f>IF(OR(FL210="",AD210=""),"",IF(_xlfn.XLOOKUP(A210,Щиты[Щит],Щиты[Iкз max на шинах, кА],"")="","",IF(FL210&lt;_xlfn.XLOOKUP(A210,Щиты[Щит],Щиты[Iкз max на шинах, кА]),"Icu "&amp;FL210&amp;" кА &lt; Iкз max","ok")))</f>
        <v/>
      </c>
      <c r="FN210" t="str">
        <f t="shared" si="330"/>
        <v>QFD26</v>
      </c>
      <c r="FO210" t="str">
        <f t="shared" si="331"/>
        <v>QFD26|кабель ВВГнг(А)-LS (3х2,5) → Розеточная группа Цокольный этаж Пом. №013Б Полотенцесушитель</v>
      </c>
      <c r="FP210" t="str" cm="1">
        <f t="array" ref="FP210">IF(FO210="","",_xlfn.LET(_xlpm.nd,_xlfn.TEXTSPLIT(FO210,"|"),IF(COLUMNS(_xlpm.nd)&gt;1,A210&amp;"¦"&amp;INDEX(_xlpm.nd,1)&amp;"¦"&amp;INDEX(_xlpm.nd,2),"")))</f>
        <v>ЩР-01¦QFD26¦кабель ВВГнг(А)-LS (3х2,5) → Розеточная группа Цокольный этаж Пом. №013Б Полотенцесушитель</v>
      </c>
      <c r="FQ210" t="str">
        <f t="shared" si="332"/>
        <v>R.0.013Б.3¦Розеточная группа Цокольный этаж Пом. №013Б Полотенцесушитель</v>
      </c>
      <c r="FR210" t="str" cm="1">
        <f t="array" ref="FR210">IF(FO210="","",_xlfn.LET(_xlpm.nd,_xlfn.TEXTSPLIT(FO210,"|"),IF(COLUMNS(_xlpm.nd)&gt;2,A210&amp;"¦"&amp;INDEX(_xlpm.nd,2)&amp;"¦"&amp;INDEX(_xlpm.nd,3),"")))</f>
        <v/>
      </c>
      <c r="FS210" t="str">
        <f t="shared" si="333"/>
        <v/>
      </c>
      <c r="FT210" t="str" cm="1">
        <f t="array" ref="FT210">IF(FO210="","",_xlfn.LET(_xlpm.nd,_xlfn.TEXTSPLIT(FO210,"|"),IF(COLUMNS(_xlpm.nd)&gt;3,A210&amp;"¦"&amp;INDEX(_xlpm.nd,3)&amp;"¦"&amp;INDEX(_xlpm.nd,4),"")))</f>
        <v/>
      </c>
      <c r="FU210" t="str">
        <f t="shared" si="334"/>
        <v/>
      </c>
      <c r="FV210" t="str" cm="1">
        <f t="array" ref="FV210">IF(FO210="","",_xlfn.LET(_xlpm.nd,_xlfn.TEXTSPLIT(FO210,"|"),IF(COLUMNS(_xlpm.nd)&gt;4,A210&amp;"¦"&amp;INDEX(_xlpm.nd,4)&amp;"¦"&amp;INDEX(_xlpm.nd,5),"")))</f>
        <v/>
      </c>
      <c r="FW210" t="str">
        <f t="shared" si="335"/>
        <v/>
      </c>
      <c r="FX210" t="str" cm="1">
        <f t="array" ref="FX210">IF(FO210="","",_xlfn.LET(_xlpm.nd,_xlfn.TEXTSPLIT(FO210,"|"),IF(COLUMNS(_xlpm.nd)&gt;5,A210&amp;"¦"&amp;INDEX(_xlpm.nd,5)&amp;"¦"&amp;INDEX(_xlpm.nd,6),"")))</f>
        <v/>
      </c>
      <c r="FY210" t="str">
        <f t="shared" si="336"/>
        <v/>
      </c>
      <c r="FZ210" t="str" cm="1">
        <f t="array" ref="FZ210">IF(FO210="","",_xlfn.LET(_xlpm.nd,_xlfn.TEXTSPLIT(FO210,"|"),IF(COLUMNS(_xlpm.nd)&gt;6,A210&amp;"¦"&amp;INDEX(_xlpm.nd,6)&amp;"¦"&amp;INDEX(_xlpm.nd,7),"")))</f>
        <v/>
      </c>
      <c r="GA210" t="str">
        <f t="shared" si="337"/>
        <v/>
      </c>
      <c r="GB210" t="str">
        <f t="shared" si="338"/>
        <v/>
      </c>
      <c r="GC210" t="str">
        <f t="shared" si="339"/>
        <v>QFD26</v>
      </c>
      <c r="GD210">
        <f t="shared" si="340"/>
        <v>1</v>
      </c>
      <c r="GE210">
        <f t="shared" si="341"/>
        <v>0</v>
      </c>
      <c r="GF210">
        <f t="shared" si="342"/>
        <v>1</v>
      </c>
      <c r="GG210" t="str">
        <f t="shared" si="343"/>
        <v/>
      </c>
      <c r="GH210" t="str">
        <f t="shared" si="344"/>
        <v/>
      </c>
      <c r="GI210" t="str">
        <f t="shared" si="345"/>
        <v/>
      </c>
      <c r="GJ210" t="str">
        <f t="shared" si="346"/>
        <v/>
      </c>
      <c r="GK210" t="str">
        <f>IF(D210="","",IFERROR(VLOOKUP(D210,УГО_спр,2,FALSE),IFERROR(VLOOKUP(AT210,УГО_спр,2,FALSE),IFERROR(VLOOKUP(LEFT(AT210,2),УГО_спр,2,FALSE),""))))</f>
        <v>Розетка</v>
      </c>
      <c r="GL210" t="str">
        <f>IF(D210="","",IF(OR(GK210="",GK210=0),"BOX",IFERROR(IF(VLOOKUP(GK210,УГО_блоки,3,FALSE)&amp;""&lt;&gt;"",VLOOKUP(GK210,УГО_блоки,3,FALSE),VLOOKUP(GK210,УГО_блоки,2,FALSE)),GK210)))</f>
        <v>SOCKET</v>
      </c>
      <c r="GM210">
        <f t="shared" si="347"/>
        <v>1</v>
      </c>
      <c r="GN210" t="str">
        <f>IF(EP210="","",IF(COUNTIF(EP$3:EP210,EP210)=1,MAX(GN$2:GN209)+1,""))</f>
        <v/>
      </c>
      <c r="GO210" t="str">
        <f>IF(AF210="","",IF(COUNTIF(AF$3:AF210,AF210)+COUNTIF(AG$2:AG209,AF210)+COUNTIF(AH$2:AH209,AF210)=1,MAX(GO$2:GQ209)+1,""))</f>
        <v/>
      </c>
      <c r="GP210" t="str">
        <f>IF(AG210="","",IF(COUNTIF(AF$3:AF210,AG210)+COUNTIF(AG$3:AG210,AG210)+COUNTIF(AH$2:AH209,AG210)=1,MAX(GO$2:GQ209,GO210)+1,""))</f>
        <v/>
      </c>
      <c r="GQ210" t="str">
        <f>IF(AH210="","",IF(COUNTIF(AF$3:AF210,AH210)+COUNTIF(AG$3:AG210,AH210)+COUNTIF(AH$3:AH210,AH210)=1,MAX(GO$2:GQ209,GO210,GP210)+1,""))</f>
        <v/>
      </c>
      <c r="GR210" t="str">
        <f t="shared" si="348"/>
        <v>3х2,5</v>
      </c>
      <c r="GS210" t="str">
        <f>IF(GR210="","",IF(COUNTIF(GR$3:GR210,GR210)=1,MAX(GS$2:GS209)+1,""))</f>
        <v/>
      </c>
      <c r="GT210" t="str">
        <f>IF(ES210="","",COUNTIF(ES$3:ES210,"?*"))</f>
        <v/>
      </c>
      <c r="GU210" t="str">
        <f>IF(OR(ES210="",EU210=""),"",IF(COUNTIFS(ES$3:ES210,"?*",EU$3:EU210,EU210)=1,MAX(GU$2:GU209)+1,""))</f>
        <v/>
      </c>
      <c r="GV210">
        <f t="shared" si="349"/>
        <v>0</v>
      </c>
      <c r="GW210">
        <f>IF(D210="","",COUNTIF(D$3:D210,"?*"))</f>
        <v>208</v>
      </c>
      <c r="GX210">
        <f>IF(EX210&lt;&gt;1,0,_xlfn.LET(_xlpm.k,MAX(IFERROR(--VLOOKUP(D210,УГО_спр,5,FALSE),0),IFERROR(--VLOOKUP(AT210,УГО_спр,5,FALSE),0),IFERROR(--VLOOKUP(LEFT(AT210,2),УГО_спр,5,FALSE),0)),IF(_xlpm.k&gt;0,_xlpm.k,IF(IFERROR(--LEFT(SUBSTITUTE(GR210,"x","х"),FIND("х",SUBSTITUTE(GR210,"x","х"))-1),3)&gt;3,Каталог!$S$9,1))))</f>
        <v>1</v>
      </c>
      <c r="GY210">
        <f t="shared" si="350"/>
        <v>0</v>
      </c>
    </row>
    <row r="211" spans="1:207" x14ac:dyDescent="0.3">
      <c r="A211" t="s">
        <v>760</v>
      </c>
      <c r="B211">
        <v>39</v>
      </c>
      <c r="C211" t="str">
        <f>IF(BD211="","",IF(BE211="вводной узел","узел ","")&amp;"л."&amp;(INT((BD211-1)/Столбцов_на_лист)+1)&amp;" / "&amp;(MOD(BD211-1,Столбцов_на_лист)+1))</f>
        <v>л.3 / 5</v>
      </c>
      <c r="D211" t="s">
        <v>1523</v>
      </c>
      <c r="E211" s="133" t="s">
        <v>1524</v>
      </c>
      <c r="G211">
        <v>2.2000000000000002</v>
      </c>
      <c r="H211">
        <v>1</v>
      </c>
      <c r="I211">
        <v>1</v>
      </c>
      <c r="J211">
        <v>230</v>
      </c>
      <c r="K211" t="s">
        <v>566</v>
      </c>
      <c r="O211">
        <v>2</v>
      </c>
      <c r="P211">
        <v>55</v>
      </c>
      <c r="Q211">
        <v>44</v>
      </c>
      <c r="R211">
        <v>14</v>
      </c>
      <c r="S211">
        <v>0</v>
      </c>
      <c r="U211" t="s">
        <v>11</v>
      </c>
      <c r="V211">
        <v>3</v>
      </c>
      <c r="W211">
        <v>2.5</v>
      </c>
      <c r="Z211" t="s">
        <v>565</v>
      </c>
      <c r="AA211" t="s">
        <v>818</v>
      </c>
      <c r="AD211" t="s">
        <v>517</v>
      </c>
      <c r="AK211" t="s">
        <v>488</v>
      </c>
      <c r="AR211" t="str">
        <f t="shared" si="264"/>
        <v>потери 4,8 % &gt; 4 %</v>
      </c>
      <c r="AS211" cm="1">
        <f t="array" ref="AS211">ROW()-ROW(Линии[#Headers])</f>
        <v>209</v>
      </c>
      <c r="AT211" t="str">
        <f t="shared" si="265"/>
        <v>R</v>
      </c>
      <c r="AU211" t="str">
        <f t="shared" si="266"/>
        <v>0.013Б.4</v>
      </c>
      <c r="AV211" t="str">
        <f t="shared" si="267"/>
        <v>0</v>
      </c>
      <c r="AW211" t="str">
        <f t="shared" si="268"/>
        <v>013Б.4</v>
      </c>
      <c r="AX211" t="str">
        <f t="shared" si="269"/>
        <v>013Б</v>
      </c>
      <c r="AY211" t="str">
        <f>IF(D211="","",IF(ISERROR(SEARCH(".",D211)),IFERROR(VLOOKUP(D211,Потребители_обозначение,2,FALSE)&amp;"",""),IFERROR(IF(VLOOKUP(AT211,Потребители_обозначение,4,FALSE)=1,VLOOKUP(AT211,Потребители_обозначение,2,FALSE)&amp;" "&amp;VLOOKUP(AV211,Этаж_обозначение,2,FALSE)&amp;" Пом. №"&amp;AX211,VLOOKUP(AT211,Потребители_обозначение,2,FALSE)&amp;" Шлейф №"&amp;AV211),IFERROR(VLOOKUP(D211,Потребители_обозначение,2,FALSE),""))))</f>
        <v>Розеточная группа Цокольный этаж Пом. №013Б</v>
      </c>
      <c r="AZ211" t="str">
        <f t="shared" si="270"/>
        <v>Розеточная группа Цокольный этаж Пом. №013Б Сушильная машина</v>
      </c>
      <c r="BA211" t="str">
        <f>IF(F211&lt;&gt;"",F211,IF(AND(D211&lt;&gt;"",D211&lt;&gt;A211,ISNUMBER(_xlfn.XMATCH(D211,Щиты[Щит]))),D211,""))</f>
        <v/>
      </c>
      <c r="BB211">
        <f>IFERROR(_xlfn.XMATCH(A211,Щиты[Щит]),0)</f>
        <v>9</v>
      </c>
      <c r="BC211">
        <f>IFERROR(N(_xlfn.XLOOKUP(A211,Щиты[Щит],Щиты[Мест под вводной узел])),15)</f>
        <v>8</v>
      </c>
      <c r="BD211">
        <f t="shared" si="271"/>
        <v>39</v>
      </c>
      <c r="BE211" t="str">
        <f t="shared" si="272"/>
        <v>линии</v>
      </c>
      <c r="BF211">
        <f>IF(D211="","",IF(BA211&lt;&gt;"",IFERROR(_xlfn.XLOOKUP(BA211,Щиты[Щит],Щиты[Руст, кВт]),0),N(G211)))</f>
        <v>2.2000000000000002</v>
      </c>
      <c r="BG211">
        <f>IF(J211&lt;&gt;"",J211,IF(D211="","",IFERROR(IF(VLOOKUP(AT211,Потребители_обозначение,8,FALSE)=0,"",VLOOKUP(AT211,Потребители_обозначение,8,FALSE)),"")))</f>
        <v>230</v>
      </c>
      <c r="BH211">
        <f>IF(I211&lt;&gt;"",I211,IF(D211="","",IFERROR(IF(VLOOKUP(AT211,Потребители_обозначение,9,FALSE)=0,"",VLOOKUP(AT211,Потребители_обозначение,9,FALSE)),"")))</f>
        <v>1</v>
      </c>
      <c r="BI211" t="str">
        <f>IF(U211&lt;&gt;"",U211,IF(D211="","",IFERROR(IF(VLOOKUP(AT211,Потребители_обозначение,6,FALSE)=0,"",VLOOKUP(AT211,Потребители_обозначение,6,FALSE)),"")))</f>
        <v>мс</v>
      </c>
      <c r="BJ211">
        <f>IF(V211&lt;&gt;"",V211,IF(D211="","",IFERROR(IF(VLOOKUP(AT211,Потребители_обозначение,7,FALSE)=0,"",VLOOKUP(AT211,Потребители_обозначение,7,FALSE)),"")))</f>
        <v>3</v>
      </c>
      <c r="BK211">
        <f>IF(W211&lt;&gt;"",W211,IF(D211="","",IFERROR(IF(VLOOKUP(AT211,Потребители_обозначение,10,FALSE)=0,"",VLOOKUP(AT211,Потребители_обозначение,10,FALSE)),"")))</f>
        <v>2.5</v>
      </c>
      <c r="BL211">
        <f>IFERROR(VLOOKUP(AT211,Потребители_обозначение,5,FALSE),0)</f>
        <v>1</v>
      </c>
      <c r="BM211" cm="1">
        <f t="array" ref="BM211">IF(D211="","",IF(BA211&lt;&gt;"",IFERROR(_xlfn.XLOOKUP(BA211,Щиты[Щит],Щиты[cos φ]),0.95),IF(ISNUMBER(M211),M211,IFERROR(IF(BL211=2,_xlfn.IFS(BH211=3,VLOOKUP(BF211,Справочная_двигатели,8,FALSE),BH211=1,VLOOKUP(BF211,Справочная_двигатели,10,TRUE)),IF(AND(Методика="нормы 2026",CN211="Сил"),0.8,0.95)),0.95))))</f>
        <v>0.95</v>
      </c>
      <c r="BN211" cm="1">
        <f t="array" ref="BN211">IF(D211="","",IF(BA211&lt;&gt;"",IFERROR(_xlfn.XLOOKUP(BA211,Щиты[Щит],Щиты[Iр, А]),""),IFERROR(_xlfn.IFS(BH211=1,BF211/((Uн_лин/SQRT(3))*BM211),BH211=3,BF211/(SQRT(3)*Uн_лин*BM211)),"")))</f>
        <v>10.027662570135606</v>
      </c>
      <c r="BO211">
        <f>IF(D211="","",IF(N(X211)=0,IFERROR(VLOOKUP(BN211,Автомат_номиналы,2,TRUE),""),X211))</f>
        <v>16</v>
      </c>
      <c r="BP211">
        <f t="shared" si="273"/>
        <v>1</v>
      </c>
      <c r="BQ211">
        <f>IF(ISNUMBER(Y211),Y211,К_прокл)</f>
        <v>1</v>
      </c>
      <c r="BR211">
        <f t="shared" si="274"/>
        <v>2</v>
      </c>
      <c r="BS211" cm="1">
        <f t="array" ref="BS211">IF(D211="","",IF(N(BK211)&lt;&gt;0,BK211,IFERROR(_xlfn.LET(_xlpm.need,BO211/(BP211*BQ211),_xlpm.t,CHOOSE(BR211,Iдоп_1ж,Iдоп_2ж,Iдоп_3ж),_xlpm.k,_xlfn.XMATCH(_xlpm.need,_xlpm.t,1),IF(ISNA(_xlpm.k),"Не исп",INDEX(Iдоп_S,_xlpm.k))),"Не исп")))</f>
        <v>2.5</v>
      </c>
      <c r="BT211">
        <f>IFERROR(VLOOKUP(BS211,Кабель_сопротивление,3,FALSE),"")</f>
        <v>2.2499999999999999E-2</v>
      </c>
      <c r="BU211">
        <f>IFERROR(VLOOKUP(BS211,Кабель_сопротивление,2,FALSE),"")</f>
        <v>0.1</v>
      </c>
      <c r="BV211">
        <f t="shared" si="275"/>
        <v>55</v>
      </c>
      <c r="BW211">
        <f>IF(D211="","",IFERROR(IF(VLOOKUP(AT211,Потребители_обозначение,4,FALSE)=1,VLOOKUP(AT211,Потребители_обозначение,3,FALSE)*(H211*2-1)+BV211+VLOOKUP(AV211,Этаж_обозначение,3,FALSE)+VLOOKUP(AV211,Этаж_обозначение,4,FALSE),VLOOKUP(AT211,Потребители_обозначение,3,FALSE)*(H211*2-1)+BV211),BV211))</f>
        <v>58</v>
      </c>
      <c r="BX211">
        <f t="shared" si="276"/>
        <v>14</v>
      </c>
      <c r="BY211">
        <f t="shared" si="277"/>
        <v>0</v>
      </c>
      <c r="BZ211">
        <f t="shared" si="278"/>
        <v>2</v>
      </c>
      <c r="CA211">
        <f t="shared" si="279"/>
        <v>0.31</v>
      </c>
      <c r="CB211">
        <f t="shared" si="280"/>
        <v>9.9814952116627023</v>
      </c>
      <c r="CC211">
        <f>IFERROR(ROUNDUP(CB211/((Uн_лин/SQRT(3))*1000)*100,2),"")</f>
        <v>4.33</v>
      </c>
      <c r="CD211">
        <f>IF(ISNUMBER(CC211),CC211+IFERROR(_xlfn.XLOOKUP(A211,Щиты[Щит],Щиты[ΔU до шин, %]),0),"")</f>
        <v>4.76</v>
      </c>
      <c r="CE211">
        <f>IF(D211="","",IF(IFERROR(VLOOKUP(AT211,УГО_спр,2,FALSE),"")="Светильник",3,4)+IF(Методика="нормы 2026",MIN(0.5,MAX(0,N(BW211)-100)*0.005),0))</f>
        <v>4</v>
      </c>
      <c r="CF211" t="str">
        <f>IFERROR(VLOOKUP(BI211,Кабель_обозначение,2,FALSE),"")</f>
        <v>ВВГнг(А)-LS</v>
      </c>
      <c r="CG211" t="str">
        <f>IFERROR(IF(VLOOKUP(BI211,Кабель_обозначение,3,FALSE)=1,CF211&amp;" ("&amp;BJ211&amp;"х"&amp;BS211&amp;")",CF211),"")</f>
        <v>ВВГнг(А)-LS (3х2,5)</v>
      </c>
      <c r="CH211" t="str">
        <f t="shared" si="281"/>
        <v>ВВГнг(А)-LS (3х2,5)
L=58-4,33%</v>
      </c>
      <c r="CI211">
        <f>IFERROR(2*ρкз_Cu*BW211/BS211,"")</f>
        <v>1.2203200000000001</v>
      </c>
      <c r="CJ211">
        <f t="shared" si="282"/>
        <v>0.40600000000000003</v>
      </c>
      <c r="CK211" t="str">
        <f>IFERROR(IF(OR(D211="",NOT(ISNUMBER(BS211)),N(BW211)=0),"",_xlfn.XLOOKUP(A211,Щиты[Щит],Щиты[Zпетли на шинах, Ом])+CI211),"")</f>
        <v/>
      </c>
      <c r="CL211" t="str">
        <f>IF(ISNUMBER(CK211),c_min*(Uн_лин*1000/SQRT(3))/CK211,"")</f>
        <v/>
      </c>
      <c r="CM211" t="str">
        <f>IFERROR(IF(OR(D211="",NOT(ISNUMBER(BS211))),"",1.05*(Uн_лин*1000/SQRT(3))/(_xlfn.XLOOKUP(A211,Щиты[Щит],Щиты[Zmax на шинах, Ом])+CJ211)/1000),"")</f>
        <v/>
      </c>
      <c r="CN211" t="str">
        <f>IF(D211="","",IF(BA211&lt;&gt;"","Щит",IF(K211&lt;&gt;"",K211,IF(ISNUMBER(L211),"Сил",IF(IFERROR(_xlfn.XLOOKUP(AT211,Коды_код,Коды_группа)&amp;"","")="","Быт",_xlfn.XLOOKUP(AT211,Коды_код,Коды_группа)&amp;"")))))</f>
        <v>Быт</v>
      </c>
      <c r="CO211">
        <f>IF(CN211="Щит","щит",IF(CN211="","",IF(CN211="Быт",IFERROR(_xlfn.XLOOKUP(A211,Щиты[Щит],Щиты[Кс быт]),1),IF(CN211="Сил",IF(ISNUMBER(L211),L211,IF(Методика="нормы 2026",IFERROR(_xlfn.XLOOKUP(A211,Щиты[Щит],Щиты[Кс силовых (табл. 7.5)]),1),1)),IF(OR(CN211="Пост",CN211="Отоп"),1,IF(CN211="ВНГ",0.7,0))))))</f>
        <v>0.79799999999999993</v>
      </c>
      <c r="CP211">
        <f t="shared" si="283"/>
        <v>1</v>
      </c>
      <c r="CQ211">
        <f t="shared" si="284"/>
        <v>2.2000000000000002</v>
      </c>
      <c r="CR211">
        <f t="shared" si="285"/>
        <v>2.2000000000000002</v>
      </c>
      <c r="CS211">
        <f t="shared" si="286"/>
        <v>0</v>
      </c>
      <c r="CT211">
        <f t="shared" si="287"/>
        <v>0</v>
      </c>
      <c r="CU211">
        <f t="shared" si="288"/>
        <v>0</v>
      </c>
      <c r="CV211">
        <f t="shared" si="289"/>
        <v>0</v>
      </c>
      <c r="CW211">
        <f t="shared" si="290"/>
        <v>2.2000000000000002</v>
      </c>
      <c r="CX211">
        <f t="shared" si="291"/>
        <v>2.09</v>
      </c>
      <c r="CY211">
        <f t="shared" si="292"/>
        <v>3</v>
      </c>
      <c r="CZ211" t="str">
        <f t="shared" si="293"/>
        <v>L3</v>
      </c>
      <c r="DA211" cm="1">
        <f t="array" ref="DA211">IFERROR(IF(BL211=2,_xlfn.IFS(BH211=3,VLOOKUP(BF211,Справочная_двигатели,3,FALSE),BH211=1,VLOOKUP(BF211,Справочная_двигатели,5,TRUE)),0),0)</f>
        <v>0</v>
      </c>
      <c r="DB211">
        <f>IFERROR(IF(BL211=3,VLOOKUP(BF211,Справочная_ЛЭД,2,TRUE),0),0)</f>
        <v>0</v>
      </c>
      <c r="DC211">
        <f t="shared" si="294"/>
        <v>0</v>
      </c>
      <c r="DD211" t="str">
        <f t="shared" si="295"/>
        <v>L2</v>
      </c>
      <c r="DE211" t="str" cm="1">
        <f t="array" ref="DE211">IF(D211="","",IFERROR(INDEX({"I особая","I","II","III"},MATCH(TRIM(AA211&amp;""),{"I особая","I","II","III"},0)),"III"))</f>
        <v>II</v>
      </c>
      <c r="DF211" t="str">
        <f>IF(D211="","",IF(TRIM(AB211&amp;"")&lt;&gt;"",IF(LOWER(TRIM(AB211&amp;""))="да","да","нет"),IF(IFERROR(_xlfn.XLOOKUP(AT211,Коды_код,Коды_пожарная),"")="да","да","нет")))</f>
        <v>нет</v>
      </c>
      <c r="DG211" t="str">
        <f t="shared" si="296"/>
        <v/>
      </c>
      <c r="DH211" t="str">
        <f t="shared" si="297"/>
        <v>основная</v>
      </c>
      <c r="DI211">
        <f t="shared" si="298"/>
        <v>1</v>
      </c>
      <c r="DJ211" t="str" cm="1">
        <f t="array" ref="DJ211">IF(D211="","",_xlfn.LET(_xlpm.t,IFERROR(_xlfn.XLOOKUP(1,(Шины[Шина]=DH211)*(((Шины[Щит]=A211)+(Шины[Щит]=""))&gt;0),Шины[Тип]),"")&amp;"",IF(_xlpm.t&lt;&gt;"",_xlpm.t,IF(ISNUMBER(SEARCH("ИБП",DH211)),"ИБП",IF(ISNUMBER(SEARCH("ДГУ",DH211)),"ДГУ","Ввод "&amp;DI211)))))</f>
        <v>Ввод 1</v>
      </c>
      <c r="DK211" t="str">
        <f t="shared" si="299"/>
        <v>Ввод 1</v>
      </c>
      <c r="DL211" t="str">
        <f>IF(D211="","",IF(OR(DJ211="ИБП",DJ211="ДГУ"),"I особая",IF(DJ211="Одиночная","III",_xlfn.XLOOKUP(A211,Щиты[Щит],Щиты[Категория шины «Ввод»],"III"))))</f>
        <v>II</v>
      </c>
      <c r="DM211">
        <f>IF(D211="",0,IFERROR(MATCH(DE211,{"III","II","I","I особая"},0),1))</f>
        <v>2</v>
      </c>
      <c r="DN211">
        <f t="shared" si="300"/>
        <v>2</v>
      </c>
      <c r="DO211" t="str">
        <f>IF(D211="","",IF(DM211&gt;IFERROR(MATCH(DL211,{"III","II","I","I особая"},0),1),"НЕ ОБЕСПЕЧЕНА","ОК"))</f>
        <v>ОК</v>
      </c>
      <c r="DP211" t="str">
        <f>IF(A211="","",_xlfn.XLOOKUP(A211,Щиты[Щит],Щиты[Путь],""))</f>
        <v>|ГРЩ-ЖД|ЩР-01|</v>
      </c>
      <c r="DQ211" t="str">
        <f>IF(D211="","",IF(Z211&lt;&gt;"",Z211,IF(IFERROR(_xlfn.XLOOKUP(AT211,Коды_код,Коды_вид)&amp;"","")="","Прочее",_xlfn.XLOOKUP(AT211,Коды_код,Коды_вид)&amp;"")))</f>
        <v>Розеточная сеть и бытовые приборы</v>
      </c>
      <c r="DR211">
        <f>IF(BD211="","",INT((BD211-1)/Столбцов_на_лист)+1)</f>
        <v>3</v>
      </c>
      <c r="DS211" t="str">
        <f t="shared" si="301"/>
        <v>ВВГнг(А)-LS (3х2,5) L=58-4,33%</v>
      </c>
      <c r="DT211">
        <f t="shared" si="302"/>
        <v>2.2000000000000002</v>
      </c>
      <c r="DU211">
        <f t="shared" si="303"/>
        <v>10.029999999999999</v>
      </c>
      <c r="DV211">
        <f t="shared" si="304"/>
        <v>1</v>
      </c>
      <c r="DW211">
        <f>IF(AT211="",0,_xlfn.LET(_xlpm.v,IFERROR(VLOOKUP(D211,УГО_спр,3,FALSE),IFERROR(VLOOKUP(AT211,УГО_спр,3,FALSE),IFERROR(VLOOKUP(LEFT(AT211,2),УГО_спр,3,FALSE),""))),IF(_xlpm.v="да",30,IF(ISNUMBER(_xlpm.v),_xlpm.v,0))))</f>
        <v>30</v>
      </c>
      <c r="DX211">
        <f t="shared" si="305"/>
        <v>0</v>
      </c>
      <c r="DY211">
        <f>IF(BD211="","",IF(AD211&lt;&gt;"",COUNTIFS(A$3:A211,A211,AD$3:AD211,"?*"),IF(OR(OR(AS211=1,A211&lt;&gt;A210),AL211="вручную"),"",IF(AS211=1,"",DZ210))))</f>
        <v>27</v>
      </c>
      <c r="DZ211">
        <f t="shared" si="306"/>
        <v>27</v>
      </c>
      <c r="EA211">
        <f>IF(D211="",0,MAX(IFERROR(--X211,0),IFERROR(--VLOOKUP(D211,УГО_спр,4,FALSE),IFERROR(--VLOOKUP(AT211,УГО_спр,4,FALSE),IFERROR(--VLOOKUP(LEFT(AT211,2),УГО_спр,4,FALSE),0)))))</f>
        <v>16</v>
      </c>
      <c r="EB211">
        <f>IF(D211="","",IFERROR(LOOKUP(INDEX(CHOOSE(BR211,Iдоп_1ж,Iдоп_2ж,Iдоп_3ж),MATCH(BS211,Iдоп_S,0))*BP211*BQ211,{6,10,16,20,25,32,40,50,63,80,100,125,160,200,250,315,400,500,630}),""))</f>
        <v>25</v>
      </c>
      <c r="EC211">
        <f>IF(AD211="","",SUMIFS(Линии[_Ток схемы],Линии[_гр.],DY211,Линии[Щит],A211,Линии[_в кабель выше],0))</f>
        <v>10.029999999999999</v>
      </c>
      <c r="ED211">
        <f>IF(AD211="","",IFERROR(VLOOKUP(EC211,Автомат_номиналы,2,TRUE),""))</f>
        <v>16</v>
      </c>
      <c r="EE211">
        <f>IF(AD211="","",MAX(N(ED211),_xlfn.MAXIFS(Линии[_мин. по типу],Линии[_гр.],DY211,Линии[Щит],A211)))</f>
        <v>16</v>
      </c>
      <c r="EF211">
        <f>IF(AD211="","",_xlfn.MINIFS(Линии[_макс. автомат по кабелю],Линии[_гр.],DY211,Линии[Щит],A211))</f>
        <v>25</v>
      </c>
      <c r="EG211">
        <f>IF(AD211="","",MAX(1,_xlfn.MAXIFS(Линии[_фаз],Линии[_гр.],DY211,Линии[Щит],A211)))</f>
        <v>1</v>
      </c>
      <c r="EH211">
        <f>IF(AD211="","",IF(AND(AD211&lt;&gt;"авто",AD211&lt;&gt;"+"),IF(ISNUMBER(SEARCH("мА",AD211)),IFERROR(--TRIM(RIGHT(SUBSTITUTE(LEFT(AD211,SEARCH("мА",AD211)-1)," ",REPT(" ",9)),6)),30),0),IF(AE211="нет",0,IF(ISNUMBER(AE211),AE211,IF(AE211="да",30,_xlfn.MINIFS(Линии[_дифзащита по коду, мА],Линии[_гр.],DY211,Линии[Щит],A211,Линии[_дифзащита по коду, мА],"&gt;0"))))))</f>
        <v>30</v>
      </c>
      <c r="EI211">
        <f t="shared" si="307"/>
        <v>1</v>
      </c>
      <c r="EJ211" t="str">
        <f t="shared" si="308"/>
        <v>QFD27</v>
      </c>
      <c r="EK211" t="str">
        <f t="shared" si="309"/>
        <v>QFD27</v>
      </c>
      <c r="EL211" t="str">
        <f t="shared" si="310"/>
        <v/>
      </c>
      <c r="EM211">
        <f t="shared" si="311"/>
        <v>0</v>
      </c>
      <c r="EN211">
        <f>IF(AD211="","",IF(EM211=1,MAX(EE211,Мин_автомат_БП),EE211))</f>
        <v>16</v>
      </c>
      <c r="EO211" t="str">
        <f t="shared" si="312"/>
        <v>2P</v>
      </c>
      <c r="EP211" t="str">
        <f t="shared" si="313"/>
        <v>2P С16А 30мА</v>
      </c>
      <c r="EQ211">
        <f t="shared" si="314"/>
        <v>16</v>
      </c>
      <c r="ER211" t="str">
        <f>IF(OR(AI211="",AI211="-"),"",IFERROR(VLOOKUP(AI211,Модули_спр,2,FALSE),"R"))</f>
        <v/>
      </c>
      <c r="ES211" t="str">
        <f>IF(ER211="","",ER211&amp;"."&amp;COUNTIFS(A$3:A211,A211,ER$3:ER211,ER211))</f>
        <v/>
      </c>
      <c r="ET211" t="str">
        <f t="shared" si="315"/>
        <v/>
      </c>
      <c r="EU211" t="str">
        <f t="shared" si="316"/>
        <v/>
      </c>
      <c r="EV211" t="str">
        <f t="shared" si="317"/>
        <v/>
      </c>
      <c r="EW211" t="str">
        <f t="shared" si="318"/>
        <v/>
      </c>
      <c r="EX211">
        <f t="shared" si="319"/>
        <v>1</v>
      </c>
      <c r="EY211" t="str">
        <f>IF(AK211="нет","",IF(AK211&lt;&gt;"",AK211,IF(EX211=1,"XT"&amp;COUNTIFS(A$3:A211,A211,EX$3:EX211,1),"")))</f>
        <v/>
      </c>
      <c r="EZ211" t="str">
        <f t="shared" si="320"/>
        <v>QFD27</v>
      </c>
      <c r="FA211" t="str">
        <f t="shared" si="321"/>
        <v/>
      </c>
      <c r="FB211" t="str">
        <f t="shared" si="322"/>
        <v>ok</v>
      </c>
      <c r="FC211" t="str">
        <f>IF(OR(EV211="",ET211=""),"",IF(EV211&gt;IFERROR(VLOOKUP(EU211,Модули_спр,3,FALSE),99),"ЛИШНИЙ КАНАЛ",IF(AND(AJ211&lt;&gt;"=",COUNTIFS(Линии[_модуль гр.],ET211,Линии[Канал (итог)],EV211,Линии[Канал],"&lt;&gt;=",Линии[Щит],A211)&gt;1),"ДУБЛЬ КАНАЛА","")))</f>
        <v/>
      </c>
      <c r="FD211">
        <f t="shared" si="323"/>
        <v>16</v>
      </c>
      <c r="FE211" t="str">
        <f t="shared" si="324"/>
        <v>2P С16А 30мА</v>
      </c>
      <c r="FF211">
        <f t="shared" si="325"/>
        <v>1</v>
      </c>
      <c r="FG211">
        <f t="shared" si="326"/>
        <v>30</v>
      </c>
      <c r="FH211" t="str">
        <f t="shared" si="327"/>
        <v/>
      </c>
      <c r="FI211">
        <f t="shared" si="328"/>
        <v>10</v>
      </c>
      <c r="FJ211" t="str">
        <f t="shared" si="329"/>
        <v/>
      </c>
      <c r="FK211" t="str">
        <f>IF(AND(D211="",EZ211=""),"",_xlfn.TEXTJOIN("; ",TRUE,IF(AND(D211&lt;&gt;"",DD211=""),"нет фазы",""),IF(AND(D211&lt;&gt;"",N(DT211)=0,CN211&lt;&gt;"Нет"),"нет мощности",""),IF(AND(EY211&lt;&gt;"",COUNTIFS(Линии[Щит],A211,Линии[Клемма (итог)],EY211)&gt;1),"дубль клеммы "&amp;EY211,""),IF(AND(FB211&lt;&gt;"",FB211&lt;&gt;"ok"),FB211,""),IF(FC211&lt;&gt;"",FC211,""),IF(AND(ISNUMBER(SEARCH("(5х",DS211)),N(DV211)=1),"5 жил на 1 фазе",""),IF(AND(AT211="R",AD211&lt;&gt;"",OR(N(EH211)=0,N(EH211)&gt;30)),"розетка без дифзащиты до 30 мА",""),IFERROR(IF(AND(ISNUMBER(CD211),CD211&gt;CE211),"потери "&amp;FIXED(CD211,1)&amp;" % &gt; "&amp;CE211&amp;" %",""),""),IFERROR(IF(LEFT(FJ211,4)="мало","Iкз мало — отключение &gt; 0,4 с",""),""),IF(AND(D211&lt;&gt;"",BD211=""),"не на схеме","")))</f>
        <v>потери 4,8 % &gt; 4 %</v>
      </c>
      <c r="FL211">
        <f>IF(AD211="","",_xlfn.LET(_xlpm.t,IFERROR(_xlfn.XLOOKUP(EP211,Каталог!$U$4:$U$500,Каталог!$G$4:$G$500),""),_xlpm.k,SEARCH("кА",_xlpm.t),IFERROR(--TRIM(RIGHT(SUBSTITUTE(MID(_xlpm.t,MAX(1,_xlpm.k-4),_xlpm.k-MAX(1,_xlpm.k-4))," ",REPT(" ",9)),5)),"")))</f>
        <v>6</v>
      </c>
      <c r="FM211" t="str">
        <f>IF(OR(FL211="",AD211=""),"",IF(_xlfn.XLOOKUP(A211,Щиты[Щит],Щиты[Iкз max на шинах, кА],"")="","",IF(FL211&lt;_xlfn.XLOOKUP(A211,Щиты[Щит],Щиты[Iкз max на шинах, кА]),"Icu "&amp;FL211&amp;" кА &lt; Iкз max","ok")))</f>
        <v/>
      </c>
      <c r="FN211" t="str">
        <f t="shared" si="330"/>
        <v>QFD27</v>
      </c>
      <c r="FO211" t="str">
        <f t="shared" si="331"/>
        <v>QFD27|кабель ВВГнг(А)-LS (3х2,5) → Розеточная группа Цокольный этаж Пом. №013Б Сушильная машина</v>
      </c>
      <c r="FP211" t="str" cm="1">
        <f t="array" ref="FP211">IF(FO211="","",_xlfn.LET(_xlpm.nd,_xlfn.TEXTSPLIT(FO211,"|"),IF(COLUMNS(_xlpm.nd)&gt;1,A211&amp;"¦"&amp;INDEX(_xlpm.nd,1)&amp;"¦"&amp;INDEX(_xlpm.nd,2),"")))</f>
        <v>ЩР-01¦QFD27¦кабель ВВГнг(А)-LS (3х2,5) → Розеточная группа Цокольный этаж Пом. №013Б Сушильная машина</v>
      </c>
      <c r="FQ211" t="str">
        <f t="shared" si="332"/>
        <v>R.0.013Б.4¦Розеточная группа Цокольный этаж Пом. №013Б Сушильная машина</v>
      </c>
      <c r="FR211" t="str" cm="1">
        <f t="array" ref="FR211">IF(FO211="","",_xlfn.LET(_xlpm.nd,_xlfn.TEXTSPLIT(FO211,"|"),IF(COLUMNS(_xlpm.nd)&gt;2,A211&amp;"¦"&amp;INDEX(_xlpm.nd,2)&amp;"¦"&amp;INDEX(_xlpm.nd,3),"")))</f>
        <v/>
      </c>
      <c r="FS211" t="str">
        <f t="shared" si="333"/>
        <v/>
      </c>
      <c r="FT211" t="str" cm="1">
        <f t="array" ref="FT211">IF(FO211="","",_xlfn.LET(_xlpm.nd,_xlfn.TEXTSPLIT(FO211,"|"),IF(COLUMNS(_xlpm.nd)&gt;3,A211&amp;"¦"&amp;INDEX(_xlpm.nd,3)&amp;"¦"&amp;INDEX(_xlpm.nd,4),"")))</f>
        <v/>
      </c>
      <c r="FU211" t="str">
        <f t="shared" si="334"/>
        <v/>
      </c>
      <c r="FV211" t="str" cm="1">
        <f t="array" ref="FV211">IF(FO211="","",_xlfn.LET(_xlpm.nd,_xlfn.TEXTSPLIT(FO211,"|"),IF(COLUMNS(_xlpm.nd)&gt;4,A211&amp;"¦"&amp;INDEX(_xlpm.nd,4)&amp;"¦"&amp;INDEX(_xlpm.nd,5),"")))</f>
        <v/>
      </c>
      <c r="FW211" t="str">
        <f t="shared" si="335"/>
        <v/>
      </c>
      <c r="FX211" t="str" cm="1">
        <f t="array" ref="FX211">IF(FO211="","",_xlfn.LET(_xlpm.nd,_xlfn.TEXTSPLIT(FO211,"|"),IF(COLUMNS(_xlpm.nd)&gt;5,A211&amp;"¦"&amp;INDEX(_xlpm.nd,5)&amp;"¦"&amp;INDEX(_xlpm.nd,6),"")))</f>
        <v/>
      </c>
      <c r="FY211" t="str">
        <f t="shared" si="336"/>
        <v/>
      </c>
      <c r="FZ211" t="str" cm="1">
        <f t="array" ref="FZ211">IF(FO211="","",_xlfn.LET(_xlpm.nd,_xlfn.TEXTSPLIT(FO211,"|"),IF(COLUMNS(_xlpm.nd)&gt;6,A211&amp;"¦"&amp;INDEX(_xlpm.nd,6)&amp;"¦"&amp;INDEX(_xlpm.nd,7),"")))</f>
        <v/>
      </c>
      <c r="GA211" t="str">
        <f t="shared" si="337"/>
        <v/>
      </c>
      <c r="GB211" t="str">
        <f t="shared" si="338"/>
        <v/>
      </c>
      <c r="GC211" t="str">
        <f t="shared" si="339"/>
        <v>QFD27</v>
      </c>
      <c r="GD211">
        <f t="shared" si="340"/>
        <v>1</v>
      </c>
      <c r="GE211">
        <f t="shared" si="341"/>
        <v>0</v>
      </c>
      <c r="GF211">
        <f t="shared" si="342"/>
        <v>1</v>
      </c>
      <c r="GG211" t="str">
        <f t="shared" si="343"/>
        <v/>
      </c>
      <c r="GH211" t="str">
        <f t="shared" si="344"/>
        <v/>
      </c>
      <c r="GI211" t="str">
        <f t="shared" si="345"/>
        <v/>
      </c>
      <c r="GJ211" t="str">
        <f t="shared" si="346"/>
        <v/>
      </c>
      <c r="GK211" t="str">
        <f>IF(D211="","",IFERROR(VLOOKUP(D211,УГО_спр,2,FALSE),IFERROR(VLOOKUP(AT211,УГО_спр,2,FALSE),IFERROR(VLOOKUP(LEFT(AT211,2),УГО_спр,2,FALSE),""))))</f>
        <v>Розетка</v>
      </c>
      <c r="GL211" t="str">
        <f>IF(D211="","",IF(OR(GK211="",GK211=0),"BOX",IFERROR(IF(VLOOKUP(GK211,УГО_блоки,3,FALSE)&amp;""&lt;&gt;"",VLOOKUP(GK211,УГО_блоки,3,FALSE),VLOOKUP(GK211,УГО_блоки,2,FALSE)),GK211)))</f>
        <v>SOCKET</v>
      </c>
      <c r="GM211">
        <f t="shared" si="347"/>
        <v>1</v>
      </c>
      <c r="GN211" t="str">
        <f>IF(EP211="","",IF(COUNTIF(EP$3:EP211,EP211)=1,MAX(GN$2:GN210)+1,""))</f>
        <v/>
      </c>
      <c r="GO211" t="str">
        <f>IF(AF211="","",IF(COUNTIF(AF$3:AF211,AF211)+COUNTIF(AG$2:AG210,AF211)+COUNTIF(AH$2:AH210,AF211)=1,MAX(GO$2:GQ210)+1,""))</f>
        <v/>
      </c>
      <c r="GP211" t="str">
        <f>IF(AG211="","",IF(COUNTIF(AF$3:AF211,AG211)+COUNTIF(AG$3:AG211,AG211)+COUNTIF(AH$2:AH210,AG211)=1,MAX(GO$2:GQ210,GO211)+1,""))</f>
        <v/>
      </c>
      <c r="GQ211" t="str">
        <f>IF(AH211="","",IF(COUNTIF(AF$3:AF211,AH211)+COUNTIF(AG$3:AG211,AH211)+COUNTIF(AH$3:AH211,AH211)=1,MAX(GO$2:GQ210,GO211,GP211)+1,""))</f>
        <v/>
      </c>
      <c r="GR211" t="str">
        <f t="shared" si="348"/>
        <v>3х2,5</v>
      </c>
      <c r="GS211" t="str">
        <f>IF(GR211="","",IF(COUNTIF(GR$3:GR211,GR211)=1,MAX(GS$2:GS210)+1,""))</f>
        <v/>
      </c>
      <c r="GT211" t="str">
        <f>IF(ES211="","",COUNTIF(ES$3:ES211,"?*"))</f>
        <v/>
      </c>
      <c r="GU211" t="str">
        <f>IF(OR(ES211="",EU211=""),"",IF(COUNTIFS(ES$3:ES211,"?*",EU$3:EU211,EU211)=1,MAX(GU$2:GU210)+1,""))</f>
        <v/>
      </c>
      <c r="GV211">
        <f t="shared" si="349"/>
        <v>1</v>
      </c>
      <c r="GW211">
        <f>IF(D211="","",COUNTIF(D$3:D211,"?*"))</f>
        <v>209</v>
      </c>
      <c r="GX211">
        <f>IF(EX211&lt;&gt;1,0,_xlfn.LET(_xlpm.k,MAX(IFERROR(--VLOOKUP(D211,УГО_спр,5,FALSE),0),IFERROR(--VLOOKUP(AT211,УГО_спр,5,FALSE),0),IFERROR(--VLOOKUP(LEFT(AT211,2),УГО_спр,5,FALSE),0)),IF(_xlpm.k&gt;0,_xlpm.k,IF(IFERROR(--LEFT(SUBSTITUTE(GR211,"x","х"),FIND("х",SUBSTITUTE(GR211,"x","х"))-1),3)&gt;3,Каталог!$S$9,1))))</f>
        <v>1</v>
      </c>
      <c r="GY211">
        <f t="shared" si="350"/>
        <v>0</v>
      </c>
    </row>
    <row r="212" spans="1:207" x14ac:dyDescent="0.3">
      <c r="A212" t="s">
        <v>760</v>
      </c>
      <c r="B212">
        <v>40</v>
      </c>
      <c r="C212" t="str">
        <f>IF(BD212="","",IF(BE212="вводной узел","узел ","")&amp;"л."&amp;(INT((BD212-1)/Столбцов_на_лист)+1)&amp;" / "&amp;(MOD(BD212-1,Столбцов_на_лист)+1))</f>
        <v>л.3 / 6</v>
      </c>
      <c r="D212" t="s">
        <v>1525</v>
      </c>
      <c r="E212" s="133" t="str">
        <f t="shared" si="351"/>
        <v>Розеточная группа Цокольный этаж Пом. №015A</v>
      </c>
      <c r="G212">
        <v>0.12</v>
      </c>
      <c r="H212">
        <v>2</v>
      </c>
      <c r="I212">
        <v>1</v>
      </c>
      <c r="J212">
        <v>230</v>
      </c>
      <c r="K212" t="s">
        <v>566</v>
      </c>
      <c r="O212">
        <v>1</v>
      </c>
      <c r="P212">
        <v>63</v>
      </c>
      <c r="Q212">
        <v>50</v>
      </c>
      <c r="R212">
        <v>17</v>
      </c>
      <c r="S212">
        <v>5</v>
      </c>
      <c r="U212" t="s">
        <v>11</v>
      </c>
      <c r="V212">
        <v>3</v>
      </c>
      <c r="W212">
        <v>2.5</v>
      </c>
      <c r="Z212" t="s">
        <v>565</v>
      </c>
      <c r="AA212" t="s">
        <v>818</v>
      </c>
      <c r="AD212" t="s">
        <v>517</v>
      </c>
      <c r="AK212" t="s">
        <v>488</v>
      </c>
      <c r="AR212" t="str">
        <f t="shared" si="264"/>
        <v/>
      </c>
      <c r="AS212" cm="1">
        <f t="array" ref="AS212">ROW()-ROW(Линии[#Headers])</f>
        <v>210</v>
      </c>
      <c r="AT212" t="str">
        <f t="shared" si="265"/>
        <v>R</v>
      </c>
      <c r="AU212" t="str">
        <f t="shared" si="266"/>
        <v>0.015A.1</v>
      </c>
      <c r="AV212" t="str">
        <f t="shared" si="267"/>
        <v>0</v>
      </c>
      <c r="AW212" t="str">
        <f t="shared" si="268"/>
        <v>015A.1</v>
      </c>
      <c r="AX212" t="str">
        <f t="shared" si="269"/>
        <v>015A</v>
      </c>
      <c r="AY212" t="str">
        <f>IF(D212="","",IF(ISERROR(SEARCH(".",D212)),IFERROR(VLOOKUP(D212,Потребители_обозначение,2,FALSE)&amp;"",""),IFERROR(IF(VLOOKUP(AT212,Потребители_обозначение,4,FALSE)=1,VLOOKUP(AT212,Потребители_обозначение,2,FALSE)&amp;" "&amp;VLOOKUP(AV212,Этаж_обозначение,2,FALSE)&amp;" Пом. №"&amp;AX212,VLOOKUP(AT212,Потребители_обозначение,2,FALSE)&amp;" Шлейф №"&amp;AV212),IFERROR(VLOOKUP(D212,Потребители_обозначение,2,FALSE),""))))</f>
        <v>Розеточная группа Цокольный этаж Пом. №015A</v>
      </c>
      <c r="AZ212" t="str">
        <f t="shared" si="270"/>
        <v>Розеточная группа Цокольный этаж Пом. №015A</v>
      </c>
      <c r="BA212" t="str">
        <f>IF(F212&lt;&gt;"",F212,IF(AND(D212&lt;&gt;"",D212&lt;&gt;A212,ISNUMBER(_xlfn.XMATCH(D212,Щиты[Щит]))),D212,""))</f>
        <v/>
      </c>
      <c r="BB212">
        <f>IFERROR(_xlfn.XMATCH(A212,Щиты[Щит]),0)</f>
        <v>9</v>
      </c>
      <c r="BC212">
        <f>IFERROR(N(_xlfn.XLOOKUP(A212,Щиты[Щит],Щиты[Мест под вводной узел])),15)</f>
        <v>8</v>
      </c>
      <c r="BD212">
        <f t="shared" si="271"/>
        <v>40</v>
      </c>
      <c r="BE212" t="str">
        <f t="shared" si="272"/>
        <v>линии</v>
      </c>
      <c r="BF212">
        <f>IF(D212="","",IF(BA212&lt;&gt;"",IFERROR(_xlfn.XLOOKUP(BA212,Щиты[Щит],Щиты[Руст, кВт]),0),N(G212)))</f>
        <v>0.12</v>
      </c>
      <c r="BG212">
        <f>IF(J212&lt;&gt;"",J212,IF(D212="","",IFERROR(IF(VLOOKUP(AT212,Потребители_обозначение,8,FALSE)=0,"",VLOOKUP(AT212,Потребители_обозначение,8,FALSE)),"")))</f>
        <v>230</v>
      </c>
      <c r="BH212">
        <f>IF(I212&lt;&gt;"",I212,IF(D212="","",IFERROR(IF(VLOOKUP(AT212,Потребители_обозначение,9,FALSE)=0,"",VLOOKUP(AT212,Потребители_обозначение,9,FALSE)),"")))</f>
        <v>1</v>
      </c>
      <c r="BI212" t="str">
        <f>IF(U212&lt;&gt;"",U212,IF(D212="","",IFERROR(IF(VLOOKUP(AT212,Потребители_обозначение,6,FALSE)=0,"",VLOOKUP(AT212,Потребители_обозначение,6,FALSE)),"")))</f>
        <v>мс</v>
      </c>
      <c r="BJ212">
        <f>IF(V212&lt;&gt;"",V212,IF(D212="","",IFERROR(IF(VLOOKUP(AT212,Потребители_обозначение,7,FALSE)=0,"",VLOOKUP(AT212,Потребители_обозначение,7,FALSE)),"")))</f>
        <v>3</v>
      </c>
      <c r="BK212">
        <f>IF(W212&lt;&gt;"",W212,IF(D212="","",IFERROR(IF(VLOOKUP(AT212,Потребители_обозначение,10,FALSE)=0,"",VLOOKUP(AT212,Потребители_обозначение,10,FALSE)),"")))</f>
        <v>2.5</v>
      </c>
      <c r="BL212">
        <f>IFERROR(VLOOKUP(AT212,Потребители_обозначение,5,FALSE),0)</f>
        <v>1</v>
      </c>
      <c r="BM212" cm="1">
        <f t="array" ref="BM212">IF(D212="","",IF(BA212&lt;&gt;"",IFERROR(_xlfn.XLOOKUP(BA212,Щиты[Щит],Щиты[cos φ]),0.95),IF(ISNUMBER(M212),M212,IFERROR(IF(BL212=2,_xlfn.IFS(BH212=3,VLOOKUP(BF212,Справочная_двигатели,8,FALSE),BH212=1,VLOOKUP(BF212,Справочная_двигатели,10,TRUE)),IF(AND(Методика="нормы 2026",CN212="Сил"),0.8,0.95)),0.95))))</f>
        <v>0.95</v>
      </c>
      <c r="BN212" cm="1">
        <f t="array" ref="BN212">IF(D212="","",IF(BA212&lt;&gt;"",IFERROR(_xlfn.XLOOKUP(BA212,Щиты[Щит],Щиты[Iр, А]),""),IFERROR(_xlfn.IFS(BH212=1,BF212/((Uн_лин/SQRT(3))*BM212),BH212=3,BF212/(SQRT(3)*Uн_лин*BM212)),"")))</f>
        <v>0.54696341291648753</v>
      </c>
      <c r="BO212">
        <f>IF(D212="","",IF(N(X212)=0,IFERROR(VLOOKUP(BN212,Автомат_номиналы,2,TRUE),""),X212))</f>
        <v>6</v>
      </c>
      <c r="BP212">
        <f t="shared" si="273"/>
        <v>1</v>
      </c>
      <c r="BQ212">
        <f>IF(ISNUMBER(Y212),Y212,К_прокл)</f>
        <v>1</v>
      </c>
      <c r="BR212">
        <f t="shared" si="274"/>
        <v>2</v>
      </c>
      <c r="BS212" cm="1">
        <f t="array" ref="BS212">IF(D212="","",IF(N(BK212)&lt;&gt;0,BK212,IFERROR(_xlfn.LET(_xlpm.need,BO212/(BP212*BQ212),_xlpm.t,CHOOSE(BR212,Iдоп_1ж,Iдоп_2ж,Iдоп_3ж),_xlpm.k,_xlfn.XMATCH(_xlpm.need,_xlpm.t,1),IF(ISNA(_xlpm.k),"Не исп",INDEX(Iдоп_S,_xlpm.k))),"Не исп")))</f>
        <v>2.5</v>
      </c>
      <c r="BT212">
        <f>IFERROR(VLOOKUP(BS212,Кабель_сопротивление,3,FALSE),"")</f>
        <v>2.2499999999999999E-2</v>
      </c>
      <c r="BU212">
        <f>IFERROR(VLOOKUP(BS212,Кабель_сопротивление,2,FALSE),"")</f>
        <v>0.1</v>
      </c>
      <c r="BV212">
        <f t="shared" si="275"/>
        <v>63</v>
      </c>
      <c r="BW212">
        <f>IF(D212="","",IFERROR(IF(VLOOKUP(AT212,Потребители_обозначение,4,FALSE)=1,VLOOKUP(AT212,Потребители_обозначение,3,FALSE)*(H212*2-1)+BV212+VLOOKUP(AV212,Этаж_обозначение,3,FALSE)+VLOOKUP(AV212,Этаж_обозначение,4,FALSE),VLOOKUP(AT212,Потребители_обозначение,3,FALSE)*(H212*2-1)+BV212),BV212))</f>
        <v>72</v>
      </c>
      <c r="BX212">
        <f t="shared" si="276"/>
        <v>17</v>
      </c>
      <c r="BY212">
        <f t="shared" si="277"/>
        <v>5</v>
      </c>
      <c r="BZ212">
        <f t="shared" si="278"/>
        <v>2</v>
      </c>
      <c r="CA212">
        <f t="shared" si="279"/>
        <v>0.31</v>
      </c>
      <c r="CB212">
        <f t="shared" si="280"/>
        <v>0.67586299865803856</v>
      </c>
      <c r="CC212">
        <f>IFERROR(ROUNDUP(CB212/((Uн_лин/SQRT(3))*1000)*100,2),"")</f>
        <v>0.3</v>
      </c>
      <c r="CD212">
        <f>IF(ISNUMBER(CC212),CC212+IFERROR(_xlfn.XLOOKUP(A212,Щиты[Щит],Щиты[ΔU до шин, %]),0),"")</f>
        <v>0.73</v>
      </c>
      <c r="CE212">
        <f>IF(D212="","",IF(IFERROR(VLOOKUP(AT212,УГО_спр,2,FALSE),"")="Светильник",3,4)+IF(Методика="нормы 2026",MIN(0.5,MAX(0,N(BW212)-100)*0.005),0))</f>
        <v>4</v>
      </c>
      <c r="CF212" t="str">
        <f>IFERROR(VLOOKUP(BI212,Кабель_обозначение,2,FALSE),"")</f>
        <v>ВВГнг(А)-LS</v>
      </c>
      <c r="CG212" t="str">
        <f>IFERROR(IF(VLOOKUP(BI212,Кабель_обозначение,3,FALSE)=1,CF212&amp;" ("&amp;BJ212&amp;"х"&amp;BS212&amp;")",CF212),"")</f>
        <v>ВВГнг(А)-LS (3х2,5)</v>
      </c>
      <c r="CH212" t="str">
        <f t="shared" si="281"/>
        <v>ВВГнг(А)-LS (3х2,5)
L=72-0,3%</v>
      </c>
      <c r="CI212">
        <f>IFERROR(2*ρкз_Cu*BW212/BS212,"")</f>
        <v>1.51488</v>
      </c>
      <c r="CJ212">
        <f t="shared" si="282"/>
        <v>0.50400000000000011</v>
      </c>
      <c r="CK212" t="str">
        <f>IFERROR(IF(OR(D212="",NOT(ISNUMBER(BS212)),N(BW212)=0),"",_xlfn.XLOOKUP(A212,Щиты[Щит],Щиты[Zпетли на шинах, Ом])+CI212),"")</f>
        <v/>
      </c>
      <c r="CL212" t="str">
        <f>IF(ISNUMBER(CK212),c_min*(Uн_лин*1000/SQRT(3))/CK212,"")</f>
        <v/>
      </c>
      <c r="CM212" t="str">
        <f>IFERROR(IF(OR(D212="",NOT(ISNUMBER(BS212))),"",1.05*(Uн_лин*1000/SQRT(3))/(_xlfn.XLOOKUP(A212,Щиты[Щит],Щиты[Zmax на шинах, Ом])+CJ212)/1000),"")</f>
        <v/>
      </c>
      <c r="CN212" t="str">
        <f>IF(D212="","",IF(BA212&lt;&gt;"","Щит",IF(K212&lt;&gt;"",K212,IF(ISNUMBER(L212),"Сил",IF(IFERROR(_xlfn.XLOOKUP(AT212,Коды_код,Коды_группа)&amp;"","")="","Быт",_xlfn.XLOOKUP(AT212,Коды_код,Коды_группа)&amp;"")))))</f>
        <v>Быт</v>
      </c>
      <c r="CO212">
        <f>IF(CN212="Щит","щит",IF(CN212="","",IF(CN212="Быт",IFERROR(_xlfn.XLOOKUP(A212,Щиты[Щит],Щиты[Кс быт]),1),IF(CN212="Сил",IF(ISNUMBER(L212),L212,IF(Методика="нормы 2026",IFERROR(_xlfn.XLOOKUP(A212,Щиты[Щит],Щиты[Кс силовых (табл. 7.5)]),1),1)),IF(OR(CN212="Пост",CN212="Отоп"),1,IF(CN212="ВНГ",0.7,0))))))</f>
        <v>0.79799999999999993</v>
      </c>
      <c r="CP212">
        <f t="shared" si="283"/>
        <v>1</v>
      </c>
      <c r="CQ212">
        <f t="shared" si="284"/>
        <v>0.12</v>
      </c>
      <c r="CR212">
        <f t="shared" si="285"/>
        <v>0.12</v>
      </c>
      <c r="CS212">
        <f t="shared" si="286"/>
        <v>0</v>
      </c>
      <c r="CT212">
        <f t="shared" si="287"/>
        <v>0</v>
      </c>
      <c r="CU212">
        <f t="shared" si="288"/>
        <v>0</v>
      </c>
      <c r="CV212">
        <f t="shared" si="289"/>
        <v>0</v>
      </c>
      <c r="CW212">
        <f t="shared" si="290"/>
        <v>0.12</v>
      </c>
      <c r="CX212">
        <f t="shared" si="291"/>
        <v>0.11399999999999999</v>
      </c>
      <c r="CY212">
        <f t="shared" si="292"/>
        <v>1</v>
      </c>
      <c r="CZ212" t="str">
        <f t="shared" si="293"/>
        <v>L1</v>
      </c>
      <c r="DA212" cm="1">
        <f t="array" ref="DA212">IFERROR(IF(BL212=2,_xlfn.IFS(BH212=3,VLOOKUP(BF212,Справочная_двигатели,3,FALSE),BH212=1,VLOOKUP(BF212,Справочная_двигатели,5,TRUE)),0),0)</f>
        <v>0</v>
      </c>
      <c r="DB212">
        <f>IFERROR(IF(BL212=3,VLOOKUP(BF212,Справочная_ЛЭД,2,TRUE),0),0)</f>
        <v>0</v>
      </c>
      <c r="DC212">
        <f t="shared" si="294"/>
        <v>0</v>
      </c>
      <c r="DD212" t="str">
        <f t="shared" si="295"/>
        <v>L1</v>
      </c>
      <c r="DE212" t="str" cm="1">
        <f t="array" ref="DE212">IF(D212="","",IFERROR(INDEX({"I особая","I","II","III"},MATCH(TRIM(AA212&amp;""),{"I особая","I","II","III"},0)),"III"))</f>
        <v>II</v>
      </c>
      <c r="DF212" t="str">
        <f>IF(D212="","",IF(TRIM(AB212&amp;"")&lt;&gt;"",IF(LOWER(TRIM(AB212&amp;""))="да","да","нет"),IF(IFERROR(_xlfn.XLOOKUP(AT212,Коды_код,Коды_пожарная),"")="да","да","нет")))</f>
        <v>нет</v>
      </c>
      <c r="DG212" t="str">
        <f t="shared" si="296"/>
        <v/>
      </c>
      <c r="DH212" t="str">
        <f t="shared" si="297"/>
        <v>основная</v>
      </c>
      <c r="DI212">
        <f t="shared" si="298"/>
        <v>1</v>
      </c>
      <c r="DJ212" t="str" cm="1">
        <f t="array" ref="DJ212">IF(D212="","",_xlfn.LET(_xlpm.t,IFERROR(_xlfn.XLOOKUP(1,(Шины[Шина]=DH212)*(((Шины[Щит]=A212)+(Шины[Щит]=""))&gt;0),Шины[Тип]),"")&amp;"",IF(_xlpm.t&lt;&gt;"",_xlpm.t,IF(ISNUMBER(SEARCH("ИБП",DH212)),"ИБП",IF(ISNUMBER(SEARCH("ДГУ",DH212)),"ДГУ","Ввод "&amp;DI212)))))</f>
        <v>Ввод 1</v>
      </c>
      <c r="DK212" t="str">
        <f t="shared" si="299"/>
        <v>Ввод 1</v>
      </c>
      <c r="DL212" t="str">
        <f>IF(D212="","",IF(OR(DJ212="ИБП",DJ212="ДГУ"),"I особая",IF(DJ212="Одиночная","III",_xlfn.XLOOKUP(A212,Щиты[Щит],Щиты[Категория шины «Ввод»],"III"))))</f>
        <v>II</v>
      </c>
      <c r="DM212">
        <f>IF(D212="",0,IFERROR(MATCH(DE212,{"III","II","I","I особая"},0),1))</f>
        <v>2</v>
      </c>
      <c r="DN212">
        <f t="shared" si="300"/>
        <v>2</v>
      </c>
      <c r="DO212" t="str">
        <f>IF(D212="","",IF(DM212&gt;IFERROR(MATCH(DL212,{"III","II","I","I особая"},0),1),"НЕ ОБЕСПЕЧЕНА","ОК"))</f>
        <v>ОК</v>
      </c>
      <c r="DP212" t="str">
        <f>IF(A212="","",_xlfn.XLOOKUP(A212,Щиты[Щит],Щиты[Путь],""))</f>
        <v>|ГРЩ-ЖД|ЩР-01|</v>
      </c>
      <c r="DQ212" t="str">
        <f>IF(D212="","",IF(Z212&lt;&gt;"",Z212,IF(IFERROR(_xlfn.XLOOKUP(AT212,Коды_код,Коды_вид)&amp;"","")="","Прочее",_xlfn.XLOOKUP(AT212,Коды_код,Коды_вид)&amp;"")))</f>
        <v>Розеточная сеть и бытовые приборы</v>
      </c>
      <c r="DR212">
        <f>IF(BD212="","",INT((BD212-1)/Столбцов_на_лист)+1)</f>
        <v>3</v>
      </c>
      <c r="DS212" t="str">
        <f t="shared" si="301"/>
        <v>ВВГнг(А)-LS (3х2,5) L=72-0,3%</v>
      </c>
      <c r="DT212">
        <f t="shared" si="302"/>
        <v>0.12</v>
      </c>
      <c r="DU212">
        <f t="shared" si="303"/>
        <v>0.55000000000000004</v>
      </c>
      <c r="DV212">
        <f t="shared" si="304"/>
        <v>1</v>
      </c>
      <c r="DW212">
        <f>IF(AT212="",0,_xlfn.LET(_xlpm.v,IFERROR(VLOOKUP(D212,УГО_спр,3,FALSE),IFERROR(VLOOKUP(AT212,УГО_спр,3,FALSE),IFERROR(VLOOKUP(LEFT(AT212,2),УГО_спр,3,FALSE),""))),IF(_xlpm.v="да",30,IF(ISNUMBER(_xlpm.v),_xlpm.v,0))))</f>
        <v>30</v>
      </c>
      <c r="DX212">
        <f t="shared" si="305"/>
        <v>0</v>
      </c>
      <c r="DY212">
        <f>IF(BD212="","",IF(AD212&lt;&gt;"",COUNTIFS(A$3:A212,A212,AD$3:AD212,"?*"),IF(OR(OR(AS212=1,A212&lt;&gt;A211),AL212="вручную"),"",IF(AS212=1,"",DZ211))))</f>
        <v>28</v>
      </c>
      <c r="DZ212">
        <f t="shared" si="306"/>
        <v>28</v>
      </c>
      <c r="EA212">
        <f>IF(D212="",0,MAX(IFERROR(--X212,0),IFERROR(--VLOOKUP(D212,УГО_спр,4,FALSE),IFERROR(--VLOOKUP(AT212,УГО_спр,4,FALSE),IFERROR(--VLOOKUP(LEFT(AT212,2),УГО_спр,4,FALSE),0)))))</f>
        <v>16</v>
      </c>
      <c r="EB212">
        <f>IF(D212="","",IFERROR(LOOKUP(INDEX(CHOOSE(BR212,Iдоп_1ж,Iдоп_2ж,Iдоп_3ж),MATCH(BS212,Iдоп_S,0))*BP212*BQ212,{6,10,16,20,25,32,40,50,63,80,100,125,160,200,250,315,400,500,630}),""))</f>
        <v>25</v>
      </c>
      <c r="EC212">
        <f>IF(AD212="","",SUMIFS(Линии[_Ток схемы],Линии[_гр.],DY212,Линии[Щит],A212,Линии[_в кабель выше],0))</f>
        <v>0.55000000000000004</v>
      </c>
      <c r="ED212">
        <f>IF(AD212="","",IFERROR(VLOOKUP(EC212,Автомат_номиналы,2,TRUE),""))</f>
        <v>6</v>
      </c>
      <c r="EE212">
        <f>IF(AD212="","",MAX(N(ED212),_xlfn.MAXIFS(Линии[_мин. по типу],Линии[_гр.],DY212,Линии[Щит],A212)))</f>
        <v>16</v>
      </c>
      <c r="EF212">
        <f>IF(AD212="","",_xlfn.MINIFS(Линии[_макс. автомат по кабелю],Линии[_гр.],DY212,Линии[Щит],A212))</f>
        <v>25</v>
      </c>
      <c r="EG212">
        <f>IF(AD212="","",MAX(1,_xlfn.MAXIFS(Линии[_фаз],Линии[_гр.],DY212,Линии[Щит],A212)))</f>
        <v>1</v>
      </c>
      <c r="EH212">
        <f>IF(AD212="","",IF(AND(AD212&lt;&gt;"авто",AD212&lt;&gt;"+"),IF(ISNUMBER(SEARCH("мА",AD212)),IFERROR(--TRIM(RIGHT(SUBSTITUTE(LEFT(AD212,SEARCH("мА",AD212)-1)," ",REPT(" ",9)),6)),30),0),IF(AE212="нет",0,IF(ISNUMBER(AE212),AE212,IF(AE212="да",30,_xlfn.MINIFS(Линии[_дифзащита по коду, мА],Линии[_гр.],DY212,Линии[Щит],A212,Линии[_дифзащита по коду, мА],"&gt;0"))))))</f>
        <v>30</v>
      </c>
      <c r="EI212">
        <f t="shared" si="307"/>
        <v>1</v>
      </c>
      <c r="EJ212" t="str">
        <f t="shared" si="308"/>
        <v>QFD28</v>
      </c>
      <c r="EK212" t="str">
        <f t="shared" si="309"/>
        <v>QFD28</v>
      </c>
      <c r="EL212" t="str">
        <f t="shared" si="310"/>
        <v/>
      </c>
      <c r="EM212">
        <f t="shared" si="311"/>
        <v>0</v>
      </c>
      <c r="EN212">
        <f>IF(AD212="","",IF(EM212=1,MAX(EE212,Мин_автомат_БП),EE212))</f>
        <v>16</v>
      </c>
      <c r="EO212" t="str">
        <f t="shared" si="312"/>
        <v>2P</v>
      </c>
      <c r="EP212" t="str">
        <f t="shared" si="313"/>
        <v>2P С16А 30мА</v>
      </c>
      <c r="EQ212">
        <f t="shared" si="314"/>
        <v>16</v>
      </c>
      <c r="ER212" t="str">
        <f>IF(OR(AI212="",AI212="-"),"",IFERROR(VLOOKUP(AI212,Модули_спр,2,FALSE),"R"))</f>
        <v/>
      </c>
      <c r="ES212" t="str">
        <f>IF(ER212="","",ER212&amp;"."&amp;COUNTIFS(A$3:A212,A212,ER$3:ER212,ER212))</f>
        <v/>
      </c>
      <c r="ET212" t="str">
        <f t="shared" si="315"/>
        <v/>
      </c>
      <c r="EU212" t="str">
        <f t="shared" si="316"/>
        <v/>
      </c>
      <c r="EV212" t="str">
        <f t="shared" si="317"/>
        <v/>
      </c>
      <c r="EW212" t="str">
        <f t="shared" si="318"/>
        <v/>
      </c>
      <c r="EX212">
        <f t="shared" si="319"/>
        <v>1</v>
      </c>
      <c r="EY212" t="str">
        <f>IF(AK212="нет","",IF(AK212&lt;&gt;"",AK212,IF(EX212=1,"XT"&amp;COUNTIFS(A$3:A212,A212,EX$3:EX212,1),"")))</f>
        <v/>
      </c>
      <c r="EZ212" t="str">
        <f t="shared" si="320"/>
        <v>QFD28</v>
      </c>
      <c r="FA212" t="str">
        <f t="shared" si="321"/>
        <v/>
      </c>
      <c r="FB212" t="str">
        <f t="shared" si="322"/>
        <v>ok</v>
      </c>
      <c r="FC212" t="str">
        <f>IF(OR(EV212="",ET212=""),"",IF(EV212&gt;IFERROR(VLOOKUP(EU212,Модули_спр,3,FALSE),99),"ЛИШНИЙ КАНАЛ",IF(AND(AJ212&lt;&gt;"=",COUNTIFS(Линии[_модуль гр.],ET212,Линии[Канал (итог)],EV212,Линии[Канал],"&lt;&gt;=",Линии[Щит],A212)&gt;1),"ДУБЛЬ КАНАЛА","")))</f>
        <v/>
      </c>
      <c r="FD212">
        <f t="shared" si="323"/>
        <v>16</v>
      </c>
      <c r="FE212" t="str">
        <f t="shared" si="324"/>
        <v>2P С16А 30мА</v>
      </c>
      <c r="FF212">
        <f t="shared" si="325"/>
        <v>1</v>
      </c>
      <c r="FG212">
        <f t="shared" si="326"/>
        <v>30</v>
      </c>
      <c r="FH212" t="str">
        <f t="shared" si="327"/>
        <v/>
      </c>
      <c r="FI212">
        <f t="shared" si="328"/>
        <v>10</v>
      </c>
      <c r="FJ212" t="str">
        <f t="shared" si="329"/>
        <v/>
      </c>
      <c r="FK212" t="str">
        <f>IF(AND(D212="",EZ212=""),"",_xlfn.TEXTJOIN("; ",TRUE,IF(AND(D212&lt;&gt;"",DD212=""),"нет фазы",""),IF(AND(D212&lt;&gt;"",N(DT212)=0,CN212&lt;&gt;"Нет"),"нет мощности",""),IF(AND(EY212&lt;&gt;"",COUNTIFS(Линии[Щит],A212,Линии[Клемма (итог)],EY212)&gt;1),"дубль клеммы "&amp;EY212,""),IF(AND(FB212&lt;&gt;"",FB212&lt;&gt;"ok"),FB212,""),IF(FC212&lt;&gt;"",FC212,""),IF(AND(ISNUMBER(SEARCH("(5х",DS212)),N(DV212)=1),"5 жил на 1 фазе",""),IF(AND(AT212="R",AD212&lt;&gt;"",OR(N(EH212)=0,N(EH212)&gt;30)),"розетка без дифзащиты до 30 мА",""),IFERROR(IF(AND(ISNUMBER(CD212),CD212&gt;CE212),"потери "&amp;FIXED(CD212,1)&amp;" % &gt; "&amp;CE212&amp;" %",""),""),IFERROR(IF(LEFT(FJ212,4)="мало","Iкз мало — отключение &gt; 0,4 с",""),""),IF(AND(D212&lt;&gt;"",BD212=""),"не на схеме","")))</f>
        <v/>
      </c>
      <c r="FL212">
        <f>IF(AD212="","",_xlfn.LET(_xlpm.t,IFERROR(_xlfn.XLOOKUP(EP212,Каталог!$U$4:$U$500,Каталог!$G$4:$G$500),""),_xlpm.k,SEARCH("кА",_xlpm.t),IFERROR(--TRIM(RIGHT(SUBSTITUTE(MID(_xlpm.t,MAX(1,_xlpm.k-4),_xlpm.k-MAX(1,_xlpm.k-4))," ",REPT(" ",9)),5)),"")))</f>
        <v>6</v>
      </c>
      <c r="FM212" t="str">
        <f>IF(OR(FL212="",AD212=""),"",IF(_xlfn.XLOOKUP(A212,Щиты[Щит],Щиты[Iкз max на шинах, кА],"")="","",IF(FL212&lt;_xlfn.XLOOKUP(A212,Щиты[Щит],Щиты[Iкз max на шинах, кА]),"Icu "&amp;FL212&amp;" кА &lt; Iкз max","ok")))</f>
        <v/>
      </c>
      <c r="FN212" t="str">
        <f t="shared" si="330"/>
        <v>QFD28</v>
      </c>
      <c r="FO212" t="str">
        <f t="shared" si="331"/>
        <v>QFD28|кабель ВВГнг(А)-LS (3х2,5) → Розеточная группа Цокольный этаж Пом. №015A</v>
      </c>
      <c r="FP212" t="str" cm="1">
        <f t="array" ref="FP212">IF(FO212="","",_xlfn.LET(_xlpm.nd,_xlfn.TEXTSPLIT(FO212,"|"),IF(COLUMNS(_xlpm.nd)&gt;1,A212&amp;"¦"&amp;INDEX(_xlpm.nd,1)&amp;"¦"&amp;INDEX(_xlpm.nd,2),"")))</f>
        <v>ЩР-01¦QFD28¦кабель ВВГнг(А)-LS (3х2,5) → Розеточная группа Цокольный этаж Пом. №015A</v>
      </c>
      <c r="FQ212" t="str">
        <f t="shared" si="332"/>
        <v>R.0.015A.1¦Розеточная группа Цокольный этаж Пом. №015A</v>
      </c>
      <c r="FR212" t="str" cm="1">
        <f t="array" ref="FR212">IF(FO212="","",_xlfn.LET(_xlpm.nd,_xlfn.TEXTSPLIT(FO212,"|"),IF(COLUMNS(_xlpm.nd)&gt;2,A212&amp;"¦"&amp;INDEX(_xlpm.nd,2)&amp;"¦"&amp;INDEX(_xlpm.nd,3),"")))</f>
        <v/>
      </c>
      <c r="FS212" t="str">
        <f t="shared" si="333"/>
        <v/>
      </c>
      <c r="FT212" t="str" cm="1">
        <f t="array" ref="FT212">IF(FO212="","",_xlfn.LET(_xlpm.nd,_xlfn.TEXTSPLIT(FO212,"|"),IF(COLUMNS(_xlpm.nd)&gt;3,A212&amp;"¦"&amp;INDEX(_xlpm.nd,3)&amp;"¦"&amp;INDEX(_xlpm.nd,4),"")))</f>
        <v/>
      </c>
      <c r="FU212" t="str">
        <f t="shared" si="334"/>
        <v/>
      </c>
      <c r="FV212" t="str" cm="1">
        <f t="array" ref="FV212">IF(FO212="","",_xlfn.LET(_xlpm.nd,_xlfn.TEXTSPLIT(FO212,"|"),IF(COLUMNS(_xlpm.nd)&gt;4,A212&amp;"¦"&amp;INDEX(_xlpm.nd,4)&amp;"¦"&amp;INDEX(_xlpm.nd,5),"")))</f>
        <v/>
      </c>
      <c r="FW212" t="str">
        <f t="shared" si="335"/>
        <v/>
      </c>
      <c r="FX212" t="str" cm="1">
        <f t="array" ref="FX212">IF(FO212="","",_xlfn.LET(_xlpm.nd,_xlfn.TEXTSPLIT(FO212,"|"),IF(COLUMNS(_xlpm.nd)&gt;5,A212&amp;"¦"&amp;INDEX(_xlpm.nd,5)&amp;"¦"&amp;INDEX(_xlpm.nd,6),"")))</f>
        <v/>
      </c>
      <c r="FY212" t="str">
        <f t="shared" si="336"/>
        <v/>
      </c>
      <c r="FZ212" t="str" cm="1">
        <f t="array" ref="FZ212">IF(FO212="","",_xlfn.LET(_xlpm.nd,_xlfn.TEXTSPLIT(FO212,"|"),IF(COLUMNS(_xlpm.nd)&gt;6,A212&amp;"¦"&amp;INDEX(_xlpm.nd,6)&amp;"¦"&amp;INDEX(_xlpm.nd,7),"")))</f>
        <v/>
      </c>
      <c r="GA212" t="str">
        <f t="shared" si="337"/>
        <v/>
      </c>
      <c r="GB212" t="str">
        <f t="shared" si="338"/>
        <v/>
      </c>
      <c r="GC212" t="str">
        <f t="shared" si="339"/>
        <v>QFD28</v>
      </c>
      <c r="GD212">
        <f t="shared" si="340"/>
        <v>1</v>
      </c>
      <c r="GE212">
        <f t="shared" si="341"/>
        <v>0</v>
      </c>
      <c r="GF212">
        <f t="shared" si="342"/>
        <v>1</v>
      </c>
      <c r="GG212" t="str">
        <f t="shared" si="343"/>
        <v/>
      </c>
      <c r="GH212" t="str">
        <f t="shared" si="344"/>
        <v/>
      </c>
      <c r="GI212" t="str">
        <f t="shared" si="345"/>
        <v/>
      </c>
      <c r="GJ212" t="str">
        <f t="shared" si="346"/>
        <v/>
      </c>
      <c r="GK212" t="str">
        <f>IF(D212="","",IFERROR(VLOOKUP(D212,УГО_спр,2,FALSE),IFERROR(VLOOKUP(AT212,УГО_спр,2,FALSE),IFERROR(VLOOKUP(LEFT(AT212,2),УГО_спр,2,FALSE),""))))</f>
        <v>Розетка</v>
      </c>
      <c r="GL212" t="str">
        <f>IF(D212="","",IF(OR(GK212="",GK212=0),"BOX",IFERROR(IF(VLOOKUP(GK212,УГО_блоки,3,FALSE)&amp;""&lt;&gt;"",VLOOKUP(GK212,УГО_блоки,3,FALSE),VLOOKUP(GK212,УГО_блоки,2,FALSE)),GK212)))</f>
        <v>SOCKET</v>
      </c>
      <c r="GM212">
        <f t="shared" si="347"/>
        <v>1</v>
      </c>
      <c r="GN212" t="str">
        <f>IF(EP212="","",IF(COUNTIF(EP$3:EP212,EP212)=1,MAX(GN$2:GN211)+1,""))</f>
        <v/>
      </c>
      <c r="GO212" t="str">
        <f>IF(AF212="","",IF(COUNTIF(AF$3:AF212,AF212)+COUNTIF(AG$2:AG211,AF212)+COUNTIF(AH$2:AH211,AF212)=1,MAX(GO$2:GQ211)+1,""))</f>
        <v/>
      </c>
      <c r="GP212" t="str">
        <f>IF(AG212="","",IF(COUNTIF(AF$3:AF212,AG212)+COUNTIF(AG$3:AG212,AG212)+COUNTIF(AH$2:AH211,AG212)=1,MAX(GO$2:GQ211,GO212)+1,""))</f>
        <v/>
      </c>
      <c r="GQ212" t="str">
        <f>IF(AH212="","",IF(COUNTIF(AF$3:AF212,AH212)+COUNTIF(AG$3:AG212,AH212)+COUNTIF(AH$3:AH212,AH212)=1,MAX(GO$2:GQ211,GO212,GP212)+1,""))</f>
        <v/>
      </c>
      <c r="GR212" t="str">
        <f t="shared" si="348"/>
        <v>3х2,5</v>
      </c>
      <c r="GS212" t="str">
        <f>IF(GR212="","",IF(COUNTIF(GR$3:GR212,GR212)=1,MAX(GS$2:GS211)+1,""))</f>
        <v/>
      </c>
      <c r="GT212" t="str">
        <f>IF(ES212="","",COUNTIF(ES$3:ES212,"?*"))</f>
        <v/>
      </c>
      <c r="GU212" t="str">
        <f>IF(OR(ES212="",EU212=""),"",IF(COUNTIFS(ES$3:ES212,"?*",EU$3:EU212,EU212)=1,MAX(GU$2:GU211)+1,""))</f>
        <v/>
      </c>
      <c r="GV212">
        <f t="shared" si="349"/>
        <v>0</v>
      </c>
      <c r="GW212">
        <f>IF(D212="","",COUNTIF(D$3:D212,"?*"))</f>
        <v>210</v>
      </c>
      <c r="GX212">
        <f>IF(EX212&lt;&gt;1,0,_xlfn.LET(_xlpm.k,MAX(IFERROR(--VLOOKUP(D212,УГО_спр,5,FALSE),0),IFERROR(--VLOOKUP(AT212,УГО_спр,5,FALSE),0),IFERROR(--VLOOKUP(LEFT(AT212,2),УГО_спр,5,FALSE),0)),IF(_xlpm.k&gt;0,_xlpm.k,IF(IFERROR(--LEFT(SUBSTITUTE(GR212,"x","х"),FIND("х",SUBSTITUTE(GR212,"x","х"))-1),3)&gt;3,Каталог!$S$9,1))))</f>
        <v>1</v>
      </c>
      <c r="GY212">
        <f t="shared" si="350"/>
        <v>0</v>
      </c>
    </row>
    <row r="213" spans="1:207" x14ac:dyDescent="0.3">
      <c r="A213" t="s">
        <v>760</v>
      </c>
      <c r="B213">
        <v>41</v>
      </c>
      <c r="C213" t="str">
        <f>IF(BD213="","",IF(BE213="вводной узел","узел ","")&amp;"л."&amp;(INT((BD213-1)/Столбцов_на_лист)+1)&amp;" / "&amp;(MOD(BD213-1,Столбцов_на_лист)+1))</f>
        <v>л.3 / 7</v>
      </c>
      <c r="D213" t="s">
        <v>1526</v>
      </c>
      <c r="E213" s="133" t="str">
        <f t="shared" si="351"/>
        <v>Розеточная группа Цокольный этаж Пом. №017A</v>
      </c>
      <c r="G213">
        <v>0.24</v>
      </c>
      <c r="H213">
        <v>4</v>
      </c>
      <c r="I213">
        <v>1</v>
      </c>
      <c r="J213">
        <v>230</v>
      </c>
      <c r="K213" t="s">
        <v>566</v>
      </c>
      <c r="O213">
        <v>1</v>
      </c>
      <c r="P213">
        <v>63</v>
      </c>
      <c r="Q213">
        <v>45</v>
      </c>
      <c r="R213">
        <v>30</v>
      </c>
      <c r="S213">
        <v>9</v>
      </c>
      <c r="U213" t="s">
        <v>11</v>
      </c>
      <c r="V213">
        <v>3</v>
      </c>
      <c r="W213">
        <v>2.5</v>
      </c>
      <c r="Z213" t="s">
        <v>565</v>
      </c>
      <c r="AA213" t="s">
        <v>818</v>
      </c>
      <c r="AD213" t="s">
        <v>517</v>
      </c>
      <c r="AK213" t="s">
        <v>488</v>
      </c>
      <c r="AR213" t="str">
        <f t="shared" si="264"/>
        <v/>
      </c>
      <c r="AS213" cm="1">
        <f t="array" ref="AS213">ROW()-ROW(Линии[#Headers])</f>
        <v>211</v>
      </c>
      <c r="AT213" t="str">
        <f t="shared" si="265"/>
        <v>R</v>
      </c>
      <c r="AU213" t="str">
        <f t="shared" si="266"/>
        <v>0.017A.1</v>
      </c>
      <c r="AV213" t="str">
        <f t="shared" si="267"/>
        <v>0</v>
      </c>
      <c r="AW213" t="str">
        <f t="shared" si="268"/>
        <v>017A.1</v>
      </c>
      <c r="AX213" t="str">
        <f t="shared" si="269"/>
        <v>017A</v>
      </c>
      <c r="AY213" t="str">
        <f>IF(D213="","",IF(ISERROR(SEARCH(".",D213)),IFERROR(VLOOKUP(D213,Потребители_обозначение,2,FALSE)&amp;"",""),IFERROR(IF(VLOOKUP(AT213,Потребители_обозначение,4,FALSE)=1,VLOOKUP(AT213,Потребители_обозначение,2,FALSE)&amp;" "&amp;VLOOKUP(AV213,Этаж_обозначение,2,FALSE)&amp;" Пом. №"&amp;AX213,VLOOKUP(AT213,Потребители_обозначение,2,FALSE)&amp;" Шлейф №"&amp;AV213),IFERROR(VLOOKUP(D213,Потребители_обозначение,2,FALSE),""))))</f>
        <v>Розеточная группа Цокольный этаж Пом. №017A</v>
      </c>
      <c r="AZ213" t="str">
        <f t="shared" si="270"/>
        <v>Розеточная группа Цокольный этаж Пом. №017A</v>
      </c>
      <c r="BA213" t="str">
        <f>IF(F213&lt;&gt;"",F213,IF(AND(D213&lt;&gt;"",D213&lt;&gt;A213,ISNUMBER(_xlfn.XMATCH(D213,Щиты[Щит]))),D213,""))</f>
        <v/>
      </c>
      <c r="BB213">
        <f>IFERROR(_xlfn.XMATCH(A213,Щиты[Щит]),0)</f>
        <v>9</v>
      </c>
      <c r="BC213">
        <f>IFERROR(N(_xlfn.XLOOKUP(A213,Щиты[Щит],Щиты[Мест под вводной узел])),15)</f>
        <v>8</v>
      </c>
      <c r="BD213">
        <f t="shared" si="271"/>
        <v>41</v>
      </c>
      <c r="BE213" t="str">
        <f t="shared" si="272"/>
        <v>линии</v>
      </c>
      <c r="BF213">
        <f>IF(D213="","",IF(BA213&lt;&gt;"",IFERROR(_xlfn.XLOOKUP(BA213,Щиты[Щит],Щиты[Руст, кВт]),0),N(G213)))</f>
        <v>0.24</v>
      </c>
      <c r="BG213">
        <f>IF(J213&lt;&gt;"",J213,IF(D213="","",IFERROR(IF(VLOOKUP(AT213,Потребители_обозначение,8,FALSE)=0,"",VLOOKUP(AT213,Потребители_обозначение,8,FALSE)),"")))</f>
        <v>230</v>
      </c>
      <c r="BH213">
        <f>IF(I213&lt;&gt;"",I213,IF(D213="","",IFERROR(IF(VLOOKUP(AT213,Потребители_обозначение,9,FALSE)=0,"",VLOOKUP(AT213,Потребители_обозначение,9,FALSE)),"")))</f>
        <v>1</v>
      </c>
      <c r="BI213" t="str">
        <f>IF(U213&lt;&gt;"",U213,IF(D213="","",IFERROR(IF(VLOOKUP(AT213,Потребители_обозначение,6,FALSE)=0,"",VLOOKUP(AT213,Потребители_обозначение,6,FALSE)),"")))</f>
        <v>мс</v>
      </c>
      <c r="BJ213">
        <f>IF(V213&lt;&gt;"",V213,IF(D213="","",IFERROR(IF(VLOOKUP(AT213,Потребители_обозначение,7,FALSE)=0,"",VLOOKUP(AT213,Потребители_обозначение,7,FALSE)),"")))</f>
        <v>3</v>
      </c>
      <c r="BK213">
        <f>IF(W213&lt;&gt;"",W213,IF(D213="","",IFERROR(IF(VLOOKUP(AT213,Потребители_обозначение,10,FALSE)=0,"",VLOOKUP(AT213,Потребители_обозначение,10,FALSE)),"")))</f>
        <v>2.5</v>
      </c>
      <c r="BL213">
        <f>IFERROR(VLOOKUP(AT213,Потребители_обозначение,5,FALSE),0)</f>
        <v>1</v>
      </c>
      <c r="BM213" cm="1">
        <f t="array" ref="BM213">IF(D213="","",IF(BA213&lt;&gt;"",IFERROR(_xlfn.XLOOKUP(BA213,Щиты[Щит],Щиты[cos φ]),0.95),IF(ISNUMBER(M213),M213,IFERROR(IF(BL213=2,_xlfn.IFS(BH213=3,VLOOKUP(BF213,Справочная_двигатели,8,FALSE),BH213=1,VLOOKUP(BF213,Справочная_двигатели,10,TRUE)),IF(AND(Методика="нормы 2026",CN213="Сил"),0.8,0.95)),0.95))))</f>
        <v>0.95</v>
      </c>
      <c r="BN213" cm="1">
        <f t="array" ref="BN213">IF(D213="","",IF(BA213&lt;&gt;"",IFERROR(_xlfn.XLOOKUP(BA213,Щиты[Щит],Щиты[Iр, А]),""),IFERROR(_xlfn.IFS(BH213=1,BF213/((Uн_лин/SQRT(3))*BM213),BH213=3,BF213/(SQRT(3)*Uн_лин*BM213)),"")))</f>
        <v>1.0939268258329751</v>
      </c>
      <c r="BO213">
        <f>IF(D213="","",IF(N(X213)=0,IFERROR(VLOOKUP(BN213,Автомат_номиналы,2,TRUE),""),X213))</f>
        <v>6</v>
      </c>
      <c r="BP213">
        <f t="shared" si="273"/>
        <v>1</v>
      </c>
      <c r="BQ213">
        <f>IF(ISNUMBER(Y213),Y213,К_прокл)</f>
        <v>1</v>
      </c>
      <c r="BR213">
        <f t="shared" si="274"/>
        <v>2</v>
      </c>
      <c r="BS213" cm="1">
        <f t="array" ref="BS213">IF(D213="","",IF(N(BK213)&lt;&gt;0,BK213,IFERROR(_xlfn.LET(_xlpm.need,BO213/(BP213*BQ213),_xlpm.t,CHOOSE(BR213,Iдоп_1ж,Iдоп_2ж,Iдоп_3ж),_xlpm.k,_xlfn.XMATCH(_xlpm.need,_xlpm.t,1),IF(ISNA(_xlpm.k),"Не исп",INDEX(Iдоп_S,_xlpm.k))),"Не исп")))</f>
        <v>2.5</v>
      </c>
      <c r="BT213">
        <f>IFERROR(VLOOKUP(BS213,Кабель_сопротивление,3,FALSE),"")</f>
        <v>2.2499999999999999E-2</v>
      </c>
      <c r="BU213">
        <f>IFERROR(VLOOKUP(BS213,Кабель_сопротивление,2,FALSE),"")</f>
        <v>0.1</v>
      </c>
      <c r="BV213">
        <f t="shared" si="275"/>
        <v>63</v>
      </c>
      <c r="BW213">
        <f>IF(D213="","",IFERROR(IF(VLOOKUP(AT213,Потребители_обозначение,4,FALSE)=1,VLOOKUP(AT213,Потребители_обозначение,3,FALSE)*(H213*2-1)+BV213+VLOOKUP(AV213,Этаж_обозначение,3,FALSE)+VLOOKUP(AV213,Этаж_обозначение,4,FALSE),VLOOKUP(AT213,Потребители_обозначение,3,FALSE)*(H213*2-1)+BV213),BV213))</f>
        <v>84</v>
      </c>
      <c r="BX213">
        <f t="shared" si="276"/>
        <v>30</v>
      </c>
      <c r="BY213">
        <f t="shared" si="277"/>
        <v>9</v>
      </c>
      <c r="BZ213">
        <f t="shared" si="278"/>
        <v>2</v>
      </c>
      <c r="CA213">
        <f t="shared" si="279"/>
        <v>0.31</v>
      </c>
      <c r="CB213">
        <f t="shared" si="280"/>
        <v>1.5770136635354235</v>
      </c>
      <c r="CC213">
        <f>IFERROR(ROUNDUP(CB213/((Uн_лин/SQRT(3))*1000)*100,2),"")</f>
        <v>0.69000000000000006</v>
      </c>
      <c r="CD213">
        <f>IF(ISNUMBER(CC213),CC213+IFERROR(_xlfn.XLOOKUP(A213,Щиты[Щит],Щиты[ΔU до шин, %]),0),"")</f>
        <v>1.1200000000000001</v>
      </c>
      <c r="CE213">
        <f>IF(D213="","",IF(IFERROR(VLOOKUP(AT213,УГО_спр,2,FALSE),"")="Светильник",3,4)+IF(Методика="нормы 2026",MIN(0.5,MAX(0,N(BW213)-100)*0.005),0))</f>
        <v>4</v>
      </c>
      <c r="CF213" t="str">
        <f>IFERROR(VLOOKUP(BI213,Кабель_обозначение,2,FALSE),"")</f>
        <v>ВВГнг(А)-LS</v>
      </c>
      <c r="CG213" t="str">
        <f>IFERROR(IF(VLOOKUP(BI213,Кабель_обозначение,3,FALSE)=1,CF213&amp;" ("&amp;BJ213&amp;"х"&amp;BS213&amp;")",CF213),"")</f>
        <v>ВВГнг(А)-LS (3х2,5)</v>
      </c>
      <c r="CH213" t="str">
        <f t="shared" si="281"/>
        <v>ВВГнг(А)-LS (3х2,5)
L=84-0,69%</v>
      </c>
      <c r="CI213">
        <f>IFERROR(2*ρкз_Cu*BW213/BS213,"")</f>
        <v>1.76736</v>
      </c>
      <c r="CJ213">
        <f t="shared" si="282"/>
        <v>0.58800000000000008</v>
      </c>
      <c r="CK213" t="str">
        <f>IFERROR(IF(OR(D213="",NOT(ISNUMBER(BS213)),N(BW213)=0),"",_xlfn.XLOOKUP(A213,Щиты[Щит],Щиты[Zпетли на шинах, Ом])+CI213),"")</f>
        <v/>
      </c>
      <c r="CL213" t="str">
        <f>IF(ISNUMBER(CK213),c_min*(Uн_лин*1000/SQRT(3))/CK213,"")</f>
        <v/>
      </c>
      <c r="CM213" t="str">
        <f>IFERROR(IF(OR(D213="",NOT(ISNUMBER(BS213))),"",1.05*(Uн_лин*1000/SQRT(3))/(_xlfn.XLOOKUP(A213,Щиты[Щит],Щиты[Zmax на шинах, Ом])+CJ213)/1000),"")</f>
        <v/>
      </c>
      <c r="CN213" t="str">
        <f>IF(D213="","",IF(BA213&lt;&gt;"","Щит",IF(K213&lt;&gt;"",K213,IF(ISNUMBER(L213),"Сил",IF(IFERROR(_xlfn.XLOOKUP(AT213,Коды_код,Коды_группа)&amp;"","")="","Быт",_xlfn.XLOOKUP(AT213,Коды_код,Коды_группа)&amp;"")))))</f>
        <v>Быт</v>
      </c>
      <c r="CO213">
        <f>IF(CN213="Щит","щит",IF(CN213="","",IF(CN213="Быт",IFERROR(_xlfn.XLOOKUP(A213,Щиты[Щит],Щиты[Кс быт]),1),IF(CN213="Сил",IF(ISNUMBER(L213),L213,IF(Методика="нормы 2026",IFERROR(_xlfn.XLOOKUP(A213,Щиты[Щит],Щиты[Кс силовых (табл. 7.5)]),1),1)),IF(OR(CN213="Пост",CN213="Отоп"),1,IF(CN213="ВНГ",0.7,0))))))</f>
        <v>0.79799999999999993</v>
      </c>
      <c r="CP213">
        <f t="shared" si="283"/>
        <v>1</v>
      </c>
      <c r="CQ213">
        <f t="shared" si="284"/>
        <v>0.24</v>
      </c>
      <c r="CR213">
        <f t="shared" si="285"/>
        <v>0.24</v>
      </c>
      <c r="CS213">
        <f t="shared" si="286"/>
        <v>0</v>
      </c>
      <c r="CT213">
        <f t="shared" si="287"/>
        <v>0</v>
      </c>
      <c r="CU213">
        <f t="shared" si="288"/>
        <v>0</v>
      </c>
      <c r="CV213">
        <f t="shared" si="289"/>
        <v>0</v>
      </c>
      <c r="CW213">
        <f t="shared" si="290"/>
        <v>0.24</v>
      </c>
      <c r="CX213">
        <f t="shared" si="291"/>
        <v>0.22799999999999998</v>
      </c>
      <c r="CY213">
        <f t="shared" si="292"/>
        <v>2</v>
      </c>
      <c r="CZ213" t="str">
        <f t="shared" si="293"/>
        <v>L2</v>
      </c>
      <c r="DA213" cm="1">
        <f t="array" ref="DA213">IFERROR(IF(BL213=2,_xlfn.IFS(BH213=3,VLOOKUP(BF213,Справочная_двигатели,3,FALSE),BH213=1,VLOOKUP(BF213,Справочная_двигатели,5,TRUE)),0),0)</f>
        <v>0</v>
      </c>
      <c r="DB213">
        <f>IFERROR(IF(BL213=3,VLOOKUP(BF213,Справочная_ЛЭД,2,TRUE),0),0)</f>
        <v>0</v>
      </c>
      <c r="DC213">
        <f t="shared" si="294"/>
        <v>0</v>
      </c>
      <c r="DD213" t="str">
        <f t="shared" si="295"/>
        <v>L1</v>
      </c>
      <c r="DE213" t="str" cm="1">
        <f t="array" ref="DE213">IF(D213="","",IFERROR(INDEX({"I особая","I","II","III"},MATCH(TRIM(AA213&amp;""),{"I особая","I","II","III"},0)),"III"))</f>
        <v>II</v>
      </c>
      <c r="DF213" t="str">
        <f>IF(D213="","",IF(TRIM(AB213&amp;"")&lt;&gt;"",IF(LOWER(TRIM(AB213&amp;""))="да","да","нет"),IF(IFERROR(_xlfn.XLOOKUP(AT213,Коды_код,Коды_пожарная),"")="да","да","нет")))</f>
        <v>нет</v>
      </c>
      <c r="DG213" t="str">
        <f t="shared" si="296"/>
        <v/>
      </c>
      <c r="DH213" t="str">
        <f t="shared" si="297"/>
        <v>основная</v>
      </c>
      <c r="DI213">
        <f t="shared" si="298"/>
        <v>1</v>
      </c>
      <c r="DJ213" t="str" cm="1">
        <f t="array" ref="DJ213">IF(D213="","",_xlfn.LET(_xlpm.t,IFERROR(_xlfn.XLOOKUP(1,(Шины[Шина]=DH213)*(((Шины[Щит]=A213)+(Шины[Щит]=""))&gt;0),Шины[Тип]),"")&amp;"",IF(_xlpm.t&lt;&gt;"",_xlpm.t,IF(ISNUMBER(SEARCH("ИБП",DH213)),"ИБП",IF(ISNUMBER(SEARCH("ДГУ",DH213)),"ДГУ","Ввод "&amp;DI213)))))</f>
        <v>Ввод 1</v>
      </c>
      <c r="DK213" t="str">
        <f t="shared" si="299"/>
        <v>Ввод 1</v>
      </c>
      <c r="DL213" t="str">
        <f>IF(D213="","",IF(OR(DJ213="ИБП",DJ213="ДГУ"),"I особая",IF(DJ213="Одиночная","III",_xlfn.XLOOKUP(A213,Щиты[Щит],Щиты[Категория шины «Ввод»],"III"))))</f>
        <v>II</v>
      </c>
      <c r="DM213">
        <f>IF(D213="",0,IFERROR(MATCH(DE213,{"III","II","I","I особая"},0),1))</f>
        <v>2</v>
      </c>
      <c r="DN213">
        <f t="shared" si="300"/>
        <v>2</v>
      </c>
      <c r="DO213" t="str">
        <f>IF(D213="","",IF(DM213&gt;IFERROR(MATCH(DL213,{"III","II","I","I особая"},0),1),"НЕ ОБЕСПЕЧЕНА","ОК"))</f>
        <v>ОК</v>
      </c>
      <c r="DP213" t="str">
        <f>IF(A213="","",_xlfn.XLOOKUP(A213,Щиты[Щит],Щиты[Путь],""))</f>
        <v>|ГРЩ-ЖД|ЩР-01|</v>
      </c>
      <c r="DQ213" t="str">
        <f>IF(D213="","",IF(Z213&lt;&gt;"",Z213,IF(IFERROR(_xlfn.XLOOKUP(AT213,Коды_код,Коды_вид)&amp;"","")="","Прочее",_xlfn.XLOOKUP(AT213,Коды_код,Коды_вид)&amp;"")))</f>
        <v>Розеточная сеть и бытовые приборы</v>
      </c>
      <c r="DR213">
        <f>IF(BD213="","",INT((BD213-1)/Столбцов_на_лист)+1)</f>
        <v>3</v>
      </c>
      <c r="DS213" t="str">
        <f t="shared" si="301"/>
        <v>ВВГнг(А)-LS (3х2,5) L=84-0,69%</v>
      </c>
      <c r="DT213">
        <f t="shared" si="302"/>
        <v>0.24</v>
      </c>
      <c r="DU213">
        <f t="shared" si="303"/>
        <v>1.1000000000000001</v>
      </c>
      <c r="DV213">
        <f t="shared" si="304"/>
        <v>1</v>
      </c>
      <c r="DW213">
        <f>IF(AT213="",0,_xlfn.LET(_xlpm.v,IFERROR(VLOOKUP(D213,УГО_спр,3,FALSE),IFERROR(VLOOKUP(AT213,УГО_спр,3,FALSE),IFERROR(VLOOKUP(LEFT(AT213,2),УГО_спр,3,FALSE),""))),IF(_xlpm.v="да",30,IF(ISNUMBER(_xlpm.v),_xlpm.v,0))))</f>
        <v>30</v>
      </c>
      <c r="DX213">
        <f t="shared" si="305"/>
        <v>0</v>
      </c>
      <c r="DY213">
        <f>IF(BD213="","",IF(AD213&lt;&gt;"",COUNTIFS(A$3:A213,A213,AD$3:AD213,"?*"),IF(OR(OR(AS213=1,A213&lt;&gt;A212),AL213="вручную"),"",IF(AS213=1,"",DZ212))))</f>
        <v>29</v>
      </c>
      <c r="DZ213">
        <f t="shared" si="306"/>
        <v>29</v>
      </c>
      <c r="EA213">
        <f>IF(D213="",0,MAX(IFERROR(--X213,0),IFERROR(--VLOOKUP(D213,УГО_спр,4,FALSE),IFERROR(--VLOOKUP(AT213,УГО_спр,4,FALSE),IFERROR(--VLOOKUP(LEFT(AT213,2),УГО_спр,4,FALSE),0)))))</f>
        <v>16</v>
      </c>
      <c r="EB213">
        <f>IF(D213="","",IFERROR(LOOKUP(INDEX(CHOOSE(BR213,Iдоп_1ж,Iдоп_2ж,Iдоп_3ж),MATCH(BS213,Iдоп_S,0))*BP213*BQ213,{6,10,16,20,25,32,40,50,63,80,100,125,160,200,250,315,400,500,630}),""))</f>
        <v>25</v>
      </c>
      <c r="EC213">
        <f>IF(AD213="","",SUMIFS(Линии[_Ток схемы],Линии[_гр.],DY213,Линии[Щит],A213,Линии[_в кабель выше],0))</f>
        <v>1.1000000000000001</v>
      </c>
      <c r="ED213">
        <f>IF(AD213="","",IFERROR(VLOOKUP(EC213,Автомат_номиналы,2,TRUE),""))</f>
        <v>6</v>
      </c>
      <c r="EE213">
        <f>IF(AD213="","",MAX(N(ED213),_xlfn.MAXIFS(Линии[_мин. по типу],Линии[_гр.],DY213,Линии[Щит],A213)))</f>
        <v>16</v>
      </c>
      <c r="EF213">
        <f>IF(AD213="","",_xlfn.MINIFS(Линии[_макс. автомат по кабелю],Линии[_гр.],DY213,Линии[Щит],A213))</f>
        <v>25</v>
      </c>
      <c r="EG213">
        <f>IF(AD213="","",MAX(1,_xlfn.MAXIFS(Линии[_фаз],Линии[_гр.],DY213,Линии[Щит],A213)))</f>
        <v>1</v>
      </c>
      <c r="EH213">
        <f>IF(AD213="","",IF(AND(AD213&lt;&gt;"авто",AD213&lt;&gt;"+"),IF(ISNUMBER(SEARCH("мА",AD213)),IFERROR(--TRIM(RIGHT(SUBSTITUTE(LEFT(AD213,SEARCH("мА",AD213)-1)," ",REPT(" ",9)),6)),30),0),IF(AE213="нет",0,IF(ISNUMBER(AE213),AE213,IF(AE213="да",30,_xlfn.MINIFS(Линии[_дифзащита по коду, мА],Линии[_гр.],DY213,Линии[Щит],A213,Линии[_дифзащита по коду, мА],"&gt;0"))))))</f>
        <v>30</v>
      </c>
      <c r="EI213">
        <f t="shared" si="307"/>
        <v>1</v>
      </c>
      <c r="EJ213" t="str">
        <f t="shared" si="308"/>
        <v>QFD29</v>
      </c>
      <c r="EK213" t="str">
        <f t="shared" si="309"/>
        <v>QFD29</v>
      </c>
      <c r="EL213" t="str">
        <f t="shared" si="310"/>
        <v/>
      </c>
      <c r="EM213">
        <f t="shared" si="311"/>
        <v>0</v>
      </c>
      <c r="EN213">
        <f>IF(AD213="","",IF(EM213=1,MAX(EE213,Мин_автомат_БП),EE213))</f>
        <v>16</v>
      </c>
      <c r="EO213" t="str">
        <f t="shared" si="312"/>
        <v>2P</v>
      </c>
      <c r="EP213" t="str">
        <f t="shared" si="313"/>
        <v>2P С16А 30мА</v>
      </c>
      <c r="EQ213">
        <f t="shared" si="314"/>
        <v>16</v>
      </c>
      <c r="ER213" t="str">
        <f>IF(OR(AI213="",AI213="-"),"",IFERROR(VLOOKUP(AI213,Модули_спр,2,FALSE),"R"))</f>
        <v/>
      </c>
      <c r="ES213" t="str">
        <f>IF(ER213="","",ER213&amp;"."&amp;COUNTIFS(A$3:A213,A213,ER$3:ER213,ER213))</f>
        <v/>
      </c>
      <c r="ET213" t="str">
        <f t="shared" si="315"/>
        <v/>
      </c>
      <c r="EU213" t="str">
        <f t="shared" si="316"/>
        <v/>
      </c>
      <c r="EV213" t="str">
        <f t="shared" si="317"/>
        <v/>
      </c>
      <c r="EW213" t="str">
        <f t="shared" si="318"/>
        <v/>
      </c>
      <c r="EX213">
        <f t="shared" si="319"/>
        <v>1</v>
      </c>
      <c r="EY213" t="str">
        <f>IF(AK213="нет","",IF(AK213&lt;&gt;"",AK213,IF(EX213=1,"XT"&amp;COUNTIFS(A$3:A213,A213,EX$3:EX213,1),"")))</f>
        <v/>
      </c>
      <c r="EZ213" t="str">
        <f t="shared" si="320"/>
        <v>QFD29</v>
      </c>
      <c r="FA213" t="str">
        <f t="shared" si="321"/>
        <v/>
      </c>
      <c r="FB213" t="str">
        <f t="shared" si="322"/>
        <v>ok</v>
      </c>
      <c r="FC213" t="str">
        <f>IF(OR(EV213="",ET213=""),"",IF(EV213&gt;IFERROR(VLOOKUP(EU213,Модули_спр,3,FALSE),99),"ЛИШНИЙ КАНАЛ",IF(AND(AJ213&lt;&gt;"=",COUNTIFS(Линии[_модуль гр.],ET213,Линии[Канал (итог)],EV213,Линии[Канал],"&lt;&gt;=",Линии[Щит],A213)&gt;1),"ДУБЛЬ КАНАЛА","")))</f>
        <v/>
      </c>
      <c r="FD213">
        <f t="shared" si="323"/>
        <v>16</v>
      </c>
      <c r="FE213" t="str">
        <f t="shared" si="324"/>
        <v>2P С16А 30мА</v>
      </c>
      <c r="FF213">
        <f t="shared" si="325"/>
        <v>1</v>
      </c>
      <c r="FG213">
        <f t="shared" si="326"/>
        <v>30</v>
      </c>
      <c r="FH213" t="str">
        <f t="shared" si="327"/>
        <v/>
      </c>
      <c r="FI213">
        <f t="shared" si="328"/>
        <v>10</v>
      </c>
      <c r="FJ213" t="str">
        <f t="shared" si="329"/>
        <v/>
      </c>
      <c r="FK213" t="str">
        <f>IF(AND(D213="",EZ213=""),"",_xlfn.TEXTJOIN("; ",TRUE,IF(AND(D213&lt;&gt;"",DD213=""),"нет фазы",""),IF(AND(D213&lt;&gt;"",N(DT213)=0,CN213&lt;&gt;"Нет"),"нет мощности",""),IF(AND(EY213&lt;&gt;"",COUNTIFS(Линии[Щит],A213,Линии[Клемма (итог)],EY213)&gt;1),"дубль клеммы "&amp;EY213,""),IF(AND(FB213&lt;&gt;"",FB213&lt;&gt;"ok"),FB213,""),IF(FC213&lt;&gt;"",FC213,""),IF(AND(ISNUMBER(SEARCH("(5х",DS213)),N(DV213)=1),"5 жил на 1 фазе",""),IF(AND(AT213="R",AD213&lt;&gt;"",OR(N(EH213)=0,N(EH213)&gt;30)),"розетка без дифзащиты до 30 мА",""),IFERROR(IF(AND(ISNUMBER(CD213),CD213&gt;CE213),"потери "&amp;FIXED(CD213,1)&amp;" % &gt; "&amp;CE213&amp;" %",""),""),IFERROR(IF(LEFT(FJ213,4)="мало","Iкз мало — отключение &gt; 0,4 с",""),""),IF(AND(D213&lt;&gt;"",BD213=""),"не на схеме","")))</f>
        <v/>
      </c>
      <c r="FL213">
        <f>IF(AD213="","",_xlfn.LET(_xlpm.t,IFERROR(_xlfn.XLOOKUP(EP213,Каталог!$U$4:$U$500,Каталог!$G$4:$G$500),""),_xlpm.k,SEARCH("кА",_xlpm.t),IFERROR(--TRIM(RIGHT(SUBSTITUTE(MID(_xlpm.t,MAX(1,_xlpm.k-4),_xlpm.k-MAX(1,_xlpm.k-4))," ",REPT(" ",9)),5)),"")))</f>
        <v>6</v>
      </c>
      <c r="FM213" t="str">
        <f>IF(OR(FL213="",AD213=""),"",IF(_xlfn.XLOOKUP(A213,Щиты[Щит],Щиты[Iкз max на шинах, кА],"")="","",IF(FL213&lt;_xlfn.XLOOKUP(A213,Щиты[Щит],Щиты[Iкз max на шинах, кА]),"Icu "&amp;FL213&amp;" кА &lt; Iкз max","ok")))</f>
        <v/>
      </c>
      <c r="FN213" t="str">
        <f t="shared" si="330"/>
        <v>QFD29</v>
      </c>
      <c r="FO213" t="str">
        <f t="shared" si="331"/>
        <v>QFD29|кабель ВВГнг(А)-LS (3х2,5) → Розеточная группа Цокольный этаж Пом. №017A</v>
      </c>
      <c r="FP213" t="str" cm="1">
        <f t="array" ref="FP213">IF(FO213="","",_xlfn.LET(_xlpm.nd,_xlfn.TEXTSPLIT(FO213,"|"),IF(COLUMNS(_xlpm.nd)&gt;1,A213&amp;"¦"&amp;INDEX(_xlpm.nd,1)&amp;"¦"&amp;INDEX(_xlpm.nd,2),"")))</f>
        <v>ЩР-01¦QFD29¦кабель ВВГнг(А)-LS (3х2,5) → Розеточная группа Цокольный этаж Пом. №017A</v>
      </c>
      <c r="FQ213" t="str">
        <f t="shared" si="332"/>
        <v>R.0.017A.1¦Розеточная группа Цокольный этаж Пом. №017A</v>
      </c>
      <c r="FR213" t="str" cm="1">
        <f t="array" ref="FR213">IF(FO213="","",_xlfn.LET(_xlpm.nd,_xlfn.TEXTSPLIT(FO213,"|"),IF(COLUMNS(_xlpm.nd)&gt;2,A213&amp;"¦"&amp;INDEX(_xlpm.nd,2)&amp;"¦"&amp;INDEX(_xlpm.nd,3),"")))</f>
        <v/>
      </c>
      <c r="FS213" t="str">
        <f t="shared" si="333"/>
        <v/>
      </c>
      <c r="FT213" t="str" cm="1">
        <f t="array" ref="FT213">IF(FO213="","",_xlfn.LET(_xlpm.nd,_xlfn.TEXTSPLIT(FO213,"|"),IF(COLUMNS(_xlpm.nd)&gt;3,A213&amp;"¦"&amp;INDEX(_xlpm.nd,3)&amp;"¦"&amp;INDEX(_xlpm.nd,4),"")))</f>
        <v/>
      </c>
      <c r="FU213" t="str">
        <f t="shared" si="334"/>
        <v/>
      </c>
      <c r="FV213" t="str" cm="1">
        <f t="array" ref="FV213">IF(FO213="","",_xlfn.LET(_xlpm.nd,_xlfn.TEXTSPLIT(FO213,"|"),IF(COLUMNS(_xlpm.nd)&gt;4,A213&amp;"¦"&amp;INDEX(_xlpm.nd,4)&amp;"¦"&amp;INDEX(_xlpm.nd,5),"")))</f>
        <v/>
      </c>
      <c r="FW213" t="str">
        <f t="shared" si="335"/>
        <v/>
      </c>
      <c r="FX213" t="str" cm="1">
        <f t="array" ref="FX213">IF(FO213="","",_xlfn.LET(_xlpm.nd,_xlfn.TEXTSPLIT(FO213,"|"),IF(COLUMNS(_xlpm.nd)&gt;5,A213&amp;"¦"&amp;INDEX(_xlpm.nd,5)&amp;"¦"&amp;INDEX(_xlpm.nd,6),"")))</f>
        <v/>
      </c>
      <c r="FY213" t="str">
        <f t="shared" si="336"/>
        <v/>
      </c>
      <c r="FZ213" t="str" cm="1">
        <f t="array" ref="FZ213">IF(FO213="","",_xlfn.LET(_xlpm.nd,_xlfn.TEXTSPLIT(FO213,"|"),IF(COLUMNS(_xlpm.nd)&gt;6,A213&amp;"¦"&amp;INDEX(_xlpm.nd,6)&amp;"¦"&amp;INDEX(_xlpm.nd,7),"")))</f>
        <v/>
      </c>
      <c r="GA213" t="str">
        <f t="shared" si="337"/>
        <v/>
      </c>
      <c r="GB213" t="str">
        <f t="shared" si="338"/>
        <v/>
      </c>
      <c r="GC213" t="str">
        <f t="shared" si="339"/>
        <v>QFD29</v>
      </c>
      <c r="GD213">
        <f t="shared" si="340"/>
        <v>1</v>
      </c>
      <c r="GE213">
        <f t="shared" si="341"/>
        <v>0</v>
      </c>
      <c r="GF213">
        <f t="shared" si="342"/>
        <v>1</v>
      </c>
      <c r="GG213" t="str">
        <f t="shared" si="343"/>
        <v/>
      </c>
      <c r="GH213" t="str">
        <f t="shared" si="344"/>
        <v/>
      </c>
      <c r="GI213" t="str">
        <f t="shared" si="345"/>
        <v/>
      </c>
      <c r="GJ213" t="str">
        <f t="shared" si="346"/>
        <v/>
      </c>
      <c r="GK213" t="str">
        <f>IF(D213="","",IFERROR(VLOOKUP(D213,УГО_спр,2,FALSE),IFERROR(VLOOKUP(AT213,УГО_спр,2,FALSE),IFERROR(VLOOKUP(LEFT(AT213,2),УГО_спр,2,FALSE),""))))</f>
        <v>Розетка</v>
      </c>
      <c r="GL213" t="str">
        <f>IF(D213="","",IF(OR(GK213="",GK213=0),"BOX",IFERROR(IF(VLOOKUP(GK213,УГО_блоки,3,FALSE)&amp;""&lt;&gt;"",VLOOKUP(GK213,УГО_блоки,3,FALSE),VLOOKUP(GK213,УГО_блоки,2,FALSE)),GK213)))</f>
        <v>SOCKET</v>
      </c>
      <c r="GM213">
        <f t="shared" si="347"/>
        <v>1</v>
      </c>
      <c r="GN213" t="str">
        <f>IF(EP213="","",IF(COUNTIF(EP$3:EP213,EP213)=1,MAX(GN$2:GN212)+1,""))</f>
        <v/>
      </c>
      <c r="GO213" t="str">
        <f>IF(AF213="","",IF(COUNTIF(AF$3:AF213,AF213)+COUNTIF(AG$2:AG212,AF213)+COUNTIF(AH$2:AH212,AF213)=1,MAX(GO$2:GQ212)+1,""))</f>
        <v/>
      </c>
      <c r="GP213" t="str">
        <f>IF(AG213="","",IF(COUNTIF(AF$3:AF213,AG213)+COUNTIF(AG$3:AG213,AG213)+COUNTIF(AH$2:AH212,AG213)=1,MAX(GO$2:GQ212,GO213)+1,""))</f>
        <v/>
      </c>
      <c r="GQ213" t="str">
        <f>IF(AH213="","",IF(COUNTIF(AF$3:AF213,AH213)+COUNTIF(AG$3:AG213,AH213)+COUNTIF(AH$3:AH213,AH213)=1,MAX(GO$2:GQ212,GO213,GP213)+1,""))</f>
        <v/>
      </c>
      <c r="GR213" t="str">
        <f t="shared" si="348"/>
        <v>3х2,5</v>
      </c>
      <c r="GS213" t="str">
        <f>IF(GR213="","",IF(COUNTIF(GR$3:GR213,GR213)=1,MAX(GS$2:GS212)+1,""))</f>
        <v/>
      </c>
      <c r="GT213" t="str">
        <f>IF(ES213="","",COUNTIF(ES$3:ES213,"?*"))</f>
        <v/>
      </c>
      <c r="GU213" t="str">
        <f>IF(OR(ES213="",EU213=""),"",IF(COUNTIFS(ES$3:ES213,"?*",EU$3:EU213,EU213)=1,MAX(GU$2:GU212)+1,""))</f>
        <v/>
      </c>
      <c r="GV213">
        <f t="shared" si="349"/>
        <v>0</v>
      </c>
      <c r="GW213">
        <f>IF(D213="","",COUNTIF(D$3:D213,"?*"))</f>
        <v>211</v>
      </c>
      <c r="GX213">
        <f>IF(EX213&lt;&gt;1,0,_xlfn.LET(_xlpm.k,MAX(IFERROR(--VLOOKUP(D213,УГО_спр,5,FALSE),0),IFERROR(--VLOOKUP(AT213,УГО_спр,5,FALSE),0),IFERROR(--VLOOKUP(LEFT(AT213,2),УГО_спр,5,FALSE),0)),IF(_xlpm.k&gt;0,_xlpm.k,IF(IFERROR(--LEFT(SUBSTITUTE(GR213,"x","х"),FIND("х",SUBSTITUTE(GR213,"x","х"))-1),3)&gt;3,Каталог!$S$9,1))))</f>
        <v>1</v>
      </c>
      <c r="GY213">
        <f t="shared" si="350"/>
        <v>0</v>
      </c>
    </row>
    <row r="214" spans="1:207" x14ac:dyDescent="0.3">
      <c r="A214" t="s">
        <v>760</v>
      </c>
      <c r="B214">
        <v>42</v>
      </c>
      <c r="C214" t="str">
        <f>IF(BD214="","",IF(BE214="вводной узел","узел ","")&amp;"л."&amp;(INT((BD214-1)/Столбцов_на_лист)+1)&amp;" / "&amp;(MOD(BD214-1,Столбцов_на_лист)+1))</f>
        <v>л.3 / 8</v>
      </c>
      <c r="D214" t="s">
        <v>1527</v>
      </c>
      <c r="E214" s="133" t="str">
        <f t="shared" si="351"/>
        <v>Розеточная группа Цокольный этаж Пом. №018A</v>
      </c>
      <c r="G214">
        <v>0.06</v>
      </c>
      <c r="H214">
        <v>1</v>
      </c>
      <c r="I214">
        <v>1</v>
      </c>
      <c r="J214">
        <v>230</v>
      </c>
      <c r="K214" t="s">
        <v>566</v>
      </c>
      <c r="O214">
        <v>1</v>
      </c>
      <c r="P214">
        <v>53</v>
      </c>
      <c r="Q214">
        <v>43</v>
      </c>
      <c r="R214">
        <v>13</v>
      </c>
      <c r="S214">
        <v>0</v>
      </c>
      <c r="U214" t="s">
        <v>11</v>
      </c>
      <c r="V214">
        <v>3</v>
      </c>
      <c r="W214">
        <v>2.5</v>
      </c>
      <c r="Z214" t="s">
        <v>565</v>
      </c>
      <c r="AA214" t="s">
        <v>818</v>
      </c>
      <c r="AD214" t="s">
        <v>517</v>
      </c>
      <c r="AK214" t="s">
        <v>488</v>
      </c>
      <c r="AR214" t="str">
        <f t="shared" si="264"/>
        <v/>
      </c>
      <c r="AS214" cm="1">
        <f t="array" ref="AS214">ROW()-ROW(Линии[#Headers])</f>
        <v>212</v>
      </c>
      <c r="AT214" t="str">
        <f t="shared" si="265"/>
        <v>R</v>
      </c>
      <c r="AU214" t="str">
        <f t="shared" si="266"/>
        <v>0.018A.1</v>
      </c>
      <c r="AV214" t="str">
        <f t="shared" si="267"/>
        <v>0</v>
      </c>
      <c r="AW214" t="str">
        <f t="shared" si="268"/>
        <v>018A.1</v>
      </c>
      <c r="AX214" t="str">
        <f t="shared" si="269"/>
        <v>018A</v>
      </c>
      <c r="AY214" t="str">
        <f>IF(D214="","",IF(ISERROR(SEARCH(".",D214)),IFERROR(VLOOKUP(D214,Потребители_обозначение,2,FALSE)&amp;"",""),IFERROR(IF(VLOOKUP(AT214,Потребители_обозначение,4,FALSE)=1,VLOOKUP(AT214,Потребители_обозначение,2,FALSE)&amp;" "&amp;VLOOKUP(AV214,Этаж_обозначение,2,FALSE)&amp;" Пом. №"&amp;AX214,VLOOKUP(AT214,Потребители_обозначение,2,FALSE)&amp;" Шлейф №"&amp;AV214),IFERROR(VLOOKUP(D214,Потребители_обозначение,2,FALSE),""))))</f>
        <v>Розеточная группа Цокольный этаж Пом. №018A</v>
      </c>
      <c r="AZ214" t="str">
        <f t="shared" si="270"/>
        <v>Розеточная группа Цокольный этаж Пом. №018A</v>
      </c>
      <c r="BA214" t="str">
        <f>IF(F214&lt;&gt;"",F214,IF(AND(D214&lt;&gt;"",D214&lt;&gt;A214,ISNUMBER(_xlfn.XMATCH(D214,Щиты[Щит]))),D214,""))</f>
        <v/>
      </c>
      <c r="BB214">
        <f>IFERROR(_xlfn.XMATCH(A214,Щиты[Щит]),0)</f>
        <v>9</v>
      </c>
      <c r="BC214">
        <f>IFERROR(N(_xlfn.XLOOKUP(A214,Щиты[Щит],Щиты[Мест под вводной узел])),15)</f>
        <v>8</v>
      </c>
      <c r="BD214">
        <f t="shared" si="271"/>
        <v>42</v>
      </c>
      <c r="BE214" t="str">
        <f t="shared" si="272"/>
        <v>линии</v>
      </c>
      <c r="BF214">
        <f>IF(D214="","",IF(BA214&lt;&gt;"",IFERROR(_xlfn.XLOOKUP(BA214,Щиты[Щит],Щиты[Руст, кВт]),0),N(G214)))</f>
        <v>0.06</v>
      </c>
      <c r="BG214">
        <f>IF(J214&lt;&gt;"",J214,IF(D214="","",IFERROR(IF(VLOOKUP(AT214,Потребители_обозначение,8,FALSE)=0,"",VLOOKUP(AT214,Потребители_обозначение,8,FALSE)),"")))</f>
        <v>230</v>
      </c>
      <c r="BH214">
        <f>IF(I214&lt;&gt;"",I214,IF(D214="","",IFERROR(IF(VLOOKUP(AT214,Потребители_обозначение,9,FALSE)=0,"",VLOOKUP(AT214,Потребители_обозначение,9,FALSE)),"")))</f>
        <v>1</v>
      </c>
      <c r="BI214" t="str">
        <f>IF(U214&lt;&gt;"",U214,IF(D214="","",IFERROR(IF(VLOOKUP(AT214,Потребители_обозначение,6,FALSE)=0,"",VLOOKUP(AT214,Потребители_обозначение,6,FALSE)),"")))</f>
        <v>мс</v>
      </c>
      <c r="BJ214">
        <f>IF(V214&lt;&gt;"",V214,IF(D214="","",IFERROR(IF(VLOOKUP(AT214,Потребители_обозначение,7,FALSE)=0,"",VLOOKUP(AT214,Потребители_обозначение,7,FALSE)),"")))</f>
        <v>3</v>
      </c>
      <c r="BK214">
        <f>IF(W214&lt;&gt;"",W214,IF(D214="","",IFERROR(IF(VLOOKUP(AT214,Потребители_обозначение,10,FALSE)=0,"",VLOOKUP(AT214,Потребители_обозначение,10,FALSE)),"")))</f>
        <v>2.5</v>
      </c>
      <c r="BL214">
        <f>IFERROR(VLOOKUP(AT214,Потребители_обозначение,5,FALSE),0)</f>
        <v>1</v>
      </c>
      <c r="BM214" cm="1">
        <f t="array" ref="BM214">IF(D214="","",IF(BA214&lt;&gt;"",IFERROR(_xlfn.XLOOKUP(BA214,Щиты[Щит],Щиты[cos φ]),0.95),IF(ISNUMBER(M214),M214,IFERROR(IF(BL214=2,_xlfn.IFS(BH214=3,VLOOKUP(BF214,Справочная_двигатели,8,FALSE),BH214=1,VLOOKUP(BF214,Справочная_двигатели,10,TRUE)),IF(AND(Методика="нормы 2026",CN214="Сил"),0.8,0.95)),0.95))))</f>
        <v>0.95</v>
      </c>
      <c r="BN214" cm="1">
        <f t="array" ref="BN214">IF(D214="","",IF(BA214&lt;&gt;"",IFERROR(_xlfn.XLOOKUP(BA214,Щиты[Щит],Щиты[Iр, А]),""),IFERROR(_xlfn.IFS(BH214=1,BF214/((Uн_лин/SQRT(3))*BM214),BH214=3,BF214/(SQRT(3)*Uн_лин*BM214)),"")))</f>
        <v>0.27348170645824377</v>
      </c>
      <c r="BO214">
        <f>IF(D214="","",IF(N(X214)=0,IFERROR(VLOOKUP(BN214,Автомат_номиналы,2,TRUE),""),X214))</f>
        <v>6</v>
      </c>
      <c r="BP214">
        <f t="shared" si="273"/>
        <v>1</v>
      </c>
      <c r="BQ214">
        <f>IF(ISNUMBER(Y214),Y214,К_прокл)</f>
        <v>1</v>
      </c>
      <c r="BR214">
        <f t="shared" si="274"/>
        <v>2</v>
      </c>
      <c r="BS214" cm="1">
        <f t="array" ref="BS214">IF(D214="","",IF(N(BK214)&lt;&gt;0,BK214,IFERROR(_xlfn.LET(_xlpm.need,BO214/(BP214*BQ214),_xlpm.t,CHOOSE(BR214,Iдоп_1ж,Iдоп_2ж,Iдоп_3ж),_xlpm.k,_xlfn.XMATCH(_xlpm.need,_xlpm.t,1),IF(ISNA(_xlpm.k),"Не исп",INDEX(Iдоп_S,_xlpm.k))),"Не исп")))</f>
        <v>2.5</v>
      </c>
      <c r="BT214">
        <f>IFERROR(VLOOKUP(BS214,Кабель_сопротивление,3,FALSE),"")</f>
        <v>2.2499999999999999E-2</v>
      </c>
      <c r="BU214">
        <f>IFERROR(VLOOKUP(BS214,Кабель_сопротивление,2,FALSE),"")</f>
        <v>0.1</v>
      </c>
      <c r="BV214">
        <f t="shared" si="275"/>
        <v>53</v>
      </c>
      <c r="BW214">
        <f>IF(D214="","",IFERROR(IF(VLOOKUP(AT214,Потребители_обозначение,4,FALSE)=1,VLOOKUP(AT214,Потребители_обозначение,3,FALSE)*(H214*2-1)+BV214+VLOOKUP(AV214,Этаж_обозначение,3,FALSE)+VLOOKUP(AV214,Этаж_обозначение,4,FALSE),VLOOKUP(AT214,Потребители_обозначение,3,FALSE)*(H214*2-1)+BV214),BV214))</f>
        <v>56</v>
      </c>
      <c r="BX214">
        <f t="shared" si="276"/>
        <v>13</v>
      </c>
      <c r="BY214">
        <f t="shared" si="277"/>
        <v>0</v>
      </c>
      <c r="BZ214">
        <f t="shared" si="278"/>
        <v>2</v>
      </c>
      <c r="CA214">
        <f t="shared" si="279"/>
        <v>0.31</v>
      </c>
      <c r="CB214">
        <f t="shared" si="280"/>
        <v>0.26283561058923727</v>
      </c>
      <c r="CC214">
        <f>IFERROR(ROUNDUP(CB214/((Uн_лин/SQRT(3))*1000)*100,2),"")</f>
        <v>0.12</v>
      </c>
      <c r="CD214">
        <f>IF(ISNUMBER(CC214),CC214+IFERROR(_xlfn.XLOOKUP(A214,Щиты[Щит],Щиты[ΔU до шин, %]),0),"")</f>
        <v>0.55000000000000004</v>
      </c>
      <c r="CE214">
        <f>IF(D214="","",IF(IFERROR(VLOOKUP(AT214,УГО_спр,2,FALSE),"")="Светильник",3,4)+IF(Методика="нормы 2026",MIN(0.5,MAX(0,N(BW214)-100)*0.005),0))</f>
        <v>4</v>
      </c>
      <c r="CF214" t="str">
        <f>IFERROR(VLOOKUP(BI214,Кабель_обозначение,2,FALSE),"")</f>
        <v>ВВГнг(А)-LS</v>
      </c>
      <c r="CG214" t="str">
        <f>IFERROR(IF(VLOOKUP(BI214,Кабель_обозначение,3,FALSE)=1,CF214&amp;" ("&amp;BJ214&amp;"х"&amp;BS214&amp;")",CF214),"")</f>
        <v>ВВГнг(А)-LS (3х2,5)</v>
      </c>
      <c r="CH214" t="str">
        <f t="shared" si="281"/>
        <v>ВВГнг(А)-LS (3х2,5)
L=56-0,12%</v>
      </c>
      <c r="CI214">
        <f>IFERROR(2*ρкз_Cu*BW214/BS214,"")</f>
        <v>1.1782400000000002</v>
      </c>
      <c r="CJ214">
        <f t="shared" si="282"/>
        <v>0.39200000000000002</v>
      </c>
      <c r="CK214" t="str">
        <f>IFERROR(IF(OR(D214="",NOT(ISNUMBER(BS214)),N(BW214)=0),"",_xlfn.XLOOKUP(A214,Щиты[Щит],Щиты[Zпетли на шинах, Ом])+CI214),"")</f>
        <v/>
      </c>
      <c r="CL214" t="str">
        <f>IF(ISNUMBER(CK214),c_min*(Uн_лин*1000/SQRT(3))/CK214,"")</f>
        <v/>
      </c>
      <c r="CM214" t="str">
        <f>IFERROR(IF(OR(D214="",NOT(ISNUMBER(BS214))),"",1.05*(Uн_лин*1000/SQRT(3))/(_xlfn.XLOOKUP(A214,Щиты[Щит],Щиты[Zmax на шинах, Ом])+CJ214)/1000),"")</f>
        <v/>
      </c>
      <c r="CN214" t="str">
        <f>IF(D214="","",IF(BA214&lt;&gt;"","Щит",IF(K214&lt;&gt;"",K214,IF(ISNUMBER(L214),"Сил",IF(IFERROR(_xlfn.XLOOKUP(AT214,Коды_код,Коды_группа)&amp;"","")="","Быт",_xlfn.XLOOKUP(AT214,Коды_код,Коды_группа)&amp;"")))))</f>
        <v>Быт</v>
      </c>
      <c r="CO214">
        <f>IF(CN214="Щит","щит",IF(CN214="","",IF(CN214="Быт",IFERROR(_xlfn.XLOOKUP(A214,Щиты[Щит],Щиты[Кс быт]),1),IF(CN214="Сил",IF(ISNUMBER(L214),L214,IF(Методика="нормы 2026",IFERROR(_xlfn.XLOOKUP(A214,Щиты[Щит],Щиты[Кс силовых (табл. 7.5)]),1),1)),IF(OR(CN214="Пост",CN214="Отоп"),1,IF(CN214="ВНГ",0.7,0))))))</f>
        <v>0.79799999999999993</v>
      </c>
      <c r="CP214">
        <f t="shared" si="283"/>
        <v>1</v>
      </c>
      <c r="CQ214">
        <f t="shared" si="284"/>
        <v>0.06</v>
      </c>
      <c r="CR214">
        <f t="shared" si="285"/>
        <v>0.06</v>
      </c>
      <c r="CS214">
        <f t="shared" si="286"/>
        <v>0</v>
      </c>
      <c r="CT214">
        <f t="shared" si="287"/>
        <v>0</v>
      </c>
      <c r="CU214">
        <f t="shared" si="288"/>
        <v>0</v>
      </c>
      <c r="CV214">
        <f t="shared" si="289"/>
        <v>0</v>
      </c>
      <c r="CW214">
        <f t="shared" si="290"/>
        <v>0.06</v>
      </c>
      <c r="CX214">
        <f t="shared" si="291"/>
        <v>5.6999999999999995E-2</v>
      </c>
      <c r="CY214">
        <f t="shared" si="292"/>
        <v>3</v>
      </c>
      <c r="CZ214" t="str">
        <f t="shared" si="293"/>
        <v>L3</v>
      </c>
      <c r="DA214" cm="1">
        <f t="array" ref="DA214">IFERROR(IF(BL214=2,_xlfn.IFS(BH214=3,VLOOKUP(BF214,Справочная_двигатели,3,FALSE),BH214=1,VLOOKUP(BF214,Справочная_двигатели,5,TRUE)),0),0)</f>
        <v>0</v>
      </c>
      <c r="DB214">
        <f>IFERROR(IF(BL214=3,VLOOKUP(BF214,Справочная_ЛЭД,2,TRUE),0),0)</f>
        <v>0</v>
      </c>
      <c r="DC214">
        <f t="shared" si="294"/>
        <v>0</v>
      </c>
      <c r="DD214" t="str">
        <f t="shared" si="295"/>
        <v>L1</v>
      </c>
      <c r="DE214" t="str" cm="1">
        <f t="array" ref="DE214">IF(D214="","",IFERROR(INDEX({"I особая","I","II","III"},MATCH(TRIM(AA214&amp;""),{"I особая","I","II","III"},0)),"III"))</f>
        <v>II</v>
      </c>
      <c r="DF214" t="str">
        <f>IF(D214="","",IF(TRIM(AB214&amp;"")&lt;&gt;"",IF(LOWER(TRIM(AB214&amp;""))="да","да","нет"),IF(IFERROR(_xlfn.XLOOKUP(AT214,Коды_код,Коды_пожарная),"")="да","да","нет")))</f>
        <v>нет</v>
      </c>
      <c r="DG214" t="str">
        <f t="shared" si="296"/>
        <v/>
      </c>
      <c r="DH214" t="str">
        <f t="shared" si="297"/>
        <v>основная</v>
      </c>
      <c r="DI214">
        <f t="shared" si="298"/>
        <v>1</v>
      </c>
      <c r="DJ214" t="str" cm="1">
        <f t="array" ref="DJ214">IF(D214="","",_xlfn.LET(_xlpm.t,IFERROR(_xlfn.XLOOKUP(1,(Шины[Шина]=DH214)*(((Шины[Щит]=A214)+(Шины[Щит]=""))&gt;0),Шины[Тип]),"")&amp;"",IF(_xlpm.t&lt;&gt;"",_xlpm.t,IF(ISNUMBER(SEARCH("ИБП",DH214)),"ИБП",IF(ISNUMBER(SEARCH("ДГУ",DH214)),"ДГУ","Ввод "&amp;DI214)))))</f>
        <v>Ввод 1</v>
      </c>
      <c r="DK214" t="str">
        <f t="shared" si="299"/>
        <v>Ввод 1</v>
      </c>
      <c r="DL214" t="str">
        <f>IF(D214="","",IF(OR(DJ214="ИБП",DJ214="ДГУ"),"I особая",IF(DJ214="Одиночная","III",_xlfn.XLOOKUP(A214,Щиты[Щит],Щиты[Категория шины «Ввод»],"III"))))</f>
        <v>II</v>
      </c>
      <c r="DM214">
        <f>IF(D214="",0,IFERROR(MATCH(DE214,{"III","II","I","I особая"},0),1))</f>
        <v>2</v>
      </c>
      <c r="DN214">
        <f t="shared" si="300"/>
        <v>2</v>
      </c>
      <c r="DO214" t="str">
        <f>IF(D214="","",IF(DM214&gt;IFERROR(MATCH(DL214,{"III","II","I","I особая"},0),1),"НЕ ОБЕСПЕЧЕНА","ОК"))</f>
        <v>ОК</v>
      </c>
      <c r="DP214" t="str">
        <f>IF(A214="","",_xlfn.XLOOKUP(A214,Щиты[Щит],Щиты[Путь],""))</f>
        <v>|ГРЩ-ЖД|ЩР-01|</v>
      </c>
      <c r="DQ214" t="str">
        <f>IF(D214="","",IF(Z214&lt;&gt;"",Z214,IF(IFERROR(_xlfn.XLOOKUP(AT214,Коды_код,Коды_вид)&amp;"","")="","Прочее",_xlfn.XLOOKUP(AT214,Коды_код,Коды_вид)&amp;"")))</f>
        <v>Розеточная сеть и бытовые приборы</v>
      </c>
      <c r="DR214">
        <f>IF(BD214="","",INT((BD214-1)/Столбцов_на_лист)+1)</f>
        <v>3</v>
      </c>
      <c r="DS214" t="str">
        <f t="shared" si="301"/>
        <v>ВВГнг(А)-LS (3х2,5) L=56-0,12%</v>
      </c>
      <c r="DT214">
        <f t="shared" si="302"/>
        <v>0.06</v>
      </c>
      <c r="DU214">
        <f t="shared" si="303"/>
        <v>0.28000000000000003</v>
      </c>
      <c r="DV214">
        <f t="shared" si="304"/>
        <v>1</v>
      </c>
      <c r="DW214">
        <f>IF(AT214="",0,_xlfn.LET(_xlpm.v,IFERROR(VLOOKUP(D214,УГО_спр,3,FALSE),IFERROR(VLOOKUP(AT214,УГО_спр,3,FALSE),IFERROR(VLOOKUP(LEFT(AT214,2),УГО_спр,3,FALSE),""))),IF(_xlpm.v="да",30,IF(ISNUMBER(_xlpm.v),_xlpm.v,0))))</f>
        <v>30</v>
      </c>
      <c r="DX214">
        <f t="shared" si="305"/>
        <v>0</v>
      </c>
      <c r="DY214">
        <f>IF(BD214="","",IF(AD214&lt;&gt;"",COUNTIFS(A$3:A214,A214,AD$3:AD214,"?*"),IF(OR(OR(AS214=1,A214&lt;&gt;A213),AL214="вручную"),"",IF(AS214=1,"",DZ213))))</f>
        <v>30</v>
      </c>
      <c r="DZ214">
        <f t="shared" si="306"/>
        <v>30</v>
      </c>
      <c r="EA214">
        <f>IF(D214="",0,MAX(IFERROR(--X214,0),IFERROR(--VLOOKUP(D214,УГО_спр,4,FALSE),IFERROR(--VLOOKUP(AT214,УГО_спр,4,FALSE),IFERROR(--VLOOKUP(LEFT(AT214,2),УГО_спр,4,FALSE),0)))))</f>
        <v>16</v>
      </c>
      <c r="EB214">
        <f>IF(D214="","",IFERROR(LOOKUP(INDEX(CHOOSE(BR214,Iдоп_1ж,Iдоп_2ж,Iдоп_3ж),MATCH(BS214,Iдоп_S,0))*BP214*BQ214,{6,10,16,20,25,32,40,50,63,80,100,125,160,200,250,315,400,500,630}),""))</f>
        <v>25</v>
      </c>
      <c r="EC214">
        <f>IF(AD214="","",SUMIFS(Линии[_Ток схемы],Линии[_гр.],DY214,Линии[Щит],A214,Линии[_в кабель выше],0))</f>
        <v>0.28000000000000003</v>
      </c>
      <c r="ED214">
        <f>IF(AD214="","",IFERROR(VLOOKUP(EC214,Автомат_номиналы,2,TRUE),""))</f>
        <v>6</v>
      </c>
      <c r="EE214">
        <f>IF(AD214="","",MAX(N(ED214),_xlfn.MAXIFS(Линии[_мин. по типу],Линии[_гр.],DY214,Линии[Щит],A214)))</f>
        <v>16</v>
      </c>
      <c r="EF214">
        <f>IF(AD214="","",_xlfn.MINIFS(Линии[_макс. автомат по кабелю],Линии[_гр.],DY214,Линии[Щит],A214))</f>
        <v>25</v>
      </c>
      <c r="EG214">
        <f>IF(AD214="","",MAX(1,_xlfn.MAXIFS(Линии[_фаз],Линии[_гр.],DY214,Линии[Щит],A214)))</f>
        <v>1</v>
      </c>
      <c r="EH214">
        <f>IF(AD214="","",IF(AND(AD214&lt;&gt;"авто",AD214&lt;&gt;"+"),IF(ISNUMBER(SEARCH("мА",AD214)),IFERROR(--TRIM(RIGHT(SUBSTITUTE(LEFT(AD214,SEARCH("мА",AD214)-1)," ",REPT(" ",9)),6)),30),0),IF(AE214="нет",0,IF(ISNUMBER(AE214),AE214,IF(AE214="да",30,_xlfn.MINIFS(Линии[_дифзащита по коду, мА],Линии[_гр.],DY214,Линии[Щит],A214,Линии[_дифзащита по коду, мА],"&gt;0"))))))</f>
        <v>30</v>
      </c>
      <c r="EI214">
        <f t="shared" si="307"/>
        <v>1</v>
      </c>
      <c r="EJ214" t="str">
        <f t="shared" si="308"/>
        <v>QFD30</v>
      </c>
      <c r="EK214" t="str">
        <f t="shared" si="309"/>
        <v>QFD30</v>
      </c>
      <c r="EL214" t="str">
        <f t="shared" si="310"/>
        <v/>
      </c>
      <c r="EM214">
        <f t="shared" si="311"/>
        <v>0</v>
      </c>
      <c r="EN214">
        <f>IF(AD214="","",IF(EM214=1,MAX(EE214,Мин_автомат_БП),EE214))</f>
        <v>16</v>
      </c>
      <c r="EO214" t="str">
        <f t="shared" si="312"/>
        <v>2P</v>
      </c>
      <c r="EP214" t="str">
        <f t="shared" si="313"/>
        <v>2P С16А 30мА</v>
      </c>
      <c r="EQ214">
        <f t="shared" si="314"/>
        <v>16</v>
      </c>
      <c r="ER214" t="str">
        <f>IF(OR(AI214="",AI214="-"),"",IFERROR(VLOOKUP(AI214,Модули_спр,2,FALSE),"R"))</f>
        <v/>
      </c>
      <c r="ES214" t="str">
        <f>IF(ER214="","",ER214&amp;"."&amp;COUNTIFS(A$3:A214,A214,ER$3:ER214,ER214))</f>
        <v/>
      </c>
      <c r="ET214" t="str">
        <f t="shared" si="315"/>
        <v/>
      </c>
      <c r="EU214" t="str">
        <f t="shared" si="316"/>
        <v/>
      </c>
      <c r="EV214" t="str">
        <f t="shared" si="317"/>
        <v/>
      </c>
      <c r="EW214" t="str">
        <f t="shared" si="318"/>
        <v/>
      </c>
      <c r="EX214">
        <f t="shared" si="319"/>
        <v>1</v>
      </c>
      <c r="EY214" t="str">
        <f>IF(AK214="нет","",IF(AK214&lt;&gt;"",AK214,IF(EX214=1,"XT"&amp;COUNTIFS(A$3:A214,A214,EX$3:EX214,1),"")))</f>
        <v/>
      </c>
      <c r="EZ214" t="str">
        <f t="shared" si="320"/>
        <v>QFD30</v>
      </c>
      <c r="FA214" t="str">
        <f t="shared" si="321"/>
        <v/>
      </c>
      <c r="FB214" t="str">
        <f t="shared" si="322"/>
        <v>ok</v>
      </c>
      <c r="FC214" t="str">
        <f>IF(OR(EV214="",ET214=""),"",IF(EV214&gt;IFERROR(VLOOKUP(EU214,Модули_спр,3,FALSE),99),"ЛИШНИЙ КАНАЛ",IF(AND(AJ214&lt;&gt;"=",COUNTIFS(Линии[_модуль гр.],ET214,Линии[Канал (итог)],EV214,Линии[Канал],"&lt;&gt;=",Линии[Щит],A214)&gt;1),"ДУБЛЬ КАНАЛА","")))</f>
        <v/>
      </c>
      <c r="FD214">
        <f t="shared" si="323"/>
        <v>16</v>
      </c>
      <c r="FE214" t="str">
        <f t="shared" si="324"/>
        <v>2P С16А 30мА</v>
      </c>
      <c r="FF214">
        <f t="shared" si="325"/>
        <v>1</v>
      </c>
      <c r="FG214">
        <f t="shared" si="326"/>
        <v>30</v>
      </c>
      <c r="FH214" t="str">
        <f t="shared" si="327"/>
        <v/>
      </c>
      <c r="FI214">
        <f t="shared" si="328"/>
        <v>10</v>
      </c>
      <c r="FJ214" t="str">
        <f t="shared" si="329"/>
        <v/>
      </c>
      <c r="FK214" t="str">
        <f>IF(AND(D214="",EZ214=""),"",_xlfn.TEXTJOIN("; ",TRUE,IF(AND(D214&lt;&gt;"",DD214=""),"нет фазы",""),IF(AND(D214&lt;&gt;"",N(DT214)=0,CN214&lt;&gt;"Нет"),"нет мощности",""),IF(AND(EY214&lt;&gt;"",COUNTIFS(Линии[Щит],A214,Линии[Клемма (итог)],EY214)&gt;1),"дубль клеммы "&amp;EY214,""),IF(AND(FB214&lt;&gt;"",FB214&lt;&gt;"ok"),FB214,""),IF(FC214&lt;&gt;"",FC214,""),IF(AND(ISNUMBER(SEARCH("(5х",DS214)),N(DV214)=1),"5 жил на 1 фазе",""),IF(AND(AT214="R",AD214&lt;&gt;"",OR(N(EH214)=0,N(EH214)&gt;30)),"розетка без дифзащиты до 30 мА",""),IFERROR(IF(AND(ISNUMBER(CD214),CD214&gt;CE214),"потери "&amp;FIXED(CD214,1)&amp;" % &gt; "&amp;CE214&amp;" %",""),""),IFERROR(IF(LEFT(FJ214,4)="мало","Iкз мало — отключение &gt; 0,4 с",""),""),IF(AND(D214&lt;&gt;"",BD214=""),"не на схеме","")))</f>
        <v/>
      </c>
      <c r="FL214">
        <f>IF(AD214="","",_xlfn.LET(_xlpm.t,IFERROR(_xlfn.XLOOKUP(EP214,Каталог!$U$4:$U$500,Каталог!$G$4:$G$500),""),_xlpm.k,SEARCH("кА",_xlpm.t),IFERROR(--TRIM(RIGHT(SUBSTITUTE(MID(_xlpm.t,MAX(1,_xlpm.k-4),_xlpm.k-MAX(1,_xlpm.k-4))," ",REPT(" ",9)),5)),"")))</f>
        <v>6</v>
      </c>
      <c r="FM214" t="str">
        <f>IF(OR(FL214="",AD214=""),"",IF(_xlfn.XLOOKUP(A214,Щиты[Щит],Щиты[Iкз max на шинах, кА],"")="","",IF(FL214&lt;_xlfn.XLOOKUP(A214,Щиты[Щит],Щиты[Iкз max на шинах, кА]),"Icu "&amp;FL214&amp;" кА &lt; Iкз max","ok")))</f>
        <v/>
      </c>
      <c r="FN214" t="str">
        <f t="shared" si="330"/>
        <v>QFD30</v>
      </c>
      <c r="FO214" t="str">
        <f t="shared" si="331"/>
        <v>QFD30|кабель ВВГнг(А)-LS (3х2,5) → Розеточная группа Цокольный этаж Пом. №018A</v>
      </c>
      <c r="FP214" t="str" cm="1">
        <f t="array" ref="FP214">IF(FO214="","",_xlfn.LET(_xlpm.nd,_xlfn.TEXTSPLIT(FO214,"|"),IF(COLUMNS(_xlpm.nd)&gt;1,A214&amp;"¦"&amp;INDEX(_xlpm.nd,1)&amp;"¦"&amp;INDEX(_xlpm.nd,2),"")))</f>
        <v>ЩР-01¦QFD30¦кабель ВВГнг(А)-LS (3х2,5) → Розеточная группа Цокольный этаж Пом. №018A</v>
      </c>
      <c r="FQ214" t="str">
        <f t="shared" si="332"/>
        <v>R.0.018A.1¦Розеточная группа Цокольный этаж Пом. №018A</v>
      </c>
      <c r="FR214" t="str" cm="1">
        <f t="array" ref="FR214">IF(FO214="","",_xlfn.LET(_xlpm.nd,_xlfn.TEXTSPLIT(FO214,"|"),IF(COLUMNS(_xlpm.nd)&gt;2,A214&amp;"¦"&amp;INDEX(_xlpm.nd,2)&amp;"¦"&amp;INDEX(_xlpm.nd,3),"")))</f>
        <v/>
      </c>
      <c r="FS214" t="str">
        <f t="shared" si="333"/>
        <v/>
      </c>
      <c r="FT214" t="str" cm="1">
        <f t="array" ref="FT214">IF(FO214="","",_xlfn.LET(_xlpm.nd,_xlfn.TEXTSPLIT(FO214,"|"),IF(COLUMNS(_xlpm.nd)&gt;3,A214&amp;"¦"&amp;INDEX(_xlpm.nd,3)&amp;"¦"&amp;INDEX(_xlpm.nd,4),"")))</f>
        <v/>
      </c>
      <c r="FU214" t="str">
        <f t="shared" si="334"/>
        <v/>
      </c>
      <c r="FV214" t="str" cm="1">
        <f t="array" ref="FV214">IF(FO214="","",_xlfn.LET(_xlpm.nd,_xlfn.TEXTSPLIT(FO214,"|"),IF(COLUMNS(_xlpm.nd)&gt;4,A214&amp;"¦"&amp;INDEX(_xlpm.nd,4)&amp;"¦"&amp;INDEX(_xlpm.nd,5),"")))</f>
        <v/>
      </c>
      <c r="FW214" t="str">
        <f t="shared" si="335"/>
        <v/>
      </c>
      <c r="FX214" t="str" cm="1">
        <f t="array" ref="FX214">IF(FO214="","",_xlfn.LET(_xlpm.nd,_xlfn.TEXTSPLIT(FO214,"|"),IF(COLUMNS(_xlpm.nd)&gt;5,A214&amp;"¦"&amp;INDEX(_xlpm.nd,5)&amp;"¦"&amp;INDEX(_xlpm.nd,6),"")))</f>
        <v/>
      </c>
      <c r="FY214" t="str">
        <f t="shared" si="336"/>
        <v/>
      </c>
      <c r="FZ214" t="str" cm="1">
        <f t="array" ref="FZ214">IF(FO214="","",_xlfn.LET(_xlpm.nd,_xlfn.TEXTSPLIT(FO214,"|"),IF(COLUMNS(_xlpm.nd)&gt;6,A214&amp;"¦"&amp;INDEX(_xlpm.nd,6)&amp;"¦"&amp;INDEX(_xlpm.nd,7),"")))</f>
        <v/>
      </c>
      <c r="GA214" t="str">
        <f t="shared" si="337"/>
        <v/>
      </c>
      <c r="GB214" t="str">
        <f t="shared" si="338"/>
        <v/>
      </c>
      <c r="GC214" t="str">
        <f t="shared" si="339"/>
        <v>QFD30</v>
      </c>
      <c r="GD214">
        <f t="shared" si="340"/>
        <v>1</v>
      </c>
      <c r="GE214">
        <f t="shared" si="341"/>
        <v>0</v>
      </c>
      <c r="GF214">
        <f t="shared" si="342"/>
        <v>1</v>
      </c>
      <c r="GG214" t="str">
        <f t="shared" si="343"/>
        <v/>
      </c>
      <c r="GH214" t="str">
        <f t="shared" si="344"/>
        <v/>
      </c>
      <c r="GI214" t="str">
        <f t="shared" si="345"/>
        <v/>
      </c>
      <c r="GJ214" t="str">
        <f t="shared" si="346"/>
        <v/>
      </c>
      <c r="GK214" t="str">
        <f>IF(D214="","",IFERROR(VLOOKUP(D214,УГО_спр,2,FALSE),IFERROR(VLOOKUP(AT214,УГО_спр,2,FALSE),IFERROR(VLOOKUP(LEFT(AT214,2),УГО_спр,2,FALSE),""))))</f>
        <v>Розетка</v>
      </c>
      <c r="GL214" t="str">
        <f>IF(D214="","",IF(OR(GK214="",GK214=0),"BOX",IFERROR(IF(VLOOKUP(GK214,УГО_блоки,3,FALSE)&amp;""&lt;&gt;"",VLOOKUP(GK214,УГО_блоки,3,FALSE),VLOOKUP(GK214,УГО_блоки,2,FALSE)),GK214)))</f>
        <v>SOCKET</v>
      </c>
      <c r="GM214">
        <f t="shared" si="347"/>
        <v>1</v>
      </c>
      <c r="GN214" t="str">
        <f>IF(EP214="","",IF(COUNTIF(EP$3:EP214,EP214)=1,MAX(GN$2:GN213)+1,""))</f>
        <v/>
      </c>
      <c r="GO214" t="str">
        <f>IF(AF214="","",IF(COUNTIF(AF$3:AF214,AF214)+COUNTIF(AG$2:AG213,AF214)+COUNTIF(AH$2:AH213,AF214)=1,MAX(GO$2:GQ213)+1,""))</f>
        <v/>
      </c>
      <c r="GP214" t="str">
        <f>IF(AG214="","",IF(COUNTIF(AF$3:AF214,AG214)+COUNTIF(AG$3:AG214,AG214)+COUNTIF(AH$2:AH213,AG214)=1,MAX(GO$2:GQ213,GO214)+1,""))</f>
        <v/>
      </c>
      <c r="GQ214" t="str">
        <f>IF(AH214="","",IF(COUNTIF(AF$3:AF214,AH214)+COUNTIF(AG$3:AG214,AH214)+COUNTIF(AH$3:AH214,AH214)=1,MAX(GO$2:GQ213,GO214,GP214)+1,""))</f>
        <v/>
      </c>
      <c r="GR214" t="str">
        <f t="shared" si="348"/>
        <v>3х2,5</v>
      </c>
      <c r="GS214" t="str">
        <f>IF(GR214="","",IF(COUNTIF(GR$3:GR214,GR214)=1,MAX(GS$2:GS213)+1,""))</f>
        <v/>
      </c>
      <c r="GT214" t="str">
        <f>IF(ES214="","",COUNTIF(ES$3:ES214,"?*"))</f>
        <v/>
      </c>
      <c r="GU214" t="str">
        <f>IF(OR(ES214="",EU214=""),"",IF(COUNTIFS(ES$3:ES214,"?*",EU$3:EU214,EU214)=1,MAX(GU$2:GU213)+1,""))</f>
        <v/>
      </c>
      <c r="GV214">
        <f t="shared" si="349"/>
        <v>0</v>
      </c>
      <c r="GW214">
        <f>IF(D214="","",COUNTIF(D$3:D214,"?*"))</f>
        <v>212</v>
      </c>
      <c r="GX214">
        <f>IF(EX214&lt;&gt;1,0,_xlfn.LET(_xlpm.k,MAX(IFERROR(--VLOOKUP(D214,УГО_спр,5,FALSE),0),IFERROR(--VLOOKUP(AT214,УГО_спр,5,FALSE),0),IFERROR(--VLOOKUP(LEFT(AT214,2),УГО_спр,5,FALSE),0)),IF(_xlpm.k&gt;0,_xlpm.k,IF(IFERROR(--LEFT(SUBSTITUTE(GR214,"x","х"),FIND("х",SUBSTITUTE(GR214,"x","х"))-1),3)&gt;3,Каталог!$S$9,1))))</f>
        <v>1</v>
      </c>
      <c r="GY214">
        <f t="shared" si="350"/>
        <v>0</v>
      </c>
    </row>
    <row r="215" spans="1:207" x14ac:dyDescent="0.3">
      <c r="A215" t="s">
        <v>760</v>
      </c>
      <c r="B215">
        <v>43</v>
      </c>
      <c r="C215" t="str">
        <f>IF(BD215="","",IF(BE215="вводной узел","узел ","")&amp;"л."&amp;(INT((BD215-1)/Столбцов_на_лист)+1)&amp;" / "&amp;(MOD(BD215-1,Столбцов_на_лист)+1))</f>
        <v>л.3 / 9</v>
      </c>
      <c r="D215" t="s">
        <v>1528</v>
      </c>
      <c r="E215" s="133" t="str">
        <f t="shared" si="351"/>
        <v>Розеточная группа Цокольный этаж Пом. №018Б</v>
      </c>
      <c r="G215">
        <v>0.06</v>
      </c>
      <c r="H215">
        <v>1</v>
      </c>
      <c r="I215">
        <v>1</v>
      </c>
      <c r="J215">
        <v>230</v>
      </c>
      <c r="K215" t="s">
        <v>566</v>
      </c>
      <c r="O215">
        <v>2</v>
      </c>
      <c r="P215">
        <v>30</v>
      </c>
      <c r="Q215">
        <v>24</v>
      </c>
      <c r="R215">
        <v>9</v>
      </c>
      <c r="S215">
        <v>0</v>
      </c>
      <c r="U215" t="s">
        <v>11</v>
      </c>
      <c r="V215">
        <v>3</v>
      </c>
      <c r="W215">
        <v>2.5</v>
      </c>
      <c r="Z215" t="s">
        <v>565</v>
      </c>
      <c r="AA215" t="s">
        <v>818</v>
      </c>
      <c r="AD215" t="s">
        <v>517</v>
      </c>
      <c r="AK215" t="s">
        <v>488</v>
      </c>
      <c r="AR215" t="str">
        <f t="shared" si="264"/>
        <v/>
      </c>
      <c r="AS215" cm="1">
        <f t="array" ref="AS215">ROW()-ROW(Линии[#Headers])</f>
        <v>213</v>
      </c>
      <c r="AT215" t="str">
        <f t="shared" si="265"/>
        <v>R</v>
      </c>
      <c r="AU215" t="str">
        <f t="shared" si="266"/>
        <v>0.018Б.1</v>
      </c>
      <c r="AV215" t="str">
        <f t="shared" si="267"/>
        <v>0</v>
      </c>
      <c r="AW215" t="str">
        <f t="shared" si="268"/>
        <v>018Б.1</v>
      </c>
      <c r="AX215" t="str">
        <f t="shared" si="269"/>
        <v>018Б</v>
      </c>
      <c r="AY215" t="str">
        <f>IF(D215="","",IF(ISERROR(SEARCH(".",D215)),IFERROR(VLOOKUP(D215,Потребители_обозначение,2,FALSE)&amp;"",""),IFERROR(IF(VLOOKUP(AT215,Потребители_обозначение,4,FALSE)=1,VLOOKUP(AT215,Потребители_обозначение,2,FALSE)&amp;" "&amp;VLOOKUP(AV215,Этаж_обозначение,2,FALSE)&amp;" Пом. №"&amp;AX215,VLOOKUP(AT215,Потребители_обозначение,2,FALSE)&amp;" Шлейф №"&amp;AV215),IFERROR(VLOOKUP(D215,Потребители_обозначение,2,FALSE),""))))</f>
        <v>Розеточная группа Цокольный этаж Пом. №018Б</v>
      </c>
      <c r="AZ215" t="str">
        <f t="shared" si="270"/>
        <v>Розеточная группа Цокольный этаж Пом. №018Б</v>
      </c>
      <c r="BA215" t="str">
        <f>IF(F215&lt;&gt;"",F215,IF(AND(D215&lt;&gt;"",D215&lt;&gt;A215,ISNUMBER(_xlfn.XMATCH(D215,Щиты[Щит]))),D215,""))</f>
        <v/>
      </c>
      <c r="BB215">
        <f>IFERROR(_xlfn.XMATCH(A215,Щиты[Щит]),0)</f>
        <v>9</v>
      </c>
      <c r="BC215">
        <f>IFERROR(N(_xlfn.XLOOKUP(A215,Щиты[Щит],Щиты[Мест под вводной узел])),15)</f>
        <v>8</v>
      </c>
      <c r="BD215">
        <f t="shared" si="271"/>
        <v>43</v>
      </c>
      <c r="BE215" t="str">
        <f t="shared" si="272"/>
        <v>линии</v>
      </c>
      <c r="BF215">
        <f>IF(D215="","",IF(BA215&lt;&gt;"",IFERROR(_xlfn.XLOOKUP(BA215,Щиты[Щит],Щиты[Руст, кВт]),0),N(G215)))</f>
        <v>0.06</v>
      </c>
      <c r="BG215">
        <f>IF(J215&lt;&gt;"",J215,IF(D215="","",IFERROR(IF(VLOOKUP(AT215,Потребители_обозначение,8,FALSE)=0,"",VLOOKUP(AT215,Потребители_обозначение,8,FALSE)),"")))</f>
        <v>230</v>
      </c>
      <c r="BH215">
        <f>IF(I215&lt;&gt;"",I215,IF(D215="","",IFERROR(IF(VLOOKUP(AT215,Потребители_обозначение,9,FALSE)=0,"",VLOOKUP(AT215,Потребители_обозначение,9,FALSE)),"")))</f>
        <v>1</v>
      </c>
      <c r="BI215" t="str">
        <f>IF(U215&lt;&gt;"",U215,IF(D215="","",IFERROR(IF(VLOOKUP(AT215,Потребители_обозначение,6,FALSE)=0,"",VLOOKUP(AT215,Потребители_обозначение,6,FALSE)),"")))</f>
        <v>мс</v>
      </c>
      <c r="BJ215">
        <f>IF(V215&lt;&gt;"",V215,IF(D215="","",IFERROR(IF(VLOOKUP(AT215,Потребители_обозначение,7,FALSE)=0,"",VLOOKUP(AT215,Потребители_обозначение,7,FALSE)),"")))</f>
        <v>3</v>
      </c>
      <c r="BK215">
        <f>IF(W215&lt;&gt;"",W215,IF(D215="","",IFERROR(IF(VLOOKUP(AT215,Потребители_обозначение,10,FALSE)=0,"",VLOOKUP(AT215,Потребители_обозначение,10,FALSE)),"")))</f>
        <v>2.5</v>
      </c>
      <c r="BL215">
        <f>IFERROR(VLOOKUP(AT215,Потребители_обозначение,5,FALSE),0)</f>
        <v>1</v>
      </c>
      <c r="BM215" cm="1">
        <f t="array" ref="BM215">IF(D215="","",IF(BA215&lt;&gt;"",IFERROR(_xlfn.XLOOKUP(BA215,Щиты[Щит],Щиты[cos φ]),0.95),IF(ISNUMBER(M215),M215,IFERROR(IF(BL215=2,_xlfn.IFS(BH215=3,VLOOKUP(BF215,Справочная_двигатели,8,FALSE),BH215=1,VLOOKUP(BF215,Справочная_двигатели,10,TRUE)),IF(AND(Методика="нормы 2026",CN215="Сил"),0.8,0.95)),0.95))))</f>
        <v>0.95</v>
      </c>
      <c r="BN215" cm="1">
        <f t="array" ref="BN215">IF(D215="","",IF(BA215&lt;&gt;"",IFERROR(_xlfn.XLOOKUP(BA215,Щиты[Щит],Щиты[Iр, А]),""),IFERROR(_xlfn.IFS(BH215=1,BF215/((Uн_лин/SQRT(3))*BM215),BH215=3,BF215/(SQRT(3)*Uн_лин*BM215)),"")))</f>
        <v>0.27348170645824377</v>
      </c>
      <c r="BO215">
        <f>IF(D215="","",IF(N(X215)=0,IFERROR(VLOOKUP(BN215,Автомат_номиналы,2,TRUE),""),X215))</f>
        <v>6</v>
      </c>
      <c r="BP215">
        <f t="shared" si="273"/>
        <v>1</v>
      </c>
      <c r="BQ215">
        <f>IF(ISNUMBER(Y215),Y215,К_прокл)</f>
        <v>1</v>
      </c>
      <c r="BR215">
        <f t="shared" si="274"/>
        <v>2</v>
      </c>
      <c r="BS215" cm="1">
        <f t="array" ref="BS215">IF(D215="","",IF(N(BK215)&lt;&gt;0,BK215,IFERROR(_xlfn.LET(_xlpm.need,BO215/(BP215*BQ215),_xlpm.t,CHOOSE(BR215,Iдоп_1ж,Iдоп_2ж,Iдоп_3ж),_xlpm.k,_xlfn.XMATCH(_xlpm.need,_xlpm.t,1),IF(ISNA(_xlpm.k),"Не исп",INDEX(Iдоп_S,_xlpm.k))),"Не исп")))</f>
        <v>2.5</v>
      </c>
      <c r="BT215">
        <f>IFERROR(VLOOKUP(BS215,Кабель_сопротивление,3,FALSE),"")</f>
        <v>2.2499999999999999E-2</v>
      </c>
      <c r="BU215">
        <f>IFERROR(VLOOKUP(BS215,Кабель_сопротивление,2,FALSE),"")</f>
        <v>0.1</v>
      </c>
      <c r="BV215">
        <f t="shared" si="275"/>
        <v>30</v>
      </c>
      <c r="BW215">
        <f>IF(D215="","",IFERROR(IF(VLOOKUP(AT215,Потребители_обозначение,4,FALSE)=1,VLOOKUP(AT215,Потребители_обозначение,3,FALSE)*(H215*2-1)+BV215+VLOOKUP(AV215,Этаж_обозначение,3,FALSE)+VLOOKUP(AV215,Этаж_обозначение,4,FALSE),VLOOKUP(AT215,Потребители_обозначение,3,FALSE)*(H215*2-1)+BV215),BV215))</f>
        <v>33</v>
      </c>
      <c r="BX215">
        <f t="shared" si="276"/>
        <v>9</v>
      </c>
      <c r="BY215">
        <f t="shared" si="277"/>
        <v>0</v>
      </c>
      <c r="BZ215">
        <f t="shared" si="278"/>
        <v>2</v>
      </c>
      <c r="CA215">
        <f t="shared" si="279"/>
        <v>0.31</v>
      </c>
      <c r="CB215">
        <f t="shared" si="280"/>
        <v>0.15488527052580051</v>
      </c>
      <c r="CC215">
        <f>IFERROR(ROUNDUP(CB215/((Uн_лин/SQRT(3))*1000)*100,2),"")</f>
        <v>6.9999999999999993E-2</v>
      </c>
      <c r="CD215">
        <f>IF(ISNUMBER(CC215),CC215+IFERROR(_xlfn.XLOOKUP(A215,Щиты[Щит],Щиты[ΔU до шин, %]),0),"")</f>
        <v>0.5</v>
      </c>
      <c r="CE215">
        <f>IF(D215="","",IF(IFERROR(VLOOKUP(AT215,УГО_спр,2,FALSE),"")="Светильник",3,4)+IF(Методика="нормы 2026",MIN(0.5,MAX(0,N(BW215)-100)*0.005),0))</f>
        <v>4</v>
      </c>
      <c r="CF215" t="str">
        <f>IFERROR(VLOOKUP(BI215,Кабель_обозначение,2,FALSE),"")</f>
        <v>ВВГнг(А)-LS</v>
      </c>
      <c r="CG215" t="str">
        <f>IFERROR(IF(VLOOKUP(BI215,Кабель_обозначение,3,FALSE)=1,CF215&amp;" ("&amp;BJ215&amp;"х"&amp;BS215&amp;")",CF215),"")</f>
        <v>ВВГнг(А)-LS (3х2,5)</v>
      </c>
      <c r="CH215" t="str">
        <f t="shared" si="281"/>
        <v>ВВГнг(А)-LS (3х2,5)
L=33-0,07%</v>
      </c>
      <c r="CI215">
        <f>IFERROR(2*ρкз_Cu*BW215/BS215,"")</f>
        <v>0.69432000000000005</v>
      </c>
      <c r="CJ215">
        <f t="shared" si="282"/>
        <v>0.23100000000000001</v>
      </c>
      <c r="CK215" t="str">
        <f>IFERROR(IF(OR(D215="",NOT(ISNUMBER(BS215)),N(BW215)=0),"",_xlfn.XLOOKUP(A215,Щиты[Щит],Щиты[Zпетли на шинах, Ом])+CI215),"")</f>
        <v/>
      </c>
      <c r="CL215" t="str">
        <f>IF(ISNUMBER(CK215),c_min*(Uн_лин*1000/SQRT(3))/CK215,"")</f>
        <v/>
      </c>
      <c r="CM215" t="str">
        <f>IFERROR(IF(OR(D215="",NOT(ISNUMBER(BS215))),"",1.05*(Uн_лин*1000/SQRT(3))/(_xlfn.XLOOKUP(A215,Щиты[Щит],Щиты[Zmax на шинах, Ом])+CJ215)/1000),"")</f>
        <v/>
      </c>
      <c r="CN215" t="str">
        <f>IF(D215="","",IF(BA215&lt;&gt;"","Щит",IF(K215&lt;&gt;"",K215,IF(ISNUMBER(L215),"Сил",IF(IFERROR(_xlfn.XLOOKUP(AT215,Коды_код,Коды_группа)&amp;"","")="","Быт",_xlfn.XLOOKUP(AT215,Коды_код,Коды_группа)&amp;"")))))</f>
        <v>Быт</v>
      </c>
      <c r="CO215">
        <f>IF(CN215="Щит","щит",IF(CN215="","",IF(CN215="Быт",IFERROR(_xlfn.XLOOKUP(A215,Щиты[Щит],Щиты[Кс быт]),1),IF(CN215="Сил",IF(ISNUMBER(L215),L215,IF(Методика="нормы 2026",IFERROR(_xlfn.XLOOKUP(A215,Щиты[Щит],Щиты[Кс силовых (табл. 7.5)]),1),1)),IF(OR(CN215="Пост",CN215="Отоп"),1,IF(CN215="ВНГ",0.7,0))))))</f>
        <v>0.79799999999999993</v>
      </c>
      <c r="CP215">
        <f t="shared" si="283"/>
        <v>1</v>
      </c>
      <c r="CQ215">
        <f t="shared" si="284"/>
        <v>0.06</v>
      </c>
      <c r="CR215">
        <f t="shared" si="285"/>
        <v>0.06</v>
      </c>
      <c r="CS215">
        <f t="shared" si="286"/>
        <v>0</v>
      </c>
      <c r="CT215">
        <f t="shared" si="287"/>
        <v>0</v>
      </c>
      <c r="CU215">
        <f t="shared" si="288"/>
        <v>0</v>
      </c>
      <c r="CV215">
        <f t="shared" si="289"/>
        <v>0</v>
      </c>
      <c r="CW215">
        <f t="shared" si="290"/>
        <v>0.06</v>
      </c>
      <c r="CX215">
        <f t="shared" si="291"/>
        <v>5.6999999999999995E-2</v>
      </c>
      <c r="CY215">
        <f t="shared" si="292"/>
        <v>1</v>
      </c>
      <c r="CZ215" t="str">
        <f t="shared" si="293"/>
        <v>L1</v>
      </c>
      <c r="DA215" cm="1">
        <f t="array" ref="DA215">IFERROR(IF(BL215=2,_xlfn.IFS(BH215=3,VLOOKUP(BF215,Справочная_двигатели,3,FALSE),BH215=1,VLOOKUP(BF215,Справочная_двигатели,5,TRUE)),0),0)</f>
        <v>0</v>
      </c>
      <c r="DB215">
        <f>IFERROR(IF(BL215=3,VLOOKUP(BF215,Справочная_ЛЭД,2,TRUE),0),0)</f>
        <v>0</v>
      </c>
      <c r="DC215">
        <f t="shared" si="294"/>
        <v>0</v>
      </c>
      <c r="DD215" t="str">
        <f t="shared" si="295"/>
        <v>L2</v>
      </c>
      <c r="DE215" t="str" cm="1">
        <f t="array" ref="DE215">IF(D215="","",IFERROR(INDEX({"I особая","I","II","III"},MATCH(TRIM(AA215&amp;""),{"I особая","I","II","III"},0)),"III"))</f>
        <v>II</v>
      </c>
      <c r="DF215" t="str">
        <f>IF(D215="","",IF(TRIM(AB215&amp;"")&lt;&gt;"",IF(LOWER(TRIM(AB215&amp;""))="да","да","нет"),IF(IFERROR(_xlfn.XLOOKUP(AT215,Коды_код,Коды_пожарная),"")="да","да","нет")))</f>
        <v>нет</v>
      </c>
      <c r="DG215" t="str">
        <f t="shared" si="296"/>
        <v/>
      </c>
      <c r="DH215" t="str">
        <f t="shared" si="297"/>
        <v>основная</v>
      </c>
      <c r="DI215">
        <f t="shared" si="298"/>
        <v>1</v>
      </c>
      <c r="DJ215" t="str" cm="1">
        <f t="array" ref="DJ215">IF(D215="","",_xlfn.LET(_xlpm.t,IFERROR(_xlfn.XLOOKUP(1,(Шины[Шина]=DH215)*(((Шины[Щит]=A215)+(Шины[Щит]=""))&gt;0),Шины[Тип]),"")&amp;"",IF(_xlpm.t&lt;&gt;"",_xlpm.t,IF(ISNUMBER(SEARCH("ИБП",DH215)),"ИБП",IF(ISNUMBER(SEARCH("ДГУ",DH215)),"ДГУ","Ввод "&amp;DI215)))))</f>
        <v>Ввод 1</v>
      </c>
      <c r="DK215" t="str">
        <f t="shared" si="299"/>
        <v>Ввод 1</v>
      </c>
      <c r="DL215" t="str">
        <f>IF(D215="","",IF(OR(DJ215="ИБП",DJ215="ДГУ"),"I особая",IF(DJ215="Одиночная","III",_xlfn.XLOOKUP(A215,Щиты[Щит],Щиты[Категория шины «Ввод»],"III"))))</f>
        <v>II</v>
      </c>
      <c r="DM215">
        <f>IF(D215="",0,IFERROR(MATCH(DE215,{"III","II","I","I особая"},0),1))</f>
        <v>2</v>
      </c>
      <c r="DN215">
        <f t="shared" si="300"/>
        <v>2</v>
      </c>
      <c r="DO215" t="str">
        <f>IF(D215="","",IF(DM215&gt;IFERROR(MATCH(DL215,{"III","II","I","I особая"},0),1),"НЕ ОБЕСПЕЧЕНА","ОК"))</f>
        <v>ОК</v>
      </c>
      <c r="DP215" t="str">
        <f>IF(A215="","",_xlfn.XLOOKUP(A215,Щиты[Щит],Щиты[Путь],""))</f>
        <v>|ГРЩ-ЖД|ЩР-01|</v>
      </c>
      <c r="DQ215" t="str">
        <f>IF(D215="","",IF(Z215&lt;&gt;"",Z215,IF(IFERROR(_xlfn.XLOOKUP(AT215,Коды_код,Коды_вид)&amp;"","")="","Прочее",_xlfn.XLOOKUP(AT215,Коды_код,Коды_вид)&amp;"")))</f>
        <v>Розеточная сеть и бытовые приборы</v>
      </c>
      <c r="DR215">
        <f>IF(BD215="","",INT((BD215-1)/Столбцов_на_лист)+1)</f>
        <v>3</v>
      </c>
      <c r="DS215" t="str">
        <f t="shared" si="301"/>
        <v>ВВГнг(А)-LS (3х2,5) L=33-0,07%</v>
      </c>
      <c r="DT215">
        <f t="shared" si="302"/>
        <v>0.06</v>
      </c>
      <c r="DU215">
        <f t="shared" si="303"/>
        <v>0.28000000000000003</v>
      </c>
      <c r="DV215">
        <f t="shared" si="304"/>
        <v>1</v>
      </c>
      <c r="DW215">
        <f>IF(AT215="",0,_xlfn.LET(_xlpm.v,IFERROR(VLOOKUP(D215,УГО_спр,3,FALSE),IFERROR(VLOOKUP(AT215,УГО_спр,3,FALSE),IFERROR(VLOOKUP(LEFT(AT215,2),УГО_спр,3,FALSE),""))),IF(_xlpm.v="да",30,IF(ISNUMBER(_xlpm.v),_xlpm.v,0))))</f>
        <v>30</v>
      </c>
      <c r="DX215">
        <f t="shared" si="305"/>
        <v>0</v>
      </c>
      <c r="DY215">
        <f>IF(BD215="","",IF(AD215&lt;&gt;"",COUNTIFS(A$3:A215,A215,AD$3:AD215,"?*"),IF(OR(OR(AS215=1,A215&lt;&gt;A214),AL215="вручную"),"",IF(AS215=1,"",DZ214))))</f>
        <v>31</v>
      </c>
      <c r="DZ215">
        <f t="shared" si="306"/>
        <v>31</v>
      </c>
      <c r="EA215">
        <f>IF(D215="",0,MAX(IFERROR(--X215,0),IFERROR(--VLOOKUP(D215,УГО_спр,4,FALSE),IFERROR(--VLOOKUP(AT215,УГО_спр,4,FALSE),IFERROR(--VLOOKUP(LEFT(AT215,2),УГО_спр,4,FALSE),0)))))</f>
        <v>16</v>
      </c>
      <c r="EB215">
        <f>IF(D215="","",IFERROR(LOOKUP(INDEX(CHOOSE(BR215,Iдоп_1ж,Iдоп_2ж,Iдоп_3ж),MATCH(BS215,Iдоп_S,0))*BP215*BQ215,{6,10,16,20,25,32,40,50,63,80,100,125,160,200,250,315,400,500,630}),""))</f>
        <v>25</v>
      </c>
      <c r="EC215">
        <f>IF(AD215="","",SUMIFS(Линии[_Ток схемы],Линии[_гр.],DY215,Линии[Щит],A215,Линии[_в кабель выше],0))</f>
        <v>0.28000000000000003</v>
      </c>
      <c r="ED215">
        <f>IF(AD215="","",IFERROR(VLOOKUP(EC215,Автомат_номиналы,2,TRUE),""))</f>
        <v>6</v>
      </c>
      <c r="EE215">
        <f>IF(AD215="","",MAX(N(ED215),_xlfn.MAXIFS(Линии[_мин. по типу],Линии[_гр.],DY215,Линии[Щит],A215)))</f>
        <v>16</v>
      </c>
      <c r="EF215">
        <f>IF(AD215="","",_xlfn.MINIFS(Линии[_макс. автомат по кабелю],Линии[_гр.],DY215,Линии[Щит],A215))</f>
        <v>25</v>
      </c>
      <c r="EG215">
        <f>IF(AD215="","",MAX(1,_xlfn.MAXIFS(Линии[_фаз],Линии[_гр.],DY215,Линии[Щит],A215)))</f>
        <v>1</v>
      </c>
      <c r="EH215">
        <f>IF(AD215="","",IF(AND(AD215&lt;&gt;"авто",AD215&lt;&gt;"+"),IF(ISNUMBER(SEARCH("мА",AD215)),IFERROR(--TRIM(RIGHT(SUBSTITUTE(LEFT(AD215,SEARCH("мА",AD215)-1)," ",REPT(" ",9)),6)),30),0),IF(AE215="нет",0,IF(ISNUMBER(AE215),AE215,IF(AE215="да",30,_xlfn.MINIFS(Линии[_дифзащита по коду, мА],Линии[_гр.],DY215,Линии[Щит],A215,Линии[_дифзащита по коду, мА],"&gt;0"))))))</f>
        <v>30</v>
      </c>
      <c r="EI215">
        <f t="shared" si="307"/>
        <v>1</v>
      </c>
      <c r="EJ215" t="str">
        <f t="shared" si="308"/>
        <v>QFD31</v>
      </c>
      <c r="EK215" t="str">
        <f t="shared" si="309"/>
        <v>QFD31</v>
      </c>
      <c r="EL215" t="str">
        <f t="shared" si="310"/>
        <v/>
      </c>
      <c r="EM215">
        <f t="shared" si="311"/>
        <v>0</v>
      </c>
      <c r="EN215">
        <f>IF(AD215="","",IF(EM215=1,MAX(EE215,Мин_автомат_БП),EE215))</f>
        <v>16</v>
      </c>
      <c r="EO215" t="str">
        <f t="shared" si="312"/>
        <v>2P</v>
      </c>
      <c r="EP215" t="str">
        <f t="shared" si="313"/>
        <v>2P С16А 30мА</v>
      </c>
      <c r="EQ215">
        <f t="shared" si="314"/>
        <v>16</v>
      </c>
      <c r="ER215" t="str">
        <f>IF(OR(AI215="",AI215="-"),"",IFERROR(VLOOKUP(AI215,Модули_спр,2,FALSE),"R"))</f>
        <v/>
      </c>
      <c r="ES215" t="str">
        <f>IF(ER215="","",ER215&amp;"."&amp;COUNTIFS(A$3:A215,A215,ER$3:ER215,ER215))</f>
        <v/>
      </c>
      <c r="ET215" t="str">
        <f t="shared" si="315"/>
        <v/>
      </c>
      <c r="EU215" t="str">
        <f t="shared" si="316"/>
        <v/>
      </c>
      <c r="EV215" t="str">
        <f t="shared" si="317"/>
        <v/>
      </c>
      <c r="EW215" t="str">
        <f t="shared" si="318"/>
        <v/>
      </c>
      <c r="EX215">
        <f t="shared" si="319"/>
        <v>1</v>
      </c>
      <c r="EY215" t="str">
        <f>IF(AK215="нет","",IF(AK215&lt;&gt;"",AK215,IF(EX215=1,"XT"&amp;COUNTIFS(A$3:A215,A215,EX$3:EX215,1),"")))</f>
        <v/>
      </c>
      <c r="EZ215" t="str">
        <f t="shared" si="320"/>
        <v>QFD31</v>
      </c>
      <c r="FA215" t="str">
        <f t="shared" si="321"/>
        <v/>
      </c>
      <c r="FB215" t="str">
        <f t="shared" si="322"/>
        <v>ok</v>
      </c>
      <c r="FC215" t="str">
        <f>IF(OR(EV215="",ET215=""),"",IF(EV215&gt;IFERROR(VLOOKUP(EU215,Модули_спр,3,FALSE),99),"ЛИШНИЙ КАНАЛ",IF(AND(AJ215&lt;&gt;"=",COUNTIFS(Линии[_модуль гр.],ET215,Линии[Канал (итог)],EV215,Линии[Канал],"&lt;&gt;=",Линии[Щит],A215)&gt;1),"ДУБЛЬ КАНАЛА","")))</f>
        <v/>
      </c>
      <c r="FD215">
        <f t="shared" si="323"/>
        <v>16</v>
      </c>
      <c r="FE215" t="str">
        <f t="shared" si="324"/>
        <v>2P С16А 30мА</v>
      </c>
      <c r="FF215">
        <f t="shared" si="325"/>
        <v>1</v>
      </c>
      <c r="FG215">
        <f t="shared" si="326"/>
        <v>30</v>
      </c>
      <c r="FH215" t="str">
        <f t="shared" si="327"/>
        <v/>
      </c>
      <c r="FI215">
        <f t="shared" si="328"/>
        <v>10</v>
      </c>
      <c r="FJ215" t="str">
        <f t="shared" si="329"/>
        <v/>
      </c>
      <c r="FK215" t="str">
        <f>IF(AND(D215="",EZ215=""),"",_xlfn.TEXTJOIN("; ",TRUE,IF(AND(D215&lt;&gt;"",DD215=""),"нет фазы",""),IF(AND(D215&lt;&gt;"",N(DT215)=0,CN215&lt;&gt;"Нет"),"нет мощности",""),IF(AND(EY215&lt;&gt;"",COUNTIFS(Линии[Щит],A215,Линии[Клемма (итог)],EY215)&gt;1),"дубль клеммы "&amp;EY215,""),IF(AND(FB215&lt;&gt;"",FB215&lt;&gt;"ok"),FB215,""),IF(FC215&lt;&gt;"",FC215,""),IF(AND(ISNUMBER(SEARCH("(5х",DS215)),N(DV215)=1),"5 жил на 1 фазе",""),IF(AND(AT215="R",AD215&lt;&gt;"",OR(N(EH215)=0,N(EH215)&gt;30)),"розетка без дифзащиты до 30 мА",""),IFERROR(IF(AND(ISNUMBER(CD215),CD215&gt;CE215),"потери "&amp;FIXED(CD215,1)&amp;" % &gt; "&amp;CE215&amp;" %",""),""),IFERROR(IF(LEFT(FJ215,4)="мало","Iкз мало — отключение &gt; 0,4 с",""),""),IF(AND(D215&lt;&gt;"",BD215=""),"не на схеме","")))</f>
        <v/>
      </c>
      <c r="FL215">
        <f>IF(AD215="","",_xlfn.LET(_xlpm.t,IFERROR(_xlfn.XLOOKUP(EP215,Каталог!$U$4:$U$500,Каталог!$G$4:$G$500),""),_xlpm.k,SEARCH("кА",_xlpm.t),IFERROR(--TRIM(RIGHT(SUBSTITUTE(MID(_xlpm.t,MAX(1,_xlpm.k-4),_xlpm.k-MAX(1,_xlpm.k-4))," ",REPT(" ",9)),5)),"")))</f>
        <v>6</v>
      </c>
      <c r="FM215" t="str">
        <f>IF(OR(FL215="",AD215=""),"",IF(_xlfn.XLOOKUP(A215,Щиты[Щит],Щиты[Iкз max на шинах, кА],"")="","",IF(FL215&lt;_xlfn.XLOOKUP(A215,Щиты[Щит],Щиты[Iкз max на шинах, кА]),"Icu "&amp;FL215&amp;" кА &lt; Iкз max","ok")))</f>
        <v/>
      </c>
      <c r="FN215" t="str">
        <f t="shared" si="330"/>
        <v>QFD31</v>
      </c>
      <c r="FO215" t="str">
        <f t="shared" si="331"/>
        <v>QFD31|кабель ВВГнг(А)-LS (3х2,5) → Розеточная группа Цокольный этаж Пом. №018Б</v>
      </c>
      <c r="FP215" t="str" cm="1">
        <f t="array" ref="FP215">IF(FO215="","",_xlfn.LET(_xlpm.nd,_xlfn.TEXTSPLIT(FO215,"|"),IF(COLUMNS(_xlpm.nd)&gt;1,A215&amp;"¦"&amp;INDEX(_xlpm.nd,1)&amp;"¦"&amp;INDEX(_xlpm.nd,2),"")))</f>
        <v>ЩР-01¦QFD31¦кабель ВВГнг(А)-LS (3х2,5) → Розеточная группа Цокольный этаж Пом. №018Б</v>
      </c>
      <c r="FQ215" t="str">
        <f t="shared" si="332"/>
        <v>R.0.018Б.1¦Розеточная группа Цокольный этаж Пом. №018Б</v>
      </c>
      <c r="FR215" t="str" cm="1">
        <f t="array" ref="FR215">IF(FO215="","",_xlfn.LET(_xlpm.nd,_xlfn.TEXTSPLIT(FO215,"|"),IF(COLUMNS(_xlpm.nd)&gt;2,A215&amp;"¦"&amp;INDEX(_xlpm.nd,2)&amp;"¦"&amp;INDEX(_xlpm.nd,3),"")))</f>
        <v/>
      </c>
      <c r="FS215" t="str">
        <f t="shared" si="333"/>
        <v/>
      </c>
      <c r="FT215" t="str" cm="1">
        <f t="array" ref="FT215">IF(FO215="","",_xlfn.LET(_xlpm.nd,_xlfn.TEXTSPLIT(FO215,"|"),IF(COLUMNS(_xlpm.nd)&gt;3,A215&amp;"¦"&amp;INDEX(_xlpm.nd,3)&amp;"¦"&amp;INDEX(_xlpm.nd,4),"")))</f>
        <v/>
      </c>
      <c r="FU215" t="str">
        <f t="shared" si="334"/>
        <v/>
      </c>
      <c r="FV215" t="str" cm="1">
        <f t="array" ref="FV215">IF(FO215="","",_xlfn.LET(_xlpm.nd,_xlfn.TEXTSPLIT(FO215,"|"),IF(COLUMNS(_xlpm.nd)&gt;4,A215&amp;"¦"&amp;INDEX(_xlpm.nd,4)&amp;"¦"&amp;INDEX(_xlpm.nd,5),"")))</f>
        <v/>
      </c>
      <c r="FW215" t="str">
        <f t="shared" si="335"/>
        <v/>
      </c>
      <c r="FX215" t="str" cm="1">
        <f t="array" ref="FX215">IF(FO215="","",_xlfn.LET(_xlpm.nd,_xlfn.TEXTSPLIT(FO215,"|"),IF(COLUMNS(_xlpm.nd)&gt;5,A215&amp;"¦"&amp;INDEX(_xlpm.nd,5)&amp;"¦"&amp;INDEX(_xlpm.nd,6),"")))</f>
        <v/>
      </c>
      <c r="FY215" t="str">
        <f t="shared" si="336"/>
        <v/>
      </c>
      <c r="FZ215" t="str" cm="1">
        <f t="array" ref="FZ215">IF(FO215="","",_xlfn.LET(_xlpm.nd,_xlfn.TEXTSPLIT(FO215,"|"),IF(COLUMNS(_xlpm.nd)&gt;6,A215&amp;"¦"&amp;INDEX(_xlpm.nd,6)&amp;"¦"&amp;INDEX(_xlpm.nd,7),"")))</f>
        <v/>
      </c>
      <c r="GA215" t="str">
        <f t="shared" si="337"/>
        <v/>
      </c>
      <c r="GB215" t="str">
        <f t="shared" si="338"/>
        <v/>
      </c>
      <c r="GC215" t="str">
        <f t="shared" si="339"/>
        <v>QFD31</v>
      </c>
      <c r="GD215">
        <f t="shared" si="340"/>
        <v>1</v>
      </c>
      <c r="GE215">
        <f t="shared" si="341"/>
        <v>0</v>
      </c>
      <c r="GF215">
        <f t="shared" si="342"/>
        <v>1</v>
      </c>
      <c r="GG215" t="str">
        <f t="shared" si="343"/>
        <v/>
      </c>
      <c r="GH215" t="str">
        <f t="shared" si="344"/>
        <v/>
      </c>
      <c r="GI215" t="str">
        <f t="shared" si="345"/>
        <v/>
      </c>
      <c r="GJ215" t="str">
        <f t="shared" si="346"/>
        <v/>
      </c>
      <c r="GK215" t="str">
        <f>IF(D215="","",IFERROR(VLOOKUP(D215,УГО_спр,2,FALSE),IFERROR(VLOOKUP(AT215,УГО_спр,2,FALSE),IFERROR(VLOOKUP(LEFT(AT215,2),УГО_спр,2,FALSE),""))))</f>
        <v>Розетка</v>
      </c>
      <c r="GL215" t="str">
        <f>IF(D215="","",IF(OR(GK215="",GK215=0),"BOX",IFERROR(IF(VLOOKUP(GK215,УГО_блоки,3,FALSE)&amp;""&lt;&gt;"",VLOOKUP(GK215,УГО_блоки,3,FALSE),VLOOKUP(GK215,УГО_блоки,2,FALSE)),GK215)))</f>
        <v>SOCKET</v>
      </c>
      <c r="GM215">
        <f t="shared" si="347"/>
        <v>1</v>
      </c>
      <c r="GN215" t="str">
        <f>IF(EP215="","",IF(COUNTIF(EP$3:EP215,EP215)=1,MAX(GN$2:GN214)+1,""))</f>
        <v/>
      </c>
      <c r="GO215" t="str">
        <f>IF(AF215="","",IF(COUNTIF(AF$3:AF215,AF215)+COUNTIF(AG$2:AG214,AF215)+COUNTIF(AH$2:AH214,AF215)=1,MAX(GO$2:GQ214)+1,""))</f>
        <v/>
      </c>
      <c r="GP215" t="str">
        <f>IF(AG215="","",IF(COUNTIF(AF$3:AF215,AG215)+COUNTIF(AG$3:AG215,AG215)+COUNTIF(AH$2:AH214,AG215)=1,MAX(GO$2:GQ214,GO215)+1,""))</f>
        <v/>
      </c>
      <c r="GQ215" t="str">
        <f>IF(AH215="","",IF(COUNTIF(AF$3:AF215,AH215)+COUNTIF(AG$3:AG215,AH215)+COUNTIF(AH$3:AH215,AH215)=1,MAX(GO$2:GQ214,GO215,GP215)+1,""))</f>
        <v/>
      </c>
      <c r="GR215" t="str">
        <f t="shared" si="348"/>
        <v>3х2,5</v>
      </c>
      <c r="GS215" t="str">
        <f>IF(GR215="","",IF(COUNTIF(GR$3:GR215,GR215)=1,MAX(GS$2:GS214)+1,""))</f>
        <v/>
      </c>
      <c r="GT215" t="str">
        <f>IF(ES215="","",COUNTIF(ES$3:ES215,"?*"))</f>
        <v/>
      </c>
      <c r="GU215" t="str">
        <f>IF(OR(ES215="",EU215=""),"",IF(COUNTIFS(ES$3:ES215,"?*",EU$3:EU215,EU215)=1,MAX(GU$2:GU214)+1,""))</f>
        <v/>
      </c>
      <c r="GV215">
        <f t="shared" si="349"/>
        <v>0</v>
      </c>
      <c r="GW215">
        <f>IF(D215="","",COUNTIF(D$3:D215,"?*"))</f>
        <v>213</v>
      </c>
      <c r="GX215">
        <f>IF(EX215&lt;&gt;1,0,_xlfn.LET(_xlpm.k,MAX(IFERROR(--VLOOKUP(D215,УГО_спр,5,FALSE),0),IFERROR(--VLOOKUP(AT215,УГО_спр,5,FALSE),0),IFERROR(--VLOOKUP(LEFT(AT215,2),УГО_спр,5,FALSE),0)),IF(_xlpm.k&gt;0,_xlpm.k,IF(IFERROR(--LEFT(SUBSTITUTE(GR215,"x","х"),FIND("х",SUBSTITUTE(GR215,"x","х"))-1),3)&gt;3,Каталог!$S$9,1))))</f>
        <v>1</v>
      </c>
      <c r="GY215">
        <f t="shared" si="350"/>
        <v>0</v>
      </c>
    </row>
    <row r="216" spans="1:207" x14ac:dyDescent="0.3">
      <c r="A216" t="s">
        <v>760</v>
      </c>
      <c r="B216">
        <v>44</v>
      </c>
      <c r="C216" t="str">
        <f>IF(BD216="","",IF(BE216="вводной узел","узел ","")&amp;"л."&amp;(INT((BD216-1)/Столбцов_на_лист)+1)&amp;" / "&amp;(MOD(BD216-1,Столбцов_на_лист)+1))</f>
        <v>л.3 / 10</v>
      </c>
      <c r="D216" t="s">
        <v>1529</v>
      </c>
      <c r="E216" s="133" t="str">
        <f t="shared" si="351"/>
        <v>Розеточная группа Цокольный этаж Пом. №021A</v>
      </c>
      <c r="G216">
        <v>0.24</v>
      </c>
      <c r="H216">
        <v>4</v>
      </c>
      <c r="I216">
        <v>1</v>
      </c>
      <c r="J216">
        <v>230</v>
      </c>
      <c r="K216" t="s">
        <v>566</v>
      </c>
      <c r="O216">
        <v>3</v>
      </c>
      <c r="P216">
        <v>51</v>
      </c>
      <c r="Q216">
        <v>49</v>
      </c>
      <c r="R216">
        <v>14</v>
      </c>
      <c r="S216">
        <v>9</v>
      </c>
      <c r="U216" t="s">
        <v>11</v>
      </c>
      <c r="V216">
        <v>3</v>
      </c>
      <c r="W216">
        <v>2.5</v>
      </c>
      <c r="Z216" t="s">
        <v>565</v>
      </c>
      <c r="AA216" t="s">
        <v>818</v>
      </c>
      <c r="AD216" t="s">
        <v>517</v>
      </c>
      <c r="AK216" t="s">
        <v>488</v>
      </c>
      <c r="AR216" t="str">
        <f t="shared" si="264"/>
        <v/>
      </c>
      <c r="AS216" cm="1">
        <f t="array" ref="AS216">ROW()-ROW(Линии[#Headers])</f>
        <v>214</v>
      </c>
      <c r="AT216" t="str">
        <f t="shared" si="265"/>
        <v>R</v>
      </c>
      <c r="AU216" t="str">
        <f t="shared" si="266"/>
        <v>0.021A.1</v>
      </c>
      <c r="AV216" t="str">
        <f t="shared" si="267"/>
        <v>0</v>
      </c>
      <c r="AW216" t="str">
        <f t="shared" si="268"/>
        <v>021A.1</v>
      </c>
      <c r="AX216" t="str">
        <f t="shared" si="269"/>
        <v>021A</v>
      </c>
      <c r="AY216" t="str">
        <f>IF(D216="","",IF(ISERROR(SEARCH(".",D216)),IFERROR(VLOOKUP(D216,Потребители_обозначение,2,FALSE)&amp;"",""),IFERROR(IF(VLOOKUP(AT216,Потребители_обозначение,4,FALSE)=1,VLOOKUP(AT216,Потребители_обозначение,2,FALSE)&amp;" "&amp;VLOOKUP(AV216,Этаж_обозначение,2,FALSE)&amp;" Пом. №"&amp;AX216,VLOOKUP(AT216,Потребители_обозначение,2,FALSE)&amp;" Шлейф №"&amp;AV216),IFERROR(VLOOKUP(D216,Потребители_обозначение,2,FALSE),""))))</f>
        <v>Розеточная группа Цокольный этаж Пом. №021A</v>
      </c>
      <c r="AZ216" t="str">
        <f t="shared" si="270"/>
        <v>Розеточная группа Цокольный этаж Пом. №021A</v>
      </c>
      <c r="BA216" t="str">
        <f>IF(F216&lt;&gt;"",F216,IF(AND(D216&lt;&gt;"",D216&lt;&gt;A216,ISNUMBER(_xlfn.XMATCH(D216,Щиты[Щит]))),D216,""))</f>
        <v/>
      </c>
      <c r="BB216">
        <f>IFERROR(_xlfn.XMATCH(A216,Щиты[Щит]),0)</f>
        <v>9</v>
      </c>
      <c r="BC216">
        <f>IFERROR(N(_xlfn.XLOOKUP(A216,Щиты[Щит],Щиты[Мест под вводной узел])),15)</f>
        <v>8</v>
      </c>
      <c r="BD216">
        <f t="shared" si="271"/>
        <v>44</v>
      </c>
      <c r="BE216" t="str">
        <f t="shared" si="272"/>
        <v>линии</v>
      </c>
      <c r="BF216">
        <f>IF(D216="","",IF(BA216&lt;&gt;"",IFERROR(_xlfn.XLOOKUP(BA216,Щиты[Щит],Щиты[Руст, кВт]),0),N(G216)))</f>
        <v>0.24</v>
      </c>
      <c r="BG216">
        <f>IF(J216&lt;&gt;"",J216,IF(D216="","",IFERROR(IF(VLOOKUP(AT216,Потребители_обозначение,8,FALSE)=0,"",VLOOKUP(AT216,Потребители_обозначение,8,FALSE)),"")))</f>
        <v>230</v>
      </c>
      <c r="BH216">
        <f>IF(I216&lt;&gt;"",I216,IF(D216="","",IFERROR(IF(VLOOKUP(AT216,Потребители_обозначение,9,FALSE)=0,"",VLOOKUP(AT216,Потребители_обозначение,9,FALSE)),"")))</f>
        <v>1</v>
      </c>
      <c r="BI216" t="str">
        <f>IF(U216&lt;&gt;"",U216,IF(D216="","",IFERROR(IF(VLOOKUP(AT216,Потребители_обозначение,6,FALSE)=0,"",VLOOKUP(AT216,Потребители_обозначение,6,FALSE)),"")))</f>
        <v>мс</v>
      </c>
      <c r="BJ216">
        <f>IF(V216&lt;&gt;"",V216,IF(D216="","",IFERROR(IF(VLOOKUP(AT216,Потребители_обозначение,7,FALSE)=0,"",VLOOKUP(AT216,Потребители_обозначение,7,FALSE)),"")))</f>
        <v>3</v>
      </c>
      <c r="BK216">
        <f>IF(W216&lt;&gt;"",W216,IF(D216="","",IFERROR(IF(VLOOKUP(AT216,Потребители_обозначение,10,FALSE)=0,"",VLOOKUP(AT216,Потребители_обозначение,10,FALSE)),"")))</f>
        <v>2.5</v>
      </c>
      <c r="BL216">
        <f>IFERROR(VLOOKUP(AT216,Потребители_обозначение,5,FALSE),0)</f>
        <v>1</v>
      </c>
      <c r="BM216" cm="1">
        <f t="array" ref="BM216">IF(D216="","",IF(BA216&lt;&gt;"",IFERROR(_xlfn.XLOOKUP(BA216,Щиты[Щит],Щиты[cos φ]),0.95),IF(ISNUMBER(M216),M216,IFERROR(IF(BL216=2,_xlfn.IFS(BH216=3,VLOOKUP(BF216,Справочная_двигатели,8,FALSE),BH216=1,VLOOKUP(BF216,Справочная_двигатели,10,TRUE)),IF(AND(Методика="нормы 2026",CN216="Сил"),0.8,0.95)),0.95))))</f>
        <v>0.95</v>
      </c>
      <c r="BN216" cm="1">
        <f t="array" ref="BN216">IF(D216="","",IF(BA216&lt;&gt;"",IFERROR(_xlfn.XLOOKUP(BA216,Щиты[Щит],Щиты[Iр, А]),""),IFERROR(_xlfn.IFS(BH216=1,BF216/((Uн_лин/SQRT(3))*BM216),BH216=3,BF216/(SQRT(3)*Uн_лин*BM216)),"")))</f>
        <v>1.0939268258329751</v>
      </c>
      <c r="BO216">
        <f>IF(D216="","",IF(N(X216)=0,IFERROR(VLOOKUP(BN216,Автомат_номиналы,2,TRUE),""),X216))</f>
        <v>6</v>
      </c>
      <c r="BP216">
        <f t="shared" si="273"/>
        <v>1</v>
      </c>
      <c r="BQ216">
        <f>IF(ISNUMBER(Y216),Y216,К_прокл)</f>
        <v>1</v>
      </c>
      <c r="BR216">
        <f t="shared" si="274"/>
        <v>2</v>
      </c>
      <c r="BS216" cm="1">
        <f t="array" ref="BS216">IF(D216="","",IF(N(BK216)&lt;&gt;0,BK216,IFERROR(_xlfn.LET(_xlpm.need,BO216/(BP216*BQ216),_xlpm.t,CHOOSE(BR216,Iдоп_1ж,Iдоп_2ж,Iдоп_3ж),_xlpm.k,_xlfn.XMATCH(_xlpm.need,_xlpm.t,1),IF(ISNA(_xlpm.k),"Не исп",INDEX(Iдоп_S,_xlpm.k))),"Не исп")))</f>
        <v>2.5</v>
      </c>
      <c r="BT216">
        <f>IFERROR(VLOOKUP(BS216,Кабель_сопротивление,3,FALSE),"")</f>
        <v>2.2499999999999999E-2</v>
      </c>
      <c r="BU216">
        <f>IFERROR(VLOOKUP(BS216,Кабель_сопротивление,2,FALSE),"")</f>
        <v>0.1</v>
      </c>
      <c r="BV216">
        <f t="shared" si="275"/>
        <v>51</v>
      </c>
      <c r="BW216">
        <f>IF(D216="","",IFERROR(IF(VLOOKUP(AT216,Потребители_обозначение,4,FALSE)=1,VLOOKUP(AT216,Потребители_обозначение,3,FALSE)*(H216*2-1)+BV216+VLOOKUP(AV216,Этаж_обозначение,3,FALSE)+VLOOKUP(AV216,Этаж_обозначение,4,FALSE),VLOOKUP(AT216,Потребители_обозначение,3,FALSE)*(H216*2-1)+BV216),BV216))</f>
        <v>72</v>
      </c>
      <c r="BX216">
        <f t="shared" si="276"/>
        <v>14</v>
      </c>
      <c r="BY216">
        <f t="shared" si="277"/>
        <v>9</v>
      </c>
      <c r="BZ216">
        <f t="shared" si="278"/>
        <v>2</v>
      </c>
      <c r="CA216">
        <f t="shared" si="279"/>
        <v>0.31</v>
      </c>
      <c r="CB216">
        <f t="shared" si="280"/>
        <v>1.3517259973160771</v>
      </c>
      <c r="CC216">
        <f>IFERROR(ROUNDUP(CB216/((Uн_лин/SQRT(3))*1000)*100,2),"")</f>
        <v>0.59</v>
      </c>
      <c r="CD216">
        <f>IF(ISNUMBER(CC216),CC216+IFERROR(_xlfn.XLOOKUP(A216,Щиты[Щит],Щиты[ΔU до шин, %]),0),"")</f>
        <v>1.02</v>
      </c>
      <c r="CE216">
        <f>IF(D216="","",IF(IFERROR(VLOOKUP(AT216,УГО_спр,2,FALSE),"")="Светильник",3,4)+IF(Методика="нормы 2026",MIN(0.5,MAX(0,N(BW216)-100)*0.005),0))</f>
        <v>4</v>
      </c>
      <c r="CF216" t="str">
        <f>IFERROR(VLOOKUP(BI216,Кабель_обозначение,2,FALSE),"")</f>
        <v>ВВГнг(А)-LS</v>
      </c>
      <c r="CG216" t="str">
        <f>IFERROR(IF(VLOOKUP(BI216,Кабель_обозначение,3,FALSE)=1,CF216&amp;" ("&amp;BJ216&amp;"х"&amp;BS216&amp;")",CF216),"")</f>
        <v>ВВГнг(А)-LS (3х2,5)</v>
      </c>
      <c r="CH216" t="str">
        <f t="shared" si="281"/>
        <v>ВВГнг(А)-LS (3х2,5)
L=72-0,59%</v>
      </c>
      <c r="CI216">
        <f>IFERROR(2*ρкз_Cu*BW216/BS216,"")</f>
        <v>1.51488</v>
      </c>
      <c r="CJ216">
        <f t="shared" si="282"/>
        <v>0.50400000000000011</v>
      </c>
      <c r="CK216" t="str">
        <f>IFERROR(IF(OR(D216="",NOT(ISNUMBER(BS216)),N(BW216)=0),"",_xlfn.XLOOKUP(A216,Щиты[Щит],Щиты[Zпетли на шинах, Ом])+CI216),"")</f>
        <v/>
      </c>
      <c r="CL216" t="str">
        <f>IF(ISNUMBER(CK216),c_min*(Uн_лин*1000/SQRT(3))/CK216,"")</f>
        <v/>
      </c>
      <c r="CM216" t="str">
        <f>IFERROR(IF(OR(D216="",NOT(ISNUMBER(BS216))),"",1.05*(Uн_лин*1000/SQRT(3))/(_xlfn.XLOOKUP(A216,Щиты[Щит],Щиты[Zmax на шинах, Ом])+CJ216)/1000),"")</f>
        <v/>
      </c>
      <c r="CN216" t="str">
        <f>IF(D216="","",IF(BA216&lt;&gt;"","Щит",IF(K216&lt;&gt;"",K216,IF(ISNUMBER(L216),"Сил",IF(IFERROR(_xlfn.XLOOKUP(AT216,Коды_код,Коды_группа)&amp;"","")="","Быт",_xlfn.XLOOKUP(AT216,Коды_код,Коды_группа)&amp;"")))))</f>
        <v>Быт</v>
      </c>
      <c r="CO216">
        <f>IF(CN216="Щит","щит",IF(CN216="","",IF(CN216="Быт",IFERROR(_xlfn.XLOOKUP(A216,Щиты[Щит],Щиты[Кс быт]),1),IF(CN216="Сил",IF(ISNUMBER(L216),L216,IF(Методика="нормы 2026",IFERROR(_xlfn.XLOOKUP(A216,Щиты[Щит],Щиты[Кс силовых (табл. 7.5)]),1),1)),IF(OR(CN216="Пост",CN216="Отоп"),1,IF(CN216="ВНГ",0.7,0))))))</f>
        <v>0.79799999999999993</v>
      </c>
      <c r="CP216">
        <f t="shared" si="283"/>
        <v>1</v>
      </c>
      <c r="CQ216">
        <f t="shared" si="284"/>
        <v>0.24</v>
      </c>
      <c r="CR216">
        <f t="shared" si="285"/>
        <v>0.24</v>
      </c>
      <c r="CS216">
        <f t="shared" si="286"/>
        <v>0</v>
      </c>
      <c r="CT216">
        <f t="shared" si="287"/>
        <v>0</v>
      </c>
      <c r="CU216">
        <f t="shared" si="288"/>
        <v>0</v>
      </c>
      <c r="CV216">
        <f t="shared" si="289"/>
        <v>0</v>
      </c>
      <c r="CW216">
        <f t="shared" si="290"/>
        <v>0.24</v>
      </c>
      <c r="CX216">
        <f t="shared" si="291"/>
        <v>0.22799999999999998</v>
      </c>
      <c r="CY216">
        <f t="shared" si="292"/>
        <v>2</v>
      </c>
      <c r="CZ216" t="str">
        <f t="shared" si="293"/>
        <v>L2</v>
      </c>
      <c r="DA216" cm="1">
        <f t="array" ref="DA216">IFERROR(IF(BL216=2,_xlfn.IFS(BH216=3,VLOOKUP(BF216,Справочная_двигатели,3,FALSE),BH216=1,VLOOKUP(BF216,Справочная_двигатели,5,TRUE)),0),0)</f>
        <v>0</v>
      </c>
      <c r="DB216">
        <f>IFERROR(IF(BL216=3,VLOOKUP(BF216,Справочная_ЛЭД,2,TRUE),0),0)</f>
        <v>0</v>
      </c>
      <c r="DC216">
        <f t="shared" si="294"/>
        <v>0</v>
      </c>
      <c r="DD216" t="str">
        <f t="shared" si="295"/>
        <v>L3</v>
      </c>
      <c r="DE216" t="str" cm="1">
        <f t="array" ref="DE216">IF(D216="","",IFERROR(INDEX({"I особая","I","II","III"},MATCH(TRIM(AA216&amp;""),{"I особая","I","II","III"},0)),"III"))</f>
        <v>II</v>
      </c>
      <c r="DF216" t="str">
        <f>IF(D216="","",IF(TRIM(AB216&amp;"")&lt;&gt;"",IF(LOWER(TRIM(AB216&amp;""))="да","да","нет"),IF(IFERROR(_xlfn.XLOOKUP(AT216,Коды_код,Коды_пожарная),"")="да","да","нет")))</f>
        <v>нет</v>
      </c>
      <c r="DG216" t="str">
        <f t="shared" si="296"/>
        <v/>
      </c>
      <c r="DH216" t="str">
        <f t="shared" si="297"/>
        <v>основная</v>
      </c>
      <c r="DI216">
        <f t="shared" si="298"/>
        <v>1</v>
      </c>
      <c r="DJ216" t="str" cm="1">
        <f t="array" ref="DJ216">IF(D216="","",_xlfn.LET(_xlpm.t,IFERROR(_xlfn.XLOOKUP(1,(Шины[Шина]=DH216)*(((Шины[Щит]=A216)+(Шины[Щит]=""))&gt;0),Шины[Тип]),"")&amp;"",IF(_xlpm.t&lt;&gt;"",_xlpm.t,IF(ISNUMBER(SEARCH("ИБП",DH216)),"ИБП",IF(ISNUMBER(SEARCH("ДГУ",DH216)),"ДГУ","Ввод "&amp;DI216)))))</f>
        <v>Ввод 1</v>
      </c>
      <c r="DK216" t="str">
        <f t="shared" si="299"/>
        <v>Ввод 1</v>
      </c>
      <c r="DL216" t="str">
        <f>IF(D216="","",IF(OR(DJ216="ИБП",DJ216="ДГУ"),"I особая",IF(DJ216="Одиночная","III",_xlfn.XLOOKUP(A216,Щиты[Щит],Щиты[Категория шины «Ввод»],"III"))))</f>
        <v>II</v>
      </c>
      <c r="DM216">
        <f>IF(D216="",0,IFERROR(MATCH(DE216,{"III","II","I","I особая"},0),1))</f>
        <v>2</v>
      </c>
      <c r="DN216">
        <f t="shared" si="300"/>
        <v>2</v>
      </c>
      <c r="DO216" t="str">
        <f>IF(D216="","",IF(DM216&gt;IFERROR(MATCH(DL216,{"III","II","I","I особая"},0),1),"НЕ ОБЕСПЕЧЕНА","ОК"))</f>
        <v>ОК</v>
      </c>
      <c r="DP216" t="str">
        <f>IF(A216="","",_xlfn.XLOOKUP(A216,Щиты[Щит],Щиты[Путь],""))</f>
        <v>|ГРЩ-ЖД|ЩР-01|</v>
      </c>
      <c r="DQ216" t="str">
        <f>IF(D216="","",IF(Z216&lt;&gt;"",Z216,IF(IFERROR(_xlfn.XLOOKUP(AT216,Коды_код,Коды_вид)&amp;"","")="","Прочее",_xlfn.XLOOKUP(AT216,Коды_код,Коды_вид)&amp;"")))</f>
        <v>Розеточная сеть и бытовые приборы</v>
      </c>
      <c r="DR216">
        <f>IF(BD216="","",INT((BD216-1)/Столбцов_на_лист)+1)</f>
        <v>3</v>
      </c>
      <c r="DS216" t="str">
        <f t="shared" si="301"/>
        <v>ВВГнг(А)-LS (3х2,5) L=72-0,59%</v>
      </c>
      <c r="DT216">
        <f t="shared" si="302"/>
        <v>0.24</v>
      </c>
      <c r="DU216">
        <f t="shared" si="303"/>
        <v>1.1000000000000001</v>
      </c>
      <c r="DV216">
        <f t="shared" si="304"/>
        <v>1</v>
      </c>
      <c r="DW216">
        <f>IF(AT216="",0,_xlfn.LET(_xlpm.v,IFERROR(VLOOKUP(D216,УГО_спр,3,FALSE),IFERROR(VLOOKUP(AT216,УГО_спр,3,FALSE),IFERROR(VLOOKUP(LEFT(AT216,2),УГО_спр,3,FALSE),""))),IF(_xlpm.v="да",30,IF(ISNUMBER(_xlpm.v),_xlpm.v,0))))</f>
        <v>30</v>
      </c>
      <c r="DX216">
        <f t="shared" si="305"/>
        <v>0</v>
      </c>
      <c r="DY216">
        <f>IF(BD216="","",IF(AD216&lt;&gt;"",COUNTIFS(A$3:A216,A216,AD$3:AD216,"?*"),IF(OR(OR(AS216=1,A216&lt;&gt;A215),AL216="вручную"),"",IF(AS216=1,"",DZ215))))</f>
        <v>32</v>
      </c>
      <c r="DZ216">
        <f t="shared" si="306"/>
        <v>32</v>
      </c>
      <c r="EA216">
        <f>IF(D216="",0,MAX(IFERROR(--X216,0),IFERROR(--VLOOKUP(D216,УГО_спр,4,FALSE),IFERROR(--VLOOKUP(AT216,УГО_спр,4,FALSE),IFERROR(--VLOOKUP(LEFT(AT216,2),УГО_спр,4,FALSE),0)))))</f>
        <v>16</v>
      </c>
      <c r="EB216">
        <f>IF(D216="","",IFERROR(LOOKUP(INDEX(CHOOSE(BR216,Iдоп_1ж,Iдоп_2ж,Iдоп_3ж),MATCH(BS216,Iдоп_S,0))*BP216*BQ216,{6,10,16,20,25,32,40,50,63,80,100,125,160,200,250,315,400,500,630}),""))</f>
        <v>25</v>
      </c>
      <c r="EC216">
        <f>IF(AD216="","",SUMIFS(Линии[_Ток схемы],Линии[_гр.],DY216,Линии[Щит],A216,Линии[_в кабель выше],0))</f>
        <v>1.1000000000000001</v>
      </c>
      <c r="ED216">
        <f>IF(AD216="","",IFERROR(VLOOKUP(EC216,Автомат_номиналы,2,TRUE),""))</f>
        <v>6</v>
      </c>
      <c r="EE216">
        <f>IF(AD216="","",MAX(N(ED216),_xlfn.MAXIFS(Линии[_мин. по типу],Линии[_гр.],DY216,Линии[Щит],A216)))</f>
        <v>16</v>
      </c>
      <c r="EF216">
        <f>IF(AD216="","",_xlfn.MINIFS(Линии[_макс. автомат по кабелю],Линии[_гр.],DY216,Линии[Щит],A216))</f>
        <v>25</v>
      </c>
      <c r="EG216">
        <f>IF(AD216="","",MAX(1,_xlfn.MAXIFS(Линии[_фаз],Линии[_гр.],DY216,Линии[Щит],A216)))</f>
        <v>1</v>
      </c>
      <c r="EH216">
        <f>IF(AD216="","",IF(AND(AD216&lt;&gt;"авто",AD216&lt;&gt;"+"),IF(ISNUMBER(SEARCH("мА",AD216)),IFERROR(--TRIM(RIGHT(SUBSTITUTE(LEFT(AD216,SEARCH("мА",AD216)-1)," ",REPT(" ",9)),6)),30),0),IF(AE216="нет",0,IF(ISNUMBER(AE216),AE216,IF(AE216="да",30,_xlfn.MINIFS(Линии[_дифзащита по коду, мА],Линии[_гр.],DY216,Линии[Щит],A216,Линии[_дифзащита по коду, мА],"&gt;0"))))))</f>
        <v>30</v>
      </c>
      <c r="EI216">
        <f t="shared" si="307"/>
        <v>1</v>
      </c>
      <c r="EJ216" t="str">
        <f t="shared" si="308"/>
        <v>QFD32</v>
      </c>
      <c r="EK216" t="str">
        <f t="shared" si="309"/>
        <v>QFD32</v>
      </c>
      <c r="EL216" t="str">
        <f t="shared" si="310"/>
        <v/>
      </c>
      <c r="EM216">
        <f t="shared" si="311"/>
        <v>0</v>
      </c>
      <c r="EN216">
        <f>IF(AD216="","",IF(EM216=1,MAX(EE216,Мин_автомат_БП),EE216))</f>
        <v>16</v>
      </c>
      <c r="EO216" t="str">
        <f t="shared" si="312"/>
        <v>2P</v>
      </c>
      <c r="EP216" t="str">
        <f t="shared" si="313"/>
        <v>2P С16А 30мА</v>
      </c>
      <c r="EQ216">
        <f t="shared" si="314"/>
        <v>16</v>
      </c>
      <c r="ER216" t="str">
        <f>IF(OR(AI216="",AI216="-"),"",IFERROR(VLOOKUP(AI216,Модули_спр,2,FALSE),"R"))</f>
        <v/>
      </c>
      <c r="ES216" t="str">
        <f>IF(ER216="","",ER216&amp;"."&amp;COUNTIFS(A$3:A216,A216,ER$3:ER216,ER216))</f>
        <v/>
      </c>
      <c r="ET216" t="str">
        <f t="shared" si="315"/>
        <v/>
      </c>
      <c r="EU216" t="str">
        <f t="shared" si="316"/>
        <v/>
      </c>
      <c r="EV216" t="str">
        <f t="shared" si="317"/>
        <v/>
      </c>
      <c r="EW216" t="str">
        <f t="shared" si="318"/>
        <v/>
      </c>
      <c r="EX216">
        <f t="shared" si="319"/>
        <v>1</v>
      </c>
      <c r="EY216" t="str">
        <f>IF(AK216="нет","",IF(AK216&lt;&gt;"",AK216,IF(EX216=1,"XT"&amp;COUNTIFS(A$3:A216,A216,EX$3:EX216,1),"")))</f>
        <v/>
      </c>
      <c r="EZ216" t="str">
        <f t="shared" si="320"/>
        <v>QFD32</v>
      </c>
      <c r="FA216" t="str">
        <f t="shared" si="321"/>
        <v/>
      </c>
      <c r="FB216" t="str">
        <f t="shared" si="322"/>
        <v>ok</v>
      </c>
      <c r="FC216" t="str">
        <f>IF(OR(EV216="",ET216=""),"",IF(EV216&gt;IFERROR(VLOOKUP(EU216,Модули_спр,3,FALSE),99),"ЛИШНИЙ КАНАЛ",IF(AND(AJ216&lt;&gt;"=",COUNTIFS(Линии[_модуль гр.],ET216,Линии[Канал (итог)],EV216,Линии[Канал],"&lt;&gt;=",Линии[Щит],A216)&gt;1),"ДУБЛЬ КАНАЛА","")))</f>
        <v/>
      </c>
      <c r="FD216">
        <f t="shared" si="323"/>
        <v>16</v>
      </c>
      <c r="FE216" t="str">
        <f t="shared" si="324"/>
        <v>2P С16А 30мА</v>
      </c>
      <c r="FF216">
        <f t="shared" si="325"/>
        <v>1</v>
      </c>
      <c r="FG216">
        <f t="shared" si="326"/>
        <v>30</v>
      </c>
      <c r="FH216" t="str">
        <f t="shared" si="327"/>
        <v/>
      </c>
      <c r="FI216">
        <f t="shared" si="328"/>
        <v>10</v>
      </c>
      <c r="FJ216" t="str">
        <f t="shared" si="329"/>
        <v/>
      </c>
      <c r="FK216" t="str">
        <f>IF(AND(D216="",EZ216=""),"",_xlfn.TEXTJOIN("; ",TRUE,IF(AND(D216&lt;&gt;"",DD216=""),"нет фазы",""),IF(AND(D216&lt;&gt;"",N(DT216)=0,CN216&lt;&gt;"Нет"),"нет мощности",""),IF(AND(EY216&lt;&gt;"",COUNTIFS(Линии[Щит],A216,Линии[Клемма (итог)],EY216)&gt;1),"дубль клеммы "&amp;EY216,""),IF(AND(FB216&lt;&gt;"",FB216&lt;&gt;"ok"),FB216,""),IF(FC216&lt;&gt;"",FC216,""),IF(AND(ISNUMBER(SEARCH("(5х",DS216)),N(DV216)=1),"5 жил на 1 фазе",""),IF(AND(AT216="R",AD216&lt;&gt;"",OR(N(EH216)=0,N(EH216)&gt;30)),"розетка без дифзащиты до 30 мА",""),IFERROR(IF(AND(ISNUMBER(CD216),CD216&gt;CE216),"потери "&amp;FIXED(CD216,1)&amp;" % &gt; "&amp;CE216&amp;" %",""),""),IFERROR(IF(LEFT(FJ216,4)="мало","Iкз мало — отключение &gt; 0,4 с",""),""),IF(AND(D216&lt;&gt;"",BD216=""),"не на схеме","")))</f>
        <v/>
      </c>
      <c r="FL216">
        <f>IF(AD216="","",_xlfn.LET(_xlpm.t,IFERROR(_xlfn.XLOOKUP(EP216,Каталог!$U$4:$U$500,Каталог!$G$4:$G$500),""),_xlpm.k,SEARCH("кА",_xlpm.t),IFERROR(--TRIM(RIGHT(SUBSTITUTE(MID(_xlpm.t,MAX(1,_xlpm.k-4),_xlpm.k-MAX(1,_xlpm.k-4))," ",REPT(" ",9)),5)),"")))</f>
        <v>6</v>
      </c>
      <c r="FM216" t="str">
        <f>IF(OR(FL216="",AD216=""),"",IF(_xlfn.XLOOKUP(A216,Щиты[Щит],Щиты[Iкз max на шинах, кА],"")="","",IF(FL216&lt;_xlfn.XLOOKUP(A216,Щиты[Щит],Щиты[Iкз max на шинах, кА]),"Icu "&amp;FL216&amp;" кА &lt; Iкз max","ok")))</f>
        <v/>
      </c>
      <c r="FN216" t="str">
        <f t="shared" si="330"/>
        <v>QFD32</v>
      </c>
      <c r="FO216" t="str">
        <f t="shared" si="331"/>
        <v>QFD32|кабель ВВГнг(А)-LS (3х2,5) → Розеточная группа Цокольный этаж Пом. №021A</v>
      </c>
      <c r="FP216" t="str" cm="1">
        <f t="array" ref="FP216">IF(FO216="","",_xlfn.LET(_xlpm.nd,_xlfn.TEXTSPLIT(FO216,"|"),IF(COLUMNS(_xlpm.nd)&gt;1,A216&amp;"¦"&amp;INDEX(_xlpm.nd,1)&amp;"¦"&amp;INDEX(_xlpm.nd,2),"")))</f>
        <v>ЩР-01¦QFD32¦кабель ВВГнг(А)-LS (3х2,5) → Розеточная группа Цокольный этаж Пом. №021A</v>
      </c>
      <c r="FQ216" t="str">
        <f t="shared" si="332"/>
        <v>R.0.021A.1¦Розеточная группа Цокольный этаж Пом. №021A</v>
      </c>
      <c r="FR216" t="str" cm="1">
        <f t="array" ref="FR216">IF(FO216="","",_xlfn.LET(_xlpm.nd,_xlfn.TEXTSPLIT(FO216,"|"),IF(COLUMNS(_xlpm.nd)&gt;2,A216&amp;"¦"&amp;INDEX(_xlpm.nd,2)&amp;"¦"&amp;INDEX(_xlpm.nd,3),"")))</f>
        <v/>
      </c>
      <c r="FS216" t="str">
        <f t="shared" si="333"/>
        <v/>
      </c>
      <c r="FT216" t="str" cm="1">
        <f t="array" ref="FT216">IF(FO216="","",_xlfn.LET(_xlpm.nd,_xlfn.TEXTSPLIT(FO216,"|"),IF(COLUMNS(_xlpm.nd)&gt;3,A216&amp;"¦"&amp;INDEX(_xlpm.nd,3)&amp;"¦"&amp;INDEX(_xlpm.nd,4),"")))</f>
        <v/>
      </c>
      <c r="FU216" t="str">
        <f t="shared" si="334"/>
        <v/>
      </c>
      <c r="FV216" t="str" cm="1">
        <f t="array" ref="FV216">IF(FO216="","",_xlfn.LET(_xlpm.nd,_xlfn.TEXTSPLIT(FO216,"|"),IF(COLUMNS(_xlpm.nd)&gt;4,A216&amp;"¦"&amp;INDEX(_xlpm.nd,4)&amp;"¦"&amp;INDEX(_xlpm.nd,5),"")))</f>
        <v/>
      </c>
      <c r="FW216" t="str">
        <f t="shared" si="335"/>
        <v/>
      </c>
      <c r="FX216" t="str" cm="1">
        <f t="array" ref="FX216">IF(FO216="","",_xlfn.LET(_xlpm.nd,_xlfn.TEXTSPLIT(FO216,"|"),IF(COLUMNS(_xlpm.nd)&gt;5,A216&amp;"¦"&amp;INDEX(_xlpm.nd,5)&amp;"¦"&amp;INDEX(_xlpm.nd,6),"")))</f>
        <v/>
      </c>
      <c r="FY216" t="str">
        <f t="shared" si="336"/>
        <v/>
      </c>
      <c r="FZ216" t="str" cm="1">
        <f t="array" ref="FZ216">IF(FO216="","",_xlfn.LET(_xlpm.nd,_xlfn.TEXTSPLIT(FO216,"|"),IF(COLUMNS(_xlpm.nd)&gt;6,A216&amp;"¦"&amp;INDEX(_xlpm.nd,6)&amp;"¦"&amp;INDEX(_xlpm.nd,7),"")))</f>
        <v/>
      </c>
      <c r="GA216" t="str">
        <f t="shared" si="337"/>
        <v/>
      </c>
      <c r="GB216" t="str">
        <f t="shared" si="338"/>
        <v/>
      </c>
      <c r="GC216" t="str">
        <f t="shared" si="339"/>
        <v>QFD32</v>
      </c>
      <c r="GD216">
        <f t="shared" si="340"/>
        <v>1</v>
      </c>
      <c r="GE216">
        <f t="shared" si="341"/>
        <v>0</v>
      </c>
      <c r="GF216">
        <f t="shared" si="342"/>
        <v>1</v>
      </c>
      <c r="GG216" t="str">
        <f t="shared" si="343"/>
        <v/>
      </c>
      <c r="GH216" t="str">
        <f t="shared" si="344"/>
        <v/>
      </c>
      <c r="GI216" t="str">
        <f t="shared" si="345"/>
        <v/>
      </c>
      <c r="GJ216" t="str">
        <f t="shared" si="346"/>
        <v/>
      </c>
      <c r="GK216" t="str">
        <f>IF(D216="","",IFERROR(VLOOKUP(D216,УГО_спр,2,FALSE),IFERROR(VLOOKUP(AT216,УГО_спр,2,FALSE),IFERROR(VLOOKUP(LEFT(AT216,2),УГО_спр,2,FALSE),""))))</f>
        <v>Розетка</v>
      </c>
      <c r="GL216" t="str">
        <f>IF(D216="","",IF(OR(GK216="",GK216=0),"BOX",IFERROR(IF(VLOOKUP(GK216,УГО_блоки,3,FALSE)&amp;""&lt;&gt;"",VLOOKUP(GK216,УГО_блоки,3,FALSE),VLOOKUP(GK216,УГО_блоки,2,FALSE)),GK216)))</f>
        <v>SOCKET</v>
      </c>
      <c r="GM216">
        <f t="shared" si="347"/>
        <v>1</v>
      </c>
      <c r="GN216" t="str">
        <f>IF(EP216="","",IF(COUNTIF(EP$3:EP216,EP216)=1,MAX(GN$2:GN215)+1,""))</f>
        <v/>
      </c>
      <c r="GO216" t="str">
        <f>IF(AF216="","",IF(COUNTIF(AF$3:AF216,AF216)+COUNTIF(AG$2:AG215,AF216)+COUNTIF(AH$2:AH215,AF216)=1,MAX(GO$2:GQ215)+1,""))</f>
        <v/>
      </c>
      <c r="GP216" t="str">
        <f>IF(AG216="","",IF(COUNTIF(AF$3:AF216,AG216)+COUNTIF(AG$3:AG216,AG216)+COUNTIF(AH$2:AH215,AG216)=1,MAX(GO$2:GQ215,GO216)+1,""))</f>
        <v/>
      </c>
      <c r="GQ216" t="str">
        <f>IF(AH216="","",IF(COUNTIF(AF$3:AF216,AH216)+COUNTIF(AG$3:AG216,AH216)+COUNTIF(AH$3:AH216,AH216)=1,MAX(GO$2:GQ215,GO216,GP216)+1,""))</f>
        <v/>
      </c>
      <c r="GR216" t="str">
        <f t="shared" si="348"/>
        <v>3х2,5</v>
      </c>
      <c r="GS216" t="str">
        <f>IF(GR216="","",IF(COUNTIF(GR$3:GR216,GR216)=1,MAX(GS$2:GS215)+1,""))</f>
        <v/>
      </c>
      <c r="GT216" t="str">
        <f>IF(ES216="","",COUNTIF(ES$3:ES216,"?*"))</f>
        <v/>
      </c>
      <c r="GU216" t="str">
        <f>IF(OR(ES216="",EU216=""),"",IF(COUNTIFS(ES$3:ES216,"?*",EU$3:EU216,EU216)=1,MAX(GU$2:GU215)+1,""))</f>
        <v/>
      </c>
      <c r="GV216">
        <f t="shared" si="349"/>
        <v>0</v>
      </c>
      <c r="GW216">
        <f>IF(D216="","",COUNTIF(D$3:D216,"?*"))</f>
        <v>214</v>
      </c>
      <c r="GX216">
        <f>IF(EX216&lt;&gt;1,0,_xlfn.LET(_xlpm.k,MAX(IFERROR(--VLOOKUP(D216,УГО_спр,5,FALSE),0),IFERROR(--VLOOKUP(AT216,УГО_спр,5,FALSE),0),IFERROR(--VLOOKUP(LEFT(AT216,2),УГО_спр,5,FALSE),0)),IF(_xlpm.k&gt;0,_xlpm.k,IF(IFERROR(--LEFT(SUBSTITUTE(GR216,"x","х"),FIND("х",SUBSTITUTE(GR216,"x","х"))-1),3)&gt;3,Каталог!$S$9,1))))</f>
        <v>1</v>
      </c>
      <c r="GY216">
        <f t="shared" si="350"/>
        <v>0</v>
      </c>
    </row>
    <row r="217" spans="1:207" x14ac:dyDescent="0.3">
      <c r="A217" t="s">
        <v>760</v>
      </c>
      <c r="B217">
        <v>45</v>
      </c>
      <c r="C217" t="str">
        <f>IF(BD217="","",IF(BE217="вводной узел","узел ","")&amp;"л."&amp;(INT((BD217-1)/Столбцов_на_лист)+1)&amp;" / "&amp;(MOD(BD217-1,Столбцов_на_лист)+1))</f>
        <v>л.3 / 11</v>
      </c>
      <c r="D217" t="s">
        <v>1530</v>
      </c>
      <c r="E217" s="133" t="str">
        <f t="shared" si="351"/>
        <v>Розеточная группа Цокольный этаж Пом. №022</v>
      </c>
      <c r="G217">
        <v>0.06</v>
      </c>
      <c r="H217">
        <v>1</v>
      </c>
      <c r="I217">
        <v>1</v>
      </c>
      <c r="J217">
        <v>230</v>
      </c>
      <c r="K217" t="s">
        <v>566</v>
      </c>
      <c r="O217">
        <v>3</v>
      </c>
      <c r="P217">
        <v>51</v>
      </c>
      <c r="Q217">
        <v>44</v>
      </c>
      <c r="R217">
        <v>7</v>
      </c>
      <c r="S217">
        <v>0</v>
      </c>
      <c r="U217" t="s">
        <v>11</v>
      </c>
      <c r="V217">
        <v>3</v>
      </c>
      <c r="W217">
        <v>2.5</v>
      </c>
      <c r="Z217" t="s">
        <v>565</v>
      </c>
      <c r="AA217" t="s">
        <v>818</v>
      </c>
      <c r="AD217" t="s">
        <v>517</v>
      </c>
      <c r="AK217" t="s">
        <v>488</v>
      </c>
      <c r="AR217" t="str">
        <f t="shared" si="264"/>
        <v/>
      </c>
      <c r="AS217" cm="1">
        <f t="array" ref="AS217">ROW()-ROW(Линии[#Headers])</f>
        <v>215</v>
      </c>
      <c r="AT217" t="str">
        <f t="shared" si="265"/>
        <v>R</v>
      </c>
      <c r="AU217" t="str">
        <f t="shared" si="266"/>
        <v>0.022.1</v>
      </c>
      <c r="AV217" t="str">
        <f t="shared" si="267"/>
        <v>0</v>
      </c>
      <c r="AW217" t="str">
        <f t="shared" si="268"/>
        <v>022.1</v>
      </c>
      <c r="AX217" t="str">
        <f t="shared" si="269"/>
        <v>022</v>
      </c>
      <c r="AY217" t="str">
        <f>IF(D217="","",IF(ISERROR(SEARCH(".",D217)),IFERROR(VLOOKUP(D217,Потребители_обозначение,2,FALSE)&amp;"",""),IFERROR(IF(VLOOKUP(AT217,Потребители_обозначение,4,FALSE)=1,VLOOKUP(AT217,Потребители_обозначение,2,FALSE)&amp;" "&amp;VLOOKUP(AV217,Этаж_обозначение,2,FALSE)&amp;" Пом. №"&amp;AX217,VLOOKUP(AT217,Потребители_обозначение,2,FALSE)&amp;" Шлейф №"&amp;AV217),IFERROR(VLOOKUP(D217,Потребители_обозначение,2,FALSE),""))))</f>
        <v>Розеточная группа Цокольный этаж Пом. №022</v>
      </c>
      <c r="AZ217" t="str">
        <f t="shared" si="270"/>
        <v>Розеточная группа Цокольный этаж Пом. №022</v>
      </c>
      <c r="BA217" t="str">
        <f>IF(F217&lt;&gt;"",F217,IF(AND(D217&lt;&gt;"",D217&lt;&gt;A217,ISNUMBER(_xlfn.XMATCH(D217,Щиты[Щит]))),D217,""))</f>
        <v/>
      </c>
      <c r="BB217">
        <f>IFERROR(_xlfn.XMATCH(A217,Щиты[Щит]),0)</f>
        <v>9</v>
      </c>
      <c r="BC217">
        <f>IFERROR(N(_xlfn.XLOOKUP(A217,Щиты[Щит],Щиты[Мест под вводной узел])),15)</f>
        <v>8</v>
      </c>
      <c r="BD217">
        <f t="shared" si="271"/>
        <v>45</v>
      </c>
      <c r="BE217" t="str">
        <f t="shared" si="272"/>
        <v>линии</v>
      </c>
      <c r="BF217">
        <f>IF(D217="","",IF(BA217&lt;&gt;"",IFERROR(_xlfn.XLOOKUP(BA217,Щиты[Щит],Щиты[Руст, кВт]),0),N(G217)))</f>
        <v>0.06</v>
      </c>
      <c r="BG217">
        <f>IF(J217&lt;&gt;"",J217,IF(D217="","",IFERROR(IF(VLOOKUP(AT217,Потребители_обозначение,8,FALSE)=0,"",VLOOKUP(AT217,Потребители_обозначение,8,FALSE)),"")))</f>
        <v>230</v>
      </c>
      <c r="BH217">
        <f>IF(I217&lt;&gt;"",I217,IF(D217="","",IFERROR(IF(VLOOKUP(AT217,Потребители_обозначение,9,FALSE)=0,"",VLOOKUP(AT217,Потребители_обозначение,9,FALSE)),"")))</f>
        <v>1</v>
      </c>
      <c r="BI217" t="str">
        <f>IF(U217&lt;&gt;"",U217,IF(D217="","",IFERROR(IF(VLOOKUP(AT217,Потребители_обозначение,6,FALSE)=0,"",VLOOKUP(AT217,Потребители_обозначение,6,FALSE)),"")))</f>
        <v>мс</v>
      </c>
      <c r="BJ217">
        <f>IF(V217&lt;&gt;"",V217,IF(D217="","",IFERROR(IF(VLOOKUP(AT217,Потребители_обозначение,7,FALSE)=0,"",VLOOKUP(AT217,Потребители_обозначение,7,FALSE)),"")))</f>
        <v>3</v>
      </c>
      <c r="BK217">
        <f>IF(W217&lt;&gt;"",W217,IF(D217="","",IFERROR(IF(VLOOKUP(AT217,Потребители_обозначение,10,FALSE)=0,"",VLOOKUP(AT217,Потребители_обозначение,10,FALSE)),"")))</f>
        <v>2.5</v>
      </c>
      <c r="BL217">
        <f>IFERROR(VLOOKUP(AT217,Потребители_обозначение,5,FALSE),0)</f>
        <v>1</v>
      </c>
      <c r="BM217" cm="1">
        <f t="array" ref="BM217">IF(D217="","",IF(BA217&lt;&gt;"",IFERROR(_xlfn.XLOOKUP(BA217,Щиты[Щит],Щиты[cos φ]),0.95),IF(ISNUMBER(M217),M217,IFERROR(IF(BL217=2,_xlfn.IFS(BH217=3,VLOOKUP(BF217,Справочная_двигатели,8,FALSE),BH217=1,VLOOKUP(BF217,Справочная_двигатели,10,TRUE)),IF(AND(Методика="нормы 2026",CN217="Сил"),0.8,0.95)),0.95))))</f>
        <v>0.95</v>
      </c>
      <c r="BN217" cm="1">
        <f t="array" ref="BN217">IF(D217="","",IF(BA217&lt;&gt;"",IFERROR(_xlfn.XLOOKUP(BA217,Щиты[Щит],Щиты[Iр, А]),""),IFERROR(_xlfn.IFS(BH217=1,BF217/((Uн_лин/SQRT(3))*BM217),BH217=3,BF217/(SQRT(3)*Uн_лин*BM217)),"")))</f>
        <v>0.27348170645824377</v>
      </c>
      <c r="BO217">
        <f>IF(D217="","",IF(N(X217)=0,IFERROR(VLOOKUP(BN217,Автомат_номиналы,2,TRUE),""),X217))</f>
        <v>6</v>
      </c>
      <c r="BP217">
        <f t="shared" si="273"/>
        <v>1</v>
      </c>
      <c r="BQ217">
        <f>IF(ISNUMBER(Y217),Y217,К_прокл)</f>
        <v>1</v>
      </c>
      <c r="BR217">
        <f t="shared" si="274"/>
        <v>2</v>
      </c>
      <c r="BS217" cm="1">
        <f t="array" ref="BS217">IF(D217="","",IF(N(BK217)&lt;&gt;0,BK217,IFERROR(_xlfn.LET(_xlpm.need,BO217/(BP217*BQ217),_xlpm.t,CHOOSE(BR217,Iдоп_1ж,Iдоп_2ж,Iдоп_3ж),_xlpm.k,_xlfn.XMATCH(_xlpm.need,_xlpm.t,1),IF(ISNA(_xlpm.k),"Не исп",INDEX(Iдоп_S,_xlpm.k))),"Не исп")))</f>
        <v>2.5</v>
      </c>
      <c r="BT217">
        <f>IFERROR(VLOOKUP(BS217,Кабель_сопротивление,3,FALSE),"")</f>
        <v>2.2499999999999999E-2</v>
      </c>
      <c r="BU217">
        <f>IFERROR(VLOOKUP(BS217,Кабель_сопротивление,2,FALSE),"")</f>
        <v>0.1</v>
      </c>
      <c r="BV217">
        <f t="shared" si="275"/>
        <v>51</v>
      </c>
      <c r="BW217">
        <f>IF(D217="","",IFERROR(IF(VLOOKUP(AT217,Потребители_обозначение,4,FALSE)=1,VLOOKUP(AT217,Потребители_обозначение,3,FALSE)*(H217*2-1)+BV217+VLOOKUP(AV217,Этаж_обозначение,3,FALSE)+VLOOKUP(AV217,Этаж_обозначение,4,FALSE),VLOOKUP(AT217,Потребители_обозначение,3,FALSE)*(H217*2-1)+BV217),BV217))</f>
        <v>54</v>
      </c>
      <c r="BX217">
        <f t="shared" si="276"/>
        <v>7</v>
      </c>
      <c r="BY217">
        <f t="shared" si="277"/>
        <v>0</v>
      </c>
      <c r="BZ217">
        <f t="shared" si="278"/>
        <v>2</v>
      </c>
      <c r="CA217">
        <f t="shared" si="279"/>
        <v>0.31</v>
      </c>
      <c r="CB217">
        <f t="shared" si="280"/>
        <v>0.25344862449676442</v>
      </c>
      <c r="CC217">
        <f>IFERROR(ROUNDUP(CB217/((Uн_лин/SQRT(3))*1000)*100,2),"")</f>
        <v>0.11</v>
      </c>
      <c r="CD217">
        <f>IF(ISNUMBER(CC217),CC217+IFERROR(_xlfn.XLOOKUP(A217,Щиты[Щит],Щиты[ΔU до шин, %]),0),"")</f>
        <v>0.54</v>
      </c>
      <c r="CE217">
        <f>IF(D217="","",IF(IFERROR(VLOOKUP(AT217,УГО_спр,2,FALSE),"")="Светильник",3,4)+IF(Методика="нормы 2026",MIN(0.5,MAX(0,N(BW217)-100)*0.005),0))</f>
        <v>4</v>
      </c>
      <c r="CF217" t="str">
        <f>IFERROR(VLOOKUP(BI217,Кабель_обозначение,2,FALSE),"")</f>
        <v>ВВГнг(А)-LS</v>
      </c>
      <c r="CG217" t="str">
        <f>IFERROR(IF(VLOOKUP(BI217,Кабель_обозначение,3,FALSE)=1,CF217&amp;" ("&amp;BJ217&amp;"х"&amp;BS217&amp;")",CF217),"")</f>
        <v>ВВГнг(А)-LS (3х2,5)</v>
      </c>
      <c r="CH217" t="str">
        <f t="shared" si="281"/>
        <v>ВВГнг(А)-LS (3х2,5)
L=54-0,11%</v>
      </c>
      <c r="CI217">
        <f>IFERROR(2*ρкз_Cu*BW217/BS217,"")</f>
        <v>1.1361600000000001</v>
      </c>
      <c r="CJ217">
        <f t="shared" si="282"/>
        <v>0.378</v>
      </c>
      <c r="CK217" t="str">
        <f>IFERROR(IF(OR(D217="",NOT(ISNUMBER(BS217)),N(BW217)=0),"",_xlfn.XLOOKUP(A217,Щиты[Щит],Щиты[Zпетли на шинах, Ом])+CI217),"")</f>
        <v/>
      </c>
      <c r="CL217" t="str">
        <f>IF(ISNUMBER(CK217),c_min*(Uн_лин*1000/SQRT(3))/CK217,"")</f>
        <v/>
      </c>
      <c r="CM217" t="str">
        <f>IFERROR(IF(OR(D217="",NOT(ISNUMBER(BS217))),"",1.05*(Uн_лин*1000/SQRT(3))/(_xlfn.XLOOKUP(A217,Щиты[Щит],Щиты[Zmax на шинах, Ом])+CJ217)/1000),"")</f>
        <v/>
      </c>
      <c r="CN217" t="str">
        <f>IF(D217="","",IF(BA217&lt;&gt;"","Щит",IF(K217&lt;&gt;"",K217,IF(ISNUMBER(L217),"Сил",IF(IFERROR(_xlfn.XLOOKUP(AT217,Коды_код,Коды_группа)&amp;"","")="","Быт",_xlfn.XLOOKUP(AT217,Коды_код,Коды_группа)&amp;"")))))</f>
        <v>Быт</v>
      </c>
      <c r="CO217">
        <f>IF(CN217="Щит","щит",IF(CN217="","",IF(CN217="Быт",IFERROR(_xlfn.XLOOKUP(A217,Щиты[Щит],Щиты[Кс быт]),1),IF(CN217="Сил",IF(ISNUMBER(L217),L217,IF(Методика="нормы 2026",IFERROR(_xlfn.XLOOKUP(A217,Щиты[Щит],Щиты[Кс силовых (табл. 7.5)]),1),1)),IF(OR(CN217="Пост",CN217="Отоп"),1,IF(CN217="ВНГ",0.7,0))))))</f>
        <v>0.79799999999999993</v>
      </c>
      <c r="CP217">
        <f t="shared" si="283"/>
        <v>1</v>
      </c>
      <c r="CQ217">
        <f t="shared" si="284"/>
        <v>0.06</v>
      </c>
      <c r="CR217">
        <f t="shared" si="285"/>
        <v>0.06</v>
      </c>
      <c r="CS217">
        <f t="shared" si="286"/>
        <v>0</v>
      </c>
      <c r="CT217">
        <f t="shared" si="287"/>
        <v>0</v>
      </c>
      <c r="CU217">
        <f t="shared" si="288"/>
        <v>0</v>
      </c>
      <c r="CV217">
        <f t="shared" si="289"/>
        <v>0</v>
      </c>
      <c r="CW217">
        <f t="shared" si="290"/>
        <v>0.06</v>
      </c>
      <c r="CX217">
        <f t="shared" si="291"/>
        <v>5.6999999999999995E-2</v>
      </c>
      <c r="CY217">
        <f t="shared" si="292"/>
        <v>3</v>
      </c>
      <c r="CZ217" t="str">
        <f t="shared" si="293"/>
        <v>L3</v>
      </c>
      <c r="DA217" cm="1">
        <f t="array" ref="DA217">IFERROR(IF(BL217=2,_xlfn.IFS(BH217=3,VLOOKUP(BF217,Справочная_двигатели,3,FALSE),BH217=1,VLOOKUP(BF217,Справочная_двигатели,5,TRUE)),0),0)</f>
        <v>0</v>
      </c>
      <c r="DB217">
        <f>IFERROR(IF(BL217=3,VLOOKUP(BF217,Справочная_ЛЭД,2,TRUE),0),0)</f>
        <v>0</v>
      </c>
      <c r="DC217">
        <f t="shared" si="294"/>
        <v>0</v>
      </c>
      <c r="DD217" t="str">
        <f t="shared" si="295"/>
        <v>L3</v>
      </c>
      <c r="DE217" t="str" cm="1">
        <f t="array" ref="DE217">IF(D217="","",IFERROR(INDEX({"I особая","I","II","III"},MATCH(TRIM(AA217&amp;""),{"I особая","I","II","III"},0)),"III"))</f>
        <v>II</v>
      </c>
      <c r="DF217" t="str">
        <f>IF(D217="","",IF(TRIM(AB217&amp;"")&lt;&gt;"",IF(LOWER(TRIM(AB217&amp;""))="да","да","нет"),IF(IFERROR(_xlfn.XLOOKUP(AT217,Коды_код,Коды_пожарная),"")="да","да","нет")))</f>
        <v>нет</v>
      </c>
      <c r="DG217" t="str">
        <f t="shared" si="296"/>
        <v/>
      </c>
      <c r="DH217" t="str">
        <f t="shared" si="297"/>
        <v>основная</v>
      </c>
      <c r="DI217">
        <f t="shared" si="298"/>
        <v>1</v>
      </c>
      <c r="DJ217" t="str" cm="1">
        <f t="array" ref="DJ217">IF(D217="","",_xlfn.LET(_xlpm.t,IFERROR(_xlfn.XLOOKUP(1,(Шины[Шина]=DH217)*(((Шины[Щит]=A217)+(Шины[Щит]=""))&gt;0),Шины[Тип]),"")&amp;"",IF(_xlpm.t&lt;&gt;"",_xlpm.t,IF(ISNUMBER(SEARCH("ИБП",DH217)),"ИБП",IF(ISNUMBER(SEARCH("ДГУ",DH217)),"ДГУ","Ввод "&amp;DI217)))))</f>
        <v>Ввод 1</v>
      </c>
      <c r="DK217" t="str">
        <f t="shared" si="299"/>
        <v>Ввод 1</v>
      </c>
      <c r="DL217" t="str">
        <f>IF(D217="","",IF(OR(DJ217="ИБП",DJ217="ДГУ"),"I особая",IF(DJ217="Одиночная","III",_xlfn.XLOOKUP(A217,Щиты[Щит],Щиты[Категория шины «Ввод»],"III"))))</f>
        <v>II</v>
      </c>
      <c r="DM217">
        <f>IF(D217="",0,IFERROR(MATCH(DE217,{"III","II","I","I особая"},0),1))</f>
        <v>2</v>
      </c>
      <c r="DN217">
        <f t="shared" si="300"/>
        <v>2</v>
      </c>
      <c r="DO217" t="str">
        <f>IF(D217="","",IF(DM217&gt;IFERROR(MATCH(DL217,{"III","II","I","I особая"},0),1),"НЕ ОБЕСПЕЧЕНА","ОК"))</f>
        <v>ОК</v>
      </c>
      <c r="DP217" t="str">
        <f>IF(A217="","",_xlfn.XLOOKUP(A217,Щиты[Щит],Щиты[Путь],""))</f>
        <v>|ГРЩ-ЖД|ЩР-01|</v>
      </c>
      <c r="DQ217" t="str">
        <f>IF(D217="","",IF(Z217&lt;&gt;"",Z217,IF(IFERROR(_xlfn.XLOOKUP(AT217,Коды_код,Коды_вид)&amp;"","")="","Прочее",_xlfn.XLOOKUP(AT217,Коды_код,Коды_вид)&amp;"")))</f>
        <v>Розеточная сеть и бытовые приборы</v>
      </c>
      <c r="DR217">
        <f>IF(BD217="","",INT((BD217-1)/Столбцов_на_лист)+1)</f>
        <v>3</v>
      </c>
      <c r="DS217" t="str">
        <f t="shared" si="301"/>
        <v>ВВГнг(А)-LS (3х2,5) L=54-0,11%</v>
      </c>
      <c r="DT217">
        <f t="shared" si="302"/>
        <v>0.06</v>
      </c>
      <c r="DU217">
        <f t="shared" si="303"/>
        <v>0.28000000000000003</v>
      </c>
      <c r="DV217">
        <f t="shared" si="304"/>
        <v>1</v>
      </c>
      <c r="DW217">
        <f>IF(AT217="",0,_xlfn.LET(_xlpm.v,IFERROR(VLOOKUP(D217,УГО_спр,3,FALSE),IFERROR(VLOOKUP(AT217,УГО_спр,3,FALSE),IFERROR(VLOOKUP(LEFT(AT217,2),УГО_спр,3,FALSE),""))),IF(_xlpm.v="да",30,IF(ISNUMBER(_xlpm.v),_xlpm.v,0))))</f>
        <v>30</v>
      </c>
      <c r="DX217">
        <f t="shared" si="305"/>
        <v>0</v>
      </c>
      <c r="DY217">
        <f>IF(BD217="","",IF(AD217&lt;&gt;"",COUNTIFS(A$3:A217,A217,AD$3:AD217,"?*"),IF(OR(OR(AS217=1,A217&lt;&gt;A216),AL217="вручную"),"",IF(AS217=1,"",DZ216))))</f>
        <v>33</v>
      </c>
      <c r="DZ217">
        <f t="shared" si="306"/>
        <v>33</v>
      </c>
      <c r="EA217">
        <f>IF(D217="",0,MAX(IFERROR(--X217,0),IFERROR(--VLOOKUP(D217,УГО_спр,4,FALSE),IFERROR(--VLOOKUP(AT217,УГО_спр,4,FALSE),IFERROR(--VLOOKUP(LEFT(AT217,2),УГО_спр,4,FALSE),0)))))</f>
        <v>16</v>
      </c>
      <c r="EB217">
        <f>IF(D217="","",IFERROR(LOOKUP(INDEX(CHOOSE(BR217,Iдоп_1ж,Iдоп_2ж,Iдоп_3ж),MATCH(BS217,Iдоп_S,0))*BP217*BQ217,{6,10,16,20,25,32,40,50,63,80,100,125,160,200,250,315,400,500,630}),""))</f>
        <v>25</v>
      </c>
      <c r="EC217">
        <f>IF(AD217="","",SUMIFS(Линии[_Ток схемы],Линии[_гр.],DY217,Линии[Щит],A217,Линии[_в кабель выше],0))</f>
        <v>0.28000000000000003</v>
      </c>
      <c r="ED217">
        <f>IF(AD217="","",IFERROR(VLOOKUP(EC217,Автомат_номиналы,2,TRUE),""))</f>
        <v>6</v>
      </c>
      <c r="EE217">
        <f>IF(AD217="","",MAX(N(ED217),_xlfn.MAXIFS(Линии[_мин. по типу],Линии[_гр.],DY217,Линии[Щит],A217)))</f>
        <v>16</v>
      </c>
      <c r="EF217">
        <f>IF(AD217="","",_xlfn.MINIFS(Линии[_макс. автомат по кабелю],Линии[_гр.],DY217,Линии[Щит],A217))</f>
        <v>25</v>
      </c>
      <c r="EG217">
        <f>IF(AD217="","",MAX(1,_xlfn.MAXIFS(Линии[_фаз],Линии[_гр.],DY217,Линии[Щит],A217)))</f>
        <v>1</v>
      </c>
      <c r="EH217">
        <f>IF(AD217="","",IF(AND(AD217&lt;&gt;"авто",AD217&lt;&gt;"+"),IF(ISNUMBER(SEARCH("мА",AD217)),IFERROR(--TRIM(RIGHT(SUBSTITUTE(LEFT(AD217,SEARCH("мА",AD217)-1)," ",REPT(" ",9)),6)),30),0),IF(AE217="нет",0,IF(ISNUMBER(AE217),AE217,IF(AE217="да",30,_xlfn.MINIFS(Линии[_дифзащита по коду, мА],Линии[_гр.],DY217,Линии[Щит],A217,Линии[_дифзащита по коду, мА],"&gt;0"))))))</f>
        <v>30</v>
      </c>
      <c r="EI217">
        <f t="shared" si="307"/>
        <v>1</v>
      </c>
      <c r="EJ217" t="str">
        <f t="shared" si="308"/>
        <v>QFD33</v>
      </c>
      <c r="EK217" t="str">
        <f t="shared" si="309"/>
        <v>QFD33</v>
      </c>
      <c r="EL217" t="str">
        <f t="shared" si="310"/>
        <v/>
      </c>
      <c r="EM217">
        <f t="shared" si="311"/>
        <v>0</v>
      </c>
      <c r="EN217">
        <f>IF(AD217="","",IF(EM217=1,MAX(EE217,Мин_автомат_БП),EE217))</f>
        <v>16</v>
      </c>
      <c r="EO217" t="str">
        <f t="shared" si="312"/>
        <v>2P</v>
      </c>
      <c r="EP217" t="str">
        <f t="shared" si="313"/>
        <v>2P С16А 30мА</v>
      </c>
      <c r="EQ217">
        <f t="shared" si="314"/>
        <v>16</v>
      </c>
      <c r="ER217" t="str">
        <f>IF(OR(AI217="",AI217="-"),"",IFERROR(VLOOKUP(AI217,Модули_спр,2,FALSE),"R"))</f>
        <v/>
      </c>
      <c r="ES217" t="str">
        <f>IF(ER217="","",ER217&amp;"."&amp;COUNTIFS(A$3:A217,A217,ER$3:ER217,ER217))</f>
        <v/>
      </c>
      <c r="ET217" t="str">
        <f t="shared" si="315"/>
        <v/>
      </c>
      <c r="EU217" t="str">
        <f t="shared" si="316"/>
        <v/>
      </c>
      <c r="EV217" t="str">
        <f t="shared" si="317"/>
        <v/>
      </c>
      <c r="EW217" t="str">
        <f t="shared" si="318"/>
        <v/>
      </c>
      <c r="EX217">
        <f t="shared" si="319"/>
        <v>1</v>
      </c>
      <c r="EY217" t="str">
        <f>IF(AK217="нет","",IF(AK217&lt;&gt;"",AK217,IF(EX217=1,"XT"&amp;COUNTIFS(A$3:A217,A217,EX$3:EX217,1),"")))</f>
        <v/>
      </c>
      <c r="EZ217" t="str">
        <f t="shared" si="320"/>
        <v>QFD33</v>
      </c>
      <c r="FA217" t="str">
        <f t="shared" si="321"/>
        <v/>
      </c>
      <c r="FB217" t="str">
        <f t="shared" si="322"/>
        <v>ok</v>
      </c>
      <c r="FC217" t="str">
        <f>IF(OR(EV217="",ET217=""),"",IF(EV217&gt;IFERROR(VLOOKUP(EU217,Модули_спр,3,FALSE),99),"ЛИШНИЙ КАНАЛ",IF(AND(AJ217&lt;&gt;"=",COUNTIFS(Линии[_модуль гр.],ET217,Линии[Канал (итог)],EV217,Линии[Канал],"&lt;&gt;=",Линии[Щит],A217)&gt;1),"ДУБЛЬ КАНАЛА","")))</f>
        <v/>
      </c>
      <c r="FD217">
        <f t="shared" si="323"/>
        <v>16</v>
      </c>
      <c r="FE217" t="str">
        <f t="shared" si="324"/>
        <v>2P С16А 30мА</v>
      </c>
      <c r="FF217">
        <f t="shared" si="325"/>
        <v>1</v>
      </c>
      <c r="FG217">
        <f t="shared" si="326"/>
        <v>30</v>
      </c>
      <c r="FH217" t="str">
        <f t="shared" si="327"/>
        <v/>
      </c>
      <c r="FI217">
        <f t="shared" si="328"/>
        <v>10</v>
      </c>
      <c r="FJ217" t="str">
        <f t="shared" si="329"/>
        <v/>
      </c>
      <c r="FK217" t="str">
        <f>IF(AND(D217="",EZ217=""),"",_xlfn.TEXTJOIN("; ",TRUE,IF(AND(D217&lt;&gt;"",DD217=""),"нет фазы",""),IF(AND(D217&lt;&gt;"",N(DT217)=0,CN217&lt;&gt;"Нет"),"нет мощности",""),IF(AND(EY217&lt;&gt;"",COUNTIFS(Линии[Щит],A217,Линии[Клемма (итог)],EY217)&gt;1),"дубль клеммы "&amp;EY217,""),IF(AND(FB217&lt;&gt;"",FB217&lt;&gt;"ok"),FB217,""),IF(FC217&lt;&gt;"",FC217,""),IF(AND(ISNUMBER(SEARCH("(5х",DS217)),N(DV217)=1),"5 жил на 1 фазе",""),IF(AND(AT217="R",AD217&lt;&gt;"",OR(N(EH217)=0,N(EH217)&gt;30)),"розетка без дифзащиты до 30 мА",""),IFERROR(IF(AND(ISNUMBER(CD217),CD217&gt;CE217),"потери "&amp;FIXED(CD217,1)&amp;" % &gt; "&amp;CE217&amp;" %",""),""),IFERROR(IF(LEFT(FJ217,4)="мало","Iкз мало — отключение &gt; 0,4 с",""),""),IF(AND(D217&lt;&gt;"",BD217=""),"не на схеме","")))</f>
        <v/>
      </c>
      <c r="FL217">
        <f>IF(AD217="","",_xlfn.LET(_xlpm.t,IFERROR(_xlfn.XLOOKUP(EP217,Каталог!$U$4:$U$500,Каталог!$G$4:$G$500),""),_xlpm.k,SEARCH("кА",_xlpm.t),IFERROR(--TRIM(RIGHT(SUBSTITUTE(MID(_xlpm.t,MAX(1,_xlpm.k-4),_xlpm.k-MAX(1,_xlpm.k-4))," ",REPT(" ",9)),5)),"")))</f>
        <v>6</v>
      </c>
      <c r="FM217" t="str">
        <f>IF(OR(FL217="",AD217=""),"",IF(_xlfn.XLOOKUP(A217,Щиты[Щит],Щиты[Iкз max на шинах, кА],"")="","",IF(FL217&lt;_xlfn.XLOOKUP(A217,Щиты[Щит],Щиты[Iкз max на шинах, кА]),"Icu "&amp;FL217&amp;" кА &lt; Iкз max","ok")))</f>
        <v/>
      </c>
      <c r="FN217" t="str">
        <f t="shared" si="330"/>
        <v>QFD33</v>
      </c>
      <c r="FO217" t="str">
        <f t="shared" si="331"/>
        <v>QFD33|кабель ВВГнг(А)-LS (3х2,5) → Розеточная группа Цокольный этаж Пом. №022</v>
      </c>
      <c r="FP217" t="str" cm="1">
        <f t="array" ref="FP217">IF(FO217="","",_xlfn.LET(_xlpm.nd,_xlfn.TEXTSPLIT(FO217,"|"),IF(COLUMNS(_xlpm.nd)&gt;1,A217&amp;"¦"&amp;INDEX(_xlpm.nd,1)&amp;"¦"&amp;INDEX(_xlpm.nd,2),"")))</f>
        <v>ЩР-01¦QFD33¦кабель ВВГнг(А)-LS (3х2,5) → Розеточная группа Цокольный этаж Пом. №022</v>
      </c>
      <c r="FQ217" t="str">
        <f t="shared" si="332"/>
        <v>R.0.022.1¦Розеточная группа Цокольный этаж Пом. №022</v>
      </c>
      <c r="FR217" t="str" cm="1">
        <f t="array" ref="FR217">IF(FO217="","",_xlfn.LET(_xlpm.nd,_xlfn.TEXTSPLIT(FO217,"|"),IF(COLUMNS(_xlpm.nd)&gt;2,A217&amp;"¦"&amp;INDEX(_xlpm.nd,2)&amp;"¦"&amp;INDEX(_xlpm.nd,3),"")))</f>
        <v/>
      </c>
      <c r="FS217" t="str">
        <f t="shared" si="333"/>
        <v/>
      </c>
      <c r="FT217" t="str" cm="1">
        <f t="array" ref="FT217">IF(FO217="","",_xlfn.LET(_xlpm.nd,_xlfn.TEXTSPLIT(FO217,"|"),IF(COLUMNS(_xlpm.nd)&gt;3,A217&amp;"¦"&amp;INDEX(_xlpm.nd,3)&amp;"¦"&amp;INDEX(_xlpm.nd,4),"")))</f>
        <v/>
      </c>
      <c r="FU217" t="str">
        <f t="shared" si="334"/>
        <v/>
      </c>
      <c r="FV217" t="str" cm="1">
        <f t="array" ref="FV217">IF(FO217="","",_xlfn.LET(_xlpm.nd,_xlfn.TEXTSPLIT(FO217,"|"),IF(COLUMNS(_xlpm.nd)&gt;4,A217&amp;"¦"&amp;INDEX(_xlpm.nd,4)&amp;"¦"&amp;INDEX(_xlpm.nd,5),"")))</f>
        <v/>
      </c>
      <c r="FW217" t="str">
        <f t="shared" si="335"/>
        <v/>
      </c>
      <c r="FX217" t="str" cm="1">
        <f t="array" ref="FX217">IF(FO217="","",_xlfn.LET(_xlpm.nd,_xlfn.TEXTSPLIT(FO217,"|"),IF(COLUMNS(_xlpm.nd)&gt;5,A217&amp;"¦"&amp;INDEX(_xlpm.nd,5)&amp;"¦"&amp;INDEX(_xlpm.nd,6),"")))</f>
        <v/>
      </c>
      <c r="FY217" t="str">
        <f t="shared" si="336"/>
        <v/>
      </c>
      <c r="FZ217" t="str" cm="1">
        <f t="array" ref="FZ217">IF(FO217="","",_xlfn.LET(_xlpm.nd,_xlfn.TEXTSPLIT(FO217,"|"),IF(COLUMNS(_xlpm.nd)&gt;6,A217&amp;"¦"&amp;INDEX(_xlpm.nd,6)&amp;"¦"&amp;INDEX(_xlpm.nd,7),"")))</f>
        <v/>
      </c>
      <c r="GA217" t="str">
        <f t="shared" si="337"/>
        <v/>
      </c>
      <c r="GB217" t="str">
        <f t="shared" si="338"/>
        <v/>
      </c>
      <c r="GC217" t="str">
        <f t="shared" si="339"/>
        <v>QFD33</v>
      </c>
      <c r="GD217">
        <f t="shared" si="340"/>
        <v>1</v>
      </c>
      <c r="GE217">
        <f t="shared" si="341"/>
        <v>0</v>
      </c>
      <c r="GF217">
        <f t="shared" si="342"/>
        <v>1</v>
      </c>
      <c r="GG217" t="str">
        <f t="shared" si="343"/>
        <v/>
      </c>
      <c r="GH217" t="str">
        <f t="shared" si="344"/>
        <v/>
      </c>
      <c r="GI217" t="str">
        <f t="shared" si="345"/>
        <v/>
      </c>
      <c r="GJ217" t="str">
        <f t="shared" si="346"/>
        <v/>
      </c>
      <c r="GK217" t="str">
        <f>IF(D217="","",IFERROR(VLOOKUP(D217,УГО_спр,2,FALSE),IFERROR(VLOOKUP(AT217,УГО_спр,2,FALSE),IFERROR(VLOOKUP(LEFT(AT217,2),УГО_спр,2,FALSE),""))))</f>
        <v>Розетка</v>
      </c>
      <c r="GL217" t="str">
        <f>IF(D217="","",IF(OR(GK217="",GK217=0),"BOX",IFERROR(IF(VLOOKUP(GK217,УГО_блоки,3,FALSE)&amp;""&lt;&gt;"",VLOOKUP(GK217,УГО_блоки,3,FALSE),VLOOKUP(GK217,УГО_блоки,2,FALSE)),GK217)))</f>
        <v>SOCKET</v>
      </c>
      <c r="GM217">
        <f t="shared" si="347"/>
        <v>1</v>
      </c>
      <c r="GN217" t="str">
        <f>IF(EP217="","",IF(COUNTIF(EP$3:EP217,EP217)=1,MAX(GN$2:GN216)+1,""))</f>
        <v/>
      </c>
      <c r="GO217" t="str">
        <f>IF(AF217="","",IF(COUNTIF(AF$3:AF217,AF217)+COUNTIF(AG$2:AG216,AF217)+COUNTIF(AH$2:AH216,AF217)=1,MAX(GO$2:GQ216)+1,""))</f>
        <v/>
      </c>
      <c r="GP217" t="str">
        <f>IF(AG217="","",IF(COUNTIF(AF$3:AF217,AG217)+COUNTIF(AG$3:AG217,AG217)+COUNTIF(AH$2:AH216,AG217)=1,MAX(GO$2:GQ216,GO217)+1,""))</f>
        <v/>
      </c>
      <c r="GQ217" t="str">
        <f>IF(AH217="","",IF(COUNTIF(AF$3:AF217,AH217)+COUNTIF(AG$3:AG217,AH217)+COUNTIF(AH$3:AH217,AH217)=1,MAX(GO$2:GQ216,GO217,GP217)+1,""))</f>
        <v/>
      </c>
      <c r="GR217" t="str">
        <f t="shared" si="348"/>
        <v>3х2,5</v>
      </c>
      <c r="GS217" t="str">
        <f>IF(GR217="","",IF(COUNTIF(GR$3:GR217,GR217)=1,MAX(GS$2:GS216)+1,""))</f>
        <v/>
      </c>
      <c r="GT217" t="str">
        <f>IF(ES217="","",COUNTIF(ES$3:ES217,"?*"))</f>
        <v/>
      </c>
      <c r="GU217" t="str">
        <f>IF(OR(ES217="",EU217=""),"",IF(COUNTIFS(ES$3:ES217,"?*",EU$3:EU217,EU217)=1,MAX(GU$2:GU216)+1,""))</f>
        <v/>
      </c>
      <c r="GV217">
        <f t="shared" si="349"/>
        <v>0</v>
      </c>
      <c r="GW217">
        <f>IF(D217="","",COUNTIF(D$3:D217,"?*"))</f>
        <v>215</v>
      </c>
      <c r="GX217">
        <f>IF(EX217&lt;&gt;1,0,_xlfn.LET(_xlpm.k,MAX(IFERROR(--VLOOKUP(D217,УГО_спр,5,FALSE),0),IFERROR(--VLOOKUP(AT217,УГО_спр,5,FALSE),0),IFERROR(--VLOOKUP(LEFT(AT217,2),УГО_спр,5,FALSE),0)),IF(_xlpm.k&gt;0,_xlpm.k,IF(IFERROR(--LEFT(SUBSTITUTE(GR217,"x","х"),FIND("х",SUBSTITUTE(GR217,"x","х"))-1),3)&gt;3,Каталог!$S$9,1))))</f>
        <v>1</v>
      </c>
      <c r="GY217">
        <f t="shared" si="350"/>
        <v>0</v>
      </c>
    </row>
    <row r="218" spans="1:207" x14ac:dyDescent="0.3">
      <c r="A218" t="s">
        <v>760</v>
      </c>
      <c r="B218">
        <v>46</v>
      </c>
      <c r="C218" t="str">
        <f>IF(BD218="","",IF(BE218="вводной узел","узел ","")&amp;"л."&amp;(INT((BD218-1)/Столбцов_на_лист)+1)&amp;" / "&amp;(MOD(BD218-1,Столбцов_на_лист)+1))</f>
        <v>л.3 / 12</v>
      </c>
      <c r="D218" t="s">
        <v>1531</v>
      </c>
      <c r="E218" s="133" t="str">
        <f t="shared" si="351"/>
        <v>Розеточная группа Цокольный этаж Пом. №012A</v>
      </c>
      <c r="G218">
        <v>0.18</v>
      </c>
      <c r="H218">
        <v>3</v>
      </c>
      <c r="I218">
        <v>1</v>
      </c>
      <c r="J218">
        <v>230</v>
      </c>
      <c r="K218" t="s">
        <v>566</v>
      </c>
      <c r="O218">
        <v>1</v>
      </c>
      <c r="P218">
        <v>48</v>
      </c>
      <c r="Q218">
        <v>9</v>
      </c>
      <c r="R218">
        <v>54</v>
      </c>
      <c r="U218" t="s">
        <v>11</v>
      </c>
      <c r="V218">
        <v>3</v>
      </c>
      <c r="W218">
        <v>2.5</v>
      </c>
      <c r="Z218" t="s">
        <v>565</v>
      </c>
      <c r="AA218" t="s">
        <v>818</v>
      </c>
      <c r="AD218" t="s">
        <v>517</v>
      </c>
      <c r="AK218" t="s">
        <v>488</v>
      </c>
      <c r="AR218" t="str">
        <f t="shared" si="264"/>
        <v/>
      </c>
      <c r="AS218" cm="1">
        <f t="array" ref="AS218">ROW()-ROW(Линии[#Headers])</f>
        <v>216</v>
      </c>
      <c r="AT218" t="str">
        <f t="shared" si="265"/>
        <v>R</v>
      </c>
      <c r="AU218" t="str">
        <f t="shared" si="266"/>
        <v>0.012A.2</v>
      </c>
      <c r="AV218" t="str">
        <f t="shared" si="267"/>
        <v>0</v>
      </c>
      <c r="AW218" t="str">
        <f t="shared" si="268"/>
        <v>012A.2</v>
      </c>
      <c r="AX218" t="str">
        <f t="shared" si="269"/>
        <v>012A</v>
      </c>
      <c r="AY218" t="str">
        <f>IF(D218="","",IF(ISERROR(SEARCH(".",D218)),IFERROR(VLOOKUP(D218,Потребители_обозначение,2,FALSE)&amp;"",""),IFERROR(IF(VLOOKUP(AT218,Потребители_обозначение,4,FALSE)=1,VLOOKUP(AT218,Потребители_обозначение,2,FALSE)&amp;" "&amp;VLOOKUP(AV218,Этаж_обозначение,2,FALSE)&amp;" Пом. №"&amp;AX218,VLOOKUP(AT218,Потребители_обозначение,2,FALSE)&amp;" Шлейф №"&amp;AV218),IFERROR(VLOOKUP(D218,Потребители_обозначение,2,FALSE),""))))</f>
        <v>Розеточная группа Цокольный этаж Пом. №012A</v>
      </c>
      <c r="AZ218" t="str">
        <f t="shared" si="270"/>
        <v>Розеточная группа Цокольный этаж Пом. №012A</v>
      </c>
      <c r="BA218" t="str">
        <f>IF(F218&lt;&gt;"",F218,IF(AND(D218&lt;&gt;"",D218&lt;&gt;A218,ISNUMBER(_xlfn.XMATCH(D218,Щиты[Щит]))),D218,""))</f>
        <v/>
      </c>
      <c r="BB218">
        <f>IFERROR(_xlfn.XMATCH(A218,Щиты[Щит]),0)</f>
        <v>9</v>
      </c>
      <c r="BC218">
        <f>IFERROR(N(_xlfn.XLOOKUP(A218,Щиты[Щит],Щиты[Мест под вводной узел])),15)</f>
        <v>8</v>
      </c>
      <c r="BD218">
        <f t="shared" si="271"/>
        <v>46</v>
      </c>
      <c r="BE218" t="str">
        <f t="shared" si="272"/>
        <v>линии</v>
      </c>
      <c r="BF218">
        <f>IF(D218="","",IF(BA218&lt;&gt;"",IFERROR(_xlfn.XLOOKUP(BA218,Щиты[Щит],Щиты[Руст, кВт]),0),N(G218)))</f>
        <v>0.18</v>
      </c>
      <c r="BG218">
        <f>IF(J218&lt;&gt;"",J218,IF(D218="","",IFERROR(IF(VLOOKUP(AT218,Потребители_обозначение,8,FALSE)=0,"",VLOOKUP(AT218,Потребители_обозначение,8,FALSE)),"")))</f>
        <v>230</v>
      </c>
      <c r="BH218">
        <f>IF(I218&lt;&gt;"",I218,IF(D218="","",IFERROR(IF(VLOOKUP(AT218,Потребители_обозначение,9,FALSE)=0,"",VLOOKUP(AT218,Потребители_обозначение,9,FALSE)),"")))</f>
        <v>1</v>
      </c>
      <c r="BI218" t="str">
        <f>IF(U218&lt;&gt;"",U218,IF(D218="","",IFERROR(IF(VLOOKUP(AT218,Потребители_обозначение,6,FALSE)=0,"",VLOOKUP(AT218,Потребители_обозначение,6,FALSE)),"")))</f>
        <v>мс</v>
      </c>
      <c r="BJ218">
        <f>IF(V218&lt;&gt;"",V218,IF(D218="","",IFERROR(IF(VLOOKUP(AT218,Потребители_обозначение,7,FALSE)=0,"",VLOOKUP(AT218,Потребители_обозначение,7,FALSE)),"")))</f>
        <v>3</v>
      </c>
      <c r="BK218">
        <f>IF(W218&lt;&gt;"",W218,IF(D218="","",IFERROR(IF(VLOOKUP(AT218,Потребители_обозначение,10,FALSE)=0,"",VLOOKUP(AT218,Потребители_обозначение,10,FALSE)),"")))</f>
        <v>2.5</v>
      </c>
      <c r="BL218">
        <f>IFERROR(VLOOKUP(AT218,Потребители_обозначение,5,FALSE),0)</f>
        <v>1</v>
      </c>
      <c r="BM218" cm="1">
        <f t="array" ref="BM218">IF(D218="","",IF(BA218&lt;&gt;"",IFERROR(_xlfn.XLOOKUP(BA218,Щиты[Щит],Щиты[cos φ]),0.95),IF(ISNUMBER(M218),M218,IFERROR(IF(BL218=2,_xlfn.IFS(BH218=3,VLOOKUP(BF218,Справочная_двигатели,8,FALSE),BH218=1,VLOOKUP(BF218,Справочная_двигатели,10,TRUE)),IF(AND(Методика="нормы 2026",CN218="Сил"),0.8,0.95)),0.95))))</f>
        <v>0.95</v>
      </c>
      <c r="BN218" cm="1">
        <f t="array" ref="BN218">IF(D218="","",IF(BA218&lt;&gt;"",IFERROR(_xlfn.XLOOKUP(BA218,Щиты[Щит],Щиты[Iр, А]),""),IFERROR(_xlfn.IFS(BH218=1,BF218/((Uн_лин/SQRT(3))*BM218),BH218=3,BF218/(SQRT(3)*Uн_лин*BM218)),"")))</f>
        <v>0.8204451193747313</v>
      </c>
      <c r="BO218">
        <f>IF(D218="","",IF(N(X218)=0,IFERROR(VLOOKUP(BN218,Автомат_номиналы,2,TRUE),""),X218))</f>
        <v>6</v>
      </c>
      <c r="BP218">
        <f t="shared" si="273"/>
        <v>1</v>
      </c>
      <c r="BQ218">
        <f>IF(ISNUMBER(Y218),Y218,К_прокл)</f>
        <v>1</v>
      </c>
      <c r="BR218">
        <f t="shared" si="274"/>
        <v>2</v>
      </c>
      <c r="BS218" cm="1">
        <f t="array" ref="BS218">IF(D218="","",IF(N(BK218)&lt;&gt;0,BK218,IFERROR(_xlfn.LET(_xlpm.need,BO218/(BP218*BQ218),_xlpm.t,CHOOSE(BR218,Iдоп_1ж,Iдоп_2ж,Iдоп_3ж),_xlpm.k,_xlfn.XMATCH(_xlpm.need,_xlpm.t,1),IF(ISNA(_xlpm.k),"Не исп",INDEX(Iдоп_S,_xlpm.k))),"Не исп")))</f>
        <v>2.5</v>
      </c>
      <c r="BT218">
        <f>IFERROR(VLOOKUP(BS218,Кабель_сопротивление,3,FALSE),"")</f>
        <v>2.2499999999999999E-2</v>
      </c>
      <c r="BU218">
        <f>IFERROR(VLOOKUP(BS218,Кабель_сопротивление,2,FALSE),"")</f>
        <v>0.1</v>
      </c>
      <c r="BV218">
        <f t="shared" si="275"/>
        <v>48</v>
      </c>
      <c r="BW218">
        <f>IF(D218="","",IFERROR(IF(VLOOKUP(AT218,Потребители_обозначение,4,FALSE)=1,VLOOKUP(AT218,Потребители_обозначение,3,FALSE)*(H218*2-1)+BV218+VLOOKUP(AV218,Этаж_обозначение,3,FALSE)+VLOOKUP(AV218,Этаж_обозначение,4,FALSE),VLOOKUP(AT218,Потребители_обозначение,3,FALSE)*(H218*2-1)+BV218),BV218))</f>
        <v>63</v>
      </c>
      <c r="BX218">
        <f t="shared" si="276"/>
        <v>54</v>
      </c>
      <c r="BY218" t="str">
        <f t="shared" si="277"/>
        <v/>
      </c>
      <c r="BZ218">
        <f t="shared" si="278"/>
        <v>2</v>
      </c>
      <c r="CA218">
        <f t="shared" si="279"/>
        <v>0.31</v>
      </c>
      <c r="CB218">
        <f t="shared" si="280"/>
        <v>0.88707018573867569</v>
      </c>
      <c r="CC218">
        <f>IFERROR(ROUNDUP(CB218/((Uн_лин/SQRT(3))*1000)*100,2),"")</f>
        <v>0.39</v>
      </c>
      <c r="CD218">
        <f>IF(ISNUMBER(CC218),CC218+IFERROR(_xlfn.XLOOKUP(A218,Щиты[Щит],Щиты[ΔU до шин, %]),0),"")</f>
        <v>0.82000000000000006</v>
      </c>
      <c r="CE218">
        <f>IF(D218="","",IF(IFERROR(VLOOKUP(AT218,УГО_спр,2,FALSE),"")="Светильник",3,4)+IF(Методика="нормы 2026",MIN(0.5,MAX(0,N(BW218)-100)*0.005),0))</f>
        <v>4</v>
      </c>
      <c r="CF218" t="str">
        <f>IFERROR(VLOOKUP(BI218,Кабель_обозначение,2,FALSE),"")</f>
        <v>ВВГнг(А)-LS</v>
      </c>
      <c r="CG218" t="str">
        <f>IFERROR(IF(VLOOKUP(BI218,Кабель_обозначение,3,FALSE)=1,CF218&amp;" ("&amp;BJ218&amp;"х"&amp;BS218&amp;")",CF218),"")</f>
        <v>ВВГнг(А)-LS (3х2,5)</v>
      </c>
      <c r="CH218" t="str">
        <f t="shared" si="281"/>
        <v>ВВГнг(А)-LS (3х2,5)
L=63-0,39%</v>
      </c>
      <c r="CI218">
        <f>IFERROR(2*ρкз_Cu*BW218/BS218,"")</f>
        <v>1.32552</v>
      </c>
      <c r="CJ218">
        <f t="shared" si="282"/>
        <v>0.441</v>
      </c>
      <c r="CK218" t="str">
        <f>IFERROR(IF(OR(D218="",NOT(ISNUMBER(BS218)),N(BW218)=0),"",_xlfn.XLOOKUP(A218,Щиты[Щит],Щиты[Zпетли на шинах, Ом])+CI218),"")</f>
        <v/>
      </c>
      <c r="CL218" t="str">
        <f>IF(ISNUMBER(CK218),c_min*(Uн_лин*1000/SQRT(3))/CK218,"")</f>
        <v/>
      </c>
      <c r="CM218" t="str">
        <f>IFERROR(IF(OR(D218="",NOT(ISNUMBER(BS218))),"",1.05*(Uн_лин*1000/SQRT(3))/(_xlfn.XLOOKUP(A218,Щиты[Щит],Щиты[Zmax на шинах, Ом])+CJ218)/1000),"")</f>
        <v/>
      </c>
      <c r="CN218" t="str">
        <f>IF(D218="","",IF(BA218&lt;&gt;"","Щит",IF(K218&lt;&gt;"",K218,IF(ISNUMBER(L218),"Сил",IF(IFERROR(_xlfn.XLOOKUP(AT218,Коды_код,Коды_группа)&amp;"","")="","Быт",_xlfn.XLOOKUP(AT218,Коды_код,Коды_группа)&amp;"")))))</f>
        <v>Быт</v>
      </c>
      <c r="CO218">
        <f>IF(CN218="Щит","щит",IF(CN218="","",IF(CN218="Быт",IFERROR(_xlfn.XLOOKUP(A218,Щиты[Щит],Щиты[Кс быт]),1),IF(CN218="Сил",IF(ISNUMBER(L218),L218,IF(Методика="нормы 2026",IFERROR(_xlfn.XLOOKUP(A218,Щиты[Щит],Щиты[Кс силовых (табл. 7.5)]),1),1)),IF(OR(CN218="Пост",CN218="Отоп"),1,IF(CN218="ВНГ",0.7,0))))))</f>
        <v>0.79799999999999993</v>
      </c>
      <c r="CP218">
        <f t="shared" si="283"/>
        <v>1</v>
      </c>
      <c r="CQ218">
        <f t="shared" si="284"/>
        <v>0.18</v>
      </c>
      <c r="CR218">
        <f t="shared" si="285"/>
        <v>0.18</v>
      </c>
      <c r="CS218">
        <f t="shared" si="286"/>
        <v>0</v>
      </c>
      <c r="CT218">
        <f t="shared" si="287"/>
        <v>0</v>
      </c>
      <c r="CU218">
        <f t="shared" si="288"/>
        <v>0</v>
      </c>
      <c r="CV218">
        <f t="shared" si="289"/>
        <v>0</v>
      </c>
      <c r="CW218">
        <f t="shared" si="290"/>
        <v>0.18</v>
      </c>
      <c r="CX218">
        <f t="shared" si="291"/>
        <v>0.17099999999999999</v>
      </c>
      <c r="CY218">
        <f t="shared" si="292"/>
        <v>1</v>
      </c>
      <c r="CZ218" t="str">
        <f t="shared" si="293"/>
        <v>L1</v>
      </c>
      <c r="DA218" cm="1">
        <f t="array" ref="DA218">IFERROR(IF(BL218=2,_xlfn.IFS(BH218=3,VLOOKUP(BF218,Справочная_двигатели,3,FALSE),BH218=1,VLOOKUP(BF218,Справочная_двигатели,5,TRUE)),0),0)</f>
        <v>0</v>
      </c>
      <c r="DB218">
        <f>IFERROR(IF(BL218=3,VLOOKUP(BF218,Справочная_ЛЭД,2,TRUE),0),0)</f>
        <v>0</v>
      </c>
      <c r="DC218">
        <f t="shared" si="294"/>
        <v>0</v>
      </c>
      <c r="DD218" t="str">
        <f t="shared" si="295"/>
        <v>L1</v>
      </c>
      <c r="DE218" t="str" cm="1">
        <f t="array" ref="DE218">IF(D218="","",IFERROR(INDEX({"I особая","I","II","III"},MATCH(TRIM(AA218&amp;""),{"I особая","I","II","III"},0)),"III"))</f>
        <v>II</v>
      </c>
      <c r="DF218" t="str">
        <f>IF(D218="","",IF(TRIM(AB218&amp;"")&lt;&gt;"",IF(LOWER(TRIM(AB218&amp;""))="да","да","нет"),IF(IFERROR(_xlfn.XLOOKUP(AT218,Коды_код,Коды_пожарная),"")="да","да","нет")))</f>
        <v>нет</v>
      </c>
      <c r="DG218" t="str">
        <f t="shared" si="296"/>
        <v/>
      </c>
      <c r="DH218" t="str">
        <f t="shared" si="297"/>
        <v>основная</v>
      </c>
      <c r="DI218">
        <f t="shared" si="298"/>
        <v>1</v>
      </c>
      <c r="DJ218" t="str" cm="1">
        <f t="array" ref="DJ218">IF(D218="","",_xlfn.LET(_xlpm.t,IFERROR(_xlfn.XLOOKUP(1,(Шины[Шина]=DH218)*(((Шины[Щит]=A218)+(Шины[Щит]=""))&gt;0),Шины[Тип]),"")&amp;"",IF(_xlpm.t&lt;&gt;"",_xlpm.t,IF(ISNUMBER(SEARCH("ИБП",DH218)),"ИБП",IF(ISNUMBER(SEARCH("ДГУ",DH218)),"ДГУ","Ввод "&amp;DI218)))))</f>
        <v>Ввод 1</v>
      </c>
      <c r="DK218" t="str">
        <f t="shared" si="299"/>
        <v>Ввод 1</v>
      </c>
      <c r="DL218" t="str">
        <f>IF(D218="","",IF(OR(DJ218="ИБП",DJ218="ДГУ"),"I особая",IF(DJ218="Одиночная","III",_xlfn.XLOOKUP(A218,Щиты[Щит],Щиты[Категория шины «Ввод»],"III"))))</f>
        <v>II</v>
      </c>
      <c r="DM218">
        <f>IF(D218="",0,IFERROR(MATCH(DE218,{"III","II","I","I особая"},0),1))</f>
        <v>2</v>
      </c>
      <c r="DN218">
        <f t="shared" si="300"/>
        <v>2</v>
      </c>
      <c r="DO218" t="str">
        <f>IF(D218="","",IF(DM218&gt;IFERROR(MATCH(DL218,{"III","II","I","I особая"},0),1),"НЕ ОБЕСПЕЧЕНА","ОК"))</f>
        <v>ОК</v>
      </c>
      <c r="DP218" t="str">
        <f>IF(A218="","",_xlfn.XLOOKUP(A218,Щиты[Щит],Щиты[Путь],""))</f>
        <v>|ГРЩ-ЖД|ЩР-01|</v>
      </c>
      <c r="DQ218" t="str">
        <f>IF(D218="","",IF(Z218&lt;&gt;"",Z218,IF(IFERROR(_xlfn.XLOOKUP(AT218,Коды_код,Коды_вид)&amp;"","")="","Прочее",_xlfn.XLOOKUP(AT218,Коды_код,Коды_вид)&amp;"")))</f>
        <v>Розеточная сеть и бытовые приборы</v>
      </c>
      <c r="DR218">
        <f>IF(BD218="","",INT((BD218-1)/Столбцов_на_лист)+1)</f>
        <v>3</v>
      </c>
      <c r="DS218" t="str">
        <f t="shared" si="301"/>
        <v>ВВГнг(А)-LS (3х2,5) L=63-0,39%</v>
      </c>
      <c r="DT218">
        <f t="shared" si="302"/>
        <v>0.18</v>
      </c>
      <c r="DU218">
        <f t="shared" si="303"/>
        <v>0.83</v>
      </c>
      <c r="DV218">
        <f t="shared" si="304"/>
        <v>1</v>
      </c>
      <c r="DW218">
        <f>IF(AT218="",0,_xlfn.LET(_xlpm.v,IFERROR(VLOOKUP(D218,УГО_спр,3,FALSE),IFERROR(VLOOKUP(AT218,УГО_спр,3,FALSE),IFERROR(VLOOKUP(LEFT(AT218,2),УГО_спр,3,FALSE),""))),IF(_xlpm.v="да",30,IF(ISNUMBER(_xlpm.v),_xlpm.v,0))))</f>
        <v>30</v>
      </c>
      <c r="DX218">
        <f t="shared" si="305"/>
        <v>0</v>
      </c>
      <c r="DY218">
        <f>IF(BD218="","",IF(AD218&lt;&gt;"",COUNTIFS(A$3:A218,A218,AD$3:AD218,"?*"),IF(OR(OR(AS218=1,A218&lt;&gt;A217),AL218="вручную"),"",IF(AS218=1,"",DZ217))))</f>
        <v>34</v>
      </c>
      <c r="DZ218">
        <f t="shared" si="306"/>
        <v>34</v>
      </c>
      <c r="EA218">
        <f>IF(D218="",0,MAX(IFERROR(--X218,0),IFERROR(--VLOOKUP(D218,УГО_спр,4,FALSE),IFERROR(--VLOOKUP(AT218,УГО_спр,4,FALSE),IFERROR(--VLOOKUP(LEFT(AT218,2),УГО_спр,4,FALSE),0)))))</f>
        <v>16</v>
      </c>
      <c r="EB218">
        <f>IF(D218="","",IFERROR(LOOKUP(INDEX(CHOOSE(BR218,Iдоп_1ж,Iдоп_2ж,Iдоп_3ж),MATCH(BS218,Iдоп_S,0))*BP218*BQ218,{6,10,16,20,25,32,40,50,63,80,100,125,160,200,250,315,400,500,630}),""))</f>
        <v>25</v>
      </c>
      <c r="EC218">
        <f>IF(AD218="","",SUMIFS(Линии[_Ток схемы],Линии[_гр.],DY218,Линии[Щит],A218,Линии[_в кабель выше],0))</f>
        <v>0.83</v>
      </c>
      <c r="ED218">
        <f>IF(AD218="","",IFERROR(VLOOKUP(EC218,Автомат_номиналы,2,TRUE),""))</f>
        <v>6</v>
      </c>
      <c r="EE218">
        <f>IF(AD218="","",MAX(N(ED218),_xlfn.MAXIFS(Линии[_мин. по типу],Линии[_гр.],DY218,Линии[Щит],A218)))</f>
        <v>16</v>
      </c>
      <c r="EF218">
        <f>IF(AD218="","",_xlfn.MINIFS(Линии[_макс. автомат по кабелю],Линии[_гр.],DY218,Линии[Щит],A218))</f>
        <v>25</v>
      </c>
      <c r="EG218">
        <f>IF(AD218="","",MAX(1,_xlfn.MAXIFS(Линии[_фаз],Линии[_гр.],DY218,Линии[Щит],A218)))</f>
        <v>1</v>
      </c>
      <c r="EH218">
        <f>IF(AD218="","",IF(AND(AD218&lt;&gt;"авто",AD218&lt;&gt;"+"),IF(ISNUMBER(SEARCH("мА",AD218)),IFERROR(--TRIM(RIGHT(SUBSTITUTE(LEFT(AD218,SEARCH("мА",AD218)-1)," ",REPT(" ",9)),6)),30),0),IF(AE218="нет",0,IF(ISNUMBER(AE218),AE218,IF(AE218="да",30,_xlfn.MINIFS(Линии[_дифзащита по коду, мА],Линии[_гр.],DY218,Линии[Щит],A218,Линии[_дифзащита по коду, мА],"&gt;0"))))))</f>
        <v>30</v>
      </c>
      <c r="EI218">
        <f t="shared" si="307"/>
        <v>1</v>
      </c>
      <c r="EJ218" t="str">
        <f t="shared" si="308"/>
        <v>QFD34</v>
      </c>
      <c r="EK218" t="str">
        <f t="shared" si="309"/>
        <v>QFD34</v>
      </c>
      <c r="EL218" t="str">
        <f t="shared" si="310"/>
        <v/>
      </c>
      <c r="EM218">
        <f t="shared" si="311"/>
        <v>0</v>
      </c>
      <c r="EN218">
        <f>IF(AD218="","",IF(EM218=1,MAX(EE218,Мин_автомат_БП),EE218))</f>
        <v>16</v>
      </c>
      <c r="EO218" t="str">
        <f t="shared" si="312"/>
        <v>2P</v>
      </c>
      <c r="EP218" t="str">
        <f t="shared" si="313"/>
        <v>2P С16А 30мА</v>
      </c>
      <c r="EQ218">
        <f t="shared" si="314"/>
        <v>16</v>
      </c>
      <c r="ER218" t="str">
        <f>IF(OR(AI218="",AI218="-"),"",IFERROR(VLOOKUP(AI218,Модули_спр,2,FALSE),"R"))</f>
        <v/>
      </c>
      <c r="ES218" t="str">
        <f>IF(ER218="","",ER218&amp;"."&amp;COUNTIFS(A$3:A218,A218,ER$3:ER218,ER218))</f>
        <v/>
      </c>
      <c r="ET218" t="str">
        <f t="shared" si="315"/>
        <v/>
      </c>
      <c r="EU218" t="str">
        <f t="shared" si="316"/>
        <v/>
      </c>
      <c r="EV218" t="str">
        <f t="shared" si="317"/>
        <v/>
      </c>
      <c r="EW218" t="str">
        <f t="shared" si="318"/>
        <v/>
      </c>
      <c r="EX218">
        <f t="shared" si="319"/>
        <v>1</v>
      </c>
      <c r="EY218" t="str">
        <f>IF(AK218="нет","",IF(AK218&lt;&gt;"",AK218,IF(EX218=1,"XT"&amp;COUNTIFS(A$3:A218,A218,EX$3:EX218,1),"")))</f>
        <v/>
      </c>
      <c r="EZ218" t="str">
        <f t="shared" si="320"/>
        <v>QFD34</v>
      </c>
      <c r="FA218" t="str">
        <f t="shared" si="321"/>
        <v/>
      </c>
      <c r="FB218" t="str">
        <f t="shared" si="322"/>
        <v>ok</v>
      </c>
      <c r="FC218" t="str">
        <f>IF(OR(EV218="",ET218=""),"",IF(EV218&gt;IFERROR(VLOOKUP(EU218,Модули_спр,3,FALSE),99),"ЛИШНИЙ КАНАЛ",IF(AND(AJ218&lt;&gt;"=",COUNTIFS(Линии[_модуль гр.],ET218,Линии[Канал (итог)],EV218,Линии[Канал],"&lt;&gt;=",Линии[Щит],A218)&gt;1),"ДУБЛЬ КАНАЛА","")))</f>
        <v/>
      </c>
      <c r="FD218">
        <f t="shared" si="323"/>
        <v>16</v>
      </c>
      <c r="FE218" t="str">
        <f t="shared" si="324"/>
        <v>2P С16А 30мА</v>
      </c>
      <c r="FF218">
        <f t="shared" si="325"/>
        <v>1</v>
      </c>
      <c r="FG218">
        <f t="shared" si="326"/>
        <v>30</v>
      </c>
      <c r="FH218" t="str">
        <f t="shared" si="327"/>
        <v/>
      </c>
      <c r="FI218">
        <f t="shared" si="328"/>
        <v>10</v>
      </c>
      <c r="FJ218" t="str">
        <f t="shared" si="329"/>
        <v/>
      </c>
      <c r="FK218" t="str">
        <f>IF(AND(D218="",EZ218=""),"",_xlfn.TEXTJOIN("; ",TRUE,IF(AND(D218&lt;&gt;"",DD218=""),"нет фазы",""),IF(AND(D218&lt;&gt;"",N(DT218)=0,CN218&lt;&gt;"Нет"),"нет мощности",""),IF(AND(EY218&lt;&gt;"",COUNTIFS(Линии[Щит],A218,Линии[Клемма (итог)],EY218)&gt;1),"дубль клеммы "&amp;EY218,""),IF(AND(FB218&lt;&gt;"",FB218&lt;&gt;"ok"),FB218,""),IF(FC218&lt;&gt;"",FC218,""),IF(AND(ISNUMBER(SEARCH("(5х",DS218)),N(DV218)=1),"5 жил на 1 фазе",""),IF(AND(AT218="R",AD218&lt;&gt;"",OR(N(EH218)=0,N(EH218)&gt;30)),"розетка без дифзащиты до 30 мА",""),IFERROR(IF(AND(ISNUMBER(CD218),CD218&gt;CE218),"потери "&amp;FIXED(CD218,1)&amp;" % &gt; "&amp;CE218&amp;" %",""),""),IFERROR(IF(LEFT(FJ218,4)="мало","Iкз мало — отключение &gt; 0,4 с",""),""),IF(AND(D218&lt;&gt;"",BD218=""),"не на схеме","")))</f>
        <v/>
      </c>
      <c r="FL218">
        <f>IF(AD218="","",_xlfn.LET(_xlpm.t,IFERROR(_xlfn.XLOOKUP(EP218,Каталог!$U$4:$U$500,Каталог!$G$4:$G$500),""),_xlpm.k,SEARCH("кА",_xlpm.t),IFERROR(--TRIM(RIGHT(SUBSTITUTE(MID(_xlpm.t,MAX(1,_xlpm.k-4),_xlpm.k-MAX(1,_xlpm.k-4))," ",REPT(" ",9)),5)),"")))</f>
        <v>6</v>
      </c>
      <c r="FM218" t="str">
        <f>IF(OR(FL218="",AD218=""),"",IF(_xlfn.XLOOKUP(A218,Щиты[Щит],Щиты[Iкз max на шинах, кА],"")="","",IF(FL218&lt;_xlfn.XLOOKUP(A218,Щиты[Щит],Щиты[Iкз max на шинах, кА]),"Icu "&amp;FL218&amp;" кА &lt; Iкз max","ok")))</f>
        <v/>
      </c>
      <c r="FN218" t="str">
        <f t="shared" si="330"/>
        <v>QFD34</v>
      </c>
      <c r="FO218" t="str">
        <f t="shared" si="331"/>
        <v>QFD34|кабель ВВГнг(А)-LS (3х2,5) → Розеточная группа Цокольный этаж Пом. №012A</v>
      </c>
      <c r="FP218" t="str" cm="1">
        <f t="array" ref="FP218">IF(FO218="","",_xlfn.LET(_xlpm.nd,_xlfn.TEXTSPLIT(FO218,"|"),IF(COLUMNS(_xlpm.nd)&gt;1,A218&amp;"¦"&amp;INDEX(_xlpm.nd,1)&amp;"¦"&amp;INDEX(_xlpm.nd,2),"")))</f>
        <v>ЩР-01¦QFD34¦кабель ВВГнг(А)-LS (3х2,5) → Розеточная группа Цокольный этаж Пом. №012A</v>
      </c>
      <c r="FQ218" t="str">
        <f t="shared" si="332"/>
        <v>R.0.012A.2¦Розеточная группа Цокольный этаж Пом. №012A</v>
      </c>
      <c r="FR218" t="str" cm="1">
        <f t="array" ref="FR218">IF(FO218="","",_xlfn.LET(_xlpm.nd,_xlfn.TEXTSPLIT(FO218,"|"),IF(COLUMNS(_xlpm.nd)&gt;2,A218&amp;"¦"&amp;INDEX(_xlpm.nd,2)&amp;"¦"&amp;INDEX(_xlpm.nd,3),"")))</f>
        <v/>
      </c>
      <c r="FS218" t="str">
        <f t="shared" si="333"/>
        <v/>
      </c>
      <c r="FT218" t="str" cm="1">
        <f t="array" ref="FT218">IF(FO218="","",_xlfn.LET(_xlpm.nd,_xlfn.TEXTSPLIT(FO218,"|"),IF(COLUMNS(_xlpm.nd)&gt;3,A218&amp;"¦"&amp;INDEX(_xlpm.nd,3)&amp;"¦"&amp;INDEX(_xlpm.nd,4),"")))</f>
        <v/>
      </c>
      <c r="FU218" t="str">
        <f t="shared" si="334"/>
        <v/>
      </c>
      <c r="FV218" t="str" cm="1">
        <f t="array" ref="FV218">IF(FO218="","",_xlfn.LET(_xlpm.nd,_xlfn.TEXTSPLIT(FO218,"|"),IF(COLUMNS(_xlpm.nd)&gt;4,A218&amp;"¦"&amp;INDEX(_xlpm.nd,4)&amp;"¦"&amp;INDEX(_xlpm.nd,5),"")))</f>
        <v/>
      </c>
      <c r="FW218" t="str">
        <f t="shared" si="335"/>
        <v/>
      </c>
      <c r="FX218" t="str" cm="1">
        <f t="array" ref="FX218">IF(FO218="","",_xlfn.LET(_xlpm.nd,_xlfn.TEXTSPLIT(FO218,"|"),IF(COLUMNS(_xlpm.nd)&gt;5,A218&amp;"¦"&amp;INDEX(_xlpm.nd,5)&amp;"¦"&amp;INDEX(_xlpm.nd,6),"")))</f>
        <v/>
      </c>
      <c r="FY218" t="str">
        <f t="shared" si="336"/>
        <v/>
      </c>
      <c r="FZ218" t="str" cm="1">
        <f t="array" ref="FZ218">IF(FO218="","",_xlfn.LET(_xlpm.nd,_xlfn.TEXTSPLIT(FO218,"|"),IF(COLUMNS(_xlpm.nd)&gt;6,A218&amp;"¦"&amp;INDEX(_xlpm.nd,6)&amp;"¦"&amp;INDEX(_xlpm.nd,7),"")))</f>
        <v/>
      </c>
      <c r="GA218" t="str">
        <f t="shared" si="337"/>
        <v/>
      </c>
      <c r="GB218" t="str">
        <f t="shared" si="338"/>
        <v/>
      </c>
      <c r="GC218" t="str">
        <f t="shared" si="339"/>
        <v>QFD34</v>
      </c>
      <c r="GD218">
        <f t="shared" si="340"/>
        <v>1</v>
      </c>
      <c r="GE218">
        <f t="shared" si="341"/>
        <v>0</v>
      </c>
      <c r="GF218">
        <f t="shared" si="342"/>
        <v>1</v>
      </c>
      <c r="GG218" t="str">
        <f t="shared" si="343"/>
        <v/>
      </c>
      <c r="GH218" t="str">
        <f t="shared" si="344"/>
        <v/>
      </c>
      <c r="GI218" t="str">
        <f t="shared" si="345"/>
        <v/>
      </c>
      <c r="GJ218" t="str">
        <f t="shared" si="346"/>
        <v/>
      </c>
      <c r="GK218" t="str">
        <f>IF(D218="","",IFERROR(VLOOKUP(D218,УГО_спр,2,FALSE),IFERROR(VLOOKUP(AT218,УГО_спр,2,FALSE),IFERROR(VLOOKUP(LEFT(AT218,2),УГО_спр,2,FALSE),""))))</f>
        <v>Розетка</v>
      </c>
      <c r="GL218" t="str">
        <f>IF(D218="","",IF(OR(GK218="",GK218=0),"BOX",IFERROR(IF(VLOOKUP(GK218,УГО_блоки,3,FALSE)&amp;""&lt;&gt;"",VLOOKUP(GK218,УГО_блоки,3,FALSE),VLOOKUP(GK218,УГО_блоки,2,FALSE)),GK218)))</f>
        <v>SOCKET</v>
      </c>
      <c r="GM218">
        <f t="shared" si="347"/>
        <v>1</v>
      </c>
      <c r="GN218" t="str">
        <f>IF(EP218="","",IF(COUNTIF(EP$3:EP218,EP218)=1,MAX(GN$2:GN217)+1,""))</f>
        <v/>
      </c>
      <c r="GO218" t="str">
        <f>IF(AF218="","",IF(COUNTIF(AF$3:AF218,AF218)+COUNTIF(AG$2:AG217,AF218)+COUNTIF(AH$2:AH217,AF218)=1,MAX(GO$2:GQ217)+1,""))</f>
        <v/>
      </c>
      <c r="GP218" t="str">
        <f>IF(AG218="","",IF(COUNTIF(AF$3:AF218,AG218)+COUNTIF(AG$3:AG218,AG218)+COUNTIF(AH$2:AH217,AG218)=1,MAX(GO$2:GQ217,GO218)+1,""))</f>
        <v/>
      </c>
      <c r="GQ218" t="str">
        <f>IF(AH218="","",IF(COUNTIF(AF$3:AF218,AH218)+COUNTIF(AG$3:AG218,AH218)+COUNTIF(AH$3:AH218,AH218)=1,MAX(GO$2:GQ217,GO218,GP218)+1,""))</f>
        <v/>
      </c>
      <c r="GR218" t="str">
        <f t="shared" si="348"/>
        <v>3х2,5</v>
      </c>
      <c r="GS218" t="str">
        <f>IF(GR218="","",IF(COUNTIF(GR$3:GR218,GR218)=1,MAX(GS$2:GS217)+1,""))</f>
        <v/>
      </c>
      <c r="GT218" t="str">
        <f>IF(ES218="","",COUNTIF(ES$3:ES218,"?*"))</f>
        <v/>
      </c>
      <c r="GU218" t="str">
        <f>IF(OR(ES218="",EU218=""),"",IF(COUNTIFS(ES$3:ES218,"?*",EU$3:EU218,EU218)=1,MAX(GU$2:GU217)+1,""))</f>
        <v/>
      </c>
      <c r="GV218">
        <f t="shared" si="349"/>
        <v>0</v>
      </c>
      <c r="GW218">
        <f>IF(D218="","",COUNTIF(D$3:D218,"?*"))</f>
        <v>216</v>
      </c>
      <c r="GX218">
        <f>IF(EX218&lt;&gt;1,0,_xlfn.LET(_xlpm.k,MAX(IFERROR(--VLOOKUP(D218,УГО_спр,5,FALSE),0),IFERROR(--VLOOKUP(AT218,УГО_спр,5,FALSE),0),IFERROR(--VLOOKUP(LEFT(AT218,2),УГО_спр,5,FALSE),0)),IF(_xlpm.k&gt;0,_xlpm.k,IF(IFERROR(--LEFT(SUBSTITUTE(GR218,"x","х"),FIND("х",SUBSTITUTE(GR218,"x","х"))-1),3)&gt;3,Каталог!$S$9,1))))</f>
        <v>1</v>
      </c>
      <c r="GY218">
        <f t="shared" si="350"/>
        <v>0</v>
      </c>
    </row>
    <row r="219" spans="1:207" x14ac:dyDescent="0.3">
      <c r="A219" t="s">
        <v>760</v>
      </c>
      <c r="B219">
        <v>47</v>
      </c>
      <c r="C219" t="str">
        <f>IF(BD219="","",IF(BE219="вводной узел","узел ","")&amp;"л."&amp;(INT((BD219-1)/Столбцов_на_лист)+1)&amp;" / "&amp;(MOD(BD219-1,Столбцов_на_лист)+1))</f>
        <v>л.3 / 13</v>
      </c>
      <c r="D219" t="s">
        <v>1532</v>
      </c>
      <c r="E219" s="133" t="str">
        <f t="shared" si="351"/>
        <v>Розеточная группа Цокольный этаж Пом. №020A</v>
      </c>
      <c r="G219">
        <v>0.06</v>
      </c>
      <c r="H219">
        <v>1</v>
      </c>
      <c r="I219">
        <v>1</v>
      </c>
      <c r="J219">
        <v>230</v>
      </c>
      <c r="K219" t="s">
        <v>566</v>
      </c>
      <c r="O219">
        <v>1</v>
      </c>
      <c r="P219">
        <v>48</v>
      </c>
      <c r="Q219">
        <v>44</v>
      </c>
      <c r="R219">
        <v>7</v>
      </c>
      <c r="S219">
        <v>0</v>
      </c>
      <c r="U219" t="s">
        <v>11</v>
      </c>
      <c r="V219">
        <v>3</v>
      </c>
      <c r="W219">
        <v>2.5</v>
      </c>
      <c r="Z219" t="s">
        <v>565</v>
      </c>
      <c r="AA219" t="s">
        <v>818</v>
      </c>
      <c r="AD219" t="s">
        <v>517</v>
      </c>
      <c r="AK219" t="s">
        <v>488</v>
      </c>
      <c r="AR219" t="str">
        <f t="shared" si="264"/>
        <v/>
      </c>
      <c r="AS219" cm="1">
        <f t="array" ref="AS219">ROW()-ROW(Линии[#Headers])</f>
        <v>217</v>
      </c>
      <c r="AT219" t="str">
        <f t="shared" si="265"/>
        <v>R</v>
      </c>
      <c r="AU219" t="str">
        <f t="shared" si="266"/>
        <v>0.020A.1</v>
      </c>
      <c r="AV219" t="str">
        <f t="shared" si="267"/>
        <v>0</v>
      </c>
      <c r="AW219" t="str">
        <f t="shared" si="268"/>
        <v>020A.1</v>
      </c>
      <c r="AX219" t="str">
        <f t="shared" si="269"/>
        <v>020A</v>
      </c>
      <c r="AY219" t="str">
        <f>IF(D219="","",IF(ISERROR(SEARCH(".",D219)),IFERROR(VLOOKUP(D219,Потребители_обозначение,2,FALSE)&amp;"",""),IFERROR(IF(VLOOKUP(AT219,Потребители_обозначение,4,FALSE)=1,VLOOKUP(AT219,Потребители_обозначение,2,FALSE)&amp;" "&amp;VLOOKUP(AV219,Этаж_обозначение,2,FALSE)&amp;" Пом. №"&amp;AX219,VLOOKUP(AT219,Потребители_обозначение,2,FALSE)&amp;" Шлейф №"&amp;AV219),IFERROR(VLOOKUP(D219,Потребители_обозначение,2,FALSE),""))))</f>
        <v>Розеточная группа Цокольный этаж Пом. №020A</v>
      </c>
      <c r="AZ219" t="str">
        <f t="shared" si="270"/>
        <v>Розеточная группа Цокольный этаж Пом. №020A</v>
      </c>
      <c r="BA219" t="str">
        <f>IF(F219&lt;&gt;"",F219,IF(AND(D219&lt;&gt;"",D219&lt;&gt;A219,ISNUMBER(_xlfn.XMATCH(D219,Щиты[Щит]))),D219,""))</f>
        <v/>
      </c>
      <c r="BB219">
        <f>IFERROR(_xlfn.XMATCH(A219,Щиты[Щит]),0)</f>
        <v>9</v>
      </c>
      <c r="BC219">
        <f>IFERROR(N(_xlfn.XLOOKUP(A219,Щиты[Щит],Щиты[Мест под вводной узел])),15)</f>
        <v>8</v>
      </c>
      <c r="BD219">
        <f t="shared" si="271"/>
        <v>47</v>
      </c>
      <c r="BE219" t="str">
        <f t="shared" si="272"/>
        <v>линии</v>
      </c>
      <c r="BF219">
        <f>IF(D219="","",IF(BA219&lt;&gt;"",IFERROR(_xlfn.XLOOKUP(BA219,Щиты[Щит],Щиты[Руст, кВт]),0),N(G219)))</f>
        <v>0.06</v>
      </c>
      <c r="BG219">
        <f>IF(J219&lt;&gt;"",J219,IF(D219="","",IFERROR(IF(VLOOKUP(AT219,Потребители_обозначение,8,FALSE)=0,"",VLOOKUP(AT219,Потребители_обозначение,8,FALSE)),"")))</f>
        <v>230</v>
      </c>
      <c r="BH219">
        <f>IF(I219&lt;&gt;"",I219,IF(D219="","",IFERROR(IF(VLOOKUP(AT219,Потребители_обозначение,9,FALSE)=0,"",VLOOKUP(AT219,Потребители_обозначение,9,FALSE)),"")))</f>
        <v>1</v>
      </c>
      <c r="BI219" t="str">
        <f>IF(U219&lt;&gt;"",U219,IF(D219="","",IFERROR(IF(VLOOKUP(AT219,Потребители_обозначение,6,FALSE)=0,"",VLOOKUP(AT219,Потребители_обозначение,6,FALSE)),"")))</f>
        <v>мс</v>
      </c>
      <c r="BJ219">
        <f>IF(V219&lt;&gt;"",V219,IF(D219="","",IFERROR(IF(VLOOKUP(AT219,Потребители_обозначение,7,FALSE)=0,"",VLOOKUP(AT219,Потребители_обозначение,7,FALSE)),"")))</f>
        <v>3</v>
      </c>
      <c r="BK219">
        <f>IF(W219&lt;&gt;"",W219,IF(D219="","",IFERROR(IF(VLOOKUP(AT219,Потребители_обозначение,10,FALSE)=0,"",VLOOKUP(AT219,Потребители_обозначение,10,FALSE)),"")))</f>
        <v>2.5</v>
      </c>
      <c r="BL219">
        <f>IFERROR(VLOOKUP(AT219,Потребители_обозначение,5,FALSE),0)</f>
        <v>1</v>
      </c>
      <c r="BM219" cm="1">
        <f t="array" ref="BM219">IF(D219="","",IF(BA219&lt;&gt;"",IFERROR(_xlfn.XLOOKUP(BA219,Щиты[Щит],Щиты[cos φ]),0.95),IF(ISNUMBER(M219),M219,IFERROR(IF(BL219=2,_xlfn.IFS(BH219=3,VLOOKUP(BF219,Справочная_двигатели,8,FALSE),BH219=1,VLOOKUP(BF219,Справочная_двигатели,10,TRUE)),IF(AND(Методика="нормы 2026",CN219="Сил"),0.8,0.95)),0.95))))</f>
        <v>0.95</v>
      </c>
      <c r="BN219" cm="1">
        <f t="array" ref="BN219">IF(D219="","",IF(BA219&lt;&gt;"",IFERROR(_xlfn.XLOOKUP(BA219,Щиты[Щит],Щиты[Iр, А]),""),IFERROR(_xlfn.IFS(BH219=1,BF219/((Uн_лин/SQRT(3))*BM219),BH219=3,BF219/(SQRT(3)*Uн_лин*BM219)),"")))</f>
        <v>0.27348170645824377</v>
      </c>
      <c r="BO219">
        <f>IF(D219="","",IF(N(X219)=0,IFERROR(VLOOKUP(BN219,Автомат_номиналы,2,TRUE),""),X219))</f>
        <v>6</v>
      </c>
      <c r="BP219">
        <f t="shared" si="273"/>
        <v>1</v>
      </c>
      <c r="BQ219">
        <f>IF(ISNUMBER(Y219),Y219,К_прокл)</f>
        <v>1</v>
      </c>
      <c r="BR219">
        <f t="shared" si="274"/>
        <v>2</v>
      </c>
      <c r="BS219" cm="1">
        <f t="array" ref="BS219">IF(D219="","",IF(N(BK219)&lt;&gt;0,BK219,IFERROR(_xlfn.LET(_xlpm.need,BO219/(BP219*BQ219),_xlpm.t,CHOOSE(BR219,Iдоп_1ж,Iдоп_2ж,Iдоп_3ж),_xlpm.k,_xlfn.XMATCH(_xlpm.need,_xlpm.t,1),IF(ISNA(_xlpm.k),"Не исп",INDEX(Iдоп_S,_xlpm.k))),"Не исп")))</f>
        <v>2.5</v>
      </c>
      <c r="BT219">
        <f>IFERROR(VLOOKUP(BS219,Кабель_сопротивление,3,FALSE),"")</f>
        <v>2.2499999999999999E-2</v>
      </c>
      <c r="BU219">
        <f>IFERROR(VLOOKUP(BS219,Кабель_сопротивление,2,FALSE),"")</f>
        <v>0.1</v>
      </c>
      <c r="BV219">
        <f t="shared" si="275"/>
        <v>48</v>
      </c>
      <c r="BW219">
        <f>IF(D219="","",IFERROR(IF(VLOOKUP(AT219,Потребители_обозначение,4,FALSE)=1,VLOOKUP(AT219,Потребители_обозначение,3,FALSE)*(H219*2-1)+BV219+VLOOKUP(AV219,Этаж_обозначение,3,FALSE)+VLOOKUP(AV219,Этаж_обозначение,4,FALSE),VLOOKUP(AT219,Потребители_обозначение,3,FALSE)*(H219*2-1)+BV219),BV219))</f>
        <v>51</v>
      </c>
      <c r="BX219">
        <f t="shared" si="276"/>
        <v>7</v>
      </c>
      <c r="BY219">
        <f t="shared" si="277"/>
        <v>0</v>
      </c>
      <c r="BZ219">
        <f t="shared" si="278"/>
        <v>2</v>
      </c>
      <c r="CA219">
        <f t="shared" si="279"/>
        <v>0.31</v>
      </c>
      <c r="CB219">
        <f t="shared" si="280"/>
        <v>0.23936814535805531</v>
      </c>
      <c r="CC219">
        <f>IFERROR(ROUNDUP(CB219/((Uн_лин/SQRT(3))*1000)*100,2),"")</f>
        <v>0.11</v>
      </c>
      <c r="CD219">
        <f>IF(ISNUMBER(CC219),CC219+IFERROR(_xlfn.XLOOKUP(A219,Щиты[Щит],Щиты[ΔU до шин, %]),0),"")</f>
        <v>0.54</v>
      </c>
      <c r="CE219">
        <f>IF(D219="","",IF(IFERROR(VLOOKUP(AT219,УГО_спр,2,FALSE),"")="Светильник",3,4)+IF(Методика="нормы 2026",MIN(0.5,MAX(0,N(BW219)-100)*0.005),0))</f>
        <v>4</v>
      </c>
      <c r="CF219" t="str">
        <f>IFERROR(VLOOKUP(BI219,Кабель_обозначение,2,FALSE),"")</f>
        <v>ВВГнг(А)-LS</v>
      </c>
      <c r="CG219" t="str">
        <f>IFERROR(IF(VLOOKUP(BI219,Кабель_обозначение,3,FALSE)=1,CF219&amp;" ("&amp;BJ219&amp;"х"&amp;BS219&amp;")",CF219),"")</f>
        <v>ВВГнг(А)-LS (3х2,5)</v>
      </c>
      <c r="CH219" t="str">
        <f t="shared" si="281"/>
        <v>ВВГнг(А)-LS (3х2,5)
L=51-0,11%</v>
      </c>
      <c r="CI219">
        <f>IFERROR(2*ρкз_Cu*BW219/BS219,"")</f>
        <v>1.07304</v>
      </c>
      <c r="CJ219">
        <f t="shared" si="282"/>
        <v>0.35700000000000004</v>
      </c>
      <c r="CK219" t="str">
        <f>IFERROR(IF(OR(D219="",NOT(ISNUMBER(BS219)),N(BW219)=0),"",_xlfn.XLOOKUP(A219,Щиты[Щит],Щиты[Zпетли на шинах, Ом])+CI219),"")</f>
        <v/>
      </c>
      <c r="CL219" t="str">
        <f>IF(ISNUMBER(CK219),c_min*(Uн_лин*1000/SQRT(3))/CK219,"")</f>
        <v/>
      </c>
      <c r="CM219" t="str">
        <f>IFERROR(IF(OR(D219="",NOT(ISNUMBER(BS219))),"",1.05*(Uн_лин*1000/SQRT(3))/(_xlfn.XLOOKUP(A219,Щиты[Щит],Щиты[Zmax на шинах, Ом])+CJ219)/1000),"")</f>
        <v/>
      </c>
      <c r="CN219" t="str">
        <f>IF(D219="","",IF(BA219&lt;&gt;"","Щит",IF(K219&lt;&gt;"",K219,IF(ISNUMBER(L219),"Сил",IF(IFERROR(_xlfn.XLOOKUP(AT219,Коды_код,Коды_группа)&amp;"","")="","Быт",_xlfn.XLOOKUP(AT219,Коды_код,Коды_группа)&amp;"")))))</f>
        <v>Быт</v>
      </c>
      <c r="CO219">
        <f>IF(CN219="Щит","щит",IF(CN219="","",IF(CN219="Быт",IFERROR(_xlfn.XLOOKUP(A219,Щиты[Щит],Щиты[Кс быт]),1),IF(CN219="Сил",IF(ISNUMBER(L219),L219,IF(Методика="нормы 2026",IFERROR(_xlfn.XLOOKUP(A219,Щиты[Щит],Щиты[Кс силовых (табл. 7.5)]),1),1)),IF(OR(CN219="Пост",CN219="Отоп"),1,IF(CN219="ВНГ",0.7,0))))))</f>
        <v>0.79799999999999993</v>
      </c>
      <c r="CP219">
        <f t="shared" si="283"/>
        <v>1</v>
      </c>
      <c r="CQ219">
        <f t="shared" si="284"/>
        <v>0.06</v>
      </c>
      <c r="CR219">
        <f t="shared" si="285"/>
        <v>0.06</v>
      </c>
      <c r="CS219">
        <f t="shared" si="286"/>
        <v>0</v>
      </c>
      <c r="CT219">
        <f t="shared" si="287"/>
        <v>0</v>
      </c>
      <c r="CU219">
        <f t="shared" si="288"/>
        <v>0</v>
      </c>
      <c r="CV219">
        <f t="shared" si="289"/>
        <v>0</v>
      </c>
      <c r="CW219">
        <f t="shared" si="290"/>
        <v>0.06</v>
      </c>
      <c r="CX219">
        <f t="shared" si="291"/>
        <v>5.6999999999999995E-2</v>
      </c>
      <c r="CY219">
        <f t="shared" si="292"/>
        <v>2</v>
      </c>
      <c r="CZ219" t="str">
        <f t="shared" si="293"/>
        <v>L2</v>
      </c>
      <c r="DA219" cm="1">
        <f t="array" ref="DA219">IFERROR(IF(BL219=2,_xlfn.IFS(BH219=3,VLOOKUP(BF219,Справочная_двигатели,3,FALSE),BH219=1,VLOOKUP(BF219,Справочная_двигатели,5,TRUE)),0),0)</f>
        <v>0</v>
      </c>
      <c r="DB219">
        <f>IFERROR(IF(BL219=3,VLOOKUP(BF219,Справочная_ЛЭД,2,TRUE),0),0)</f>
        <v>0</v>
      </c>
      <c r="DC219">
        <f t="shared" si="294"/>
        <v>0</v>
      </c>
      <c r="DD219" t="str">
        <f t="shared" si="295"/>
        <v>L1</v>
      </c>
      <c r="DE219" t="str" cm="1">
        <f t="array" ref="DE219">IF(D219="","",IFERROR(INDEX({"I особая","I","II","III"},MATCH(TRIM(AA219&amp;""),{"I особая","I","II","III"},0)),"III"))</f>
        <v>II</v>
      </c>
      <c r="DF219" t="str">
        <f>IF(D219="","",IF(TRIM(AB219&amp;"")&lt;&gt;"",IF(LOWER(TRIM(AB219&amp;""))="да","да","нет"),IF(IFERROR(_xlfn.XLOOKUP(AT219,Коды_код,Коды_пожарная),"")="да","да","нет")))</f>
        <v>нет</v>
      </c>
      <c r="DG219" t="str">
        <f t="shared" si="296"/>
        <v/>
      </c>
      <c r="DH219" t="str">
        <f t="shared" si="297"/>
        <v>основная</v>
      </c>
      <c r="DI219">
        <f t="shared" si="298"/>
        <v>1</v>
      </c>
      <c r="DJ219" t="str" cm="1">
        <f t="array" ref="DJ219">IF(D219="","",_xlfn.LET(_xlpm.t,IFERROR(_xlfn.XLOOKUP(1,(Шины[Шина]=DH219)*(((Шины[Щит]=A219)+(Шины[Щит]=""))&gt;0),Шины[Тип]),"")&amp;"",IF(_xlpm.t&lt;&gt;"",_xlpm.t,IF(ISNUMBER(SEARCH("ИБП",DH219)),"ИБП",IF(ISNUMBER(SEARCH("ДГУ",DH219)),"ДГУ","Ввод "&amp;DI219)))))</f>
        <v>Ввод 1</v>
      </c>
      <c r="DK219" t="str">
        <f t="shared" si="299"/>
        <v>Ввод 1</v>
      </c>
      <c r="DL219" t="str">
        <f>IF(D219="","",IF(OR(DJ219="ИБП",DJ219="ДГУ"),"I особая",IF(DJ219="Одиночная","III",_xlfn.XLOOKUP(A219,Щиты[Щит],Щиты[Категория шины «Ввод»],"III"))))</f>
        <v>II</v>
      </c>
      <c r="DM219">
        <f>IF(D219="",0,IFERROR(MATCH(DE219,{"III","II","I","I особая"},0),1))</f>
        <v>2</v>
      </c>
      <c r="DN219">
        <f t="shared" si="300"/>
        <v>2</v>
      </c>
      <c r="DO219" t="str">
        <f>IF(D219="","",IF(DM219&gt;IFERROR(MATCH(DL219,{"III","II","I","I особая"},0),1),"НЕ ОБЕСПЕЧЕНА","ОК"))</f>
        <v>ОК</v>
      </c>
      <c r="DP219" t="str">
        <f>IF(A219="","",_xlfn.XLOOKUP(A219,Щиты[Щит],Щиты[Путь],""))</f>
        <v>|ГРЩ-ЖД|ЩР-01|</v>
      </c>
      <c r="DQ219" t="str">
        <f>IF(D219="","",IF(Z219&lt;&gt;"",Z219,IF(IFERROR(_xlfn.XLOOKUP(AT219,Коды_код,Коды_вид)&amp;"","")="","Прочее",_xlfn.XLOOKUP(AT219,Коды_код,Коды_вид)&amp;"")))</f>
        <v>Розеточная сеть и бытовые приборы</v>
      </c>
      <c r="DR219">
        <f>IF(BD219="","",INT((BD219-1)/Столбцов_на_лист)+1)</f>
        <v>3</v>
      </c>
      <c r="DS219" t="str">
        <f t="shared" si="301"/>
        <v>ВВГнг(А)-LS (3х2,5) L=51-0,11%</v>
      </c>
      <c r="DT219">
        <f t="shared" si="302"/>
        <v>0.06</v>
      </c>
      <c r="DU219">
        <f t="shared" si="303"/>
        <v>0.28000000000000003</v>
      </c>
      <c r="DV219">
        <f t="shared" si="304"/>
        <v>1</v>
      </c>
      <c r="DW219">
        <f>IF(AT219="",0,_xlfn.LET(_xlpm.v,IFERROR(VLOOKUP(D219,УГО_спр,3,FALSE),IFERROR(VLOOKUP(AT219,УГО_спр,3,FALSE),IFERROR(VLOOKUP(LEFT(AT219,2),УГО_спр,3,FALSE),""))),IF(_xlpm.v="да",30,IF(ISNUMBER(_xlpm.v),_xlpm.v,0))))</f>
        <v>30</v>
      </c>
      <c r="DX219">
        <f t="shared" si="305"/>
        <v>0</v>
      </c>
      <c r="DY219">
        <f>IF(BD219="","",IF(AD219&lt;&gt;"",COUNTIFS(A$3:A219,A219,AD$3:AD219,"?*"),IF(OR(OR(AS219=1,A219&lt;&gt;A218),AL219="вручную"),"",IF(AS219=1,"",DZ218))))</f>
        <v>35</v>
      </c>
      <c r="DZ219">
        <f t="shared" si="306"/>
        <v>35</v>
      </c>
      <c r="EA219">
        <f>IF(D219="",0,MAX(IFERROR(--X219,0),IFERROR(--VLOOKUP(D219,УГО_спр,4,FALSE),IFERROR(--VLOOKUP(AT219,УГО_спр,4,FALSE),IFERROR(--VLOOKUP(LEFT(AT219,2),УГО_спр,4,FALSE),0)))))</f>
        <v>16</v>
      </c>
      <c r="EB219">
        <f>IF(D219="","",IFERROR(LOOKUP(INDEX(CHOOSE(BR219,Iдоп_1ж,Iдоп_2ж,Iдоп_3ж),MATCH(BS219,Iдоп_S,0))*BP219*BQ219,{6,10,16,20,25,32,40,50,63,80,100,125,160,200,250,315,400,500,630}),""))</f>
        <v>25</v>
      </c>
      <c r="EC219">
        <f>IF(AD219="","",SUMIFS(Линии[_Ток схемы],Линии[_гр.],DY219,Линии[Щит],A219,Линии[_в кабель выше],0))</f>
        <v>0.28000000000000003</v>
      </c>
      <c r="ED219">
        <f>IF(AD219="","",IFERROR(VLOOKUP(EC219,Автомат_номиналы,2,TRUE),""))</f>
        <v>6</v>
      </c>
      <c r="EE219">
        <f>IF(AD219="","",MAX(N(ED219),_xlfn.MAXIFS(Линии[_мин. по типу],Линии[_гр.],DY219,Линии[Щит],A219)))</f>
        <v>16</v>
      </c>
      <c r="EF219">
        <f>IF(AD219="","",_xlfn.MINIFS(Линии[_макс. автомат по кабелю],Линии[_гр.],DY219,Линии[Щит],A219))</f>
        <v>25</v>
      </c>
      <c r="EG219">
        <f>IF(AD219="","",MAX(1,_xlfn.MAXIFS(Линии[_фаз],Линии[_гр.],DY219,Линии[Щит],A219)))</f>
        <v>1</v>
      </c>
      <c r="EH219">
        <f>IF(AD219="","",IF(AND(AD219&lt;&gt;"авто",AD219&lt;&gt;"+"),IF(ISNUMBER(SEARCH("мА",AD219)),IFERROR(--TRIM(RIGHT(SUBSTITUTE(LEFT(AD219,SEARCH("мА",AD219)-1)," ",REPT(" ",9)),6)),30),0),IF(AE219="нет",0,IF(ISNUMBER(AE219),AE219,IF(AE219="да",30,_xlfn.MINIFS(Линии[_дифзащита по коду, мА],Линии[_гр.],DY219,Линии[Щит],A219,Линии[_дифзащита по коду, мА],"&gt;0"))))))</f>
        <v>30</v>
      </c>
      <c r="EI219">
        <f t="shared" si="307"/>
        <v>1</v>
      </c>
      <c r="EJ219" t="str">
        <f t="shared" si="308"/>
        <v>QFD35</v>
      </c>
      <c r="EK219" t="str">
        <f t="shared" si="309"/>
        <v>QFD35</v>
      </c>
      <c r="EL219" t="str">
        <f t="shared" si="310"/>
        <v/>
      </c>
      <c r="EM219">
        <f t="shared" si="311"/>
        <v>0</v>
      </c>
      <c r="EN219">
        <f>IF(AD219="","",IF(EM219=1,MAX(EE219,Мин_автомат_БП),EE219))</f>
        <v>16</v>
      </c>
      <c r="EO219" t="str">
        <f t="shared" si="312"/>
        <v>2P</v>
      </c>
      <c r="EP219" t="str">
        <f t="shared" si="313"/>
        <v>2P С16А 30мА</v>
      </c>
      <c r="EQ219">
        <f t="shared" si="314"/>
        <v>16</v>
      </c>
      <c r="ER219" t="str">
        <f>IF(OR(AI219="",AI219="-"),"",IFERROR(VLOOKUP(AI219,Модули_спр,2,FALSE),"R"))</f>
        <v/>
      </c>
      <c r="ES219" t="str">
        <f>IF(ER219="","",ER219&amp;"."&amp;COUNTIFS(A$3:A219,A219,ER$3:ER219,ER219))</f>
        <v/>
      </c>
      <c r="ET219" t="str">
        <f t="shared" si="315"/>
        <v/>
      </c>
      <c r="EU219" t="str">
        <f t="shared" si="316"/>
        <v/>
      </c>
      <c r="EV219" t="str">
        <f t="shared" si="317"/>
        <v/>
      </c>
      <c r="EW219" t="str">
        <f t="shared" si="318"/>
        <v/>
      </c>
      <c r="EX219">
        <f t="shared" si="319"/>
        <v>1</v>
      </c>
      <c r="EY219" t="str">
        <f>IF(AK219="нет","",IF(AK219&lt;&gt;"",AK219,IF(EX219=1,"XT"&amp;COUNTIFS(A$3:A219,A219,EX$3:EX219,1),"")))</f>
        <v/>
      </c>
      <c r="EZ219" t="str">
        <f t="shared" si="320"/>
        <v>QFD35</v>
      </c>
      <c r="FA219" t="str">
        <f t="shared" si="321"/>
        <v/>
      </c>
      <c r="FB219" t="str">
        <f t="shared" si="322"/>
        <v>ok</v>
      </c>
      <c r="FC219" t="str">
        <f>IF(OR(EV219="",ET219=""),"",IF(EV219&gt;IFERROR(VLOOKUP(EU219,Модули_спр,3,FALSE),99),"ЛИШНИЙ КАНАЛ",IF(AND(AJ219&lt;&gt;"=",COUNTIFS(Линии[_модуль гр.],ET219,Линии[Канал (итог)],EV219,Линии[Канал],"&lt;&gt;=",Линии[Щит],A219)&gt;1),"ДУБЛЬ КАНАЛА","")))</f>
        <v/>
      </c>
      <c r="FD219">
        <f t="shared" si="323"/>
        <v>16</v>
      </c>
      <c r="FE219" t="str">
        <f t="shared" si="324"/>
        <v>2P С16А 30мА</v>
      </c>
      <c r="FF219">
        <f t="shared" si="325"/>
        <v>1</v>
      </c>
      <c r="FG219">
        <f t="shared" si="326"/>
        <v>30</v>
      </c>
      <c r="FH219" t="str">
        <f t="shared" si="327"/>
        <v/>
      </c>
      <c r="FI219">
        <f t="shared" si="328"/>
        <v>10</v>
      </c>
      <c r="FJ219" t="str">
        <f t="shared" si="329"/>
        <v/>
      </c>
      <c r="FK219" t="str">
        <f>IF(AND(D219="",EZ219=""),"",_xlfn.TEXTJOIN("; ",TRUE,IF(AND(D219&lt;&gt;"",DD219=""),"нет фазы",""),IF(AND(D219&lt;&gt;"",N(DT219)=0,CN219&lt;&gt;"Нет"),"нет мощности",""),IF(AND(EY219&lt;&gt;"",COUNTIFS(Линии[Щит],A219,Линии[Клемма (итог)],EY219)&gt;1),"дубль клеммы "&amp;EY219,""),IF(AND(FB219&lt;&gt;"",FB219&lt;&gt;"ok"),FB219,""),IF(FC219&lt;&gt;"",FC219,""),IF(AND(ISNUMBER(SEARCH("(5х",DS219)),N(DV219)=1),"5 жил на 1 фазе",""),IF(AND(AT219="R",AD219&lt;&gt;"",OR(N(EH219)=0,N(EH219)&gt;30)),"розетка без дифзащиты до 30 мА",""),IFERROR(IF(AND(ISNUMBER(CD219),CD219&gt;CE219),"потери "&amp;FIXED(CD219,1)&amp;" % &gt; "&amp;CE219&amp;" %",""),""),IFERROR(IF(LEFT(FJ219,4)="мало","Iкз мало — отключение &gt; 0,4 с",""),""),IF(AND(D219&lt;&gt;"",BD219=""),"не на схеме","")))</f>
        <v/>
      </c>
      <c r="FL219">
        <f>IF(AD219="","",_xlfn.LET(_xlpm.t,IFERROR(_xlfn.XLOOKUP(EP219,Каталог!$U$4:$U$500,Каталог!$G$4:$G$500),""),_xlpm.k,SEARCH("кА",_xlpm.t),IFERROR(--TRIM(RIGHT(SUBSTITUTE(MID(_xlpm.t,MAX(1,_xlpm.k-4),_xlpm.k-MAX(1,_xlpm.k-4))," ",REPT(" ",9)),5)),"")))</f>
        <v>6</v>
      </c>
      <c r="FM219" t="str">
        <f>IF(OR(FL219="",AD219=""),"",IF(_xlfn.XLOOKUP(A219,Щиты[Щит],Щиты[Iкз max на шинах, кА],"")="","",IF(FL219&lt;_xlfn.XLOOKUP(A219,Щиты[Щит],Щиты[Iкз max на шинах, кА]),"Icu "&amp;FL219&amp;" кА &lt; Iкз max","ok")))</f>
        <v/>
      </c>
      <c r="FN219" t="str">
        <f t="shared" si="330"/>
        <v>QFD35</v>
      </c>
      <c r="FO219" t="str">
        <f t="shared" si="331"/>
        <v>QFD35|кабель ВВГнг(А)-LS (3х2,5) → Розеточная группа Цокольный этаж Пом. №020A</v>
      </c>
      <c r="FP219" t="str" cm="1">
        <f t="array" ref="FP219">IF(FO219="","",_xlfn.LET(_xlpm.nd,_xlfn.TEXTSPLIT(FO219,"|"),IF(COLUMNS(_xlpm.nd)&gt;1,A219&amp;"¦"&amp;INDEX(_xlpm.nd,1)&amp;"¦"&amp;INDEX(_xlpm.nd,2),"")))</f>
        <v>ЩР-01¦QFD35¦кабель ВВГнг(А)-LS (3х2,5) → Розеточная группа Цокольный этаж Пом. №020A</v>
      </c>
      <c r="FQ219" t="str">
        <f t="shared" si="332"/>
        <v>R.0.020A.1¦Розеточная группа Цокольный этаж Пом. №020A</v>
      </c>
      <c r="FR219" t="str" cm="1">
        <f t="array" ref="FR219">IF(FO219="","",_xlfn.LET(_xlpm.nd,_xlfn.TEXTSPLIT(FO219,"|"),IF(COLUMNS(_xlpm.nd)&gt;2,A219&amp;"¦"&amp;INDEX(_xlpm.nd,2)&amp;"¦"&amp;INDEX(_xlpm.nd,3),"")))</f>
        <v/>
      </c>
      <c r="FS219" t="str">
        <f t="shared" si="333"/>
        <v/>
      </c>
      <c r="FT219" t="str" cm="1">
        <f t="array" ref="FT219">IF(FO219="","",_xlfn.LET(_xlpm.nd,_xlfn.TEXTSPLIT(FO219,"|"),IF(COLUMNS(_xlpm.nd)&gt;3,A219&amp;"¦"&amp;INDEX(_xlpm.nd,3)&amp;"¦"&amp;INDEX(_xlpm.nd,4),"")))</f>
        <v/>
      </c>
      <c r="FU219" t="str">
        <f t="shared" si="334"/>
        <v/>
      </c>
      <c r="FV219" t="str" cm="1">
        <f t="array" ref="FV219">IF(FO219="","",_xlfn.LET(_xlpm.nd,_xlfn.TEXTSPLIT(FO219,"|"),IF(COLUMNS(_xlpm.nd)&gt;4,A219&amp;"¦"&amp;INDEX(_xlpm.nd,4)&amp;"¦"&amp;INDEX(_xlpm.nd,5),"")))</f>
        <v/>
      </c>
      <c r="FW219" t="str">
        <f t="shared" si="335"/>
        <v/>
      </c>
      <c r="FX219" t="str" cm="1">
        <f t="array" ref="FX219">IF(FO219="","",_xlfn.LET(_xlpm.nd,_xlfn.TEXTSPLIT(FO219,"|"),IF(COLUMNS(_xlpm.nd)&gt;5,A219&amp;"¦"&amp;INDEX(_xlpm.nd,5)&amp;"¦"&amp;INDEX(_xlpm.nd,6),"")))</f>
        <v/>
      </c>
      <c r="FY219" t="str">
        <f t="shared" si="336"/>
        <v/>
      </c>
      <c r="FZ219" t="str" cm="1">
        <f t="array" ref="FZ219">IF(FO219="","",_xlfn.LET(_xlpm.nd,_xlfn.TEXTSPLIT(FO219,"|"),IF(COLUMNS(_xlpm.nd)&gt;6,A219&amp;"¦"&amp;INDEX(_xlpm.nd,6)&amp;"¦"&amp;INDEX(_xlpm.nd,7),"")))</f>
        <v/>
      </c>
      <c r="GA219" t="str">
        <f t="shared" si="337"/>
        <v/>
      </c>
      <c r="GB219" t="str">
        <f t="shared" si="338"/>
        <v/>
      </c>
      <c r="GC219" t="str">
        <f t="shared" si="339"/>
        <v>QFD35</v>
      </c>
      <c r="GD219">
        <f t="shared" si="340"/>
        <v>1</v>
      </c>
      <c r="GE219">
        <f t="shared" si="341"/>
        <v>0</v>
      </c>
      <c r="GF219">
        <f t="shared" si="342"/>
        <v>1</v>
      </c>
      <c r="GG219" t="str">
        <f t="shared" si="343"/>
        <v/>
      </c>
      <c r="GH219" t="str">
        <f t="shared" si="344"/>
        <v/>
      </c>
      <c r="GI219" t="str">
        <f t="shared" si="345"/>
        <v/>
      </c>
      <c r="GJ219" t="str">
        <f t="shared" si="346"/>
        <v/>
      </c>
      <c r="GK219" t="str">
        <f>IF(D219="","",IFERROR(VLOOKUP(D219,УГО_спр,2,FALSE),IFERROR(VLOOKUP(AT219,УГО_спр,2,FALSE),IFERROR(VLOOKUP(LEFT(AT219,2),УГО_спр,2,FALSE),""))))</f>
        <v>Розетка</v>
      </c>
      <c r="GL219" t="str">
        <f>IF(D219="","",IF(OR(GK219="",GK219=0),"BOX",IFERROR(IF(VLOOKUP(GK219,УГО_блоки,3,FALSE)&amp;""&lt;&gt;"",VLOOKUP(GK219,УГО_блоки,3,FALSE),VLOOKUP(GK219,УГО_блоки,2,FALSE)),GK219)))</f>
        <v>SOCKET</v>
      </c>
      <c r="GM219">
        <f t="shared" si="347"/>
        <v>1</v>
      </c>
      <c r="GN219" t="str">
        <f>IF(EP219="","",IF(COUNTIF(EP$3:EP219,EP219)=1,MAX(GN$2:GN218)+1,""))</f>
        <v/>
      </c>
      <c r="GO219" t="str">
        <f>IF(AF219="","",IF(COUNTIF(AF$3:AF219,AF219)+COUNTIF(AG$2:AG218,AF219)+COUNTIF(AH$2:AH218,AF219)=1,MAX(GO$2:GQ218)+1,""))</f>
        <v/>
      </c>
      <c r="GP219" t="str">
        <f>IF(AG219="","",IF(COUNTIF(AF$3:AF219,AG219)+COUNTIF(AG$3:AG219,AG219)+COUNTIF(AH$2:AH218,AG219)=1,MAX(GO$2:GQ218,GO219)+1,""))</f>
        <v/>
      </c>
      <c r="GQ219" t="str">
        <f>IF(AH219="","",IF(COUNTIF(AF$3:AF219,AH219)+COUNTIF(AG$3:AG219,AH219)+COUNTIF(AH$3:AH219,AH219)=1,MAX(GO$2:GQ218,GO219,GP219)+1,""))</f>
        <v/>
      </c>
      <c r="GR219" t="str">
        <f t="shared" si="348"/>
        <v>3х2,5</v>
      </c>
      <c r="GS219" t="str">
        <f>IF(GR219="","",IF(COUNTIF(GR$3:GR219,GR219)=1,MAX(GS$2:GS218)+1,""))</f>
        <v/>
      </c>
      <c r="GT219" t="str">
        <f>IF(ES219="","",COUNTIF(ES$3:ES219,"?*"))</f>
        <v/>
      </c>
      <c r="GU219" t="str">
        <f>IF(OR(ES219="",EU219=""),"",IF(COUNTIFS(ES$3:ES219,"?*",EU$3:EU219,EU219)=1,MAX(GU$2:GU218)+1,""))</f>
        <v/>
      </c>
      <c r="GV219">
        <f t="shared" si="349"/>
        <v>0</v>
      </c>
      <c r="GW219">
        <f>IF(D219="","",COUNTIF(D$3:D219,"?*"))</f>
        <v>217</v>
      </c>
      <c r="GX219">
        <f>IF(EX219&lt;&gt;1,0,_xlfn.LET(_xlpm.k,MAX(IFERROR(--VLOOKUP(D219,УГО_спр,5,FALSE),0),IFERROR(--VLOOKUP(AT219,УГО_спр,5,FALSE),0),IFERROR(--VLOOKUP(LEFT(AT219,2),УГО_спр,5,FALSE),0)),IF(_xlpm.k&gt;0,_xlpm.k,IF(IFERROR(--LEFT(SUBSTITUTE(GR219,"x","х"),FIND("х",SUBSTITUTE(GR219,"x","х"))-1),3)&gt;3,Каталог!$S$9,1))))</f>
        <v>1</v>
      </c>
      <c r="GY219">
        <f t="shared" si="350"/>
        <v>0</v>
      </c>
    </row>
    <row r="220" spans="1:207" x14ac:dyDescent="0.3">
      <c r="A220" t="s">
        <v>760</v>
      </c>
      <c r="B220">
        <v>53</v>
      </c>
      <c r="C220" t="str">
        <f>IF(BD220="","",IF(BE220="вводной узел","узел ","")&amp;"л."&amp;(INT((BD220-1)/Столбцов_на_лист)+1)&amp;" / "&amp;(MOD(BD220-1,Столбцов_на_лист)+1))</f>
        <v>л.4 / 2</v>
      </c>
      <c r="D220" t="s">
        <v>1533</v>
      </c>
      <c r="E220" s="133" t="s">
        <v>1534</v>
      </c>
      <c r="G220">
        <v>4.625</v>
      </c>
      <c r="H220">
        <v>1</v>
      </c>
      <c r="I220">
        <v>1</v>
      </c>
      <c r="J220">
        <v>230</v>
      </c>
      <c r="K220" t="s">
        <v>577</v>
      </c>
      <c r="O220">
        <v>1</v>
      </c>
      <c r="P220">
        <v>22</v>
      </c>
      <c r="Q220">
        <v>6</v>
      </c>
      <c r="R220">
        <v>8</v>
      </c>
      <c r="U220" t="s">
        <v>11</v>
      </c>
      <c r="V220">
        <v>3</v>
      </c>
      <c r="W220">
        <v>6</v>
      </c>
      <c r="X220">
        <v>25</v>
      </c>
      <c r="Z220" t="s">
        <v>576</v>
      </c>
      <c r="AA220" t="s">
        <v>818</v>
      </c>
      <c r="AD220" t="s">
        <v>517</v>
      </c>
      <c r="AR220" t="str">
        <f t="shared" si="264"/>
        <v/>
      </c>
      <c r="AS220" cm="1">
        <f t="array" ref="AS220">ROW()-ROW(Линии[#Headers])</f>
        <v>218</v>
      </c>
      <c r="AT220" t="str">
        <f t="shared" si="265"/>
        <v>ШТК-1</v>
      </c>
      <c r="AU220" t="str">
        <f t="shared" si="266"/>
        <v/>
      </c>
      <c r="AV220" t="str">
        <f t="shared" si="267"/>
        <v/>
      </c>
      <c r="AW220" t="str">
        <f t="shared" si="268"/>
        <v/>
      </c>
      <c r="AX220" t="str">
        <f t="shared" si="269"/>
        <v/>
      </c>
      <c r="AY220" t="str">
        <f>IF(D220="","",IF(ISERROR(SEARCH(".",D220)),IFERROR(VLOOKUP(D220,Потребители_обозначение,2,FALSE)&amp;"",""),IFERROR(IF(VLOOKUP(AT220,Потребители_обозначение,4,FALSE)=1,VLOOKUP(AT220,Потребители_обозначение,2,FALSE)&amp;" "&amp;VLOOKUP(AV220,Этаж_обозначение,2,FALSE)&amp;" Пом. №"&amp;AX220,VLOOKUP(AT220,Потребители_обозначение,2,FALSE)&amp;" Шлейф №"&amp;AV220),IFERROR(VLOOKUP(D220,Потребители_обозначение,2,FALSE),""))))</f>
        <v/>
      </c>
      <c r="AZ220" t="str">
        <f t="shared" si="270"/>
        <v>Шкаф телекоммуникационный ШТК-2 Цокольный этаж Пом. №002Т</v>
      </c>
      <c r="BA220" t="str">
        <f>IF(F220&lt;&gt;"",F220,IF(AND(D220&lt;&gt;"",D220&lt;&gt;A220,ISNUMBER(_xlfn.XMATCH(D220,Щиты[Щит]))),D220,""))</f>
        <v/>
      </c>
      <c r="BB220">
        <f>IFERROR(_xlfn.XMATCH(A220,Щиты[Щит]),0)</f>
        <v>9</v>
      </c>
      <c r="BC220">
        <f>IFERROR(N(_xlfn.XLOOKUP(A220,Щиты[Щит],Щиты[Мест под вводной узел])),15)</f>
        <v>8</v>
      </c>
      <c r="BD220">
        <f t="shared" si="271"/>
        <v>53</v>
      </c>
      <c r="BE220" t="str">
        <f t="shared" si="272"/>
        <v>линии</v>
      </c>
      <c r="BF220">
        <f>IF(D220="","",IF(BA220&lt;&gt;"",IFERROR(_xlfn.XLOOKUP(BA220,Щиты[Щит],Щиты[Руст, кВт]),0),N(G220)))</f>
        <v>4.625</v>
      </c>
      <c r="BG220">
        <f>IF(J220&lt;&gt;"",J220,IF(D220="","",IFERROR(IF(VLOOKUP(AT220,Потребители_обозначение,8,FALSE)=0,"",VLOOKUP(AT220,Потребители_обозначение,8,FALSE)),"")))</f>
        <v>230</v>
      </c>
      <c r="BH220">
        <f>IF(I220&lt;&gt;"",I220,IF(D220="","",IFERROR(IF(VLOOKUP(AT220,Потребители_обозначение,9,FALSE)=0,"",VLOOKUP(AT220,Потребители_обозначение,9,FALSE)),"")))</f>
        <v>1</v>
      </c>
      <c r="BI220" t="str">
        <f>IF(U220&lt;&gt;"",U220,IF(D220="","",IFERROR(IF(VLOOKUP(AT220,Потребители_обозначение,6,FALSE)=0,"",VLOOKUP(AT220,Потребители_обозначение,6,FALSE)),"")))</f>
        <v>мс</v>
      </c>
      <c r="BJ220">
        <f>IF(V220&lt;&gt;"",V220,IF(D220="","",IFERROR(IF(VLOOKUP(AT220,Потребители_обозначение,7,FALSE)=0,"",VLOOKUP(AT220,Потребители_обозначение,7,FALSE)),"")))</f>
        <v>3</v>
      </c>
      <c r="BK220">
        <f>IF(W220&lt;&gt;"",W220,IF(D220="","",IFERROR(IF(VLOOKUP(AT220,Потребители_обозначение,10,FALSE)=0,"",VLOOKUP(AT220,Потребители_обозначение,10,FALSE)),"")))</f>
        <v>6</v>
      </c>
      <c r="BL220">
        <f>IFERROR(VLOOKUP(AT220,Потребители_обозначение,5,FALSE),0)</f>
        <v>0</v>
      </c>
      <c r="BM220" cm="1">
        <f t="array" ref="BM220">IF(D220="","",IF(BA220&lt;&gt;"",IFERROR(_xlfn.XLOOKUP(BA220,Щиты[Щит],Щиты[cos φ]),0.95),IF(ISNUMBER(M220),M220,IFERROR(IF(BL220=2,_xlfn.IFS(BH220=3,VLOOKUP(BF220,Справочная_двигатели,8,FALSE),BH220=1,VLOOKUP(BF220,Справочная_двигатели,10,TRUE)),IF(AND(Методика="нормы 2026",CN220="Сил"),0.8,0.95)),0.95))))</f>
        <v>0.95</v>
      </c>
      <c r="BN220" cm="1">
        <f t="array" ref="BN220">IF(D220="","",IF(BA220&lt;&gt;"",IFERROR(_xlfn.XLOOKUP(BA220,Щиты[Щит],Щиты[Iр, А]),""),IFERROR(_xlfn.IFS(BH220=1,BF220/((Uн_лин/SQRT(3))*BM220),BH220=3,BF220/(SQRT(3)*Uн_лин*BM220)),"")))</f>
        <v>21.080881539489624</v>
      </c>
      <c r="BO220">
        <f>IF(D220="","",IF(N(X220)=0,IFERROR(VLOOKUP(BN220,Автомат_номиналы,2,TRUE),""),X220))</f>
        <v>25</v>
      </c>
      <c r="BP220">
        <f t="shared" si="273"/>
        <v>1</v>
      </c>
      <c r="BQ220">
        <f>IF(ISNUMBER(Y220),Y220,К_прокл)</f>
        <v>1</v>
      </c>
      <c r="BR220">
        <f t="shared" si="274"/>
        <v>2</v>
      </c>
      <c r="BS220" cm="1">
        <f t="array" ref="BS220">IF(D220="","",IF(N(BK220)&lt;&gt;0,BK220,IFERROR(_xlfn.LET(_xlpm.need,BO220/(BP220*BQ220),_xlpm.t,CHOOSE(BR220,Iдоп_1ж,Iдоп_2ж,Iдоп_3ж),_xlpm.k,_xlfn.XMATCH(_xlpm.need,_xlpm.t,1),IF(ISNA(_xlpm.k),"Не исп",INDEX(Iдоп_S,_xlpm.k))),"Не исп")))</f>
        <v>6</v>
      </c>
      <c r="BT220">
        <f>IFERROR(VLOOKUP(BS220,Кабель_сопротивление,3,FALSE),"")</f>
        <v>2.2499999999999999E-2</v>
      </c>
      <c r="BU220">
        <f>IFERROR(VLOOKUP(BS220,Кабель_сопротивление,2,FALSE),"")</f>
        <v>0.09</v>
      </c>
      <c r="BV220">
        <f t="shared" si="275"/>
        <v>22</v>
      </c>
      <c r="BW220">
        <f>IF(D220="","",IFERROR(IF(VLOOKUP(AT220,Потребители_обозначение,4,FALSE)=1,VLOOKUP(AT220,Потребители_обозначение,3,FALSE)*(H220*2-1)+BV220+VLOOKUP(AV220,Этаж_обозначение,3,FALSE)+VLOOKUP(AV220,Этаж_обозначение,4,FALSE),VLOOKUP(AT220,Потребители_обозначение,3,FALSE)*(H220*2-1)+BV220),BV220))</f>
        <v>22</v>
      </c>
      <c r="BX220">
        <f t="shared" si="276"/>
        <v>8</v>
      </c>
      <c r="BY220" t="str">
        <f t="shared" si="277"/>
        <v/>
      </c>
      <c r="BZ220">
        <f t="shared" si="278"/>
        <v>2</v>
      </c>
      <c r="CA220">
        <f t="shared" si="279"/>
        <v>0.31</v>
      </c>
      <c r="CB220">
        <f t="shared" si="280"/>
        <v>3.330307071492876</v>
      </c>
      <c r="CC220">
        <f>IFERROR(ROUNDUP(CB220/((Uн_лин/SQRT(3))*1000)*100,2),"")</f>
        <v>1.45</v>
      </c>
      <c r="CD220">
        <f>IF(ISNUMBER(CC220),CC220+IFERROR(_xlfn.XLOOKUP(A220,Щиты[Щит],Щиты[ΔU до шин, %]),0),"")</f>
        <v>1.88</v>
      </c>
      <c r="CE220">
        <f>IF(D220="","",IF(IFERROR(VLOOKUP(AT220,УГО_спр,2,FALSE),"")="Светильник",3,4)+IF(Методика="нормы 2026",MIN(0.5,MAX(0,N(BW220)-100)*0.005),0))</f>
        <v>4</v>
      </c>
      <c r="CF220" t="str">
        <f>IFERROR(VLOOKUP(BI220,Кабель_обозначение,2,FALSE),"")</f>
        <v>ВВГнг(А)-LS</v>
      </c>
      <c r="CG220" t="str">
        <f>IFERROR(IF(VLOOKUP(BI220,Кабель_обозначение,3,FALSE)=1,CF220&amp;" ("&amp;BJ220&amp;"х"&amp;BS220&amp;")",CF220),"")</f>
        <v>ВВГнг(А)-LS (3х6)</v>
      </c>
      <c r="CH220" t="str">
        <f t="shared" si="281"/>
        <v>ВВГнг(А)-LS (3х6)
L=22-1,45%</v>
      </c>
      <c r="CI220">
        <f>IFERROR(2*ρкз_Cu*BW220/BS220,"")</f>
        <v>0.19286666666666666</v>
      </c>
      <c r="CJ220">
        <f t="shared" si="282"/>
        <v>6.4166666666666664E-2</v>
      </c>
      <c r="CK220" t="str">
        <f>IFERROR(IF(OR(D220="",NOT(ISNUMBER(BS220)),N(BW220)=0),"",_xlfn.XLOOKUP(A220,Щиты[Щит],Щиты[Zпетли на шинах, Ом])+CI220),"")</f>
        <v/>
      </c>
      <c r="CL220" t="str">
        <f>IF(ISNUMBER(CK220),c_min*(Uн_лин*1000/SQRT(3))/CK220,"")</f>
        <v/>
      </c>
      <c r="CM220" t="str">
        <f>IFERROR(IF(OR(D220="",NOT(ISNUMBER(BS220))),"",1.05*(Uн_лин*1000/SQRT(3))/(_xlfn.XLOOKUP(A220,Щиты[Щит],Щиты[Zmax на шинах, Ом])+CJ220)/1000),"")</f>
        <v/>
      </c>
      <c r="CN220" t="str">
        <f>IF(D220="","",IF(BA220&lt;&gt;"","Щит",IF(K220&lt;&gt;"",K220,IF(ISNUMBER(L220),"Сил",IF(IFERROR(_xlfn.XLOOKUP(AT220,Коды_код,Коды_группа)&amp;"","")="","Быт",_xlfn.XLOOKUP(AT220,Коды_код,Коды_группа)&amp;"")))))</f>
        <v>Пост</v>
      </c>
      <c r="CO220">
        <f>IF(CN220="Щит","щит",IF(CN220="","",IF(CN220="Быт",IFERROR(_xlfn.XLOOKUP(A220,Щиты[Щит],Щиты[Кс быт]),1),IF(CN220="Сил",IF(ISNUMBER(L220),L220,IF(Методика="нормы 2026",IFERROR(_xlfn.XLOOKUP(A220,Щиты[Щит],Щиты[Кс силовых (табл. 7.5)]),1),1)),IF(OR(CN220="Пост",CN220="Отоп"),1,IF(CN220="ВНГ",0.7,0))))))</f>
        <v>1</v>
      </c>
      <c r="CP220">
        <f t="shared" si="283"/>
        <v>1</v>
      </c>
      <c r="CQ220">
        <f t="shared" si="284"/>
        <v>4.625</v>
      </c>
      <c r="CR220">
        <f t="shared" si="285"/>
        <v>0</v>
      </c>
      <c r="CS220">
        <f t="shared" si="286"/>
        <v>0</v>
      </c>
      <c r="CT220">
        <f t="shared" si="287"/>
        <v>4.625</v>
      </c>
      <c r="CU220">
        <f t="shared" si="288"/>
        <v>0</v>
      </c>
      <c r="CV220">
        <f t="shared" si="289"/>
        <v>0</v>
      </c>
      <c r="CW220">
        <f t="shared" si="290"/>
        <v>4.625</v>
      </c>
      <c r="CX220">
        <f t="shared" si="291"/>
        <v>4.3937499999999998</v>
      </c>
      <c r="CY220">
        <f t="shared" si="292"/>
        <v>3</v>
      </c>
      <c r="CZ220" t="str">
        <f t="shared" si="293"/>
        <v>L3</v>
      </c>
      <c r="DA220" cm="1">
        <f t="array" ref="DA220">IFERROR(IF(BL220=2,_xlfn.IFS(BH220=3,VLOOKUP(BF220,Справочная_двигатели,3,FALSE),BH220=1,VLOOKUP(BF220,Справочная_двигатели,5,TRUE)),0),0)</f>
        <v>0</v>
      </c>
      <c r="DB220">
        <f>IFERROR(IF(BL220=3,VLOOKUP(BF220,Справочная_ЛЭД,2,TRUE),0),0)</f>
        <v>0</v>
      </c>
      <c r="DC220">
        <f t="shared" si="294"/>
        <v>0</v>
      </c>
      <c r="DD220" t="str">
        <f t="shared" si="295"/>
        <v>L1</v>
      </c>
      <c r="DE220" t="str" cm="1">
        <f t="array" ref="DE220">IF(D220="","",IFERROR(INDEX({"I особая","I","II","III"},MATCH(TRIM(AA220&amp;""),{"I особая","I","II","III"},0)),"III"))</f>
        <v>II</v>
      </c>
      <c r="DF220" t="str">
        <f>IF(D220="","",IF(TRIM(AB220&amp;"")&lt;&gt;"",IF(LOWER(TRIM(AB220&amp;""))="да","да","нет"),IF(IFERROR(_xlfn.XLOOKUP(AT220,Коды_код,Коды_пожарная),"")="да","да","нет")))</f>
        <v>нет</v>
      </c>
      <c r="DG220" t="str">
        <f t="shared" si="296"/>
        <v/>
      </c>
      <c r="DH220" t="str">
        <f t="shared" si="297"/>
        <v>основная</v>
      </c>
      <c r="DI220">
        <f t="shared" si="298"/>
        <v>1</v>
      </c>
      <c r="DJ220" t="str" cm="1">
        <f t="array" ref="DJ220">IF(D220="","",_xlfn.LET(_xlpm.t,IFERROR(_xlfn.XLOOKUP(1,(Шины[Шина]=DH220)*(((Шины[Щит]=A220)+(Шины[Щит]=""))&gt;0),Шины[Тип]),"")&amp;"",IF(_xlpm.t&lt;&gt;"",_xlpm.t,IF(ISNUMBER(SEARCH("ИБП",DH220)),"ИБП",IF(ISNUMBER(SEARCH("ДГУ",DH220)),"ДГУ","Ввод "&amp;DI220)))))</f>
        <v>Ввод 1</v>
      </c>
      <c r="DK220" t="str">
        <f t="shared" si="299"/>
        <v>Ввод 1</v>
      </c>
      <c r="DL220" t="str">
        <f>IF(D220="","",IF(OR(DJ220="ИБП",DJ220="ДГУ"),"I особая",IF(DJ220="Одиночная","III",_xlfn.XLOOKUP(A220,Щиты[Щит],Щиты[Категория шины «Ввод»],"III"))))</f>
        <v>II</v>
      </c>
      <c r="DM220">
        <f>IF(D220="",0,IFERROR(MATCH(DE220,{"III","II","I","I особая"},0),1))</f>
        <v>2</v>
      </c>
      <c r="DN220">
        <f t="shared" si="300"/>
        <v>2</v>
      </c>
      <c r="DO220" t="str">
        <f>IF(D220="","",IF(DM220&gt;IFERROR(MATCH(DL220,{"III","II","I","I особая"},0),1),"НЕ ОБЕСПЕЧЕНА","ОК"))</f>
        <v>ОК</v>
      </c>
      <c r="DP220" t="str">
        <f>IF(A220="","",_xlfn.XLOOKUP(A220,Щиты[Щит],Щиты[Путь],""))</f>
        <v>|ГРЩ-ЖД|ЩР-01|</v>
      </c>
      <c r="DQ220" t="str">
        <f>IF(D220="","",IF(Z220&lt;&gt;"",Z220,IF(IFERROR(_xlfn.XLOOKUP(AT220,Коды_код,Коды_вид)&amp;"","")="","Прочее",_xlfn.XLOOKUP(AT220,Коды_код,Коды_вид)&amp;"")))</f>
        <v>Слаботочные системы, автоматизация, KNX</v>
      </c>
      <c r="DR220">
        <f>IF(BD220="","",INT((BD220-1)/Столбцов_на_лист)+1)</f>
        <v>4</v>
      </c>
      <c r="DS220" t="str">
        <f t="shared" si="301"/>
        <v>ВВГнг(А)-LS (3х6) L=22-1,45%</v>
      </c>
      <c r="DT220">
        <f t="shared" si="302"/>
        <v>4.625</v>
      </c>
      <c r="DU220">
        <f t="shared" si="303"/>
        <v>21.09</v>
      </c>
      <c r="DV220">
        <f t="shared" si="304"/>
        <v>1</v>
      </c>
      <c r="DW220">
        <f>IF(AT220="",0,_xlfn.LET(_xlpm.v,IFERROR(VLOOKUP(D220,УГО_спр,3,FALSE),IFERROR(VLOOKUP(AT220,УГО_спр,3,FALSE),IFERROR(VLOOKUP(LEFT(AT220,2),УГО_спр,3,FALSE),""))),IF(_xlpm.v="да",30,IF(ISNUMBER(_xlpm.v),_xlpm.v,0))))</f>
        <v>0</v>
      </c>
      <c r="DX220">
        <f t="shared" si="305"/>
        <v>0</v>
      </c>
      <c r="DY220">
        <f>IF(BD220="","",IF(AD220&lt;&gt;"",COUNTIFS(A$3:A220,A220,AD$3:AD220,"?*"),IF(OR(OR(AS220=1,A220&lt;&gt;A219),AL220="вручную"),"",IF(AS220=1,"",DZ219))))</f>
        <v>36</v>
      </c>
      <c r="DZ220">
        <f t="shared" si="306"/>
        <v>36</v>
      </c>
      <c r="EA220">
        <f>IF(D220="",0,MAX(IFERROR(--X220,0),IFERROR(--VLOOKUP(D220,УГО_спр,4,FALSE),IFERROR(--VLOOKUP(AT220,УГО_спр,4,FALSE),IFERROR(--VLOOKUP(LEFT(AT220,2),УГО_спр,4,FALSE),0)))))</f>
        <v>25</v>
      </c>
      <c r="EB220">
        <f>IF(D220="","",IFERROR(LOOKUP(INDEX(CHOOSE(BR220,Iдоп_1ж,Iдоп_2ж,Iдоп_3ж),MATCH(BS220,Iдоп_S,0))*BP220*BQ220,{6,10,16,20,25,32,40,50,63,80,100,125,160,200,250,315,400,500,630}),""))</f>
        <v>50</v>
      </c>
      <c r="EC220">
        <f>IF(AD220="","",SUMIFS(Линии[_Ток схемы],Линии[_гр.],DY220,Линии[Щит],A220,Линии[_в кабель выше],0))</f>
        <v>21.09</v>
      </c>
      <c r="ED220">
        <f>IF(AD220="","",IFERROR(VLOOKUP(EC220,Автомат_номиналы,2,TRUE),""))</f>
        <v>25</v>
      </c>
      <c r="EE220">
        <f>IF(AD220="","",MAX(N(ED220),_xlfn.MAXIFS(Линии[_мин. по типу],Линии[_гр.],DY220,Линии[Щит],A220)))</f>
        <v>25</v>
      </c>
      <c r="EF220">
        <f>IF(AD220="","",_xlfn.MINIFS(Линии[_макс. автомат по кабелю],Линии[_гр.],DY220,Линии[Щит],A220))</f>
        <v>50</v>
      </c>
      <c r="EG220">
        <f>IF(AD220="","",MAX(1,_xlfn.MAXIFS(Линии[_фаз],Линии[_гр.],DY220,Линии[Щит],A220)))</f>
        <v>1</v>
      </c>
      <c r="EH220">
        <f>IF(AD220="","",IF(AND(AD220&lt;&gt;"авто",AD220&lt;&gt;"+"),IF(ISNUMBER(SEARCH("мА",AD220)),IFERROR(--TRIM(RIGHT(SUBSTITUTE(LEFT(AD220,SEARCH("мА",AD220)-1)," ",REPT(" ",9)),6)),30),0),IF(AE220="нет",0,IF(ISNUMBER(AE220),AE220,IF(AE220="да",30,_xlfn.MINIFS(Линии[_дифзащита по коду, мА],Линии[_гр.],DY220,Линии[Щит],A220,Линии[_дифзащита по коду, мА],"&gt;0"))))))</f>
        <v>0</v>
      </c>
      <c r="EI220">
        <f t="shared" si="307"/>
        <v>0</v>
      </c>
      <c r="EJ220" t="str">
        <f t="shared" si="308"/>
        <v>QF36</v>
      </c>
      <c r="EK220" t="str">
        <f t="shared" si="309"/>
        <v>QF36</v>
      </c>
      <c r="EL220" t="str">
        <f t="shared" si="310"/>
        <v/>
      </c>
      <c r="EM220">
        <f t="shared" si="311"/>
        <v>0</v>
      </c>
      <c r="EN220">
        <f>IF(AD220="","",IF(EM220=1,MAX(EE220,Мин_автомат_БП),EE220))</f>
        <v>25</v>
      </c>
      <c r="EO220" t="str">
        <f t="shared" si="312"/>
        <v>1P</v>
      </c>
      <c r="EP220" t="str">
        <f t="shared" si="313"/>
        <v>1P С25А</v>
      </c>
      <c r="EQ220">
        <f t="shared" si="314"/>
        <v>25</v>
      </c>
      <c r="ER220" t="str">
        <f>IF(OR(AI220="",AI220="-"),"",IFERROR(VLOOKUP(AI220,Модули_спр,2,FALSE),"R"))</f>
        <v/>
      </c>
      <c r="ES220" t="str">
        <f>IF(ER220="","",ER220&amp;"."&amp;COUNTIFS(A$3:A220,A220,ER$3:ER220,ER220))</f>
        <v/>
      </c>
      <c r="ET220" t="str">
        <f t="shared" si="315"/>
        <v/>
      </c>
      <c r="EU220" t="str">
        <f t="shared" si="316"/>
        <v/>
      </c>
      <c r="EV220" t="str">
        <f t="shared" si="317"/>
        <v/>
      </c>
      <c r="EW220" t="str">
        <f t="shared" si="318"/>
        <v/>
      </c>
      <c r="EX220">
        <f t="shared" si="319"/>
        <v>1</v>
      </c>
      <c r="EY220" t="str">
        <f>IF(AK220="нет","",IF(AK220&lt;&gt;"",AK220,IF(EX220=1,"XT"&amp;COUNTIFS(A$3:A220,A220,EX$3:EX220,1),"")))</f>
        <v>XT36</v>
      </c>
      <c r="EZ220" t="str">
        <f t="shared" si="320"/>
        <v>QF36</v>
      </c>
      <c r="FA220" t="str">
        <f t="shared" si="321"/>
        <v/>
      </c>
      <c r="FB220" t="str">
        <f t="shared" si="322"/>
        <v>ok</v>
      </c>
      <c r="FC220" t="str">
        <f>IF(OR(EV220="",ET220=""),"",IF(EV220&gt;IFERROR(VLOOKUP(EU220,Модули_спр,3,FALSE),99),"ЛИШНИЙ КАНАЛ",IF(AND(AJ220&lt;&gt;"=",COUNTIFS(Линии[_модуль гр.],ET220,Линии[Канал (итог)],EV220,Линии[Канал],"&lt;&gt;=",Линии[Щит],A220)&gt;1),"ДУБЛЬ КАНАЛА","")))</f>
        <v/>
      </c>
      <c r="FD220">
        <f t="shared" si="323"/>
        <v>25</v>
      </c>
      <c r="FE220" t="str">
        <f t="shared" si="324"/>
        <v>1P С25А</v>
      </c>
      <c r="FF220">
        <f t="shared" si="325"/>
        <v>0</v>
      </c>
      <c r="FG220">
        <f t="shared" si="326"/>
        <v>0</v>
      </c>
      <c r="FH220" t="str">
        <f t="shared" si="327"/>
        <v/>
      </c>
      <c r="FI220">
        <f t="shared" si="328"/>
        <v>10</v>
      </c>
      <c r="FJ220" t="str">
        <f t="shared" si="329"/>
        <v/>
      </c>
      <c r="FK220" t="str">
        <f>IF(AND(D220="",EZ220=""),"",_xlfn.TEXTJOIN("; ",TRUE,IF(AND(D220&lt;&gt;"",DD220=""),"нет фазы",""),IF(AND(D220&lt;&gt;"",N(DT220)=0,CN220&lt;&gt;"Нет"),"нет мощности",""),IF(AND(EY220&lt;&gt;"",COUNTIFS(Линии[Щит],A220,Линии[Клемма (итог)],EY220)&gt;1),"дубль клеммы "&amp;EY220,""),IF(AND(FB220&lt;&gt;"",FB220&lt;&gt;"ok"),FB220,""),IF(FC220&lt;&gt;"",FC220,""),IF(AND(ISNUMBER(SEARCH("(5х",DS220)),N(DV220)=1),"5 жил на 1 фазе",""),IF(AND(AT220="R",AD220&lt;&gt;"",OR(N(EH220)=0,N(EH220)&gt;30)),"розетка без дифзащиты до 30 мА",""),IFERROR(IF(AND(ISNUMBER(CD220),CD220&gt;CE220),"потери "&amp;FIXED(CD220,1)&amp;" % &gt; "&amp;CE220&amp;" %",""),""),IFERROR(IF(LEFT(FJ220,4)="мало","Iкз мало — отключение &gt; 0,4 с",""),""),IF(AND(D220&lt;&gt;"",BD220=""),"не на схеме","")))</f>
        <v/>
      </c>
      <c r="FL220" t="str">
        <f>IF(AD220="","",_xlfn.LET(_xlpm.t,IFERROR(_xlfn.XLOOKUP(EP220,Каталог!$U$4:$U$500,Каталог!$G$4:$G$500),""),_xlpm.k,SEARCH("кА",_xlpm.t),IFERROR(--TRIM(RIGHT(SUBSTITUTE(MID(_xlpm.t,MAX(1,_xlpm.k-4),_xlpm.k-MAX(1,_xlpm.k-4))," ",REPT(" ",9)),5)),"")))</f>
        <v/>
      </c>
      <c r="FM220" t="str">
        <f>IF(OR(FL220="",AD220=""),"",IF(_xlfn.XLOOKUP(A220,Щиты[Щит],Щиты[Iкз max на шинах, кА],"")="","",IF(FL220&lt;_xlfn.XLOOKUP(A220,Щиты[Щит],Щиты[Iкз max на шинах, кА]),"Icu "&amp;FL220&amp;" кА &lt; Iкз max","ok")))</f>
        <v/>
      </c>
      <c r="FN220" t="str">
        <f t="shared" si="330"/>
        <v>QF36|XT36</v>
      </c>
      <c r="FO220" t="str">
        <f t="shared" si="331"/>
        <v>QF36|XT36|кабель ВВГнг(А)-LS (3х6) → Шкаф телекоммуникационный ШТК-2 Цокольный этаж Пом. №002Т</v>
      </c>
      <c r="FP220" t="str" cm="1">
        <f t="array" ref="FP220">IF(FO220="","",_xlfn.LET(_xlpm.nd,_xlfn.TEXTSPLIT(FO220,"|"),IF(COLUMNS(_xlpm.nd)&gt;1,A220&amp;"¦"&amp;INDEX(_xlpm.nd,1)&amp;"¦"&amp;INDEX(_xlpm.nd,2),"")))</f>
        <v>ЩР-01¦QF36¦XT36</v>
      </c>
      <c r="FQ220" t="str">
        <f t="shared" si="332"/>
        <v>ШТК-1¦Шкаф телекоммуникационный ШТК-2 Цокольный этаж Пом. №002Т</v>
      </c>
      <c r="FR220" t="str" cm="1">
        <f t="array" ref="FR220">IF(FO220="","",_xlfn.LET(_xlpm.nd,_xlfn.TEXTSPLIT(FO220,"|"),IF(COLUMNS(_xlpm.nd)&gt;2,A220&amp;"¦"&amp;INDEX(_xlpm.nd,2)&amp;"¦"&amp;INDEX(_xlpm.nd,3),"")))</f>
        <v>ЩР-01¦XT36¦кабель ВВГнг(А)-LS (3х6) → Шкаф телекоммуникационный ШТК-2 Цокольный этаж Пом. №002Т</v>
      </c>
      <c r="FS220" t="str">
        <f t="shared" si="333"/>
        <v>ШТК-1¦Шкаф телекоммуникационный ШТК-2 Цокольный этаж Пом. №002Т</v>
      </c>
      <c r="FT220" t="str" cm="1">
        <f t="array" ref="FT220">IF(FO220="","",_xlfn.LET(_xlpm.nd,_xlfn.TEXTSPLIT(FO220,"|"),IF(COLUMNS(_xlpm.nd)&gt;3,A220&amp;"¦"&amp;INDEX(_xlpm.nd,3)&amp;"¦"&amp;INDEX(_xlpm.nd,4),"")))</f>
        <v/>
      </c>
      <c r="FU220" t="str">
        <f t="shared" si="334"/>
        <v/>
      </c>
      <c r="FV220" t="str" cm="1">
        <f t="array" ref="FV220">IF(FO220="","",_xlfn.LET(_xlpm.nd,_xlfn.TEXTSPLIT(FO220,"|"),IF(COLUMNS(_xlpm.nd)&gt;4,A220&amp;"¦"&amp;INDEX(_xlpm.nd,4)&amp;"¦"&amp;INDEX(_xlpm.nd,5),"")))</f>
        <v/>
      </c>
      <c r="FW220" t="str">
        <f t="shared" si="335"/>
        <v/>
      </c>
      <c r="FX220" t="str" cm="1">
        <f t="array" ref="FX220">IF(FO220="","",_xlfn.LET(_xlpm.nd,_xlfn.TEXTSPLIT(FO220,"|"),IF(COLUMNS(_xlpm.nd)&gt;5,A220&amp;"¦"&amp;INDEX(_xlpm.nd,5)&amp;"¦"&amp;INDEX(_xlpm.nd,6),"")))</f>
        <v/>
      </c>
      <c r="FY220" t="str">
        <f t="shared" si="336"/>
        <v/>
      </c>
      <c r="FZ220" t="str" cm="1">
        <f t="array" ref="FZ220">IF(FO220="","",_xlfn.LET(_xlpm.nd,_xlfn.TEXTSPLIT(FO220,"|"),IF(COLUMNS(_xlpm.nd)&gt;6,A220&amp;"¦"&amp;INDEX(_xlpm.nd,6)&amp;"¦"&amp;INDEX(_xlpm.nd,7),"")))</f>
        <v/>
      </c>
      <c r="GA220" t="str">
        <f t="shared" si="337"/>
        <v/>
      </c>
      <c r="GB220" t="str">
        <f t="shared" si="338"/>
        <v/>
      </c>
      <c r="GC220" t="str">
        <f t="shared" si="339"/>
        <v>QF36 → XT36</v>
      </c>
      <c r="GD220">
        <f t="shared" si="340"/>
        <v>1</v>
      </c>
      <c r="GE220">
        <f t="shared" si="341"/>
        <v>0</v>
      </c>
      <c r="GF220">
        <f t="shared" si="342"/>
        <v>0</v>
      </c>
      <c r="GG220" t="str">
        <f t="shared" si="343"/>
        <v/>
      </c>
      <c r="GH220" t="str">
        <f t="shared" si="344"/>
        <v/>
      </c>
      <c r="GI220" t="str">
        <f t="shared" si="345"/>
        <v/>
      </c>
      <c r="GJ220" t="str">
        <f t="shared" si="346"/>
        <v/>
      </c>
      <c r="GK220" t="str">
        <f>IF(D220="","",IFERROR(VLOOKUP(D220,УГО_спр,2,FALSE),IFERROR(VLOOKUP(AT220,УГО_спр,2,FALSE),IFERROR(VLOOKUP(LEFT(AT220,2),УГО_спр,2,FALSE),""))))</f>
        <v/>
      </c>
      <c r="GL220" t="str">
        <f>IF(D220="","",IF(OR(GK220="",GK220=0),"BOX",IFERROR(IF(VLOOKUP(GK220,УГО_блоки,3,FALSE)&amp;""&lt;&gt;"",VLOOKUP(GK220,УГО_блоки,3,FALSE),VLOOKUP(GK220,УГО_блоки,2,FALSE)),GK220)))</f>
        <v>BOX</v>
      </c>
      <c r="GM220">
        <f t="shared" si="347"/>
        <v>1</v>
      </c>
      <c r="GN220">
        <f>IF(EP220="","",IF(COUNTIF(EP$3:EP220,EP220)=1,MAX(GN$2:GN219)+1,""))</f>
        <v>10</v>
      </c>
      <c r="GO220" t="str">
        <f>IF(AF220="","",IF(COUNTIF(AF$3:AF220,AF220)+COUNTIF(AG$2:AG219,AF220)+COUNTIF(AH$2:AH219,AF220)=1,MAX(GO$2:GQ219)+1,""))</f>
        <v/>
      </c>
      <c r="GP220" t="str">
        <f>IF(AG220="","",IF(COUNTIF(AF$3:AF220,AG220)+COUNTIF(AG$3:AG220,AG220)+COUNTIF(AH$2:AH219,AG220)=1,MAX(GO$2:GQ219,GO220)+1,""))</f>
        <v/>
      </c>
      <c r="GQ220" t="str">
        <f>IF(AH220="","",IF(COUNTIF(AF$3:AF220,AH220)+COUNTIF(AG$3:AG220,AH220)+COUNTIF(AH$3:AH220,AH220)=1,MAX(GO$2:GQ219,GO220,GP220)+1,""))</f>
        <v/>
      </c>
      <c r="GR220" t="str">
        <f t="shared" si="348"/>
        <v>3х6</v>
      </c>
      <c r="GS220" t="str">
        <f>IF(GR220="","",IF(COUNTIF(GR$3:GR220,GR220)=1,MAX(GS$2:GS219)+1,""))</f>
        <v/>
      </c>
      <c r="GT220" t="str">
        <f>IF(ES220="","",COUNTIF(ES$3:ES220,"?*"))</f>
        <v/>
      </c>
      <c r="GU220" t="str">
        <f>IF(OR(ES220="",EU220=""),"",IF(COUNTIFS(ES$3:ES220,"?*",EU$3:EU220,EU220)=1,MAX(GU$2:GU219)+1,""))</f>
        <v/>
      </c>
      <c r="GV220">
        <f t="shared" si="349"/>
        <v>0</v>
      </c>
      <c r="GW220">
        <f>IF(D220="","",COUNTIF(D$3:D220,"?*"))</f>
        <v>218</v>
      </c>
      <c r="GX220">
        <f>IF(EX220&lt;&gt;1,0,_xlfn.LET(_xlpm.k,MAX(IFERROR(--VLOOKUP(D220,УГО_спр,5,FALSE),0),IFERROR(--VLOOKUP(AT220,УГО_спр,5,FALSE),0),IFERROR(--VLOOKUP(LEFT(AT220,2),УГО_спр,5,FALSE),0)),IF(_xlpm.k&gt;0,_xlpm.k,IF(IFERROR(--LEFT(SUBSTITUTE(GR220,"x","х"),FIND("х",SUBSTITUTE(GR220,"x","х"))-1),3)&gt;3,Каталог!$S$9,1))))</f>
        <v>1</v>
      </c>
      <c r="GY220">
        <f t="shared" si="350"/>
        <v>0</v>
      </c>
    </row>
    <row r="221" spans="1:207" x14ac:dyDescent="0.3">
      <c r="A221" t="s">
        <v>760</v>
      </c>
      <c r="B221">
        <v>54</v>
      </c>
      <c r="C221" t="str">
        <f>IF(BD221="","",IF(BE221="вводной узел","узел ","")&amp;"л."&amp;(INT((BD221-1)/Столбцов_на_лист)+1)&amp;" / "&amp;(MOD(BD221-1,Столбцов_на_лист)+1))</f>
        <v>л.4 / 3</v>
      </c>
      <c r="D221" t="s">
        <v>1535</v>
      </c>
      <c r="E221" s="133" t="s">
        <v>1536</v>
      </c>
      <c r="G221">
        <v>2.7</v>
      </c>
      <c r="H221">
        <v>1</v>
      </c>
      <c r="I221">
        <v>1</v>
      </c>
      <c r="J221">
        <v>230</v>
      </c>
      <c r="K221" t="s">
        <v>577</v>
      </c>
      <c r="O221">
        <v>2</v>
      </c>
      <c r="P221">
        <v>22</v>
      </c>
      <c r="Q221">
        <v>6</v>
      </c>
      <c r="R221">
        <v>8</v>
      </c>
      <c r="U221" t="s">
        <v>11</v>
      </c>
      <c r="V221">
        <v>3</v>
      </c>
      <c r="W221">
        <v>2.5</v>
      </c>
      <c r="X221">
        <v>16</v>
      </c>
      <c r="Z221" t="s">
        <v>576</v>
      </c>
      <c r="AA221" t="s">
        <v>818</v>
      </c>
      <c r="AD221" t="s">
        <v>517</v>
      </c>
      <c r="AR221" t="str">
        <f t="shared" si="264"/>
        <v/>
      </c>
      <c r="AS221" cm="1">
        <f t="array" ref="AS221">ROW()-ROW(Линии[#Headers])</f>
        <v>219</v>
      </c>
      <c r="AT221" t="str">
        <f t="shared" si="265"/>
        <v>ШТК-СОТ</v>
      </c>
      <c r="AU221" t="str">
        <f t="shared" si="266"/>
        <v>0</v>
      </c>
      <c r="AV221" t="str">
        <f t="shared" si="267"/>
        <v>0</v>
      </c>
      <c r="AW221" t="str">
        <f t="shared" si="268"/>
        <v/>
      </c>
      <c r="AX221" t="str">
        <f t="shared" si="269"/>
        <v/>
      </c>
      <c r="AY221" t="str">
        <f>IF(D221="","",IF(ISERROR(SEARCH(".",D221)),IFERROR(VLOOKUP(D221,Потребители_обозначение,2,FALSE)&amp;"",""),IFERROR(IF(VLOOKUP(AT221,Потребители_обозначение,4,FALSE)=1,VLOOKUP(AT221,Потребители_обозначение,2,FALSE)&amp;" "&amp;VLOOKUP(AV221,Этаж_обозначение,2,FALSE)&amp;" Пом. №"&amp;AX221,VLOOKUP(AT221,Потребители_обозначение,2,FALSE)&amp;" Шлейф №"&amp;AV221),IFERROR(VLOOKUP(D221,Потребители_обозначение,2,FALSE),""))))</f>
        <v>Шкаф телекоммуникационный СОТ Шлейф №0</v>
      </c>
      <c r="AZ221" t="str">
        <f t="shared" si="270"/>
        <v>Шкаф телекоммуникационный ШТК-СОТ.0 Цокольный этаж Пом. №002Т</v>
      </c>
      <c r="BA221" t="str">
        <f>IF(F221&lt;&gt;"",F221,IF(AND(D221&lt;&gt;"",D221&lt;&gt;A221,ISNUMBER(_xlfn.XMATCH(D221,Щиты[Щит]))),D221,""))</f>
        <v/>
      </c>
      <c r="BB221">
        <f>IFERROR(_xlfn.XMATCH(A221,Щиты[Щит]),0)</f>
        <v>9</v>
      </c>
      <c r="BC221">
        <f>IFERROR(N(_xlfn.XLOOKUP(A221,Щиты[Щит],Щиты[Мест под вводной узел])),15)</f>
        <v>8</v>
      </c>
      <c r="BD221">
        <f t="shared" si="271"/>
        <v>54</v>
      </c>
      <c r="BE221" t="str">
        <f t="shared" si="272"/>
        <v>линии</v>
      </c>
      <c r="BF221">
        <f>IF(D221="","",IF(BA221&lt;&gt;"",IFERROR(_xlfn.XLOOKUP(BA221,Щиты[Щит],Щиты[Руст, кВт]),0),N(G221)))</f>
        <v>2.7</v>
      </c>
      <c r="BG221">
        <f>IF(J221&lt;&gt;"",J221,IF(D221="","",IFERROR(IF(VLOOKUP(AT221,Потребители_обозначение,8,FALSE)=0,"",VLOOKUP(AT221,Потребители_обозначение,8,FALSE)),"")))</f>
        <v>230</v>
      </c>
      <c r="BH221">
        <f>IF(I221&lt;&gt;"",I221,IF(D221="","",IFERROR(IF(VLOOKUP(AT221,Потребители_обозначение,9,FALSE)=0,"",VLOOKUP(AT221,Потребители_обозначение,9,FALSE)),"")))</f>
        <v>1</v>
      </c>
      <c r="BI221" t="str">
        <f>IF(U221&lt;&gt;"",U221,IF(D221="","",IFERROR(IF(VLOOKUP(AT221,Потребители_обозначение,6,FALSE)=0,"",VLOOKUP(AT221,Потребители_обозначение,6,FALSE)),"")))</f>
        <v>мс</v>
      </c>
      <c r="BJ221">
        <f>IF(V221&lt;&gt;"",V221,IF(D221="","",IFERROR(IF(VLOOKUP(AT221,Потребители_обозначение,7,FALSE)=0,"",VLOOKUP(AT221,Потребители_обозначение,7,FALSE)),"")))</f>
        <v>3</v>
      </c>
      <c r="BK221">
        <f>IF(W221&lt;&gt;"",W221,IF(D221="","",IFERROR(IF(VLOOKUP(AT221,Потребители_обозначение,10,FALSE)=0,"",VLOOKUP(AT221,Потребители_обозначение,10,FALSE)),"")))</f>
        <v>2.5</v>
      </c>
      <c r="BL221">
        <f>IFERROR(VLOOKUP(AT221,Потребители_обозначение,5,FALSE),0)</f>
        <v>1</v>
      </c>
      <c r="BM221" cm="1">
        <f t="array" ref="BM221">IF(D221="","",IF(BA221&lt;&gt;"",IFERROR(_xlfn.XLOOKUP(BA221,Щиты[Щит],Щиты[cos φ]),0.95),IF(ISNUMBER(M221),M221,IFERROR(IF(BL221=2,_xlfn.IFS(BH221=3,VLOOKUP(BF221,Справочная_двигатели,8,FALSE),BH221=1,VLOOKUP(BF221,Справочная_двигатели,10,TRUE)),IF(AND(Методика="нормы 2026",CN221="Сил"),0.8,0.95)),0.95))))</f>
        <v>0.95</v>
      </c>
      <c r="BN221" cm="1">
        <f t="array" ref="BN221">IF(D221="","",IF(BA221&lt;&gt;"",IFERROR(_xlfn.XLOOKUP(BA221,Щиты[Щит],Щиты[Iр, А]),""),IFERROR(_xlfn.IFS(BH221=1,BF221/((Uн_лин/SQRT(3))*BM221),BH221=3,BF221/(SQRT(3)*Uн_лин*BM221)),"")))</f>
        <v>12.306676790620971</v>
      </c>
      <c r="BO221">
        <f>IF(D221="","",IF(N(X221)=0,IFERROR(VLOOKUP(BN221,Автомат_номиналы,2,TRUE),""),X221))</f>
        <v>16</v>
      </c>
      <c r="BP221">
        <f t="shared" si="273"/>
        <v>1</v>
      </c>
      <c r="BQ221">
        <f>IF(ISNUMBER(Y221),Y221,К_прокл)</f>
        <v>1</v>
      </c>
      <c r="BR221">
        <f t="shared" si="274"/>
        <v>2</v>
      </c>
      <c r="BS221" cm="1">
        <f t="array" ref="BS221">IF(D221="","",IF(N(BK221)&lt;&gt;0,BK221,IFERROR(_xlfn.LET(_xlpm.need,BO221/(BP221*BQ221),_xlpm.t,CHOOSE(BR221,Iдоп_1ж,Iдоп_2ж,Iдоп_3ж),_xlpm.k,_xlfn.XMATCH(_xlpm.need,_xlpm.t,1),IF(ISNA(_xlpm.k),"Не исп",INDEX(Iдоп_S,_xlpm.k))),"Не исп")))</f>
        <v>2.5</v>
      </c>
      <c r="BT221">
        <f>IFERROR(VLOOKUP(BS221,Кабель_сопротивление,3,FALSE),"")</f>
        <v>2.2499999999999999E-2</v>
      </c>
      <c r="BU221">
        <f>IFERROR(VLOOKUP(BS221,Кабель_сопротивление,2,FALSE),"")</f>
        <v>0.1</v>
      </c>
      <c r="BV221">
        <f t="shared" si="275"/>
        <v>22</v>
      </c>
      <c r="BW221">
        <f>IF(D221="","",IFERROR(IF(VLOOKUP(AT221,Потребители_обозначение,4,FALSE)=1,VLOOKUP(AT221,Потребители_обозначение,3,FALSE)*(H221*2-1)+BV221+VLOOKUP(AV221,Этаж_обозначение,3,FALSE)+VLOOKUP(AV221,Этаж_обозначение,4,FALSE),VLOOKUP(AT221,Потребители_обозначение,3,FALSE)*(H221*2-1)+BV221),BV221))</f>
        <v>25</v>
      </c>
      <c r="BX221">
        <f t="shared" si="276"/>
        <v>8</v>
      </c>
      <c r="BY221" t="str">
        <f t="shared" si="277"/>
        <v/>
      </c>
      <c r="BZ221">
        <f t="shared" si="278"/>
        <v>2</v>
      </c>
      <c r="CA221">
        <f t="shared" si="279"/>
        <v>0.31</v>
      </c>
      <c r="CB221">
        <f t="shared" si="280"/>
        <v>5.2801796770159273</v>
      </c>
      <c r="CC221">
        <f>IFERROR(ROUNDUP(CB221/((Uн_лин/SQRT(3))*1000)*100,2),"")</f>
        <v>2.2899999999999996</v>
      </c>
      <c r="CD221">
        <f>IF(ISNUMBER(CC221),CC221+IFERROR(_xlfn.XLOOKUP(A221,Щиты[Щит],Щиты[ΔU до шин, %]),0),"")</f>
        <v>2.7199999999999998</v>
      </c>
      <c r="CE221">
        <f>IF(D221="","",IF(IFERROR(VLOOKUP(AT221,УГО_спр,2,FALSE),"")="Светильник",3,4)+IF(Методика="нормы 2026",MIN(0.5,MAX(0,N(BW221)-100)*0.005),0))</f>
        <v>4</v>
      </c>
      <c r="CF221" t="str">
        <f>IFERROR(VLOOKUP(BI221,Кабель_обозначение,2,FALSE),"")</f>
        <v>ВВГнг(А)-LS</v>
      </c>
      <c r="CG221" t="str">
        <f>IFERROR(IF(VLOOKUP(BI221,Кабель_обозначение,3,FALSE)=1,CF221&amp;" ("&amp;BJ221&amp;"х"&amp;BS221&amp;")",CF221),"")</f>
        <v>ВВГнг(А)-LS (3х2,5)</v>
      </c>
      <c r="CH221" t="str">
        <f t="shared" si="281"/>
        <v>ВВГнг(А)-LS (3х2,5)
L=25-2,29%</v>
      </c>
      <c r="CI221">
        <f>IFERROR(2*ρкз_Cu*BW221/BS221,"")</f>
        <v>0.52600000000000002</v>
      </c>
      <c r="CJ221">
        <f t="shared" si="282"/>
        <v>0.17500000000000002</v>
      </c>
      <c r="CK221" t="str">
        <f>IFERROR(IF(OR(D221="",NOT(ISNUMBER(BS221)),N(BW221)=0),"",_xlfn.XLOOKUP(A221,Щиты[Щит],Щиты[Zпетли на шинах, Ом])+CI221),"")</f>
        <v/>
      </c>
      <c r="CL221" t="str">
        <f>IF(ISNUMBER(CK221),c_min*(Uн_лин*1000/SQRT(3))/CK221,"")</f>
        <v/>
      </c>
      <c r="CM221" t="str">
        <f>IFERROR(IF(OR(D221="",NOT(ISNUMBER(BS221))),"",1.05*(Uн_лин*1000/SQRT(3))/(_xlfn.XLOOKUP(A221,Щиты[Щит],Щиты[Zmax на шинах, Ом])+CJ221)/1000),"")</f>
        <v/>
      </c>
      <c r="CN221" t="str">
        <f>IF(D221="","",IF(BA221&lt;&gt;"","Щит",IF(K221&lt;&gt;"",K221,IF(ISNUMBER(L221),"Сил",IF(IFERROR(_xlfn.XLOOKUP(AT221,Коды_код,Коды_группа)&amp;"","")="","Быт",_xlfn.XLOOKUP(AT221,Коды_код,Коды_группа)&amp;"")))))</f>
        <v>Пост</v>
      </c>
      <c r="CO221">
        <f>IF(CN221="Щит","щит",IF(CN221="","",IF(CN221="Быт",IFERROR(_xlfn.XLOOKUP(A221,Щиты[Щит],Щиты[Кс быт]),1),IF(CN221="Сил",IF(ISNUMBER(L221),L221,IF(Методика="нормы 2026",IFERROR(_xlfn.XLOOKUP(A221,Щиты[Щит],Щиты[Кс силовых (табл. 7.5)]),1),1)),IF(OR(CN221="Пост",CN221="Отоп"),1,IF(CN221="ВНГ",0.7,0))))))</f>
        <v>1</v>
      </c>
      <c r="CP221">
        <f t="shared" si="283"/>
        <v>1</v>
      </c>
      <c r="CQ221">
        <f t="shared" si="284"/>
        <v>2.7</v>
      </c>
      <c r="CR221">
        <f t="shared" si="285"/>
        <v>0</v>
      </c>
      <c r="CS221">
        <f t="shared" si="286"/>
        <v>0</v>
      </c>
      <c r="CT221">
        <f t="shared" si="287"/>
        <v>2.7</v>
      </c>
      <c r="CU221">
        <f t="shared" si="288"/>
        <v>0</v>
      </c>
      <c r="CV221">
        <f t="shared" si="289"/>
        <v>0</v>
      </c>
      <c r="CW221">
        <f t="shared" si="290"/>
        <v>2.7</v>
      </c>
      <c r="CX221">
        <f t="shared" si="291"/>
        <v>2.5649999999999999</v>
      </c>
      <c r="CY221">
        <f t="shared" si="292"/>
        <v>1</v>
      </c>
      <c r="CZ221" t="str">
        <f t="shared" si="293"/>
        <v>L1</v>
      </c>
      <c r="DA221" cm="1">
        <f t="array" ref="DA221">IFERROR(IF(BL221=2,_xlfn.IFS(BH221=3,VLOOKUP(BF221,Справочная_двигатели,3,FALSE),BH221=1,VLOOKUP(BF221,Справочная_двигатели,5,TRUE)),0),0)</f>
        <v>0</v>
      </c>
      <c r="DB221">
        <f>IFERROR(IF(BL221=3,VLOOKUP(BF221,Справочная_ЛЭД,2,TRUE),0),0)</f>
        <v>0</v>
      </c>
      <c r="DC221">
        <f t="shared" si="294"/>
        <v>0</v>
      </c>
      <c r="DD221" t="str">
        <f t="shared" si="295"/>
        <v>L2</v>
      </c>
      <c r="DE221" t="str" cm="1">
        <f t="array" ref="DE221">IF(D221="","",IFERROR(INDEX({"I особая","I","II","III"},MATCH(TRIM(AA221&amp;""),{"I особая","I","II","III"},0)),"III"))</f>
        <v>II</v>
      </c>
      <c r="DF221" t="str">
        <f>IF(D221="","",IF(TRIM(AB221&amp;"")&lt;&gt;"",IF(LOWER(TRIM(AB221&amp;""))="да","да","нет"),IF(IFERROR(_xlfn.XLOOKUP(AT221,Коды_код,Коды_пожарная),"")="да","да","нет")))</f>
        <v>нет</v>
      </c>
      <c r="DG221" t="str">
        <f t="shared" si="296"/>
        <v/>
      </c>
      <c r="DH221" t="str">
        <f t="shared" si="297"/>
        <v>основная</v>
      </c>
      <c r="DI221">
        <f t="shared" si="298"/>
        <v>1</v>
      </c>
      <c r="DJ221" t="str" cm="1">
        <f t="array" ref="DJ221">IF(D221="","",_xlfn.LET(_xlpm.t,IFERROR(_xlfn.XLOOKUP(1,(Шины[Шина]=DH221)*(((Шины[Щит]=A221)+(Шины[Щит]=""))&gt;0),Шины[Тип]),"")&amp;"",IF(_xlpm.t&lt;&gt;"",_xlpm.t,IF(ISNUMBER(SEARCH("ИБП",DH221)),"ИБП",IF(ISNUMBER(SEARCH("ДГУ",DH221)),"ДГУ","Ввод "&amp;DI221)))))</f>
        <v>Ввод 1</v>
      </c>
      <c r="DK221" t="str">
        <f t="shared" si="299"/>
        <v>Ввод 1</v>
      </c>
      <c r="DL221" t="str">
        <f>IF(D221="","",IF(OR(DJ221="ИБП",DJ221="ДГУ"),"I особая",IF(DJ221="Одиночная","III",_xlfn.XLOOKUP(A221,Щиты[Щит],Щиты[Категория шины «Ввод»],"III"))))</f>
        <v>II</v>
      </c>
      <c r="DM221">
        <f>IF(D221="",0,IFERROR(MATCH(DE221,{"III","II","I","I особая"},0),1))</f>
        <v>2</v>
      </c>
      <c r="DN221">
        <f t="shared" si="300"/>
        <v>2</v>
      </c>
      <c r="DO221" t="str">
        <f>IF(D221="","",IF(DM221&gt;IFERROR(MATCH(DL221,{"III","II","I","I особая"},0),1),"НЕ ОБЕСПЕЧЕНА","ОК"))</f>
        <v>ОК</v>
      </c>
      <c r="DP221" t="str">
        <f>IF(A221="","",_xlfn.XLOOKUP(A221,Щиты[Щит],Щиты[Путь],""))</f>
        <v>|ГРЩ-ЖД|ЩР-01|</v>
      </c>
      <c r="DQ221" t="str">
        <f>IF(D221="","",IF(Z221&lt;&gt;"",Z221,IF(IFERROR(_xlfn.XLOOKUP(AT221,Коды_код,Коды_вид)&amp;"","")="","Прочее",_xlfn.XLOOKUP(AT221,Коды_код,Коды_вид)&amp;"")))</f>
        <v>Слаботочные системы, автоматизация, KNX</v>
      </c>
      <c r="DR221">
        <f>IF(BD221="","",INT((BD221-1)/Столбцов_на_лист)+1)</f>
        <v>4</v>
      </c>
      <c r="DS221" t="str">
        <f t="shared" si="301"/>
        <v>ВВГнг(А)-LS (3х2,5) L=25-2,29%</v>
      </c>
      <c r="DT221">
        <f t="shared" si="302"/>
        <v>2.7</v>
      </c>
      <c r="DU221">
        <f t="shared" si="303"/>
        <v>12.31</v>
      </c>
      <c r="DV221">
        <f t="shared" si="304"/>
        <v>1</v>
      </c>
      <c r="DW221">
        <f>IF(AT221="",0,_xlfn.LET(_xlpm.v,IFERROR(VLOOKUP(D221,УГО_спр,3,FALSE),IFERROR(VLOOKUP(AT221,УГО_спр,3,FALSE),IFERROR(VLOOKUP(LEFT(AT221,2),УГО_спр,3,FALSE),""))),IF(_xlpm.v="да",30,IF(ISNUMBER(_xlpm.v),_xlpm.v,0))))</f>
        <v>0</v>
      </c>
      <c r="DX221">
        <f t="shared" si="305"/>
        <v>0</v>
      </c>
      <c r="DY221">
        <f>IF(BD221="","",IF(AD221&lt;&gt;"",COUNTIFS(A$3:A221,A221,AD$3:AD221,"?*"),IF(OR(OR(AS221=1,A221&lt;&gt;A220),AL221="вручную"),"",IF(AS221=1,"",DZ220))))</f>
        <v>37</v>
      </c>
      <c r="DZ221">
        <f t="shared" si="306"/>
        <v>37</v>
      </c>
      <c r="EA221">
        <f>IF(D221="",0,MAX(IFERROR(--X221,0),IFERROR(--VLOOKUP(D221,УГО_спр,4,FALSE),IFERROR(--VLOOKUP(AT221,УГО_спр,4,FALSE),IFERROR(--VLOOKUP(LEFT(AT221,2),УГО_спр,4,FALSE),0)))))</f>
        <v>16</v>
      </c>
      <c r="EB221">
        <f>IF(D221="","",IFERROR(LOOKUP(INDEX(CHOOSE(BR221,Iдоп_1ж,Iдоп_2ж,Iдоп_3ж),MATCH(BS221,Iдоп_S,0))*BP221*BQ221,{6,10,16,20,25,32,40,50,63,80,100,125,160,200,250,315,400,500,630}),""))</f>
        <v>25</v>
      </c>
      <c r="EC221">
        <f>IF(AD221="","",SUMIFS(Линии[_Ток схемы],Линии[_гр.],DY221,Линии[Щит],A221,Линии[_в кабель выше],0))</f>
        <v>12.31</v>
      </c>
      <c r="ED221">
        <f>IF(AD221="","",IFERROR(VLOOKUP(EC221,Автомат_номиналы,2,TRUE),""))</f>
        <v>16</v>
      </c>
      <c r="EE221">
        <f>IF(AD221="","",MAX(N(ED221),_xlfn.MAXIFS(Линии[_мин. по типу],Линии[_гр.],DY221,Линии[Щит],A221)))</f>
        <v>16</v>
      </c>
      <c r="EF221">
        <f>IF(AD221="","",_xlfn.MINIFS(Линии[_макс. автомат по кабелю],Линии[_гр.],DY221,Линии[Щит],A221))</f>
        <v>25</v>
      </c>
      <c r="EG221">
        <f>IF(AD221="","",MAX(1,_xlfn.MAXIFS(Линии[_фаз],Линии[_гр.],DY221,Линии[Щит],A221)))</f>
        <v>1</v>
      </c>
      <c r="EH221">
        <f>IF(AD221="","",IF(AND(AD221&lt;&gt;"авто",AD221&lt;&gt;"+"),IF(ISNUMBER(SEARCH("мА",AD221)),IFERROR(--TRIM(RIGHT(SUBSTITUTE(LEFT(AD221,SEARCH("мА",AD221)-1)," ",REPT(" ",9)),6)),30),0),IF(AE221="нет",0,IF(ISNUMBER(AE221),AE221,IF(AE221="да",30,_xlfn.MINIFS(Линии[_дифзащита по коду, мА],Линии[_гр.],DY221,Линии[Щит],A221,Линии[_дифзащита по коду, мА],"&gt;0"))))))</f>
        <v>0</v>
      </c>
      <c r="EI221">
        <f t="shared" si="307"/>
        <v>0</v>
      </c>
      <c r="EJ221" t="str">
        <f t="shared" si="308"/>
        <v>QF37</v>
      </c>
      <c r="EK221" t="str">
        <f t="shared" si="309"/>
        <v>QF37</v>
      </c>
      <c r="EL221" t="str">
        <f t="shared" si="310"/>
        <v/>
      </c>
      <c r="EM221">
        <f t="shared" si="311"/>
        <v>0</v>
      </c>
      <c r="EN221">
        <f>IF(AD221="","",IF(EM221=1,MAX(EE221,Мин_автомат_БП),EE221))</f>
        <v>16</v>
      </c>
      <c r="EO221" t="str">
        <f t="shared" si="312"/>
        <v>1P</v>
      </c>
      <c r="EP221" t="str">
        <f t="shared" si="313"/>
        <v>1P С16А</v>
      </c>
      <c r="EQ221">
        <f t="shared" si="314"/>
        <v>16</v>
      </c>
      <c r="ER221" t="str">
        <f>IF(OR(AI221="",AI221="-"),"",IFERROR(VLOOKUP(AI221,Модули_спр,2,FALSE),"R"))</f>
        <v/>
      </c>
      <c r="ES221" t="str">
        <f>IF(ER221="","",ER221&amp;"."&amp;COUNTIFS(A$3:A221,A221,ER$3:ER221,ER221))</f>
        <v/>
      </c>
      <c r="ET221" t="str">
        <f t="shared" si="315"/>
        <v/>
      </c>
      <c r="EU221" t="str">
        <f t="shared" si="316"/>
        <v/>
      </c>
      <c r="EV221" t="str">
        <f t="shared" si="317"/>
        <v/>
      </c>
      <c r="EW221" t="str">
        <f t="shared" si="318"/>
        <v/>
      </c>
      <c r="EX221">
        <f t="shared" si="319"/>
        <v>1</v>
      </c>
      <c r="EY221" t="str">
        <f>IF(AK221="нет","",IF(AK221&lt;&gt;"",AK221,IF(EX221=1,"XT"&amp;COUNTIFS(A$3:A221,A221,EX$3:EX221,1),"")))</f>
        <v>XT37</v>
      </c>
      <c r="EZ221" t="str">
        <f t="shared" si="320"/>
        <v>QF37</v>
      </c>
      <c r="FA221" t="str">
        <f t="shared" si="321"/>
        <v/>
      </c>
      <c r="FB221" t="str">
        <f t="shared" si="322"/>
        <v>ok</v>
      </c>
      <c r="FC221" t="str">
        <f>IF(OR(EV221="",ET221=""),"",IF(EV221&gt;IFERROR(VLOOKUP(EU221,Модули_спр,3,FALSE),99),"ЛИШНИЙ КАНАЛ",IF(AND(AJ221&lt;&gt;"=",COUNTIFS(Линии[_модуль гр.],ET221,Линии[Канал (итог)],EV221,Линии[Канал],"&lt;&gt;=",Линии[Щит],A221)&gt;1),"ДУБЛЬ КАНАЛА","")))</f>
        <v/>
      </c>
      <c r="FD221">
        <f t="shared" si="323"/>
        <v>16</v>
      </c>
      <c r="FE221" t="str">
        <f t="shared" si="324"/>
        <v>1P С16А</v>
      </c>
      <c r="FF221">
        <f t="shared" si="325"/>
        <v>0</v>
      </c>
      <c r="FG221">
        <f t="shared" si="326"/>
        <v>0</v>
      </c>
      <c r="FH221" t="str">
        <f t="shared" si="327"/>
        <v/>
      </c>
      <c r="FI221">
        <f t="shared" si="328"/>
        <v>10</v>
      </c>
      <c r="FJ221" t="str">
        <f t="shared" si="329"/>
        <v/>
      </c>
      <c r="FK221" t="str">
        <f>IF(AND(D221="",EZ221=""),"",_xlfn.TEXTJOIN("; ",TRUE,IF(AND(D221&lt;&gt;"",DD221=""),"нет фазы",""),IF(AND(D221&lt;&gt;"",N(DT221)=0,CN221&lt;&gt;"Нет"),"нет мощности",""),IF(AND(EY221&lt;&gt;"",COUNTIFS(Линии[Щит],A221,Линии[Клемма (итог)],EY221)&gt;1),"дубль клеммы "&amp;EY221,""),IF(AND(FB221&lt;&gt;"",FB221&lt;&gt;"ok"),FB221,""),IF(FC221&lt;&gt;"",FC221,""),IF(AND(ISNUMBER(SEARCH("(5х",DS221)),N(DV221)=1),"5 жил на 1 фазе",""),IF(AND(AT221="R",AD221&lt;&gt;"",OR(N(EH221)=0,N(EH221)&gt;30)),"розетка без дифзащиты до 30 мА",""),IFERROR(IF(AND(ISNUMBER(CD221),CD221&gt;CE221),"потери "&amp;FIXED(CD221,1)&amp;" % &gt; "&amp;CE221&amp;" %",""),""),IFERROR(IF(LEFT(FJ221,4)="мало","Iкз мало — отключение &gt; 0,4 с",""),""),IF(AND(D221&lt;&gt;"",BD221=""),"не на схеме","")))</f>
        <v/>
      </c>
      <c r="FL221">
        <f>IF(AD221="","",_xlfn.LET(_xlpm.t,IFERROR(_xlfn.XLOOKUP(EP221,Каталог!$U$4:$U$500,Каталог!$G$4:$G$500),""),_xlpm.k,SEARCH("кА",_xlpm.t),IFERROR(--TRIM(RIGHT(SUBSTITUTE(MID(_xlpm.t,MAX(1,_xlpm.k-4),_xlpm.k-MAX(1,_xlpm.k-4))," ",REPT(" ",9)),5)),"")))</f>
        <v>6</v>
      </c>
      <c r="FM221" t="str">
        <f>IF(OR(FL221="",AD221=""),"",IF(_xlfn.XLOOKUP(A221,Щиты[Щит],Щиты[Iкз max на шинах, кА],"")="","",IF(FL221&lt;_xlfn.XLOOKUP(A221,Щиты[Щит],Щиты[Iкз max на шинах, кА]),"Icu "&amp;FL221&amp;" кА &lt; Iкз max","ok")))</f>
        <v/>
      </c>
      <c r="FN221" t="str">
        <f t="shared" si="330"/>
        <v>QF37|XT37</v>
      </c>
      <c r="FO221" t="str">
        <f t="shared" si="331"/>
        <v>QF37|XT37|кабель ВВГнг(А)-LS (3х2,5) → Шкаф телекоммуникационный ШТК-СОТ.0 Цокольный этаж Пом. №002Т</v>
      </c>
      <c r="FP221" t="str" cm="1">
        <f t="array" ref="FP221">IF(FO221="","",_xlfn.LET(_xlpm.nd,_xlfn.TEXTSPLIT(FO221,"|"),IF(COLUMNS(_xlpm.nd)&gt;1,A221&amp;"¦"&amp;INDEX(_xlpm.nd,1)&amp;"¦"&amp;INDEX(_xlpm.nd,2),"")))</f>
        <v>ЩР-01¦QF37¦XT37</v>
      </c>
      <c r="FQ221" t="str">
        <f t="shared" si="332"/>
        <v>ШТК-СОТ.0¦Шкаф телекоммуникационный ШТК-СОТ.0 Цокольный этаж Пом. №002Т</v>
      </c>
      <c r="FR221" t="str" cm="1">
        <f t="array" ref="FR221">IF(FO221="","",_xlfn.LET(_xlpm.nd,_xlfn.TEXTSPLIT(FO221,"|"),IF(COLUMNS(_xlpm.nd)&gt;2,A221&amp;"¦"&amp;INDEX(_xlpm.nd,2)&amp;"¦"&amp;INDEX(_xlpm.nd,3),"")))</f>
        <v>ЩР-01¦XT37¦кабель ВВГнг(А)-LS (3х2,5) → Шкаф телекоммуникационный ШТК-СОТ.0 Цокольный этаж Пом. №002Т</v>
      </c>
      <c r="FS221" t="str">
        <f t="shared" si="333"/>
        <v>ШТК-СОТ.0¦Шкаф телекоммуникационный ШТК-СОТ.0 Цокольный этаж Пом. №002Т</v>
      </c>
      <c r="FT221" t="str" cm="1">
        <f t="array" ref="FT221">IF(FO221="","",_xlfn.LET(_xlpm.nd,_xlfn.TEXTSPLIT(FO221,"|"),IF(COLUMNS(_xlpm.nd)&gt;3,A221&amp;"¦"&amp;INDEX(_xlpm.nd,3)&amp;"¦"&amp;INDEX(_xlpm.nd,4),"")))</f>
        <v/>
      </c>
      <c r="FU221" t="str">
        <f t="shared" si="334"/>
        <v/>
      </c>
      <c r="FV221" t="str" cm="1">
        <f t="array" ref="FV221">IF(FO221="","",_xlfn.LET(_xlpm.nd,_xlfn.TEXTSPLIT(FO221,"|"),IF(COLUMNS(_xlpm.nd)&gt;4,A221&amp;"¦"&amp;INDEX(_xlpm.nd,4)&amp;"¦"&amp;INDEX(_xlpm.nd,5),"")))</f>
        <v/>
      </c>
      <c r="FW221" t="str">
        <f t="shared" si="335"/>
        <v/>
      </c>
      <c r="FX221" t="str" cm="1">
        <f t="array" ref="FX221">IF(FO221="","",_xlfn.LET(_xlpm.nd,_xlfn.TEXTSPLIT(FO221,"|"),IF(COLUMNS(_xlpm.nd)&gt;5,A221&amp;"¦"&amp;INDEX(_xlpm.nd,5)&amp;"¦"&amp;INDEX(_xlpm.nd,6),"")))</f>
        <v/>
      </c>
      <c r="FY221" t="str">
        <f t="shared" si="336"/>
        <v/>
      </c>
      <c r="FZ221" t="str" cm="1">
        <f t="array" ref="FZ221">IF(FO221="","",_xlfn.LET(_xlpm.nd,_xlfn.TEXTSPLIT(FO221,"|"),IF(COLUMNS(_xlpm.nd)&gt;6,A221&amp;"¦"&amp;INDEX(_xlpm.nd,6)&amp;"¦"&amp;INDEX(_xlpm.nd,7),"")))</f>
        <v/>
      </c>
      <c r="GA221" t="str">
        <f t="shared" si="337"/>
        <v/>
      </c>
      <c r="GB221" t="str">
        <f t="shared" si="338"/>
        <v/>
      </c>
      <c r="GC221" t="str">
        <f t="shared" si="339"/>
        <v>QF37 → XT37</v>
      </c>
      <c r="GD221">
        <f t="shared" si="340"/>
        <v>1</v>
      </c>
      <c r="GE221">
        <f t="shared" si="341"/>
        <v>0</v>
      </c>
      <c r="GF221">
        <f t="shared" si="342"/>
        <v>0</v>
      </c>
      <c r="GG221" t="str">
        <f t="shared" si="343"/>
        <v/>
      </c>
      <c r="GH221" t="str">
        <f t="shared" si="344"/>
        <v/>
      </c>
      <c r="GI221" t="str">
        <f t="shared" si="345"/>
        <v/>
      </c>
      <c r="GJ221" t="str">
        <f t="shared" si="346"/>
        <v/>
      </c>
      <c r="GK221">
        <f>IF(D221="","",IFERROR(VLOOKUP(D221,УГО_спр,2,FALSE),IFERROR(VLOOKUP(AT221,УГО_спр,2,FALSE),IFERROR(VLOOKUP(LEFT(AT221,2),УГО_спр,2,FALSE),""))))</f>
        <v>0</v>
      </c>
      <c r="GL221" t="str">
        <f>IF(D221="","",IF(OR(GK221="",GK221=0),"BOX",IFERROR(IF(VLOOKUP(GK221,УГО_блоки,3,FALSE)&amp;""&lt;&gt;"",VLOOKUP(GK221,УГО_блоки,3,FALSE),VLOOKUP(GK221,УГО_блоки,2,FALSE)),GK221)))</f>
        <v>BOX</v>
      </c>
      <c r="GM221">
        <f t="shared" si="347"/>
        <v>1</v>
      </c>
      <c r="GN221" t="str">
        <f>IF(EP221="","",IF(COUNTIF(EP$3:EP221,EP221)=1,MAX(GN$2:GN220)+1,""))</f>
        <v/>
      </c>
      <c r="GO221" t="str">
        <f>IF(AF221="","",IF(COUNTIF(AF$3:AF221,AF221)+COUNTIF(AG$2:AG220,AF221)+COUNTIF(AH$2:AH220,AF221)=1,MAX(GO$2:GQ220)+1,""))</f>
        <v/>
      </c>
      <c r="GP221" t="str">
        <f>IF(AG221="","",IF(COUNTIF(AF$3:AF221,AG221)+COUNTIF(AG$3:AG221,AG221)+COUNTIF(AH$2:AH220,AG221)=1,MAX(GO$2:GQ220,GO221)+1,""))</f>
        <v/>
      </c>
      <c r="GQ221" t="str">
        <f>IF(AH221="","",IF(COUNTIF(AF$3:AF221,AH221)+COUNTIF(AG$3:AG221,AH221)+COUNTIF(AH$3:AH221,AH221)=1,MAX(GO$2:GQ220,GO221,GP221)+1,""))</f>
        <v/>
      </c>
      <c r="GR221" t="str">
        <f t="shared" si="348"/>
        <v>3х2,5</v>
      </c>
      <c r="GS221" t="str">
        <f>IF(GR221="","",IF(COUNTIF(GR$3:GR221,GR221)=1,MAX(GS$2:GS220)+1,""))</f>
        <v/>
      </c>
      <c r="GT221" t="str">
        <f>IF(ES221="","",COUNTIF(ES$3:ES221,"?*"))</f>
        <v/>
      </c>
      <c r="GU221" t="str">
        <f>IF(OR(ES221="",EU221=""),"",IF(COUNTIFS(ES$3:ES221,"?*",EU$3:EU221,EU221)=1,MAX(GU$2:GU220)+1,""))</f>
        <v/>
      </c>
      <c r="GV221">
        <f t="shared" si="349"/>
        <v>0</v>
      </c>
      <c r="GW221">
        <f>IF(D221="","",COUNTIF(D$3:D221,"?*"))</f>
        <v>219</v>
      </c>
      <c r="GX221">
        <f>IF(EX221&lt;&gt;1,0,_xlfn.LET(_xlpm.k,MAX(IFERROR(--VLOOKUP(D221,УГО_спр,5,FALSE),0),IFERROR(--VLOOKUP(AT221,УГО_спр,5,FALSE),0),IFERROR(--VLOOKUP(LEFT(AT221,2),УГО_спр,5,FALSE),0)),IF(_xlpm.k&gt;0,_xlpm.k,IF(IFERROR(--LEFT(SUBSTITUTE(GR221,"x","х"),FIND("х",SUBSTITUTE(GR221,"x","х"))-1),3)&gt;3,Каталог!$S$9,1))))</f>
        <v>1</v>
      </c>
      <c r="GY221">
        <f t="shared" si="350"/>
        <v>0</v>
      </c>
    </row>
    <row r="222" spans="1:207" x14ac:dyDescent="0.3">
      <c r="A222" t="s">
        <v>760</v>
      </c>
      <c r="B222">
        <v>55</v>
      </c>
      <c r="C222" t="str">
        <f>IF(BD222="","",IF(BE222="вводной узел","узел ","")&amp;"л."&amp;(INT((BD222-1)/Столбцов_на_лист)+1)&amp;" / "&amp;(MOD(BD222-1,Столбцов_на_лист)+1))</f>
        <v>л.4 / 4</v>
      </c>
      <c r="D222" t="s">
        <v>1537</v>
      </c>
      <c r="E222" s="133" t="s">
        <v>1538</v>
      </c>
      <c r="G222">
        <v>2.7</v>
      </c>
      <c r="H222">
        <v>1</v>
      </c>
      <c r="I222">
        <v>1</v>
      </c>
      <c r="J222">
        <v>230</v>
      </c>
      <c r="K222" t="s">
        <v>577</v>
      </c>
      <c r="O222">
        <v>3</v>
      </c>
      <c r="P222">
        <v>24</v>
      </c>
      <c r="Q222">
        <v>8</v>
      </c>
      <c r="R222">
        <v>11</v>
      </c>
      <c r="U222" t="s">
        <v>11</v>
      </c>
      <c r="V222">
        <v>3</v>
      </c>
      <c r="W222">
        <v>2.5</v>
      </c>
      <c r="X222">
        <v>16</v>
      </c>
      <c r="Z222" t="s">
        <v>576</v>
      </c>
      <c r="AA222" t="s">
        <v>818</v>
      </c>
      <c r="AD222" t="s">
        <v>517</v>
      </c>
      <c r="AR222" t="str">
        <f t="shared" si="264"/>
        <v/>
      </c>
      <c r="AS222" cm="1">
        <f t="array" ref="AS222">ROW()-ROW(Линии[#Headers])</f>
        <v>220</v>
      </c>
      <c r="AT222" t="str">
        <f t="shared" si="265"/>
        <v>ШТК-ЛВС</v>
      </c>
      <c r="AU222" t="str">
        <f t="shared" si="266"/>
        <v>0</v>
      </c>
      <c r="AV222" t="str">
        <f t="shared" si="267"/>
        <v>0</v>
      </c>
      <c r="AW222" t="str">
        <f t="shared" si="268"/>
        <v/>
      </c>
      <c r="AX222" t="str">
        <f t="shared" si="269"/>
        <v/>
      </c>
      <c r="AY222" t="str">
        <f>IF(D222="","",IF(ISERROR(SEARCH(".",D222)),IFERROR(VLOOKUP(D222,Потребители_обозначение,2,FALSE)&amp;"",""),IFERROR(IF(VLOOKUP(AT222,Потребители_обозначение,4,FALSE)=1,VLOOKUP(AT222,Потребители_обозначение,2,FALSE)&amp;" "&amp;VLOOKUP(AV222,Этаж_обозначение,2,FALSE)&amp;" Пом. №"&amp;AX222,VLOOKUP(AT222,Потребители_обозначение,2,FALSE)&amp;" Шлейф №"&amp;AV222),IFERROR(VLOOKUP(D222,Потребители_обозначение,2,FALSE),""))))</f>
        <v>Шкаф телекоммуникационный ЛВС Шлейф №0</v>
      </c>
      <c r="AZ222" t="str">
        <f t="shared" si="270"/>
        <v>Шкаф телекоммуникационный ШТК-ЛВС.0 Цокольный этаж Пом. №002Т</v>
      </c>
      <c r="BA222" t="str">
        <f>IF(F222&lt;&gt;"",F222,IF(AND(D222&lt;&gt;"",D222&lt;&gt;A222,ISNUMBER(_xlfn.XMATCH(D222,Щиты[Щит]))),D222,""))</f>
        <v/>
      </c>
      <c r="BB222">
        <f>IFERROR(_xlfn.XMATCH(A222,Щиты[Щит]),0)</f>
        <v>9</v>
      </c>
      <c r="BC222">
        <f>IFERROR(N(_xlfn.XLOOKUP(A222,Щиты[Щит],Щиты[Мест под вводной узел])),15)</f>
        <v>8</v>
      </c>
      <c r="BD222">
        <f t="shared" si="271"/>
        <v>55</v>
      </c>
      <c r="BE222" t="str">
        <f t="shared" si="272"/>
        <v>линии</v>
      </c>
      <c r="BF222">
        <f>IF(D222="","",IF(BA222&lt;&gt;"",IFERROR(_xlfn.XLOOKUP(BA222,Щиты[Щит],Щиты[Руст, кВт]),0),N(G222)))</f>
        <v>2.7</v>
      </c>
      <c r="BG222">
        <f>IF(J222&lt;&gt;"",J222,IF(D222="","",IFERROR(IF(VLOOKUP(AT222,Потребители_обозначение,8,FALSE)=0,"",VLOOKUP(AT222,Потребители_обозначение,8,FALSE)),"")))</f>
        <v>230</v>
      </c>
      <c r="BH222">
        <f>IF(I222&lt;&gt;"",I222,IF(D222="","",IFERROR(IF(VLOOKUP(AT222,Потребители_обозначение,9,FALSE)=0,"",VLOOKUP(AT222,Потребители_обозначение,9,FALSE)),"")))</f>
        <v>1</v>
      </c>
      <c r="BI222" t="str">
        <f>IF(U222&lt;&gt;"",U222,IF(D222="","",IFERROR(IF(VLOOKUP(AT222,Потребители_обозначение,6,FALSE)=0,"",VLOOKUP(AT222,Потребители_обозначение,6,FALSE)),"")))</f>
        <v>мс</v>
      </c>
      <c r="BJ222">
        <f>IF(V222&lt;&gt;"",V222,IF(D222="","",IFERROR(IF(VLOOKUP(AT222,Потребители_обозначение,7,FALSE)=0,"",VLOOKUP(AT222,Потребители_обозначение,7,FALSE)),"")))</f>
        <v>3</v>
      </c>
      <c r="BK222">
        <f>IF(W222&lt;&gt;"",W222,IF(D222="","",IFERROR(IF(VLOOKUP(AT222,Потребители_обозначение,10,FALSE)=0,"",VLOOKUP(AT222,Потребители_обозначение,10,FALSE)),"")))</f>
        <v>2.5</v>
      </c>
      <c r="BL222">
        <f>IFERROR(VLOOKUP(AT222,Потребители_обозначение,5,FALSE),0)</f>
        <v>1</v>
      </c>
      <c r="BM222" cm="1">
        <f t="array" ref="BM222">IF(D222="","",IF(BA222&lt;&gt;"",IFERROR(_xlfn.XLOOKUP(BA222,Щиты[Щит],Щиты[cos φ]),0.95),IF(ISNUMBER(M222),M222,IFERROR(IF(BL222=2,_xlfn.IFS(BH222=3,VLOOKUP(BF222,Справочная_двигатели,8,FALSE),BH222=1,VLOOKUP(BF222,Справочная_двигатели,10,TRUE)),IF(AND(Методика="нормы 2026",CN222="Сил"),0.8,0.95)),0.95))))</f>
        <v>0.95</v>
      </c>
      <c r="BN222" cm="1">
        <f t="array" ref="BN222">IF(D222="","",IF(BA222&lt;&gt;"",IFERROR(_xlfn.XLOOKUP(BA222,Щиты[Щит],Щиты[Iр, А]),""),IFERROR(_xlfn.IFS(BH222=1,BF222/((Uн_лин/SQRT(3))*BM222),BH222=3,BF222/(SQRT(3)*Uн_лин*BM222)),"")))</f>
        <v>12.306676790620971</v>
      </c>
      <c r="BO222">
        <f>IF(D222="","",IF(N(X222)=0,IFERROR(VLOOKUP(BN222,Автомат_номиналы,2,TRUE),""),X222))</f>
        <v>16</v>
      </c>
      <c r="BP222">
        <f t="shared" si="273"/>
        <v>1</v>
      </c>
      <c r="BQ222">
        <f>IF(ISNUMBER(Y222),Y222,К_прокл)</f>
        <v>1</v>
      </c>
      <c r="BR222">
        <f t="shared" si="274"/>
        <v>2</v>
      </c>
      <c r="BS222" cm="1">
        <f t="array" ref="BS222">IF(D222="","",IF(N(BK222)&lt;&gt;0,BK222,IFERROR(_xlfn.LET(_xlpm.need,BO222/(BP222*BQ222),_xlpm.t,CHOOSE(BR222,Iдоп_1ж,Iдоп_2ж,Iдоп_3ж),_xlpm.k,_xlfn.XMATCH(_xlpm.need,_xlpm.t,1),IF(ISNA(_xlpm.k),"Не исп",INDEX(Iдоп_S,_xlpm.k))),"Не исп")))</f>
        <v>2.5</v>
      </c>
      <c r="BT222">
        <f>IFERROR(VLOOKUP(BS222,Кабель_сопротивление,3,FALSE),"")</f>
        <v>2.2499999999999999E-2</v>
      </c>
      <c r="BU222">
        <f>IFERROR(VLOOKUP(BS222,Кабель_сопротивление,2,FALSE),"")</f>
        <v>0.1</v>
      </c>
      <c r="BV222">
        <f t="shared" si="275"/>
        <v>24</v>
      </c>
      <c r="BW222">
        <f>IF(D222="","",IFERROR(IF(VLOOKUP(AT222,Потребители_обозначение,4,FALSE)=1,VLOOKUP(AT222,Потребители_обозначение,3,FALSE)*(H222*2-1)+BV222+VLOOKUP(AV222,Этаж_обозначение,3,FALSE)+VLOOKUP(AV222,Этаж_обозначение,4,FALSE),VLOOKUP(AT222,Потребители_обозначение,3,FALSE)*(H222*2-1)+BV222),BV222))</f>
        <v>27</v>
      </c>
      <c r="BX222">
        <f t="shared" si="276"/>
        <v>11</v>
      </c>
      <c r="BY222" t="str">
        <f t="shared" si="277"/>
        <v/>
      </c>
      <c r="BZ222">
        <f t="shared" si="278"/>
        <v>2</v>
      </c>
      <c r="CA222">
        <f t="shared" si="279"/>
        <v>0.31</v>
      </c>
      <c r="CB222">
        <f t="shared" si="280"/>
        <v>5.7025940511772006</v>
      </c>
      <c r="CC222">
        <f>IFERROR(ROUNDUP(CB222/((Uн_лин/SQRT(3))*1000)*100,2),"")</f>
        <v>2.4699999999999998</v>
      </c>
      <c r="CD222">
        <f>IF(ISNUMBER(CC222),CC222+IFERROR(_xlfn.XLOOKUP(A222,Щиты[Щит],Щиты[ΔU до шин, %]),0),"")</f>
        <v>2.9</v>
      </c>
      <c r="CE222">
        <f>IF(D222="","",IF(IFERROR(VLOOKUP(AT222,УГО_спр,2,FALSE),"")="Светильник",3,4)+IF(Методика="нормы 2026",MIN(0.5,MAX(0,N(BW222)-100)*0.005),0))</f>
        <v>4</v>
      </c>
      <c r="CF222" t="str">
        <f>IFERROR(VLOOKUP(BI222,Кабель_обозначение,2,FALSE),"")</f>
        <v>ВВГнг(А)-LS</v>
      </c>
      <c r="CG222" t="str">
        <f>IFERROR(IF(VLOOKUP(BI222,Кабель_обозначение,3,FALSE)=1,CF222&amp;" ("&amp;BJ222&amp;"х"&amp;BS222&amp;")",CF222),"")</f>
        <v>ВВГнг(А)-LS (3х2,5)</v>
      </c>
      <c r="CH222" t="str">
        <f t="shared" si="281"/>
        <v>ВВГнг(А)-LS (3х2,5)
L=27-2,47%</v>
      </c>
      <c r="CI222">
        <f>IFERROR(2*ρкз_Cu*BW222/BS222,"")</f>
        <v>0.56808000000000003</v>
      </c>
      <c r="CJ222">
        <f t="shared" si="282"/>
        <v>0.189</v>
      </c>
      <c r="CK222" t="str">
        <f>IFERROR(IF(OR(D222="",NOT(ISNUMBER(BS222)),N(BW222)=0),"",_xlfn.XLOOKUP(A222,Щиты[Щит],Щиты[Zпетли на шинах, Ом])+CI222),"")</f>
        <v/>
      </c>
      <c r="CL222" t="str">
        <f>IF(ISNUMBER(CK222),c_min*(Uн_лин*1000/SQRT(3))/CK222,"")</f>
        <v/>
      </c>
      <c r="CM222" t="str">
        <f>IFERROR(IF(OR(D222="",NOT(ISNUMBER(BS222))),"",1.05*(Uн_лин*1000/SQRT(3))/(_xlfn.XLOOKUP(A222,Щиты[Щит],Щиты[Zmax на шинах, Ом])+CJ222)/1000),"")</f>
        <v/>
      </c>
      <c r="CN222" t="str">
        <f>IF(D222="","",IF(BA222&lt;&gt;"","Щит",IF(K222&lt;&gt;"",K222,IF(ISNUMBER(L222),"Сил",IF(IFERROR(_xlfn.XLOOKUP(AT222,Коды_код,Коды_группа)&amp;"","")="","Быт",_xlfn.XLOOKUP(AT222,Коды_код,Коды_группа)&amp;"")))))</f>
        <v>Пост</v>
      </c>
      <c r="CO222">
        <f>IF(CN222="Щит","щит",IF(CN222="","",IF(CN222="Быт",IFERROR(_xlfn.XLOOKUP(A222,Щиты[Щит],Щиты[Кс быт]),1),IF(CN222="Сил",IF(ISNUMBER(L222),L222,IF(Методика="нормы 2026",IFERROR(_xlfn.XLOOKUP(A222,Щиты[Щит],Щиты[Кс силовых (табл. 7.5)]),1),1)),IF(OR(CN222="Пост",CN222="Отоп"),1,IF(CN222="ВНГ",0.7,0))))))</f>
        <v>1</v>
      </c>
      <c r="CP222">
        <f t="shared" si="283"/>
        <v>1</v>
      </c>
      <c r="CQ222">
        <f t="shared" si="284"/>
        <v>2.7</v>
      </c>
      <c r="CR222">
        <f t="shared" si="285"/>
        <v>0</v>
      </c>
      <c r="CS222">
        <f t="shared" si="286"/>
        <v>0</v>
      </c>
      <c r="CT222">
        <f t="shared" si="287"/>
        <v>2.7</v>
      </c>
      <c r="CU222">
        <f t="shared" si="288"/>
        <v>0</v>
      </c>
      <c r="CV222">
        <f t="shared" si="289"/>
        <v>0</v>
      </c>
      <c r="CW222">
        <f t="shared" si="290"/>
        <v>2.7</v>
      </c>
      <c r="CX222">
        <f t="shared" si="291"/>
        <v>2.5649999999999999</v>
      </c>
      <c r="CY222">
        <f t="shared" si="292"/>
        <v>2</v>
      </c>
      <c r="CZ222" t="str">
        <f t="shared" si="293"/>
        <v>L2</v>
      </c>
      <c r="DA222" cm="1">
        <f t="array" ref="DA222">IFERROR(IF(BL222=2,_xlfn.IFS(BH222=3,VLOOKUP(BF222,Справочная_двигатели,3,FALSE),BH222=1,VLOOKUP(BF222,Справочная_двигатели,5,TRUE)),0),0)</f>
        <v>0</v>
      </c>
      <c r="DB222">
        <f>IFERROR(IF(BL222=3,VLOOKUP(BF222,Справочная_ЛЭД,2,TRUE),0),0)</f>
        <v>0</v>
      </c>
      <c r="DC222">
        <f t="shared" si="294"/>
        <v>0</v>
      </c>
      <c r="DD222" t="str">
        <f t="shared" si="295"/>
        <v>L3</v>
      </c>
      <c r="DE222" t="str" cm="1">
        <f t="array" ref="DE222">IF(D222="","",IFERROR(INDEX({"I особая","I","II","III"},MATCH(TRIM(AA222&amp;""),{"I особая","I","II","III"},0)),"III"))</f>
        <v>II</v>
      </c>
      <c r="DF222" t="str">
        <f>IF(D222="","",IF(TRIM(AB222&amp;"")&lt;&gt;"",IF(LOWER(TRIM(AB222&amp;""))="да","да","нет"),IF(IFERROR(_xlfn.XLOOKUP(AT222,Коды_код,Коды_пожарная),"")="да","да","нет")))</f>
        <v>нет</v>
      </c>
      <c r="DG222" t="str">
        <f t="shared" si="296"/>
        <v/>
      </c>
      <c r="DH222" t="str">
        <f t="shared" si="297"/>
        <v>основная</v>
      </c>
      <c r="DI222">
        <f t="shared" si="298"/>
        <v>1</v>
      </c>
      <c r="DJ222" t="str" cm="1">
        <f t="array" ref="DJ222">IF(D222="","",_xlfn.LET(_xlpm.t,IFERROR(_xlfn.XLOOKUP(1,(Шины[Шина]=DH222)*(((Шины[Щит]=A222)+(Шины[Щит]=""))&gt;0),Шины[Тип]),"")&amp;"",IF(_xlpm.t&lt;&gt;"",_xlpm.t,IF(ISNUMBER(SEARCH("ИБП",DH222)),"ИБП",IF(ISNUMBER(SEARCH("ДГУ",DH222)),"ДГУ","Ввод "&amp;DI222)))))</f>
        <v>Ввод 1</v>
      </c>
      <c r="DK222" t="str">
        <f t="shared" si="299"/>
        <v>Ввод 1</v>
      </c>
      <c r="DL222" t="str">
        <f>IF(D222="","",IF(OR(DJ222="ИБП",DJ222="ДГУ"),"I особая",IF(DJ222="Одиночная","III",_xlfn.XLOOKUP(A222,Щиты[Щит],Щиты[Категория шины «Ввод»],"III"))))</f>
        <v>II</v>
      </c>
      <c r="DM222">
        <f>IF(D222="",0,IFERROR(MATCH(DE222,{"III","II","I","I особая"},0),1))</f>
        <v>2</v>
      </c>
      <c r="DN222">
        <f t="shared" si="300"/>
        <v>2</v>
      </c>
      <c r="DO222" t="str">
        <f>IF(D222="","",IF(DM222&gt;IFERROR(MATCH(DL222,{"III","II","I","I особая"},0),1),"НЕ ОБЕСПЕЧЕНА","ОК"))</f>
        <v>ОК</v>
      </c>
      <c r="DP222" t="str">
        <f>IF(A222="","",_xlfn.XLOOKUP(A222,Щиты[Щит],Щиты[Путь],""))</f>
        <v>|ГРЩ-ЖД|ЩР-01|</v>
      </c>
      <c r="DQ222" t="str">
        <f>IF(D222="","",IF(Z222&lt;&gt;"",Z222,IF(IFERROR(_xlfn.XLOOKUP(AT222,Коды_код,Коды_вид)&amp;"","")="","Прочее",_xlfn.XLOOKUP(AT222,Коды_код,Коды_вид)&amp;"")))</f>
        <v>Слаботочные системы, автоматизация, KNX</v>
      </c>
      <c r="DR222">
        <f>IF(BD222="","",INT((BD222-1)/Столбцов_на_лист)+1)</f>
        <v>4</v>
      </c>
      <c r="DS222" t="str">
        <f t="shared" si="301"/>
        <v>ВВГнг(А)-LS (3х2,5) L=27-2,47%</v>
      </c>
      <c r="DT222">
        <f t="shared" si="302"/>
        <v>2.7</v>
      </c>
      <c r="DU222">
        <f t="shared" si="303"/>
        <v>12.31</v>
      </c>
      <c r="DV222">
        <f t="shared" si="304"/>
        <v>1</v>
      </c>
      <c r="DW222">
        <f>IF(AT222="",0,_xlfn.LET(_xlpm.v,IFERROR(VLOOKUP(D222,УГО_спр,3,FALSE),IFERROR(VLOOKUP(AT222,УГО_спр,3,FALSE),IFERROR(VLOOKUP(LEFT(AT222,2),УГО_спр,3,FALSE),""))),IF(_xlpm.v="да",30,IF(ISNUMBER(_xlpm.v),_xlpm.v,0))))</f>
        <v>0</v>
      </c>
      <c r="DX222">
        <f t="shared" si="305"/>
        <v>0</v>
      </c>
      <c r="DY222">
        <f>IF(BD222="","",IF(AD222&lt;&gt;"",COUNTIFS(A$3:A222,A222,AD$3:AD222,"?*"),IF(OR(OR(AS222=1,A222&lt;&gt;A221),AL222="вручную"),"",IF(AS222=1,"",DZ221))))</f>
        <v>38</v>
      </c>
      <c r="DZ222">
        <f t="shared" si="306"/>
        <v>38</v>
      </c>
      <c r="EA222">
        <f>IF(D222="",0,MAX(IFERROR(--X222,0),IFERROR(--VLOOKUP(D222,УГО_спр,4,FALSE),IFERROR(--VLOOKUP(AT222,УГО_спр,4,FALSE),IFERROR(--VLOOKUP(LEFT(AT222,2),УГО_спр,4,FALSE),0)))))</f>
        <v>16</v>
      </c>
      <c r="EB222">
        <f>IF(D222="","",IFERROR(LOOKUP(INDEX(CHOOSE(BR222,Iдоп_1ж,Iдоп_2ж,Iдоп_3ж),MATCH(BS222,Iдоп_S,0))*BP222*BQ222,{6,10,16,20,25,32,40,50,63,80,100,125,160,200,250,315,400,500,630}),""))</f>
        <v>25</v>
      </c>
      <c r="EC222">
        <f>IF(AD222="","",SUMIFS(Линии[_Ток схемы],Линии[_гр.],DY222,Линии[Щит],A222,Линии[_в кабель выше],0))</f>
        <v>12.31</v>
      </c>
      <c r="ED222">
        <f>IF(AD222="","",IFERROR(VLOOKUP(EC222,Автомат_номиналы,2,TRUE),""))</f>
        <v>16</v>
      </c>
      <c r="EE222">
        <f>IF(AD222="","",MAX(N(ED222),_xlfn.MAXIFS(Линии[_мин. по типу],Линии[_гр.],DY222,Линии[Щит],A222)))</f>
        <v>16</v>
      </c>
      <c r="EF222">
        <f>IF(AD222="","",_xlfn.MINIFS(Линии[_макс. автомат по кабелю],Линии[_гр.],DY222,Линии[Щит],A222))</f>
        <v>25</v>
      </c>
      <c r="EG222">
        <f>IF(AD222="","",MAX(1,_xlfn.MAXIFS(Линии[_фаз],Линии[_гр.],DY222,Линии[Щит],A222)))</f>
        <v>1</v>
      </c>
      <c r="EH222">
        <f>IF(AD222="","",IF(AND(AD222&lt;&gt;"авто",AD222&lt;&gt;"+"),IF(ISNUMBER(SEARCH("мА",AD222)),IFERROR(--TRIM(RIGHT(SUBSTITUTE(LEFT(AD222,SEARCH("мА",AD222)-1)," ",REPT(" ",9)),6)),30),0),IF(AE222="нет",0,IF(ISNUMBER(AE222),AE222,IF(AE222="да",30,_xlfn.MINIFS(Линии[_дифзащита по коду, мА],Линии[_гр.],DY222,Линии[Щит],A222,Линии[_дифзащита по коду, мА],"&gt;0"))))))</f>
        <v>0</v>
      </c>
      <c r="EI222">
        <f t="shared" si="307"/>
        <v>0</v>
      </c>
      <c r="EJ222" t="str">
        <f t="shared" si="308"/>
        <v>QF38</v>
      </c>
      <c r="EK222" t="str">
        <f t="shared" si="309"/>
        <v>QF38</v>
      </c>
      <c r="EL222" t="str">
        <f t="shared" si="310"/>
        <v/>
      </c>
      <c r="EM222">
        <f t="shared" si="311"/>
        <v>0</v>
      </c>
      <c r="EN222">
        <f>IF(AD222="","",IF(EM222=1,MAX(EE222,Мин_автомат_БП),EE222))</f>
        <v>16</v>
      </c>
      <c r="EO222" t="str">
        <f t="shared" si="312"/>
        <v>1P</v>
      </c>
      <c r="EP222" t="str">
        <f t="shared" si="313"/>
        <v>1P С16А</v>
      </c>
      <c r="EQ222">
        <f t="shared" si="314"/>
        <v>16</v>
      </c>
      <c r="ER222" t="str">
        <f>IF(OR(AI222="",AI222="-"),"",IFERROR(VLOOKUP(AI222,Модули_спр,2,FALSE),"R"))</f>
        <v/>
      </c>
      <c r="ES222" t="str">
        <f>IF(ER222="","",ER222&amp;"."&amp;COUNTIFS(A$3:A222,A222,ER$3:ER222,ER222))</f>
        <v/>
      </c>
      <c r="ET222" t="str">
        <f t="shared" si="315"/>
        <v/>
      </c>
      <c r="EU222" t="str">
        <f t="shared" si="316"/>
        <v/>
      </c>
      <c r="EV222" t="str">
        <f t="shared" si="317"/>
        <v/>
      </c>
      <c r="EW222" t="str">
        <f t="shared" si="318"/>
        <v/>
      </c>
      <c r="EX222">
        <f t="shared" si="319"/>
        <v>1</v>
      </c>
      <c r="EY222" t="str">
        <f>IF(AK222="нет","",IF(AK222&lt;&gt;"",AK222,IF(EX222=1,"XT"&amp;COUNTIFS(A$3:A222,A222,EX$3:EX222,1),"")))</f>
        <v>XT38</v>
      </c>
      <c r="EZ222" t="str">
        <f t="shared" si="320"/>
        <v>QF38</v>
      </c>
      <c r="FA222" t="str">
        <f t="shared" si="321"/>
        <v/>
      </c>
      <c r="FB222" t="str">
        <f t="shared" si="322"/>
        <v>ok</v>
      </c>
      <c r="FC222" t="str">
        <f>IF(OR(EV222="",ET222=""),"",IF(EV222&gt;IFERROR(VLOOKUP(EU222,Модули_спр,3,FALSE),99),"ЛИШНИЙ КАНАЛ",IF(AND(AJ222&lt;&gt;"=",COUNTIFS(Линии[_модуль гр.],ET222,Линии[Канал (итог)],EV222,Линии[Канал],"&lt;&gt;=",Линии[Щит],A222)&gt;1),"ДУБЛЬ КАНАЛА","")))</f>
        <v/>
      </c>
      <c r="FD222">
        <f t="shared" si="323"/>
        <v>16</v>
      </c>
      <c r="FE222" t="str">
        <f t="shared" si="324"/>
        <v>1P С16А</v>
      </c>
      <c r="FF222">
        <f t="shared" si="325"/>
        <v>0</v>
      </c>
      <c r="FG222">
        <f t="shared" si="326"/>
        <v>0</v>
      </c>
      <c r="FH222" t="str">
        <f t="shared" si="327"/>
        <v/>
      </c>
      <c r="FI222">
        <f t="shared" si="328"/>
        <v>10</v>
      </c>
      <c r="FJ222" t="str">
        <f t="shared" si="329"/>
        <v/>
      </c>
      <c r="FK222" t="str">
        <f>IF(AND(D222="",EZ222=""),"",_xlfn.TEXTJOIN("; ",TRUE,IF(AND(D222&lt;&gt;"",DD222=""),"нет фазы",""),IF(AND(D222&lt;&gt;"",N(DT222)=0,CN222&lt;&gt;"Нет"),"нет мощности",""),IF(AND(EY222&lt;&gt;"",COUNTIFS(Линии[Щит],A222,Линии[Клемма (итог)],EY222)&gt;1),"дубль клеммы "&amp;EY222,""),IF(AND(FB222&lt;&gt;"",FB222&lt;&gt;"ok"),FB222,""),IF(FC222&lt;&gt;"",FC222,""),IF(AND(ISNUMBER(SEARCH("(5х",DS222)),N(DV222)=1),"5 жил на 1 фазе",""),IF(AND(AT222="R",AD222&lt;&gt;"",OR(N(EH222)=0,N(EH222)&gt;30)),"розетка без дифзащиты до 30 мА",""),IFERROR(IF(AND(ISNUMBER(CD222),CD222&gt;CE222),"потери "&amp;FIXED(CD222,1)&amp;" % &gt; "&amp;CE222&amp;" %",""),""),IFERROR(IF(LEFT(FJ222,4)="мало","Iкз мало — отключение &gt; 0,4 с",""),""),IF(AND(D222&lt;&gt;"",BD222=""),"не на схеме","")))</f>
        <v/>
      </c>
      <c r="FL222">
        <f>IF(AD222="","",_xlfn.LET(_xlpm.t,IFERROR(_xlfn.XLOOKUP(EP222,Каталог!$U$4:$U$500,Каталог!$G$4:$G$500),""),_xlpm.k,SEARCH("кА",_xlpm.t),IFERROR(--TRIM(RIGHT(SUBSTITUTE(MID(_xlpm.t,MAX(1,_xlpm.k-4),_xlpm.k-MAX(1,_xlpm.k-4))," ",REPT(" ",9)),5)),"")))</f>
        <v>6</v>
      </c>
      <c r="FM222" t="str">
        <f>IF(OR(FL222="",AD222=""),"",IF(_xlfn.XLOOKUP(A222,Щиты[Щит],Щиты[Iкз max на шинах, кА],"")="","",IF(FL222&lt;_xlfn.XLOOKUP(A222,Щиты[Щит],Щиты[Iкз max на шинах, кА]),"Icu "&amp;FL222&amp;" кА &lt; Iкз max","ok")))</f>
        <v/>
      </c>
      <c r="FN222" t="str">
        <f t="shared" si="330"/>
        <v>QF38|XT38</v>
      </c>
      <c r="FO222" t="str">
        <f t="shared" si="331"/>
        <v>QF38|XT38|кабель ВВГнг(А)-LS (3х2,5) → Шкаф телекоммуникационный ШТК-ЛВС.0 Цокольный этаж Пом. №002Т</v>
      </c>
      <c r="FP222" t="str" cm="1">
        <f t="array" ref="FP222">IF(FO222="","",_xlfn.LET(_xlpm.nd,_xlfn.TEXTSPLIT(FO222,"|"),IF(COLUMNS(_xlpm.nd)&gt;1,A222&amp;"¦"&amp;INDEX(_xlpm.nd,1)&amp;"¦"&amp;INDEX(_xlpm.nd,2),"")))</f>
        <v>ЩР-01¦QF38¦XT38</v>
      </c>
      <c r="FQ222" t="str">
        <f t="shared" si="332"/>
        <v>ШТК-ЛВС.0¦Шкаф телекоммуникационный ШТК-ЛВС.0 Цокольный этаж Пом. №002Т</v>
      </c>
      <c r="FR222" t="str" cm="1">
        <f t="array" ref="FR222">IF(FO222="","",_xlfn.LET(_xlpm.nd,_xlfn.TEXTSPLIT(FO222,"|"),IF(COLUMNS(_xlpm.nd)&gt;2,A222&amp;"¦"&amp;INDEX(_xlpm.nd,2)&amp;"¦"&amp;INDEX(_xlpm.nd,3),"")))</f>
        <v>ЩР-01¦XT38¦кабель ВВГнг(А)-LS (3х2,5) → Шкаф телекоммуникационный ШТК-ЛВС.0 Цокольный этаж Пом. №002Т</v>
      </c>
      <c r="FS222" t="str">
        <f t="shared" si="333"/>
        <v>ШТК-ЛВС.0¦Шкаф телекоммуникационный ШТК-ЛВС.0 Цокольный этаж Пом. №002Т</v>
      </c>
      <c r="FT222" t="str" cm="1">
        <f t="array" ref="FT222">IF(FO222="","",_xlfn.LET(_xlpm.nd,_xlfn.TEXTSPLIT(FO222,"|"),IF(COLUMNS(_xlpm.nd)&gt;3,A222&amp;"¦"&amp;INDEX(_xlpm.nd,3)&amp;"¦"&amp;INDEX(_xlpm.nd,4),"")))</f>
        <v/>
      </c>
      <c r="FU222" t="str">
        <f t="shared" si="334"/>
        <v/>
      </c>
      <c r="FV222" t="str" cm="1">
        <f t="array" ref="FV222">IF(FO222="","",_xlfn.LET(_xlpm.nd,_xlfn.TEXTSPLIT(FO222,"|"),IF(COLUMNS(_xlpm.nd)&gt;4,A222&amp;"¦"&amp;INDEX(_xlpm.nd,4)&amp;"¦"&amp;INDEX(_xlpm.nd,5),"")))</f>
        <v/>
      </c>
      <c r="FW222" t="str">
        <f t="shared" si="335"/>
        <v/>
      </c>
      <c r="FX222" t="str" cm="1">
        <f t="array" ref="FX222">IF(FO222="","",_xlfn.LET(_xlpm.nd,_xlfn.TEXTSPLIT(FO222,"|"),IF(COLUMNS(_xlpm.nd)&gt;5,A222&amp;"¦"&amp;INDEX(_xlpm.nd,5)&amp;"¦"&amp;INDEX(_xlpm.nd,6),"")))</f>
        <v/>
      </c>
      <c r="FY222" t="str">
        <f t="shared" si="336"/>
        <v/>
      </c>
      <c r="FZ222" t="str" cm="1">
        <f t="array" ref="FZ222">IF(FO222="","",_xlfn.LET(_xlpm.nd,_xlfn.TEXTSPLIT(FO222,"|"),IF(COLUMNS(_xlpm.nd)&gt;6,A222&amp;"¦"&amp;INDEX(_xlpm.nd,6)&amp;"¦"&amp;INDEX(_xlpm.nd,7),"")))</f>
        <v/>
      </c>
      <c r="GA222" t="str">
        <f t="shared" si="337"/>
        <v/>
      </c>
      <c r="GB222" t="str">
        <f t="shared" si="338"/>
        <v/>
      </c>
      <c r="GC222" t="str">
        <f t="shared" si="339"/>
        <v>QF38 → XT38</v>
      </c>
      <c r="GD222">
        <f t="shared" si="340"/>
        <v>1</v>
      </c>
      <c r="GE222">
        <f t="shared" si="341"/>
        <v>0</v>
      </c>
      <c r="GF222">
        <f t="shared" si="342"/>
        <v>0</v>
      </c>
      <c r="GG222" t="str">
        <f t="shared" si="343"/>
        <v/>
      </c>
      <c r="GH222" t="str">
        <f t="shared" si="344"/>
        <v/>
      </c>
      <c r="GI222" t="str">
        <f t="shared" si="345"/>
        <v/>
      </c>
      <c r="GJ222" t="str">
        <f t="shared" si="346"/>
        <v/>
      </c>
      <c r="GK222">
        <f>IF(D222="","",IFERROR(VLOOKUP(D222,УГО_спр,2,FALSE),IFERROR(VLOOKUP(AT222,УГО_спр,2,FALSE),IFERROR(VLOOKUP(LEFT(AT222,2),УГО_спр,2,FALSE),""))))</f>
        <v>0</v>
      </c>
      <c r="GL222" t="str">
        <f>IF(D222="","",IF(OR(GK222="",GK222=0),"BOX",IFERROR(IF(VLOOKUP(GK222,УГО_блоки,3,FALSE)&amp;""&lt;&gt;"",VLOOKUP(GK222,УГО_блоки,3,FALSE),VLOOKUP(GK222,УГО_блоки,2,FALSE)),GK222)))</f>
        <v>BOX</v>
      </c>
      <c r="GM222">
        <f t="shared" si="347"/>
        <v>1</v>
      </c>
      <c r="GN222" t="str">
        <f>IF(EP222="","",IF(COUNTIF(EP$3:EP222,EP222)=1,MAX(GN$2:GN221)+1,""))</f>
        <v/>
      </c>
      <c r="GO222" t="str">
        <f>IF(AF222="","",IF(COUNTIF(AF$3:AF222,AF222)+COUNTIF(AG$2:AG221,AF222)+COUNTIF(AH$2:AH221,AF222)=1,MAX(GO$2:GQ221)+1,""))</f>
        <v/>
      </c>
      <c r="GP222" t="str">
        <f>IF(AG222="","",IF(COUNTIF(AF$3:AF222,AG222)+COUNTIF(AG$3:AG222,AG222)+COUNTIF(AH$2:AH221,AG222)=1,MAX(GO$2:GQ221,GO222)+1,""))</f>
        <v/>
      </c>
      <c r="GQ222" t="str">
        <f>IF(AH222="","",IF(COUNTIF(AF$3:AF222,AH222)+COUNTIF(AG$3:AG222,AH222)+COUNTIF(AH$3:AH222,AH222)=1,MAX(GO$2:GQ221,GO222,GP222)+1,""))</f>
        <v/>
      </c>
      <c r="GR222" t="str">
        <f t="shared" si="348"/>
        <v>3х2,5</v>
      </c>
      <c r="GS222" t="str">
        <f>IF(GR222="","",IF(COUNTIF(GR$3:GR222,GR222)=1,MAX(GS$2:GS221)+1,""))</f>
        <v/>
      </c>
      <c r="GT222" t="str">
        <f>IF(ES222="","",COUNTIF(ES$3:ES222,"?*"))</f>
        <v/>
      </c>
      <c r="GU222" t="str">
        <f>IF(OR(ES222="",EU222=""),"",IF(COUNTIFS(ES$3:ES222,"?*",EU$3:EU222,EU222)=1,MAX(GU$2:GU221)+1,""))</f>
        <v/>
      </c>
      <c r="GV222">
        <f t="shared" si="349"/>
        <v>0</v>
      </c>
      <c r="GW222">
        <f>IF(D222="","",COUNTIF(D$3:D222,"?*"))</f>
        <v>220</v>
      </c>
      <c r="GX222">
        <f>IF(EX222&lt;&gt;1,0,_xlfn.LET(_xlpm.k,MAX(IFERROR(--VLOOKUP(D222,УГО_спр,5,FALSE),0),IFERROR(--VLOOKUP(AT222,УГО_спр,5,FALSE),0),IFERROR(--VLOOKUP(LEFT(AT222,2),УГО_спр,5,FALSE),0)),IF(_xlpm.k&gt;0,_xlpm.k,IF(IFERROR(--LEFT(SUBSTITUTE(GR222,"x","х"),FIND("х",SUBSTITUTE(GR222,"x","х"))-1),3)&gt;3,Каталог!$S$9,1))))</f>
        <v>1</v>
      </c>
      <c r="GY222">
        <f t="shared" si="350"/>
        <v>0</v>
      </c>
    </row>
    <row r="223" spans="1:207" x14ac:dyDescent="0.3">
      <c r="A223" t="s">
        <v>760</v>
      </c>
      <c r="B223">
        <v>57</v>
      </c>
      <c r="C223" t="str">
        <f>IF(BD223="","",IF(BE223="вводной узел","узел ","")&amp;"л."&amp;(INT((BD223-1)/Столбцов_на_лист)+1)&amp;" / "&amp;(MOD(BD223-1,Столбцов_на_лист)+1))</f>
        <v>л.4 / 6</v>
      </c>
      <c r="D223" t="s">
        <v>1539</v>
      </c>
      <c r="E223" s="133" t="s">
        <v>1540</v>
      </c>
      <c r="G223">
        <v>0.3</v>
      </c>
      <c r="H223">
        <v>1</v>
      </c>
      <c r="I223">
        <v>1</v>
      </c>
      <c r="J223">
        <v>230</v>
      </c>
      <c r="K223" t="s">
        <v>577</v>
      </c>
      <c r="O223">
        <v>1</v>
      </c>
      <c r="P223">
        <v>12</v>
      </c>
      <c r="R223">
        <v>12</v>
      </c>
      <c r="U223" t="s">
        <v>11</v>
      </c>
      <c r="V223">
        <v>3</v>
      </c>
      <c r="W223">
        <v>2.5</v>
      </c>
      <c r="X223">
        <v>16</v>
      </c>
      <c r="Z223" t="s">
        <v>581</v>
      </c>
      <c r="AA223" t="s">
        <v>818</v>
      </c>
      <c r="AD223" t="s">
        <v>517</v>
      </c>
      <c r="AR223" t="str">
        <f t="shared" si="264"/>
        <v/>
      </c>
      <c r="AS223" cm="1">
        <f t="array" ref="AS223">ROW()-ROW(Линии[#Headers])</f>
        <v>221</v>
      </c>
      <c r="AT223" t="str">
        <f t="shared" si="265"/>
        <v>ЩДК-01</v>
      </c>
      <c r="AU223" t="str">
        <f t="shared" si="266"/>
        <v/>
      </c>
      <c r="AV223" t="str">
        <f t="shared" si="267"/>
        <v/>
      </c>
      <c r="AW223" t="str">
        <f t="shared" si="268"/>
        <v/>
      </c>
      <c r="AX223" t="str">
        <f t="shared" si="269"/>
        <v/>
      </c>
      <c r="AY223" t="str">
        <f>IF(D223="","",IF(ISERROR(SEARCH(".",D223)),IFERROR(VLOOKUP(D223,Потребители_обозначение,2,FALSE)&amp;"",""),IFERROR(IF(VLOOKUP(AT223,Потребители_обозначение,4,FALSE)=1,VLOOKUP(AT223,Потребители_обозначение,2,FALSE)&amp;" "&amp;VLOOKUP(AV223,Этаж_обозначение,2,FALSE)&amp;" Пом. №"&amp;AX223,VLOOKUP(AT223,Потребители_обозначение,2,FALSE)&amp;" Шлейф №"&amp;AV223),IFERROR(VLOOKUP(D223,Потребители_обозначение,2,FALSE),""))))</f>
        <v/>
      </c>
      <c r="AZ223" t="str">
        <f t="shared" si="270"/>
        <v>Щит контроля доступа ШДК-01 Цокольный этаж Пом. №001Т</v>
      </c>
      <c r="BA223" t="str">
        <f>IF(F223&lt;&gt;"",F223,IF(AND(D223&lt;&gt;"",D223&lt;&gt;A223,ISNUMBER(_xlfn.XMATCH(D223,Щиты[Щит]))),D223,""))</f>
        <v/>
      </c>
      <c r="BB223">
        <f>IFERROR(_xlfn.XMATCH(A223,Щиты[Щит]),0)</f>
        <v>9</v>
      </c>
      <c r="BC223">
        <f>IFERROR(N(_xlfn.XLOOKUP(A223,Щиты[Щит],Щиты[Мест под вводной узел])),15)</f>
        <v>8</v>
      </c>
      <c r="BD223">
        <f t="shared" si="271"/>
        <v>57</v>
      </c>
      <c r="BE223" t="str">
        <f t="shared" si="272"/>
        <v>линии</v>
      </c>
      <c r="BF223">
        <f>IF(D223="","",IF(BA223&lt;&gt;"",IFERROR(_xlfn.XLOOKUP(BA223,Щиты[Щит],Щиты[Руст, кВт]),0),N(G223)))</f>
        <v>0.3</v>
      </c>
      <c r="BG223">
        <f>IF(J223&lt;&gt;"",J223,IF(D223="","",IFERROR(IF(VLOOKUP(AT223,Потребители_обозначение,8,FALSE)=0,"",VLOOKUP(AT223,Потребители_обозначение,8,FALSE)),"")))</f>
        <v>230</v>
      </c>
      <c r="BH223">
        <f>IF(I223&lt;&gt;"",I223,IF(D223="","",IFERROR(IF(VLOOKUP(AT223,Потребители_обозначение,9,FALSE)=0,"",VLOOKUP(AT223,Потребители_обозначение,9,FALSE)),"")))</f>
        <v>1</v>
      </c>
      <c r="BI223" t="str">
        <f>IF(U223&lt;&gt;"",U223,IF(D223="","",IFERROR(IF(VLOOKUP(AT223,Потребители_обозначение,6,FALSE)=0,"",VLOOKUP(AT223,Потребители_обозначение,6,FALSE)),"")))</f>
        <v>мс</v>
      </c>
      <c r="BJ223">
        <f>IF(V223&lt;&gt;"",V223,IF(D223="","",IFERROR(IF(VLOOKUP(AT223,Потребители_обозначение,7,FALSE)=0,"",VLOOKUP(AT223,Потребители_обозначение,7,FALSE)),"")))</f>
        <v>3</v>
      </c>
      <c r="BK223">
        <f>IF(W223&lt;&gt;"",W223,IF(D223="","",IFERROR(IF(VLOOKUP(AT223,Потребители_обозначение,10,FALSE)=0,"",VLOOKUP(AT223,Потребители_обозначение,10,FALSE)),"")))</f>
        <v>2.5</v>
      </c>
      <c r="BL223">
        <f>IFERROR(VLOOKUP(AT223,Потребители_обозначение,5,FALSE),0)</f>
        <v>0</v>
      </c>
      <c r="BM223" cm="1">
        <f t="array" ref="BM223">IF(D223="","",IF(BA223&lt;&gt;"",IFERROR(_xlfn.XLOOKUP(BA223,Щиты[Щит],Щиты[cos φ]),0.95),IF(ISNUMBER(M223),M223,IFERROR(IF(BL223=2,_xlfn.IFS(BH223=3,VLOOKUP(BF223,Справочная_двигатели,8,FALSE),BH223=1,VLOOKUP(BF223,Справочная_двигатели,10,TRUE)),IF(AND(Методика="нормы 2026",CN223="Сил"),0.8,0.95)),0.95))))</f>
        <v>0.95</v>
      </c>
      <c r="BN223" cm="1">
        <f t="array" ref="BN223">IF(D223="","",IF(BA223&lt;&gt;"",IFERROR(_xlfn.XLOOKUP(BA223,Щиты[Щит],Щиты[Iр, А]),""),IFERROR(_xlfn.IFS(BH223=1,BF223/((Uн_лин/SQRT(3))*BM223),BH223=3,BF223/(SQRT(3)*Uн_лин*BM223)),"")))</f>
        <v>1.3674085322912188</v>
      </c>
      <c r="BO223">
        <f>IF(D223="","",IF(N(X223)=0,IFERROR(VLOOKUP(BN223,Автомат_номиналы,2,TRUE),""),X223))</f>
        <v>16</v>
      </c>
      <c r="BP223">
        <f t="shared" si="273"/>
        <v>1</v>
      </c>
      <c r="BQ223">
        <f>IF(ISNUMBER(Y223),Y223,К_прокл)</f>
        <v>1</v>
      </c>
      <c r="BR223">
        <f t="shared" si="274"/>
        <v>2</v>
      </c>
      <c r="BS223" cm="1">
        <f t="array" ref="BS223">IF(D223="","",IF(N(BK223)&lt;&gt;0,BK223,IFERROR(_xlfn.LET(_xlpm.need,BO223/(BP223*BQ223),_xlpm.t,CHOOSE(BR223,Iдоп_1ж,Iдоп_2ж,Iдоп_3ж),_xlpm.k,_xlfn.XMATCH(_xlpm.need,_xlpm.t,1),IF(ISNA(_xlpm.k),"Не исп",INDEX(Iдоп_S,_xlpm.k))),"Не исп")))</f>
        <v>2.5</v>
      </c>
      <c r="BT223">
        <f>IFERROR(VLOOKUP(BS223,Кабель_сопротивление,3,FALSE),"")</f>
        <v>2.2499999999999999E-2</v>
      </c>
      <c r="BU223">
        <f>IFERROR(VLOOKUP(BS223,Кабель_сопротивление,2,FALSE),"")</f>
        <v>0.1</v>
      </c>
      <c r="BV223">
        <f t="shared" si="275"/>
        <v>12</v>
      </c>
      <c r="BW223">
        <f>IF(D223="","",IFERROR(IF(VLOOKUP(AT223,Потребители_обозначение,4,FALSE)=1,VLOOKUP(AT223,Потребители_обозначение,3,FALSE)*(H223*2-1)+BV223+VLOOKUP(AV223,Этаж_обозначение,3,FALSE)+VLOOKUP(AV223,Этаж_обозначение,4,FALSE),VLOOKUP(AT223,Потребители_обозначение,3,FALSE)*(H223*2-1)+BV223),BV223))</f>
        <v>12</v>
      </c>
      <c r="BX223">
        <f t="shared" si="276"/>
        <v>12</v>
      </c>
      <c r="BY223" t="str">
        <f t="shared" si="277"/>
        <v/>
      </c>
      <c r="BZ223">
        <f t="shared" si="278"/>
        <v>2</v>
      </c>
      <c r="CA223">
        <f t="shared" si="279"/>
        <v>0.31</v>
      </c>
      <c r="CB223">
        <f t="shared" si="280"/>
        <v>0.2816095827741828</v>
      </c>
      <c r="CC223">
        <f>IFERROR(ROUNDUP(CB223/((Uн_лин/SQRT(3))*1000)*100,2),"")</f>
        <v>0.13</v>
      </c>
      <c r="CD223">
        <f>IF(ISNUMBER(CC223),CC223+IFERROR(_xlfn.XLOOKUP(A223,Щиты[Щит],Щиты[ΔU до шин, %]),0),"")</f>
        <v>0.56000000000000005</v>
      </c>
      <c r="CE223">
        <f>IF(D223="","",IF(IFERROR(VLOOKUP(AT223,УГО_спр,2,FALSE),"")="Светильник",3,4)+IF(Методика="нормы 2026",MIN(0.5,MAX(0,N(BW223)-100)*0.005),0))</f>
        <v>4</v>
      </c>
      <c r="CF223" t="str">
        <f>IFERROR(VLOOKUP(BI223,Кабель_обозначение,2,FALSE),"")</f>
        <v>ВВГнг(А)-LS</v>
      </c>
      <c r="CG223" t="str">
        <f>IFERROR(IF(VLOOKUP(BI223,Кабель_обозначение,3,FALSE)=1,CF223&amp;" ("&amp;BJ223&amp;"х"&amp;BS223&amp;")",CF223),"")</f>
        <v>ВВГнг(А)-LS (3х2,5)</v>
      </c>
      <c r="CH223" t="str">
        <f t="shared" si="281"/>
        <v>ВВГнг(А)-LS (3х2,5)
L=12-0,13%</v>
      </c>
      <c r="CI223">
        <f>IFERROR(2*ρкз_Cu*BW223/BS223,"")</f>
        <v>0.25247999999999998</v>
      </c>
      <c r="CJ223">
        <f t="shared" si="282"/>
        <v>8.4000000000000005E-2</v>
      </c>
      <c r="CK223" t="str">
        <f>IFERROR(IF(OR(D223="",NOT(ISNUMBER(BS223)),N(BW223)=0),"",_xlfn.XLOOKUP(A223,Щиты[Щит],Щиты[Zпетли на шинах, Ом])+CI223),"")</f>
        <v/>
      </c>
      <c r="CL223" t="str">
        <f>IF(ISNUMBER(CK223),c_min*(Uн_лин*1000/SQRT(3))/CK223,"")</f>
        <v/>
      </c>
      <c r="CM223" t="str">
        <f>IFERROR(IF(OR(D223="",NOT(ISNUMBER(BS223))),"",1.05*(Uн_лин*1000/SQRT(3))/(_xlfn.XLOOKUP(A223,Щиты[Щит],Щиты[Zmax на шинах, Ом])+CJ223)/1000),"")</f>
        <v/>
      </c>
      <c r="CN223" t="str">
        <f>IF(D223="","",IF(BA223&lt;&gt;"","Щит",IF(K223&lt;&gt;"",K223,IF(ISNUMBER(L223),"Сил",IF(IFERROR(_xlfn.XLOOKUP(AT223,Коды_код,Коды_группа)&amp;"","")="","Быт",_xlfn.XLOOKUP(AT223,Коды_код,Коды_группа)&amp;"")))))</f>
        <v>Пост</v>
      </c>
      <c r="CO223">
        <f>IF(CN223="Щит","щит",IF(CN223="","",IF(CN223="Быт",IFERROR(_xlfn.XLOOKUP(A223,Щиты[Щит],Щиты[Кс быт]),1),IF(CN223="Сил",IF(ISNUMBER(L223),L223,IF(Методика="нормы 2026",IFERROR(_xlfn.XLOOKUP(A223,Щиты[Щит],Щиты[Кс силовых (табл. 7.5)]),1),1)),IF(OR(CN223="Пост",CN223="Отоп"),1,IF(CN223="ВНГ",0.7,0))))))</f>
        <v>1</v>
      </c>
      <c r="CP223">
        <f t="shared" si="283"/>
        <v>1</v>
      </c>
      <c r="CQ223">
        <f t="shared" si="284"/>
        <v>0.3</v>
      </c>
      <c r="CR223">
        <f t="shared" si="285"/>
        <v>0</v>
      </c>
      <c r="CS223">
        <f t="shared" si="286"/>
        <v>0</v>
      </c>
      <c r="CT223">
        <f t="shared" si="287"/>
        <v>0.3</v>
      </c>
      <c r="CU223">
        <f t="shared" si="288"/>
        <v>0</v>
      </c>
      <c r="CV223">
        <f t="shared" si="289"/>
        <v>0</v>
      </c>
      <c r="CW223">
        <f t="shared" si="290"/>
        <v>0.3</v>
      </c>
      <c r="CX223">
        <f t="shared" si="291"/>
        <v>0.28499999999999998</v>
      </c>
      <c r="CY223">
        <f t="shared" si="292"/>
        <v>3</v>
      </c>
      <c r="CZ223" t="str">
        <f t="shared" si="293"/>
        <v>L3</v>
      </c>
      <c r="DA223" cm="1">
        <f t="array" ref="DA223">IFERROR(IF(BL223=2,_xlfn.IFS(BH223=3,VLOOKUP(BF223,Справочная_двигатели,3,FALSE),BH223=1,VLOOKUP(BF223,Справочная_двигатели,5,TRUE)),0),0)</f>
        <v>0</v>
      </c>
      <c r="DB223">
        <f>IFERROR(IF(BL223=3,VLOOKUP(BF223,Справочная_ЛЭД,2,TRUE),0),0)</f>
        <v>0</v>
      </c>
      <c r="DC223">
        <f t="shared" si="294"/>
        <v>0</v>
      </c>
      <c r="DD223" t="str">
        <f t="shared" si="295"/>
        <v>L1</v>
      </c>
      <c r="DE223" t="str" cm="1">
        <f t="array" ref="DE223">IF(D223="","",IFERROR(INDEX({"I особая","I","II","III"},MATCH(TRIM(AA223&amp;""),{"I особая","I","II","III"},0)),"III"))</f>
        <v>II</v>
      </c>
      <c r="DF223" t="str">
        <f>IF(D223="","",IF(TRIM(AB223&amp;"")&lt;&gt;"",IF(LOWER(TRIM(AB223&amp;""))="да","да","нет"),IF(IFERROR(_xlfn.XLOOKUP(AT223,Коды_код,Коды_пожарная),"")="да","да","нет")))</f>
        <v>нет</v>
      </c>
      <c r="DG223" t="str">
        <f t="shared" si="296"/>
        <v/>
      </c>
      <c r="DH223" t="str">
        <f t="shared" si="297"/>
        <v>основная</v>
      </c>
      <c r="DI223">
        <f t="shared" si="298"/>
        <v>1</v>
      </c>
      <c r="DJ223" t="str" cm="1">
        <f t="array" ref="DJ223">IF(D223="","",_xlfn.LET(_xlpm.t,IFERROR(_xlfn.XLOOKUP(1,(Шины[Шина]=DH223)*(((Шины[Щит]=A223)+(Шины[Щит]=""))&gt;0),Шины[Тип]),"")&amp;"",IF(_xlpm.t&lt;&gt;"",_xlpm.t,IF(ISNUMBER(SEARCH("ИБП",DH223)),"ИБП",IF(ISNUMBER(SEARCH("ДГУ",DH223)),"ДГУ","Ввод "&amp;DI223)))))</f>
        <v>Ввод 1</v>
      </c>
      <c r="DK223" t="str">
        <f t="shared" si="299"/>
        <v>Ввод 1</v>
      </c>
      <c r="DL223" t="str">
        <f>IF(D223="","",IF(OR(DJ223="ИБП",DJ223="ДГУ"),"I особая",IF(DJ223="Одиночная","III",_xlfn.XLOOKUP(A223,Щиты[Щит],Щиты[Категория шины «Ввод»],"III"))))</f>
        <v>II</v>
      </c>
      <c r="DM223">
        <f>IF(D223="",0,IFERROR(MATCH(DE223,{"III","II","I","I особая"},0),1))</f>
        <v>2</v>
      </c>
      <c r="DN223">
        <f t="shared" si="300"/>
        <v>2</v>
      </c>
      <c r="DO223" t="str">
        <f>IF(D223="","",IF(DM223&gt;IFERROR(MATCH(DL223,{"III","II","I","I особая"},0),1),"НЕ ОБЕСПЕЧЕНА","ОК"))</f>
        <v>ОК</v>
      </c>
      <c r="DP223" t="str">
        <f>IF(A223="","",_xlfn.XLOOKUP(A223,Щиты[Щит],Щиты[Путь],""))</f>
        <v>|ГРЩ-ЖД|ЩР-01|</v>
      </c>
      <c r="DQ223" t="str">
        <f>IF(D223="","",IF(Z223&lt;&gt;"",Z223,IF(IFERROR(_xlfn.XLOOKUP(AT223,Коды_код,Коды_вид)&amp;"","")="","Прочее",_xlfn.XLOOKUP(AT223,Коды_код,Коды_вид)&amp;"")))</f>
        <v>Системы безопасности и связи</v>
      </c>
      <c r="DR223">
        <f>IF(BD223="","",INT((BD223-1)/Столбцов_на_лист)+1)</f>
        <v>4</v>
      </c>
      <c r="DS223" t="str">
        <f t="shared" si="301"/>
        <v>ВВГнг(А)-LS (3х2,5) L=12-0,13%</v>
      </c>
      <c r="DT223">
        <f t="shared" si="302"/>
        <v>0.3</v>
      </c>
      <c r="DU223">
        <f t="shared" si="303"/>
        <v>1.37</v>
      </c>
      <c r="DV223">
        <f t="shared" si="304"/>
        <v>1</v>
      </c>
      <c r="DW223">
        <f>IF(AT223="",0,_xlfn.LET(_xlpm.v,IFERROR(VLOOKUP(D223,УГО_спр,3,FALSE),IFERROR(VLOOKUP(AT223,УГО_спр,3,FALSE),IFERROR(VLOOKUP(LEFT(AT223,2),УГО_спр,3,FALSE),""))),IF(_xlpm.v="да",30,IF(ISNUMBER(_xlpm.v),_xlpm.v,0))))</f>
        <v>0</v>
      </c>
      <c r="DX223">
        <f t="shared" si="305"/>
        <v>0</v>
      </c>
      <c r="DY223">
        <f>IF(BD223="","",IF(AD223&lt;&gt;"",COUNTIFS(A$3:A223,A223,AD$3:AD223,"?*"),IF(OR(OR(AS223=1,A223&lt;&gt;A222),AL223="вручную"),"",IF(AS223=1,"",DZ222))))</f>
        <v>39</v>
      </c>
      <c r="DZ223">
        <f t="shared" si="306"/>
        <v>39</v>
      </c>
      <c r="EA223">
        <f>IF(D223="",0,MAX(IFERROR(--X223,0),IFERROR(--VLOOKUP(D223,УГО_спр,4,FALSE),IFERROR(--VLOOKUP(AT223,УГО_спр,4,FALSE),IFERROR(--VLOOKUP(LEFT(AT223,2),УГО_спр,4,FALSE),0)))))</f>
        <v>16</v>
      </c>
      <c r="EB223">
        <f>IF(D223="","",IFERROR(LOOKUP(INDEX(CHOOSE(BR223,Iдоп_1ж,Iдоп_2ж,Iдоп_3ж),MATCH(BS223,Iдоп_S,0))*BP223*BQ223,{6,10,16,20,25,32,40,50,63,80,100,125,160,200,250,315,400,500,630}),""))</f>
        <v>25</v>
      </c>
      <c r="EC223">
        <f>IF(AD223="","",SUMIFS(Линии[_Ток схемы],Линии[_гр.],DY223,Линии[Щит],A223,Линии[_в кабель выше],0))</f>
        <v>1.37</v>
      </c>
      <c r="ED223">
        <f>IF(AD223="","",IFERROR(VLOOKUP(EC223,Автомат_номиналы,2,TRUE),""))</f>
        <v>6</v>
      </c>
      <c r="EE223">
        <f>IF(AD223="","",MAX(N(ED223),_xlfn.MAXIFS(Линии[_мин. по типу],Линии[_гр.],DY223,Линии[Щит],A223)))</f>
        <v>16</v>
      </c>
      <c r="EF223">
        <f>IF(AD223="","",_xlfn.MINIFS(Линии[_макс. автомат по кабелю],Линии[_гр.],DY223,Линии[Щит],A223))</f>
        <v>25</v>
      </c>
      <c r="EG223">
        <f>IF(AD223="","",MAX(1,_xlfn.MAXIFS(Линии[_фаз],Линии[_гр.],DY223,Линии[Щит],A223)))</f>
        <v>1</v>
      </c>
      <c r="EH223">
        <f>IF(AD223="","",IF(AND(AD223&lt;&gt;"авто",AD223&lt;&gt;"+"),IF(ISNUMBER(SEARCH("мА",AD223)),IFERROR(--TRIM(RIGHT(SUBSTITUTE(LEFT(AD223,SEARCH("мА",AD223)-1)," ",REPT(" ",9)),6)),30),0),IF(AE223="нет",0,IF(ISNUMBER(AE223),AE223,IF(AE223="да",30,_xlfn.MINIFS(Линии[_дифзащита по коду, мА],Линии[_гр.],DY223,Линии[Щит],A223,Линии[_дифзащита по коду, мА],"&gt;0"))))))</f>
        <v>0</v>
      </c>
      <c r="EI223">
        <f t="shared" si="307"/>
        <v>0</v>
      </c>
      <c r="EJ223" t="str">
        <f t="shared" si="308"/>
        <v>QF39</v>
      </c>
      <c r="EK223" t="str">
        <f t="shared" si="309"/>
        <v>QF39</v>
      </c>
      <c r="EL223" t="str">
        <f t="shared" si="310"/>
        <v/>
      </c>
      <c r="EM223">
        <f t="shared" si="311"/>
        <v>0</v>
      </c>
      <c r="EN223">
        <f>IF(AD223="","",IF(EM223=1,MAX(EE223,Мин_автомат_БП),EE223))</f>
        <v>16</v>
      </c>
      <c r="EO223" t="str">
        <f t="shared" si="312"/>
        <v>1P</v>
      </c>
      <c r="EP223" t="str">
        <f t="shared" si="313"/>
        <v>1P С16А</v>
      </c>
      <c r="EQ223">
        <f t="shared" si="314"/>
        <v>16</v>
      </c>
      <c r="ER223" t="str">
        <f>IF(OR(AI223="",AI223="-"),"",IFERROR(VLOOKUP(AI223,Модули_спр,2,FALSE),"R"))</f>
        <v/>
      </c>
      <c r="ES223" t="str">
        <f>IF(ER223="","",ER223&amp;"."&amp;COUNTIFS(A$3:A223,A223,ER$3:ER223,ER223))</f>
        <v/>
      </c>
      <c r="ET223" t="str">
        <f t="shared" si="315"/>
        <v/>
      </c>
      <c r="EU223" t="str">
        <f t="shared" si="316"/>
        <v/>
      </c>
      <c r="EV223" t="str">
        <f t="shared" si="317"/>
        <v/>
      </c>
      <c r="EW223" t="str">
        <f t="shared" si="318"/>
        <v/>
      </c>
      <c r="EX223">
        <f t="shared" si="319"/>
        <v>1</v>
      </c>
      <c r="EY223" t="str">
        <f>IF(AK223="нет","",IF(AK223&lt;&gt;"",AK223,IF(EX223=1,"XT"&amp;COUNTIFS(A$3:A223,A223,EX$3:EX223,1),"")))</f>
        <v>XT39</v>
      </c>
      <c r="EZ223" t="str">
        <f t="shared" si="320"/>
        <v>QF39</v>
      </c>
      <c r="FA223" t="str">
        <f t="shared" si="321"/>
        <v/>
      </c>
      <c r="FB223" t="str">
        <f t="shared" si="322"/>
        <v>ok</v>
      </c>
      <c r="FC223" t="str">
        <f>IF(OR(EV223="",ET223=""),"",IF(EV223&gt;IFERROR(VLOOKUP(EU223,Модули_спр,3,FALSE),99),"ЛИШНИЙ КАНАЛ",IF(AND(AJ223&lt;&gt;"=",COUNTIFS(Линии[_модуль гр.],ET223,Линии[Канал (итог)],EV223,Линии[Канал],"&lt;&gt;=",Линии[Щит],A223)&gt;1),"ДУБЛЬ КАНАЛА","")))</f>
        <v/>
      </c>
      <c r="FD223">
        <f t="shared" si="323"/>
        <v>16</v>
      </c>
      <c r="FE223" t="str">
        <f t="shared" si="324"/>
        <v>1P С16А</v>
      </c>
      <c r="FF223">
        <f t="shared" si="325"/>
        <v>0</v>
      </c>
      <c r="FG223">
        <f t="shared" si="326"/>
        <v>0</v>
      </c>
      <c r="FH223" t="str">
        <f t="shared" si="327"/>
        <v/>
      </c>
      <c r="FI223">
        <f t="shared" si="328"/>
        <v>10</v>
      </c>
      <c r="FJ223" t="str">
        <f t="shared" si="329"/>
        <v/>
      </c>
      <c r="FK223" t="str">
        <f>IF(AND(D223="",EZ223=""),"",_xlfn.TEXTJOIN("; ",TRUE,IF(AND(D223&lt;&gt;"",DD223=""),"нет фазы",""),IF(AND(D223&lt;&gt;"",N(DT223)=0,CN223&lt;&gt;"Нет"),"нет мощности",""),IF(AND(EY223&lt;&gt;"",COUNTIFS(Линии[Щит],A223,Линии[Клемма (итог)],EY223)&gt;1),"дубль клеммы "&amp;EY223,""),IF(AND(FB223&lt;&gt;"",FB223&lt;&gt;"ok"),FB223,""),IF(FC223&lt;&gt;"",FC223,""),IF(AND(ISNUMBER(SEARCH("(5х",DS223)),N(DV223)=1),"5 жил на 1 фазе",""),IF(AND(AT223="R",AD223&lt;&gt;"",OR(N(EH223)=0,N(EH223)&gt;30)),"розетка без дифзащиты до 30 мА",""),IFERROR(IF(AND(ISNUMBER(CD223),CD223&gt;CE223),"потери "&amp;FIXED(CD223,1)&amp;" % &gt; "&amp;CE223&amp;" %",""),""),IFERROR(IF(LEFT(FJ223,4)="мало","Iкз мало — отключение &gt; 0,4 с",""),""),IF(AND(D223&lt;&gt;"",BD223=""),"не на схеме","")))</f>
        <v/>
      </c>
      <c r="FL223">
        <f>IF(AD223="","",_xlfn.LET(_xlpm.t,IFERROR(_xlfn.XLOOKUP(EP223,Каталог!$U$4:$U$500,Каталог!$G$4:$G$500),""),_xlpm.k,SEARCH("кА",_xlpm.t),IFERROR(--TRIM(RIGHT(SUBSTITUTE(MID(_xlpm.t,MAX(1,_xlpm.k-4),_xlpm.k-MAX(1,_xlpm.k-4))," ",REPT(" ",9)),5)),"")))</f>
        <v>6</v>
      </c>
      <c r="FM223" t="str">
        <f>IF(OR(FL223="",AD223=""),"",IF(_xlfn.XLOOKUP(A223,Щиты[Щит],Щиты[Iкз max на шинах, кА],"")="","",IF(FL223&lt;_xlfn.XLOOKUP(A223,Щиты[Щит],Щиты[Iкз max на шинах, кА]),"Icu "&amp;FL223&amp;" кА &lt; Iкз max","ok")))</f>
        <v/>
      </c>
      <c r="FN223" t="str">
        <f t="shared" si="330"/>
        <v>QF39|XT39</v>
      </c>
      <c r="FO223" t="str">
        <f t="shared" si="331"/>
        <v>QF39|XT39|кабель ВВГнг(А)-LS (3х2,5) → Щит контроля доступа ШДК-01 Цокольный этаж Пом. №001Т</v>
      </c>
      <c r="FP223" t="str" cm="1">
        <f t="array" ref="FP223">IF(FO223="","",_xlfn.LET(_xlpm.nd,_xlfn.TEXTSPLIT(FO223,"|"),IF(COLUMNS(_xlpm.nd)&gt;1,A223&amp;"¦"&amp;INDEX(_xlpm.nd,1)&amp;"¦"&amp;INDEX(_xlpm.nd,2),"")))</f>
        <v>ЩР-01¦QF39¦XT39</v>
      </c>
      <c r="FQ223" t="str">
        <f t="shared" si="332"/>
        <v>ЩДК-01¦Щит контроля доступа ШДК-01 Цокольный этаж Пом. №001Т</v>
      </c>
      <c r="FR223" t="str" cm="1">
        <f t="array" ref="FR223">IF(FO223="","",_xlfn.LET(_xlpm.nd,_xlfn.TEXTSPLIT(FO223,"|"),IF(COLUMNS(_xlpm.nd)&gt;2,A223&amp;"¦"&amp;INDEX(_xlpm.nd,2)&amp;"¦"&amp;INDEX(_xlpm.nd,3),"")))</f>
        <v>ЩР-01¦XT39¦кабель ВВГнг(А)-LS (3х2,5) → Щит контроля доступа ШДК-01 Цокольный этаж Пом. №001Т</v>
      </c>
      <c r="FS223" t="str">
        <f t="shared" si="333"/>
        <v>ЩДК-01¦Щит контроля доступа ШДК-01 Цокольный этаж Пом. №001Т</v>
      </c>
      <c r="FT223" t="str" cm="1">
        <f t="array" ref="FT223">IF(FO223="","",_xlfn.LET(_xlpm.nd,_xlfn.TEXTSPLIT(FO223,"|"),IF(COLUMNS(_xlpm.nd)&gt;3,A223&amp;"¦"&amp;INDEX(_xlpm.nd,3)&amp;"¦"&amp;INDEX(_xlpm.nd,4),"")))</f>
        <v/>
      </c>
      <c r="FU223" t="str">
        <f t="shared" si="334"/>
        <v/>
      </c>
      <c r="FV223" t="str" cm="1">
        <f t="array" ref="FV223">IF(FO223="","",_xlfn.LET(_xlpm.nd,_xlfn.TEXTSPLIT(FO223,"|"),IF(COLUMNS(_xlpm.nd)&gt;4,A223&amp;"¦"&amp;INDEX(_xlpm.nd,4)&amp;"¦"&amp;INDEX(_xlpm.nd,5),"")))</f>
        <v/>
      </c>
      <c r="FW223" t="str">
        <f t="shared" si="335"/>
        <v/>
      </c>
      <c r="FX223" t="str" cm="1">
        <f t="array" ref="FX223">IF(FO223="","",_xlfn.LET(_xlpm.nd,_xlfn.TEXTSPLIT(FO223,"|"),IF(COLUMNS(_xlpm.nd)&gt;5,A223&amp;"¦"&amp;INDEX(_xlpm.nd,5)&amp;"¦"&amp;INDEX(_xlpm.nd,6),"")))</f>
        <v/>
      </c>
      <c r="FY223" t="str">
        <f t="shared" si="336"/>
        <v/>
      </c>
      <c r="FZ223" t="str" cm="1">
        <f t="array" ref="FZ223">IF(FO223="","",_xlfn.LET(_xlpm.nd,_xlfn.TEXTSPLIT(FO223,"|"),IF(COLUMNS(_xlpm.nd)&gt;6,A223&amp;"¦"&amp;INDEX(_xlpm.nd,6)&amp;"¦"&amp;INDEX(_xlpm.nd,7),"")))</f>
        <v/>
      </c>
      <c r="GA223" t="str">
        <f t="shared" si="337"/>
        <v/>
      </c>
      <c r="GB223" t="str">
        <f t="shared" si="338"/>
        <v/>
      </c>
      <c r="GC223" t="str">
        <f t="shared" si="339"/>
        <v>QF39 → XT39</v>
      </c>
      <c r="GD223">
        <f t="shared" si="340"/>
        <v>1</v>
      </c>
      <c r="GE223">
        <f t="shared" si="341"/>
        <v>0</v>
      </c>
      <c r="GF223">
        <f t="shared" si="342"/>
        <v>0</v>
      </c>
      <c r="GG223" t="str">
        <f t="shared" si="343"/>
        <v/>
      </c>
      <c r="GH223" t="str">
        <f t="shared" si="344"/>
        <v/>
      </c>
      <c r="GI223" t="str">
        <f t="shared" si="345"/>
        <v/>
      </c>
      <c r="GJ223" t="str">
        <f t="shared" si="346"/>
        <v/>
      </c>
      <c r="GK223" t="str">
        <f>IF(D223="","",IFERROR(VLOOKUP(D223,УГО_спр,2,FALSE),IFERROR(VLOOKUP(AT223,УГО_спр,2,FALSE),IFERROR(VLOOKUP(LEFT(AT223,2),УГО_спр,2,FALSE),""))))</f>
        <v/>
      </c>
      <c r="GL223" t="str">
        <f>IF(D223="","",IF(OR(GK223="",GK223=0),"BOX",IFERROR(IF(VLOOKUP(GK223,УГО_блоки,3,FALSE)&amp;""&lt;&gt;"",VLOOKUP(GK223,УГО_блоки,3,FALSE),VLOOKUP(GK223,УГО_блоки,2,FALSE)),GK223)))</f>
        <v>BOX</v>
      </c>
      <c r="GM223">
        <f t="shared" si="347"/>
        <v>1</v>
      </c>
      <c r="GN223" t="str">
        <f>IF(EP223="","",IF(COUNTIF(EP$3:EP223,EP223)=1,MAX(GN$2:GN222)+1,""))</f>
        <v/>
      </c>
      <c r="GO223" t="str">
        <f>IF(AF223="","",IF(COUNTIF(AF$3:AF223,AF223)+COUNTIF(AG$2:AG222,AF223)+COUNTIF(AH$2:AH222,AF223)=1,MAX(GO$2:GQ222)+1,""))</f>
        <v/>
      </c>
      <c r="GP223" t="str">
        <f>IF(AG223="","",IF(COUNTIF(AF$3:AF223,AG223)+COUNTIF(AG$3:AG223,AG223)+COUNTIF(AH$2:AH222,AG223)=1,MAX(GO$2:GQ222,GO223)+1,""))</f>
        <v/>
      </c>
      <c r="GQ223" t="str">
        <f>IF(AH223="","",IF(COUNTIF(AF$3:AF223,AH223)+COUNTIF(AG$3:AG223,AH223)+COUNTIF(AH$3:AH223,AH223)=1,MAX(GO$2:GQ222,GO223,GP223)+1,""))</f>
        <v/>
      </c>
      <c r="GR223" t="str">
        <f t="shared" si="348"/>
        <v>3х2,5</v>
      </c>
      <c r="GS223" t="str">
        <f>IF(GR223="","",IF(COUNTIF(GR$3:GR223,GR223)=1,MAX(GS$2:GS222)+1,""))</f>
        <v/>
      </c>
      <c r="GT223" t="str">
        <f>IF(ES223="","",COUNTIF(ES$3:ES223,"?*"))</f>
        <v/>
      </c>
      <c r="GU223" t="str">
        <f>IF(OR(ES223="",EU223=""),"",IF(COUNTIFS(ES$3:ES223,"?*",EU$3:EU223,EU223)=1,MAX(GU$2:GU222)+1,""))</f>
        <v/>
      </c>
      <c r="GV223">
        <f t="shared" si="349"/>
        <v>0</v>
      </c>
      <c r="GW223">
        <f>IF(D223="","",COUNTIF(D$3:D223,"?*"))</f>
        <v>221</v>
      </c>
      <c r="GX223">
        <f>IF(EX223&lt;&gt;1,0,_xlfn.LET(_xlpm.k,MAX(IFERROR(--VLOOKUP(D223,УГО_спр,5,FALSE),0),IFERROR(--VLOOKUP(AT223,УГО_спр,5,FALSE),0),IFERROR(--VLOOKUP(LEFT(AT223,2),УГО_спр,5,FALSE),0)),IF(_xlpm.k&gt;0,_xlpm.k,IF(IFERROR(--LEFT(SUBSTITUTE(GR223,"x","х"),FIND("х",SUBSTITUTE(GR223,"x","х"))-1),3)&gt;3,Каталог!$S$9,1))))</f>
        <v>1</v>
      </c>
      <c r="GY223">
        <f t="shared" si="350"/>
        <v>0</v>
      </c>
    </row>
    <row r="224" spans="1:207" x14ac:dyDescent="0.3">
      <c r="A224" t="s">
        <v>762</v>
      </c>
      <c r="B224">
        <v>2</v>
      </c>
      <c r="C224" t="str">
        <f>IF(BD224="","",IF(BE224="вводной узел","узел ","")&amp;"л."&amp;(INT((BD224-1)/Столбцов_на_лист)+1)&amp;" / "&amp;(MOD(BD224-1,Столбцов_на_лист)+1))</f>
        <v>узел л.1 / 2</v>
      </c>
      <c r="D224" t="s">
        <v>746</v>
      </c>
      <c r="E224" s="133" t="s">
        <v>58</v>
      </c>
      <c r="G224" t="s">
        <v>18</v>
      </c>
      <c r="H224">
        <v>1</v>
      </c>
      <c r="I224">
        <v>3</v>
      </c>
      <c r="J224">
        <v>400</v>
      </c>
      <c r="K224" t="s">
        <v>551</v>
      </c>
      <c r="O224" t="s">
        <v>1298</v>
      </c>
      <c r="U224" t="s">
        <v>11</v>
      </c>
      <c r="V224">
        <v>5</v>
      </c>
      <c r="W224">
        <v>16</v>
      </c>
      <c r="X224">
        <v>63</v>
      </c>
      <c r="AL224" t="s">
        <v>1301</v>
      </c>
      <c r="AR224" t="str">
        <f t="shared" si="264"/>
        <v/>
      </c>
      <c r="AS224" cm="1">
        <f t="array" ref="AS224">ROW()-ROW(Линии[#Headers])</f>
        <v>222</v>
      </c>
      <c r="AT224" t="str">
        <f t="shared" si="265"/>
        <v>Ввод</v>
      </c>
      <c r="AU224" t="str">
        <f t="shared" si="266"/>
        <v>1</v>
      </c>
      <c r="AV224" t="str">
        <f t="shared" si="267"/>
        <v>1</v>
      </c>
      <c r="AW224" t="str">
        <f t="shared" si="268"/>
        <v/>
      </c>
      <c r="AX224" t="str">
        <f t="shared" si="269"/>
        <v/>
      </c>
      <c r="AY224" t="str">
        <f>IF(D224="","",IF(ISERROR(SEARCH(".",D224)),IFERROR(VLOOKUP(D224,Потребители_обозначение,2,FALSE)&amp;"",""),IFERROR(IF(VLOOKUP(AT224,Потребители_обозначение,4,FALSE)=1,VLOOKUP(AT224,Потребители_обозначение,2,FALSE)&amp;" "&amp;VLOOKUP(AV224,Этаж_обозначение,2,FALSE)&amp;" Пом. №"&amp;AX224,VLOOKUP(AT224,Потребители_обозначение,2,FALSE)&amp;" Шлейф №"&amp;AV224),IFERROR(VLOOKUP(D224,Потребители_обозначение,2,FALSE),""))))</f>
        <v>Вводной кабель Шлейф №1</v>
      </c>
      <c r="AZ224" t="str">
        <f t="shared" si="270"/>
        <v>Ввод</v>
      </c>
      <c r="BA224" t="str">
        <f>IF(F224&lt;&gt;"",F224,IF(AND(D224&lt;&gt;"",D224&lt;&gt;A224,ISNUMBER(_xlfn.XMATCH(D224,Щиты[Щит]))),D224,""))</f>
        <v/>
      </c>
      <c r="BB224">
        <f>IFERROR(_xlfn.XMATCH(A224,Щиты[Щит]),0)</f>
        <v>10</v>
      </c>
      <c r="BC224">
        <f>IFERROR(N(_xlfn.XLOOKUP(A224,Щиты[Щит],Щиты[Мест под вводной узел])),15)</f>
        <v>8</v>
      </c>
      <c r="BD224">
        <f t="shared" si="271"/>
        <v>2</v>
      </c>
      <c r="BE224" t="str">
        <f t="shared" si="272"/>
        <v>вводной узел</v>
      </c>
      <c r="BF224">
        <f>IF(D224="","",IF(BA224&lt;&gt;"",IFERROR(_xlfn.XLOOKUP(BA224,Щиты[Щит],Щиты[Руст, кВт]),0),N(G224)))</f>
        <v>0</v>
      </c>
      <c r="BG224">
        <f>IF(J224&lt;&gt;"",J224,IF(D224="","",IFERROR(IF(VLOOKUP(AT224,Потребители_обозначение,8,FALSE)=0,"",VLOOKUP(AT224,Потребители_обозначение,8,FALSE)),"")))</f>
        <v>400</v>
      </c>
      <c r="BH224">
        <f>IF(I224&lt;&gt;"",I224,IF(D224="","",IFERROR(IF(VLOOKUP(AT224,Потребители_обозначение,9,FALSE)=0,"",VLOOKUP(AT224,Потребители_обозначение,9,FALSE)),"")))</f>
        <v>3</v>
      </c>
      <c r="BI224" t="str">
        <f>IF(U224&lt;&gt;"",U224,IF(D224="","",IFERROR(IF(VLOOKUP(AT224,Потребители_обозначение,6,FALSE)=0,"",VLOOKUP(AT224,Потребители_обозначение,6,FALSE)),"")))</f>
        <v>мс</v>
      </c>
      <c r="BJ224">
        <f>IF(V224&lt;&gt;"",V224,IF(D224="","",IFERROR(IF(VLOOKUP(AT224,Потребители_обозначение,7,FALSE)=0,"",VLOOKUP(AT224,Потребители_обозначение,7,FALSE)),"")))</f>
        <v>5</v>
      </c>
      <c r="BK224">
        <f>IF(W224&lt;&gt;"",W224,IF(D224="","",IFERROR(IF(VLOOKUP(AT224,Потребители_обозначение,10,FALSE)=0,"",VLOOKUP(AT224,Потребители_обозначение,10,FALSE)),"")))</f>
        <v>16</v>
      </c>
      <c r="BL224">
        <f>IFERROR(VLOOKUP(AT224,Потребители_обозначение,5,FALSE),0)</f>
        <v>1</v>
      </c>
      <c r="BM224" cm="1">
        <f t="array" ref="BM224">IF(D224="","",IF(BA224&lt;&gt;"",IFERROR(_xlfn.XLOOKUP(BA224,Щиты[Щит],Щиты[cos φ]),0.95),IF(ISNUMBER(M224),M224,IFERROR(IF(BL224=2,_xlfn.IFS(BH224=3,VLOOKUP(BF224,Справочная_двигатели,8,FALSE),BH224=1,VLOOKUP(BF224,Справочная_двигатели,10,TRUE)),IF(AND(Методика="нормы 2026",CN224="Сил"),0.8,0.95)),0.95))))</f>
        <v>0.95</v>
      </c>
      <c r="BN224" cm="1">
        <f t="array" ref="BN224">IF(D224="","",IF(BA224&lt;&gt;"",IFERROR(_xlfn.XLOOKUP(BA224,Щиты[Щит],Щиты[Iр, А]),""),IFERROR(_xlfn.IFS(BH224=1,BF224/((Uн_лин/SQRT(3))*BM224),BH224=3,BF224/(SQRT(3)*Uн_лин*BM224)),"")))</f>
        <v>0</v>
      </c>
      <c r="BO224">
        <f>IF(D224="","",IF(N(X224)=0,IFERROR(VLOOKUP(BN224,Автомат_номиналы,2,TRUE),""),X224))</f>
        <v>63</v>
      </c>
      <c r="BP224">
        <f t="shared" si="273"/>
        <v>0.92</v>
      </c>
      <c r="BQ224">
        <f>IF(ISNUMBER(Y224),Y224,К_прокл)</f>
        <v>1</v>
      </c>
      <c r="BR224">
        <f t="shared" si="274"/>
        <v>3</v>
      </c>
      <c r="BS224" cm="1">
        <f t="array" ref="BS224">IF(D224="","",IF(N(BK224)&lt;&gt;0,BK224,IFERROR(_xlfn.LET(_xlpm.need,BO224/(BP224*BQ224),_xlpm.t,CHOOSE(BR224,Iдоп_1ж,Iдоп_2ж,Iдоп_3ж),_xlpm.k,_xlfn.XMATCH(_xlpm.need,_xlpm.t,1),IF(ISNA(_xlpm.k),"Не исп",INDEX(Iдоп_S,_xlpm.k))),"Не исп")))</f>
        <v>16</v>
      </c>
      <c r="BT224">
        <f>IFERROR(VLOOKUP(BS224,Кабель_сопротивление,3,FALSE),"")</f>
        <v>2.2499999999999999E-2</v>
      </c>
      <c r="BU224">
        <f>IFERROR(VLOOKUP(BS224,Кабель_сопротивление,2,FALSE),"")</f>
        <v>6.7500000000000004E-2</v>
      </c>
      <c r="BV224" t="str">
        <f t="shared" si="275"/>
        <v/>
      </c>
      <c r="BW224" t="str">
        <f>IF(D224="","",IFERROR(IF(VLOOKUP(AT224,Потребители_обозначение,4,FALSE)=1,VLOOKUP(AT224,Потребители_обозначение,3,FALSE)*(H224*2-1)+BV224+VLOOKUP(AV224,Этаж_обозначение,3,FALSE)+VLOOKUP(AV224,Этаж_обозначение,4,FALSE),VLOOKUP(AT224,Потребители_обозначение,3,FALSE)*(H224*2-1)+BV224),BV224))</f>
        <v/>
      </c>
      <c r="BX224" t="str">
        <f t="shared" si="276"/>
        <v/>
      </c>
      <c r="BY224" t="str">
        <f t="shared" si="277"/>
        <v/>
      </c>
      <c r="BZ224">
        <f t="shared" si="278"/>
        <v>1</v>
      </c>
      <c r="CA224">
        <f t="shared" si="279"/>
        <v>0.31</v>
      </c>
      <c r="CB224" t="str">
        <f t="shared" si="280"/>
        <v/>
      </c>
      <c r="CC224" t="str">
        <f>IFERROR(ROUNDUP(CB224/((Uн_лин/SQRT(3))*1000)*100,2),"")</f>
        <v/>
      </c>
      <c r="CD224" t="str">
        <f>IF(ISNUMBER(CC224),CC224+IFERROR(_xlfn.XLOOKUP(A224,Щиты[Щит],Щиты[ΔU до шин, %]),0),"")</f>
        <v/>
      </c>
      <c r="CE224">
        <f>IF(D224="","",IF(IFERROR(VLOOKUP(AT224,УГО_спр,2,FALSE),"")="Светильник",3,4)+IF(Методика="нормы 2026",MIN(0.5,MAX(0,N(BW224)-100)*0.005),0))</f>
        <v>4</v>
      </c>
      <c r="CF224" t="str">
        <f>IFERROR(VLOOKUP(BI224,Кабель_обозначение,2,FALSE),"")</f>
        <v>ВВГнг(А)-LS</v>
      </c>
      <c r="CG224" t="str">
        <f>IFERROR(IF(VLOOKUP(BI224,Кабель_обозначение,3,FALSE)=1,CF224&amp;" ("&amp;BJ224&amp;"х"&amp;BS224&amp;")",CF224),"")</f>
        <v>ВВГнг(А)-LS (5х16)</v>
      </c>
      <c r="CH224" t="str">
        <f t="shared" si="281"/>
        <v/>
      </c>
      <c r="CI224" t="str">
        <f>IFERROR(2*ρкз_Cu*BW224/BS224,"")</f>
        <v/>
      </c>
      <c r="CJ224">
        <f t="shared" si="282"/>
        <v>0</v>
      </c>
      <c r="CK224" t="str">
        <f>IFERROR(IF(OR(D224="",NOT(ISNUMBER(BS224)),N(BW224)=0),"",_xlfn.XLOOKUP(A224,Щиты[Щит],Щиты[Zпетли на шинах, Ом])+CI224),"")</f>
        <v/>
      </c>
      <c r="CL224" t="str">
        <f>IF(ISNUMBER(CK224),c_min*(Uн_лин*1000/SQRT(3))/CK224,"")</f>
        <v/>
      </c>
      <c r="CM224" t="str">
        <f>IFERROR(IF(OR(D224="",NOT(ISNUMBER(BS224))),"",1.05*(Uн_лин*1000/SQRT(3))/(_xlfn.XLOOKUP(A224,Щиты[Щит],Щиты[Zmax на шинах, Ом])+CJ224)/1000),"")</f>
        <v/>
      </c>
      <c r="CN224" t="str">
        <f>IF(D224="","",IF(BA224&lt;&gt;"","Щит",IF(K224&lt;&gt;"",K224,IF(ISNUMBER(L224),"Сил",IF(IFERROR(_xlfn.XLOOKUP(AT224,Коды_код,Коды_группа)&amp;"","")="","Быт",_xlfn.XLOOKUP(AT224,Коды_код,Коды_группа)&amp;"")))))</f>
        <v>Нет</v>
      </c>
      <c r="CO224">
        <f>IF(CN224="Щит","щит",IF(CN224="","",IF(CN224="Быт",IFERROR(_xlfn.XLOOKUP(A224,Щиты[Щит],Щиты[Кс быт]),1),IF(CN224="Сил",IF(ISNUMBER(L224),L224,IF(Методика="нормы 2026",IFERROR(_xlfn.XLOOKUP(A224,Щиты[Щит],Щиты[Кс силовых (табл. 7.5)]),1),1)),IF(OR(CN224="Пост",CN224="Отоп"),1,IF(CN224="ВНГ",0.7,0))))))</f>
        <v>0</v>
      </c>
      <c r="CP224">
        <f t="shared" si="283"/>
        <v>1</v>
      </c>
      <c r="CQ224">
        <f t="shared" si="284"/>
        <v>0</v>
      </c>
      <c r="CR224">
        <f t="shared" si="285"/>
        <v>0</v>
      </c>
      <c r="CS224">
        <f t="shared" si="286"/>
        <v>0</v>
      </c>
      <c r="CT224">
        <f t="shared" si="287"/>
        <v>0</v>
      </c>
      <c r="CU224">
        <f t="shared" si="288"/>
        <v>0</v>
      </c>
      <c r="CV224">
        <f t="shared" si="289"/>
        <v>0</v>
      </c>
      <c r="CW224">
        <f t="shared" si="290"/>
        <v>0</v>
      </c>
      <c r="CX224">
        <f t="shared" si="291"/>
        <v>0</v>
      </c>
      <c r="CY224">
        <f t="shared" si="292"/>
        <v>0</v>
      </c>
      <c r="CZ224" t="str">
        <f t="shared" si="293"/>
        <v>L1,L2,L3</v>
      </c>
      <c r="DA224" cm="1">
        <f t="array" ref="DA224">IFERROR(IF(BL224=2,_xlfn.IFS(BH224=3,VLOOKUP(BF224,Справочная_двигатели,3,FALSE),BH224=1,VLOOKUP(BF224,Справочная_двигатели,5,TRUE)),0),0)</f>
        <v>0</v>
      </c>
      <c r="DB224">
        <f>IFERROR(IF(BL224=3,VLOOKUP(BF224,Справочная_ЛЭД,2,TRUE),0),0)</f>
        <v>0</v>
      </c>
      <c r="DC224">
        <f t="shared" si="294"/>
        <v>0</v>
      </c>
      <c r="DD224" t="str">
        <f t="shared" si="295"/>
        <v>L1,L2,L3</v>
      </c>
      <c r="DE224" t="str" cm="1">
        <f t="array" ref="DE224">IF(D224="","",IFERROR(INDEX({"I особая","I","II","III"},MATCH(TRIM(AA224&amp;""),{"I особая","I","II","III"},0)),"III"))</f>
        <v>III</v>
      </c>
      <c r="DF224" t="str">
        <f>IF(D224="","",IF(TRIM(AB224&amp;"")&lt;&gt;"",IF(LOWER(TRIM(AB224&amp;""))="да","да","нет"),IF(IFERROR(_xlfn.XLOOKUP(AT224,Коды_код,Коды_пожарная),"")="да","да","нет")))</f>
        <v>нет</v>
      </c>
      <c r="DG224" t="str">
        <f t="shared" si="296"/>
        <v/>
      </c>
      <c r="DH224" t="str">
        <f t="shared" si="297"/>
        <v>основная</v>
      </c>
      <c r="DI224">
        <f t="shared" si="298"/>
        <v>1</v>
      </c>
      <c r="DJ224" t="str" cm="1">
        <f t="array" ref="DJ224">IF(D224="","",_xlfn.LET(_xlpm.t,IFERROR(_xlfn.XLOOKUP(1,(Шины[Шина]=DH224)*(((Шины[Щит]=A224)+(Шины[Щит]=""))&gt;0),Шины[Тип]),"")&amp;"",IF(_xlpm.t&lt;&gt;"",_xlpm.t,IF(ISNUMBER(SEARCH("ИБП",DH224)),"ИБП",IF(ISNUMBER(SEARCH("ДГУ",DH224)),"ДГУ","Ввод "&amp;DI224)))))</f>
        <v>Ввод 1</v>
      </c>
      <c r="DK224" t="str">
        <f t="shared" si="299"/>
        <v>Ввод 1</v>
      </c>
      <c r="DL224" t="str">
        <f>IF(D224="","",IF(OR(DJ224="ИБП",DJ224="ДГУ"),"I особая",IF(DJ224="Одиночная","III",_xlfn.XLOOKUP(A224,Щиты[Щит],Щиты[Категория шины «Ввод»],"III"))))</f>
        <v>II</v>
      </c>
      <c r="DM224">
        <f>IF(D224="",0,IFERROR(MATCH(DE224,{"III","II","I","I особая"},0),1))</f>
        <v>1</v>
      </c>
      <c r="DN224">
        <f t="shared" si="300"/>
        <v>1</v>
      </c>
      <c r="DO224" t="str">
        <f>IF(D224="","",IF(DM224&gt;IFERROR(MATCH(DL224,{"III","II","I","I особая"},0),1),"НЕ ОБЕСПЕЧЕНА","ОК"))</f>
        <v>ОК</v>
      </c>
      <c r="DP224" t="str">
        <f>IF(A224="","",_xlfn.XLOOKUP(A224,Щиты[Щит],Щиты[Путь],""))</f>
        <v>|ГРЩ-ЖД|ЩР-1|</v>
      </c>
      <c r="DQ224" t="str">
        <f>IF(D224="","",IF(Z224&lt;&gt;"",Z224,IF(IFERROR(_xlfn.XLOOKUP(AT224,Коды_код,Коды_вид)&amp;"","")="","Прочее",_xlfn.XLOOKUP(AT224,Коды_код,Коды_вид)&amp;"")))</f>
        <v>Прочее</v>
      </c>
      <c r="DR224">
        <f>IF(BD224="","",INT((BD224-1)/Столбцов_на_лист)+1)</f>
        <v>1</v>
      </c>
      <c r="DS224" t="str">
        <f t="shared" si="301"/>
        <v/>
      </c>
      <c r="DT224">
        <f t="shared" si="302"/>
        <v>0</v>
      </c>
      <c r="DU224">
        <f t="shared" si="303"/>
        <v>0</v>
      </c>
      <c r="DV224">
        <f t="shared" si="304"/>
        <v>3</v>
      </c>
      <c r="DW224">
        <f>IF(AT224="",0,_xlfn.LET(_xlpm.v,IFERROR(VLOOKUP(D224,УГО_спр,3,FALSE),IFERROR(VLOOKUP(AT224,УГО_спр,3,FALSE),IFERROR(VLOOKUP(LEFT(AT224,2),УГО_спр,3,FALSE),""))),IF(_xlpm.v="да",30,IF(ISNUMBER(_xlpm.v),_xlpm.v,0))))</f>
        <v>0</v>
      </c>
      <c r="DX224">
        <f t="shared" si="305"/>
        <v>0</v>
      </c>
      <c r="DY224" t="str">
        <f>IF(BD224="","",IF(AD224&lt;&gt;"",COUNTIFS(A$3:A224,A224,AD$3:AD224,"?*"),IF(OR(OR(AS224=1,A224&lt;&gt;A223),AL224="вручную"),"",IF(AS224=1,"",DZ223))))</f>
        <v/>
      </c>
      <c r="DZ224" t="str">
        <f t="shared" si="306"/>
        <v/>
      </c>
      <c r="EA224">
        <f>IF(D224="",0,MAX(IFERROR(--X224,0),IFERROR(--VLOOKUP(D224,УГО_спр,4,FALSE),IFERROR(--VLOOKUP(AT224,УГО_спр,4,FALSE),IFERROR(--VLOOKUP(LEFT(AT224,2),УГО_спр,4,FALSE),0)))))</f>
        <v>63</v>
      </c>
      <c r="EB224">
        <f>IF(D224="","",IFERROR(LOOKUP(INDEX(CHOOSE(BR224,Iдоп_1ж,Iдоп_2ж,Iдоп_3ж),MATCH(BS224,Iдоп_S,0))*BP224*BQ224,{6,10,16,20,25,32,40,50,63,80,100,125,160,200,250,315,400,500,630}),""))</f>
        <v>63</v>
      </c>
      <c r="EC224" t="str">
        <f>IF(AD224="","",SUMIFS(Линии[_Ток схемы],Линии[_гр.],DY224,Линии[Щит],A224,Линии[_в кабель выше],0))</f>
        <v/>
      </c>
      <c r="ED224" t="str">
        <f>IF(AD224="","",IFERROR(VLOOKUP(EC224,Автомат_номиналы,2,TRUE),""))</f>
        <v/>
      </c>
      <c r="EE224" t="str">
        <f>IF(AD224="","",MAX(N(ED224),_xlfn.MAXIFS(Линии[_мин. по типу],Линии[_гр.],DY224,Линии[Щит],A224)))</f>
        <v/>
      </c>
      <c r="EF224" t="str">
        <f>IF(AD224="","",_xlfn.MINIFS(Линии[_макс. автомат по кабелю],Линии[_гр.],DY224,Линии[Щит],A224))</f>
        <v/>
      </c>
      <c r="EG224" t="str">
        <f>IF(AD224="","",MAX(1,_xlfn.MAXIFS(Линии[_фаз],Линии[_гр.],DY224,Линии[Щит],A224)))</f>
        <v/>
      </c>
      <c r="EH224" t="str">
        <f>IF(AD224="","",IF(AND(AD224&lt;&gt;"авто",AD224&lt;&gt;"+"),IF(ISNUMBER(SEARCH("мА",AD224)),IFERROR(--TRIM(RIGHT(SUBSTITUTE(LEFT(AD224,SEARCH("мА",AD224)-1)," ",REPT(" ",9)),6)),30),0),IF(AE224="нет",0,IF(ISNUMBER(AE224),AE224,IF(AE224="да",30,_xlfn.MINIFS(Линии[_дифзащита по коду, мА],Линии[_гр.],DY224,Линии[Щит],A224,Линии[_дифзащита по коду, мА],"&gt;0"))))))</f>
        <v/>
      </c>
      <c r="EI224" t="str">
        <f t="shared" si="307"/>
        <v/>
      </c>
      <c r="EJ224" t="str">
        <f t="shared" si="308"/>
        <v/>
      </c>
      <c r="EK224" t="str">
        <f t="shared" si="309"/>
        <v/>
      </c>
      <c r="EL224" t="str">
        <f t="shared" si="310"/>
        <v/>
      </c>
      <c r="EM224">
        <f t="shared" si="311"/>
        <v>0</v>
      </c>
      <c r="EN224" t="str">
        <f>IF(AD224="","",IF(EM224=1,MAX(EE224,Мин_автомат_БП),EE224))</f>
        <v/>
      </c>
      <c r="EO224" t="str">
        <f t="shared" si="312"/>
        <v/>
      </c>
      <c r="EP224" t="str">
        <f t="shared" si="313"/>
        <v/>
      </c>
      <c r="EQ224" t="str">
        <f t="shared" si="314"/>
        <v/>
      </c>
      <c r="ER224" t="str">
        <f>IF(OR(AI224="",AI224="-"),"",IFERROR(VLOOKUP(AI224,Модули_спр,2,FALSE),"R"))</f>
        <v/>
      </c>
      <c r="ES224" t="str">
        <f>IF(ER224="","",ER224&amp;"."&amp;COUNTIFS(A$3:A224,A224,ER$3:ER224,ER224))</f>
        <v/>
      </c>
      <c r="ET224" t="str">
        <f t="shared" si="315"/>
        <v/>
      </c>
      <c r="EU224" t="str">
        <f t="shared" si="316"/>
        <v/>
      </c>
      <c r="EV224" t="str">
        <f t="shared" si="317"/>
        <v/>
      </c>
      <c r="EW224" t="str">
        <f t="shared" si="318"/>
        <v/>
      </c>
      <c r="EX224">
        <f t="shared" si="319"/>
        <v>0</v>
      </c>
      <c r="EY224" t="str">
        <f>IF(AK224="нет","",IF(AK224&lt;&gt;"",AK224,IF(EX224=1,"XT"&amp;COUNTIFS(A$3:A224,A224,EX$3:EX224,1),"")))</f>
        <v/>
      </c>
      <c r="EZ224" t="str">
        <f t="shared" si="320"/>
        <v/>
      </c>
      <c r="FA224" t="str">
        <f t="shared" si="321"/>
        <v/>
      </c>
      <c r="FB224" t="str">
        <f t="shared" si="322"/>
        <v/>
      </c>
      <c r="FC224" t="str">
        <f>IF(OR(EV224="",ET224=""),"",IF(EV224&gt;IFERROR(VLOOKUP(EU224,Модули_спр,3,FALSE),99),"ЛИШНИЙ КАНАЛ",IF(AND(AJ224&lt;&gt;"=",COUNTIFS(Линии[_модуль гр.],ET224,Линии[Канал (итог)],EV224,Линии[Канал],"&lt;&gt;=",Линии[Щит],A224)&gt;1),"ДУБЛЬ КАНАЛА","")))</f>
        <v/>
      </c>
      <c r="FD224" t="str">
        <f t="shared" si="323"/>
        <v/>
      </c>
      <c r="FE224" t="str">
        <f t="shared" si="324"/>
        <v/>
      </c>
      <c r="FF224" t="str">
        <f t="shared" si="325"/>
        <v/>
      </c>
      <c r="FG224" t="str">
        <f t="shared" si="326"/>
        <v/>
      </c>
      <c r="FH224" t="str">
        <f t="shared" si="327"/>
        <v/>
      </c>
      <c r="FI224">
        <f t="shared" si="328"/>
        <v>10</v>
      </c>
      <c r="FJ224" t="str">
        <f t="shared" si="329"/>
        <v/>
      </c>
      <c r="FK224" t="str">
        <f>IF(AND(D224="",EZ224=""),"",_xlfn.TEXTJOIN("; ",TRUE,IF(AND(D224&lt;&gt;"",DD224=""),"нет фазы",""),IF(AND(D224&lt;&gt;"",N(DT224)=0,CN224&lt;&gt;"Нет"),"нет мощности",""),IF(AND(EY224&lt;&gt;"",COUNTIFS(Линии[Щит],A224,Линии[Клемма (итог)],EY224)&gt;1),"дубль клеммы "&amp;EY224,""),IF(AND(FB224&lt;&gt;"",FB224&lt;&gt;"ok"),FB224,""),IF(FC224&lt;&gt;"",FC224,""),IF(AND(ISNUMBER(SEARCH("(5х",DS224)),N(DV224)=1),"5 жил на 1 фазе",""),IF(AND(AT224="R",AD224&lt;&gt;"",OR(N(EH224)=0,N(EH224)&gt;30)),"розетка без дифзащиты до 30 мА",""),IFERROR(IF(AND(ISNUMBER(CD224),CD224&gt;CE224),"потери "&amp;FIXED(CD224,1)&amp;" % &gt; "&amp;CE224&amp;" %",""),""),IFERROR(IF(LEFT(FJ224,4)="мало","Iкз мало — отключение &gt; 0,4 с",""),""),IF(AND(D224&lt;&gt;"",BD224=""),"не на схеме","")))</f>
        <v/>
      </c>
      <c r="FL224" t="str">
        <f>IF(AD224="","",_xlfn.LET(_xlpm.t,IFERROR(_xlfn.XLOOKUP(EP224,Каталог!$U$4:$U$500,Каталог!$G$4:$G$500),""),_xlpm.k,SEARCH("кА",_xlpm.t),IFERROR(--TRIM(RIGHT(SUBSTITUTE(MID(_xlpm.t,MAX(1,_xlpm.k-4),_xlpm.k-MAX(1,_xlpm.k-4))," ",REPT(" ",9)),5)),"")))</f>
        <v/>
      </c>
      <c r="FM224" t="str">
        <f>IF(OR(FL224="",AD224=""),"",IF(_xlfn.XLOOKUP(A224,Щиты[Щит],Щиты[Iкз max на шинах, кА],"")="","",IF(FL224&lt;_xlfn.XLOOKUP(A224,Щиты[Щит],Щиты[Iкз max на шинах, кА]),"Icu "&amp;FL224&amp;" кА &lt; Iкз max","ok")))</f>
        <v/>
      </c>
      <c r="FN224" t="str">
        <f t="shared" si="330"/>
        <v/>
      </c>
      <c r="FO224" t="str">
        <f t="shared" si="331"/>
        <v/>
      </c>
      <c r="FP224" t="str" cm="1">
        <f t="array" ref="FP224">IF(FO224="","",_xlfn.LET(_xlpm.nd,_xlfn.TEXTSPLIT(FO224,"|"),IF(COLUMNS(_xlpm.nd)&gt;1,A224&amp;"¦"&amp;INDEX(_xlpm.nd,1)&amp;"¦"&amp;INDEX(_xlpm.nd,2),"")))</f>
        <v/>
      </c>
      <c r="FQ224" t="str">
        <f t="shared" si="332"/>
        <v/>
      </c>
      <c r="FR224" t="str" cm="1">
        <f t="array" ref="FR224">IF(FO224="","",_xlfn.LET(_xlpm.nd,_xlfn.TEXTSPLIT(FO224,"|"),IF(COLUMNS(_xlpm.nd)&gt;2,A224&amp;"¦"&amp;INDEX(_xlpm.nd,2)&amp;"¦"&amp;INDEX(_xlpm.nd,3),"")))</f>
        <v/>
      </c>
      <c r="FS224" t="str">
        <f t="shared" si="333"/>
        <v/>
      </c>
      <c r="FT224" t="str" cm="1">
        <f t="array" ref="FT224">IF(FO224="","",_xlfn.LET(_xlpm.nd,_xlfn.TEXTSPLIT(FO224,"|"),IF(COLUMNS(_xlpm.nd)&gt;3,A224&amp;"¦"&amp;INDEX(_xlpm.nd,3)&amp;"¦"&amp;INDEX(_xlpm.nd,4),"")))</f>
        <v/>
      </c>
      <c r="FU224" t="str">
        <f t="shared" si="334"/>
        <v/>
      </c>
      <c r="FV224" t="str" cm="1">
        <f t="array" ref="FV224">IF(FO224="","",_xlfn.LET(_xlpm.nd,_xlfn.TEXTSPLIT(FO224,"|"),IF(COLUMNS(_xlpm.nd)&gt;4,A224&amp;"¦"&amp;INDEX(_xlpm.nd,4)&amp;"¦"&amp;INDEX(_xlpm.nd,5),"")))</f>
        <v/>
      </c>
      <c r="FW224" t="str">
        <f t="shared" si="335"/>
        <v/>
      </c>
      <c r="FX224" t="str" cm="1">
        <f t="array" ref="FX224">IF(FO224="","",_xlfn.LET(_xlpm.nd,_xlfn.TEXTSPLIT(FO224,"|"),IF(COLUMNS(_xlpm.nd)&gt;5,A224&amp;"¦"&amp;INDEX(_xlpm.nd,5)&amp;"¦"&amp;INDEX(_xlpm.nd,6),"")))</f>
        <v/>
      </c>
      <c r="FY224" t="str">
        <f t="shared" si="336"/>
        <v/>
      </c>
      <c r="FZ224" t="str" cm="1">
        <f t="array" ref="FZ224">IF(FO224="","",_xlfn.LET(_xlpm.nd,_xlfn.TEXTSPLIT(FO224,"|"),IF(COLUMNS(_xlpm.nd)&gt;6,A224&amp;"¦"&amp;INDEX(_xlpm.nd,6)&amp;"¦"&amp;INDEX(_xlpm.nd,7),"")))</f>
        <v/>
      </c>
      <c r="GA224" t="str">
        <f t="shared" si="337"/>
        <v/>
      </c>
      <c r="GB224" t="str">
        <f t="shared" si="338"/>
        <v/>
      </c>
      <c r="GC224" t="str">
        <f t="shared" si="339"/>
        <v/>
      </c>
      <c r="GD224">
        <f t="shared" si="340"/>
        <v>0</v>
      </c>
      <c r="GE224">
        <f t="shared" si="341"/>
        <v>0</v>
      </c>
      <c r="GF224">
        <f t="shared" si="342"/>
        <v>0</v>
      </c>
      <c r="GG224" t="str">
        <f t="shared" si="343"/>
        <v/>
      </c>
      <c r="GH224" t="str">
        <f t="shared" si="344"/>
        <v/>
      </c>
      <c r="GI224" t="str">
        <f t="shared" si="345"/>
        <v/>
      </c>
      <c r="GJ224" t="str">
        <f t="shared" si="346"/>
        <v/>
      </c>
      <c r="GK224">
        <f>IF(D224="","",IFERROR(VLOOKUP(D224,УГО_спр,2,FALSE),IFERROR(VLOOKUP(AT224,УГО_спр,2,FALSE),IFERROR(VLOOKUP(LEFT(AT224,2),УГО_спр,2,FALSE),""))))</f>
        <v>0</v>
      </c>
      <c r="GL224" t="str">
        <f>IF(D224="","",IF(OR(GK224="",GK224=0),"BOX",IFERROR(IF(VLOOKUP(GK224,УГО_блоки,3,FALSE)&amp;""&lt;&gt;"",VLOOKUP(GK224,УГО_блоки,3,FALSE),VLOOKUP(GK224,УГО_блоки,2,FALSE)),GK224)))</f>
        <v>BOX</v>
      </c>
      <c r="GM224">
        <f t="shared" si="347"/>
        <v>1</v>
      </c>
      <c r="GN224" t="str">
        <f>IF(EP224="","",IF(COUNTIF(EP$3:EP224,EP224)=1,MAX(GN$2:GN223)+1,""))</f>
        <v/>
      </c>
      <c r="GO224" t="str">
        <f>IF(AF224="","",IF(COUNTIF(AF$3:AF224,AF224)+COUNTIF(AG$2:AG223,AF224)+COUNTIF(AH$2:AH223,AF224)=1,MAX(GO$2:GQ223)+1,""))</f>
        <v/>
      </c>
      <c r="GP224" t="str">
        <f>IF(AG224="","",IF(COUNTIF(AF$3:AF224,AG224)+COUNTIF(AG$3:AG224,AG224)+COUNTIF(AH$2:AH223,AG224)=1,MAX(GO$2:GQ223,GO224)+1,""))</f>
        <v/>
      </c>
      <c r="GQ224" t="str">
        <f>IF(AH224="","",IF(COUNTIF(AF$3:AF224,AH224)+COUNTIF(AG$3:AG224,AH224)+COUNTIF(AH$3:AH224,AH224)=1,MAX(GO$2:GQ223,GO224,GP224)+1,""))</f>
        <v/>
      </c>
      <c r="GR224" t="str">
        <f t="shared" si="348"/>
        <v/>
      </c>
      <c r="GS224" t="str">
        <f>IF(GR224="","",IF(COUNTIF(GR$3:GR224,GR224)=1,MAX(GS$2:GS223)+1,""))</f>
        <v/>
      </c>
      <c r="GT224" t="str">
        <f>IF(ES224="","",COUNTIF(ES$3:ES224,"?*"))</f>
        <v/>
      </c>
      <c r="GU224" t="str">
        <f>IF(OR(ES224="",EU224=""),"",IF(COUNTIFS(ES$3:ES224,"?*",EU$3:EU224,EU224)=1,MAX(GU$2:GU223)+1,""))</f>
        <v/>
      </c>
      <c r="GV224">
        <f t="shared" si="349"/>
        <v>0</v>
      </c>
      <c r="GW224">
        <f>IF(D224="","",COUNTIF(D$3:D224,"?*"))</f>
        <v>222</v>
      </c>
      <c r="GX224">
        <f>IF(EX224&lt;&gt;1,0,_xlfn.LET(_xlpm.k,MAX(IFERROR(--VLOOKUP(D224,УГО_спр,5,FALSE),0),IFERROR(--VLOOKUP(AT224,УГО_спр,5,FALSE),0),IFERROR(--VLOOKUP(LEFT(AT224,2),УГО_спр,5,FALSE),0)),IF(_xlpm.k&gt;0,_xlpm.k,IF(IFERROR(--LEFT(SUBSTITUTE(GR224,"x","х"),FIND("х",SUBSTITUTE(GR224,"x","х"))-1),3)&gt;3,Каталог!$S$9,1))))</f>
        <v>0</v>
      </c>
      <c r="GY224">
        <f t="shared" si="350"/>
        <v>0</v>
      </c>
    </row>
    <row r="225" spans="1:207" x14ac:dyDescent="0.3">
      <c r="A225" t="s">
        <v>762</v>
      </c>
      <c r="B225">
        <v>9</v>
      </c>
      <c r="C225" t="str">
        <f>IF(BD225="","",IF(BE225="вводной узел","узел ","")&amp;"л."&amp;(INT((BD225-1)/Столбцов_на_лист)+1)&amp;" / "&amp;(MOD(BD225-1,Столбцов_на_лист)+1))</f>
        <v>л.1 / 9</v>
      </c>
      <c r="D225" t="s">
        <v>1541</v>
      </c>
      <c r="E225" s="133" t="str">
        <f t="shared" si="351"/>
        <v>Розеточная группа Первый этаж Пом. №001A</v>
      </c>
      <c r="G225">
        <v>0.36</v>
      </c>
      <c r="H225">
        <v>6</v>
      </c>
      <c r="I225">
        <v>1</v>
      </c>
      <c r="J225">
        <v>230</v>
      </c>
      <c r="K225" t="s">
        <v>566</v>
      </c>
      <c r="O225">
        <v>3</v>
      </c>
      <c r="P225">
        <v>48</v>
      </c>
      <c r="Q225">
        <v>0</v>
      </c>
      <c r="R225">
        <v>0</v>
      </c>
      <c r="S225">
        <v>48</v>
      </c>
      <c r="U225" t="s">
        <v>11</v>
      </c>
      <c r="V225">
        <v>3</v>
      </c>
      <c r="W225">
        <v>2.5</v>
      </c>
      <c r="Z225" t="s">
        <v>565</v>
      </c>
      <c r="AA225" t="s">
        <v>818</v>
      </c>
      <c r="AD225" t="s">
        <v>517</v>
      </c>
      <c r="AR225" t="str">
        <f t="shared" si="264"/>
        <v/>
      </c>
      <c r="AS225" cm="1">
        <f t="array" ref="AS225">ROW()-ROW(Линии[#Headers])</f>
        <v>223</v>
      </c>
      <c r="AT225" t="str">
        <f t="shared" si="265"/>
        <v>R</v>
      </c>
      <c r="AU225" t="str">
        <f t="shared" si="266"/>
        <v>1.001A.1</v>
      </c>
      <c r="AV225" t="str">
        <f t="shared" si="267"/>
        <v>1</v>
      </c>
      <c r="AW225" t="str">
        <f t="shared" si="268"/>
        <v>001A.1</v>
      </c>
      <c r="AX225" t="str">
        <f t="shared" si="269"/>
        <v>001A</v>
      </c>
      <c r="AY225" t="str">
        <f>IF(D225="","",IF(ISERROR(SEARCH(".",D225)),IFERROR(VLOOKUP(D225,Потребители_обозначение,2,FALSE)&amp;"",""),IFERROR(IF(VLOOKUP(AT225,Потребители_обозначение,4,FALSE)=1,VLOOKUP(AT225,Потребители_обозначение,2,FALSE)&amp;" "&amp;VLOOKUP(AV225,Этаж_обозначение,2,FALSE)&amp;" Пом. №"&amp;AX225,VLOOKUP(AT225,Потребители_обозначение,2,FALSE)&amp;" Шлейф №"&amp;AV225),IFERROR(VLOOKUP(D225,Потребители_обозначение,2,FALSE),""))))</f>
        <v>Розеточная группа Первый этаж Пом. №001A</v>
      </c>
      <c r="AZ225" t="str">
        <f t="shared" si="270"/>
        <v>Розеточная группа Первый этаж Пом. №001A</v>
      </c>
      <c r="BA225" t="str">
        <f>IF(F225&lt;&gt;"",F225,IF(AND(D225&lt;&gt;"",D225&lt;&gt;A225,ISNUMBER(_xlfn.XMATCH(D225,Щиты[Щит]))),D225,""))</f>
        <v/>
      </c>
      <c r="BB225">
        <f>IFERROR(_xlfn.XMATCH(A225,Щиты[Щит]),0)</f>
        <v>10</v>
      </c>
      <c r="BC225">
        <f>IFERROR(N(_xlfn.XLOOKUP(A225,Щиты[Щит],Щиты[Мест под вводной узел])),15)</f>
        <v>8</v>
      </c>
      <c r="BD225">
        <f t="shared" si="271"/>
        <v>9</v>
      </c>
      <c r="BE225" t="str">
        <f t="shared" si="272"/>
        <v>линии</v>
      </c>
      <c r="BF225">
        <f>IF(D225="","",IF(BA225&lt;&gt;"",IFERROR(_xlfn.XLOOKUP(BA225,Щиты[Щит],Щиты[Руст, кВт]),0),N(G225)))</f>
        <v>0.36</v>
      </c>
      <c r="BG225">
        <f>IF(J225&lt;&gt;"",J225,IF(D225="","",IFERROR(IF(VLOOKUP(AT225,Потребители_обозначение,8,FALSE)=0,"",VLOOKUP(AT225,Потребители_обозначение,8,FALSE)),"")))</f>
        <v>230</v>
      </c>
      <c r="BH225">
        <f>IF(I225&lt;&gt;"",I225,IF(D225="","",IFERROR(IF(VLOOKUP(AT225,Потребители_обозначение,9,FALSE)=0,"",VLOOKUP(AT225,Потребители_обозначение,9,FALSE)),"")))</f>
        <v>1</v>
      </c>
      <c r="BI225" t="str">
        <f>IF(U225&lt;&gt;"",U225,IF(D225="","",IFERROR(IF(VLOOKUP(AT225,Потребители_обозначение,6,FALSE)=0,"",VLOOKUP(AT225,Потребители_обозначение,6,FALSE)),"")))</f>
        <v>мс</v>
      </c>
      <c r="BJ225">
        <f>IF(V225&lt;&gt;"",V225,IF(D225="","",IFERROR(IF(VLOOKUP(AT225,Потребители_обозначение,7,FALSE)=0,"",VLOOKUP(AT225,Потребители_обозначение,7,FALSE)),"")))</f>
        <v>3</v>
      </c>
      <c r="BK225">
        <f>IF(W225&lt;&gt;"",W225,IF(D225="","",IFERROR(IF(VLOOKUP(AT225,Потребители_обозначение,10,FALSE)=0,"",VLOOKUP(AT225,Потребители_обозначение,10,FALSE)),"")))</f>
        <v>2.5</v>
      </c>
      <c r="BL225">
        <f>IFERROR(VLOOKUP(AT225,Потребители_обозначение,5,FALSE),0)</f>
        <v>1</v>
      </c>
      <c r="BM225" cm="1">
        <f t="array" ref="BM225">IF(D225="","",IF(BA225&lt;&gt;"",IFERROR(_xlfn.XLOOKUP(BA225,Щиты[Щит],Щиты[cos φ]),0.95),IF(ISNUMBER(M225),M225,IFERROR(IF(BL225=2,_xlfn.IFS(BH225=3,VLOOKUP(BF225,Справочная_двигатели,8,FALSE),BH225=1,VLOOKUP(BF225,Справочная_двигатели,10,TRUE)),IF(AND(Методика="нормы 2026",CN225="Сил"),0.8,0.95)),0.95))))</f>
        <v>0.95</v>
      </c>
      <c r="BN225" cm="1">
        <f t="array" ref="BN225">IF(D225="","",IF(BA225&lt;&gt;"",IFERROR(_xlfn.XLOOKUP(BA225,Щиты[Щит],Щиты[Iр, А]),""),IFERROR(_xlfn.IFS(BH225=1,BF225/((Uн_лин/SQRT(3))*BM225),BH225=3,BF225/(SQRT(3)*Uн_лин*BM225)),"")))</f>
        <v>1.6408902387494626</v>
      </c>
      <c r="BO225">
        <f>IF(D225="","",IF(N(X225)=0,IFERROR(VLOOKUP(BN225,Автомат_номиналы,2,TRUE),""),X225))</f>
        <v>6</v>
      </c>
      <c r="BP225">
        <f t="shared" si="273"/>
        <v>1</v>
      </c>
      <c r="BQ225">
        <f>IF(ISNUMBER(Y225),Y225,К_прокл)</f>
        <v>1</v>
      </c>
      <c r="BR225">
        <f t="shared" si="274"/>
        <v>2</v>
      </c>
      <c r="BS225" cm="1">
        <f t="array" ref="BS225">IF(D225="","",IF(N(BK225)&lt;&gt;0,BK225,IFERROR(_xlfn.LET(_xlpm.need,BO225/(BP225*BQ225),_xlpm.t,CHOOSE(BR225,Iдоп_1ж,Iдоп_2ж,Iдоп_3ж),_xlpm.k,_xlfn.XMATCH(_xlpm.need,_xlpm.t,1),IF(ISNA(_xlpm.k),"Не исп",INDEX(Iдоп_S,_xlpm.k))),"Не исп")))</f>
        <v>2.5</v>
      </c>
      <c r="BT225">
        <f>IFERROR(VLOOKUP(BS225,Кабель_сопротивление,3,FALSE),"")</f>
        <v>2.2499999999999999E-2</v>
      </c>
      <c r="BU225">
        <f>IFERROR(VLOOKUP(BS225,Кабель_сопротивление,2,FALSE),"")</f>
        <v>0.1</v>
      </c>
      <c r="BV225">
        <f t="shared" si="275"/>
        <v>48</v>
      </c>
      <c r="BW225">
        <f>IF(D225="","",IFERROR(IF(VLOOKUP(AT225,Потребители_обозначение,4,FALSE)=1,VLOOKUP(AT225,Потребители_обозначение,3,FALSE)*(H225*2-1)+BV225+VLOOKUP(AV225,Этаж_обозначение,3,FALSE)+VLOOKUP(AV225,Этаж_обозначение,4,FALSE),VLOOKUP(AT225,Потребители_обозначение,3,FALSE)*(H225*2-1)+BV225),BV225))</f>
        <v>81</v>
      </c>
      <c r="BX225">
        <f t="shared" si="276"/>
        <v>0</v>
      </c>
      <c r="BY225">
        <f t="shared" si="277"/>
        <v>48</v>
      </c>
      <c r="BZ225">
        <f t="shared" si="278"/>
        <v>2</v>
      </c>
      <c r="CA225">
        <f t="shared" si="279"/>
        <v>0.31</v>
      </c>
      <c r="CB225">
        <f t="shared" si="280"/>
        <v>2.2810376204708804</v>
      </c>
      <c r="CC225">
        <f>IFERROR(ROUNDUP(CB225/((Uн_лин/SQRT(3))*1000)*100,2),"")</f>
        <v>0.99</v>
      </c>
      <c r="CD225">
        <f>IF(ISNUMBER(CC225),CC225+IFERROR(_xlfn.XLOOKUP(A225,Щиты[Щит],Щиты[ΔU до шин, %]),0),"")</f>
        <v>2.2400000000000002</v>
      </c>
      <c r="CE225">
        <f>IF(D225="","",IF(IFERROR(VLOOKUP(AT225,УГО_спр,2,FALSE),"")="Светильник",3,4)+IF(Методика="нормы 2026",MIN(0.5,MAX(0,N(BW225)-100)*0.005),0))</f>
        <v>4</v>
      </c>
      <c r="CF225" t="str">
        <f>IFERROR(VLOOKUP(BI225,Кабель_обозначение,2,FALSE),"")</f>
        <v>ВВГнг(А)-LS</v>
      </c>
      <c r="CG225" t="str">
        <f>IFERROR(IF(VLOOKUP(BI225,Кабель_обозначение,3,FALSE)=1,CF225&amp;" ("&amp;BJ225&amp;"х"&amp;BS225&amp;")",CF225),"")</f>
        <v>ВВГнг(А)-LS (3х2,5)</v>
      </c>
      <c r="CH225" t="str">
        <f t="shared" si="281"/>
        <v>ВВГнг(А)-LS (3х2,5)
L=81-0,99%</v>
      </c>
      <c r="CI225">
        <f>IFERROR(2*ρкз_Cu*BW225/BS225,"")</f>
        <v>1.70424</v>
      </c>
      <c r="CJ225">
        <f t="shared" si="282"/>
        <v>0.56700000000000006</v>
      </c>
      <c r="CK225" t="str">
        <f>IFERROR(IF(OR(D225="",NOT(ISNUMBER(BS225)),N(BW225)=0),"",_xlfn.XLOOKUP(A225,Щиты[Щит],Щиты[Zпетли на шинах, Ом])+CI225),"")</f>
        <v/>
      </c>
      <c r="CL225" t="str">
        <f>IF(ISNUMBER(CK225),c_min*(Uн_лин*1000/SQRT(3))/CK225,"")</f>
        <v/>
      </c>
      <c r="CM225" t="str">
        <f>IFERROR(IF(OR(D225="",NOT(ISNUMBER(BS225))),"",1.05*(Uн_лин*1000/SQRT(3))/(_xlfn.XLOOKUP(A225,Щиты[Щит],Щиты[Zmax на шинах, Ом])+CJ225)/1000),"")</f>
        <v/>
      </c>
      <c r="CN225" t="str">
        <f>IF(D225="","",IF(BA225&lt;&gt;"","Щит",IF(K225&lt;&gt;"",K225,IF(ISNUMBER(L225),"Сил",IF(IFERROR(_xlfn.XLOOKUP(AT225,Коды_код,Коды_группа)&amp;"","")="","Быт",_xlfn.XLOOKUP(AT225,Коды_код,Коды_группа)&amp;"")))))</f>
        <v>Быт</v>
      </c>
      <c r="CO225">
        <f>IF(CN225="Щит","щит",IF(CN225="","",IF(CN225="Быт",IFERROR(_xlfn.XLOOKUP(A225,Щиты[Щит],Щиты[Кс быт]),1),IF(CN225="Сил",IF(ISNUMBER(L225),L225,IF(Методика="нормы 2026",IFERROR(_xlfn.XLOOKUP(A225,Щиты[Щит],Щиты[Кс силовых (табл. 7.5)]),1),1)),IF(OR(CN225="Пост",CN225="Отоп"),1,IF(CN225="ВНГ",0.7,0))))))</f>
        <v>0.57830000000000004</v>
      </c>
      <c r="CP225">
        <f t="shared" si="283"/>
        <v>1</v>
      </c>
      <c r="CQ225">
        <f t="shared" si="284"/>
        <v>0.36</v>
      </c>
      <c r="CR225">
        <f t="shared" si="285"/>
        <v>0.36</v>
      </c>
      <c r="CS225">
        <f t="shared" si="286"/>
        <v>0</v>
      </c>
      <c r="CT225">
        <f t="shared" si="287"/>
        <v>0</v>
      </c>
      <c r="CU225">
        <f t="shared" si="288"/>
        <v>0</v>
      </c>
      <c r="CV225">
        <f t="shared" si="289"/>
        <v>0</v>
      </c>
      <c r="CW225">
        <f t="shared" si="290"/>
        <v>0.36</v>
      </c>
      <c r="CX225">
        <f t="shared" si="291"/>
        <v>0.34199999999999997</v>
      </c>
      <c r="CY225">
        <f t="shared" si="292"/>
        <v>1</v>
      </c>
      <c r="CZ225" t="str">
        <f t="shared" si="293"/>
        <v>L1</v>
      </c>
      <c r="DA225" cm="1">
        <f t="array" ref="DA225">IFERROR(IF(BL225=2,_xlfn.IFS(BH225=3,VLOOKUP(BF225,Справочная_двигатели,3,FALSE),BH225=1,VLOOKUP(BF225,Справочная_двигатели,5,TRUE)),0),0)</f>
        <v>0</v>
      </c>
      <c r="DB225">
        <f>IFERROR(IF(BL225=3,VLOOKUP(BF225,Справочная_ЛЭД,2,TRUE),0),0)</f>
        <v>0</v>
      </c>
      <c r="DC225">
        <f t="shared" si="294"/>
        <v>0</v>
      </c>
      <c r="DD225" t="str">
        <f t="shared" si="295"/>
        <v>L3</v>
      </c>
      <c r="DE225" t="str" cm="1">
        <f t="array" ref="DE225">IF(D225="","",IFERROR(INDEX({"I особая","I","II","III"},MATCH(TRIM(AA225&amp;""),{"I особая","I","II","III"},0)),"III"))</f>
        <v>II</v>
      </c>
      <c r="DF225" t="str">
        <f>IF(D225="","",IF(TRIM(AB225&amp;"")&lt;&gt;"",IF(LOWER(TRIM(AB225&amp;""))="да","да","нет"),IF(IFERROR(_xlfn.XLOOKUP(AT225,Коды_код,Коды_пожарная),"")="да","да","нет")))</f>
        <v>нет</v>
      </c>
      <c r="DG225" t="str">
        <f t="shared" si="296"/>
        <v/>
      </c>
      <c r="DH225" t="str">
        <f t="shared" si="297"/>
        <v>основная</v>
      </c>
      <c r="DI225">
        <f t="shared" si="298"/>
        <v>1</v>
      </c>
      <c r="DJ225" t="str" cm="1">
        <f t="array" ref="DJ225">IF(D225="","",_xlfn.LET(_xlpm.t,IFERROR(_xlfn.XLOOKUP(1,(Шины[Шина]=DH225)*(((Шины[Щит]=A225)+(Шины[Щит]=""))&gt;0),Шины[Тип]),"")&amp;"",IF(_xlpm.t&lt;&gt;"",_xlpm.t,IF(ISNUMBER(SEARCH("ИБП",DH225)),"ИБП",IF(ISNUMBER(SEARCH("ДГУ",DH225)),"ДГУ","Ввод "&amp;DI225)))))</f>
        <v>Ввод 1</v>
      </c>
      <c r="DK225" t="str">
        <f t="shared" si="299"/>
        <v>Ввод 1</v>
      </c>
      <c r="DL225" t="str">
        <f>IF(D225="","",IF(OR(DJ225="ИБП",DJ225="ДГУ"),"I особая",IF(DJ225="Одиночная","III",_xlfn.XLOOKUP(A225,Щиты[Щит],Щиты[Категория шины «Ввод»],"III"))))</f>
        <v>II</v>
      </c>
      <c r="DM225">
        <f>IF(D225="",0,IFERROR(MATCH(DE225,{"III","II","I","I особая"},0),1))</f>
        <v>2</v>
      </c>
      <c r="DN225">
        <f t="shared" si="300"/>
        <v>2</v>
      </c>
      <c r="DO225" t="str">
        <f>IF(D225="","",IF(DM225&gt;IFERROR(MATCH(DL225,{"III","II","I","I особая"},0),1),"НЕ ОБЕСПЕЧЕНА","ОК"))</f>
        <v>ОК</v>
      </c>
      <c r="DP225" t="str">
        <f>IF(A225="","",_xlfn.XLOOKUP(A225,Щиты[Щит],Щиты[Путь],""))</f>
        <v>|ГРЩ-ЖД|ЩР-1|</v>
      </c>
      <c r="DQ225" t="str">
        <f>IF(D225="","",IF(Z225&lt;&gt;"",Z225,IF(IFERROR(_xlfn.XLOOKUP(AT225,Коды_код,Коды_вид)&amp;"","")="","Прочее",_xlfn.XLOOKUP(AT225,Коды_код,Коды_вид)&amp;"")))</f>
        <v>Розеточная сеть и бытовые приборы</v>
      </c>
      <c r="DR225">
        <f>IF(BD225="","",INT((BD225-1)/Столбцов_на_лист)+1)</f>
        <v>1</v>
      </c>
      <c r="DS225" t="str">
        <f t="shared" si="301"/>
        <v>ВВГнг(А)-LS (3х2,5) L=81-0,99%</v>
      </c>
      <c r="DT225">
        <f t="shared" si="302"/>
        <v>0.36</v>
      </c>
      <c r="DU225">
        <f t="shared" si="303"/>
        <v>1.65</v>
      </c>
      <c r="DV225">
        <f t="shared" si="304"/>
        <v>1</v>
      </c>
      <c r="DW225">
        <f>IF(AT225="",0,_xlfn.LET(_xlpm.v,IFERROR(VLOOKUP(D225,УГО_спр,3,FALSE),IFERROR(VLOOKUP(AT225,УГО_спр,3,FALSE),IFERROR(VLOOKUP(LEFT(AT225,2),УГО_спр,3,FALSE),""))),IF(_xlpm.v="да",30,IF(ISNUMBER(_xlpm.v),_xlpm.v,0))))</f>
        <v>30</v>
      </c>
      <c r="DX225">
        <f t="shared" si="305"/>
        <v>0</v>
      </c>
      <c r="DY225">
        <f>IF(BD225="","",IF(AD225&lt;&gt;"",COUNTIFS(A$3:A225,A225,AD$3:AD225,"?*"),IF(OR(OR(AS225=1,A225&lt;&gt;A224),AL225="вручную"),"",IF(AS225=1,"",DZ224))))</f>
        <v>1</v>
      </c>
      <c r="DZ225">
        <f t="shared" si="306"/>
        <v>1</v>
      </c>
      <c r="EA225">
        <f>IF(D225="",0,MAX(IFERROR(--X225,0),IFERROR(--VLOOKUP(D225,УГО_спр,4,FALSE),IFERROR(--VLOOKUP(AT225,УГО_спр,4,FALSE),IFERROR(--VLOOKUP(LEFT(AT225,2),УГО_спр,4,FALSE),0)))))</f>
        <v>16</v>
      </c>
      <c r="EB225">
        <f>IF(D225="","",IFERROR(LOOKUP(INDEX(CHOOSE(BR225,Iдоп_1ж,Iдоп_2ж,Iдоп_3ж),MATCH(BS225,Iдоп_S,0))*BP225*BQ225,{6,10,16,20,25,32,40,50,63,80,100,125,160,200,250,315,400,500,630}),""))</f>
        <v>25</v>
      </c>
      <c r="EC225">
        <f>IF(AD225="","",SUMIFS(Линии[_Ток схемы],Линии[_гр.],DY225,Линии[Щит],A225,Линии[_в кабель выше],0))</f>
        <v>1.65</v>
      </c>
      <c r="ED225">
        <f>IF(AD225="","",IFERROR(VLOOKUP(EC225,Автомат_номиналы,2,TRUE),""))</f>
        <v>6</v>
      </c>
      <c r="EE225">
        <f>IF(AD225="","",MAX(N(ED225),_xlfn.MAXIFS(Линии[_мин. по типу],Линии[_гр.],DY225,Линии[Щит],A225)))</f>
        <v>16</v>
      </c>
      <c r="EF225">
        <f>IF(AD225="","",_xlfn.MINIFS(Линии[_макс. автомат по кабелю],Линии[_гр.],DY225,Линии[Щит],A225))</f>
        <v>25</v>
      </c>
      <c r="EG225">
        <f>IF(AD225="","",MAX(1,_xlfn.MAXIFS(Линии[_фаз],Линии[_гр.],DY225,Линии[Щит],A225)))</f>
        <v>1</v>
      </c>
      <c r="EH225">
        <f>IF(AD225="","",IF(AND(AD225&lt;&gt;"авто",AD225&lt;&gt;"+"),IF(ISNUMBER(SEARCH("мА",AD225)),IFERROR(--TRIM(RIGHT(SUBSTITUTE(LEFT(AD225,SEARCH("мА",AD225)-1)," ",REPT(" ",9)),6)),30),0),IF(AE225="нет",0,IF(ISNUMBER(AE225),AE225,IF(AE225="да",30,_xlfn.MINIFS(Линии[_дифзащита по коду, мА],Линии[_гр.],DY225,Линии[Щит],A225,Линии[_дифзащита по коду, мА],"&gt;0"))))))</f>
        <v>30</v>
      </c>
      <c r="EI225">
        <f t="shared" si="307"/>
        <v>1</v>
      </c>
      <c r="EJ225" t="str">
        <f t="shared" si="308"/>
        <v>QFD1</v>
      </c>
      <c r="EK225" t="str">
        <f t="shared" si="309"/>
        <v>QFD1</v>
      </c>
      <c r="EL225" t="str">
        <f t="shared" si="310"/>
        <v/>
      </c>
      <c r="EM225">
        <f t="shared" si="311"/>
        <v>0</v>
      </c>
      <c r="EN225">
        <f>IF(AD225="","",IF(EM225=1,MAX(EE225,Мин_автомат_БП),EE225))</f>
        <v>16</v>
      </c>
      <c r="EO225" t="str">
        <f t="shared" si="312"/>
        <v>2P</v>
      </c>
      <c r="EP225" t="str">
        <f t="shared" si="313"/>
        <v>2P С16А 30мА</v>
      </c>
      <c r="EQ225">
        <f t="shared" si="314"/>
        <v>16</v>
      </c>
      <c r="ER225" t="str">
        <f>IF(OR(AI225="",AI225="-"),"",IFERROR(VLOOKUP(AI225,Модули_спр,2,FALSE),"R"))</f>
        <v/>
      </c>
      <c r="ES225" t="str">
        <f>IF(ER225="","",ER225&amp;"."&amp;COUNTIFS(A$3:A225,A225,ER$3:ER225,ER225))</f>
        <v/>
      </c>
      <c r="ET225" t="str">
        <f t="shared" si="315"/>
        <v/>
      </c>
      <c r="EU225" t="str">
        <f t="shared" si="316"/>
        <v/>
      </c>
      <c r="EV225" t="str">
        <f t="shared" si="317"/>
        <v/>
      </c>
      <c r="EW225" t="str">
        <f t="shared" si="318"/>
        <v/>
      </c>
      <c r="EX225">
        <f t="shared" si="319"/>
        <v>1</v>
      </c>
      <c r="EY225" t="str">
        <f>IF(AK225="нет","",IF(AK225&lt;&gt;"",AK225,IF(EX225=1,"XT"&amp;COUNTIFS(A$3:A225,A225,EX$3:EX225,1),"")))</f>
        <v>XT1</v>
      </c>
      <c r="EZ225" t="str">
        <f t="shared" si="320"/>
        <v>QFD1</v>
      </c>
      <c r="FA225" t="str">
        <f t="shared" si="321"/>
        <v/>
      </c>
      <c r="FB225" t="str">
        <f t="shared" si="322"/>
        <v>ok</v>
      </c>
      <c r="FC225" t="str">
        <f>IF(OR(EV225="",ET225=""),"",IF(EV225&gt;IFERROR(VLOOKUP(EU225,Модули_спр,3,FALSE),99),"ЛИШНИЙ КАНАЛ",IF(AND(AJ225&lt;&gt;"=",COUNTIFS(Линии[_модуль гр.],ET225,Линии[Канал (итог)],EV225,Линии[Канал],"&lt;&gt;=",Линии[Щит],A225)&gt;1),"ДУБЛЬ КАНАЛА","")))</f>
        <v/>
      </c>
      <c r="FD225">
        <f t="shared" si="323"/>
        <v>16</v>
      </c>
      <c r="FE225" t="str">
        <f t="shared" si="324"/>
        <v>2P С16А 30мА</v>
      </c>
      <c r="FF225">
        <f t="shared" si="325"/>
        <v>1</v>
      </c>
      <c r="FG225">
        <f t="shared" si="326"/>
        <v>30</v>
      </c>
      <c r="FH225" t="str">
        <f t="shared" si="327"/>
        <v/>
      </c>
      <c r="FI225">
        <f t="shared" si="328"/>
        <v>10</v>
      </c>
      <c r="FJ225" t="str">
        <f t="shared" si="329"/>
        <v/>
      </c>
      <c r="FK225" t="str">
        <f>IF(AND(D225="",EZ225=""),"",_xlfn.TEXTJOIN("; ",TRUE,IF(AND(D225&lt;&gt;"",DD225=""),"нет фазы",""),IF(AND(D225&lt;&gt;"",N(DT225)=0,CN225&lt;&gt;"Нет"),"нет мощности",""),IF(AND(EY225&lt;&gt;"",COUNTIFS(Линии[Щит],A225,Линии[Клемма (итог)],EY225)&gt;1),"дубль клеммы "&amp;EY225,""),IF(AND(FB225&lt;&gt;"",FB225&lt;&gt;"ok"),FB225,""),IF(FC225&lt;&gt;"",FC225,""),IF(AND(ISNUMBER(SEARCH("(5х",DS225)),N(DV225)=1),"5 жил на 1 фазе",""),IF(AND(AT225="R",AD225&lt;&gt;"",OR(N(EH225)=0,N(EH225)&gt;30)),"розетка без дифзащиты до 30 мА",""),IFERROR(IF(AND(ISNUMBER(CD225),CD225&gt;CE225),"потери "&amp;FIXED(CD225,1)&amp;" % &gt; "&amp;CE225&amp;" %",""),""),IFERROR(IF(LEFT(FJ225,4)="мало","Iкз мало — отключение &gt; 0,4 с",""),""),IF(AND(D225&lt;&gt;"",BD225=""),"не на схеме","")))</f>
        <v/>
      </c>
      <c r="FL225">
        <f>IF(AD225="","",_xlfn.LET(_xlpm.t,IFERROR(_xlfn.XLOOKUP(EP225,Каталог!$U$4:$U$500,Каталог!$G$4:$G$500),""),_xlpm.k,SEARCH("кА",_xlpm.t),IFERROR(--TRIM(RIGHT(SUBSTITUTE(MID(_xlpm.t,MAX(1,_xlpm.k-4),_xlpm.k-MAX(1,_xlpm.k-4))," ",REPT(" ",9)),5)),"")))</f>
        <v>6</v>
      </c>
      <c r="FM225" t="str">
        <f>IF(OR(FL225="",AD225=""),"",IF(_xlfn.XLOOKUP(A225,Щиты[Щит],Щиты[Iкз max на шинах, кА],"")="","",IF(FL225&lt;_xlfn.XLOOKUP(A225,Щиты[Щит],Щиты[Iкз max на шинах, кА]),"Icu "&amp;FL225&amp;" кА &lt; Iкз max","ok")))</f>
        <v/>
      </c>
      <c r="FN225" t="str">
        <f t="shared" si="330"/>
        <v>QFD1|XT1</v>
      </c>
      <c r="FO225" t="str">
        <f t="shared" si="331"/>
        <v>QFD1|XT1|кабель ВВГнг(А)-LS (3х2,5) → Розеточная группа Первый этаж Пом. №001A</v>
      </c>
      <c r="FP225" t="str" cm="1">
        <f t="array" ref="FP225">IF(FO225="","",_xlfn.LET(_xlpm.nd,_xlfn.TEXTSPLIT(FO225,"|"),IF(COLUMNS(_xlpm.nd)&gt;1,A225&amp;"¦"&amp;INDEX(_xlpm.nd,1)&amp;"¦"&amp;INDEX(_xlpm.nd,2),"")))</f>
        <v>ЩР-1¦QFD1¦XT1</v>
      </c>
      <c r="FQ225" t="str">
        <f t="shared" si="332"/>
        <v>R.1.001A.1¦Розеточная группа Первый этаж Пом. №001A</v>
      </c>
      <c r="FR225" t="str" cm="1">
        <f t="array" ref="FR225">IF(FO225="","",_xlfn.LET(_xlpm.nd,_xlfn.TEXTSPLIT(FO225,"|"),IF(COLUMNS(_xlpm.nd)&gt;2,A225&amp;"¦"&amp;INDEX(_xlpm.nd,2)&amp;"¦"&amp;INDEX(_xlpm.nd,3),"")))</f>
        <v>ЩР-1¦XT1¦кабель ВВГнг(А)-LS (3х2,5) → Розеточная группа Первый этаж Пом. №001A</v>
      </c>
      <c r="FS225" t="str">
        <f t="shared" si="333"/>
        <v>R.1.001A.1¦Розеточная группа Первый этаж Пом. №001A</v>
      </c>
      <c r="FT225" t="str" cm="1">
        <f t="array" ref="FT225">IF(FO225="","",_xlfn.LET(_xlpm.nd,_xlfn.TEXTSPLIT(FO225,"|"),IF(COLUMNS(_xlpm.nd)&gt;3,A225&amp;"¦"&amp;INDEX(_xlpm.nd,3)&amp;"¦"&amp;INDEX(_xlpm.nd,4),"")))</f>
        <v/>
      </c>
      <c r="FU225" t="str">
        <f t="shared" si="334"/>
        <v/>
      </c>
      <c r="FV225" t="str" cm="1">
        <f t="array" ref="FV225">IF(FO225="","",_xlfn.LET(_xlpm.nd,_xlfn.TEXTSPLIT(FO225,"|"),IF(COLUMNS(_xlpm.nd)&gt;4,A225&amp;"¦"&amp;INDEX(_xlpm.nd,4)&amp;"¦"&amp;INDEX(_xlpm.nd,5),"")))</f>
        <v/>
      </c>
      <c r="FW225" t="str">
        <f t="shared" si="335"/>
        <v/>
      </c>
      <c r="FX225" t="str" cm="1">
        <f t="array" ref="FX225">IF(FO225="","",_xlfn.LET(_xlpm.nd,_xlfn.TEXTSPLIT(FO225,"|"),IF(COLUMNS(_xlpm.nd)&gt;5,A225&amp;"¦"&amp;INDEX(_xlpm.nd,5)&amp;"¦"&amp;INDEX(_xlpm.nd,6),"")))</f>
        <v/>
      </c>
      <c r="FY225" t="str">
        <f t="shared" si="336"/>
        <v/>
      </c>
      <c r="FZ225" t="str" cm="1">
        <f t="array" ref="FZ225">IF(FO225="","",_xlfn.LET(_xlpm.nd,_xlfn.TEXTSPLIT(FO225,"|"),IF(COLUMNS(_xlpm.nd)&gt;6,A225&amp;"¦"&amp;INDEX(_xlpm.nd,6)&amp;"¦"&amp;INDEX(_xlpm.nd,7),"")))</f>
        <v/>
      </c>
      <c r="GA225" t="str">
        <f t="shared" si="337"/>
        <v/>
      </c>
      <c r="GB225" t="str">
        <f t="shared" si="338"/>
        <v/>
      </c>
      <c r="GC225" t="str">
        <f t="shared" si="339"/>
        <v>QFD1 → XT1</v>
      </c>
      <c r="GD225">
        <f t="shared" si="340"/>
        <v>1</v>
      </c>
      <c r="GE225">
        <f t="shared" si="341"/>
        <v>0</v>
      </c>
      <c r="GF225">
        <f t="shared" si="342"/>
        <v>1</v>
      </c>
      <c r="GG225" t="str">
        <f t="shared" si="343"/>
        <v/>
      </c>
      <c r="GH225" t="str">
        <f t="shared" si="344"/>
        <v/>
      </c>
      <c r="GI225" t="str">
        <f t="shared" si="345"/>
        <v/>
      </c>
      <c r="GJ225" t="str">
        <f t="shared" si="346"/>
        <v/>
      </c>
      <c r="GK225" t="str">
        <f>IF(D225="","",IFERROR(VLOOKUP(D225,УГО_спр,2,FALSE),IFERROR(VLOOKUP(AT225,УГО_спр,2,FALSE),IFERROR(VLOOKUP(LEFT(AT225,2),УГО_спр,2,FALSE),""))))</f>
        <v>Розетка</v>
      </c>
      <c r="GL225" t="str">
        <f>IF(D225="","",IF(OR(GK225="",GK225=0),"BOX",IFERROR(IF(VLOOKUP(GK225,УГО_блоки,3,FALSE)&amp;""&lt;&gt;"",VLOOKUP(GK225,УГО_блоки,3,FALSE),VLOOKUP(GK225,УГО_блоки,2,FALSE)),GK225)))</f>
        <v>SOCKET</v>
      </c>
      <c r="GM225">
        <f t="shared" si="347"/>
        <v>1</v>
      </c>
      <c r="GN225" t="str">
        <f>IF(EP225="","",IF(COUNTIF(EP$3:EP225,EP225)=1,MAX(GN$2:GN224)+1,""))</f>
        <v/>
      </c>
      <c r="GO225" t="str">
        <f>IF(AF225="","",IF(COUNTIF(AF$3:AF225,AF225)+COUNTIF(AG$2:AG224,AF225)+COUNTIF(AH$2:AH224,AF225)=1,MAX(GO$2:GQ224)+1,""))</f>
        <v/>
      </c>
      <c r="GP225" t="str">
        <f>IF(AG225="","",IF(COUNTIF(AF$3:AF225,AG225)+COUNTIF(AG$3:AG225,AG225)+COUNTIF(AH$2:AH224,AG225)=1,MAX(GO$2:GQ224,GO225)+1,""))</f>
        <v/>
      </c>
      <c r="GQ225" t="str">
        <f>IF(AH225="","",IF(COUNTIF(AF$3:AF225,AH225)+COUNTIF(AG$3:AG225,AH225)+COUNTIF(AH$3:AH225,AH225)=1,MAX(GO$2:GQ224,GO225,GP225)+1,""))</f>
        <v/>
      </c>
      <c r="GR225" t="str">
        <f t="shared" si="348"/>
        <v>3х2,5</v>
      </c>
      <c r="GS225" t="str">
        <f>IF(GR225="","",IF(COUNTIF(GR$3:GR225,GR225)=1,MAX(GS$2:GS224)+1,""))</f>
        <v/>
      </c>
      <c r="GT225" t="str">
        <f>IF(ES225="","",COUNTIF(ES$3:ES225,"?*"))</f>
        <v/>
      </c>
      <c r="GU225" t="str">
        <f>IF(OR(ES225="",EU225=""),"",IF(COUNTIFS(ES$3:ES225,"?*",EU$3:EU225,EU225)=1,MAX(GU$2:GU224)+1,""))</f>
        <v/>
      </c>
      <c r="GV225">
        <f t="shared" si="349"/>
        <v>0</v>
      </c>
      <c r="GW225">
        <f>IF(D225="","",COUNTIF(D$3:D225,"?*"))</f>
        <v>223</v>
      </c>
      <c r="GX225">
        <f>IF(EX225&lt;&gt;1,0,_xlfn.LET(_xlpm.k,MAX(IFERROR(--VLOOKUP(D225,УГО_спр,5,FALSE),0),IFERROR(--VLOOKUP(AT225,УГО_спр,5,FALSE),0),IFERROR(--VLOOKUP(LEFT(AT225,2),УГО_спр,5,FALSE),0)),IF(_xlpm.k&gt;0,_xlpm.k,IF(IFERROR(--LEFT(SUBSTITUTE(GR225,"x","х"),FIND("х",SUBSTITUTE(GR225,"x","х"))-1),3)&gt;3,Каталог!$S$9,1))))</f>
        <v>1</v>
      </c>
      <c r="GY225">
        <f t="shared" si="350"/>
        <v>0</v>
      </c>
    </row>
    <row r="226" spans="1:207" x14ac:dyDescent="0.3">
      <c r="A226" t="s">
        <v>762</v>
      </c>
      <c r="B226">
        <v>10</v>
      </c>
      <c r="C226" t="str">
        <f>IF(BD226="","",IF(BE226="вводной узел","узел ","")&amp;"л."&amp;(INT((BD226-1)/Столбцов_на_лист)+1)&amp;" / "&amp;(MOD(BD226-1,Столбцов_на_лист)+1))</f>
        <v>л.1 / 10</v>
      </c>
      <c r="D226" t="s">
        <v>1542</v>
      </c>
      <c r="E226" s="133" t="s">
        <v>1543</v>
      </c>
      <c r="G226">
        <v>0.12</v>
      </c>
      <c r="H226">
        <v>2</v>
      </c>
      <c r="I226">
        <v>1</v>
      </c>
      <c r="J226">
        <v>230</v>
      </c>
      <c r="K226" t="s">
        <v>566</v>
      </c>
      <c r="O226">
        <v>3</v>
      </c>
      <c r="P226">
        <v>64</v>
      </c>
      <c r="Q226">
        <v>28</v>
      </c>
      <c r="R226">
        <v>1</v>
      </c>
      <c r="S226">
        <v>0</v>
      </c>
      <c r="U226" t="s">
        <v>11</v>
      </c>
      <c r="V226">
        <v>3</v>
      </c>
      <c r="W226">
        <v>2.5</v>
      </c>
      <c r="Z226" t="s">
        <v>565</v>
      </c>
      <c r="AA226" t="s">
        <v>818</v>
      </c>
      <c r="AD226" t="s">
        <v>517</v>
      </c>
      <c r="AR226" t="str">
        <f t="shared" si="264"/>
        <v/>
      </c>
      <c r="AS226" cm="1">
        <f t="array" ref="AS226">ROW()-ROW(Линии[#Headers])</f>
        <v>224</v>
      </c>
      <c r="AT226" t="str">
        <f t="shared" si="265"/>
        <v>R</v>
      </c>
      <c r="AU226" t="str">
        <f t="shared" si="266"/>
        <v>1.001Aб.1</v>
      </c>
      <c r="AV226" t="str">
        <f t="shared" si="267"/>
        <v>1</v>
      </c>
      <c r="AW226" t="str">
        <f t="shared" si="268"/>
        <v>001Aб.1</v>
      </c>
      <c r="AX226" t="str">
        <f t="shared" si="269"/>
        <v>001Aб</v>
      </c>
      <c r="AY226" t="str">
        <f>IF(D226="","",IF(ISERROR(SEARCH(".",D226)),IFERROR(VLOOKUP(D226,Потребители_обозначение,2,FALSE)&amp;"",""),IFERROR(IF(VLOOKUP(AT226,Потребители_обозначение,4,FALSE)=1,VLOOKUP(AT226,Потребители_обозначение,2,FALSE)&amp;" "&amp;VLOOKUP(AV226,Этаж_обозначение,2,FALSE)&amp;" Пом. №"&amp;AX226,VLOOKUP(AT226,Потребители_обозначение,2,FALSE)&amp;" Шлейф №"&amp;AV226),IFERROR(VLOOKUP(D226,Потребители_обозначение,2,FALSE),""))))</f>
        <v>Розеточная группа Первый этаж Пом. №001Aб</v>
      </c>
      <c r="AZ226" t="str">
        <f t="shared" si="270"/>
        <v>Розеточная группа Первый этаж Пом. №001Aб, 002Аб</v>
      </c>
      <c r="BA226" t="str">
        <f>IF(F226&lt;&gt;"",F226,IF(AND(D226&lt;&gt;"",D226&lt;&gt;A226,ISNUMBER(_xlfn.XMATCH(D226,Щиты[Щит]))),D226,""))</f>
        <v/>
      </c>
      <c r="BB226">
        <f>IFERROR(_xlfn.XMATCH(A226,Щиты[Щит]),0)</f>
        <v>10</v>
      </c>
      <c r="BC226">
        <f>IFERROR(N(_xlfn.XLOOKUP(A226,Щиты[Щит],Щиты[Мест под вводной узел])),15)</f>
        <v>8</v>
      </c>
      <c r="BD226">
        <f t="shared" si="271"/>
        <v>10</v>
      </c>
      <c r="BE226" t="str">
        <f t="shared" si="272"/>
        <v>линии</v>
      </c>
      <c r="BF226">
        <f>IF(D226="","",IF(BA226&lt;&gt;"",IFERROR(_xlfn.XLOOKUP(BA226,Щиты[Щит],Щиты[Руст, кВт]),0),N(G226)))</f>
        <v>0.12</v>
      </c>
      <c r="BG226">
        <f>IF(J226&lt;&gt;"",J226,IF(D226="","",IFERROR(IF(VLOOKUP(AT226,Потребители_обозначение,8,FALSE)=0,"",VLOOKUP(AT226,Потребители_обозначение,8,FALSE)),"")))</f>
        <v>230</v>
      </c>
      <c r="BH226">
        <f>IF(I226&lt;&gt;"",I226,IF(D226="","",IFERROR(IF(VLOOKUP(AT226,Потребители_обозначение,9,FALSE)=0,"",VLOOKUP(AT226,Потребители_обозначение,9,FALSE)),"")))</f>
        <v>1</v>
      </c>
      <c r="BI226" t="str">
        <f>IF(U226&lt;&gt;"",U226,IF(D226="","",IFERROR(IF(VLOOKUP(AT226,Потребители_обозначение,6,FALSE)=0,"",VLOOKUP(AT226,Потребители_обозначение,6,FALSE)),"")))</f>
        <v>мс</v>
      </c>
      <c r="BJ226">
        <f>IF(V226&lt;&gt;"",V226,IF(D226="","",IFERROR(IF(VLOOKUP(AT226,Потребители_обозначение,7,FALSE)=0,"",VLOOKUP(AT226,Потребители_обозначение,7,FALSE)),"")))</f>
        <v>3</v>
      </c>
      <c r="BK226">
        <f>IF(W226&lt;&gt;"",W226,IF(D226="","",IFERROR(IF(VLOOKUP(AT226,Потребители_обозначение,10,FALSE)=0,"",VLOOKUP(AT226,Потребители_обозначение,10,FALSE)),"")))</f>
        <v>2.5</v>
      </c>
      <c r="BL226">
        <f>IFERROR(VLOOKUP(AT226,Потребители_обозначение,5,FALSE),0)</f>
        <v>1</v>
      </c>
      <c r="BM226" cm="1">
        <f t="array" ref="BM226">IF(D226="","",IF(BA226&lt;&gt;"",IFERROR(_xlfn.XLOOKUP(BA226,Щиты[Щит],Щиты[cos φ]),0.95),IF(ISNUMBER(M226),M226,IFERROR(IF(BL226=2,_xlfn.IFS(BH226=3,VLOOKUP(BF226,Справочная_двигатели,8,FALSE),BH226=1,VLOOKUP(BF226,Справочная_двигатели,10,TRUE)),IF(AND(Методика="нормы 2026",CN226="Сил"),0.8,0.95)),0.95))))</f>
        <v>0.95</v>
      </c>
      <c r="BN226" cm="1">
        <f t="array" ref="BN226">IF(D226="","",IF(BA226&lt;&gt;"",IFERROR(_xlfn.XLOOKUP(BA226,Щиты[Щит],Щиты[Iр, А]),""),IFERROR(_xlfn.IFS(BH226=1,BF226/((Uн_лин/SQRT(3))*BM226),BH226=3,BF226/(SQRT(3)*Uн_лин*BM226)),"")))</f>
        <v>0.54696341291648753</v>
      </c>
      <c r="BO226">
        <f>IF(D226="","",IF(N(X226)=0,IFERROR(VLOOKUP(BN226,Автомат_номиналы,2,TRUE),""),X226))</f>
        <v>6</v>
      </c>
      <c r="BP226">
        <f t="shared" si="273"/>
        <v>1</v>
      </c>
      <c r="BQ226">
        <f>IF(ISNUMBER(Y226),Y226,К_прокл)</f>
        <v>1</v>
      </c>
      <c r="BR226">
        <f t="shared" si="274"/>
        <v>2</v>
      </c>
      <c r="BS226" cm="1">
        <f t="array" ref="BS226">IF(D226="","",IF(N(BK226)&lt;&gt;0,BK226,IFERROR(_xlfn.LET(_xlpm.need,BO226/(BP226*BQ226),_xlpm.t,CHOOSE(BR226,Iдоп_1ж,Iдоп_2ж,Iдоп_3ж),_xlpm.k,_xlfn.XMATCH(_xlpm.need,_xlpm.t,1),IF(ISNA(_xlpm.k),"Не исп",INDEX(Iдоп_S,_xlpm.k))),"Не исп")))</f>
        <v>2.5</v>
      </c>
      <c r="BT226">
        <f>IFERROR(VLOOKUP(BS226,Кабель_сопротивление,3,FALSE),"")</f>
        <v>2.2499999999999999E-2</v>
      </c>
      <c r="BU226">
        <f>IFERROR(VLOOKUP(BS226,Кабель_сопротивление,2,FALSE),"")</f>
        <v>0.1</v>
      </c>
      <c r="BV226">
        <f t="shared" si="275"/>
        <v>64</v>
      </c>
      <c r="BW226">
        <f>IF(D226="","",IFERROR(IF(VLOOKUP(AT226,Потребители_обозначение,4,FALSE)=1,VLOOKUP(AT226,Потребители_обозначение,3,FALSE)*(H226*2-1)+BV226+VLOOKUP(AV226,Этаж_обозначение,3,FALSE)+VLOOKUP(AV226,Этаж_обозначение,4,FALSE),VLOOKUP(AT226,Потребители_обозначение,3,FALSE)*(H226*2-1)+BV226),BV226))</f>
        <v>73</v>
      </c>
      <c r="BX226">
        <f t="shared" si="276"/>
        <v>1</v>
      </c>
      <c r="BY226">
        <f t="shared" si="277"/>
        <v>0</v>
      </c>
      <c r="BZ226">
        <f t="shared" si="278"/>
        <v>2</v>
      </c>
      <c r="CA226">
        <f t="shared" si="279"/>
        <v>0.31</v>
      </c>
      <c r="CB226">
        <f t="shared" si="280"/>
        <v>0.68524998475051124</v>
      </c>
      <c r="CC226">
        <f>IFERROR(ROUNDUP(CB226/((Uн_лин/SQRT(3))*1000)*100,2),"")</f>
        <v>0.3</v>
      </c>
      <c r="CD226">
        <f>IF(ISNUMBER(CC226),CC226+IFERROR(_xlfn.XLOOKUP(A226,Щиты[Щит],Щиты[ΔU до шин, %]),0),"")</f>
        <v>1.55</v>
      </c>
      <c r="CE226">
        <f>IF(D226="","",IF(IFERROR(VLOOKUP(AT226,УГО_спр,2,FALSE),"")="Светильник",3,4)+IF(Методика="нормы 2026",MIN(0.5,MAX(0,N(BW226)-100)*0.005),0))</f>
        <v>4</v>
      </c>
      <c r="CF226" t="str">
        <f>IFERROR(VLOOKUP(BI226,Кабель_обозначение,2,FALSE),"")</f>
        <v>ВВГнг(А)-LS</v>
      </c>
      <c r="CG226" t="str">
        <f>IFERROR(IF(VLOOKUP(BI226,Кабель_обозначение,3,FALSE)=1,CF226&amp;" ("&amp;BJ226&amp;"х"&amp;BS226&amp;")",CF226),"")</f>
        <v>ВВГнг(А)-LS (3х2,5)</v>
      </c>
      <c r="CH226" t="str">
        <f t="shared" si="281"/>
        <v>ВВГнг(А)-LS (3х2,5)
L=73-0,3%</v>
      </c>
      <c r="CI226">
        <f>IFERROR(2*ρкз_Cu*BW226/BS226,"")</f>
        <v>1.53592</v>
      </c>
      <c r="CJ226">
        <f t="shared" si="282"/>
        <v>0.51100000000000001</v>
      </c>
      <c r="CK226" t="str">
        <f>IFERROR(IF(OR(D226="",NOT(ISNUMBER(BS226)),N(BW226)=0),"",_xlfn.XLOOKUP(A226,Щиты[Щит],Щиты[Zпетли на шинах, Ом])+CI226),"")</f>
        <v/>
      </c>
      <c r="CL226" t="str">
        <f>IF(ISNUMBER(CK226),c_min*(Uн_лин*1000/SQRT(3))/CK226,"")</f>
        <v/>
      </c>
      <c r="CM226" t="str">
        <f>IFERROR(IF(OR(D226="",NOT(ISNUMBER(BS226))),"",1.05*(Uн_лин*1000/SQRT(3))/(_xlfn.XLOOKUP(A226,Щиты[Щит],Щиты[Zmax на шинах, Ом])+CJ226)/1000),"")</f>
        <v/>
      </c>
      <c r="CN226" t="str">
        <f>IF(D226="","",IF(BA226&lt;&gt;"","Щит",IF(K226&lt;&gt;"",K226,IF(ISNUMBER(L226),"Сил",IF(IFERROR(_xlfn.XLOOKUP(AT226,Коды_код,Коды_группа)&amp;"","")="","Быт",_xlfn.XLOOKUP(AT226,Коды_код,Коды_группа)&amp;"")))))</f>
        <v>Быт</v>
      </c>
      <c r="CO226">
        <f>IF(CN226="Щит","щит",IF(CN226="","",IF(CN226="Быт",IFERROR(_xlfn.XLOOKUP(A226,Щиты[Щит],Щиты[Кс быт]),1),IF(CN226="Сил",IF(ISNUMBER(L226),L226,IF(Методика="нормы 2026",IFERROR(_xlfn.XLOOKUP(A226,Щиты[Щит],Щиты[Кс силовых (табл. 7.5)]),1),1)),IF(OR(CN226="Пост",CN226="Отоп"),1,IF(CN226="ВНГ",0.7,0))))))</f>
        <v>0.57830000000000004</v>
      </c>
      <c r="CP226">
        <f t="shared" si="283"/>
        <v>1</v>
      </c>
      <c r="CQ226">
        <f t="shared" si="284"/>
        <v>0.12</v>
      </c>
      <c r="CR226">
        <f t="shared" si="285"/>
        <v>0.12</v>
      </c>
      <c r="CS226">
        <f t="shared" si="286"/>
        <v>0</v>
      </c>
      <c r="CT226">
        <f t="shared" si="287"/>
        <v>0</v>
      </c>
      <c r="CU226">
        <f t="shared" si="288"/>
        <v>0</v>
      </c>
      <c r="CV226">
        <f t="shared" si="289"/>
        <v>0</v>
      </c>
      <c r="CW226">
        <f t="shared" si="290"/>
        <v>0.12</v>
      </c>
      <c r="CX226">
        <f t="shared" si="291"/>
        <v>0.11399999999999999</v>
      </c>
      <c r="CY226">
        <f t="shared" si="292"/>
        <v>2</v>
      </c>
      <c r="CZ226" t="str">
        <f t="shared" si="293"/>
        <v>L2</v>
      </c>
      <c r="DA226" cm="1">
        <f t="array" ref="DA226">IFERROR(IF(BL226=2,_xlfn.IFS(BH226=3,VLOOKUP(BF226,Справочная_двигатели,3,FALSE),BH226=1,VLOOKUP(BF226,Справочная_двигатели,5,TRUE)),0),0)</f>
        <v>0</v>
      </c>
      <c r="DB226">
        <f>IFERROR(IF(BL226=3,VLOOKUP(BF226,Справочная_ЛЭД,2,TRUE),0),0)</f>
        <v>0</v>
      </c>
      <c r="DC226">
        <f t="shared" si="294"/>
        <v>0</v>
      </c>
      <c r="DD226" t="str">
        <f t="shared" si="295"/>
        <v>L3</v>
      </c>
      <c r="DE226" t="str" cm="1">
        <f t="array" ref="DE226">IF(D226="","",IFERROR(INDEX({"I особая","I","II","III"},MATCH(TRIM(AA226&amp;""),{"I особая","I","II","III"},0)),"III"))</f>
        <v>II</v>
      </c>
      <c r="DF226" t="str">
        <f>IF(D226="","",IF(TRIM(AB226&amp;"")&lt;&gt;"",IF(LOWER(TRIM(AB226&amp;""))="да","да","нет"),IF(IFERROR(_xlfn.XLOOKUP(AT226,Коды_код,Коды_пожарная),"")="да","да","нет")))</f>
        <v>нет</v>
      </c>
      <c r="DG226" t="str">
        <f t="shared" si="296"/>
        <v/>
      </c>
      <c r="DH226" t="str">
        <f t="shared" si="297"/>
        <v>основная</v>
      </c>
      <c r="DI226">
        <f t="shared" si="298"/>
        <v>1</v>
      </c>
      <c r="DJ226" t="str" cm="1">
        <f t="array" ref="DJ226">IF(D226="","",_xlfn.LET(_xlpm.t,IFERROR(_xlfn.XLOOKUP(1,(Шины[Шина]=DH226)*(((Шины[Щит]=A226)+(Шины[Щит]=""))&gt;0),Шины[Тип]),"")&amp;"",IF(_xlpm.t&lt;&gt;"",_xlpm.t,IF(ISNUMBER(SEARCH("ИБП",DH226)),"ИБП",IF(ISNUMBER(SEARCH("ДГУ",DH226)),"ДГУ","Ввод "&amp;DI226)))))</f>
        <v>Ввод 1</v>
      </c>
      <c r="DK226" t="str">
        <f t="shared" si="299"/>
        <v>Ввод 1</v>
      </c>
      <c r="DL226" t="str">
        <f>IF(D226="","",IF(OR(DJ226="ИБП",DJ226="ДГУ"),"I особая",IF(DJ226="Одиночная","III",_xlfn.XLOOKUP(A226,Щиты[Щит],Щиты[Категория шины «Ввод»],"III"))))</f>
        <v>II</v>
      </c>
      <c r="DM226">
        <f>IF(D226="",0,IFERROR(MATCH(DE226,{"III","II","I","I особая"},0),1))</f>
        <v>2</v>
      </c>
      <c r="DN226">
        <f t="shared" si="300"/>
        <v>2</v>
      </c>
      <c r="DO226" t="str">
        <f>IF(D226="","",IF(DM226&gt;IFERROR(MATCH(DL226,{"III","II","I","I особая"},0),1),"НЕ ОБЕСПЕЧЕНА","ОК"))</f>
        <v>ОК</v>
      </c>
      <c r="DP226" t="str">
        <f>IF(A226="","",_xlfn.XLOOKUP(A226,Щиты[Щит],Щиты[Путь],""))</f>
        <v>|ГРЩ-ЖД|ЩР-1|</v>
      </c>
      <c r="DQ226" t="str">
        <f>IF(D226="","",IF(Z226&lt;&gt;"",Z226,IF(IFERROR(_xlfn.XLOOKUP(AT226,Коды_код,Коды_вид)&amp;"","")="","Прочее",_xlfn.XLOOKUP(AT226,Коды_код,Коды_вид)&amp;"")))</f>
        <v>Розеточная сеть и бытовые приборы</v>
      </c>
      <c r="DR226">
        <f>IF(BD226="","",INT((BD226-1)/Столбцов_на_лист)+1)</f>
        <v>1</v>
      </c>
      <c r="DS226" t="str">
        <f t="shared" si="301"/>
        <v>ВВГнг(А)-LS (3х2,5) L=73-0,3%</v>
      </c>
      <c r="DT226">
        <f t="shared" si="302"/>
        <v>0.12</v>
      </c>
      <c r="DU226">
        <f t="shared" si="303"/>
        <v>0.55000000000000004</v>
      </c>
      <c r="DV226">
        <f t="shared" si="304"/>
        <v>1</v>
      </c>
      <c r="DW226">
        <f>IF(AT226="",0,_xlfn.LET(_xlpm.v,IFERROR(VLOOKUP(D226,УГО_спр,3,FALSE),IFERROR(VLOOKUP(AT226,УГО_спр,3,FALSE),IFERROR(VLOOKUP(LEFT(AT226,2),УГО_спр,3,FALSE),""))),IF(_xlpm.v="да",30,IF(ISNUMBER(_xlpm.v),_xlpm.v,0))))</f>
        <v>30</v>
      </c>
      <c r="DX226">
        <f t="shared" si="305"/>
        <v>0</v>
      </c>
      <c r="DY226">
        <f>IF(BD226="","",IF(AD226&lt;&gt;"",COUNTIFS(A$3:A226,A226,AD$3:AD226,"?*"),IF(OR(OR(AS226=1,A226&lt;&gt;A225),AL226="вручную"),"",IF(AS226=1,"",DZ225))))</f>
        <v>2</v>
      </c>
      <c r="DZ226">
        <f t="shared" si="306"/>
        <v>2</v>
      </c>
      <c r="EA226">
        <f>IF(D226="",0,MAX(IFERROR(--X226,0),IFERROR(--VLOOKUP(D226,УГО_спр,4,FALSE),IFERROR(--VLOOKUP(AT226,УГО_спр,4,FALSE),IFERROR(--VLOOKUP(LEFT(AT226,2),УГО_спр,4,FALSE),0)))))</f>
        <v>16</v>
      </c>
      <c r="EB226">
        <f>IF(D226="","",IFERROR(LOOKUP(INDEX(CHOOSE(BR226,Iдоп_1ж,Iдоп_2ж,Iдоп_3ж),MATCH(BS226,Iдоп_S,0))*BP226*BQ226,{6,10,16,20,25,32,40,50,63,80,100,125,160,200,250,315,400,500,630}),""))</f>
        <v>25</v>
      </c>
      <c r="EC226">
        <f>IF(AD226="","",SUMIFS(Линии[_Ток схемы],Линии[_гр.],DY226,Линии[Щит],A226,Линии[_в кабель выше],0))</f>
        <v>0.55000000000000004</v>
      </c>
      <c r="ED226">
        <f>IF(AD226="","",IFERROR(VLOOKUP(EC226,Автомат_номиналы,2,TRUE),""))</f>
        <v>6</v>
      </c>
      <c r="EE226">
        <f>IF(AD226="","",MAX(N(ED226),_xlfn.MAXIFS(Линии[_мин. по типу],Линии[_гр.],DY226,Линии[Щит],A226)))</f>
        <v>16</v>
      </c>
      <c r="EF226">
        <f>IF(AD226="","",_xlfn.MINIFS(Линии[_макс. автомат по кабелю],Линии[_гр.],DY226,Линии[Щит],A226))</f>
        <v>25</v>
      </c>
      <c r="EG226">
        <f>IF(AD226="","",MAX(1,_xlfn.MAXIFS(Линии[_фаз],Линии[_гр.],DY226,Линии[Щит],A226)))</f>
        <v>1</v>
      </c>
      <c r="EH226">
        <f>IF(AD226="","",IF(AND(AD226&lt;&gt;"авто",AD226&lt;&gt;"+"),IF(ISNUMBER(SEARCH("мА",AD226)),IFERROR(--TRIM(RIGHT(SUBSTITUTE(LEFT(AD226,SEARCH("мА",AD226)-1)," ",REPT(" ",9)),6)),30),0),IF(AE226="нет",0,IF(ISNUMBER(AE226),AE226,IF(AE226="да",30,_xlfn.MINIFS(Линии[_дифзащита по коду, мА],Линии[_гр.],DY226,Линии[Щит],A226,Линии[_дифзащита по коду, мА],"&gt;0"))))))</f>
        <v>30</v>
      </c>
      <c r="EI226">
        <f t="shared" si="307"/>
        <v>1</v>
      </c>
      <c r="EJ226" t="str">
        <f t="shared" si="308"/>
        <v>QFD2</v>
      </c>
      <c r="EK226" t="str">
        <f t="shared" si="309"/>
        <v>QFD2</v>
      </c>
      <c r="EL226" t="str">
        <f t="shared" si="310"/>
        <v/>
      </c>
      <c r="EM226">
        <f t="shared" si="311"/>
        <v>0</v>
      </c>
      <c r="EN226">
        <f>IF(AD226="","",IF(EM226=1,MAX(EE226,Мин_автомат_БП),EE226))</f>
        <v>16</v>
      </c>
      <c r="EO226" t="str">
        <f t="shared" si="312"/>
        <v>2P</v>
      </c>
      <c r="EP226" t="str">
        <f t="shared" si="313"/>
        <v>2P С16А 30мА</v>
      </c>
      <c r="EQ226">
        <f t="shared" si="314"/>
        <v>16</v>
      </c>
      <c r="ER226" t="str">
        <f>IF(OR(AI226="",AI226="-"),"",IFERROR(VLOOKUP(AI226,Модули_спр,2,FALSE),"R"))</f>
        <v/>
      </c>
      <c r="ES226" t="str">
        <f>IF(ER226="","",ER226&amp;"."&amp;COUNTIFS(A$3:A226,A226,ER$3:ER226,ER226))</f>
        <v/>
      </c>
      <c r="ET226" t="str">
        <f t="shared" si="315"/>
        <v/>
      </c>
      <c r="EU226" t="str">
        <f t="shared" si="316"/>
        <v/>
      </c>
      <c r="EV226" t="str">
        <f t="shared" si="317"/>
        <v/>
      </c>
      <c r="EW226" t="str">
        <f t="shared" si="318"/>
        <v/>
      </c>
      <c r="EX226">
        <f t="shared" si="319"/>
        <v>1</v>
      </c>
      <c r="EY226" t="str">
        <f>IF(AK226="нет","",IF(AK226&lt;&gt;"",AK226,IF(EX226=1,"XT"&amp;COUNTIFS(A$3:A226,A226,EX$3:EX226,1),"")))</f>
        <v>XT2</v>
      </c>
      <c r="EZ226" t="str">
        <f t="shared" si="320"/>
        <v>QFD2</v>
      </c>
      <c r="FA226" t="str">
        <f t="shared" si="321"/>
        <v/>
      </c>
      <c r="FB226" t="str">
        <f t="shared" si="322"/>
        <v>ok</v>
      </c>
      <c r="FC226" t="str">
        <f>IF(OR(EV226="",ET226=""),"",IF(EV226&gt;IFERROR(VLOOKUP(EU226,Модули_спр,3,FALSE),99),"ЛИШНИЙ КАНАЛ",IF(AND(AJ226&lt;&gt;"=",COUNTIFS(Линии[_модуль гр.],ET226,Линии[Канал (итог)],EV226,Линии[Канал],"&lt;&gt;=",Линии[Щит],A226)&gt;1),"ДУБЛЬ КАНАЛА","")))</f>
        <v/>
      </c>
      <c r="FD226">
        <f t="shared" si="323"/>
        <v>16</v>
      </c>
      <c r="FE226" t="str">
        <f t="shared" si="324"/>
        <v>2P С16А 30мА</v>
      </c>
      <c r="FF226">
        <f t="shared" si="325"/>
        <v>1</v>
      </c>
      <c r="FG226">
        <f t="shared" si="326"/>
        <v>30</v>
      </c>
      <c r="FH226" t="str">
        <f t="shared" si="327"/>
        <v/>
      </c>
      <c r="FI226">
        <f t="shared" si="328"/>
        <v>10</v>
      </c>
      <c r="FJ226" t="str">
        <f t="shared" si="329"/>
        <v/>
      </c>
      <c r="FK226" t="str">
        <f>IF(AND(D226="",EZ226=""),"",_xlfn.TEXTJOIN("; ",TRUE,IF(AND(D226&lt;&gt;"",DD226=""),"нет фазы",""),IF(AND(D226&lt;&gt;"",N(DT226)=0,CN226&lt;&gt;"Нет"),"нет мощности",""),IF(AND(EY226&lt;&gt;"",COUNTIFS(Линии[Щит],A226,Линии[Клемма (итог)],EY226)&gt;1),"дубль клеммы "&amp;EY226,""),IF(AND(FB226&lt;&gt;"",FB226&lt;&gt;"ok"),FB226,""),IF(FC226&lt;&gt;"",FC226,""),IF(AND(ISNUMBER(SEARCH("(5х",DS226)),N(DV226)=1),"5 жил на 1 фазе",""),IF(AND(AT226="R",AD226&lt;&gt;"",OR(N(EH226)=0,N(EH226)&gt;30)),"розетка без дифзащиты до 30 мА",""),IFERROR(IF(AND(ISNUMBER(CD226),CD226&gt;CE226),"потери "&amp;FIXED(CD226,1)&amp;" % &gt; "&amp;CE226&amp;" %",""),""),IFERROR(IF(LEFT(FJ226,4)="мало","Iкз мало — отключение &gt; 0,4 с",""),""),IF(AND(D226&lt;&gt;"",BD226=""),"не на схеме","")))</f>
        <v/>
      </c>
      <c r="FL226">
        <f>IF(AD226="","",_xlfn.LET(_xlpm.t,IFERROR(_xlfn.XLOOKUP(EP226,Каталог!$U$4:$U$500,Каталог!$G$4:$G$500),""),_xlpm.k,SEARCH("кА",_xlpm.t),IFERROR(--TRIM(RIGHT(SUBSTITUTE(MID(_xlpm.t,MAX(1,_xlpm.k-4),_xlpm.k-MAX(1,_xlpm.k-4))," ",REPT(" ",9)),5)),"")))</f>
        <v>6</v>
      </c>
      <c r="FM226" t="str">
        <f>IF(OR(FL226="",AD226=""),"",IF(_xlfn.XLOOKUP(A226,Щиты[Щит],Щиты[Iкз max на шинах, кА],"")="","",IF(FL226&lt;_xlfn.XLOOKUP(A226,Щиты[Щит],Щиты[Iкз max на шинах, кА]),"Icu "&amp;FL226&amp;" кА &lt; Iкз max","ok")))</f>
        <v/>
      </c>
      <c r="FN226" t="str">
        <f t="shared" si="330"/>
        <v>QFD2|XT2</v>
      </c>
      <c r="FO226" t="str">
        <f t="shared" si="331"/>
        <v>QFD2|XT2|кабель ВВГнг(А)-LS (3х2,5) → Розеточная группа Первый этаж Пом. №001Aб, 002Аб</v>
      </c>
      <c r="FP226" t="str" cm="1">
        <f t="array" ref="FP226">IF(FO226="","",_xlfn.LET(_xlpm.nd,_xlfn.TEXTSPLIT(FO226,"|"),IF(COLUMNS(_xlpm.nd)&gt;1,A226&amp;"¦"&amp;INDEX(_xlpm.nd,1)&amp;"¦"&amp;INDEX(_xlpm.nd,2),"")))</f>
        <v>ЩР-1¦QFD2¦XT2</v>
      </c>
      <c r="FQ226" t="str">
        <f t="shared" si="332"/>
        <v>R.1.001Aб.1¦Розеточная группа Первый этаж Пом. №001Aб, 002Аб</v>
      </c>
      <c r="FR226" t="str" cm="1">
        <f t="array" ref="FR226">IF(FO226="","",_xlfn.LET(_xlpm.nd,_xlfn.TEXTSPLIT(FO226,"|"),IF(COLUMNS(_xlpm.nd)&gt;2,A226&amp;"¦"&amp;INDEX(_xlpm.nd,2)&amp;"¦"&amp;INDEX(_xlpm.nd,3),"")))</f>
        <v>ЩР-1¦XT2¦кабель ВВГнг(А)-LS (3х2,5) → Розеточная группа Первый этаж Пом. №001Aб, 002Аб</v>
      </c>
      <c r="FS226" t="str">
        <f t="shared" si="333"/>
        <v>R.1.001Aб.1¦Розеточная группа Первый этаж Пом. №001Aб, 002Аб</v>
      </c>
      <c r="FT226" t="str" cm="1">
        <f t="array" ref="FT226">IF(FO226="","",_xlfn.LET(_xlpm.nd,_xlfn.TEXTSPLIT(FO226,"|"),IF(COLUMNS(_xlpm.nd)&gt;3,A226&amp;"¦"&amp;INDEX(_xlpm.nd,3)&amp;"¦"&amp;INDEX(_xlpm.nd,4),"")))</f>
        <v/>
      </c>
      <c r="FU226" t="str">
        <f t="shared" si="334"/>
        <v/>
      </c>
      <c r="FV226" t="str" cm="1">
        <f t="array" ref="FV226">IF(FO226="","",_xlfn.LET(_xlpm.nd,_xlfn.TEXTSPLIT(FO226,"|"),IF(COLUMNS(_xlpm.nd)&gt;4,A226&amp;"¦"&amp;INDEX(_xlpm.nd,4)&amp;"¦"&amp;INDEX(_xlpm.nd,5),"")))</f>
        <v/>
      </c>
      <c r="FW226" t="str">
        <f t="shared" si="335"/>
        <v/>
      </c>
      <c r="FX226" t="str" cm="1">
        <f t="array" ref="FX226">IF(FO226="","",_xlfn.LET(_xlpm.nd,_xlfn.TEXTSPLIT(FO226,"|"),IF(COLUMNS(_xlpm.nd)&gt;5,A226&amp;"¦"&amp;INDEX(_xlpm.nd,5)&amp;"¦"&amp;INDEX(_xlpm.nd,6),"")))</f>
        <v/>
      </c>
      <c r="FY226" t="str">
        <f t="shared" si="336"/>
        <v/>
      </c>
      <c r="FZ226" t="str" cm="1">
        <f t="array" ref="FZ226">IF(FO226="","",_xlfn.LET(_xlpm.nd,_xlfn.TEXTSPLIT(FO226,"|"),IF(COLUMNS(_xlpm.nd)&gt;6,A226&amp;"¦"&amp;INDEX(_xlpm.nd,6)&amp;"¦"&amp;INDEX(_xlpm.nd,7),"")))</f>
        <v/>
      </c>
      <c r="GA226" t="str">
        <f t="shared" si="337"/>
        <v/>
      </c>
      <c r="GB226" t="str">
        <f t="shared" si="338"/>
        <v/>
      </c>
      <c r="GC226" t="str">
        <f t="shared" si="339"/>
        <v>QFD2 → XT2</v>
      </c>
      <c r="GD226">
        <f t="shared" si="340"/>
        <v>1</v>
      </c>
      <c r="GE226">
        <f t="shared" si="341"/>
        <v>0</v>
      </c>
      <c r="GF226">
        <f t="shared" si="342"/>
        <v>1</v>
      </c>
      <c r="GG226" t="str">
        <f t="shared" si="343"/>
        <v/>
      </c>
      <c r="GH226" t="str">
        <f t="shared" si="344"/>
        <v/>
      </c>
      <c r="GI226" t="str">
        <f t="shared" si="345"/>
        <v/>
      </c>
      <c r="GJ226" t="str">
        <f t="shared" si="346"/>
        <v/>
      </c>
      <c r="GK226" t="str">
        <f>IF(D226="","",IFERROR(VLOOKUP(D226,УГО_спр,2,FALSE),IFERROR(VLOOKUP(AT226,УГО_спр,2,FALSE),IFERROR(VLOOKUP(LEFT(AT226,2),УГО_спр,2,FALSE),""))))</f>
        <v>Розетка</v>
      </c>
      <c r="GL226" t="str">
        <f>IF(D226="","",IF(OR(GK226="",GK226=0),"BOX",IFERROR(IF(VLOOKUP(GK226,УГО_блоки,3,FALSE)&amp;""&lt;&gt;"",VLOOKUP(GK226,УГО_блоки,3,FALSE),VLOOKUP(GK226,УГО_блоки,2,FALSE)),GK226)))</f>
        <v>SOCKET</v>
      </c>
      <c r="GM226">
        <f t="shared" si="347"/>
        <v>1</v>
      </c>
      <c r="GN226" t="str">
        <f>IF(EP226="","",IF(COUNTIF(EP$3:EP226,EP226)=1,MAX(GN$2:GN225)+1,""))</f>
        <v/>
      </c>
      <c r="GO226" t="str">
        <f>IF(AF226="","",IF(COUNTIF(AF$3:AF226,AF226)+COUNTIF(AG$2:AG225,AF226)+COUNTIF(AH$2:AH225,AF226)=1,MAX(GO$2:GQ225)+1,""))</f>
        <v/>
      </c>
      <c r="GP226" t="str">
        <f>IF(AG226="","",IF(COUNTIF(AF$3:AF226,AG226)+COUNTIF(AG$3:AG226,AG226)+COUNTIF(AH$2:AH225,AG226)=1,MAX(GO$2:GQ225,GO226)+1,""))</f>
        <v/>
      </c>
      <c r="GQ226" t="str">
        <f>IF(AH226="","",IF(COUNTIF(AF$3:AF226,AH226)+COUNTIF(AG$3:AG226,AH226)+COUNTIF(AH$3:AH226,AH226)=1,MAX(GO$2:GQ225,GO226,GP226)+1,""))</f>
        <v/>
      </c>
      <c r="GR226" t="str">
        <f t="shared" si="348"/>
        <v>3х2,5</v>
      </c>
      <c r="GS226" t="str">
        <f>IF(GR226="","",IF(COUNTIF(GR$3:GR226,GR226)=1,MAX(GS$2:GS225)+1,""))</f>
        <v/>
      </c>
      <c r="GT226" t="str">
        <f>IF(ES226="","",COUNTIF(ES$3:ES226,"?*"))</f>
        <v/>
      </c>
      <c r="GU226" t="str">
        <f>IF(OR(ES226="",EU226=""),"",IF(COUNTIFS(ES$3:ES226,"?*",EU$3:EU226,EU226)=1,MAX(GU$2:GU225)+1,""))</f>
        <v/>
      </c>
      <c r="GV226">
        <f t="shared" si="349"/>
        <v>0</v>
      </c>
      <c r="GW226">
        <f>IF(D226="","",COUNTIF(D$3:D226,"?*"))</f>
        <v>224</v>
      </c>
      <c r="GX226">
        <f>IF(EX226&lt;&gt;1,0,_xlfn.LET(_xlpm.k,MAX(IFERROR(--VLOOKUP(D226,УГО_спр,5,FALSE),0),IFERROR(--VLOOKUP(AT226,УГО_спр,5,FALSE),0),IFERROR(--VLOOKUP(LEFT(AT226,2),УГО_спр,5,FALSE),0)),IF(_xlpm.k&gt;0,_xlpm.k,IF(IFERROR(--LEFT(SUBSTITUTE(GR226,"x","х"),FIND("х",SUBSTITUTE(GR226,"x","х"))-1),3)&gt;3,Каталог!$S$9,1))))</f>
        <v>1</v>
      </c>
      <c r="GY226">
        <f t="shared" si="350"/>
        <v>0</v>
      </c>
    </row>
    <row r="227" spans="1:207" x14ac:dyDescent="0.3">
      <c r="A227" t="s">
        <v>762</v>
      </c>
      <c r="B227">
        <v>11</v>
      </c>
      <c r="C227" t="str">
        <f>IF(BD227="","",IF(BE227="вводной узел","узел ","")&amp;"л."&amp;(INT((BD227-1)/Столбцов_на_лист)+1)&amp;" / "&amp;(MOD(BD227-1,Столбцов_на_лист)+1))</f>
        <v>л.1 / 11</v>
      </c>
      <c r="D227" t="s">
        <v>1544</v>
      </c>
      <c r="E227" s="133" t="str">
        <f t="shared" si="351"/>
        <v>Розеточная группа Первый этаж Пом. №001Г</v>
      </c>
      <c r="G227">
        <v>0.12</v>
      </c>
      <c r="H227">
        <v>1</v>
      </c>
      <c r="I227">
        <v>1</v>
      </c>
      <c r="J227">
        <v>230</v>
      </c>
      <c r="K227" t="s">
        <v>566</v>
      </c>
      <c r="O227">
        <v>1</v>
      </c>
      <c r="P227">
        <v>56</v>
      </c>
      <c r="Q227">
        <v>12</v>
      </c>
      <c r="R227">
        <v>15</v>
      </c>
      <c r="S227">
        <v>32</v>
      </c>
      <c r="U227" t="s">
        <v>11</v>
      </c>
      <c r="V227">
        <v>3</v>
      </c>
      <c r="W227">
        <v>2.5</v>
      </c>
      <c r="Z227" t="s">
        <v>565</v>
      </c>
      <c r="AA227" t="s">
        <v>818</v>
      </c>
      <c r="AD227" t="s">
        <v>517</v>
      </c>
      <c r="AR227" t="str">
        <f t="shared" si="264"/>
        <v/>
      </c>
      <c r="AS227" cm="1">
        <f t="array" ref="AS227">ROW()-ROW(Линии[#Headers])</f>
        <v>225</v>
      </c>
      <c r="AT227" t="str">
        <f t="shared" si="265"/>
        <v>R</v>
      </c>
      <c r="AU227" t="str">
        <f t="shared" si="266"/>
        <v>1.001Г.1</v>
      </c>
      <c r="AV227" t="str">
        <f t="shared" si="267"/>
        <v>1</v>
      </c>
      <c r="AW227" t="str">
        <f t="shared" si="268"/>
        <v>001Г.1</v>
      </c>
      <c r="AX227" t="str">
        <f t="shared" si="269"/>
        <v>001Г</v>
      </c>
      <c r="AY227" t="str">
        <f>IF(D227="","",IF(ISERROR(SEARCH(".",D227)),IFERROR(VLOOKUP(D227,Потребители_обозначение,2,FALSE)&amp;"",""),IFERROR(IF(VLOOKUP(AT227,Потребители_обозначение,4,FALSE)=1,VLOOKUP(AT227,Потребители_обозначение,2,FALSE)&amp;" "&amp;VLOOKUP(AV227,Этаж_обозначение,2,FALSE)&amp;" Пом. №"&amp;AX227,VLOOKUP(AT227,Потребители_обозначение,2,FALSE)&amp;" Шлейф №"&amp;AV227),IFERROR(VLOOKUP(D227,Потребители_обозначение,2,FALSE),""))))</f>
        <v>Розеточная группа Первый этаж Пом. №001Г</v>
      </c>
      <c r="AZ227" t="str">
        <f t="shared" si="270"/>
        <v>Розеточная группа Первый этаж Пом. №001Г</v>
      </c>
      <c r="BA227" t="str">
        <f>IF(F227&lt;&gt;"",F227,IF(AND(D227&lt;&gt;"",D227&lt;&gt;A227,ISNUMBER(_xlfn.XMATCH(D227,Щиты[Щит]))),D227,""))</f>
        <v/>
      </c>
      <c r="BB227">
        <f>IFERROR(_xlfn.XMATCH(A227,Щиты[Щит]),0)</f>
        <v>10</v>
      </c>
      <c r="BC227">
        <f>IFERROR(N(_xlfn.XLOOKUP(A227,Щиты[Щит],Щиты[Мест под вводной узел])),15)</f>
        <v>8</v>
      </c>
      <c r="BD227">
        <f t="shared" si="271"/>
        <v>11</v>
      </c>
      <c r="BE227" t="str">
        <f t="shared" si="272"/>
        <v>линии</v>
      </c>
      <c r="BF227">
        <f>IF(D227="","",IF(BA227&lt;&gt;"",IFERROR(_xlfn.XLOOKUP(BA227,Щиты[Щит],Щиты[Руст, кВт]),0),N(G227)))</f>
        <v>0.12</v>
      </c>
      <c r="BG227">
        <f>IF(J227&lt;&gt;"",J227,IF(D227="","",IFERROR(IF(VLOOKUP(AT227,Потребители_обозначение,8,FALSE)=0,"",VLOOKUP(AT227,Потребители_обозначение,8,FALSE)),"")))</f>
        <v>230</v>
      </c>
      <c r="BH227">
        <f>IF(I227&lt;&gt;"",I227,IF(D227="","",IFERROR(IF(VLOOKUP(AT227,Потребители_обозначение,9,FALSE)=0,"",VLOOKUP(AT227,Потребители_обозначение,9,FALSE)),"")))</f>
        <v>1</v>
      </c>
      <c r="BI227" t="str">
        <f>IF(U227&lt;&gt;"",U227,IF(D227="","",IFERROR(IF(VLOOKUP(AT227,Потребители_обозначение,6,FALSE)=0,"",VLOOKUP(AT227,Потребители_обозначение,6,FALSE)),"")))</f>
        <v>мс</v>
      </c>
      <c r="BJ227">
        <f>IF(V227&lt;&gt;"",V227,IF(D227="","",IFERROR(IF(VLOOKUP(AT227,Потребители_обозначение,7,FALSE)=0,"",VLOOKUP(AT227,Потребители_обозначение,7,FALSE)),"")))</f>
        <v>3</v>
      </c>
      <c r="BK227">
        <f>IF(W227&lt;&gt;"",W227,IF(D227="","",IFERROR(IF(VLOOKUP(AT227,Потребители_обозначение,10,FALSE)=0,"",VLOOKUP(AT227,Потребители_обозначение,10,FALSE)),"")))</f>
        <v>2.5</v>
      </c>
      <c r="BL227">
        <f>IFERROR(VLOOKUP(AT227,Потребители_обозначение,5,FALSE),0)</f>
        <v>1</v>
      </c>
      <c r="BM227" cm="1">
        <f t="array" ref="BM227">IF(D227="","",IF(BA227&lt;&gt;"",IFERROR(_xlfn.XLOOKUP(BA227,Щиты[Щит],Щиты[cos φ]),0.95),IF(ISNUMBER(M227),M227,IFERROR(IF(BL227=2,_xlfn.IFS(BH227=3,VLOOKUP(BF227,Справочная_двигатели,8,FALSE),BH227=1,VLOOKUP(BF227,Справочная_двигатели,10,TRUE)),IF(AND(Методика="нормы 2026",CN227="Сил"),0.8,0.95)),0.95))))</f>
        <v>0.95</v>
      </c>
      <c r="BN227" cm="1">
        <f t="array" ref="BN227">IF(D227="","",IF(BA227&lt;&gt;"",IFERROR(_xlfn.XLOOKUP(BA227,Щиты[Щит],Щиты[Iр, А]),""),IFERROR(_xlfn.IFS(BH227=1,BF227/((Uн_лин/SQRT(3))*BM227),BH227=3,BF227/(SQRT(3)*Uн_лин*BM227)),"")))</f>
        <v>0.54696341291648753</v>
      </c>
      <c r="BO227">
        <f>IF(D227="","",IF(N(X227)=0,IFERROR(VLOOKUP(BN227,Автомат_номиналы,2,TRUE),""),X227))</f>
        <v>6</v>
      </c>
      <c r="BP227">
        <f t="shared" si="273"/>
        <v>1</v>
      </c>
      <c r="BQ227">
        <f>IF(ISNUMBER(Y227),Y227,К_прокл)</f>
        <v>1</v>
      </c>
      <c r="BR227">
        <f t="shared" si="274"/>
        <v>2</v>
      </c>
      <c r="BS227" cm="1">
        <f t="array" ref="BS227">IF(D227="","",IF(N(BK227)&lt;&gt;0,BK227,IFERROR(_xlfn.LET(_xlpm.need,BO227/(BP227*BQ227),_xlpm.t,CHOOSE(BR227,Iдоп_1ж,Iдоп_2ж,Iдоп_3ж),_xlpm.k,_xlfn.XMATCH(_xlpm.need,_xlpm.t,1),IF(ISNA(_xlpm.k),"Не исп",INDEX(Iдоп_S,_xlpm.k))),"Не исп")))</f>
        <v>2.5</v>
      </c>
      <c r="BT227">
        <f>IFERROR(VLOOKUP(BS227,Кабель_сопротивление,3,FALSE),"")</f>
        <v>2.2499999999999999E-2</v>
      </c>
      <c r="BU227">
        <f>IFERROR(VLOOKUP(BS227,Кабель_сопротивление,2,FALSE),"")</f>
        <v>0.1</v>
      </c>
      <c r="BV227">
        <f t="shared" si="275"/>
        <v>56</v>
      </c>
      <c r="BW227">
        <f>IF(D227="","",IFERROR(IF(VLOOKUP(AT227,Потребители_обозначение,4,FALSE)=1,VLOOKUP(AT227,Потребители_обозначение,3,FALSE)*(H227*2-1)+BV227+VLOOKUP(AV227,Этаж_обозначение,3,FALSE)+VLOOKUP(AV227,Этаж_обозначение,4,FALSE),VLOOKUP(AT227,Потребители_обозначение,3,FALSE)*(H227*2-1)+BV227),BV227))</f>
        <v>59</v>
      </c>
      <c r="BX227">
        <f t="shared" si="276"/>
        <v>15</v>
      </c>
      <c r="BY227">
        <f t="shared" si="277"/>
        <v>32</v>
      </c>
      <c r="BZ227">
        <f t="shared" si="278"/>
        <v>2</v>
      </c>
      <c r="CA227">
        <f t="shared" si="279"/>
        <v>0.31</v>
      </c>
      <c r="CB227">
        <f t="shared" si="280"/>
        <v>0.55383217945589258</v>
      </c>
      <c r="CC227">
        <f>IFERROR(ROUNDUP(CB227/((Uн_лин/SQRT(3))*1000)*100,2),"")</f>
        <v>0.24000000000000002</v>
      </c>
      <c r="CD227">
        <f>IF(ISNUMBER(CC227),CC227+IFERROR(_xlfn.XLOOKUP(A227,Щиты[Щит],Щиты[ΔU до шин, %]),0),"")</f>
        <v>1.49</v>
      </c>
      <c r="CE227">
        <f>IF(D227="","",IF(IFERROR(VLOOKUP(AT227,УГО_спр,2,FALSE),"")="Светильник",3,4)+IF(Методика="нормы 2026",MIN(0.5,MAX(0,N(BW227)-100)*0.005),0))</f>
        <v>4</v>
      </c>
      <c r="CF227" t="str">
        <f>IFERROR(VLOOKUP(BI227,Кабель_обозначение,2,FALSE),"")</f>
        <v>ВВГнг(А)-LS</v>
      </c>
      <c r="CG227" t="str">
        <f>IFERROR(IF(VLOOKUP(BI227,Кабель_обозначение,3,FALSE)=1,CF227&amp;" ("&amp;BJ227&amp;"х"&amp;BS227&amp;")",CF227),"")</f>
        <v>ВВГнг(А)-LS (3х2,5)</v>
      </c>
      <c r="CH227" t="str">
        <f t="shared" si="281"/>
        <v>ВВГнг(А)-LS (3х2,5)
L=59-0,24%</v>
      </c>
      <c r="CI227">
        <f>IFERROR(2*ρкз_Cu*BW227/BS227,"")</f>
        <v>1.24136</v>
      </c>
      <c r="CJ227">
        <f t="shared" si="282"/>
        <v>0.41300000000000009</v>
      </c>
      <c r="CK227" t="str">
        <f>IFERROR(IF(OR(D227="",NOT(ISNUMBER(BS227)),N(BW227)=0),"",_xlfn.XLOOKUP(A227,Щиты[Щит],Щиты[Zпетли на шинах, Ом])+CI227),"")</f>
        <v/>
      </c>
      <c r="CL227" t="str">
        <f>IF(ISNUMBER(CK227),c_min*(Uн_лин*1000/SQRT(3))/CK227,"")</f>
        <v/>
      </c>
      <c r="CM227" t="str">
        <f>IFERROR(IF(OR(D227="",NOT(ISNUMBER(BS227))),"",1.05*(Uн_лин*1000/SQRT(3))/(_xlfn.XLOOKUP(A227,Щиты[Щит],Щиты[Zmax на шинах, Ом])+CJ227)/1000),"")</f>
        <v/>
      </c>
      <c r="CN227" t="str">
        <f>IF(D227="","",IF(BA227&lt;&gt;"","Щит",IF(K227&lt;&gt;"",K227,IF(ISNUMBER(L227),"Сил",IF(IFERROR(_xlfn.XLOOKUP(AT227,Коды_код,Коды_группа)&amp;"","")="","Быт",_xlfn.XLOOKUP(AT227,Коды_код,Коды_группа)&amp;"")))))</f>
        <v>Быт</v>
      </c>
      <c r="CO227">
        <f>IF(CN227="Щит","щит",IF(CN227="","",IF(CN227="Быт",IFERROR(_xlfn.XLOOKUP(A227,Щиты[Щит],Щиты[Кс быт]),1),IF(CN227="Сил",IF(ISNUMBER(L227),L227,IF(Методика="нормы 2026",IFERROR(_xlfn.XLOOKUP(A227,Щиты[Щит],Щиты[Кс силовых (табл. 7.5)]),1),1)),IF(OR(CN227="Пост",CN227="Отоп"),1,IF(CN227="ВНГ",0.7,0))))))</f>
        <v>0.57830000000000004</v>
      </c>
      <c r="CP227">
        <f t="shared" si="283"/>
        <v>1</v>
      </c>
      <c r="CQ227">
        <f t="shared" si="284"/>
        <v>0.12</v>
      </c>
      <c r="CR227">
        <f t="shared" si="285"/>
        <v>0.12</v>
      </c>
      <c r="CS227">
        <f t="shared" si="286"/>
        <v>0</v>
      </c>
      <c r="CT227">
        <f t="shared" si="287"/>
        <v>0</v>
      </c>
      <c r="CU227">
        <f t="shared" si="288"/>
        <v>0</v>
      </c>
      <c r="CV227">
        <f t="shared" si="289"/>
        <v>0</v>
      </c>
      <c r="CW227">
        <f t="shared" si="290"/>
        <v>0.12</v>
      </c>
      <c r="CX227">
        <f t="shared" si="291"/>
        <v>0.11399999999999999</v>
      </c>
      <c r="CY227">
        <f t="shared" si="292"/>
        <v>3</v>
      </c>
      <c r="CZ227" t="str">
        <f t="shared" si="293"/>
        <v>L3</v>
      </c>
      <c r="DA227" cm="1">
        <f t="array" ref="DA227">IFERROR(IF(BL227=2,_xlfn.IFS(BH227=3,VLOOKUP(BF227,Справочная_двигатели,3,FALSE),BH227=1,VLOOKUP(BF227,Справочная_двигатели,5,TRUE)),0),0)</f>
        <v>0</v>
      </c>
      <c r="DB227">
        <f>IFERROR(IF(BL227=3,VLOOKUP(BF227,Справочная_ЛЭД,2,TRUE),0),0)</f>
        <v>0</v>
      </c>
      <c r="DC227">
        <f t="shared" si="294"/>
        <v>0</v>
      </c>
      <c r="DD227" t="str">
        <f t="shared" si="295"/>
        <v>L1</v>
      </c>
      <c r="DE227" t="str" cm="1">
        <f t="array" ref="DE227">IF(D227="","",IFERROR(INDEX({"I особая","I","II","III"},MATCH(TRIM(AA227&amp;""),{"I особая","I","II","III"},0)),"III"))</f>
        <v>II</v>
      </c>
      <c r="DF227" t="str">
        <f>IF(D227="","",IF(TRIM(AB227&amp;"")&lt;&gt;"",IF(LOWER(TRIM(AB227&amp;""))="да","да","нет"),IF(IFERROR(_xlfn.XLOOKUP(AT227,Коды_код,Коды_пожарная),"")="да","да","нет")))</f>
        <v>нет</v>
      </c>
      <c r="DG227" t="str">
        <f t="shared" si="296"/>
        <v/>
      </c>
      <c r="DH227" t="str">
        <f t="shared" si="297"/>
        <v>основная</v>
      </c>
      <c r="DI227">
        <f t="shared" si="298"/>
        <v>1</v>
      </c>
      <c r="DJ227" t="str" cm="1">
        <f t="array" ref="DJ227">IF(D227="","",_xlfn.LET(_xlpm.t,IFERROR(_xlfn.XLOOKUP(1,(Шины[Шина]=DH227)*(((Шины[Щит]=A227)+(Шины[Щит]=""))&gt;0),Шины[Тип]),"")&amp;"",IF(_xlpm.t&lt;&gt;"",_xlpm.t,IF(ISNUMBER(SEARCH("ИБП",DH227)),"ИБП",IF(ISNUMBER(SEARCH("ДГУ",DH227)),"ДГУ","Ввод "&amp;DI227)))))</f>
        <v>Ввод 1</v>
      </c>
      <c r="DK227" t="str">
        <f t="shared" si="299"/>
        <v>Ввод 1</v>
      </c>
      <c r="DL227" t="str">
        <f>IF(D227="","",IF(OR(DJ227="ИБП",DJ227="ДГУ"),"I особая",IF(DJ227="Одиночная","III",_xlfn.XLOOKUP(A227,Щиты[Щит],Щиты[Категория шины «Ввод»],"III"))))</f>
        <v>II</v>
      </c>
      <c r="DM227">
        <f>IF(D227="",0,IFERROR(MATCH(DE227,{"III","II","I","I особая"},0),1))</f>
        <v>2</v>
      </c>
      <c r="DN227">
        <f t="shared" si="300"/>
        <v>2</v>
      </c>
      <c r="DO227" t="str">
        <f>IF(D227="","",IF(DM227&gt;IFERROR(MATCH(DL227,{"III","II","I","I особая"},0),1),"НЕ ОБЕСПЕЧЕНА","ОК"))</f>
        <v>ОК</v>
      </c>
      <c r="DP227" t="str">
        <f>IF(A227="","",_xlfn.XLOOKUP(A227,Щиты[Щит],Щиты[Путь],""))</f>
        <v>|ГРЩ-ЖД|ЩР-1|</v>
      </c>
      <c r="DQ227" t="str">
        <f>IF(D227="","",IF(Z227&lt;&gt;"",Z227,IF(IFERROR(_xlfn.XLOOKUP(AT227,Коды_код,Коды_вид)&amp;"","")="","Прочее",_xlfn.XLOOKUP(AT227,Коды_код,Коды_вид)&amp;"")))</f>
        <v>Розеточная сеть и бытовые приборы</v>
      </c>
      <c r="DR227">
        <f>IF(BD227="","",INT((BD227-1)/Столбцов_на_лист)+1)</f>
        <v>1</v>
      </c>
      <c r="DS227" t="str">
        <f t="shared" si="301"/>
        <v>ВВГнг(А)-LS (3х2,5) L=59-0,24%</v>
      </c>
      <c r="DT227">
        <f t="shared" si="302"/>
        <v>0.12</v>
      </c>
      <c r="DU227">
        <f t="shared" si="303"/>
        <v>0.55000000000000004</v>
      </c>
      <c r="DV227">
        <f t="shared" si="304"/>
        <v>1</v>
      </c>
      <c r="DW227">
        <f>IF(AT227="",0,_xlfn.LET(_xlpm.v,IFERROR(VLOOKUP(D227,УГО_спр,3,FALSE),IFERROR(VLOOKUP(AT227,УГО_спр,3,FALSE),IFERROR(VLOOKUP(LEFT(AT227,2),УГО_спр,3,FALSE),""))),IF(_xlpm.v="да",30,IF(ISNUMBER(_xlpm.v),_xlpm.v,0))))</f>
        <v>30</v>
      </c>
      <c r="DX227">
        <f t="shared" si="305"/>
        <v>0</v>
      </c>
      <c r="DY227">
        <f>IF(BD227="","",IF(AD227&lt;&gt;"",COUNTIFS(A$3:A227,A227,AD$3:AD227,"?*"),IF(OR(OR(AS227=1,A227&lt;&gt;A226),AL227="вручную"),"",IF(AS227=1,"",DZ226))))</f>
        <v>3</v>
      </c>
      <c r="DZ227">
        <f t="shared" si="306"/>
        <v>3</v>
      </c>
      <c r="EA227">
        <f>IF(D227="",0,MAX(IFERROR(--X227,0),IFERROR(--VLOOKUP(D227,УГО_спр,4,FALSE),IFERROR(--VLOOKUP(AT227,УГО_спр,4,FALSE),IFERROR(--VLOOKUP(LEFT(AT227,2),УГО_спр,4,FALSE),0)))))</f>
        <v>16</v>
      </c>
      <c r="EB227">
        <f>IF(D227="","",IFERROR(LOOKUP(INDEX(CHOOSE(BR227,Iдоп_1ж,Iдоп_2ж,Iдоп_3ж),MATCH(BS227,Iдоп_S,0))*BP227*BQ227,{6,10,16,20,25,32,40,50,63,80,100,125,160,200,250,315,400,500,630}),""))</f>
        <v>25</v>
      </c>
      <c r="EC227">
        <f>IF(AD227="","",SUMIFS(Линии[_Ток схемы],Линии[_гр.],DY227,Линии[Щит],A227,Линии[_в кабель выше],0))</f>
        <v>0.55000000000000004</v>
      </c>
      <c r="ED227">
        <f>IF(AD227="","",IFERROR(VLOOKUP(EC227,Автомат_номиналы,2,TRUE),""))</f>
        <v>6</v>
      </c>
      <c r="EE227">
        <f>IF(AD227="","",MAX(N(ED227),_xlfn.MAXIFS(Линии[_мин. по типу],Линии[_гр.],DY227,Линии[Щит],A227)))</f>
        <v>16</v>
      </c>
      <c r="EF227">
        <f>IF(AD227="","",_xlfn.MINIFS(Линии[_макс. автомат по кабелю],Линии[_гр.],DY227,Линии[Щит],A227))</f>
        <v>25</v>
      </c>
      <c r="EG227">
        <f>IF(AD227="","",MAX(1,_xlfn.MAXIFS(Линии[_фаз],Линии[_гр.],DY227,Линии[Щит],A227)))</f>
        <v>1</v>
      </c>
      <c r="EH227">
        <f>IF(AD227="","",IF(AND(AD227&lt;&gt;"авто",AD227&lt;&gt;"+"),IF(ISNUMBER(SEARCH("мА",AD227)),IFERROR(--TRIM(RIGHT(SUBSTITUTE(LEFT(AD227,SEARCH("мА",AD227)-1)," ",REPT(" ",9)),6)),30),0),IF(AE227="нет",0,IF(ISNUMBER(AE227),AE227,IF(AE227="да",30,_xlfn.MINIFS(Линии[_дифзащита по коду, мА],Линии[_гр.],DY227,Линии[Щит],A227,Линии[_дифзащита по коду, мА],"&gt;0"))))))</f>
        <v>30</v>
      </c>
      <c r="EI227">
        <f t="shared" si="307"/>
        <v>1</v>
      </c>
      <c r="EJ227" t="str">
        <f t="shared" si="308"/>
        <v>QFD3</v>
      </c>
      <c r="EK227" t="str">
        <f t="shared" si="309"/>
        <v>QFD3</v>
      </c>
      <c r="EL227" t="str">
        <f t="shared" si="310"/>
        <v/>
      </c>
      <c r="EM227">
        <f t="shared" si="311"/>
        <v>0</v>
      </c>
      <c r="EN227">
        <f>IF(AD227="","",IF(EM227=1,MAX(EE227,Мин_автомат_БП),EE227))</f>
        <v>16</v>
      </c>
      <c r="EO227" t="str">
        <f t="shared" si="312"/>
        <v>2P</v>
      </c>
      <c r="EP227" t="str">
        <f t="shared" si="313"/>
        <v>2P С16А 30мА</v>
      </c>
      <c r="EQ227">
        <f t="shared" si="314"/>
        <v>16</v>
      </c>
      <c r="ER227" t="str">
        <f>IF(OR(AI227="",AI227="-"),"",IFERROR(VLOOKUP(AI227,Модули_спр,2,FALSE),"R"))</f>
        <v/>
      </c>
      <c r="ES227" t="str">
        <f>IF(ER227="","",ER227&amp;"."&amp;COUNTIFS(A$3:A227,A227,ER$3:ER227,ER227))</f>
        <v/>
      </c>
      <c r="ET227" t="str">
        <f t="shared" si="315"/>
        <v/>
      </c>
      <c r="EU227" t="str">
        <f t="shared" si="316"/>
        <v/>
      </c>
      <c r="EV227" t="str">
        <f t="shared" si="317"/>
        <v/>
      </c>
      <c r="EW227" t="str">
        <f t="shared" si="318"/>
        <v/>
      </c>
      <c r="EX227">
        <f t="shared" si="319"/>
        <v>1</v>
      </c>
      <c r="EY227" t="str">
        <f>IF(AK227="нет","",IF(AK227&lt;&gt;"",AK227,IF(EX227=1,"XT"&amp;COUNTIFS(A$3:A227,A227,EX$3:EX227,1),"")))</f>
        <v>XT3</v>
      </c>
      <c r="EZ227" t="str">
        <f t="shared" si="320"/>
        <v>QFD3</v>
      </c>
      <c r="FA227" t="str">
        <f t="shared" si="321"/>
        <v/>
      </c>
      <c r="FB227" t="str">
        <f t="shared" si="322"/>
        <v>ok</v>
      </c>
      <c r="FC227" t="str">
        <f>IF(OR(EV227="",ET227=""),"",IF(EV227&gt;IFERROR(VLOOKUP(EU227,Модули_спр,3,FALSE),99),"ЛИШНИЙ КАНАЛ",IF(AND(AJ227&lt;&gt;"=",COUNTIFS(Линии[_модуль гр.],ET227,Линии[Канал (итог)],EV227,Линии[Канал],"&lt;&gt;=",Линии[Щит],A227)&gt;1),"ДУБЛЬ КАНАЛА","")))</f>
        <v/>
      </c>
      <c r="FD227">
        <f t="shared" si="323"/>
        <v>16</v>
      </c>
      <c r="FE227" t="str">
        <f t="shared" si="324"/>
        <v>2P С16А 30мА</v>
      </c>
      <c r="FF227">
        <f t="shared" si="325"/>
        <v>1</v>
      </c>
      <c r="FG227">
        <f t="shared" si="326"/>
        <v>30</v>
      </c>
      <c r="FH227" t="str">
        <f t="shared" si="327"/>
        <v/>
      </c>
      <c r="FI227">
        <f t="shared" si="328"/>
        <v>10</v>
      </c>
      <c r="FJ227" t="str">
        <f t="shared" si="329"/>
        <v/>
      </c>
      <c r="FK227" t="str">
        <f>IF(AND(D227="",EZ227=""),"",_xlfn.TEXTJOIN("; ",TRUE,IF(AND(D227&lt;&gt;"",DD227=""),"нет фазы",""),IF(AND(D227&lt;&gt;"",N(DT227)=0,CN227&lt;&gt;"Нет"),"нет мощности",""),IF(AND(EY227&lt;&gt;"",COUNTIFS(Линии[Щит],A227,Линии[Клемма (итог)],EY227)&gt;1),"дубль клеммы "&amp;EY227,""),IF(AND(FB227&lt;&gt;"",FB227&lt;&gt;"ok"),FB227,""),IF(FC227&lt;&gt;"",FC227,""),IF(AND(ISNUMBER(SEARCH("(5х",DS227)),N(DV227)=1),"5 жил на 1 фазе",""),IF(AND(AT227="R",AD227&lt;&gt;"",OR(N(EH227)=0,N(EH227)&gt;30)),"розетка без дифзащиты до 30 мА",""),IFERROR(IF(AND(ISNUMBER(CD227),CD227&gt;CE227),"потери "&amp;FIXED(CD227,1)&amp;" % &gt; "&amp;CE227&amp;" %",""),""),IFERROR(IF(LEFT(FJ227,4)="мало","Iкз мало — отключение &gt; 0,4 с",""),""),IF(AND(D227&lt;&gt;"",BD227=""),"не на схеме","")))</f>
        <v/>
      </c>
      <c r="FL227">
        <f>IF(AD227="","",_xlfn.LET(_xlpm.t,IFERROR(_xlfn.XLOOKUP(EP227,Каталог!$U$4:$U$500,Каталог!$G$4:$G$500),""),_xlpm.k,SEARCH("кА",_xlpm.t),IFERROR(--TRIM(RIGHT(SUBSTITUTE(MID(_xlpm.t,MAX(1,_xlpm.k-4),_xlpm.k-MAX(1,_xlpm.k-4))," ",REPT(" ",9)),5)),"")))</f>
        <v>6</v>
      </c>
      <c r="FM227" t="str">
        <f>IF(OR(FL227="",AD227=""),"",IF(_xlfn.XLOOKUP(A227,Щиты[Щит],Щиты[Iкз max на шинах, кА],"")="","",IF(FL227&lt;_xlfn.XLOOKUP(A227,Щиты[Щит],Щиты[Iкз max на шинах, кА]),"Icu "&amp;FL227&amp;" кА &lt; Iкз max","ok")))</f>
        <v/>
      </c>
      <c r="FN227" t="str">
        <f t="shared" si="330"/>
        <v>QFD3|XT3</v>
      </c>
      <c r="FO227" t="str">
        <f t="shared" si="331"/>
        <v>QFD3|XT3|кабель ВВГнг(А)-LS (3х2,5) → Розеточная группа Первый этаж Пом. №001Г</v>
      </c>
      <c r="FP227" t="str" cm="1">
        <f t="array" ref="FP227">IF(FO227="","",_xlfn.LET(_xlpm.nd,_xlfn.TEXTSPLIT(FO227,"|"),IF(COLUMNS(_xlpm.nd)&gt;1,A227&amp;"¦"&amp;INDEX(_xlpm.nd,1)&amp;"¦"&amp;INDEX(_xlpm.nd,2),"")))</f>
        <v>ЩР-1¦QFD3¦XT3</v>
      </c>
      <c r="FQ227" t="str">
        <f t="shared" si="332"/>
        <v>R.1.001Г.1¦Розеточная группа Первый этаж Пом. №001Г</v>
      </c>
      <c r="FR227" t="str" cm="1">
        <f t="array" ref="FR227">IF(FO227="","",_xlfn.LET(_xlpm.nd,_xlfn.TEXTSPLIT(FO227,"|"),IF(COLUMNS(_xlpm.nd)&gt;2,A227&amp;"¦"&amp;INDEX(_xlpm.nd,2)&amp;"¦"&amp;INDEX(_xlpm.nd,3),"")))</f>
        <v>ЩР-1¦XT3¦кабель ВВГнг(А)-LS (3х2,5) → Розеточная группа Первый этаж Пом. №001Г</v>
      </c>
      <c r="FS227" t="str">
        <f t="shared" si="333"/>
        <v>R.1.001Г.1¦Розеточная группа Первый этаж Пом. №001Г</v>
      </c>
      <c r="FT227" t="str" cm="1">
        <f t="array" ref="FT227">IF(FO227="","",_xlfn.LET(_xlpm.nd,_xlfn.TEXTSPLIT(FO227,"|"),IF(COLUMNS(_xlpm.nd)&gt;3,A227&amp;"¦"&amp;INDEX(_xlpm.nd,3)&amp;"¦"&amp;INDEX(_xlpm.nd,4),"")))</f>
        <v/>
      </c>
      <c r="FU227" t="str">
        <f t="shared" si="334"/>
        <v/>
      </c>
      <c r="FV227" t="str" cm="1">
        <f t="array" ref="FV227">IF(FO227="","",_xlfn.LET(_xlpm.nd,_xlfn.TEXTSPLIT(FO227,"|"),IF(COLUMNS(_xlpm.nd)&gt;4,A227&amp;"¦"&amp;INDEX(_xlpm.nd,4)&amp;"¦"&amp;INDEX(_xlpm.nd,5),"")))</f>
        <v/>
      </c>
      <c r="FW227" t="str">
        <f t="shared" si="335"/>
        <v/>
      </c>
      <c r="FX227" t="str" cm="1">
        <f t="array" ref="FX227">IF(FO227="","",_xlfn.LET(_xlpm.nd,_xlfn.TEXTSPLIT(FO227,"|"),IF(COLUMNS(_xlpm.nd)&gt;5,A227&amp;"¦"&amp;INDEX(_xlpm.nd,5)&amp;"¦"&amp;INDEX(_xlpm.nd,6),"")))</f>
        <v/>
      </c>
      <c r="FY227" t="str">
        <f t="shared" si="336"/>
        <v/>
      </c>
      <c r="FZ227" t="str" cm="1">
        <f t="array" ref="FZ227">IF(FO227="","",_xlfn.LET(_xlpm.nd,_xlfn.TEXTSPLIT(FO227,"|"),IF(COLUMNS(_xlpm.nd)&gt;6,A227&amp;"¦"&amp;INDEX(_xlpm.nd,6)&amp;"¦"&amp;INDEX(_xlpm.nd,7),"")))</f>
        <v/>
      </c>
      <c r="GA227" t="str">
        <f t="shared" si="337"/>
        <v/>
      </c>
      <c r="GB227" t="str">
        <f t="shared" si="338"/>
        <v/>
      </c>
      <c r="GC227" t="str">
        <f t="shared" si="339"/>
        <v>QFD3 → XT3</v>
      </c>
      <c r="GD227">
        <f t="shared" si="340"/>
        <v>1</v>
      </c>
      <c r="GE227">
        <f t="shared" si="341"/>
        <v>0</v>
      </c>
      <c r="GF227">
        <f t="shared" si="342"/>
        <v>1</v>
      </c>
      <c r="GG227" t="str">
        <f t="shared" si="343"/>
        <v/>
      </c>
      <c r="GH227" t="str">
        <f t="shared" si="344"/>
        <v/>
      </c>
      <c r="GI227" t="str">
        <f t="shared" si="345"/>
        <v/>
      </c>
      <c r="GJ227" t="str">
        <f t="shared" si="346"/>
        <v/>
      </c>
      <c r="GK227" t="str">
        <f>IF(D227="","",IFERROR(VLOOKUP(D227,УГО_спр,2,FALSE),IFERROR(VLOOKUP(AT227,УГО_спр,2,FALSE),IFERROR(VLOOKUP(LEFT(AT227,2),УГО_спр,2,FALSE),""))))</f>
        <v>Розетка</v>
      </c>
      <c r="GL227" t="str">
        <f>IF(D227="","",IF(OR(GK227="",GK227=0),"BOX",IFERROR(IF(VLOOKUP(GK227,УГО_блоки,3,FALSE)&amp;""&lt;&gt;"",VLOOKUP(GK227,УГО_блоки,3,FALSE),VLOOKUP(GK227,УГО_блоки,2,FALSE)),GK227)))</f>
        <v>SOCKET</v>
      </c>
      <c r="GM227">
        <f t="shared" si="347"/>
        <v>1</v>
      </c>
      <c r="GN227" t="str">
        <f>IF(EP227="","",IF(COUNTIF(EP$3:EP227,EP227)=1,MAX(GN$2:GN226)+1,""))</f>
        <v/>
      </c>
      <c r="GO227" t="str">
        <f>IF(AF227="","",IF(COUNTIF(AF$3:AF227,AF227)+COUNTIF(AG$2:AG226,AF227)+COUNTIF(AH$2:AH226,AF227)=1,MAX(GO$2:GQ226)+1,""))</f>
        <v/>
      </c>
      <c r="GP227" t="str">
        <f>IF(AG227="","",IF(COUNTIF(AF$3:AF227,AG227)+COUNTIF(AG$3:AG227,AG227)+COUNTIF(AH$2:AH226,AG227)=1,MAX(GO$2:GQ226,GO227)+1,""))</f>
        <v/>
      </c>
      <c r="GQ227" t="str">
        <f>IF(AH227="","",IF(COUNTIF(AF$3:AF227,AH227)+COUNTIF(AG$3:AG227,AH227)+COUNTIF(AH$3:AH227,AH227)=1,MAX(GO$2:GQ226,GO227,GP227)+1,""))</f>
        <v/>
      </c>
      <c r="GR227" t="str">
        <f t="shared" si="348"/>
        <v>3х2,5</v>
      </c>
      <c r="GS227" t="str">
        <f>IF(GR227="","",IF(COUNTIF(GR$3:GR227,GR227)=1,MAX(GS$2:GS226)+1,""))</f>
        <v/>
      </c>
      <c r="GT227" t="str">
        <f>IF(ES227="","",COUNTIF(ES$3:ES227,"?*"))</f>
        <v/>
      </c>
      <c r="GU227" t="str">
        <f>IF(OR(ES227="",EU227=""),"",IF(COUNTIFS(ES$3:ES227,"?*",EU$3:EU227,EU227)=1,MAX(GU$2:GU226)+1,""))</f>
        <v/>
      </c>
      <c r="GV227">
        <f t="shared" si="349"/>
        <v>0</v>
      </c>
      <c r="GW227">
        <f>IF(D227="","",COUNTIF(D$3:D227,"?*"))</f>
        <v>225</v>
      </c>
      <c r="GX227">
        <f>IF(EX227&lt;&gt;1,0,_xlfn.LET(_xlpm.k,MAX(IFERROR(--VLOOKUP(D227,УГО_спр,5,FALSE),0),IFERROR(--VLOOKUP(AT227,УГО_спр,5,FALSE),0),IFERROR(--VLOOKUP(LEFT(AT227,2),УГО_спр,5,FALSE),0)),IF(_xlpm.k&gt;0,_xlpm.k,IF(IFERROR(--LEFT(SUBSTITUTE(GR227,"x","х"),FIND("х",SUBSTITUTE(GR227,"x","х"))-1),3)&gt;3,Каталог!$S$9,1))))</f>
        <v>1</v>
      </c>
      <c r="GY227">
        <f t="shared" si="350"/>
        <v>0</v>
      </c>
    </row>
    <row r="228" spans="1:207" x14ac:dyDescent="0.3">
      <c r="A228" t="s">
        <v>762</v>
      </c>
      <c r="B228">
        <v>12</v>
      </c>
      <c r="C228" t="str">
        <f>IF(BD228="","",IF(BE228="вводной узел","узел ","")&amp;"л."&amp;(INT((BD228-1)/Столбцов_на_лист)+1)&amp;" / "&amp;(MOD(BD228-1,Столбцов_на_лист)+1))</f>
        <v>л.1 / 12</v>
      </c>
      <c r="D228" t="s">
        <v>1545</v>
      </c>
      <c r="E228" s="133" t="s">
        <v>1546</v>
      </c>
      <c r="G228">
        <v>0.18</v>
      </c>
      <c r="H228">
        <v>2</v>
      </c>
      <c r="I228">
        <v>1</v>
      </c>
      <c r="J228">
        <v>230</v>
      </c>
      <c r="K228" t="s">
        <v>566</v>
      </c>
      <c r="O228">
        <v>3</v>
      </c>
      <c r="P228">
        <v>57</v>
      </c>
      <c r="Q228">
        <v>28</v>
      </c>
      <c r="R228">
        <v>38</v>
      </c>
      <c r="S228">
        <v>0</v>
      </c>
      <c r="U228" t="s">
        <v>11</v>
      </c>
      <c r="V228">
        <v>3</v>
      </c>
      <c r="W228">
        <v>2.5</v>
      </c>
      <c r="Z228" t="s">
        <v>565</v>
      </c>
      <c r="AA228" t="s">
        <v>818</v>
      </c>
      <c r="AD228" t="s">
        <v>517</v>
      </c>
      <c r="AR228" t="str">
        <f t="shared" si="264"/>
        <v/>
      </c>
      <c r="AS228" cm="1">
        <f t="array" ref="AS228">ROW()-ROW(Линии[#Headers])</f>
        <v>226</v>
      </c>
      <c r="AT228" t="str">
        <f t="shared" si="265"/>
        <v>R</v>
      </c>
      <c r="AU228" t="str">
        <f t="shared" si="266"/>
        <v>1.002A.1</v>
      </c>
      <c r="AV228" t="str">
        <f t="shared" si="267"/>
        <v>1</v>
      </c>
      <c r="AW228" t="str">
        <f t="shared" si="268"/>
        <v>002A.1</v>
      </c>
      <c r="AX228" t="str">
        <f t="shared" si="269"/>
        <v>002A</v>
      </c>
      <c r="AY228" t="str">
        <f>IF(D228="","",IF(ISERROR(SEARCH(".",D228)),IFERROR(VLOOKUP(D228,Потребители_обозначение,2,FALSE)&amp;"",""),IFERROR(IF(VLOOKUP(AT228,Потребители_обозначение,4,FALSE)=1,VLOOKUP(AT228,Потребители_обозначение,2,FALSE)&amp;" "&amp;VLOOKUP(AV228,Этаж_обозначение,2,FALSE)&amp;" Пом. №"&amp;AX228,VLOOKUP(AT228,Потребители_обозначение,2,FALSE)&amp;" Шлейф №"&amp;AV228),IFERROR(VLOOKUP(D228,Потребители_обозначение,2,FALSE),""))))</f>
        <v>Розеточная группа Первый этаж Пом. №002A</v>
      </c>
      <c r="AZ228" t="str">
        <f t="shared" si="270"/>
        <v>Розеточная группа Первый этаж Пом. №002A, 023А</v>
      </c>
      <c r="BA228" t="str">
        <f>IF(F228&lt;&gt;"",F228,IF(AND(D228&lt;&gt;"",D228&lt;&gt;A228,ISNUMBER(_xlfn.XMATCH(D228,Щиты[Щит]))),D228,""))</f>
        <v/>
      </c>
      <c r="BB228">
        <f>IFERROR(_xlfn.XMATCH(A228,Щиты[Щит]),0)</f>
        <v>10</v>
      </c>
      <c r="BC228">
        <f>IFERROR(N(_xlfn.XLOOKUP(A228,Щиты[Щит],Щиты[Мест под вводной узел])),15)</f>
        <v>8</v>
      </c>
      <c r="BD228">
        <f t="shared" si="271"/>
        <v>12</v>
      </c>
      <c r="BE228" t="str">
        <f t="shared" si="272"/>
        <v>линии</v>
      </c>
      <c r="BF228">
        <f>IF(D228="","",IF(BA228&lt;&gt;"",IFERROR(_xlfn.XLOOKUP(BA228,Щиты[Щит],Щиты[Руст, кВт]),0),N(G228)))</f>
        <v>0.18</v>
      </c>
      <c r="BG228">
        <f>IF(J228&lt;&gt;"",J228,IF(D228="","",IFERROR(IF(VLOOKUP(AT228,Потребители_обозначение,8,FALSE)=0,"",VLOOKUP(AT228,Потребители_обозначение,8,FALSE)),"")))</f>
        <v>230</v>
      </c>
      <c r="BH228">
        <f>IF(I228&lt;&gt;"",I228,IF(D228="","",IFERROR(IF(VLOOKUP(AT228,Потребители_обозначение,9,FALSE)=0,"",VLOOKUP(AT228,Потребители_обозначение,9,FALSE)),"")))</f>
        <v>1</v>
      </c>
      <c r="BI228" t="str">
        <f>IF(U228&lt;&gt;"",U228,IF(D228="","",IFERROR(IF(VLOOKUP(AT228,Потребители_обозначение,6,FALSE)=0,"",VLOOKUP(AT228,Потребители_обозначение,6,FALSE)),"")))</f>
        <v>мс</v>
      </c>
      <c r="BJ228">
        <f>IF(V228&lt;&gt;"",V228,IF(D228="","",IFERROR(IF(VLOOKUP(AT228,Потребители_обозначение,7,FALSE)=0,"",VLOOKUP(AT228,Потребители_обозначение,7,FALSE)),"")))</f>
        <v>3</v>
      </c>
      <c r="BK228">
        <f>IF(W228&lt;&gt;"",W228,IF(D228="","",IFERROR(IF(VLOOKUP(AT228,Потребители_обозначение,10,FALSE)=0,"",VLOOKUP(AT228,Потребители_обозначение,10,FALSE)),"")))</f>
        <v>2.5</v>
      </c>
      <c r="BL228">
        <f>IFERROR(VLOOKUP(AT228,Потребители_обозначение,5,FALSE),0)</f>
        <v>1</v>
      </c>
      <c r="BM228" cm="1">
        <f t="array" ref="BM228">IF(D228="","",IF(BA228&lt;&gt;"",IFERROR(_xlfn.XLOOKUP(BA228,Щиты[Щит],Щиты[cos φ]),0.95),IF(ISNUMBER(M228),M228,IFERROR(IF(BL228=2,_xlfn.IFS(BH228=3,VLOOKUP(BF228,Справочная_двигатели,8,FALSE),BH228=1,VLOOKUP(BF228,Справочная_двигатели,10,TRUE)),IF(AND(Методика="нормы 2026",CN228="Сил"),0.8,0.95)),0.95))))</f>
        <v>0.95</v>
      </c>
      <c r="BN228" cm="1">
        <f t="array" ref="BN228">IF(D228="","",IF(BA228&lt;&gt;"",IFERROR(_xlfn.XLOOKUP(BA228,Щиты[Щит],Щиты[Iр, А]),""),IFERROR(_xlfn.IFS(BH228=1,BF228/((Uн_лин/SQRT(3))*BM228),BH228=3,BF228/(SQRT(3)*Uн_лин*BM228)),"")))</f>
        <v>0.8204451193747313</v>
      </c>
      <c r="BO228">
        <f>IF(D228="","",IF(N(X228)=0,IFERROR(VLOOKUP(BN228,Автомат_номиналы,2,TRUE),""),X228))</f>
        <v>6</v>
      </c>
      <c r="BP228">
        <f t="shared" si="273"/>
        <v>1</v>
      </c>
      <c r="BQ228">
        <f>IF(ISNUMBER(Y228),Y228,К_прокл)</f>
        <v>1</v>
      </c>
      <c r="BR228">
        <f t="shared" si="274"/>
        <v>2</v>
      </c>
      <c r="BS228" cm="1">
        <f t="array" ref="BS228">IF(D228="","",IF(N(BK228)&lt;&gt;0,BK228,IFERROR(_xlfn.LET(_xlpm.need,BO228/(BP228*BQ228),_xlpm.t,CHOOSE(BR228,Iдоп_1ж,Iдоп_2ж,Iдоп_3ж),_xlpm.k,_xlfn.XMATCH(_xlpm.need,_xlpm.t,1),IF(ISNA(_xlpm.k),"Не исп",INDEX(Iдоп_S,_xlpm.k))),"Не исп")))</f>
        <v>2.5</v>
      </c>
      <c r="BT228">
        <f>IFERROR(VLOOKUP(BS228,Кабель_сопротивление,3,FALSE),"")</f>
        <v>2.2499999999999999E-2</v>
      </c>
      <c r="BU228">
        <f>IFERROR(VLOOKUP(BS228,Кабель_сопротивление,2,FALSE),"")</f>
        <v>0.1</v>
      </c>
      <c r="BV228">
        <f t="shared" si="275"/>
        <v>57</v>
      </c>
      <c r="BW228">
        <f>IF(D228="","",IFERROR(IF(VLOOKUP(AT228,Потребители_обозначение,4,FALSE)=1,VLOOKUP(AT228,Потребители_обозначение,3,FALSE)*(H228*2-1)+BV228+VLOOKUP(AV228,Этаж_обозначение,3,FALSE)+VLOOKUP(AV228,Этаж_обозначение,4,FALSE),VLOOKUP(AT228,Потребители_обозначение,3,FALSE)*(H228*2-1)+BV228),BV228))</f>
        <v>66</v>
      </c>
      <c r="BX228">
        <f t="shared" si="276"/>
        <v>38</v>
      </c>
      <c r="BY228">
        <f t="shared" si="277"/>
        <v>0</v>
      </c>
      <c r="BZ228">
        <f t="shared" si="278"/>
        <v>2</v>
      </c>
      <c r="CA228">
        <f t="shared" si="279"/>
        <v>0.31</v>
      </c>
      <c r="CB228">
        <f t="shared" si="280"/>
        <v>0.92931162315480298</v>
      </c>
      <c r="CC228">
        <f>IFERROR(ROUNDUP(CB228/((Uн_лин/SQRT(3))*1000)*100,2),"")</f>
        <v>0.41000000000000003</v>
      </c>
      <c r="CD228">
        <f>IF(ISNUMBER(CC228),CC228+IFERROR(_xlfn.XLOOKUP(A228,Щиты[Щит],Щиты[ΔU до шин, %]),0),"")</f>
        <v>1.6600000000000001</v>
      </c>
      <c r="CE228">
        <f>IF(D228="","",IF(IFERROR(VLOOKUP(AT228,УГО_спр,2,FALSE),"")="Светильник",3,4)+IF(Методика="нормы 2026",MIN(0.5,MAX(0,N(BW228)-100)*0.005),0))</f>
        <v>4</v>
      </c>
      <c r="CF228" t="str">
        <f>IFERROR(VLOOKUP(BI228,Кабель_обозначение,2,FALSE),"")</f>
        <v>ВВГнг(А)-LS</v>
      </c>
      <c r="CG228" t="str">
        <f>IFERROR(IF(VLOOKUP(BI228,Кабель_обозначение,3,FALSE)=1,CF228&amp;" ("&amp;BJ228&amp;"х"&amp;BS228&amp;")",CF228),"")</f>
        <v>ВВГнг(А)-LS (3х2,5)</v>
      </c>
      <c r="CH228" t="str">
        <f t="shared" si="281"/>
        <v>ВВГнг(А)-LS (3х2,5)
L=66-0,41%</v>
      </c>
      <c r="CI228">
        <f>IFERROR(2*ρкз_Cu*BW228/BS228,"")</f>
        <v>1.3886400000000001</v>
      </c>
      <c r="CJ228">
        <f t="shared" si="282"/>
        <v>0.46200000000000002</v>
      </c>
      <c r="CK228" t="str">
        <f>IFERROR(IF(OR(D228="",NOT(ISNUMBER(BS228)),N(BW228)=0),"",_xlfn.XLOOKUP(A228,Щиты[Щит],Щиты[Zпетли на шинах, Ом])+CI228),"")</f>
        <v/>
      </c>
      <c r="CL228" t="str">
        <f>IF(ISNUMBER(CK228),c_min*(Uн_лин*1000/SQRT(3))/CK228,"")</f>
        <v/>
      </c>
      <c r="CM228" t="str">
        <f>IFERROR(IF(OR(D228="",NOT(ISNUMBER(BS228))),"",1.05*(Uн_лин*1000/SQRT(3))/(_xlfn.XLOOKUP(A228,Щиты[Щит],Щиты[Zmax на шинах, Ом])+CJ228)/1000),"")</f>
        <v/>
      </c>
      <c r="CN228" t="str">
        <f>IF(D228="","",IF(BA228&lt;&gt;"","Щит",IF(K228&lt;&gt;"",K228,IF(ISNUMBER(L228),"Сил",IF(IFERROR(_xlfn.XLOOKUP(AT228,Коды_код,Коды_группа)&amp;"","")="","Быт",_xlfn.XLOOKUP(AT228,Коды_код,Коды_группа)&amp;"")))))</f>
        <v>Быт</v>
      </c>
      <c r="CO228">
        <f>IF(CN228="Щит","щит",IF(CN228="","",IF(CN228="Быт",IFERROR(_xlfn.XLOOKUP(A228,Щиты[Щит],Щиты[Кс быт]),1),IF(CN228="Сил",IF(ISNUMBER(L228),L228,IF(Методика="нормы 2026",IFERROR(_xlfn.XLOOKUP(A228,Щиты[Щит],Щиты[Кс силовых (табл. 7.5)]),1),1)),IF(OR(CN228="Пост",CN228="Отоп"),1,IF(CN228="ВНГ",0.7,0))))))</f>
        <v>0.57830000000000004</v>
      </c>
      <c r="CP228">
        <f t="shared" si="283"/>
        <v>1</v>
      </c>
      <c r="CQ228">
        <f t="shared" si="284"/>
        <v>0.18</v>
      </c>
      <c r="CR228">
        <f t="shared" si="285"/>
        <v>0.18</v>
      </c>
      <c r="CS228">
        <f t="shared" si="286"/>
        <v>0</v>
      </c>
      <c r="CT228">
        <f t="shared" si="287"/>
        <v>0</v>
      </c>
      <c r="CU228">
        <f t="shared" si="288"/>
        <v>0</v>
      </c>
      <c r="CV228">
        <f t="shared" si="289"/>
        <v>0</v>
      </c>
      <c r="CW228">
        <f t="shared" si="290"/>
        <v>0.18</v>
      </c>
      <c r="CX228">
        <f t="shared" si="291"/>
        <v>0.17099999999999999</v>
      </c>
      <c r="CY228">
        <f t="shared" si="292"/>
        <v>1</v>
      </c>
      <c r="CZ228" t="str">
        <f t="shared" si="293"/>
        <v>L1</v>
      </c>
      <c r="DA228" cm="1">
        <f t="array" ref="DA228">IFERROR(IF(BL228=2,_xlfn.IFS(BH228=3,VLOOKUP(BF228,Справочная_двигатели,3,FALSE),BH228=1,VLOOKUP(BF228,Справочная_двигатели,5,TRUE)),0),0)</f>
        <v>0</v>
      </c>
      <c r="DB228">
        <f>IFERROR(IF(BL228=3,VLOOKUP(BF228,Справочная_ЛЭД,2,TRUE),0),0)</f>
        <v>0</v>
      </c>
      <c r="DC228">
        <f t="shared" si="294"/>
        <v>0</v>
      </c>
      <c r="DD228" t="str">
        <f t="shared" si="295"/>
        <v>L3</v>
      </c>
      <c r="DE228" t="str" cm="1">
        <f t="array" ref="DE228">IF(D228="","",IFERROR(INDEX({"I особая","I","II","III"},MATCH(TRIM(AA228&amp;""),{"I особая","I","II","III"},0)),"III"))</f>
        <v>II</v>
      </c>
      <c r="DF228" t="str">
        <f>IF(D228="","",IF(TRIM(AB228&amp;"")&lt;&gt;"",IF(LOWER(TRIM(AB228&amp;""))="да","да","нет"),IF(IFERROR(_xlfn.XLOOKUP(AT228,Коды_код,Коды_пожарная),"")="да","да","нет")))</f>
        <v>нет</v>
      </c>
      <c r="DG228" t="str">
        <f t="shared" si="296"/>
        <v/>
      </c>
      <c r="DH228" t="str">
        <f t="shared" si="297"/>
        <v>основная</v>
      </c>
      <c r="DI228">
        <f t="shared" si="298"/>
        <v>1</v>
      </c>
      <c r="DJ228" t="str" cm="1">
        <f t="array" ref="DJ228">IF(D228="","",_xlfn.LET(_xlpm.t,IFERROR(_xlfn.XLOOKUP(1,(Шины[Шина]=DH228)*(((Шины[Щит]=A228)+(Шины[Щит]=""))&gt;0),Шины[Тип]),"")&amp;"",IF(_xlpm.t&lt;&gt;"",_xlpm.t,IF(ISNUMBER(SEARCH("ИБП",DH228)),"ИБП",IF(ISNUMBER(SEARCH("ДГУ",DH228)),"ДГУ","Ввод "&amp;DI228)))))</f>
        <v>Ввод 1</v>
      </c>
      <c r="DK228" t="str">
        <f t="shared" si="299"/>
        <v>Ввод 1</v>
      </c>
      <c r="DL228" t="str">
        <f>IF(D228="","",IF(OR(DJ228="ИБП",DJ228="ДГУ"),"I особая",IF(DJ228="Одиночная","III",_xlfn.XLOOKUP(A228,Щиты[Щит],Щиты[Категория шины «Ввод»],"III"))))</f>
        <v>II</v>
      </c>
      <c r="DM228">
        <f>IF(D228="",0,IFERROR(MATCH(DE228,{"III","II","I","I особая"},0),1))</f>
        <v>2</v>
      </c>
      <c r="DN228">
        <f t="shared" si="300"/>
        <v>2</v>
      </c>
      <c r="DO228" t="str">
        <f>IF(D228="","",IF(DM228&gt;IFERROR(MATCH(DL228,{"III","II","I","I особая"},0),1),"НЕ ОБЕСПЕЧЕНА","ОК"))</f>
        <v>ОК</v>
      </c>
      <c r="DP228" t="str">
        <f>IF(A228="","",_xlfn.XLOOKUP(A228,Щиты[Щит],Щиты[Путь],""))</f>
        <v>|ГРЩ-ЖД|ЩР-1|</v>
      </c>
      <c r="DQ228" t="str">
        <f>IF(D228="","",IF(Z228&lt;&gt;"",Z228,IF(IFERROR(_xlfn.XLOOKUP(AT228,Коды_код,Коды_вид)&amp;"","")="","Прочее",_xlfn.XLOOKUP(AT228,Коды_код,Коды_вид)&amp;"")))</f>
        <v>Розеточная сеть и бытовые приборы</v>
      </c>
      <c r="DR228">
        <f>IF(BD228="","",INT((BD228-1)/Столбцов_на_лист)+1)</f>
        <v>1</v>
      </c>
      <c r="DS228" t="str">
        <f t="shared" si="301"/>
        <v>ВВГнг(А)-LS (3х2,5) L=66-0,41%</v>
      </c>
      <c r="DT228">
        <f t="shared" si="302"/>
        <v>0.18</v>
      </c>
      <c r="DU228">
        <f t="shared" si="303"/>
        <v>0.83</v>
      </c>
      <c r="DV228">
        <f t="shared" si="304"/>
        <v>1</v>
      </c>
      <c r="DW228">
        <f>IF(AT228="",0,_xlfn.LET(_xlpm.v,IFERROR(VLOOKUP(D228,УГО_спр,3,FALSE),IFERROR(VLOOKUP(AT228,УГО_спр,3,FALSE),IFERROR(VLOOKUP(LEFT(AT228,2),УГО_спр,3,FALSE),""))),IF(_xlpm.v="да",30,IF(ISNUMBER(_xlpm.v),_xlpm.v,0))))</f>
        <v>30</v>
      </c>
      <c r="DX228">
        <f t="shared" si="305"/>
        <v>0</v>
      </c>
      <c r="DY228">
        <f>IF(BD228="","",IF(AD228&lt;&gt;"",COUNTIFS(A$3:A228,A228,AD$3:AD228,"?*"),IF(OR(OR(AS228=1,A228&lt;&gt;A227),AL228="вручную"),"",IF(AS228=1,"",DZ227))))</f>
        <v>4</v>
      </c>
      <c r="DZ228">
        <f t="shared" si="306"/>
        <v>4</v>
      </c>
      <c r="EA228">
        <f>IF(D228="",0,MAX(IFERROR(--X228,0),IFERROR(--VLOOKUP(D228,УГО_спр,4,FALSE),IFERROR(--VLOOKUP(AT228,УГО_спр,4,FALSE),IFERROR(--VLOOKUP(LEFT(AT228,2),УГО_спр,4,FALSE),0)))))</f>
        <v>16</v>
      </c>
      <c r="EB228">
        <f>IF(D228="","",IFERROR(LOOKUP(INDEX(CHOOSE(BR228,Iдоп_1ж,Iдоп_2ж,Iдоп_3ж),MATCH(BS228,Iдоп_S,0))*BP228*BQ228,{6,10,16,20,25,32,40,50,63,80,100,125,160,200,250,315,400,500,630}),""))</f>
        <v>25</v>
      </c>
      <c r="EC228">
        <f>IF(AD228="","",SUMIFS(Линии[_Ток схемы],Линии[_гр.],DY228,Линии[Щит],A228,Линии[_в кабель выше],0))</f>
        <v>0.83</v>
      </c>
      <c r="ED228">
        <f>IF(AD228="","",IFERROR(VLOOKUP(EC228,Автомат_номиналы,2,TRUE),""))</f>
        <v>6</v>
      </c>
      <c r="EE228">
        <f>IF(AD228="","",MAX(N(ED228),_xlfn.MAXIFS(Линии[_мин. по типу],Линии[_гр.],DY228,Линии[Щит],A228)))</f>
        <v>16</v>
      </c>
      <c r="EF228">
        <f>IF(AD228="","",_xlfn.MINIFS(Линии[_макс. автомат по кабелю],Линии[_гр.],DY228,Линии[Щит],A228))</f>
        <v>25</v>
      </c>
      <c r="EG228">
        <f>IF(AD228="","",MAX(1,_xlfn.MAXIFS(Линии[_фаз],Линии[_гр.],DY228,Линии[Щит],A228)))</f>
        <v>1</v>
      </c>
      <c r="EH228">
        <f>IF(AD228="","",IF(AND(AD228&lt;&gt;"авто",AD228&lt;&gt;"+"),IF(ISNUMBER(SEARCH("мА",AD228)),IFERROR(--TRIM(RIGHT(SUBSTITUTE(LEFT(AD228,SEARCH("мА",AD228)-1)," ",REPT(" ",9)),6)),30),0),IF(AE228="нет",0,IF(ISNUMBER(AE228),AE228,IF(AE228="да",30,_xlfn.MINIFS(Линии[_дифзащита по коду, мА],Линии[_гр.],DY228,Линии[Щит],A228,Линии[_дифзащита по коду, мА],"&gt;0"))))))</f>
        <v>30</v>
      </c>
      <c r="EI228">
        <f t="shared" si="307"/>
        <v>1</v>
      </c>
      <c r="EJ228" t="str">
        <f t="shared" si="308"/>
        <v>QFD4</v>
      </c>
      <c r="EK228" t="str">
        <f t="shared" si="309"/>
        <v>QFD4</v>
      </c>
      <c r="EL228" t="str">
        <f t="shared" si="310"/>
        <v/>
      </c>
      <c r="EM228">
        <f t="shared" si="311"/>
        <v>0</v>
      </c>
      <c r="EN228">
        <f>IF(AD228="","",IF(EM228=1,MAX(EE228,Мин_автомат_БП),EE228))</f>
        <v>16</v>
      </c>
      <c r="EO228" t="str">
        <f t="shared" si="312"/>
        <v>2P</v>
      </c>
      <c r="EP228" t="str">
        <f t="shared" si="313"/>
        <v>2P С16А 30мА</v>
      </c>
      <c r="EQ228">
        <f t="shared" si="314"/>
        <v>16</v>
      </c>
      <c r="ER228" t="str">
        <f>IF(OR(AI228="",AI228="-"),"",IFERROR(VLOOKUP(AI228,Модули_спр,2,FALSE),"R"))</f>
        <v/>
      </c>
      <c r="ES228" t="str">
        <f>IF(ER228="","",ER228&amp;"."&amp;COUNTIFS(A$3:A228,A228,ER$3:ER228,ER228))</f>
        <v/>
      </c>
      <c r="ET228" t="str">
        <f t="shared" si="315"/>
        <v/>
      </c>
      <c r="EU228" t="str">
        <f t="shared" si="316"/>
        <v/>
      </c>
      <c r="EV228" t="str">
        <f t="shared" si="317"/>
        <v/>
      </c>
      <c r="EW228" t="str">
        <f t="shared" si="318"/>
        <v/>
      </c>
      <c r="EX228">
        <f t="shared" si="319"/>
        <v>1</v>
      </c>
      <c r="EY228" t="str">
        <f>IF(AK228="нет","",IF(AK228&lt;&gt;"",AK228,IF(EX228=1,"XT"&amp;COUNTIFS(A$3:A228,A228,EX$3:EX228,1),"")))</f>
        <v>XT4</v>
      </c>
      <c r="EZ228" t="str">
        <f t="shared" si="320"/>
        <v>QFD4</v>
      </c>
      <c r="FA228" t="str">
        <f t="shared" si="321"/>
        <v/>
      </c>
      <c r="FB228" t="str">
        <f t="shared" si="322"/>
        <v>ok</v>
      </c>
      <c r="FC228" t="str">
        <f>IF(OR(EV228="",ET228=""),"",IF(EV228&gt;IFERROR(VLOOKUP(EU228,Модули_спр,3,FALSE),99),"ЛИШНИЙ КАНАЛ",IF(AND(AJ228&lt;&gt;"=",COUNTIFS(Линии[_модуль гр.],ET228,Линии[Канал (итог)],EV228,Линии[Канал],"&lt;&gt;=",Линии[Щит],A228)&gt;1),"ДУБЛЬ КАНАЛА","")))</f>
        <v/>
      </c>
      <c r="FD228">
        <f t="shared" si="323"/>
        <v>16</v>
      </c>
      <c r="FE228" t="str">
        <f t="shared" si="324"/>
        <v>2P С16А 30мА</v>
      </c>
      <c r="FF228">
        <f t="shared" si="325"/>
        <v>1</v>
      </c>
      <c r="FG228">
        <f t="shared" si="326"/>
        <v>30</v>
      </c>
      <c r="FH228" t="str">
        <f t="shared" si="327"/>
        <v/>
      </c>
      <c r="FI228">
        <f t="shared" si="328"/>
        <v>10</v>
      </c>
      <c r="FJ228" t="str">
        <f t="shared" si="329"/>
        <v/>
      </c>
      <c r="FK228" t="str">
        <f>IF(AND(D228="",EZ228=""),"",_xlfn.TEXTJOIN("; ",TRUE,IF(AND(D228&lt;&gt;"",DD228=""),"нет фазы",""),IF(AND(D228&lt;&gt;"",N(DT228)=0,CN228&lt;&gt;"Нет"),"нет мощности",""),IF(AND(EY228&lt;&gt;"",COUNTIFS(Линии[Щит],A228,Линии[Клемма (итог)],EY228)&gt;1),"дубль клеммы "&amp;EY228,""),IF(AND(FB228&lt;&gt;"",FB228&lt;&gt;"ok"),FB228,""),IF(FC228&lt;&gt;"",FC228,""),IF(AND(ISNUMBER(SEARCH("(5х",DS228)),N(DV228)=1),"5 жил на 1 фазе",""),IF(AND(AT228="R",AD228&lt;&gt;"",OR(N(EH228)=0,N(EH228)&gt;30)),"розетка без дифзащиты до 30 мА",""),IFERROR(IF(AND(ISNUMBER(CD228),CD228&gt;CE228),"потери "&amp;FIXED(CD228,1)&amp;" % &gt; "&amp;CE228&amp;" %",""),""),IFERROR(IF(LEFT(FJ228,4)="мало","Iкз мало — отключение &gt; 0,4 с",""),""),IF(AND(D228&lt;&gt;"",BD228=""),"не на схеме","")))</f>
        <v/>
      </c>
      <c r="FL228">
        <f>IF(AD228="","",_xlfn.LET(_xlpm.t,IFERROR(_xlfn.XLOOKUP(EP228,Каталог!$U$4:$U$500,Каталог!$G$4:$G$500),""),_xlpm.k,SEARCH("кА",_xlpm.t),IFERROR(--TRIM(RIGHT(SUBSTITUTE(MID(_xlpm.t,MAX(1,_xlpm.k-4),_xlpm.k-MAX(1,_xlpm.k-4))," ",REPT(" ",9)),5)),"")))</f>
        <v>6</v>
      </c>
      <c r="FM228" t="str">
        <f>IF(OR(FL228="",AD228=""),"",IF(_xlfn.XLOOKUP(A228,Щиты[Щит],Щиты[Iкз max на шинах, кА],"")="","",IF(FL228&lt;_xlfn.XLOOKUP(A228,Щиты[Щит],Щиты[Iкз max на шинах, кА]),"Icu "&amp;FL228&amp;" кА &lt; Iкз max","ok")))</f>
        <v/>
      </c>
      <c r="FN228" t="str">
        <f t="shared" si="330"/>
        <v>QFD4|XT4</v>
      </c>
      <c r="FO228" t="str">
        <f t="shared" si="331"/>
        <v>QFD4|XT4|кабель ВВГнг(А)-LS (3х2,5) → Розеточная группа Первый этаж Пом. №002A, 023А</v>
      </c>
      <c r="FP228" t="str" cm="1">
        <f t="array" ref="FP228">IF(FO228="","",_xlfn.LET(_xlpm.nd,_xlfn.TEXTSPLIT(FO228,"|"),IF(COLUMNS(_xlpm.nd)&gt;1,A228&amp;"¦"&amp;INDEX(_xlpm.nd,1)&amp;"¦"&amp;INDEX(_xlpm.nd,2),"")))</f>
        <v>ЩР-1¦QFD4¦XT4</v>
      </c>
      <c r="FQ228" t="str">
        <f t="shared" si="332"/>
        <v>R.1.002A.1¦Розеточная группа Первый этаж Пом. №002A, 023А</v>
      </c>
      <c r="FR228" t="str" cm="1">
        <f t="array" ref="FR228">IF(FO228="","",_xlfn.LET(_xlpm.nd,_xlfn.TEXTSPLIT(FO228,"|"),IF(COLUMNS(_xlpm.nd)&gt;2,A228&amp;"¦"&amp;INDEX(_xlpm.nd,2)&amp;"¦"&amp;INDEX(_xlpm.nd,3),"")))</f>
        <v>ЩР-1¦XT4¦кабель ВВГнг(А)-LS (3х2,5) → Розеточная группа Первый этаж Пом. №002A, 023А</v>
      </c>
      <c r="FS228" t="str">
        <f t="shared" si="333"/>
        <v>R.1.002A.1¦Розеточная группа Первый этаж Пом. №002A, 023А</v>
      </c>
      <c r="FT228" t="str" cm="1">
        <f t="array" ref="FT228">IF(FO228="","",_xlfn.LET(_xlpm.nd,_xlfn.TEXTSPLIT(FO228,"|"),IF(COLUMNS(_xlpm.nd)&gt;3,A228&amp;"¦"&amp;INDEX(_xlpm.nd,3)&amp;"¦"&amp;INDEX(_xlpm.nd,4),"")))</f>
        <v/>
      </c>
      <c r="FU228" t="str">
        <f t="shared" si="334"/>
        <v/>
      </c>
      <c r="FV228" t="str" cm="1">
        <f t="array" ref="FV228">IF(FO228="","",_xlfn.LET(_xlpm.nd,_xlfn.TEXTSPLIT(FO228,"|"),IF(COLUMNS(_xlpm.nd)&gt;4,A228&amp;"¦"&amp;INDEX(_xlpm.nd,4)&amp;"¦"&amp;INDEX(_xlpm.nd,5),"")))</f>
        <v/>
      </c>
      <c r="FW228" t="str">
        <f t="shared" si="335"/>
        <v/>
      </c>
      <c r="FX228" t="str" cm="1">
        <f t="array" ref="FX228">IF(FO228="","",_xlfn.LET(_xlpm.nd,_xlfn.TEXTSPLIT(FO228,"|"),IF(COLUMNS(_xlpm.nd)&gt;5,A228&amp;"¦"&amp;INDEX(_xlpm.nd,5)&amp;"¦"&amp;INDEX(_xlpm.nd,6),"")))</f>
        <v/>
      </c>
      <c r="FY228" t="str">
        <f t="shared" si="336"/>
        <v/>
      </c>
      <c r="FZ228" t="str" cm="1">
        <f t="array" ref="FZ228">IF(FO228="","",_xlfn.LET(_xlpm.nd,_xlfn.TEXTSPLIT(FO228,"|"),IF(COLUMNS(_xlpm.nd)&gt;6,A228&amp;"¦"&amp;INDEX(_xlpm.nd,6)&amp;"¦"&amp;INDEX(_xlpm.nd,7),"")))</f>
        <v/>
      </c>
      <c r="GA228" t="str">
        <f t="shared" si="337"/>
        <v/>
      </c>
      <c r="GB228" t="str">
        <f t="shared" si="338"/>
        <v/>
      </c>
      <c r="GC228" t="str">
        <f t="shared" si="339"/>
        <v>QFD4 → XT4</v>
      </c>
      <c r="GD228">
        <f t="shared" si="340"/>
        <v>1</v>
      </c>
      <c r="GE228">
        <f t="shared" si="341"/>
        <v>0</v>
      </c>
      <c r="GF228">
        <f t="shared" si="342"/>
        <v>1</v>
      </c>
      <c r="GG228" t="str">
        <f t="shared" si="343"/>
        <v/>
      </c>
      <c r="GH228" t="str">
        <f t="shared" si="344"/>
        <v/>
      </c>
      <c r="GI228" t="str">
        <f t="shared" si="345"/>
        <v/>
      </c>
      <c r="GJ228" t="str">
        <f t="shared" si="346"/>
        <v/>
      </c>
      <c r="GK228" t="str">
        <f>IF(D228="","",IFERROR(VLOOKUP(D228,УГО_спр,2,FALSE),IFERROR(VLOOKUP(AT228,УГО_спр,2,FALSE),IFERROR(VLOOKUP(LEFT(AT228,2),УГО_спр,2,FALSE),""))))</f>
        <v>Розетка</v>
      </c>
      <c r="GL228" t="str">
        <f>IF(D228="","",IF(OR(GK228="",GK228=0),"BOX",IFERROR(IF(VLOOKUP(GK228,УГО_блоки,3,FALSE)&amp;""&lt;&gt;"",VLOOKUP(GK228,УГО_блоки,3,FALSE),VLOOKUP(GK228,УГО_блоки,2,FALSE)),GK228)))</f>
        <v>SOCKET</v>
      </c>
      <c r="GM228">
        <f t="shared" si="347"/>
        <v>1</v>
      </c>
      <c r="GN228" t="str">
        <f>IF(EP228="","",IF(COUNTIF(EP$3:EP228,EP228)=1,MAX(GN$2:GN227)+1,""))</f>
        <v/>
      </c>
      <c r="GO228" t="str">
        <f>IF(AF228="","",IF(COUNTIF(AF$3:AF228,AF228)+COUNTIF(AG$2:AG227,AF228)+COUNTIF(AH$2:AH227,AF228)=1,MAX(GO$2:GQ227)+1,""))</f>
        <v/>
      </c>
      <c r="GP228" t="str">
        <f>IF(AG228="","",IF(COUNTIF(AF$3:AF228,AG228)+COUNTIF(AG$3:AG228,AG228)+COUNTIF(AH$2:AH227,AG228)=1,MAX(GO$2:GQ227,GO228)+1,""))</f>
        <v/>
      </c>
      <c r="GQ228" t="str">
        <f>IF(AH228="","",IF(COUNTIF(AF$3:AF228,AH228)+COUNTIF(AG$3:AG228,AH228)+COUNTIF(AH$3:AH228,AH228)=1,MAX(GO$2:GQ227,GO228,GP228)+1,""))</f>
        <v/>
      </c>
      <c r="GR228" t="str">
        <f t="shared" si="348"/>
        <v>3х2,5</v>
      </c>
      <c r="GS228" t="str">
        <f>IF(GR228="","",IF(COUNTIF(GR$3:GR228,GR228)=1,MAX(GS$2:GS227)+1,""))</f>
        <v/>
      </c>
      <c r="GT228" t="str">
        <f>IF(ES228="","",COUNTIF(ES$3:ES228,"?*"))</f>
        <v/>
      </c>
      <c r="GU228" t="str">
        <f>IF(OR(ES228="",EU228=""),"",IF(COUNTIFS(ES$3:ES228,"?*",EU$3:EU228,EU228)=1,MAX(GU$2:GU227)+1,""))</f>
        <v/>
      </c>
      <c r="GV228">
        <f t="shared" si="349"/>
        <v>0</v>
      </c>
      <c r="GW228">
        <f>IF(D228="","",COUNTIF(D$3:D228,"?*"))</f>
        <v>226</v>
      </c>
      <c r="GX228">
        <f>IF(EX228&lt;&gt;1,0,_xlfn.LET(_xlpm.k,MAX(IFERROR(--VLOOKUP(D228,УГО_спр,5,FALSE),0),IFERROR(--VLOOKUP(AT228,УГО_спр,5,FALSE),0),IFERROR(--VLOOKUP(LEFT(AT228,2),УГО_спр,5,FALSE),0)),IF(_xlpm.k&gt;0,_xlpm.k,IF(IFERROR(--LEFT(SUBSTITUTE(GR228,"x","х"),FIND("х",SUBSTITUTE(GR228,"x","х"))-1),3)&gt;3,Каталог!$S$9,1))))</f>
        <v>1</v>
      </c>
      <c r="GY228">
        <f t="shared" si="350"/>
        <v>0</v>
      </c>
    </row>
    <row r="229" spans="1:207" x14ac:dyDescent="0.3">
      <c r="A229" t="s">
        <v>762</v>
      </c>
      <c r="B229">
        <v>13</v>
      </c>
      <c r="C229" t="str">
        <f>IF(BD229="","",IF(BE229="вводной узел","узел ","")&amp;"л."&amp;(INT((BD229-1)/Столбцов_на_лист)+1)&amp;" / "&amp;(MOD(BD229-1,Столбцов_на_лист)+1))</f>
        <v>л.1 / 13</v>
      </c>
      <c r="D229" t="s">
        <v>1547</v>
      </c>
      <c r="E229" s="133" t="str">
        <f t="shared" si="351"/>
        <v>Розеточная группа Первый этаж Пом. №002Aб</v>
      </c>
      <c r="G229">
        <v>0.18</v>
      </c>
      <c r="H229">
        <v>3</v>
      </c>
      <c r="I229">
        <v>1</v>
      </c>
      <c r="J229">
        <v>230</v>
      </c>
      <c r="K229" t="s">
        <v>566</v>
      </c>
      <c r="O229">
        <v>3</v>
      </c>
      <c r="P229">
        <v>65</v>
      </c>
      <c r="Q229">
        <v>28</v>
      </c>
      <c r="R229">
        <v>52</v>
      </c>
      <c r="S229">
        <v>0</v>
      </c>
      <c r="U229" t="s">
        <v>11</v>
      </c>
      <c r="V229">
        <v>3</v>
      </c>
      <c r="W229">
        <v>2.5</v>
      </c>
      <c r="Z229" t="s">
        <v>565</v>
      </c>
      <c r="AA229" t="s">
        <v>818</v>
      </c>
      <c r="AD229" t="s">
        <v>517</v>
      </c>
      <c r="AR229" t="str">
        <f t="shared" si="264"/>
        <v/>
      </c>
      <c r="AS229" cm="1">
        <f t="array" ref="AS229">ROW()-ROW(Линии[#Headers])</f>
        <v>227</v>
      </c>
      <c r="AT229" t="str">
        <f t="shared" si="265"/>
        <v>R</v>
      </c>
      <c r="AU229" t="str">
        <f t="shared" si="266"/>
        <v>1.002Aб.1</v>
      </c>
      <c r="AV229" t="str">
        <f t="shared" si="267"/>
        <v>1</v>
      </c>
      <c r="AW229" t="str">
        <f t="shared" si="268"/>
        <v>002Aб.1</v>
      </c>
      <c r="AX229" t="str">
        <f t="shared" si="269"/>
        <v>002Aб</v>
      </c>
      <c r="AY229" t="str">
        <f>IF(D229="","",IF(ISERROR(SEARCH(".",D229)),IFERROR(VLOOKUP(D229,Потребители_обозначение,2,FALSE)&amp;"",""),IFERROR(IF(VLOOKUP(AT229,Потребители_обозначение,4,FALSE)=1,VLOOKUP(AT229,Потребители_обозначение,2,FALSE)&amp;" "&amp;VLOOKUP(AV229,Этаж_обозначение,2,FALSE)&amp;" Пом. №"&amp;AX229,VLOOKUP(AT229,Потребители_обозначение,2,FALSE)&amp;" Шлейф №"&amp;AV229),IFERROR(VLOOKUP(D229,Потребители_обозначение,2,FALSE),""))))</f>
        <v>Розеточная группа Первый этаж Пом. №002Aб</v>
      </c>
      <c r="AZ229" t="str">
        <f t="shared" si="270"/>
        <v>Розеточная группа Первый этаж Пом. №002Aб</v>
      </c>
      <c r="BA229" t="str">
        <f>IF(F229&lt;&gt;"",F229,IF(AND(D229&lt;&gt;"",D229&lt;&gt;A229,ISNUMBER(_xlfn.XMATCH(D229,Щиты[Щит]))),D229,""))</f>
        <v/>
      </c>
      <c r="BB229">
        <f>IFERROR(_xlfn.XMATCH(A229,Щиты[Щит]),0)</f>
        <v>10</v>
      </c>
      <c r="BC229">
        <f>IFERROR(N(_xlfn.XLOOKUP(A229,Щиты[Щит],Щиты[Мест под вводной узел])),15)</f>
        <v>8</v>
      </c>
      <c r="BD229">
        <f t="shared" si="271"/>
        <v>13</v>
      </c>
      <c r="BE229" t="str">
        <f t="shared" si="272"/>
        <v>линии</v>
      </c>
      <c r="BF229">
        <f>IF(D229="","",IF(BA229&lt;&gt;"",IFERROR(_xlfn.XLOOKUP(BA229,Щиты[Щит],Щиты[Руст, кВт]),0),N(G229)))</f>
        <v>0.18</v>
      </c>
      <c r="BG229">
        <f>IF(J229&lt;&gt;"",J229,IF(D229="","",IFERROR(IF(VLOOKUP(AT229,Потребители_обозначение,8,FALSE)=0,"",VLOOKUP(AT229,Потребители_обозначение,8,FALSE)),"")))</f>
        <v>230</v>
      </c>
      <c r="BH229">
        <f>IF(I229&lt;&gt;"",I229,IF(D229="","",IFERROR(IF(VLOOKUP(AT229,Потребители_обозначение,9,FALSE)=0,"",VLOOKUP(AT229,Потребители_обозначение,9,FALSE)),"")))</f>
        <v>1</v>
      </c>
      <c r="BI229" t="str">
        <f>IF(U229&lt;&gt;"",U229,IF(D229="","",IFERROR(IF(VLOOKUP(AT229,Потребители_обозначение,6,FALSE)=0,"",VLOOKUP(AT229,Потребители_обозначение,6,FALSE)),"")))</f>
        <v>мс</v>
      </c>
      <c r="BJ229">
        <f>IF(V229&lt;&gt;"",V229,IF(D229="","",IFERROR(IF(VLOOKUP(AT229,Потребители_обозначение,7,FALSE)=0,"",VLOOKUP(AT229,Потребители_обозначение,7,FALSE)),"")))</f>
        <v>3</v>
      </c>
      <c r="BK229">
        <f>IF(W229&lt;&gt;"",W229,IF(D229="","",IFERROR(IF(VLOOKUP(AT229,Потребители_обозначение,10,FALSE)=0,"",VLOOKUP(AT229,Потребители_обозначение,10,FALSE)),"")))</f>
        <v>2.5</v>
      </c>
      <c r="BL229">
        <f>IFERROR(VLOOKUP(AT229,Потребители_обозначение,5,FALSE),0)</f>
        <v>1</v>
      </c>
      <c r="BM229" cm="1">
        <f t="array" ref="BM229">IF(D229="","",IF(BA229&lt;&gt;"",IFERROR(_xlfn.XLOOKUP(BA229,Щиты[Щит],Щиты[cos φ]),0.95),IF(ISNUMBER(M229),M229,IFERROR(IF(BL229=2,_xlfn.IFS(BH229=3,VLOOKUP(BF229,Справочная_двигатели,8,FALSE),BH229=1,VLOOKUP(BF229,Справочная_двигатели,10,TRUE)),IF(AND(Методика="нормы 2026",CN229="Сил"),0.8,0.95)),0.95))))</f>
        <v>0.95</v>
      </c>
      <c r="BN229" cm="1">
        <f t="array" ref="BN229">IF(D229="","",IF(BA229&lt;&gt;"",IFERROR(_xlfn.XLOOKUP(BA229,Щиты[Щит],Щиты[Iр, А]),""),IFERROR(_xlfn.IFS(BH229=1,BF229/((Uн_лин/SQRT(3))*BM229),BH229=3,BF229/(SQRT(3)*Uн_лин*BM229)),"")))</f>
        <v>0.8204451193747313</v>
      </c>
      <c r="BO229">
        <f>IF(D229="","",IF(N(X229)=0,IFERROR(VLOOKUP(BN229,Автомат_номиналы,2,TRUE),""),X229))</f>
        <v>6</v>
      </c>
      <c r="BP229">
        <f t="shared" si="273"/>
        <v>1</v>
      </c>
      <c r="BQ229">
        <f>IF(ISNUMBER(Y229),Y229,К_прокл)</f>
        <v>1</v>
      </c>
      <c r="BR229">
        <f t="shared" si="274"/>
        <v>2</v>
      </c>
      <c r="BS229" cm="1">
        <f t="array" ref="BS229">IF(D229="","",IF(N(BK229)&lt;&gt;0,BK229,IFERROR(_xlfn.LET(_xlpm.need,BO229/(BP229*BQ229),_xlpm.t,CHOOSE(BR229,Iдоп_1ж,Iдоп_2ж,Iдоп_3ж),_xlpm.k,_xlfn.XMATCH(_xlpm.need,_xlpm.t,1),IF(ISNA(_xlpm.k),"Не исп",INDEX(Iдоп_S,_xlpm.k))),"Не исп")))</f>
        <v>2.5</v>
      </c>
      <c r="BT229">
        <f>IFERROR(VLOOKUP(BS229,Кабель_сопротивление,3,FALSE),"")</f>
        <v>2.2499999999999999E-2</v>
      </c>
      <c r="BU229">
        <f>IFERROR(VLOOKUP(BS229,Кабель_сопротивление,2,FALSE),"")</f>
        <v>0.1</v>
      </c>
      <c r="BV229">
        <f t="shared" si="275"/>
        <v>65</v>
      </c>
      <c r="BW229">
        <f>IF(D229="","",IFERROR(IF(VLOOKUP(AT229,Потребители_обозначение,4,FALSE)=1,VLOOKUP(AT229,Потребители_обозначение,3,FALSE)*(H229*2-1)+BV229+VLOOKUP(AV229,Этаж_обозначение,3,FALSE)+VLOOKUP(AV229,Этаж_обозначение,4,FALSE),VLOOKUP(AT229,Потребители_обозначение,3,FALSE)*(H229*2-1)+BV229),BV229))</f>
        <v>80</v>
      </c>
      <c r="BX229">
        <f t="shared" si="276"/>
        <v>52</v>
      </c>
      <c r="BY229">
        <f t="shared" si="277"/>
        <v>0</v>
      </c>
      <c r="BZ229">
        <f t="shared" si="278"/>
        <v>2</v>
      </c>
      <c r="CA229">
        <f t="shared" si="279"/>
        <v>0.31</v>
      </c>
      <c r="CB229">
        <f t="shared" si="280"/>
        <v>1.126438331096731</v>
      </c>
      <c r="CC229">
        <f>IFERROR(ROUNDUP(CB229/((Uн_лин/SQRT(3))*1000)*100,2),"")</f>
        <v>0.49</v>
      </c>
      <c r="CD229">
        <f>IF(ISNUMBER(CC229),CC229+IFERROR(_xlfn.XLOOKUP(A229,Щиты[Щит],Щиты[ΔU до шин, %]),0),"")</f>
        <v>1.74</v>
      </c>
      <c r="CE229">
        <f>IF(D229="","",IF(IFERROR(VLOOKUP(AT229,УГО_спр,2,FALSE),"")="Светильник",3,4)+IF(Методика="нормы 2026",MIN(0.5,MAX(0,N(BW229)-100)*0.005),0))</f>
        <v>4</v>
      </c>
      <c r="CF229" t="str">
        <f>IFERROR(VLOOKUP(BI229,Кабель_обозначение,2,FALSE),"")</f>
        <v>ВВГнг(А)-LS</v>
      </c>
      <c r="CG229" t="str">
        <f>IFERROR(IF(VLOOKUP(BI229,Кабель_обозначение,3,FALSE)=1,CF229&amp;" ("&amp;BJ229&amp;"х"&amp;BS229&amp;")",CF229),"")</f>
        <v>ВВГнг(А)-LS (3х2,5)</v>
      </c>
      <c r="CH229" t="str">
        <f t="shared" si="281"/>
        <v>ВВГнг(А)-LS (3х2,5)
L=80-0,49%</v>
      </c>
      <c r="CI229">
        <f>IFERROR(2*ρкз_Cu*BW229/BS229,"")</f>
        <v>1.6832</v>
      </c>
      <c r="CJ229">
        <f t="shared" si="282"/>
        <v>0.56000000000000005</v>
      </c>
      <c r="CK229" t="str">
        <f>IFERROR(IF(OR(D229="",NOT(ISNUMBER(BS229)),N(BW229)=0),"",_xlfn.XLOOKUP(A229,Щиты[Щит],Щиты[Zпетли на шинах, Ом])+CI229),"")</f>
        <v/>
      </c>
      <c r="CL229" t="str">
        <f>IF(ISNUMBER(CK229),c_min*(Uн_лин*1000/SQRT(3))/CK229,"")</f>
        <v/>
      </c>
      <c r="CM229" t="str">
        <f>IFERROR(IF(OR(D229="",NOT(ISNUMBER(BS229))),"",1.05*(Uн_лин*1000/SQRT(3))/(_xlfn.XLOOKUP(A229,Щиты[Щит],Щиты[Zmax на шинах, Ом])+CJ229)/1000),"")</f>
        <v/>
      </c>
      <c r="CN229" t="str">
        <f>IF(D229="","",IF(BA229&lt;&gt;"","Щит",IF(K229&lt;&gt;"",K229,IF(ISNUMBER(L229),"Сил",IF(IFERROR(_xlfn.XLOOKUP(AT229,Коды_код,Коды_группа)&amp;"","")="","Быт",_xlfn.XLOOKUP(AT229,Коды_код,Коды_группа)&amp;"")))))</f>
        <v>Быт</v>
      </c>
      <c r="CO229">
        <f>IF(CN229="Щит","щит",IF(CN229="","",IF(CN229="Быт",IFERROR(_xlfn.XLOOKUP(A229,Щиты[Щит],Щиты[Кс быт]),1),IF(CN229="Сил",IF(ISNUMBER(L229),L229,IF(Методика="нормы 2026",IFERROR(_xlfn.XLOOKUP(A229,Щиты[Щит],Щиты[Кс силовых (табл. 7.5)]),1),1)),IF(OR(CN229="Пост",CN229="Отоп"),1,IF(CN229="ВНГ",0.7,0))))))</f>
        <v>0.57830000000000004</v>
      </c>
      <c r="CP229">
        <f t="shared" si="283"/>
        <v>1</v>
      </c>
      <c r="CQ229">
        <f t="shared" si="284"/>
        <v>0.18</v>
      </c>
      <c r="CR229">
        <f t="shared" si="285"/>
        <v>0.18</v>
      </c>
      <c r="CS229">
        <f t="shared" si="286"/>
        <v>0</v>
      </c>
      <c r="CT229">
        <f t="shared" si="287"/>
        <v>0</v>
      </c>
      <c r="CU229">
        <f t="shared" si="288"/>
        <v>0</v>
      </c>
      <c r="CV229">
        <f t="shared" si="289"/>
        <v>0</v>
      </c>
      <c r="CW229">
        <f t="shared" si="290"/>
        <v>0.18</v>
      </c>
      <c r="CX229">
        <f t="shared" si="291"/>
        <v>0.17099999999999999</v>
      </c>
      <c r="CY229">
        <f t="shared" si="292"/>
        <v>2</v>
      </c>
      <c r="CZ229" t="str">
        <f t="shared" si="293"/>
        <v>L2</v>
      </c>
      <c r="DA229" cm="1">
        <f t="array" ref="DA229">IFERROR(IF(BL229=2,_xlfn.IFS(BH229=3,VLOOKUP(BF229,Справочная_двигатели,3,FALSE),BH229=1,VLOOKUP(BF229,Справочная_двигатели,5,TRUE)),0),0)</f>
        <v>0</v>
      </c>
      <c r="DB229">
        <f>IFERROR(IF(BL229=3,VLOOKUP(BF229,Справочная_ЛЭД,2,TRUE),0),0)</f>
        <v>0</v>
      </c>
      <c r="DC229">
        <f t="shared" si="294"/>
        <v>0</v>
      </c>
      <c r="DD229" t="str">
        <f t="shared" si="295"/>
        <v>L3</v>
      </c>
      <c r="DE229" t="str" cm="1">
        <f t="array" ref="DE229">IF(D229="","",IFERROR(INDEX({"I особая","I","II","III"},MATCH(TRIM(AA229&amp;""),{"I особая","I","II","III"},0)),"III"))</f>
        <v>II</v>
      </c>
      <c r="DF229" t="str">
        <f>IF(D229="","",IF(TRIM(AB229&amp;"")&lt;&gt;"",IF(LOWER(TRIM(AB229&amp;""))="да","да","нет"),IF(IFERROR(_xlfn.XLOOKUP(AT229,Коды_код,Коды_пожарная),"")="да","да","нет")))</f>
        <v>нет</v>
      </c>
      <c r="DG229" t="str">
        <f t="shared" si="296"/>
        <v/>
      </c>
      <c r="DH229" t="str">
        <f t="shared" si="297"/>
        <v>основная</v>
      </c>
      <c r="DI229">
        <f t="shared" si="298"/>
        <v>1</v>
      </c>
      <c r="DJ229" t="str" cm="1">
        <f t="array" ref="DJ229">IF(D229="","",_xlfn.LET(_xlpm.t,IFERROR(_xlfn.XLOOKUP(1,(Шины[Шина]=DH229)*(((Шины[Щит]=A229)+(Шины[Щит]=""))&gt;0),Шины[Тип]),"")&amp;"",IF(_xlpm.t&lt;&gt;"",_xlpm.t,IF(ISNUMBER(SEARCH("ИБП",DH229)),"ИБП",IF(ISNUMBER(SEARCH("ДГУ",DH229)),"ДГУ","Ввод "&amp;DI229)))))</f>
        <v>Ввод 1</v>
      </c>
      <c r="DK229" t="str">
        <f t="shared" si="299"/>
        <v>Ввод 1</v>
      </c>
      <c r="DL229" t="str">
        <f>IF(D229="","",IF(OR(DJ229="ИБП",DJ229="ДГУ"),"I особая",IF(DJ229="Одиночная","III",_xlfn.XLOOKUP(A229,Щиты[Щит],Щиты[Категория шины «Ввод»],"III"))))</f>
        <v>II</v>
      </c>
      <c r="DM229">
        <f>IF(D229="",0,IFERROR(MATCH(DE229,{"III","II","I","I особая"},0),1))</f>
        <v>2</v>
      </c>
      <c r="DN229">
        <f t="shared" si="300"/>
        <v>2</v>
      </c>
      <c r="DO229" t="str">
        <f>IF(D229="","",IF(DM229&gt;IFERROR(MATCH(DL229,{"III","II","I","I особая"},0),1),"НЕ ОБЕСПЕЧЕНА","ОК"))</f>
        <v>ОК</v>
      </c>
      <c r="DP229" t="str">
        <f>IF(A229="","",_xlfn.XLOOKUP(A229,Щиты[Щит],Щиты[Путь],""))</f>
        <v>|ГРЩ-ЖД|ЩР-1|</v>
      </c>
      <c r="DQ229" t="str">
        <f>IF(D229="","",IF(Z229&lt;&gt;"",Z229,IF(IFERROR(_xlfn.XLOOKUP(AT229,Коды_код,Коды_вид)&amp;"","")="","Прочее",_xlfn.XLOOKUP(AT229,Коды_код,Коды_вид)&amp;"")))</f>
        <v>Розеточная сеть и бытовые приборы</v>
      </c>
      <c r="DR229">
        <f>IF(BD229="","",INT((BD229-1)/Столбцов_на_лист)+1)</f>
        <v>1</v>
      </c>
      <c r="DS229" t="str">
        <f t="shared" si="301"/>
        <v>ВВГнг(А)-LS (3х2,5) L=80-0,49%</v>
      </c>
      <c r="DT229">
        <f t="shared" si="302"/>
        <v>0.18</v>
      </c>
      <c r="DU229">
        <f t="shared" si="303"/>
        <v>0.83</v>
      </c>
      <c r="DV229">
        <f t="shared" si="304"/>
        <v>1</v>
      </c>
      <c r="DW229">
        <f>IF(AT229="",0,_xlfn.LET(_xlpm.v,IFERROR(VLOOKUP(D229,УГО_спр,3,FALSE),IFERROR(VLOOKUP(AT229,УГО_спр,3,FALSE),IFERROR(VLOOKUP(LEFT(AT229,2),УГО_спр,3,FALSE),""))),IF(_xlpm.v="да",30,IF(ISNUMBER(_xlpm.v),_xlpm.v,0))))</f>
        <v>30</v>
      </c>
      <c r="DX229">
        <f t="shared" si="305"/>
        <v>0</v>
      </c>
      <c r="DY229">
        <f>IF(BD229="","",IF(AD229&lt;&gt;"",COUNTIFS(A$3:A229,A229,AD$3:AD229,"?*"),IF(OR(OR(AS229=1,A229&lt;&gt;A228),AL229="вручную"),"",IF(AS229=1,"",DZ228))))</f>
        <v>5</v>
      </c>
      <c r="DZ229">
        <f t="shared" si="306"/>
        <v>5</v>
      </c>
      <c r="EA229">
        <f>IF(D229="",0,MAX(IFERROR(--X229,0),IFERROR(--VLOOKUP(D229,УГО_спр,4,FALSE),IFERROR(--VLOOKUP(AT229,УГО_спр,4,FALSE),IFERROR(--VLOOKUP(LEFT(AT229,2),УГО_спр,4,FALSE),0)))))</f>
        <v>16</v>
      </c>
      <c r="EB229">
        <f>IF(D229="","",IFERROR(LOOKUP(INDEX(CHOOSE(BR229,Iдоп_1ж,Iдоп_2ж,Iдоп_3ж),MATCH(BS229,Iдоп_S,0))*BP229*BQ229,{6,10,16,20,25,32,40,50,63,80,100,125,160,200,250,315,400,500,630}),""))</f>
        <v>25</v>
      </c>
      <c r="EC229">
        <f>IF(AD229="","",SUMIFS(Линии[_Ток схемы],Линии[_гр.],DY229,Линии[Щит],A229,Линии[_в кабель выше],0))</f>
        <v>0.83</v>
      </c>
      <c r="ED229">
        <f>IF(AD229="","",IFERROR(VLOOKUP(EC229,Автомат_номиналы,2,TRUE),""))</f>
        <v>6</v>
      </c>
      <c r="EE229">
        <f>IF(AD229="","",MAX(N(ED229),_xlfn.MAXIFS(Линии[_мин. по типу],Линии[_гр.],DY229,Линии[Щит],A229)))</f>
        <v>16</v>
      </c>
      <c r="EF229">
        <f>IF(AD229="","",_xlfn.MINIFS(Линии[_макс. автомат по кабелю],Линии[_гр.],DY229,Линии[Щит],A229))</f>
        <v>25</v>
      </c>
      <c r="EG229">
        <f>IF(AD229="","",MAX(1,_xlfn.MAXIFS(Линии[_фаз],Линии[_гр.],DY229,Линии[Щит],A229)))</f>
        <v>1</v>
      </c>
      <c r="EH229">
        <f>IF(AD229="","",IF(AND(AD229&lt;&gt;"авто",AD229&lt;&gt;"+"),IF(ISNUMBER(SEARCH("мА",AD229)),IFERROR(--TRIM(RIGHT(SUBSTITUTE(LEFT(AD229,SEARCH("мА",AD229)-1)," ",REPT(" ",9)),6)),30),0),IF(AE229="нет",0,IF(ISNUMBER(AE229),AE229,IF(AE229="да",30,_xlfn.MINIFS(Линии[_дифзащита по коду, мА],Линии[_гр.],DY229,Линии[Щит],A229,Линии[_дифзащита по коду, мА],"&gt;0"))))))</f>
        <v>30</v>
      </c>
      <c r="EI229">
        <f t="shared" si="307"/>
        <v>1</v>
      </c>
      <c r="EJ229" t="str">
        <f t="shared" si="308"/>
        <v>QFD5</v>
      </c>
      <c r="EK229" t="str">
        <f t="shared" si="309"/>
        <v>QFD5</v>
      </c>
      <c r="EL229" t="str">
        <f t="shared" si="310"/>
        <v/>
      </c>
      <c r="EM229">
        <f t="shared" si="311"/>
        <v>0</v>
      </c>
      <c r="EN229">
        <f>IF(AD229="","",IF(EM229=1,MAX(EE229,Мин_автомат_БП),EE229))</f>
        <v>16</v>
      </c>
      <c r="EO229" t="str">
        <f t="shared" si="312"/>
        <v>2P</v>
      </c>
      <c r="EP229" t="str">
        <f t="shared" si="313"/>
        <v>2P С16А 30мА</v>
      </c>
      <c r="EQ229">
        <f t="shared" si="314"/>
        <v>16</v>
      </c>
      <c r="ER229" t="str">
        <f>IF(OR(AI229="",AI229="-"),"",IFERROR(VLOOKUP(AI229,Модули_спр,2,FALSE),"R"))</f>
        <v/>
      </c>
      <c r="ES229" t="str">
        <f>IF(ER229="","",ER229&amp;"."&amp;COUNTIFS(A$3:A229,A229,ER$3:ER229,ER229))</f>
        <v/>
      </c>
      <c r="ET229" t="str">
        <f t="shared" si="315"/>
        <v/>
      </c>
      <c r="EU229" t="str">
        <f t="shared" si="316"/>
        <v/>
      </c>
      <c r="EV229" t="str">
        <f t="shared" si="317"/>
        <v/>
      </c>
      <c r="EW229" t="str">
        <f t="shared" si="318"/>
        <v/>
      </c>
      <c r="EX229">
        <f t="shared" si="319"/>
        <v>1</v>
      </c>
      <c r="EY229" t="str">
        <f>IF(AK229="нет","",IF(AK229&lt;&gt;"",AK229,IF(EX229=1,"XT"&amp;COUNTIFS(A$3:A229,A229,EX$3:EX229,1),"")))</f>
        <v>XT5</v>
      </c>
      <c r="EZ229" t="str">
        <f t="shared" si="320"/>
        <v>QFD5</v>
      </c>
      <c r="FA229" t="str">
        <f t="shared" si="321"/>
        <v/>
      </c>
      <c r="FB229" t="str">
        <f t="shared" si="322"/>
        <v>ok</v>
      </c>
      <c r="FC229" t="str">
        <f>IF(OR(EV229="",ET229=""),"",IF(EV229&gt;IFERROR(VLOOKUP(EU229,Модули_спр,3,FALSE),99),"ЛИШНИЙ КАНАЛ",IF(AND(AJ229&lt;&gt;"=",COUNTIFS(Линии[_модуль гр.],ET229,Линии[Канал (итог)],EV229,Линии[Канал],"&lt;&gt;=",Линии[Щит],A229)&gt;1),"ДУБЛЬ КАНАЛА","")))</f>
        <v/>
      </c>
      <c r="FD229">
        <f t="shared" si="323"/>
        <v>16</v>
      </c>
      <c r="FE229" t="str">
        <f t="shared" si="324"/>
        <v>2P С16А 30мА</v>
      </c>
      <c r="FF229">
        <f t="shared" si="325"/>
        <v>1</v>
      </c>
      <c r="FG229">
        <f t="shared" si="326"/>
        <v>30</v>
      </c>
      <c r="FH229" t="str">
        <f t="shared" si="327"/>
        <v/>
      </c>
      <c r="FI229">
        <f t="shared" si="328"/>
        <v>10</v>
      </c>
      <c r="FJ229" t="str">
        <f t="shared" si="329"/>
        <v/>
      </c>
      <c r="FK229" t="str">
        <f>IF(AND(D229="",EZ229=""),"",_xlfn.TEXTJOIN("; ",TRUE,IF(AND(D229&lt;&gt;"",DD229=""),"нет фазы",""),IF(AND(D229&lt;&gt;"",N(DT229)=0,CN229&lt;&gt;"Нет"),"нет мощности",""),IF(AND(EY229&lt;&gt;"",COUNTIFS(Линии[Щит],A229,Линии[Клемма (итог)],EY229)&gt;1),"дубль клеммы "&amp;EY229,""),IF(AND(FB229&lt;&gt;"",FB229&lt;&gt;"ok"),FB229,""),IF(FC229&lt;&gt;"",FC229,""),IF(AND(ISNUMBER(SEARCH("(5х",DS229)),N(DV229)=1),"5 жил на 1 фазе",""),IF(AND(AT229="R",AD229&lt;&gt;"",OR(N(EH229)=0,N(EH229)&gt;30)),"розетка без дифзащиты до 30 мА",""),IFERROR(IF(AND(ISNUMBER(CD229),CD229&gt;CE229),"потери "&amp;FIXED(CD229,1)&amp;" % &gt; "&amp;CE229&amp;" %",""),""),IFERROR(IF(LEFT(FJ229,4)="мало","Iкз мало — отключение &gt; 0,4 с",""),""),IF(AND(D229&lt;&gt;"",BD229=""),"не на схеме","")))</f>
        <v/>
      </c>
      <c r="FL229">
        <f>IF(AD229="","",_xlfn.LET(_xlpm.t,IFERROR(_xlfn.XLOOKUP(EP229,Каталог!$U$4:$U$500,Каталог!$G$4:$G$500),""),_xlpm.k,SEARCH("кА",_xlpm.t),IFERROR(--TRIM(RIGHT(SUBSTITUTE(MID(_xlpm.t,MAX(1,_xlpm.k-4),_xlpm.k-MAX(1,_xlpm.k-4))," ",REPT(" ",9)),5)),"")))</f>
        <v>6</v>
      </c>
      <c r="FM229" t="str">
        <f>IF(OR(FL229="",AD229=""),"",IF(_xlfn.XLOOKUP(A229,Щиты[Щит],Щиты[Iкз max на шинах, кА],"")="","",IF(FL229&lt;_xlfn.XLOOKUP(A229,Щиты[Щит],Щиты[Iкз max на шинах, кА]),"Icu "&amp;FL229&amp;" кА &lt; Iкз max","ok")))</f>
        <v/>
      </c>
      <c r="FN229" t="str">
        <f t="shared" si="330"/>
        <v>QFD5|XT5</v>
      </c>
      <c r="FO229" t="str">
        <f t="shared" si="331"/>
        <v>QFD5|XT5|кабель ВВГнг(А)-LS (3х2,5) → Розеточная группа Первый этаж Пом. №002Aб</v>
      </c>
      <c r="FP229" t="str" cm="1">
        <f t="array" ref="FP229">IF(FO229="","",_xlfn.LET(_xlpm.nd,_xlfn.TEXTSPLIT(FO229,"|"),IF(COLUMNS(_xlpm.nd)&gt;1,A229&amp;"¦"&amp;INDEX(_xlpm.nd,1)&amp;"¦"&amp;INDEX(_xlpm.nd,2),"")))</f>
        <v>ЩР-1¦QFD5¦XT5</v>
      </c>
      <c r="FQ229" t="str">
        <f t="shared" si="332"/>
        <v>R.1.002Aб.1¦Розеточная группа Первый этаж Пом. №002Aб</v>
      </c>
      <c r="FR229" t="str" cm="1">
        <f t="array" ref="FR229">IF(FO229="","",_xlfn.LET(_xlpm.nd,_xlfn.TEXTSPLIT(FO229,"|"),IF(COLUMNS(_xlpm.nd)&gt;2,A229&amp;"¦"&amp;INDEX(_xlpm.nd,2)&amp;"¦"&amp;INDEX(_xlpm.nd,3),"")))</f>
        <v>ЩР-1¦XT5¦кабель ВВГнг(А)-LS (3х2,5) → Розеточная группа Первый этаж Пом. №002Aб</v>
      </c>
      <c r="FS229" t="str">
        <f t="shared" si="333"/>
        <v>R.1.002Aб.1¦Розеточная группа Первый этаж Пом. №002Aб</v>
      </c>
      <c r="FT229" t="str" cm="1">
        <f t="array" ref="FT229">IF(FO229="","",_xlfn.LET(_xlpm.nd,_xlfn.TEXTSPLIT(FO229,"|"),IF(COLUMNS(_xlpm.nd)&gt;3,A229&amp;"¦"&amp;INDEX(_xlpm.nd,3)&amp;"¦"&amp;INDEX(_xlpm.nd,4),"")))</f>
        <v/>
      </c>
      <c r="FU229" t="str">
        <f t="shared" si="334"/>
        <v/>
      </c>
      <c r="FV229" t="str" cm="1">
        <f t="array" ref="FV229">IF(FO229="","",_xlfn.LET(_xlpm.nd,_xlfn.TEXTSPLIT(FO229,"|"),IF(COLUMNS(_xlpm.nd)&gt;4,A229&amp;"¦"&amp;INDEX(_xlpm.nd,4)&amp;"¦"&amp;INDEX(_xlpm.nd,5),"")))</f>
        <v/>
      </c>
      <c r="FW229" t="str">
        <f t="shared" si="335"/>
        <v/>
      </c>
      <c r="FX229" t="str" cm="1">
        <f t="array" ref="FX229">IF(FO229="","",_xlfn.LET(_xlpm.nd,_xlfn.TEXTSPLIT(FO229,"|"),IF(COLUMNS(_xlpm.nd)&gt;5,A229&amp;"¦"&amp;INDEX(_xlpm.nd,5)&amp;"¦"&amp;INDEX(_xlpm.nd,6),"")))</f>
        <v/>
      </c>
      <c r="FY229" t="str">
        <f t="shared" si="336"/>
        <v/>
      </c>
      <c r="FZ229" t="str" cm="1">
        <f t="array" ref="FZ229">IF(FO229="","",_xlfn.LET(_xlpm.nd,_xlfn.TEXTSPLIT(FO229,"|"),IF(COLUMNS(_xlpm.nd)&gt;6,A229&amp;"¦"&amp;INDEX(_xlpm.nd,6)&amp;"¦"&amp;INDEX(_xlpm.nd,7),"")))</f>
        <v/>
      </c>
      <c r="GA229" t="str">
        <f t="shared" si="337"/>
        <v/>
      </c>
      <c r="GB229" t="str">
        <f t="shared" si="338"/>
        <v/>
      </c>
      <c r="GC229" t="str">
        <f t="shared" si="339"/>
        <v>QFD5 → XT5</v>
      </c>
      <c r="GD229">
        <f t="shared" si="340"/>
        <v>1</v>
      </c>
      <c r="GE229">
        <f t="shared" si="341"/>
        <v>0</v>
      </c>
      <c r="GF229">
        <f t="shared" si="342"/>
        <v>1</v>
      </c>
      <c r="GG229" t="str">
        <f t="shared" si="343"/>
        <v/>
      </c>
      <c r="GH229" t="str">
        <f t="shared" si="344"/>
        <v/>
      </c>
      <c r="GI229" t="str">
        <f t="shared" si="345"/>
        <v/>
      </c>
      <c r="GJ229" t="str">
        <f t="shared" si="346"/>
        <v/>
      </c>
      <c r="GK229" t="str">
        <f>IF(D229="","",IFERROR(VLOOKUP(D229,УГО_спр,2,FALSE),IFERROR(VLOOKUP(AT229,УГО_спр,2,FALSE),IFERROR(VLOOKUP(LEFT(AT229,2),УГО_спр,2,FALSE),""))))</f>
        <v>Розетка</v>
      </c>
      <c r="GL229" t="str">
        <f>IF(D229="","",IF(OR(GK229="",GK229=0),"BOX",IFERROR(IF(VLOOKUP(GK229,УГО_блоки,3,FALSE)&amp;""&lt;&gt;"",VLOOKUP(GK229,УГО_блоки,3,FALSE),VLOOKUP(GK229,УГО_блоки,2,FALSE)),GK229)))</f>
        <v>SOCKET</v>
      </c>
      <c r="GM229">
        <f t="shared" si="347"/>
        <v>1</v>
      </c>
      <c r="GN229" t="str">
        <f>IF(EP229="","",IF(COUNTIF(EP$3:EP229,EP229)=1,MAX(GN$2:GN228)+1,""))</f>
        <v/>
      </c>
      <c r="GO229" t="str">
        <f>IF(AF229="","",IF(COUNTIF(AF$3:AF229,AF229)+COUNTIF(AG$2:AG228,AF229)+COUNTIF(AH$2:AH228,AF229)=1,MAX(GO$2:GQ228)+1,""))</f>
        <v/>
      </c>
      <c r="GP229" t="str">
        <f>IF(AG229="","",IF(COUNTIF(AF$3:AF229,AG229)+COUNTIF(AG$3:AG229,AG229)+COUNTIF(AH$2:AH228,AG229)=1,MAX(GO$2:GQ228,GO229)+1,""))</f>
        <v/>
      </c>
      <c r="GQ229" t="str">
        <f>IF(AH229="","",IF(COUNTIF(AF$3:AF229,AH229)+COUNTIF(AG$3:AG229,AH229)+COUNTIF(AH$3:AH229,AH229)=1,MAX(GO$2:GQ228,GO229,GP229)+1,""))</f>
        <v/>
      </c>
      <c r="GR229" t="str">
        <f t="shared" si="348"/>
        <v>3х2,5</v>
      </c>
      <c r="GS229" t="str">
        <f>IF(GR229="","",IF(COUNTIF(GR$3:GR229,GR229)=1,MAX(GS$2:GS228)+1,""))</f>
        <v/>
      </c>
      <c r="GT229" t="str">
        <f>IF(ES229="","",COUNTIF(ES$3:ES229,"?*"))</f>
        <v/>
      </c>
      <c r="GU229" t="str">
        <f>IF(OR(ES229="",EU229=""),"",IF(COUNTIFS(ES$3:ES229,"?*",EU$3:EU229,EU229)=1,MAX(GU$2:GU228)+1,""))</f>
        <v/>
      </c>
      <c r="GV229">
        <f t="shared" si="349"/>
        <v>0</v>
      </c>
      <c r="GW229">
        <f>IF(D229="","",COUNTIF(D$3:D229,"?*"))</f>
        <v>227</v>
      </c>
      <c r="GX229">
        <f>IF(EX229&lt;&gt;1,0,_xlfn.LET(_xlpm.k,MAX(IFERROR(--VLOOKUP(D229,УГО_спр,5,FALSE),0),IFERROR(--VLOOKUP(AT229,УГО_спр,5,FALSE),0),IFERROR(--VLOOKUP(LEFT(AT229,2),УГО_спр,5,FALSE),0)),IF(_xlpm.k&gt;0,_xlpm.k,IF(IFERROR(--LEFT(SUBSTITUTE(GR229,"x","х"),FIND("х",SUBSTITUTE(GR229,"x","х"))-1),3)&gt;3,Каталог!$S$9,1))))</f>
        <v>1</v>
      </c>
      <c r="GY229">
        <f t="shared" si="350"/>
        <v>0</v>
      </c>
    </row>
    <row r="230" spans="1:207" x14ac:dyDescent="0.3">
      <c r="A230" t="s">
        <v>762</v>
      </c>
      <c r="B230">
        <v>14</v>
      </c>
      <c r="C230" t="str">
        <f>IF(BD230="","",IF(BE230="вводной узел","узел ","")&amp;"л."&amp;(INT((BD230-1)/Столбцов_на_лист)+1)&amp;" / "&amp;(MOD(BD230-1,Столбцов_на_лист)+1))</f>
        <v>л.1 / 14</v>
      </c>
      <c r="D230" t="s">
        <v>1548</v>
      </c>
      <c r="E230" s="133" t="s">
        <v>1549</v>
      </c>
      <c r="G230">
        <v>0.23</v>
      </c>
      <c r="H230">
        <v>3</v>
      </c>
      <c r="I230">
        <v>1</v>
      </c>
      <c r="J230">
        <v>230</v>
      </c>
      <c r="K230" t="s">
        <v>566</v>
      </c>
      <c r="O230">
        <v>1</v>
      </c>
      <c r="P230">
        <v>15</v>
      </c>
      <c r="Q230">
        <v>0</v>
      </c>
      <c r="R230">
        <v>15</v>
      </c>
      <c r="S230">
        <v>0</v>
      </c>
      <c r="U230" t="s">
        <v>11</v>
      </c>
      <c r="V230">
        <v>3</v>
      </c>
      <c r="W230">
        <v>2.5</v>
      </c>
      <c r="Z230" t="s">
        <v>565</v>
      </c>
      <c r="AA230" t="s">
        <v>818</v>
      </c>
      <c r="AD230" t="s">
        <v>517</v>
      </c>
      <c r="AR230" t="str">
        <f t="shared" si="264"/>
        <v/>
      </c>
      <c r="AS230" cm="1">
        <f t="array" ref="AS230">ROW()-ROW(Линии[#Headers])</f>
        <v>228</v>
      </c>
      <c r="AT230" t="str">
        <f t="shared" si="265"/>
        <v>R</v>
      </c>
      <c r="AU230" t="str">
        <f t="shared" si="266"/>
        <v>1.002Б.1</v>
      </c>
      <c r="AV230" t="str">
        <f t="shared" si="267"/>
        <v>1</v>
      </c>
      <c r="AW230" t="str">
        <f t="shared" si="268"/>
        <v>002Б.1</v>
      </c>
      <c r="AX230" t="str">
        <f t="shared" si="269"/>
        <v>002Б</v>
      </c>
      <c r="AY230" t="str">
        <f>IF(D230="","",IF(ISERROR(SEARCH(".",D230)),IFERROR(VLOOKUP(D230,Потребители_обозначение,2,FALSE)&amp;"",""),IFERROR(IF(VLOOKUP(AT230,Потребители_обозначение,4,FALSE)=1,VLOOKUP(AT230,Потребители_обозначение,2,FALSE)&amp;" "&amp;VLOOKUP(AV230,Этаж_обозначение,2,FALSE)&amp;" Пом. №"&amp;AX230,VLOOKUP(AT230,Потребители_обозначение,2,FALSE)&amp;" Шлейф №"&amp;AV230),IFERROR(VLOOKUP(D230,Потребители_обозначение,2,FALSE),""))))</f>
        <v>Розеточная группа Первый этаж Пом. №002Б</v>
      </c>
      <c r="AZ230" t="str">
        <f t="shared" si="270"/>
        <v>Розеточная группа Первый этаж Пом. №002Б Ледогенератор</v>
      </c>
      <c r="BA230" t="str">
        <f>IF(F230&lt;&gt;"",F230,IF(AND(D230&lt;&gt;"",D230&lt;&gt;A230,ISNUMBER(_xlfn.XMATCH(D230,Щиты[Щит]))),D230,""))</f>
        <v/>
      </c>
      <c r="BB230">
        <f>IFERROR(_xlfn.XMATCH(A230,Щиты[Щит]),0)</f>
        <v>10</v>
      </c>
      <c r="BC230">
        <f>IFERROR(N(_xlfn.XLOOKUP(A230,Щиты[Щит],Щиты[Мест под вводной узел])),15)</f>
        <v>8</v>
      </c>
      <c r="BD230">
        <f t="shared" si="271"/>
        <v>14</v>
      </c>
      <c r="BE230" t="str">
        <f t="shared" si="272"/>
        <v>линии</v>
      </c>
      <c r="BF230">
        <f>IF(D230="","",IF(BA230&lt;&gt;"",IFERROR(_xlfn.XLOOKUP(BA230,Щиты[Щит],Щиты[Руст, кВт]),0),N(G230)))</f>
        <v>0.23</v>
      </c>
      <c r="BG230">
        <f>IF(J230&lt;&gt;"",J230,IF(D230="","",IFERROR(IF(VLOOKUP(AT230,Потребители_обозначение,8,FALSE)=0,"",VLOOKUP(AT230,Потребители_обозначение,8,FALSE)),"")))</f>
        <v>230</v>
      </c>
      <c r="BH230">
        <f>IF(I230&lt;&gt;"",I230,IF(D230="","",IFERROR(IF(VLOOKUP(AT230,Потребители_обозначение,9,FALSE)=0,"",VLOOKUP(AT230,Потребители_обозначение,9,FALSE)),"")))</f>
        <v>1</v>
      </c>
      <c r="BI230" t="str">
        <f>IF(U230&lt;&gt;"",U230,IF(D230="","",IFERROR(IF(VLOOKUP(AT230,Потребители_обозначение,6,FALSE)=0,"",VLOOKUP(AT230,Потребители_обозначение,6,FALSE)),"")))</f>
        <v>мс</v>
      </c>
      <c r="BJ230">
        <f>IF(V230&lt;&gt;"",V230,IF(D230="","",IFERROR(IF(VLOOKUP(AT230,Потребители_обозначение,7,FALSE)=0,"",VLOOKUP(AT230,Потребители_обозначение,7,FALSE)),"")))</f>
        <v>3</v>
      </c>
      <c r="BK230">
        <f>IF(W230&lt;&gt;"",W230,IF(D230="","",IFERROR(IF(VLOOKUP(AT230,Потребители_обозначение,10,FALSE)=0,"",VLOOKUP(AT230,Потребители_обозначение,10,FALSE)),"")))</f>
        <v>2.5</v>
      </c>
      <c r="BL230">
        <f>IFERROR(VLOOKUP(AT230,Потребители_обозначение,5,FALSE),0)</f>
        <v>1</v>
      </c>
      <c r="BM230" cm="1">
        <f t="array" ref="BM230">IF(D230="","",IF(BA230&lt;&gt;"",IFERROR(_xlfn.XLOOKUP(BA230,Щиты[Щит],Щиты[cos φ]),0.95),IF(ISNUMBER(M230),M230,IFERROR(IF(BL230=2,_xlfn.IFS(BH230=3,VLOOKUP(BF230,Справочная_двигатели,8,FALSE),BH230=1,VLOOKUP(BF230,Справочная_двигатели,10,TRUE)),IF(AND(Методика="нормы 2026",CN230="Сил"),0.8,0.95)),0.95))))</f>
        <v>0.95</v>
      </c>
      <c r="BN230" cm="1">
        <f t="array" ref="BN230">IF(D230="","",IF(BA230&lt;&gt;"",IFERROR(_xlfn.XLOOKUP(BA230,Щиты[Щит],Щиты[Iр, А]),""),IFERROR(_xlfn.IFS(BH230=1,BF230/((Uн_лин/SQRT(3))*BM230),BH230=3,BF230/(SQRT(3)*Uн_лин*BM230)),"")))</f>
        <v>1.0483465414232678</v>
      </c>
      <c r="BO230">
        <f>IF(D230="","",IF(N(X230)=0,IFERROR(VLOOKUP(BN230,Автомат_номиналы,2,TRUE),""),X230))</f>
        <v>6</v>
      </c>
      <c r="BP230">
        <f t="shared" si="273"/>
        <v>1</v>
      </c>
      <c r="BQ230">
        <f>IF(ISNUMBER(Y230),Y230,К_прокл)</f>
        <v>1</v>
      </c>
      <c r="BR230">
        <f t="shared" si="274"/>
        <v>2</v>
      </c>
      <c r="BS230" cm="1">
        <f t="array" ref="BS230">IF(D230="","",IF(N(BK230)&lt;&gt;0,BK230,IFERROR(_xlfn.LET(_xlpm.need,BO230/(BP230*BQ230),_xlpm.t,CHOOSE(BR230,Iдоп_1ж,Iдоп_2ж,Iдоп_3ж),_xlpm.k,_xlfn.XMATCH(_xlpm.need,_xlpm.t,1),IF(ISNA(_xlpm.k),"Не исп",INDEX(Iдоп_S,_xlpm.k))),"Не исп")))</f>
        <v>2.5</v>
      </c>
      <c r="BT230">
        <f>IFERROR(VLOOKUP(BS230,Кабель_сопротивление,3,FALSE),"")</f>
        <v>2.2499999999999999E-2</v>
      </c>
      <c r="BU230">
        <f>IFERROR(VLOOKUP(BS230,Кабель_сопротивление,2,FALSE),"")</f>
        <v>0.1</v>
      </c>
      <c r="BV230">
        <f t="shared" si="275"/>
        <v>15</v>
      </c>
      <c r="BW230">
        <f>IF(D230="","",IFERROR(IF(VLOOKUP(AT230,Потребители_обозначение,4,FALSE)=1,VLOOKUP(AT230,Потребители_обозначение,3,FALSE)*(H230*2-1)+BV230+VLOOKUP(AV230,Этаж_обозначение,3,FALSE)+VLOOKUP(AV230,Этаж_обозначение,4,FALSE),VLOOKUP(AT230,Потребители_обозначение,3,FALSE)*(H230*2-1)+BV230),BV230))</f>
        <v>30</v>
      </c>
      <c r="BX230">
        <f t="shared" si="276"/>
        <v>15</v>
      </c>
      <c r="BY230">
        <f t="shared" si="277"/>
        <v>0</v>
      </c>
      <c r="BZ230">
        <f t="shared" si="278"/>
        <v>2</v>
      </c>
      <c r="CA230">
        <f t="shared" si="279"/>
        <v>0.31</v>
      </c>
      <c r="CB230">
        <f t="shared" si="280"/>
        <v>0.53975170031718356</v>
      </c>
      <c r="CC230">
        <f>IFERROR(ROUNDUP(CB230/((Uн_лин/SQRT(3))*1000)*100,2),"")</f>
        <v>0.24000000000000002</v>
      </c>
      <c r="CD230">
        <f>IF(ISNUMBER(CC230),CC230+IFERROR(_xlfn.XLOOKUP(A230,Щиты[Щит],Щиты[ΔU до шин, %]),0),"")</f>
        <v>1.49</v>
      </c>
      <c r="CE230">
        <f>IF(D230="","",IF(IFERROR(VLOOKUP(AT230,УГО_спр,2,FALSE),"")="Светильник",3,4)+IF(Методика="нормы 2026",MIN(0.5,MAX(0,N(BW230)-100)*0.005),0))</f>
        <v>4</v>
      </c>
      <c r="CF230" t="str">
        <f>IFERROR(VLOOKUP(BI230,Кабель_обозначение,2,FALSE),"")</f>
        <v>ВВГнг(А)-LS</v>
      </c>
      <c r="CG230" t="str">
        <f>IFERROR(IF(VLOOKUP(BI230,Кабель_обозначение,3,FALSE)=1,CF230&amp;" ("&amp;BJ230&amp;"х"&amp;BS230&amp;")",CF230),"")</f>
        <v>ВВГнг(А)-LS (3х2,5)</v>
      </c>
      <c r="CH230" t="str">
        <f t="shared" si="281"/>
        <v>ВВГнг(А)-LS (3х2,5)
L=30-0,24%</v>
      </c>
      <c r="CI230">
        <f>IFERROR(2*ρкз_Cu*BW230/BS230,"")</f>
        <v>0.63119999999999998</v>
      </c>
      <c r="CJ230">
        <f t="shared" si="282"/>
        <v>0.21000000000000002</v>
      </c>
      <c r="CK230" t="str">
        <f>IFERROR(IF(OR(D230="",NOT(ISNUMBER(BS230)),N(BW230)=0),"",_xlfn.XLOOKUP(A230,Щиты[Щит],Щиты[Zпетли на шинах, Ом])+CI230),"")</f>
        <v/>
      </c>
      <c r="CL230" t="str">
        <f>IF(ISNUMBER(CK230),c_min*(Uн_лин*1000/SQRT(3))/CK230,"")</f>
        <v/>
      </c>
      <c r="CM230" t="str">
        <f>IFERROR(IF(OR(D230="",NOT(ISNUMBER(BS230))),"",1.05*(Uн_лин*1000/SQRT(3))/(_xlfn.XLOOKUP(A230,Щиты[Щит],Щиты[Zmax на шинах, Ом])+CJ230)/1000),"")</f>
        <v/>
      </c>
      <c r="CN230" t="str">
        <f>IF(D230="","",IF(BA230&lt;&gt;"","Щит",IF(K230&lt;&gt;"",K230,IF(ISNUMBER(L230),"Сил",IF(IFERROR(_xlfn.XLOOKUP(AT230,Коды_код,Коды_группа)&amp;"","")="","Быт",_xlfn.XLOOKUP(AT230,Коды_код,Коды_группа)&amp;"")))))</f>
        <v>Быт</v>
      </c>
      <c r="CO230">
        <f>IF(CN230="Щит","щит",IF(CN230="","",IF(CN230="Быт",IFERROR(_xlfn.XLOOKUP(A230,Щиты[Щит],Щиты[Кс быт]),1),IF(CN230="Сил",IF(ISNUMBER(L230),L230,IF(Методика="нормы 2026",IFERROR(_xlfn.XLOOKUP(A230,Щиты[Щит],Щиты[Кс силовых (табл. 7.5)]),1),1)),IF(OR(CN230="Пост",CN230="Отоп"),1,IF(CN230="ВНГ",0.7,0))))))</f>
        <v>0.57830000000000004</v>
      </c>
      <c r="CP230">
        <f t="shared" si="283"/>
        <v>1</v>
      </c>
      <c r="CQ230">
        <f t="shared" si="284"/>
        <v>0.23</v>
      </c>
      <c r="CR230">
        <f t="shared" si="285"/>
        <v>0.23</v>
      </c>
      <c r="CS230">
        <f t="shared" si="286"/>
        <v>0</v>
      </c>
      <c r="CT230">
        <f t="shared" si="287"/>
        <v>0</v>
      </c>
      <c r="CU230">
        <f t="shared" si="288"/>
        <v>0</v>
      </c>
      <c r="CV230">
        <f t="shared" si="289"/>
        <v>0</v>
      </c>
      <c r="CW230">
        <f t="shared" si="290"/>
        <v>0.23</v>
      </c>
      <c r="CX230">
        <f t="shared" si="291"/>
        <v>0.2185</v>
      </c>
      <c r="CY230">
        <f t="shared" si="292"/>
        <v>3</v>
      </c>
      <c r="CZ230" t="str">
        <f t="shared" si="293"/>
        <v>L3</v>
      </c>
      <c r="DA230" cm="1">
        <f t="array" ref="DA230">IFERROR(IF(BL230=2,_xlfn.IFS(BH230=3,VLOOKUP(BF230,Справочная_двигатели,3,FALSE),BH230=1,VLOOKUP(BF230,Справочная_двигатели,5,TRUE)),0),0)</f>
        <v>0</v>
      </c>
      <c r="DB230">
        <f>IFERROR(IF(BL230=3,VLOOKUP(BF230,Справочная_ЛЭД,2,TRUE),0),0)</f>
        <v>0</v>
      </c>
      <c r="DC230">
        <f t="shared" si="294"/>
        <v>0</v>
      </c>
      <c r="DD230" t="str">
        <f t="shared" si="295"/>
        <v>L1</v>
      </c>
      <c r="DE230" t="str" cm="1">
        <f t="array" ref="DE230">IF(D230="","",IFERROR(INDEX({"I особая","I","II","III"},MATCH(TRIM(AA230&amp;""),{"I особая","I","II","III"},0)),"III"))</f>
        <v>II</v>
      </c>
      <c r="DF230" t="str">
        <f>IF(D230="","",IF(TRIM(AB230&amp;"")&lt;&gt;"",IF(LOWER(TRIM(AB230&amp;""))="да","да","нет"),IF(IFERROR(_xlfn.XLOOKUP(AT230,Коды_код,Коды_пожарная),"")="да","да","нет")))</f>
        <v>нет</v>
      </c>
      <c r="DG230" t="str">
        <f t="shared" si="296"/>
        <v/>
      </c>
      <c r="DH230" t="str">
        <f t="shared" si="297"/>
        <v>основная</v>
      </c>
      <c r="DI230">
        <f t="shared" si="298"/>
        <v>1</v>
      </c>
      <c r="DJ230" t="str" cm="1">
        <f t="array" ref="DJ230">IF(D230="","",_xlfn.LET(_xlpm.t,IFERROR(_xlfn.XLOOKUP(1,(Шины[Шина]=DH230)*(((Шины[Щит]=A230)+(Шины[Щит]=""))&gt;0),Шины[Тип]),"")&amp;"",IF(_xlpm.t&lt;&gt;"",_xlpm.t,IF(ISNUMBER(SEARCH("ИБП",DH230)),"ИБП",IF(ISNUMBER(SEARCH("ДГУ",DH230)),"ДГУ","Ввод "&amp;DI230)))))</f>
        <v>Ввод 1</v>
      </c>
      <c r="DK230" t="str">
        <f t="shared" si="299"/>
        <v>Ввод 1</v>
      </c>
      <c r="DL230" t="str">
        <f>IF(D230="","",IF(OR(DJ230="ИБП",DJ230="ДГУ"),"I особая",IF(DJ230="Одиночная","III",_xlfn.XLOOKUP(A230,Щиты[Щит],Щиты[Категория шины «Ввод»],"III"))))</f>
        <v>II</v>
      </c>
      <c r="DM230">
        <f>IF(D230="",0,IFERROR(MATCH(DE230,{"III","II","I","I особая"},0),1))</f>
        <v>2</v>
      </c>
      <c r="DN230">
        <f t="shared" si="300"/>
        <v>2</v>
      </c>
      <c r="DO230" t="str">
        <f>IF(D230="","",IF(DM230&gt;IFERROR(MATCH(DL230,{"III","II","I","I особая"},0),1),"НЕ ОБЕСПЕЧЕНА","ОК"))</f>
        <v>ОК</v>
      </c>
      <c r="DP230" t="str">
        <f>IF(A230="","",_xlfn.XLOOKUP(A230,Щиты[Щит],Щиты[Путь],""))</f>
        <v>|ГРЩ-ЖД|ЩР-1|</v>
      </c>
      <c r="DQ230" t="str">
        <f>IF(D230="","",IF(Z230&lt;&gt;"",Z230,IF(IFERROR(_xlfn.XLOOKUP(AT230,Коды_код,Коды_вид)&amp;"","")="","Прочее",_xlfn.XLOOKUP(AT230,Коды_код,Коды_вид)&amp;"")))</f>
        <v>Розеточная сеть и бытовые приборы</v>
      </c>
      <c r="DR230">
        <f>IF(BD230="","",INT((BD230-1)/Столбцов_на_лист)+1)</f>
        <v>1</v>
      </c>
      <c r="DS230" t="str">
        <f t="shared" si="301"/>
        <v>ВВГнг(А)-LS (3х2,5) L=30-0,24%</v>
      </c>
      <c r="DT230">
        <f t="shared" si="302"/>
        <v>0.23</v>
      </c>
      <c r="DU230">
        <f t="shared" si="303"/>
        <v>1.05</v>
      </c>
      <c r="DV230">
        <f t="shared" si="304"/>
        <v>1</v>
      </c>
      <c r="DW230">
        <f>IF(AT230="",0,_xlfn.LET(_xlpm.v,IFERROR(VLOOKUP(D230,УГО_спр,3,FALSE),IFERROR(VLOOKUP(AT230,УГО_спр,3,FALSE),IFERROR(VLOOKUP(LEFT(AT230,2),УГО_спр,3,FALSE),""))),IF(_xlpm.v="да",30,IF(ISNUMBER(_xlpm.v),_xlpm.v,0))))</f>
        <v>30</v>
      </c>
      <c r="DX230">
        <f t="shared" si="305"/>
        <v>0</v>
      </c>
      <c r="DY230">
        <f>IF(BD230="","",IF(AD230&lt;&gt;"",COUNTIFS(A$3:A230,A230,AD$3:AD230,"?*"),IF(OR(OR(AS230=1,A230&lt;&gt;A229),AL230="вручную"),"",IF(AS230=1,"",DZ229))))</f>
        <v>6</v>
      </c>
      <c r="DZ230">
        <f t="shared" si="306"/>
        <v>6</v>
      </c>
      <c r="EA230">
        <f>IF(D230="",0,MAX(IFERROR(--X230,0),IFERROR(--VLOOKUP(D230,УГО_спр,4,FALSE),IFERROR(--VLOOKUP(AT230,УГО_спр,4,FALSE),IFERROR(--VLOOKUP(LEFT(AT230,2),УГО_спр,4,FALSE),0)))))</f>
        <v>16</v>
      </c>
      <c r="EB230">
        <f>IF(D230="","",IFERROR(LOOKUP(INDEX(CHOOSE(BR230,Iдоп_1ж,Iдоп_2ж,Iдоп_3ж),MATCH(BS230,Iдоп_S,0))*BP230*BQ230,{6,10,16,20,25,32,40,50,63,80,100,125,160,200,250,315,400,500,630}),""))</f>
        <v>25</v>
      </c>
      <c r="EC230">
        <f>IF(AD230="","",SUMIFS(Линии[_Ток схемы],Линии[_гр.],DY230,Линии[Щит],A230,Линии[_в кабель выше],0))</f>
        <v>1.05</v>
      </c>
      <c r="ED230">
        <f>IF(AD230="","",IFERROR(VLOOKUP(EC230,Автомат_номиналы,2,TRUE),""))</f>
        <v>6</v>
      </c>
      <c r="EE230">
        <f>IF(AD230="","",MAX(N(ED230),_xlfn.MAXIFS(Линии[_мин. по типу],Линии[_гр.],DY230,Линии[Щит],A230)))</f>
        <v>16</v>
      </c>
      <c r="EF230">
        <f>IF(AD230="","",_xlfn.MINIFS(Линии[_макс. автомат по кабелю],Линии[_гр.],DY230,Линии[Щит],A230))</f>
        <v>25</v>
      </c>
      <c r="EG230">
        <f>IF(AD230="","",MAX(1,_xlfn.MAXIFS(Линии[_фаз],Линии[_гр.],DY230,Линии[Щит],A230)))</f>
        <v>1</v>
      </c>
      <c r="EH230">
        <f>IF(AD230="","",IF(AND(AD230&lt;&gt;"авто",AD230&lt;&gt;"+"),IF(ISNUMBER(SEARCH("мА",AD230)),IFERROR(--TRIM(RIGHT(SUBSTITUTE(LEFT(AD230,SEARCH("мА",AD230)-1)," ",REPT(" ",9)),6)),30),0),IF(AE230="нет",0,IF(ISNUMBER(AE230),AE230,IF(AE230="да",30,_xlfn.MINIFS(Линии[_дифзащита по коду, мА],Линии[_гр.],DY230,Линии[Щит],A230,Линии[_дифзащита по коду, мА],"&gt;0"))))))</f>
        <v>30</v>
      </c>
      <c r="EI230">
        <f t="shared" si="307"/>
        <v>1</v>
      </c>
      <c r="EJ230" t="str">
        <f t="shared" si="308"/>
        <v>QFD6</v>
      </c>
      <c r="EK230" t="str">
        <f t="shared" si="309"/>
        <v>QFD6</v>
      </c>
      <c r="EL230" t="str">
        <f t="shared" si="310"/>
        <v/>
      </c>
      <c r="EM230">
        <f t="shared" si="311"/>
        <v>0</v>
      </c>
      <c r="EN230">
        <f>IF(AD230="","",IF(EM230=1,MAX(EE230,Мин_автомат_БП),EE230))</f>
        <v>16</v>
      </c>
      <c r="EO230" t="str">
        <f t="shared" si="312"/>
        <v>2P</v>
      </c>
      <c r="EP230" t="str">
        <f t="shared" si="313"/>
        <v>2P С16А 30мА</v>
      </c>
      <c r="EQ230">
        <f t="shared" si="314"/>
        <v>16</v>
      </c>
      <c r="ER230" t="str">
        <f>IF(OR(AI230="",AI230="-"),"",IFERROR(VLOOKUP(AI230,Модули_спр,2,FALSE),"R"))</f>
        <v/>
      </c>
      <c r="ES230" t="str">
        <f>IF(ER230="","",ER230&amp;"."&amp;COUNTIFS(A$3:A230,A230,ER$3:ER230,ER230))</f>
        <v/>
      </c>
      <c r="ET230" t="str">
        <f t="shared" si="315"/>
        <v/>
      </c>
      <c r="EU230" t="str">
        <f t="shared" si="316"/>
        <v/>
      </c>
      <c r="EV230" t="str">
        <f t="shared" si="317"/>
        <v/>
      </c>
      <c r="EW230" t="str">
        <f t="shared" si="318"/>
        <v/>
      </c>
      <c r="EX230">
        <f t="shared" si="319"/>
        <v>1</v>
      </c>
      <c r="EY230" t="str">
        <f>IF(AK230="нет","",IF(AK230&lt;&gt;"",AK230,IF(EX230=1,"XT"&amp;COUNTIFS(A$3:A230,A230,EX$3:EX230,1),"")))</f>
        <v>XT6</v>
      </c>
      <c r="EZ230" t="str">
        <f t="shared" si="320"/>
        <v>QFD6</v>
      </c>
      <c r="FA230" t="str">
        <f t="shared" si="321"/>
        <v/>
      </c>
      <c r="FB230" t="str">
        <f t="shared" si="322"/>
        <v>ok</v>
      </c>
      <c r="FC230" t="str">
        <f>IF(OR(EV230="",ET230=""),"",IF(EV230&gt;IFERROR(VLOOKUP(EU230,Модули_спр,3,FALSE),99),"ЛИШНИЙ КАНАЛ",IF(AND(AJ230&lt;&gt;"=",COUNTIFS(Линии[_модуль гр.],ET230,Линии[Канал (итог)],EV230,Линии[Канал],"&lt;&gt;=",Линии[Щит],A230)&gt;1),"ДУБЛЬ КАНАЛА","")))</f>
        <v/>
      </c>
      <c r="FD230">
        <f t="shared" si="323"/>
        <v>16</v>
      </c>
      <c r="FE230" t="str">
        <f t="shared" si="324"/>
        <v>2P С16А 30мА</v>
      </c>
      <c r="FF230">
        <f t="shared" si="325"/>
        <v>1</v>
      </c>
      <c r="FG230">
        <f t="shared" si="326"/>
        <v>30</v>
      </c>
      <c r="FH230" t="str">
        <f t="shared" si="327"/>
        <v/>
      </c>
      <c r="FI230">
        <f t="shared" si="328"/>
        <v>10</v>
      </c>
      <c r="FJ230" t="str">
        <f t="shared" si="329"/>
        <v/>
      </c>
      <c r="FK230" t="str">
        <f>IF(AND(D230="",EZ230=""),"",_xlfn.TEXTJOIN("; ",TRUE,IF(AND(D230&lt;&gt;"",DD230=""),"нет фазы",""),IF(AND(D230&lt;&gt;"",N(DT230)=0,CN230&lt;&gt;"Нет"),"нет мощности",""),IF(AND(EY230&lt;&gt;"",COUNTIFS(Линии[Щит],A230,Линии[Клемма (итог)],EY230)&gt;1),"дубль клеммы "&amp;EY230,""),IF(AND(FB230&lt;&gt;"",FB230&lt;&gt;"ok"),FB230,""),IF(FC230&lt;&gt;"",FC230,""),IF(AND(ISNUMBER(SEARCH("(5х",DS230)),N(DV230)=1),"5 жил на 1 фазе",""),IF(AND(AT230="R",AD230&lt;&gt;"",OR(N(EH230)=0,N(EH230)&gt;30)),"розетка без дифзащиты до 30 мА",""),IFERROR(IF(AND(ISNUMBER(CD230),CD230&gt;CE230),"потери "&amp;FIXED(CD230,1)&amp;" % &gt; "&amp;CE230&amp;" %",""),""),IFERROR(IF(LEFT(FJ230,4)="мало","Iкз мало — отключение &gt; 0,4 с",""),""),IF(AND(D230&lt;&gt;"",BD230=""),"не на схеме","")))</f>
        <v/>
      </c>
      <c r="FL230">
        <f>IF(AD230="","",_xlfn.LET(_xlpm.t,IFERROR(_xlfn.XLOOKUP(EP230,Каталог!$U$4:$U$500,Каталог!$G$4:$G$500),""),_xlpm.k,SEARCH("кА",_xlpm.t),IFERROR(--TRIM(RIGHT(SUBSTITUTE(MID(_xlpm.t,MAX(1,_xlpm.k-4),_xlpm.k-MAX(1,_xlpm.k-4))," ",REPT(" ",9)),5)),"")))</f>
        <v>6</v>
      </c>
      <c r="FM230" t="str">
        <f>IF(OR(FL230="",AD230=""),"",IF(_xlfn.XLOOKUP(A230,Щиты[Щит],Щиты[Iкз max на шинах, кА],"")="","",IF(FL230&lt;_xlfn.XLOOKUP(A230,Щиты[Щит],Щиты[Iкз max на шинах, кА]),"Icu "&amp;FL230&amp;" кА &lt; Iкз max","ok")))</f>
        <v/>
      </c>
      <c r="FN230" t="str">
        <f t="shared" si="330"/>
        <v>QFD6|XT6</v>
      </c>
      <c r="FO230" t="str">
        <f t="shared" si="331"/>
        <v>QFD6|XT6|кабель ВВГнг(А)-LS (3х2,5) → Розеточная группа Первый этаж Пом. №002Б Ледогенератор</v>
      </c>
      <c r="FP230" t="str" cm="1">
        <f t="array" ref="FP230">IF(FO230="","",_xlfn.LET(_xlpm.nd,_xlfn.TEXTSPLIT(FO230,"|"),IF(COLUMNS(_xlpm.nd)&gt;1,A230&amp;"¦"&amp;INDEX(_xlpm.nd,1)&amp;"¦"&amp;INDEX(_xlpm.nd,2),"")))</f>
        <v>ЩР-1¦QFD6¦XT6</v>
      </c>
      <c r="FQ230" t="str">
        <f t="shared" si="332"/>
        <v>R.1.002Б.1¦Розеточная группа Первый этаж Пом. №002Б Ледогенератор</v>
      </c>
      <c r="FR230" t="str" cm="1">
        <f t="array" ref="FR230">IF(FO230="","",_xlfn.LET(_xlpm.nd,_xlfn.TEXTSPLIT(FO230,"|"),IF(COLUMNS(_xlpm.nd)&gt;2,A230&amp;"¦"&amp;INDEX(_xlpm.nd,2)&amp;"¦"&amp;INDEX(_xlpm.nd,3),"")))</f>
        <v>ЩР-1¦XT6¦кабель ВВГнг(А)-LS (3х2,5) → Розеточная группа Первый этаж Пом. №002Б Ледогенератор</v>
      </c>
      <c r="FS230" t="str">
        <f t="shared" si="333"/>
        <v>R.1.002Б.1¦Розеточная группа Первый этаж Пом. №002Б Ледогенератор</v>
      </c>
      <c r="FT230" t="str" cm="1">
        <f t="array" ref="FT230">IF(FO230="","",_xlfn.LET(_xlpm.nd,_xlfn.TEXTSPLIT(FO230,"|"),IF(COLUMNS(_xlpm.nd)&gt;3,A230&amp;"¦"&amp;INDEX(_xlpm.nd,3)&amp;"¦"&amp;INDEX(_xlpm.nd,4),"")))</f>
        <v/>
      </c>
      <c r="FU230" t="str">
        <f t="shared" si="334"/>
        <v/>
      </c>
      <c r="FV230" t="str" cm="1">
        <f t="array" ref="FV230">IF(FO230="","",_xlfn.LET(_xlpm.nd,_xlfn.TEXTSPLIT(FO230,"|"),IF(COLUMNS(_xlpm.nd)&gt;4,A230&amp;"¦"&amp;INDEX(_xlpm.nd,4)&amp;"¦"&amp;INDEX(_xlpm.nd,5),"")))</f>
        <v/>
      </c>
      <c r="FW230" t="str">
        <f t="shared" si="335"/>
        <v/>
      </c>
      <c r="FX230" t="str" cm="1">
        <f t="array" ref="FX230">IF(FO230="","",_xlfn.LET(_xlpm.nd,_xlfn.TEXTSPLIT(FO230,"|"),IF(COLUMNS(_xlpm.nd)&gt;5,A230&amp;"¦"&amp;INDEX(_xlpm.nd,5)&amp;"¦"&amp;INDEX(_xlpm.nd,6),"")))</f>
        <v/>
      </c>
      <c r="FY230" t="str">
        <f t="shared" si="336"/>
        <v/>
      </c>
      <c r="FZ230" t="str" cm="1">
        <f t="array" ref="FZ230">IF(FO230="","",_xlfn.LET(_xlpm.nd,_xlfn.TEXTSPLIT(FO230,"|"),IF(COLUMNS(_xlpm.nd)&gt;6,A230&amp;"¦"&amp;INDEX(_xlpm.nd,6)&amp;"¦"&amp;INDEX(_xlpm.nd,7),"")))</f>
        <v/>
      </c>
      <c r="GA230" t="str">
        <f t="shared" si="337"/>
        <v/>
      </c>
      <c r="GB230" t="str">
        <f t="shared" si="338"/>
        <v/>
      </c>
      <c r="GC230" t="str">
        <f t="shared" si="339"/>
        <v>QFD6 → XT6</v>
      </c>
      <c r="GD230">
        <f t="shared" si="340"/>
        <v>1</v>
      </c>
      <c r="GE230">
        <f t="shared" si="341"/>
        <v>0</v>
      </c>
      <c r="GF230">
        <f t="shared" si="342"/>
        <v>1</v>
      </c>
      <c r="GG230" t="str">
        <f t="shared" si="343"/>
        <v/>
      </c>
      <c r="GH230" t="str">
        <f t="shared" si="344"/>
        <v/>
      </c>
      <c r="GI230" t="str">
        <f t="shared" si="345"/>
        <v/>
      </c>
      <c r="GJ230" t="str">
        <f t="shared" si="346"/>
        <v/>
      </c>
      <c r="GK230" t="str">
        <f>IF(D230="","",IFERROR(VLOOKUP(D230,УГО_спр,2,FALSE),IFERROR(VLOOKUP(AT230,УГО_спр,2,FALSE),IFERROR(VLOOKUP(LEFT(AT230,2),УГО_спр,2,FALSE),""))))</f>
        <v>Розетка</v>
      </c>
      <c r="GL230" t="str">
        <f>IF(D230="","",IF(OR(GK230="",GK230=0),"BOX",IFERROR(IF(VLOOKUP(GK230,УГО_блоки,3,FALSE)&amp;""&lt;&gt;"",VLOOKUP(GK230,УГО_блоки,3,FALSE),VLOOKUP(GK230,УГО_блоки,2,FALSE)),GK230)))</f>
        <v>SOCKET</v>
      </c>
      <c r="GM230">
        <f t="shared" si="347"/>
        <v>1</v>
      </c>
      <c r="GN230" t="str">
        <f>IF(EP230="","",IF(COUNTIF(EP$3:EP230,EP230)=1,MAX(GN$2:GN229)+1,""))</f>
        <v/>
      </c>
      <c r="GO230" t="str">
        <f>IF(AF230="","",IF(COUNTIF(AF$3:AF230,AF230)+COUNTIF(AG$2:AG229,AF230)+COUNTIF(AH$2:AH229,AF230)=1,MAX(GO$2:GQ229)+1,""))</f>
        <v/>
      </c>
      <c r="GP230" t="str">
        <f>IF(AG230="","",IF(COUNTIF(AF$3:AF230,AG230)+COUNTIF(AG$3:AG230,AG230)+COUNTIF(AH$2:AH229,AG230)=1,MAX(GO$2:GQ229,GO230)+1,""))</f>
        <v/>
      </c>
      <c r="GQ230" t="str">
        <f>IF(AH230="","",IF(COUNTIF(AF$3:AF230,AH230)+COUNTIF(AG$3:AG230,AH230)+COUNTIF(AH$3:AH230,AH230)=1,MAX(GO$2:GQ229,GO230,GP230)+1,""))</f>
        <v/>
      </c>
      <c r="GR230" t="str">
        <f t="shared" si="348"/>
        <v>3х2,5</v>
      </c>
      <c r="GS230" t="str">
        <f>IF(GR230="","",IF(COUNTIF(GR$3:GR230,GR230)=1,MAX(GS$2:GS229)+1,""))</f>
        <v/>
      </c>
      <c r="GT230" t="str">
        <f>IF(ES230="","",COUNTIF(ES$3:ES230,"?*"))</f>
        <v/>
      </c>
      <c r="GU230" t="str">
        <f>IF(OR(ES230="",EU230=""),"",IF(COUNTIFS(ES$3:ES230,"?*",EU$3:EU230,EU230)=1,MAX(GU$2:GU229)+1,""))</f>
        <v/>
      </c>
      <c r="GV230">
        <f t="shared" si="349"/>
        <v>0</v>
      </c>
      <c r="GW230">
        <f>IF(D230="","",COUNTIF(D$3:D230,"?*"))</f>
        <v>228</v>
      </c>
      <c r="GX230">
        <f>IF(EX230&lt;&gt;1,0,_xlfn.LET(_xlpm.k,MAX(IFERROR(--VLOOKUP(D230,УГО_спр,5,FALSE),0),IFERROR(--VLOOKUP(AT230,УГО_спр,5,FALSE),0),IFERROR(--VLOOKUP(LEFT(AT230,2),УГО_спр,5,FALSE),0)),IF(_xlpm.k&gt;0,_xlpm.k,IF(IFERROR(--LEFT(SUBSTITUTE(GR230,"x","х"),FIND("х",SUBSTITUTE(GR230,"x","х"))-1),3)&gt;3,Каталог!$S$9,1))))</f>
        <v>1</v>
      </c>
      <c r="GY230">
        <f t="shared" si="350"/>
        <v>0</v>
      </c>
    </row>
    <row r="231" spans="1:207" x14ac:dyDescent="0.3">
      <c r="A231" t="s">
        <v>762</v>
      </c>
      <c r="B231">
        <v>15</v>
      </c>
      <c r="C231" t="str">
        <f>IF(BD231="","",IF(BE231="вводной узел","узел ","")&amp;"л."&amp;(INT((BD231-1)/Столбцов_на_лист)+1)&amp;" / "&amp;(MOD(BD231-1,Столбцов_на_лист)+1))</f>
        <v>л.1 / 15</v>
      </c>
      <c r="D231" t="s">
        <v>1550</v>
      </c>
      <c r="E231" s="133" t="str">
        <f t="shared" si="351"/>
        <v>Розеточная группа Первый этаж Пом. №002Б</v>
      </c>
      <c r="G231">
        <v>0.18</v>
      </c>
      <c r="H231">
        <v>3</v>
      </c>
      <c r="I231">
        <v>1</v>
      </c>
      <c r="J231">
        <v>230</v>
      </c>
      <c r="K231" t="s">
        <v>566</v>
      </c>
      <c r="O231">
        <v>2</v>
      </c>
      <c r="P231">
        <v>14</v>
      </c>
      <c r="R231">
        <v>14</v>
      </c>
      <c r="S231">
        <v>0</v>
      </c>
      <c r="U231" t="s">
        <v>11</v>
      </c>
      <c r="V231">
        <v>3</v>
      </c>
      <c r="W231">
        <v>2.5</v>
      </c>
      <c r="Z231" t="s">
        <v>565</v>
      </c>
      <c r="AA231" t="s">
        <v>818</v>
      </c>
      <c r="AD231" t="s">
        <v>517</v>
      </c>
      <c r="AR231" t="str">
        <f t="shared" si="264"/>
        <v/>
      </c>
      <c r="AS231" cm="1">
        <f t="array" ref="AS231">ROW()-ROW(Линии[#Headers])</f>
        <v>229</v>
      </c>
      <c r="AT231" t="str">
        <f t="shared" si="265"/>
        <v>R</v>
      </c>
      <c r="AU231" t="str">
        <f t="shared" si="266"/>
        <v>1.002Б.2</v>
      </c>
      <c r="AV231" t="str">
        <f t="shared" si="267"/>
        <v>1</v>
      </c>
      <c r="AW231" t="str">
        <f t="shared" si="268"/>
        <v>002Б.2</v>
      </c>
      <c r="AX231" t="str">
        <f t="shared" si="269"/>
        <v>002Б</v>
      </c>
      <c r="AY231" t="str">
        <f>IF(D231="","",IF(ISERROR(SEARCH(".",D231)),IFERROR(VLOOKUP(D231,Потребители_обозначение,2,FALSE)&amp;"",""),IFERROR(IF(VLOOKUP(AT231,Потребители_обозначение,4,FALSE)=1,VLOOKUP(AT231,Потребители_обозначение,2,FALSE)&amp;" "&amp;VLOOKUP(AV231,Этаж_обозначение,2,FALSE)&amp;" Пом. №"&amp;AX231,VLOOKUP(AT231,Потребители_обозначение,2,FALSE)&amp;" Шлейф №"&amp;AV231),IFERROR(VLOOKUP(D231,Потребители_обозначение,2,FALSE),""))))</f>
        <v>Розеточная группа Первый этаж Пом. №002Б</v>
      </c>
      <c r="AZ231" t="str">
        <f t="shared" si="270"/>
        <v>Розеточная группа Первый этаж Пом. №002Б</v>
      </c>
      <c r="BA231" t="str">
        <f>IF(F231&lt;&gt;"",F231,IF(AND(D231&lt;&gt;"",D231&lt;&gt;A231,ISNUMBER(_xlfn.XMATCH(D231,Щиты[Щит]))),D231,""))</f>
        <v/>
      </c>
      <c r="BB231">
        <f>IFERROR(_xlfn.XMATCH(A231,Щиты[Щит]),0)</f>
        <v>10</v>
      </c>
      <c r="BC231">
        <f>IFERROR(N(_xlfn.XLOOKUP(A231,Щиты[Щит],Щиты[Мест под вводной узел])),15)</f>
        <v>8</v>
      </c>
      <c r="BD231">
        <f t="shared" si="271"/>
        <v>15</v>
      </c>
      <c r="BE231" t="str">
        <f t="shared" si="272"/>
        <v>линии</v>
      </c>
      <c r="BF231">
        <f>IF(D231="","",IF(BA231&lt;&gt;"",IFERROR(_xlfn.XLOOKUP(BA231,Щиты[Щит],Щиты[Руст, кВт]),0),N(G231)))</f>
        <v>0.18</v>
      </c>
      <c r="BG231">
        <f>IF(J231&lt;&gt;"",J231,IF(D231="","",IFERROR(IF(VLOOKUP(AT231,Потребители_обозначение,8,FALSE)=0,"",VLOOKUP(AT231,Потребители_обозначение,8,FALSE)),"")))</f>
        <v>230</v>
      </c>
      <c r="BH231">
        <f>IF(I231&lt;&gt;"",I231,IF(D231="","",IFERROR(IF(VLOOKUP(AT231,Потребители_обозначение,9,FALSE)=0,"",VLOOKUP(AT231,Потребители_обозначение,9,FALSE)),"")))</f>
        <v>1</v>
      </c>
      <c r="BI231" t="str">
        <f>IF(U231&lt;&gt;"",U231,IF(D231="","",IFERROR(IF(VLOOKUP(AT231,Потребители_обозначение,6,FALSE)=0,"",VLOOKUP(AT231,Потребители_обозначение,6,FALSE)),"")))</f>
        <v>мс</v>
      </c>
      <c r="BJ231">
        <f>IF(V231&lt;&gt;"",V231,IF(D231="","",IFERROR(IF(VLOOKUP(AT231,Потребители_обозначение,7,FALSE)=0,"",VLOOKUP(AT231,Потребители_обозначение,7,FALSE)),"")))</f>
        <v>3</v>
      </c>
      <c r="BK231">
        <f>IF(W231&lt;&gt;"",W231,IF(D231="","",IFERROR(IF(VLOOKUP(AT231,Потребители_обозначение,10,FALSE)=0,"",VLOOKUP(AT231,Потребители_обозначение,10,FALSE)),"")))</f>
        <v>2.5</v>
      </c>
      <c r="BL231">
        <f>IFERROR(VLOOKUP(AT231,Потребители_обозначение,5,FALSE),0)</f>
        <v>1</v>
      </c>
      <c r="BM231" cm="1">
        <f t="array" ref="BM231">IF(D231="","",IF(BA231&lt;&gt;"",IFERROR(_xlfn.XLOOKUP(BA231,Щиты[Щит],Щиты[cos φ]),0.95),IF(ISNUMBER(M231),M231,IFERROR(IF(BL231=2,_xlfn.IFS(BH231=3,VLOOKUP(BF231,Справочная_двигатели,8,FALSE),BH231=1,VLOOKUP(BF231,Справочная_двигатели,10,TRUE)),IF(AND(Методика="нормы 2026",CN231="Сил"),0.8,0.95)),0.95))))</f>
        <v>0.95</v>
      </c>
      <c r="BN231" cm="1">
        <f t="array" ref="BN231">IF(D231="","",IF(BA231&lt;&gt;"",IFERROR(_xlfn.XLOOKUP(BA231,Щиты[Щит],Щиты[Iр, А]),""),IFERROR(_xlfn.IFS(BH231=1,BF231/((Uн_лин/SQRT(3))*BM231),BH231=3,BF231/(SQRT(3)*Uн_лин*BM231)),"")))</f>
        <v>0.8204451193747313</v>
      </c>
      <c r="BO231">
        <f>IF(D231="","",IF(N(X231)=0,IFERROR(VLOOKUP(BN231,Автомат_номиналы,2,TRUE),""),X231))</f>
        <v>6</v>
      </c>
      <c r="BP231">
        <f t="shared" si="273"/>
        <v>1</v>
      </c>
      <c r="BQ231">
        <f>IF(ISNUMBER(Y231),Y231,К_прокл)</f>
        <v>1</v>
      </c>
      <c r="BR231">
        <f t="shared" si="274"/>
        <v>2</v>
      </c>
      <c r="BS231" cm="1">
        <f t="array" ref="BS231">IF(D231="","",IF(N(BK231)&lt;&gt;0,BK231,IFERROR(_xlfn.LET(_xlpm.need,BO231/(BP231*BQ231),_xlpm.t,CHOOSE(BR231,Iдоп_1ж,Iдоп_2ж,Iдоп_3ж),_xlpm.k,_xlfn.XMATCH(_xlpm.need,_xlpm.t,1),IF(ISNA(_xlpm.k),"Не исп",INDEX(Iдоп_S,_xlpm.k))),"Не исп")))</f>
        <v>2.5</v>
      </c>
      <c r="BT231">
        <f>IFERROR(VLOOKUP(BS231,Кабель_сопротивление,3,FALSE),"")</f>
        <v>2.2499999999999999E-2</v>
      </c>
      <c r="BU231">
        <f>IFERROR(VLOOKUP(BS231,Кабель_сопротивление,2,FALSE),"")</f>
        <v>0.1</v>
      </c>
      <c r="BV231">
        <f t="shared" si="275"/>
        <v>14</v>
      </c>
      <c r="BW231">
        <f>IF(D231="","",IFERROR(IF(VLOOKUP(AT231,Потребители_обозначение,4,FALSE)=1,VLOOKUP(AT231,Потребители_обозначение,3,FALSE)*(H231*2-1)+BV231+VLOOKUP(AV231,Этаж_обозначение,3,FALSE)+VLOOKUP(AV231,Этаж_обозначение,4,FALSE),VLOOKUP(AT231,Потребители_обозначение,3,FALSE)*(H231*2-1)+BV231),BV231))</f>
        <v>29</v>
      </c>
      <c r="BX231">
        <f t="shared" si="276"/>
        <v>14</v>
      </c>
      <c r="BY231">
        <f t="shared" si="277"/>
        <v>0</v>
      </c>
      <c r="BZ231">
        <f t="shared" si="278"/>
        <v>2</v>
      </c>
      <c r="CA231">
        <f t="shared" si="279"/>
        <v>0.31</v>
      </c>
      <c r="CB231">
        <f t="shared" si="280"/>
        <v>0.40833389502256506</v>
      </c>
      <c r="CC231">
        <f>IFERROR(ROUNDUP(CB231/((Uн_лин/SQRT(3))*1000)*100,2),"")</f>
        <v>0.18000000000000002</v>
      </c>
      <c r="CD231">
        <f>IF(ISNUMBER(CC231),CC231+IFERROR(_xlfn.XLOOKUP(A231,Щиты[Щит],Щиты[ΔU до шин, %]),0),"")</f>
        <v>1.43</v>
      </c>
      <c r="CE231">
        <f>IF(D231="","",IF(IFERROR(VLOOKUP(AT231,УГО_спр,2,FALSE),"")="Светильник",3,4)+IF(Методика="нормы 2026",MIN(0.5,MAX(0,N(BW231)-100)*0.005),0))</f>
        <v>4</v>
      </c>
      <c r="CF231" t="str">
        <f>IFERROR(VLOOKUP(BI231,Кабель_обозначение,2,FALSE),"")</f>
        <v>ВВГнг(А)-LS</v>
      </c>
      <c r="CG231" t="str">
        <f>IFERROR(IF(VLOOKUP(BI231,Кабель_обозначение,3,FALSE)=1,CF231&amp;" ("&amp;BJ231&amp;"х"&amp;BS231&amp;")",CF231),"")</f>
        <v>ВВГнг(А)-LS (3х2,5)</v>
      </c>
      <c r="CH231" t="str">
        <f t="shared" si="281"/>
        <v>ВВГнг(А)-LS (3х2,5)
L=29-0,18%</v>
      </c>
      <c r="CI231">
        <f>IFERROR(2*ρкз_Cu*BW231/BS231,"")</f>
        <v>0.61016000000000004</v>
      </c>
      <c r="CJ231">
        <f t="shared" si="282"/>
        <v>0.20300000000000001</v>
      </c>
      <c r="CK231" t="str">
        <f>IFERROR(IF(OR(D231="",NOT(ISNUMBER(BS231)),N(BW231)=0),"",_xlfn.XLOOKUP(A231,Щиты[Щит],Щиты[Zпетли на шинах, Ом])+CI231),"")</f>
        <v/>
      </c>
      <c r="CL231" t="str">
        <f>IF(ISNUMBER(CK231),c_min*(Uн_лин*1000/SQRT(3))/CK231,"")</f>
        <v/>
      </c>
      <c r="CM231" t="str">
        <f>IFERROR(IF(OR(D231="",NOT(ISNUMBER(BS231))),"",1.05*(Uн_лин*1000/SQRT(3))/(_xlfn.XLOOKUP(A231,Щиты[Щит],Щиты[Zmax на шинах, Ом])+CJ231)/1000),"")</f>
        <v/>
      </c>
      <c r="CN231" t="str">
        <f>IF(D231="","",IF(BA231&lt;&gt;"","Щит",IF(K231&lt;&gt;"",K231,IF(ISNUMBER(L231),"Сил",IF(IFERROR(_xlfn.XLOOKUP(AT231,Коды_код,Коды_группа)&amp;"","")="","Быт",_xlfn.XLOOKUP(AT231,Коды_код,Коды_группа)&amp;"")))))</f>
        <v>Быт</v>
      </c>
      <c r="CO231">
        <f>IF(CN231="Щит","щит",IF(CN231="","",IF(CN231="Быт",IFERROR(_xlfn.XLOOKUP(A231,Щиты[Щит],Щиты[Кс быт]),1),IF(CN231="Сил",IF(ISNUMBER(L231),L231,IF(Методика="нормы 2026",IFERROR(_xlfn.XLOOKUP(A231,Щиты[Щит],Щиты[Кс силовых (табл. 7.5)]),1),1)),IF(OR(CN231="Пост",CN231="Отоп"),1,IF(CN231="ВНГ",0.7,0))))))</f>
        <v>0.57830000000000004</v>
      </c>
      <c r="CP231">
        <f t="shared" si="283"/>
        <v>1</v>
      </c>
      <c r="CQ231">
        <f t="shared" si="284"/>
        <v>0.18</v>
      </c>
      <c r="CR231">
        <f t="shared" si="285"/>
        <v>0.18</v>
      </c>
      <c r="CS231">
        <f t="shared" si="286"/>
        <v>0</v>
      </c>
      <c r="CT231">
        <f t="shared" si="287"/>
        <v>0</v>
      </c>
      <c r="CU231">
        <f t="shared" si="288"/>
        <v>0</v>
      </c>
      <c r="CV231">
        <f t="shared" si="289"/>
        <v>0</v>
      </c>
      <c r="CW231">
        <f t="shared" si="290"/>
        <v>0.18</v>
      </c>
      <c r="CX231">
        <f t="shared" si="291"/>
        <v>0.17099999999999999</v>
      </c>
      <c r="CY231">
        <f t="shared" si="292"/>
        <v>1</v>
      </c>
      <c r="CZ231" t="str">
        <f t="shared" si="293"/>
        <v>L1</v>
      </c>
      <c r="DA231" cm="1">
        <f t="array" ref="DA231">IFERROR(IF(BL231=2,_xlfn.IFS(BH231=3,VLOOKUP(BF231,Справочная_двигатели,3,FALSE),BH231=1,VLOOKUP(BF231,Справочная_двигатели,5,TRUE)),0),0)</f>
        <v>0</v>
      </c>
      <c r="DB231">
        <f>IFERROR(IF(BL231=3,VLOOKUP(BF231,Справочная_ЛЭД,2,TRUE),0),0)</f>
        <v>0</v>
      </c>
      <c r="DC231">
        <f t="shared" si="294"/>
        <v>0</v>
      </c>
      <c r="DD231" t="str">
        <f t="shared" si="295"/>
        <v>L2</v>
      </c>
      <c r="DE231" t="str" cm="1">
        <f t="array" ref="DE231">IF(D231="","",IFERROR(INDEX({"I особая","I","II","III"},MATCH(TRIM(AA231&amp;""),{"I особая","I","II","III"},0)),"III"))</f>
        <v>II</v>
      </c>
      <c r="DF231" t="str">
        <f>IF(D231="","",IF(TRIM(AB231&amp;"")&lt;&gt;"",IF(LOWER(TRIM(AB231&amp;""))="да","да","нет"),IF(IFERROR(_xlfn.XLOOKUP(AT231,Коды_код,Коды_пожарная),"")="да","да","нет")))</f>
        <v>нет</v>
      </c>
      <c r="DG231" t="str">
        <f t="shared" si="296"/>
        <v/>
      </c>
      <c r="DH231" t="str">
        <f t="shared" si="297"/>
        <v>основная</v>
      </c>
      <c r="DI231">
        <f t="shared" si="298"/>
        <v>1</v>
      </c>
      <c r="DJ231" t="str" cm="1">
        <f t="array" ref="DJ231">IF(D231="","",_xlfn.LET(_xlpm.t,IFERROR(_xlfn.XLOOKUP(1,(Шины[Шина]=DH231)*(((Шины[Щит]=A231)+(Шины[Щит]=""))&gt;0),Шины[Тип]),"")&amp;"",IF(_xlpm.t&lt;&gt;"",_xlpm.t,IF(ISNUMBER(SEARCH("ИБП",DH231)),"ИБП",IF(ISNUMBER(SEARCH("ДГУ",DH231)),"ДГУ","Ввод "&amp;DI231)))))</f>
        <v>Ввод 1</v>
      </c>
      <c r="DK231" t="str">
        <f t="shared" si="299"/>
        <v>Ввод 1</v>
      </c>
      <c r="DL231" t="str">
        <f>IF(D231="","",IF(OR(DJ231="ИБП",DJ231="ДГУ"),"I особая",IF(DJ231="Одиночная","III",_xlfn.XLOOKUP(A231,Щиты[Щит],Щиты[Категория шины «Ввод»],"III"))))</f>
        <v>II</v>
      </c>
      <c r="DM231">
        <f>IF(D231="",0,IFERROR(MATCH(DE231,{"III","II","I","I особая"},0),1))</f>
        <v>2</v>
      </c>
      <c r="DN231">
        <f t="shared" si="300"/>
        <v>2</v>
      </c>
      <c r="DO231" t="str">
        <f>IF(D231="","",IF(DM231&gt;IFERROR(MATCH(DL231,{"III","II","I","I особая"},0),1),"НЕ ОБЕСПЕЧЕНА","ОК"))</f>
        <v>ОК</v>
      </c>
      <c r="DP231" t="str">
        <f>IF(A231="","",_xlfn.XLOOKUP(A231,Щиты[Щит],Щиты[Путь],""))</f>
        <v>|ГРЩ-ЖД|ЩР-1|</v>
      </c>
      <c r="DQ231" t="str">
        <f>IF(D231="","",IF(Z231&lt;&gt;"",Z231,IF(IFERROR(_xlfn.XLOOKUP(AT231,Коды_код,Коды_вид)&amp;"","")="","Прочее",_xlfn.XLOOKUP(AT231,Коды_код,Коды_вид)&amp;"")))</f>
        <v>Розеточная сеть и бытовые приборы</v>
      </c>
      <c r="DR231">
        <f>IF(BD231="","",INT((BD231-1)/Столбцов_на_лист)+1)</f>
        <v>1</v>
      </c>
      <c r="DS231" t="str">
        <f t="shared" si="301"/>
        <v>ВВГнг(А)-LS (3х2,5) L=29-0,18%</v>
      </c>
      <c r="DT231">
        <f t="shared" si="302"/>
        <v>0.18</v>
      </c>
      <c r="DU231">
        <f t="shared" si="303"/>
        <v>0.83</v>
      </c>
      <c r="DV231">
        <f t="shared" si="304"/>
        <v>1</v>
      </c>
      <c r="DW231">
        <f>IF(AT231="",0,_xlfn.LET(_xlpm.v,IFERROR(VLOOKUP(D231,УГО_спр,3,FALSE),IFERROR(VLOOKUP(AT231,УГО_спр,3,FALSE),IFERROR(VLOOKUP(LEFT(AT231,2),УГО_спр,3,FALSE),""))),IF(_xlpm.v="да",30,IF(ISNUMBER(_xlpm.v),_xlpm.v,0))))</f>
        <v>30</v>
      </c>
      <c r="DX231">
        <f t="shared" si="305"/>
        <v>0</v>
      </c>
      <c r="DY231">
        <f>IF(BD231="","",IF(AD231&lt;&gt;"",COUNTIFS(A$3:A231,A231,AD$3:AD231,"?*"),IF(OR(OR(AS231=1,A231&lt;&gt;A230),AL231="вручную"),"",IF(AS231=1,"",DZ230))))</f>
        <v>7</v>
      </c>
      <c r="DZ231">
        <f t="shared" si="306"/>
        <v>7</v>
      </c>
      <c r="EA231">
        <f>IF(D231="",0,MAX(IFERROR(--X231,0),IFERROR(--VLOOKUP(D231,УГО_спр,4,FALSE),IFERROR(--VLOOKUP(AT231,УГО_спр,4,FALSE),IFERROR(--VLOOKUP(LEFT(AT231,2),УГО_спр,4,FALSE),0)))))</f>
        <v>16</v>
      </c>
      <c r="EB231">
        <f>IF(D231="","",IFERROR(LOOKUP(INDEX(CHOOSE(BR231,Iдоп_1ж,Iдоп_2ж,Iдоп_3ж),MATCH(BS231,Iдоп_S,0))*BP231*BQ231,{6,10,16,20,25,32,40,50,63,80,100,125,160,200,250,315,400,500,630}),""))</f>
        <v>25</v>
      </c>
      <c r="EC231">
        <f>IF(AD231="","",SUMIFS(Линии[_Ток схемы],Линии[_гр.],DY231,Линии[Щит],A231,Линии[_в кабель выше],0))</f>
        <v>0.83</v>
      </c>
      <c r="ED231">
        <f>IF(AD231="","",IFERROR(VLOOKUP(EC231,Автомат_номиналы,2,TRUE),""))</f>
        <v>6</v>
      </c>
      <c r="EE231">
        <f>IF(AD231="","",MAX(N(ED231),_xlfn.MAXIFS(Линии[_мин. по типу],Линии[_гр.],DY231,Линии[Щит],A231)))</f>
        <v>16</v>
      </c>
      <c r="EF231">
        <f>IF(AD231="","",_xlfn.MINIFS(Линии[_макс. автомат по кабелю],Линии[_гр.],DY231,Линии[Щит],A231))</f>
        <v>25</v>
      </c>
      <c r="EG231">
        <f>IF(AD231="","",MAX(1,_xlfn.MAXIFS(Линии[_фаз],Линии[_гр.],DY231,Линии[Щит],A231)))</f>
        <v>1</v>
      </c>
      <c r="EH231">
        <f>IF(AD231="","",IF(AND(AD231&lt;&gt;"авто",AD231&lt;&gt;"+"),IF(ISNUMBER(SEARCH("мА",AD231)),IFERROR(--TRIM(RIGHT(SUBSTITUTE(LEFT(AD231,SEARCH("мА",AD231)-1)," ",REPT(" ",9)),6)),30),0),IF(AE231="нет",0,IF(ISNUMBER(AE231),AE231,IF(AE231="да",30,_xlfn.MINIFS(Линии[_дифзащита по коду, мА],Линии[_гр.],DY231,Линии[Щит],A231,Линии[_дифзащита по коду, мА],"&gt;0"))))))</f>
        <v>30</v>
      </c>
      <c r="EI231">
        <f t="shared" si="307"/>
        <v>1</v>
      </c>
      <c r="EJ231" t="str">
        <f t="shared" si="308"/>
        <v>QFD7</v>
      </c>
      <c r="EK231" t="str">
        <f t="shared" si="309"/>
        <v>QFD7</v>
      </c>
      <c r="EL231" t="str">
        <f t="shared" si="310"/>
        <v/>
      </c>
      <c r="EM231">
        <f t="shared" si="311"/>
        <v>0</v>
      </c>
      <c r="EN231">
        <f>IF(AD231="","",IF(EM231=1,MAX(EE231,Мин_автомат_БП),EE231))</f>
        <v>16</v>
      </c>
      <c r="EO231" t="str">
        <f t="shared" si="312"/>
        <v>2P</v>
      </c>
      <c r="EP231" t="str">
        <f t="shared" si="313"/>
        <v>2P С16А 30мА</v>
      </c>
      <c r="EQ231">
        <f t="shared" si="314"/>
        <v>16</v>
      </c>
      <c r="ER231" t="str">
        <f>IF(OR(AI231="",AI231="-"),"",IFERROR(VLOOKUP(AI231,Модули_спр,2,FALSE),"R"))</f>
        <v/>
      </c>
      <c r="ES231" t="str">
        <f>IF(ER231="","",ER231&amp;"."&amp;COUNTIFS(A$3:A231,A231,ER$3:ER231,ER231))</f>
        <v/>
      </c>
      <c r="ET231" t="str">
        <f t="shared" si="315"/>
        <v/>
      </c>
      <c r="EU231" t="str">
        <f t="shared" si="316"/>
        <v/>
      </c>
      <c r="EV231" t="str">
        <f t="shared" si="317"/>
        <v/>
      </c>
      <c r="EW231" t="str">
        <f t="shared" si="318"/>
        <v/>
      </c>
      <c r="EX231">
        <f t="shared" si="319"/>
        <v>1</v>
      </c>
      <c r="EY231" t="str">
        <f>IF(AK231="нет","",IF(AK231&lt;&gt;"",AK231,IF(EX231=1,"XT"&amp;COUNTIFS(A$3:A231,A231,EX$3:EX231,1),"")))</f>
        <v>XT7</v>
      </c>
      <c r="EZ231" t="str">
        <f t="shared" si="320"/>
        <v>QFD7</v>
      </c>
      <c r="FA231" t="str">
        <f t="shared" si="321"/>
        <v/>
      </c>
      <c r="FB231" t="str">
        <f t="shared" si="322"/>
        <v>ok</v>
      </c>
      <c r="FC231" t="str">
        <f>IF(OR(EV231="",ET231=""),"",IF(EV231&gt;IFERROR(VLOOKUP(EU231,Модули_спр,3,FALSE),99),"ЛИШНИЙ КАНАЛ",IF(AND(AJ231&lt;&gt;"=",COUNTIFS(Линии[_модуль гр.],ET231,Линии[Канал (итог)],EV231,Линии[Канал],"&lt;&gt;=",Линии[Щит],A231)&gt;1),"ДУБЛЬ КАНАЛА","")))</f>
        <v/>
      </c>
      <c r="FD231">
        <f t="shared" si="323"/>
        <v>16</v>
      </c>
      <c r="FE231" t="str">
        <f t="shared" si="324"/>
        <v>2P С16А 30мА</v>
      </c>
      <c r="FF231">
        <f t="shared" si="325"/>
        <v>1</v>
      </c>
      <c r="FG231">
        <f t="shared" si="326"/>
        <v>30</v>
      </c>
      <c r="FH231" t="str">
        <f t="shared" si="327"/>
        <v/>
      </c>
      <c r="FI231">
        <f t="shared" si="328"/>
        <v>10</v>
      </c>
      <c r="FJ231" t="str">
        <f t="shared" si="329"/>
        <v/>
      </c>
      <c r="FK231" t="str">
        <f>IF(AND(D231="",EZ231=""),"",_xlfn.TEXTJOIN("; ",TRUE,IF(AND(D231&lt;&gt;"",DD231=""),"нет фазы",""),IF(AND(D231&lt;&gt;"",N(DT231)=0,CN231&lt;&gt;"Нет"),"нет мощности",""),IF(AND(EY231&lt;&gt;"",COUNTIFS(Линии[Щит],A231,Линии[Клемма (итог)],EY231)&gt;1),"дубль клеммы "&amp;EY231,""),IF(AND(FB231&lt;&gt;"",FB231&lt;&gt;"ok"),FB231,""),IF(FC231&lt;&gt;"",FC231,""),IF(AND(ISNUMBER(SEARCH("(5х",DS231)),N(DV231)=1),"5 жил на 1 фазе",""),IF(AND(AT231="R",AD231&lt;&gt;"",OR(N(EH231)=0,N(EH231)&gt;30)),"розетка без дифзащиты до 30 мА",""),IFERROR(IF(AND(ISNUMBER(CD231),CD231&gt;CE231),"потери "&amp;FIXED(CD231,1)&amp;" % &gt; "&amp;CE231&amp;" %",""),""),IFERROR(IF(LEFT(FJ231,4)="мало","Iкз мало — отключение &gt; 0,4 с",""),""),IF(AND(D231&lt;&gt;"",BD231=""),"не на схеме","")))</f>
        <v/>
      </c>
      <c r="FL231">
        <f>IF(AD231="","",_xlfn.LET(_xlpm.t,IFERROR(_xlfn.XLOOKUP(EP231,Каталог!$U$4:$U$500,Каталог!$G$4:$G$500),""),_xlpm.k,SEARCH("кА",_xlpm.t),IFERROR(--TRIM(RIGHT(SUBSTITUTE(MID(_xlpm.t,MAX(1,_xlpm.k-4),_xlpm.k-MAX(1,_xlpm.k-4))," ",REPT(" ",9)),5)),"")))</f>
        <v>6</v>
      </c>
      <c r="FM231" t="str">
        <f>IF(OR(FL231="",AD231=""),"",IF(_xlfn.XLOOKUP(A231,Щиты[Щит],Щиты[Iкз max на шинах, кА],"")="","",IF(FL231&lt;_xlfn.XLOOKUP(A231,Щиты[Щит],Щиты[Iкз max на шинах, кА]),"Icu "&amp;FL231&amp;" кА &lt; Iкз max","ok")))</f>
        <v/>
      </c>
      <c r="FN231" t="str">
        <f t="shared" si="330"/>
        <v>QFD7|XT7</v>
      </c>
      <c r="FO231" t="str">
        <f t="shared" si="331"/>
        <v>QFD7|XT7|кабель ВВГнг(А)-LS (3х2,5) → Розеточная группа Первый этаж Пом. №002Б</v>
      </c>
      <c r="FP231" t="str" cm="1">
        <f t="array" ref="FP231">IF(FO231="","",_xlfn.LET(_xlpm.nd,_xlfn.TEXTSPLIT(FO231,"|"),IF(COLUMNS(_xlpm.nd)&gt;1,A231&amp;"¦"&amp;INDEX(_xlpm.nd,1)&amp;"¦"&amp;INDEX(_xlpm.nd,2),"")))</f>
        <v>ЩР-1¦QFD7¦XT7</v>
      </c>
      <c r="FQ231" t="str">
        <f t="shared" si="332"/>
        <v>R.1.002Б.2¦Розеточная группа Первый этаж Пом. №002Б</v>
      </c>
      <c r="FR231" t="str" cm="1">
        <f t="array" ref="FR231">IF(FO231="","",_xlfn.LET(_xlpm.nd,_xlfn.TEXTSPLIT(FO231,"|"),IF(COLUMNS(_xlpm.nd)&gt;2,A231&amp;"¦"&amp;INDEX(_xlpm.nd,2)&amp;"¦"&amp;INDEX(_xlpm.nd,3),"")))</f>
        <v>ЩР-1¦XT7¦кабель ВВГнг(А)-LS (3х2,5) → Розеточная группа Первый этаж Пом. №002Б</v>
      </c>
      <c r="FS231" t="str">
        <f t="shared" si="333"/>
        <v>R.1.002Б.2¦Розеточная группа Первый этаж Пом. №002Б</v>
      </c>
      <c r="FT231" t="str" cm="1">
        <f t="array" ref="FT231">IF(FO231="","",_xlfn.LET(_xlpm.nd,_xlfn.TEXTSPLIT(FO231,"|"),IF(COLUMNS(_xlpm.nd)&gt;3,A231&amp;"¦"&amp;INDEX(_xlpm.nd,3)&amp;"¦"&amp;INDEX(_xlpm.nd,4),"")))</f>
        <v/>
      </c>
      <c r="FU231" t="str">
        <f t="shared" si="334"/>
        <v/>
      </c>
      <c r="FV231" t="str" cm="1">
        <f t="array" ref="FV231">IF(FO231="","",_xlfn.LET(_xlpm.nd,_xlfn.TEXTSPLIT(FO231,"|"),IF(COLUMNS(_xlpm.nd)&gt;4,A231&amp;"¦"&amp;INDEX(_xlpm.nd,4)&amp;"¦"&amp;INDEX(_xlpm.nd,5),"")))</f>
        <v/>
      </c>
      <c r="FW231" t="str">
        <f t="shared" si="335"/>
        <v/>
      </c>
      <c r="FX231" t="str" cm="1">
        <f t="array" ref="FX231">IF(FO231="","",_xlfn.LET(_xlpm.nd,_xlfn.TEXTSPLIT(FO231,"|"),IF(COLUMNS(_xlpm.nd)&gt;5,A231&amp;"¦"&amp;INDEX(_xlpm.nd,5)&amp;"¦"&amp;INDEX(_xlpm.nd,6),"")))</f>
        <v/>
      </c>
      <c r="FY231" t="str">
        <f t="shared" si="336"/>
        <v/>
      </c>
      <c r="FZ231" t="str" cm="1">
        <f t="array" ref="FZ231">IF(FO231="","",_xlfn.LET(_xlpm.nd,_xlfn.TEXTSPLIT(FO231,"|"),IF(COLUMNS(_xlpm.nd)&gt;6,A231&amp;"¦"&amp;INDEX(_xlpm.nd,6)&amp;"¦"&amp;INDEX(_xlpm.nd,7),"")))</f>
        <v/>
      </c>
      <c r="GA231" t="str">
        <f t="shared" si="337"/>
        <v/>
      </c>
      <c r="GB231" t="str">
        <f t="shared" si="338"/>
        <v/>
      </c>
      <c r="GC231" t="str">
        <f t="shared" si="339"/>
        <v>QFD7 → XT7</v>
      </c>
      <c r="GD231">
        <f t="shared" si="340"/>
        <v>1</v>
      </c>
      <c r="GE231">
        <f t="shared" si="341"/>
        <v>0</v>
      </c>
      <c r="GF231">
        <f t="shared" si="342"/>
        <v>1</v>
      </c>
      <c r="GG231" t="str">
        <f t="shared" si="343"/>
        <v/>
      </c>
      <c r="GH231" t="str">
        <f t="shared" si="344"/>
        <v/>
      </c>
      <c r="GI231" t="str">
        <f t="shared" si="345"/>
        <v/>
      </c>
      <c r="GJ231" t="str">
        <f t="shared" si="346"/>
        <v/>
      </c>
      <c r="GK231" t="str">
        <f>IF(D231="","",IFERROR(VLOOKUP(D231,УГО_спр,2,FALSE),IFERROR(VLOOKUP(AT231,УГО_спр,2,FALSE),IFERROR(VLOOKUP(LEFT(AT231,2),УГО_спр,2,FALSE),""))))</f>
        <v>Розетка</v>
      </c>
      <c r="GL231" t="str">
        <f>IF(D231="","",IF(OR(GK231="",GK231=0),"BOX",IFERROR(IF(VLOOKUP(GK231,УГО_блоки,3,FALSE)&amp;""&lt;&gt;"",VLOOKUP(GK231,УГО_блоки,3,FALSE),VLOOKUP(GK231,УГО_блоки,2,FALSE)),GK231)))</f>
        <v>SOCKET</v>
      </c>
      <c r="GM231">
        <f t="shared" si="347"/>
        <v>1</v>
      </c>
      <c r="GN231" t="str">
        <f>IF(EP231="","",IF(COUNTIF(EP$3:EP231,EP231)=1,MAX(GN$2:GN230)+1,""))</f>
        <v/>
      </c>
      <c r="GO231" t="str">
        <f>IF(AF231="","",IF(COUNTIF(AF$3:AF231,AF231)+COUNTIF(AG$2:AG230,AF231)+COUNTIF(AH$2:AH230,AF231)=1,MAX(GO$2:GQ230)+1,""))</f>
        <v/>
      </c>
      <c r="GP231" t="str">
        <f>IF(AG231="","",IF(COUNTIF(AF$3:AF231,AG231)+COUNTIF(AG$3:AG231,AG231)+COUNTIF(AH$2:AH230,AG231)=1,MAX(GO$2:GQ230,GO231)+1,""))</f>
        <v/>
      </c>
      <c r="GQ231" t="str">
        <f>IF(AH231="","",IF(COUNTIF(AF$3:AF231,AH231)+COUNTIF(AG$3:AG231,AH231)+COUNTIF(AH$3:AH231,AH231)=1,MAX(GO$2:GQ230,GO231,GP231)+1,""))</f>
        <v/>
      </c>
      <c r="GR231" t="str">
        <f t="shared" si="348"/>
        <v>3х2,5</v>
      </c>
      <c r="GS231" t="str">
        <f>IF(GR231="","",IF(COUNTIF(GR$3:GR231,GR231)=1,MAX(GS$2:GS230)+1,""))</f>
        <v/>
      </c>
      <c r="GT231" t="str">
        <f>IF(ES231="","",COUNTIF(ES$3:ES231,"?*"))</f>
        <v/>
      </c>
      <c r="GU231" t="str">
        <f>IF(OR(ES231="",EU231=""),"",IF(COUNTIFS(ES$3:ES231,"?*",EU$3:EU231,EU231)=1,MAX(GU$2:GU230)+1,""))</f>
        <v/>
      </c>
      <c r="GV231">
        <f t="shared" si="349"/>
        <v>0</v>
      </c>
      <c r="GW231">
        <f>IF(D231="","",COUNTIF(D$3:D231,"?*"))</f>
        <v>229</v>
      </c>
      <c r="GX231">
        <f>IF(EX231&lt;&gt;1,0,_xlfn.LET(_xlpm.k,MAX(IFERROR(--VLOOKUP(D231,УГО_спр,5,FALSE),0),IFERROR(--VLOOKUP(AT231,УГО_спр,5,FALSE),0),IFERROR(--VLOOKUP(LEFT(AT231,2),УГО_спр,5,FALSE),0)),IF(_xlpm.k&gt;0,_xlpm.k,IF(IFERROR(--LEFT(SUBSTITUTE(GR231,"x","х"),FIND("х",SUBSTITUTE(GR231,"x","х"))-1),3)&gt;3,Каталог!$S$9,1))))</f>
        <v>1</v>
      </c>
      <c r="GY231">
        <f t="shared" si="350"/>
        <v>0</v>
      </c>
    </row>
    <row r="232" spans="1:207" x14ac:dyDescent="0.3">
      <c r="A232" t="s">
        <v>762</v>
      </c>
      <c r="B232">
        <v>16</v>
      </c>
      <c r="C232" t="str">
        <f>IF(BD232="","",IF(BE232="вводной узел","узел ","")&amp;"л."&amp;(INT((BD232-1)/Столбцов_на_лист)+1)&amp;" / "&amp;(MOD(BD232-1,Столбцов_на_лист)+1))</f>
        <v>л.1 / 16</v>
      </c>
      <c r="D232" t="s">
        <v>1551</v>
      </c>
      <c r="E232" s="133" t="s">
        <v>1549</v>
      </c>
      <c r="G232">
        <v>0.36</v>
      </c>
      <c r="H232">
        <v>3</v>
      </c>
      <c r="I232">
        <v>1</v>
      </c>
      <c r="J232">
        <v>230</v>
      </c>
      <c r="K232" t="s">
        <v>566</v>
      </c>
      <c r="O232">
        <v>3</v>
      </c>
      <c r="P232">
        <v>14</v>
      </c>
      <c r="Q232">
        <v>0</v>
      </c>
      <c r="R232">
        <v>14</v>
      </c>
      <c r="S232">
        <v>0</v>
      </c>
      <c r="U232" t="s">
        <v>11</v>
      </c>
      <c r="V232">
        <v>3</v>
      </c>
      <c r="W232">
        <v>2.5</v>
      </c>
      <c r="Z232" t="s">
        <v>565</v>
      </c>
      <c r="AA232" t="s">
        <v>818</v>
      </c>
      <c r="AD232" t="s">
        <v>517</v>
      </c>
      <c r="AR232" t="str">
        <f t="shared" si="264"/>
        <v/>
      </c>
      <c r="AS232" cm="1">
        <f t="array" ref="AS232">ROW()-ROW(Линии[#Headers])</f>
        <v>230</v>
      </c>
      <c r="AT232" t="str">
        <f t="shared" si="265"/>
        <v>R</v>
      </c>
      <c r="AU232" t="str">
        <f t="shared" si="266"/>
        <v>1.002Б.3</v>
      </c>
      <c r="AV232" t="str">
        <f t="shared" si="267"/>
        <v>1</v>
      </c>
      <c r="AW232" t="str">
        <f t="shared" si="268"/>
        <v>002Б.3</v>
      </c>
      <c r="AX232" t="str">
        <f t="shared" si="269"/>
        <v>002Б</v>
      </c>
      <c r="AY232" t="str">
        <f>IF(D232="","",IF(ISERROR(SEARCH(".",D232)),IFERROR(VLOOKUP(D232,Потребители_обозначение,2,FALSE)&amp;"",""),IFERROR(IF(VLOOKUP(AT232,Потребители_обозначение,4,FALSE)=1,VLOOKUP(AT232,Потребители_обозначение,2,FALSE)&amp;" "&amp;VLOOKUP(AV232,Этаж_обозначение,2,FALSE)&amp;" Пом. №"&amp;AX232,VLOOKUP(AT232,Потребители_обозначение,2,FALSE)&amp;" Шлейф №"&amp;AV232),IFERROR(VLOOKUP(D232,Потребители_обозначение,2,FALSE),""))))</f>
        <v>Розеточная группа Первый этаж Пом. №002Б</v>
      </c>
      <c r="AZ232" t="str">
        <f t="shared" si="270"/>
        <v>Розеточная группа Первый этаж Пом. №002Б Ледогенератор</v>
      </c>
      <c r="BA232" t="str">
        <f>IF(F232&lt;&gt;"",F232,IF(AND(D232&lt;&gt;"",D232&lt;&gt;A232,ISNUMBER(_xlfn.XMATCH(D232,Щиты[Щит]))),D232,""))</f>
        <v/>
      </c>
      <c r="BB232">
        <f>IFERROR(_xlfn.XMATCH(A232,Щиты[Щит]),0)</f>
        <v>10</v>
      </c>
      <c r="BC232">
        <f>IFERROR(N(_xlfn.XLOOKUP(A232,Щиты[Щит],Щиты[Мест под вводной узел])),15)</f>
        <v>8</v>
      </c>
      <c r="BD232">
        <f t="shared" si="271"/>
        <v>16</v>
      </c>
      <c r="BE232" t="str">
        <f t="shared" si="272"/>
        <v>линии</v>
      </c>
      <c r="BF232">
        <f>IF(D232="","",IF(BA232&lt;&gt;"",IFERROR(_xlfn.XLOOKUP(BA232,Щиты[Щит],Щиты[Руст, кВт]),0),N(G232)))</f>
        <v>0.36</v>
      </c>
      <c r="BG232">
        <f>IF(J232&lt;&gt;"",J232,IF(D232="","",IFERROR(IF(VLOOKUP(AT232,Потребители_обозначение,8,FALSE)=0,"",VLOOKUP(AT232,Потребители_обозначение,8,FALSE)),"")))</f>
        <v>230</v>
      </c>
      <c r="BH232">
        <f>IF(I232&lt;&gt;"",I232,IF(D232="","",IFERROR(IF(VLOOKUP(AT232,Потребители_обозначение,9,FALSE)=0,"",VLOOKUP(AT232,Потребители_обозначение,9,FALSE)),"")))</f>
        <v>1</v>
      </c>
      <c r="BI232" t="str">
        <f>IF(U232&lt;&gt;"",U232,IF(D232="","",IFERROR(IF(VLOOKUP(AT232,Потребители_обозначение,6,FALSE)=0,"",VLOOKUP(AT232,Потребители_обозначение,6,FALSE)),"")))</f>
        <v>мс</v>
      </c>
      <c r="BJ232">
        <f>IF(V232&lt;&gt;"",V232,IF(D232="","",IFERROR(IF(VLOOKUP(AT232,Потребители_обозначение,7,FALSE)=0,"",VLOOKUP(AT232,Потребители_обозначение,7,FALSE)),"")))</f>
        <v>3</v>
      </c>
      <c r="BK232">
        <f>IF(W232&lt;&gt;"",W232,IF(D232="","",IFERROR(IF(VLOOKUP(AT232,Потребители_обозначение,10,FALSE)=0,"",VLOOKUP(AT232,Потребители_обозначение,10,FALSE)),"")))</f>
        <v>2.5</v>
      </c>
      <c r="BL232">
        <f>IFERROR(VLOOKUP(AT232,Потребители_обозначение,5,FALSE),0)</f>
        <v>1</v>
      </c>
      <c r="BM232" cm="1">
        <f t="array" ref="BM232">IF(D232="","",IF(BA232&lt;&gt;"",IFERROR(_xlfn.XLOOKUP(BA232,Щиты[Щит],Щиты[cos φ]),0.95),IF(ISNUMBER(M232),M232,IFERROR(IF(BL232=2,_xlfn.IFS(BH232=3,VLOOKUP(BF232,Справочная_двигатели,8,FALSE),BH232=1,VLOOKUP(BF232,Справочная_двигатели,10,TRUE)),IF(AND(Методика="нормы 2026",CN232="Сил"),0.8,0.95)),0.95))))</f>
        <v>0.95</v>
      </c>
      <c r="BN232" cm="1">
        <f t="array" ref="BN232">IF(D232="","",IF(BA232&lt;&gt;"",IFERROR(_xlfn.XLOOKUP(BA232,Щиты[Щит],Щиты[Iр, А]),""),IFERROR(_xlfn.IFS(BH232=1,BF232/((Uн_лин/SQRT(3))*BM232),BH232=3,BF232/(SQRT(3)*Uн_лин*BM232)),"")))</f>
        <v>1.6408902387494626</v>
      </c>
      <c r="BO232">
        <f>IF(D232="","",IF(N(X232)=0,IFERROR(VLOOKUP(BN232,Автомат_номиналы,2,TRUE),""),X232))</f>
        <v>6</v>
      </c>
      <c r="BP232">
        <f t="shared" si="273"/>
        <v>1</v>
      </c>
      <c r="BQ232">
        <f>IF(ISNUMBER(Y232),Y232,К_прокл)</f>
        <v>1</v>
      </c>
      <c r="BR232">
        <f t="shared" si="274"/>
        <v>2</v>
      </c>
      <c r="BS232" cm="1">
        <f t="array" ref="BS232">IF(D232="","",IF(N(BK232)&lt;&gt;0,BK232,IFERROR(_xlfn.LET(_xlpm.need,BO232/(BP232*BQ232),_xlpm.t,CHOOSE(BR232,Iдоп_1ж,Iдоп_2ж,Iдоп_3ж),_xlpm.k,_xlfn.XMATCH(_xlpm.need,_xlpm.t,1),IF(ISNA(_xlpm.k),"Не исп",INDEX(Iдоп_S,_xlpm.k))),"Не исп")))</f>
        <v>2.5</v>
      </c>
      <c r="BT232">
        <f>IFERROR(VLOOKUP(BS232,Кабель_сопротивление,3,FALSE),"")</f>
        <v>2.2499999999999999E-2</v>
      </c>
      <c r="BU232">
        <f>IFERROR(VLOOKUP(BS232,Кабель_сопротивление,2,FALSE),"")</f>
        <v>0.1</v>
      </c>
      <c r="BV232">
        <f t="shared" si="275"/>
        <v>14</v>
      </c>
      <c r="BW232">
        <f>IF(D232="","",IFERROR(IF(VLOOKUP(AT232,Потребители_обозначение,4,FALSE)=1,VLOOKUP(AT232,Потребители_обозначение,3,FALSE)*(H232*2-1)+BV232+VLOOKUP(AV232,Этаж_обозначение,3,FALSE)+VLOOKUP(AV232,Этаж_обозначение,4,FALSE),VLOOKUP(AT232,Потребители_обозначение,3,FALSE)*(H232*2-1)+BV232),BV232))</f>
        <v>29</v>
      </c>
      <c r="BX232">
        <f t="shared" si="276"/>
        <v>14</v>
      </c>
      <c r="BY232">
        <f t="shared" si="277"/>
        <v>0</v>
      </c>
      <c r="BZ232">
        <f t="shared" si="278"/>
        <v>2</v>
      </c>
      <c r="CA232">
        <f t="shared" si="279"/>
        <v>0.31</v>
      </c>
      <c r="CB232">
        <f t="shared" si="280"/>
        <v>0.81666779004513013</v>
      </c>
      <c r="CC232">
        <f>IFERROR(ROUNDUP(CB232/((Uн_лин/SQRT(3))*1000)*100,2),"")</f>
        <v>0.36</v>
      </c>
      <c r="CD232">
        <f>IF(ISNUMBER(CC232),CC232+IFERROR(_xlfn.XLOOKUP(A232,Щиты[Щит],Щиты[ΔU до шин, %]),0),"")</f>
        <v>1.6099999999999999</v>
      </c>
      <c r="CE232">
        <f>IF(D232="","",IF(IFERROR(VLOOKUP(AT232,УГО_спр,2,FALSE),"")="Светильник",3,4)+IF(Методика="нормы 2026",MIN(0.5,MAX(0,N(BW232)-100)*0.005),0))</f>
        <v>4</v>
      </c>
      <c r="CF232" t="str">
        <f>IFERROR(VLOOKUP(BI232,Кабель_обозначение,2,FALSE),"")</f>
        <v>ВВГнг(А)-LS</v>
      </c>
      <c r="CG232" t="str">
        <f>IFERROR(IF(VLOOKUP(BI232,Кабель_обозначение,3,FALSE)=1,CF232&amp;" ("&amp;BJ232&amp;"х"&amp;BS232&amp;")",CF232),"")</f>
        <v>ВВГнг(А)-LS (3х2,5)</v>
      </c>
      <c r="CH232" t="str">
        <f t="shared" si="281"/>
        <v>ВВГнг(А)-LS (3х2,5)
L=29-0,36%</v>
      </c>
      <c r="CI232">
        <f>IFERROR(2*ρкз_Cu*BW232/BS232,"")</f>
        <v>0.61016000000000004</v>
      </c>
      <c r="CJ232">
        <f t="shared" si="282"/>
        <v>0.20300000000000001</v>
      </c>
      <c r="CK232" t="str">
        <f>IFERROR(IF(OR(D232="",NOT(ISNUMBER(BS232)),N(BW232)=0),"",_xlfn.XLOOKUP(A232,Щиты[Щит],Щиты[Zпетли на шинах, Ом])+CI232),"")</f>
        <v/>
      </c>
      <c r="CL232" t="str">
        <f>IF(ISNUMBER(CK232),c_min*(Uн_лин*1000/SQRT(3))/CK232,"")</f>
        <v/>
      </c>
      <c r="CM232" t="str">
        <f>IFERROR(IF(OR(D232="",NOT(ISNUMBER(BS232))),"",1.05*(Uн_лин*1000/SQRT(3))/(_xlfn.XLOOKUP(A232,Щиты[Щит],Щиты[Zmax на шинах, Ом])+CJ232)/1000),"")</f>
        <v/>
      </c>
      <c r="CN232" t="str">
        <f>IF(D232="","",IF(BA232&lt;&gt;"","Щит",IF(K232&lt;&gt;"",K232,IF(ISNUMBER(L232),"Сил",IF(IFERROR(_xlfn.XLOOKUP(AT232,Коды_код,Коды_группа)&amp;"","")="","Быт",_xlfn.XLOOKUP(AT232,Коды_код,Коды_группа)&amp;"")))))</f>
        <v>Быт</v>
      </c>
      <c r="CO232">
        <f>IF(CN232="Щит","щит",IF(CN232="","",IF(CN232="Быт",IFERROR(_xlfn.XLOOKUP(A232,Щиты[Щит],Щиты[Кс быт]),1),IF(CN232="Сил",IF(ISNUMBER(L232),L232,IF(Методика="нормы 2026",IFERROR(_xlfn.XLOOKUP(A232,Щиты[Щит],Щиты[Кс силовых (табл. 7.5)]),1),1)),IF(OR(CN232="Пост",CN232="Отоп"),1,IF(CN232="ВНГ",0.7,0))))))</f>
        <v>0.57830000000000004</v>
      </c>
      <c r="CP232">
        <f t="shared" si="283"/>
        <v>1</v>
      </c>
      <c r="CQ232">
        <f t="shared" si="284"/>
        <v>0.36</v>
      </c>
      <c r="CR232">
        <f t="shared" si="285"/>
        <v>0.36</v>
      </c>
      <c r="CS232">
        <f t="shared" si="286"/>
        <v>0</v>
      </c>
      <c r="CT232">
        <f t="shared" si="287"/>
        <v>0</v>
      </c>
      <c r="CU232">
        <f t="shared" si="288"/>
        <v>0</v>
      </c>
      <c r="CV232">
        <f t="shared" si="289"/>
        <v>0</v>
      </c>
      <c r="CW232">
        <f t="shared" si="290"/>
        <v>0.36</v>
      </c>
      <c r="CX232">
        <f t="shared" si="291"/>
        <v>0.34199999999999997</v>
      </c>
      <c r="CY232">
        <f t="shared" si="292"/>
        <v>2</v>
      </c>
      <c r="CZ232" t="str">
        <f t="shared" si="293"/>
        <v>L2</v>
      </c>
      <c r="DA232" cm="1">
        <f t="array" ref="DA232">IFERROR(IF(BL232=2,_xlfn.IFS(BH232=3,VLOOKUP(BF232,Справочная_двигатели,3,FALSE),BH232=1,VLOOKUP(BF232,Справочная_двигатели,5,TRUE)),0),0)</f>
        <v>0</v>
      </c>
      <c r="DB232">
        <f>IFERROR(IF(BL232=3,VLOOKUP(BF232,Справочная_ЛЭД,2,TRUE),0),0)</f>
        <v>0</v>
      </c>
      <c r="DC232">
        <f t="shared" si="294"/>
        <v>0</v>
      </c>
      <c r="DD232" t="str">
        <f t="shared" si="295"/>
        <v>L3</v>
      </c>
      <c r="DE232" t="str" cm="1">
        <f t="array" ref="DE232">IF(D232="","",IFERROR(INDEX({"I особая","I","II","III"},MATCH(TRIM(AA232&amp;""),{"I особая","I","II","III"},0)),"III"))</f>
        <v>II</v>
      </c>
      <c r="DF232" t="str">
        <f>IF(D232="","",IF(TRIM(AB232&amp;"")&lt;&gt;"",IF(LOWER(TRIM(AB232&amp;""))="да","да","нет"),IF(IFERROR(_xlfn.XLOOKUP(AT232,Коды_код,Коды_пожарная),"")="да","да","нет")))</f>
        <v>нет</v>
      </c>
      <c r="DG232" t="str">
        <f t="shared" si="296"/>
        <v/>
      </c>
      <c r="DH232" t="str">
        <f t="shared" si="297"/>
        <v>основная</v>
      </c>
      <c r="DI232">
        <f t="shared" si="298"/>
        <v>1</v>
      </c>
      <c r="DJ232" t="str" cm="1">
        <f t="array" ref="DJ232">IF(D232="","",_xlfn.LET(_xlpm.t,IFERROR(_xlfn.XLOOKUP(1,(Шины[Шина]=DH232)*(((Шины[Щит]=A232)+(Шины[Щит]=""))&gt;0),Шины[Тип]),"")&amp;"",IF(_xlpm.t&lt;&gt;"",_xlpm.t,IF(ISNUMBER(SEARCH("ИБП",DH232)),"ИБП",IF(ISNUMBER(SEARCH("ДГУ",DH232)),"ДГУ","Ввод "&amp;DI232)))))</f>
        <v>Ввод 1</v>
      </c>
      <c r="DK232" t="str">
        <f t="shared" si="299"/>
        <v>Ввод 1</v>
      </c>
      <c r="DL232" t="str">
        <f>IF(D232="","",IF(OR(DJ232="ИБП",DJ232="ДГУ"),"I особая",IF(DJ232="Одиночная","III",_xlfn.XLOOKUP(A232,Щиты[Щит],Щиты[Категория шины «Ввод»],"III"))))</f>
        <v>II</v>
      </c>
      <c r="DM232">
        <f>IF(D232="",0,IFERROR(MATCH(DE232,{"III","II","I","I особая"},0),1))</f>
        <v>2</v>
      </c>
      <c r="DN232">
        <f t="shared" si="300"/>
        <v>2</v>
      </c>
      <c r="DO232" t="str">
        <f>IF(D232="","",IF(DM232&gt;IFERROR(MATCH(DL232,{"III","II","I","I особая"},0),1),"НЕ ОБЕСПЕЧЕНА","ОК"))</f>
        <v>ОК</v>
      </c>
      <c r="DP232" t="str">
        <f>IF(A232="","",_xlfn.XLOOKUP(A232,Щиты[Щит],Щиты[Путь],""))</f>
        <v>|ГРЩ-ЖД|ЩР-1|</v>
      </c>
      <c r="DQ232" t="str">
        <f>IF(D232="","",IF(Z232&lt;&gt;"",Z232,IF(IFERROR(_xlfn.XLOOKUP(AT232,Коды_код,Коды_вид)&amp;"","")="","Прочее",_xlfn.XLOOKUP(AT232,Коды_код,Коды_вид)&amp;"")))</f>
        <v>Розеточная сеть и бытовые приборы</v>
      </c>
      <c r="DR232">
        <f>IF(BD232="","",INT((BD232-1)/Столбцов_на_лист)+1)</f>
        <v>1</v>
      </c>
      <c r="DS232" t="str">
        <f t="shared" si="301"/>
        <v>ВВГнг(А)-LS (3х2,5) L=29-0,36%</v>
      </c>
      <c r="DT232">
        <f t="shared" si="302"/>
        <v>0.36</v>
      </c>
      <c r="DU232">
        <f t="shared" si="303"/>
        <v>1.65</v>
      </c>
      <c r="DV232">
        <f t="shared" si="304"/>
        <v>1</v>
      </c>
      <c r="DW232">
        <f>IF(AT232="",0,_xlfn.LET(_xlpm.v,IFERROR(VLOOKUP(D232,УГО_спр,3,FALSE),IFERROR(VLOOKUP(AT232,УГО_спр,3,FALSE),IFERROR(VLOOKUP(LEFT(AT232,2),УГО_спр,3,FALSE),""))),IF(_xlpm.v="да",30,IF(ISNUMBER(_xlpm.v),_xlpm.v,0))))</f>
        <v>30</v>
      </c>
      <c r="DX232">
        <f t="shared" si="305"/>
        <v>0</v>
      </c>
      <c r="DY232">
        <f>IF(BD232="","",IF(AD232&lt;&gt;"",COUNTIFS(A$3:A232,A232,AD$3:AD232,"?*"),IF(OR(OR(AS232=1,A232&lt;&gt;A231),AL232="вручную"),"",IF(AS232=1,"",DZ231))))</f>
        <v>8</v>
      </c>
      <c r="DZ232">
        <f t="shared" si="306"/>
        <v>8</v>
      </c>
      <c r="EA232">
        <f>IF(D232="",0,MAX(IFERROR(--X232,0),IFERROR(--VLOOKUP(D232,УГО_спр,4,FALSE),IFERROR(--VLOOKUP(AT232,УГО_спр,4,FALSE),IFERROR(--VLOOKUP(LEFT(AT232,2),УГО_спр,4,FALSE),0)))))</f>
        <v>16</v>
      </c>
      <c r="EB232">
        <f>IF(D232="","",IFERROR(LOOKUP(INDEX(CHOOSE(BR232,Iдоп_1ж,Iдоп_2ж,Iдоп_3ж),MATCH(BS232,Iдоп_S,0))*BP232*BQ232,{6,10,16,20,25,32,40,50,63,80,100,125,160,200,250,315,400,500,630}),""))</f>
        <v>25</v>
      </c>
      <c r="EC232">
        <f>IF(AD232="","",SUMIFS(Линии[_Ток схемы],Линии[_гр.],DY232,Линии[Щит],A232,Линии[_в кабель выше],0))</f>
        <v>1.65</v>
      </c>
      <c r="ED232">
        <f>IF(AD232="","",IFERROR(VLOOKUP(EC232,Автомат_номиналы,2,TRUE),""))</f>
        <v>6</v>
      </c>
      <c r="EE232">
        <f>IF(AD232="","",MAX(N(ED232),_xlfn.MAXIFS(Линии[_мин. по типу],Линии[_гр.],DY232,Линии[Щит],A232)))</f>
        <v>16</v>
      </c>
      <c r="EF232">
        <f>IF(AD232="","",_xlfn.MINIFS(Линии[_макс. автомат по кабелю],Линии[_гр.],DY232,Линии[Щит],A232))</f>
        <v>25</v>
      </c>
      <c r="EG232">
        <f>IF(AD232="","",MAX(1,_xlfn.MAXIFS(Линии[_фаз],Линии[_гр.],DY232,Линии[Щит],A232)))</f>
        <v>1</v>
      </c>
      <c r="EH232">
        <f>IF(AD232="","",IF(AND(AD232&lt;&gt;"авто",AD232&lt;&gt;"+"),IF(ISNUMBER(SEARCH("мА",AD232)),IFERROR(--TRIM(RIGHT(SUBSTITUTE(LEFT(AD232,SEARCH("мА",AD232)-1)," ",REPT(" ",9)),6)),30),0),IF(AE232="нет",0,IF(ISNUMBER(AE232),AE232,IF(AE232="да",30,_xlfn.MINIFS(Линии[_дифзащита по коду, мА],Линии[_гр.],DY232,Линии[Щит],A232,Линии[_дифзащита по коду, мА],"&gt;0"))))))</f>
        <v>30</v>
      </c>
      <c r="EI232">
        <f t="shared" si="307"/>
        <v>1</v>
      </c>
      <c r="EJ232" t="str">
        <f t="shared" si="308"/>
        <v>QFD8</v>
      </c>
      <c r="EK232" t="str">
        <f t="shared" si="309"/>
        <v>QFD8</v>
      </c>
      <c r="EL232" t="str">
        <f t="shared" si="310"/>
        <v/>
      </c>
      <c r="EM232">
        <f t="shared" si="311"/>
        <v>0</v>
      </c>
      <c r="EN232">
        <f>IF(AD232="","",IF(EM232=1,MAX(EE232,Мин_автомат_БП),EE232))</f>
        <v>16</v>
      </c>
      <c r="EO232" t="str">
        <f t="shared" si="312"/>
        <v>2P</v>
      </c>
      <c r="EP232" t="str">
        <f t="shared" si="313"/>
        <v>2P С16А 30мА</v>
      </c>
      <c r="EQ232">
        <f t="shared" si="314"/>
        <v>16</v>
      </c>
      <c r="ER232" t="str">
        <f>IF(OR(AI232="",AI232="-"),"",IFERROR(VLOOKUP(AI232,Модули_спр,2,FALSE),"R"))</f>
        <v/>
      </c>
      <c r="ES232" t="str">
        <f>IF(ER232="","",ER232&amp;"."&amp;COUNTIFS(A$3:A232,A232,ER$3:ER232,ER232))</f>
        <v/>
      </c>
      <c r="ET232" t="str">
        <f t="shared" si="315"/>
        <v/>
      </c>
      <c r="EU232" t="str">
        <f t="shared" si="316"/>
        <v/>
      </c>
      <c r="EV232" t="str">
        <f t="shared" si="317"/>
        <v/>
      </c>
      <c r="EW232" t="str">
        <f t="shared" si="318"/>
        <v/>
      </c>
      <c r="EX232">
        <f t="shared" si="319"/>
        <v>1</v>
      </c>
      <c r="EY232" t="str">
        <f>IF(AK232="нет","",IF(AK232&lt;&gt;"",AK232,IF(EX232=1,"XT"&amp;COUNTIFS(A$3:A232,A232,EX$3:EX232,1),"")))</f>
        <v>XT8</v>
      </c>
      <c r="EZ232" t="str">
        <f t="shared" si="320"/>
        <v>QFD8</v>
      </c>
      <c r="FA232" t="str">
        <f t="shared" si="321"/>
        <v/>
      </c>
      <c r="FB232" t="str">
        <f t="shared" si="322"/>
        <v>ok</v>
      </c>
      <c r="FC232" t="str">
        <f>IF(OR(EV232="",ET232=""),"",IF(EV232&gt;IFERROR(VLOOKUP(EU232,Модули_спр,3,FALSE),99),"ЛИШНИЙ КАНАЛ",IF(AND(AJ232&lt;&gt;"=",COUNTIFS(Линии[_модуль гр.],ET232,Линии[Канал (итог)],EV232,Линии[Канал],"&lt;&gt;=",Линии[Щит],A232)&gt;1),"ДУБЛЬ КАНАЛА","")))</f>
        <v/>
      </c>
      <c r="FD232">
        <f t="shared" si="323"/>
        <v>16</v>
      </c>
      <c r="FE232" t="str">
        <f t="shared" si="324"/>
        <v>2P С16А 30мА</v>
      </c>
      <c r="FF232">
        <f t="shared" si="325"/>
        <v>1</v>
      </c>
      <c r="FG232">
        <f t="shared" si="326"/>
        <v>30</v>
      </c>
      <c r="FH232" t="str">
        <f t="shared" si="327"/>
        <v/>
      </c>
      <c r="FI232">
        <f t="shared" si="328"/>
        <v>10</v>
      </c>
      <c r="FJ232" t="str">
        <f t="shared" si="329"/>
        <v/>
      </c>
      <c r="FK232" t="str">
        <f>IF(AND(D232="",EZ232=""),"",_xlfn.TEXTJOIN("; ",TRUE,IF(AND(D232&lt;&gt;"",DD232=""),"нет фазы",""),IF(AND(D232&lt;&gt;"",N(DT232)=0,CN232&lt;&gt;"Нет"),"нет мощности",""),IF(AND(EY232&lt;&gt;"",COUNTIFS(Линии[Щит],A232,Линии[Клемма (итог)],EY232)&gt;1),"дубль клеммы "&amp;EY232,""),IF(AND(FB232&lt;&gt;"",FB232&lt;&gt;"ok"),FB232,""),IF(FC232&lt;&gt;"",FC232,""),IF(AND(ISNUMBER(SEARCH("(5х",DS232)),N(DV232)=1),"5 жил на 1 фазе",""),IF(AND(AT232="R",AD232&lt;&gt;"",OR(N(EH232)=0,N(EH232)&gt;30)),"розетка без дифзащиты до 30 мА",""),IFERROR(IF(AND(ISNUMBER(CD232),CD232&gt;CE232),"потери "&amp;FIXED(CD232,1)&amp;" % &gt; "&amp;CE232&amp;" %",""),""),IFERROR(IF(LEFT(FJ232,4)="мало","Iкз мало — отключение &gt; 0,4 с",""),""),IF(AND(D232&lt;&gt;"",BD232=""),"не на схеме","")))</f>
        <v/>
      </c>
      <c r="FL232">
        <f>IF(AD232="","",_xlfn.LET(_xlpm.t,IFERROR(_xlfn.XLOOKUP(EP232,Каталог!$U$4:$U$500,Каталог!$G$4:$G$500),""),_xlpm.k,SEARCH("кА",_xlpm.t),IFERROR(--TRIM(RIGHT(SUBSTITUTE(MID(_xlpm.t,MAX(1,_xlpm.k-4),_xlpm.k-MAX(1,_xlpm.k-4))," ",REPT(" ",9)),5)),"")))</f>
        <v>6</v>
      </c>
      <c r="FM232" t="str">
        <f>IF(OR(FL232="",AD232=""),"",IF(_xlfn.XLOOKUP(A232,Щиты[Щит],Щиты[Iкз max на шинах, кА],"")="","",IF(FL232&lt;_xlfn.XLOOKUP(A232,Щиты[Щит],Щиты[Iкз max на шинах, кА]),"Icu "&amp;FL232&amp;" кА &lt; Iкз max","ok")))</f>
        <v/>
      </c>
      <c r="FN232" t="str">
        <f t="shared" si="330"/>
        <v>QFD8|XT8</v>
      </c>
      <c r="FO232" t="str">
        <f t="shared" si="331"/>
        <v>QFD8|XT8|кабель ВВГнг(А)-LS (3х2,5) → Розеточная группа Первый этаж Пом. №002Б Ледогенератор</v>
      </c>
      <c r="FP232" t="str" cm="1">
        <f t="array" ref="FP232">IF(FO232="","",_xlfn.LET(_xlpm.nd,_xlfn.TEXTSPLIT(FO232,"|"),IF(COLUMNS(_xlpm.nd)&gt;1,A232&amp;"¦"&amp;INDEX(_xlpm.nd,1)&amp;"¦"&amp;INDEX(_xlpm.nd,2),"")))</f>
        <v>ЩР-1¦QFD8¦XT8</v>
      </c>
      <c r="FQ232" t="str">
        <f t="shared" si="332"/>
        <v>R.1.002Б.3¦Розеточная группа Первый этаж Пом. №002Б Ледогенератор</v>
      </c>
      <c r="FR232" t="str" cm="1">
        <f t="array" ref="FR232">IF(FO232="","",_xlfn.LET(_xlpm.nd,_xlfn.TEXTSPLIT(FO232,"|"),IF(COLUMNS(_xlpm.nd)&gt;2,A232&amp;"¦"&amp;INDEX(_xlpm.nd,2)&amp;"¦"&amp;INDEX(_xlpm.nd,3),"")))</f>
        <v>ЩР-1¦XT8¦кабель ВВГнг(А)-LS (3х2,5) → Розеточная группа Первый этаж Пом. №002Б Ледогенератор</v>
      </c>
      <c r="FS232" t="str">
        <f t="shared" si="333"/>
        <v>R.1.002Б.3¦Розеточная группа Первый этаж Пом. №002Б Ледогенератор</v>
      </c>
      <c r="FT232" t="str" cm="1">
        <f t="array" ref="FT232">IF(FO232="","",_xlfn.LET(_xlpm.nd,_xlfn.TEXTSPLIT(FO232,"|"),IF(COLUMNS(_xlpm.nd)&gt;3,A232&amp;"¦"&amp;INDEX(_xlpm.nd,3)&amp;"¦"&amp;INDEX(_xlpm.nd,4),"")))</f>
        <v/>
      </c>
      <c r="FU232" t="str">
        <f t="shared" si="334"/>
        <v/>
      </c>
      <c r="FV232" t="str" cm="1">
        <f t="array" ref="FV232">IF(FO232="","",_xlfn.LET(_xlpm.nd,_xlfn.TEXTSPLIT(FO232,"|"),IF(COLUMNS(_xlpm.nd)&gt;4,A232&amp;"¦"&amp;INDEX(_xlpm.nd,4)&amp;"¦"&amp;INDEX(_xlpm.nd,5),"")))</f>
        <v/>
      </c>
      <c r="FW232" t="str">
        <f t="shared" si="335"/>
        <v/>
      </c>
      <c r="FX232" t="str" cm="1">
        <f t="array" ref="FX232">IF(FO232="","",_xlfn.LET(_xlpm.nd,_xlfn.TEXTSPLIT(FO232,"|"),IF(COLUMNS(_xlpm.nd)&gt;5,A232&amp;"¦"&amp;INDEX(_xlpm.nd,5)&amp;"¦"&amp;INDEX(_xlpm.nd,6),"")))</f>
        <v/>
      </c>
      <c r="FY232" t="str">
        <f t="shared" si="336"/>
        <v/>
      </c>
      <c r="FZ232" t="str" cm="1">
        <f t="array" ref="FZ232">IF(FO232="","",_xlfn.LET(_xlpm.nd,_xlfn.TEXTSPLIT(FO232,"|"),IF(COLUMNS(_xlpm.nd)&gt;6,A232&amp;"¦"&amp;INDEX(_xlpm.nd,6)&amp;"¦"&amp;INDEX(_xlpm.nd,7),"")))</f>
        <v/>
      </c>
      <c r="GA232" t="str">
        <f t="shared" si="337"/>
        <v/>
      </c>
      <c r="GB232" t="str">
        <f t="shared" si="338"/>
        <v/>
      </c>
      <c r="GC232" t="str">
        <f t="shared" si="339"/>
        <v>QFD8 → XT8</v>
      </c>
      <c r="GD232">
        <f t="shared" si="340"/>
        <v>1</v>
      </c>
      <c r="GE232">
        <f t="shared" si="341"/>
        <v>0</v>
      </c>
      <c r="GF232">
        <f t="shared" si="342"/>
        <v>1</v>
      </c>
      <c r="GG232" t="str">
        <f t="shared" si="343"/>
        <v/>
      </c>
      <c r="GH232" t="str">
        <f t="shared" si="344"/>
        <v/>
      </c>
      <c r="GI232" t="str">
        <f t="shared" si="345"/>
        <v/>
      </c>
      <c r="GJ232" t="str">
        <f t="shared" si="346"/>
        <v/>
      </c>
      <c r="GK232" t="str">
        <f>IF(D232="","",IFERROR(VLOOKUP(D232,УГО_спр,2,FALSE),IFERROR(VLOOKUP(AT232,УГО_спр,2,FALSE),IFERROR(VLOOKUP(LEFT(AT232,2),УГО_спр,2,FALSE),""))))</f>
        <v>Розетка</v>
      </c>
      <c r="GL232" t="str">
        <f>IF(D232="","",IF(OR(GK232="",GK232=0),"BOX",IFERROR(IF(VLOOKUP(GK232,УГО_блоки,3,FALSE)&amp;""&lt;&gt;"",VLOOKUP(GK232,УГО_блоки,3,FALSE),VLOOKUP(GK232,УГО_блоки,2,FALSE)),GK232)))</f>
        <v>SOCKET</v>
      </c>
      <c r="GM232">
        <f t="shared" si="347"/>
        <v>1</v>
      </c>
      <c r="GN232" t="str">
        <f>IF(EP232="","",IF(COUNTIF(EP$3:EP232,EP232)=1,MAX(GN$2:GN231)+1,""))</f>
        <v/>
      </c>
      <c r="GO232" t="str">
        <f>IF(AF232="","",IF(COUNTIF(AF$3:AF232,AF232)+COUNTIF(AG$2:AG231,AF232)+COUNTIF(AH$2:AH231,AF232)=1,MAX(GO$2:GQ231)+1,""))</f>
        <v/>
      </c>
      <c r="GP232" t="str">
        <f>IF(AG232="","",IF(COUNTIF(AF$3:AF232,AG232)+COUNTIF(AG$3:AG232,AG232)+COUNTIF(AH$2:AH231,AG232)=1,MAX(GO$2:GQ231,GO232)+1,""))</f>
        <v/>
      </c>
      <c r="GQ232" t="str">
        <f>IF(AH232="","",IF(COUNTIF(AF$3:AF232,AH232)+COUNTIF(AG$3:AG232,AH232)+COUNTIF(AH$3:AH232,AH232)=1,MAX(GO$2:GQ231,GO232,GP232)+1,""))</f>
        <v/>
      </c>
      <c r="GR232" t="str">
        <f t="shared" si="348"/>
        <v>3х2,5</v>
      </c>
      <c r="GS232" t="str">
        <f>IF(GR232="","",IF(COUNTIF(GR$3:GR232,GR232)=1,MAX(GS$2:GS231)+1,""))</f>
        <v/>
      </c>
      <c r="GT232" t="str">
        <f>IF(ES232="","",COUNTIF(ES$3:ES232,"?*"))</f>
        <v/>
      </c>
      <c r="GU232" t="str">
        <f>IF(OR(ES232="",EU232=""),"",IF(COUNTIFS(ES$3:ES232,"?*",EU$3:EU232,EU232)=1,MAX(GU$2:GU231)+1,""))</f>
        <v/>
      </c>
      <c r="GV232">
        <f t="shared" si="349"/>
        <v>0</v>
      </c>
      <c r="GW232">
        <f>IF(D232="","",COUNTIF(D$3:D232,"?*"))</f>
        <v>230</v>
      </c>
      <c r="GX232">
        <f>IF(EX232&lt;&gt;1,0,_xlfn.LET(_xlpm.k,MAX(IFERROR(--VLOOKUP(D232,УГО_спр,5,FALSE),0),IFERROR(--VLOOKUP(AT232,УГО_спр,5,FALSE),0),IFERROR(--VLOOKUP(LEFT(AT232,2),УГО_спр,5,FALSE),0)),IF(_xlpm.k&gt;0,_xlpm.k,IF(IFERROR(--LEFT(SUBSTITUTE(GR232,"x","х"),FIND("х",SUBSTITUTE(GR232,"x","х"))-1),3)&gt;3,Каталог!$S$9,1))))</f>
        <v>1</v>
      </c>
      <c r="GY232">
        <f t="shared" si="350"/>
        <v>0</v>
      </c>
    </row>
    <row r="233" spans="1:207" x14ac:dyDescent="0.3">
      <c r="A233" t="s">
        <v>762</v>
      </c>
      <c r="B233">
        <v>19</v>
      </c>
      <c r="C233" t="str">
        <f>IF(BD233="","",IF(BE233="вводной узел","узел ","")&amp;"л."&amp;(INT((BD233-1)/Столбцов_на_лист)+1)&amp;" / "&amp;(MOD(BD233-1,Столбцов_на_лист)+1))</f>
        <v>л.2 / 2</v>
      </c>
      <c r="D233" t="s">
        <v>1552</v>
      </c>
      <c r="E233" s="133" t="s">
        <v>1553</v>
      </c>
      <c r="G233">
        <v>0.18</v>
      </c>
      <c r="H233">
        <v>1</v>
      </c>
      <c r="I233">
        <v>1</v>
      </c>
      <c r="J233">
        <v>230</v>
      </c>
      <c r="K233" t="s">
        <v>566</v>
      </c>
      <c r="O233">
        <v>3</v>
      </c>
      <c r="P233">
        <v>14</v>
      </c>
      <c r="Q233">
        <v>0</v>
      </c>
      <c r="R233">
        <v>14</v>
      </c>
      <c r="S233">
        <v>0</v>
      </c>
      <c r="U233" t="s">
        <v>11</v>
      </c>
      <c r="V233">
        <v>3</v>
      </c>
      <c r="W233">
        <v>2.5</v>
      </c>
      <c r="Z233" t="s">
        <v>565</v>
      </c>
      <c r="AA233" t="s">
        <v>818</v>
      </c>
      <c r="AD233" t="s">
        <v>517</v>
      </c>
      <c r="AK233" t="s">
        <v>488</v>
      </c>
      <c r="AR233" t="str">
        <f t="shared" si="264"/>
        <v/>
      </c>
      <c r="AS233" cm="1">
        <f t="array" ref="AS233">ROW()-ROW(Линии[#Headers])</f>
        <v>231</v>
      </c>
      <c r="AT233" t="str">
        <f t="shared" si="265"/>
        <v>R</v>
      </c>
      <c r="AU233" t="str">
        <f t="shared" si="266"/>
        <v>1.002Б.4</v>
      </c>
      <c r="AV233" t="str">
        <f t="shared" si="267"/>
        <v>1</v>
      </c>
      <c r="AW233" t="str">
        <f t="shared" si="268"/>
        <v>002Б.4</v>
      </c>
      <c r="AX233" t="str">
        <f t="shared" si="269"/>
        <v>002Б</v>
      </c>
      <c r="AY233" t="str">
        <f>IF(D233="","",IF(ISERROR(SEARCH(".",D233)),IFERROR(VLOOKUP(D233,Потребители_обозначение,2,FALSE)&amp;"",""),IFERROR(IF(VLOOKUP(AT233,Потребители_обозначение,4,FALSE)=1,VLOOKUP(AT233,Потребители_обозначение,2,FALSE)&amp;" "&amp;VLOOKUP(AV233,Этаж_обозначение,2,FALSE)&amp;" Пом. №"&amp;AX233,VLOOKUP(AT233,Потребители_обозначение,2,FALSE)&amp;" Шлейф №"&amp;AV233),IFERROR(VLOOKUP(D233,Потребители_обозначение,2,FALSE),""))))</f>
        <v>Розеточная группа Первый этаж Пом. №002Б</v>
      </c>
      <c r="AZ233" t="str">
        <f t="shared" si="270"/>
        <v>Розеточная группа Первый этаж Пом. №002Б Фартук</v>
      </c>
      <c r="BA233" t="str">
        <f>IF(F233&lt;&gt;"",F233,IF(AND(D233&lt;&gt;"",D233&lt;&gt;A233,ISNUMBER(_xlfn.XMATCH(D233,Щиты[Щит]))),D233,""))</f>
        <v/>
      </c>
      <c r="BB233">
        <f>IFERROR(_xlfn.XMATCH(A233,Щиты[Щит]),0)</f>
        <v>10</v>
      </c>
      <c r="BC233">
        <f>IFERROR(N(_xlfn.XLOOKUP(A233,Щиты[Щит],Щиты[Мест под вводной узел])),15)</f>
        <v>8</v>
      </c>
      <c r="BD233">
        <f t="shared" si="271"/>
        <v>19</v>
      </c>
      <c r="BE233" t="str">
        <f t="shared" si="272"/>
        <v>линии</v>
      </c>
      <c r="BF233">
        <f>IF(D233="","",IF(BA233&lt;&gt;"",IFERROR(_xlfn.XLOOKUP(BA233,Щиты[Щит],Щиты[Руст, кВт]),0),N(G233)))</f>
        <v>0.18</v>
      </c>
      <c r="BG233">
        <f>IF(J233&lt;&gt;"",J233,IF(D233="","",IFERROR(IF(VLOOKUP(AT233,Потребители_обозначение,8,FALSE)=0,"",VLOOKUP(AT233,Потребители_обозначение,8,FALSE)),"")))</f>
        <v>230</v>
      </c>
      <c r="BH233">
        <f>IF(I233&lt;&gt;"",I233,IF(D233="","",IFERROR(IF(VLOOKUP(AT233,Потребители_обозначение,9,FALSE)=0,"",VLOOKUP(AT233,Потребители_обозначение,9,FALSE)),"")))</f>
        <v>1</v>
      </c>
      <c r="BI233" t="str">
        <f>IF(U233&lt;&gt;"",U233,IF(D233="","",IFERROR(IF(VLOOKUP(AT233,Потребители_обозначение,6,FALSE)=0,"",VLOOKUP(AT233,Потребители_обозначение,6,FALSE)),"")))</f>
        <v>мс</v>
      </c>
      <c r="BJ233">
        <f>IF(V233&lt;&gt;"",V233,IF(D233="","",IFERROR(IF(VLOOKUP(AT233,Потребители_обозначение,7,FALSE)=0,"",VLOOKUP(AT233,Потребители_обозначение,7,FALSE)),"")))</f>
        <v>3</v>
      </c>
      <c r="BK233">
        <f>IF(W233&lt;&gt;"",W233,IF(D233="","",IFERROR(IF(VLOOKUP(AT233,Потребители_обозначение,10,FALSE)=0,"",VLOOKUP(AT233,Потребители_обозначение,10,FALSE)),"")))</f>
        <v>2.5</v>
      </c>
      <c r="BL233">
        <f>IFERROR(VLOOKUP(AT233,Потребители_обозначение,5,FALSE),0)</f>
        <v>1</v>
      </c>
      <c r="BM233" cm="1">
        <f t="array" ref="BM233">IF(D233="","",IF(BA233&lt;&gt;"",IFERROR(_xlfn.XLOOKUP(BA233,Щиты[Щит],Щиты[cos φ]),0.95),IF(ISNUMBER(M233),M233,IFERROR(IF(BL233=2,_xlfn.IFS(BH233=3,VLOOKUP(BF233,Справочная_двигатели,8,FALSE),BH233=1,VLOOKUP(BF233,Справочная_двигатели,10,TRUE)),IF(AND(Методика="нормы 2026",CN233="Сил"),0.8,0.95)),0.95))))</f>
        <v>0.95</v>
      </c>
      <c r="BN233" cm="1">
        <f t="array" ref="BN233">IF(D233="","",IF(BA233&lt;&gt;"",IFERROR(_xlfn.XLOOKUP(BA233,Щиты[Щит],Щиты[Iр, А]),""),IFERROR(_xlfn.IFS(BH233=1,BF233/((Uн_лин/SQRT(3))*BM233),BH233=3,BF233/(SQRT(3)*Uн_лин*BM233)),"")))</f>
        <v>0.8204451193747313</v>
      </c>
      <c r="BO233">
        <f>IF(D233="","",IF(N(X233)=0,IFERROR(VLOOKUP(BN233,Автомат_номиналы,2,TRUE),""),X233))</f>
        <v>6</v>
      </c>
      <c r="BP233">
        <f t="shared" si="273"/>
        <v>1</v>
      </c>
      <c r="BQ233">
        <f>IF(ISNUMBER(Y233),Y233,К_прокл)</f>
        <v>1</v>
      </c>
      <c r="BR233">
        <f t="shared" si="274"/>
        <v>2</v>
      </c>
      <c r="BS233" cm="1">
        <f t="array" ref="BS233">IF(D233="","",IF(N(BK233)&lt;&gt;0,BK233,IFERROR(_xlfn.LET(_xlpm.need,BO233/(BP233*BQ233),_xlpm.t,CHOOSE(BR233,Iдоп_1ж,Iдоп_2ж,Iдоп_3ж),_xlpm.k,_xlfn.XMATCH(_xlpm.need,_xlpm.t,1),IF(ISNA(_xlpm.k),"Не исп",INDEX(Iдоп_S,_xlpm.k))),"Не исп")))</f>
        <v>2.5</v>
      </c>
      <c r="BT233">
        <f>IFERROR(VLOOKUP(BS233,Кабель_сопротивление,3,FALSE),"")</f>
        <v>2.2499999999999999E-2</v>
      </c>
      <c r="BU233">
        <f>IFERROR(VLOOKUP(BS233,Кабель_сопротивление,2,FALSE),"")</f>
        <v>0.1</v>
      </c>
      <c r="BV233">
        <f t="shared" si="275"/>
        <v>14</v>
      </c>
      <c r="BW233">
        <f>IF(D233="","",IFERROR(IF(VLOOKUP(AT233,Потребители_обозначение,4,FALSE)=1,VLOOKUP(AT233,Потребители_обозначение,3,FALSE)*(H233*2-1)+BV233+VLOOKUP(AV233,Этаж_обозначение,3,FALSE)+VLOOKUP(AV233,Этаж_обозначение,4,FALSE),VLOOKUP(AT233,Потребители_обозначение,3,FALSE)*(H233*2-1)+BV233),BV233))</f>
        <v>17</v>
      </c>
      <c r="BX233">
        <f t="shared" si="276"/>
        <v>14</v>
      </c>
      <c r="BY233">
        <f t="shared" si="277"/>
        <v>0</v>
      </c>
      <c r="BZ233">
        <f t="shared" si="278"/>
        <v>2</v>
      </c>
      <c r="CA233">
        <f t="shared" si="279"/>
        <v>0.31</v>
      </c>
      <c r="CB233">
        <f t="shared" si="280"/>
        <v>0.23936814535805531</v>
      </c>
      <c r="CC233">
        <f>IFERROR(ROUNDUP(CB233/((Uн_лин/SQRT(3))*1000)*100,2),"")</f>
        <v>0.11</v>
      </c>
      <c r="CD233">
        <f>IF(ISNUMBER(CC233),CC233+IFERROR(_xlfn.XLOOKUP(A233,Щиты[Щит],Щиты[ΔU до шин, %]),0),"")</f>
        <v>1.36</v>
      </c>
      <c r="CE233">
        <f>IF(D233="","",IF(IFERROR(VLOOKUP(AT233,УГО_спр,2,FALSE),"")="Светильник",3,4)+IF(Методика="нормы 2026",MIN(0.5,MAX(0,N(BW233)-100)*0.005),0))</f>
        <v>4</v>
      </c>
      <c r="CF233" t="str">
        <f>IFERROR(VLOOKUP(BI233,Кабель_обозначение,2,FALSE),"")</f>
        <v>ВВГнг(А)-LS</v>
      </c>
      <c r="CG233" t="str">
        <f>IFERROR(IF(VLOOKUP(BI233,Кабель_обозначение,3,FALSE)=1,CF233&amp;" ("&amp;BJ233&amp;"х"&amp;BS233&amp;")",CF233),"")</f>
        <v>ВВГнг(А)-LS (3х2,5)</v>
      </c>
      <c r="CH233" t="str">
        <f t="shared" si="281"/>
        <v>ВВГнг(А)-LS (3х2,5)
L=17-0,11%</v>
      </c>
      <c r="CI233">
        <f>IFERROR(2*ρкз_Cu*BW233/BS233,"")</f>
        <v>0.35768</v>
      </c>
      <c r="CJ233">
        <f t="shared" si="282"/>
        <v>0.11900000000000002</v>
      </c>
      <c r="CK233" t="str">
        <f>IFERROR(IF(OR(D233="",NOT(ISNUMBER(BS233)),N(BW233)=0),"",_xlfn.XLOOKUP(A233,Щиты[Щит],Щиты[Zпетли на шинах, Ом])+CI233),"")</f>
        <v/>
      </c>
      <c r="CL233" t="str">
        <f>IF(ISNUMBER(CK233),c_min*(Uн_лин*1000/SQRT(3))/CK233,"")</f>
        <v/>
      </c>
      <c r="CM233" t="str">
        <f>IFERROR(IF(OR(D233="",NOT(ISNUMBER(BS233))),"",1.05*(Uн_лин*1000/SQRT(3))/(_xlfn.XLOOKUP(A233,Щиты[Щит],Щиты[Zmax на шинах, Ом])+CJ233)/1000),"")</f>
        <v/>
      </c>
      <c r="CN233" t="str">
        <f>IF(D233="","",IF(BA233&lt;&gt;"","Щит",IF(K233&lt;&gt;"",K233,IF(ISNUMBER(L233),"Сил",IF(IFERROR(_xlfn.XLOOKUP(AT233,Коды_код,Коды_группа)&amp;"","")="","Быт",_xlfn.XLOOKUP(AT233,Коды_код,Коды_группа)&amp;"")))))</f>
        <v>Быт</v>
      </c>
      <c r="CO233">
        <f>IF(CN233="Щит","щит",IF(CN233="","",IF(CN233="Быт",IFERROR(_xlfn.XLOOKUP(A233,Щиты[Щит],Щиты[Кс быт]),1),IF(CN233="Сил",IF(ISNUMBER(L233),L233,IF(Методика="нормы 2026",IFERROR(_xlfn.XLOOKUP(A233,Щиты[Щит],Щиты[Кс силовых (табл. 7.5)]),1),1)),IF(OR(CN233="Пост",CN233="Отоп"),1,IF(CN233="ВНГ",0.7,0))))))</f>
        <v>0.57830000000000004</v>
      </c>
      <c r="CP233">
        <f t="shared" si="283"/>
        <v>1</v>
      </c>
      <c r="CQ233">
        <f t="shared" si="284"/>
        <v>0.18</v>
      </c>
      <c r="CR233">
        <f t="shared" si="285"/>
        <v>0.18</v>
      </c>
      <c r="CS233">
        <f t="shared" si="286"/>
        <v>0</v>
      </c>
      <c r="CT233">
        <f t="shared" si="287"/>
        <v>0</v>
      </c>
      <c r="CU233">
        <f t="shared" si="288"/>
        <v>0</v>
      </c>
      <c r="CV233">
        <f t="shared" si="289"/>
        <v>0</v>
      </c>
      <c r="CW233">
        <f t="shared" si="290"/>
        <v>0.18</v>
      </c>
      <c r="CX233">
        <f t="shared" si="291"/>
        <v>0.17099999999999999</v>
      </c>
      <c r="CY233">
        <f t="shared" si="292"/>
        <v>3</v>
      </c>
      <c r="CZ233" t="str">
        <f t="shared" si="293"/>
        <v>L3</v>
      </c>
      <c r="DA233" cm="1">
        <f t="array" ref="DA233">IFERROR(IF(BL233=2,_xlfn.IFS(BH233=3,VLOOKUP(BF233,Справочная_двигатели,3,FALSE),BH233=1,VLOOKUP(BF233,Справочная_двигатели,5,TRUE)),0),0)</f>
        <v>0</v>
      </c>
      <c r="DB233">
        <f>IFERROR(IF(BL233=3,VLOOKUP(BF233,Справочная_ЛЭД,2,TRUE),0),0)</f>
        <v>0</v>
      </c>
      <c r="DC233">
        <f t="shared" si="294"/>
        <v>0</v>
      </c>
      <c r="DD233" t="str">
        <f t="shared" si="295"/>
        <v>L3</v>
      </c>
      <c r="DE233" t="str" cm="1">
        <f t="array" ref="DE233">IF(D233="","",IFERROR(INDEX({"I особая","I","II","III"},MATCH(TRIM(AA233&amp;""),{"I особая","I","II","III"},0)),"III"))</f>
        <v>II</v>
      </c>
      <c r="DF233" t="str">
        <f>IF(D233="","",IF(TRIM(AB233&amp;"")&lt;&gt;"",IF(LOWER(TRIM(AB233&amp;""))="да","да","нет"),IF(IFERROR(_xlfn.XLOOKUP(AT233,Коды_код,Коды_пожарная),"")="да","да","нет")))</f>
        <v>нет</v>
      </c>
      <c r="DG233" t="str">
        <f t="shared" si="296"/>
        <v/>
      </c>
      <c r="DH233" t="str">
        <f t="shared" si="297"/>
        <v>основная</v>
      </c>
      <c r="DI233">
        <f t="shared" si="298"/>
        <v>1</v>
      </c>
      <c r="DJ233" t="str" cm="1">
        <f t="array" ref="DJ233">IF(D233="","",_xlfn.LET(_xlpm.t,IFERROR(_xlfn.XLOOKUP(1,(Шины[Шина]=DH233)*(((Шины[Щит]=A233)+(Шины[Щит]=""))&gt;0),Шины[Тип]),"")&amp;"",IF(_xlpm.t&lt;&gt;"",_xlpm.t,IF(ISNUMBER(SEARCH("ИБП",DH233)),"ИБП",IF(ISNUMBER(SEARCH("ДГУ",DH233)),"ДГУ","Ввод "&amp;DI233)))))</f>
        <v>Ввод 1</v>
      </c>
      <c r="DK233" t="str">
        <f t="shared" si="299"/>
        <v>Ввод 1</v>
      </c>
      <c r="DL233" t="str">
        <f>IF(D233="","",IF(OR(DJ233="ИБП",DJ233="ДГУ"),"I особая",IF(DJ233="Одиночная","III",_xlfn.XLOOKUP(A233,Щиты[Щит],Щиты[Категория шины «Ввод»],"III"))))</f>
        <v>II</v>
      </c>
      <c r="DM233">
        <f>IF(D233="",0,IFERROR(MATCH(DE233,{"III","II","I","I особая"},0),1))</f>
        <v>2</v>
      </c>
      <c r="DN233">
        <f t="shared" si="300"/>
        <v>2</v>
      </c>
      <c r="DO233" t="str">
        <f>IF(D233="","",IF(DM233&gt;IFERROR(MATCH(DL233,{"III","II","I","I особая"},0),1),"НЕ ОБЕСПЕЧЕНА","ОК"))</f>
        <v>ОК</v>
      </c>
      <c r="DP233" t="str">
        <f>IF(A233="","",_xlfn.XLOOKUP(A233,Щиты[Щит],Щиты[Путь],""))</f>
        <v>|ГРЩ-ЖД|ЩР-1|</v>
      </c>
      <c r="DQ233" t="str">
        <f>IF(D233="","",IF(Z233&lt;&gt;"",Z233,IF(IFERROR(_xlfn.XLOOKUP(AT233,Коды_код,Коды_вид)&amp;"","")="","Прочее",_xlfn.XLOOKUP(AT233,Коды_код,Коды_вид)&amp;"")))</f>
        <v>Розеточная сеть и бытовые приборы</v>
      </c>
      <c r="DR233">
        <f>IF(BD233="","",INT((BD233-1)/Столбцов_на_лист)+1)</f>
        <v>2</v>
      </c>
      <c r="DS233" t="str">
        <f t="shared" si="301"/>
        <v>ВВГнг(А)-LS (3х2,5) L=17-0,11%</v>
      </c>
      <c r="DT233">
        <f t="shared" si="302"/>
        <v>0.18</v>
      </c>
      <c r="DU233">
        <f t="shared" si="303"/>
        <v>0.83</v>
      </c>
      <c r="DV233">
        <f t="shared" si="304"/>
        <v>1</v>
      </c>
      <c r="DW233">
        <f>IF(AT233="",0,_xlfn.LET(_xlpm.v,IFERROR(VLOOKUP(D233,УГО_спр,3,FALSE),IFERROR(VLOOKUP(AT233,УГО_спр,3,FALSE),IFERROR(VLOOKUP(LEFT(AT233,2),УГО_спр,3,FALSE),""))),IF(_xlpm.v="да",30,IF(ISNUMBER(_xlpm.v),_xlpm.v,0))))</f>
        <v>30</v>
      </c>
      <c r="DX233">
        <f t="shared" si="305"/>
        <v>0</v>
      </c>
      <c r="DY233">
        <f>IF(BD233="","",IF(AD233&lt;&gt;"",COUNTIFS(A$3:A233,A233,AD$3:AD233,"?*"),IF(OR(OR(AS233=1,A233&lt;&gt;A232),AL233="вручную"),"",IF(AS233=1,"",DZ232))))</f>
        <v>9</v>
      </c>
      <c r="DZ233">
        <f t="shared" si="306"/>
        <v>9</v>
      </c>
      <c r="EA233">
        <f>IF(D233="",0,MAX(IFERROR(--X233,0),IFERROR(--VLOOKUP(D233,УГО_спр,4,FALSE),IFERROR(--VLOOKUP(AT233,УГО_спр,4,FALSE),IFERROR(--VLOOKUP(LEFT(AT233,2),УГО_спр,4,FALSE),0)))))</f>
        <v>16</v>
      </c>
      <c r="EB233">
        <f>IF(D233="","",IFERROR(LOOKUP(INDEX(CHOOSE(BR233,Iдоп_1ж,Iдоп_2ж,Iдоп_3ж),MATCH(BS233,Iдоп_S,0))*BP233*BQ233,{6,10,16,20,25,32,40,50,63,80,100,125,160,200,250,315,400,500,630}),""))</f>
        <v>25</v>
      </c>
      <c r="EC233">
        <f>IF(AD233="","",SUMIFS(Линии[_Ток схемы],Линии[_гр.],DY233,Линии[Щит],A233,Линии[_в кабель выше],0))</f>
        <v>0.83</v>
      </c>
      <c r="ED233">
        <f>IF(AD233="","",IFERROR(VLOOKUP(EC233,Автомат_номиналы,2,TRUE),""))</f>
        <v>6</v>
      </c>
      <c r="EE233">
        <f>IF(AD233="","",MAX(N(ED233),_xlfn.MAXIFS(Линии[_мин. по типу],Линии[_гр.],DY233,Линии[Щит],A233)))</f>
        <v>16</v>
      </c>
      <c r="EF233">
        <f>IF(AD233="","",_xlfn.MINIFS(Линии[_макс. автомат по кабелю],Линии[_гр.],DY233,Линии[Щит],A233))</f>
        <v>25</v>
      </c>
      <c r="EG233">
        <f>IF(AD233="","",MAX(1,_xlfn.MAXIFS(Линии[_фаз],Линии[_гр.],DY233,Линии[Щит],A233)))</f>
        <v>1</v>
      </c>
      <c r="EH233">
        <f>IF(AD233="","",IF(AND(AD233&lt;&gt;"авто",AD233&lt;&gt;"+"),IF(ISNUMBER(SEARCH("мА",AD233)),IFERROR(--TRIM(RIGHT(SUBSTITUTE(LEFT(AD233,SEARCH("мА",AD233)-1)," ",REPT(" ",9)),6)),30),0),IF(AE233="нет",0,IF(ISNUMBER(AE233),AE233,IF(AE233="да",30,_xlfn.MINIFS(Линии[_дифзащита по коду, мА],Линии[_гр.],DY233,Линии[Щит],A233,Линии[_дифзащита по коду, мА],"&gt;0"))))))</f>
        <v>30</v>
      </c>
      <c r="EI233">
        <f t="shared" si="307"/>
        <v>1</v>
      </c>
      <c r="EJ233" t="str">
        <f t="shared" si="308"/>
        <v>QFD9</v>
      </c>
      <c r="EK233" t="str">
        <f t="shared" si="309"/>
        <v>QFD9</v>
      </c>
      <c r="EL233" t="str">
        <f t="shared" si="310"/>
        <v/>
      </c>
      <c r="EM233">
        <f t="shared" si="311"/>
        <v>0</v>
      </c>
      <c r="EN233">
        <f>IF(AD233="","",IF(EM233=1,MAX(EE233,Мин_автомат_БП),EE233))</f>
        <v>16</v>
      </c>
      <c r="EO233" t="str">
        <f t="shared" si="312"/>
        <v>2P</v>
      </c>
      <c r="EP233" t="str">
        <f t="shared" si="313"/>
        <v>2P С16А 30мА</v>
      </c>
      <c r="EQ233">
        <f t="shared" si="314"/>
        <v>16</v>
      </c>
      <c r="ER233" t="str">
        <f>IF(OR(AI233="",AI233="-"),"",IFERROR(VLOOKUP(AI233,Модули_спр,2,FALSE),"R"))</f>
        <v/>
      </c>
      <c r="ES233" t="str">
        <f>IF(ER233="","",ER233&amp;"."&amp;COUNTIFS(A$3:A233,A233,ER$3:ER233,ER233))</f>
        <v/>
      </c>
      <c r="ET233" t="str">
        <f t="shared" si="315"/>
        <v/>
      </c>
      <c r="EU233" t="str">
        <f t="shared" si="316"/>
        <v/>
      </c>
      <c r="EV233" t="str">
        <f t="shared" si="317"/>
        <v/>
      </c>
      <c r="EW233" t="str">
        <f t="shared" si="318"/>
        <v/>
      </c>
      <c r="EX233">
        <f t="shared" si="319"/>
        <v>1</v>
      </c>
      <c r="EY233" t="str">
        <f>IF(AK233="нет","",IF(AK233&lt;&gt;"",AK233,IF(EX233=1,"XT"&amp;COUNTIFS(A$3:A233,A233,EX$3:EX233,1),"")))</f>
        <v/>
      </c>
      <c r="EZ233" t="str">
        <f t="shared" si="320"/>
        <v>QFD9</v>
      </c>
      <c r="FA233" t="str">
        <f t="shared" si="321"/>
        <v/>
      </c>
      <c r="FB233" t="str">
        <f t="shared" si="322"/>
        <v>ok</v>
      </c>
      <c r="FC233" t="str">
        <f>IF(OR(EV233="",ET233=""),"",IF(EV233&gt;IFERROR(VLOOKUP(EU233,Модули_спр,3,FALSE),99),"ЛИШНИЙ КАНАЛ",IF(AND(AJ233&lt;&gt;"=",COUNTIFS(Линии[_модуль гр.],ET233,Линии[Канал (итог)],EV233,Линии[Канал],"&lt;&gt;=",Линии[Щит],A233)&gt;1),"ДУБЛЬ КАНАЛА","")))</f>
        <v/>
      </c>
      <c r="FD233">
        <f t="shared" si="323"/>
        <v>16</v>
      </c>
      <c r="FE233" t="str">
        <f t="shared" si="324"/>
        <v>2P С16А 30мА</v>
      </c>
      <c r="FF233">
        <f t="shared" si="325"/>
        <v>1</v>
      </c>
      <c r="FG233">
        <f t="shared" si="326"/>
        <v>30</v>
      </c>
      <c r="FH233" t="str">
        <f t="shared" si="327"/>
        <v/>
      </c>
      <c r="FI233">
        <f t="shared" si="328"/>
        <v>10</v>
      </c>
      <c r="FJ233" t="str">
        <f t="shared" si="329"/>
        <v/>
      </c>
      <c r="FK233" t="str">
        <f>IF(AND(D233="",EZ233=""),"",_xlfn.TEXTJOIN("; ",TRUE,IF(AND(D233&lt;&gt;"",DD233=""),"нет фазы",""),IF(AND(D233&lt;&gt;"",N(DT233)=0,CN233&lt;&gt;"Нет"),"нет мощности",""),IF(AND(EY233&lt;&gt;"",COUNTIFS(Линии[Щит],A233,Линии[Клемма (итог)],EY233)&gt;1),"дубль клеммы "&amp;EY233,""),IF(AND(FB233&lt;&gt;"",FB233&lt;&gt;"ok"),FB233,""),IF(FC233&lt;&gt;"",FC233,""),IF(AND(ISNUMBER(SEARCH("(5х",DS233)),N(DV233)=1),"5 жил на 1 фазе",""),IF(AND(AT233="R",AD233&lt;&gt;"",OR(N(EH233)=0,N(EH233)&gt;30)),"розетка без дифзащиты до 30 мА",""),IFERROR(IF(AND(ISNUMBER(CD233),CD233&gt;CE233),"потери "&amp;FIXED(CD233,1)&amp;" % &gt; "&amp;CE233&amp;" %",""),""),IFERROR(IF(LEFT(FJ233,4)="мало","Iкз мало — отключение &gt; 0,4 с",""),""),IF(AND(D233&lt;&gt;"",BD233=""),"не на схеме","")))</f>
        <v/>
      </c>
      <c r="FL233">
        <f>IF(AD233="","",_xlfn.LET(_xlpm.t,IFERROR(_xlfn.XLOOKUP(EP233,Каталог!$U$4:$U$500,Каталог!$G$4:$G$500),""),_xlpm.k,SEARCH("кА",_xlpm.t),IFERROR(--TRIM(RIGHT(SUBSTITUTE(MID(_xlpm.t,MAX(1,_xlpm.k-4),_xlpm.k-MAX(1,_xlpm.k-4))," ",REPT(" ",9)),5)),"")))</f>
        <v>6</v>
      </c>
      <c r="FM233" t="str">
        <f>IF(OR(FL233="",AD233=""),"",IF(_xlfn.XLOOKUP(A233,Щиты[Щит],Щиты[Iкз max на шинах, кА],"")="","",IF(FL233&lt;_xlfn.XLOOKUP(A233,Щиты[Щит],Щиты[Iкз max на шинах, кА]),"Icu "&amp;FL233&amp;" кА &lt; Iкз max","ok")))</f>
        <v/>
      </c>
      <c r="FN233" t="str">
        <f t="shared" si="330"/>
        <v>QFD9</v>
      </c>
      <c r="FO233" t="str">
        <f t="shared" si="331"/>
        <v>QFD9|кабель ВВГнг(А)-LS (3х2,5) → Розеточная группа Первый этаж Пом. №002Б Фартук</v>
      </c>
      <c r="FP233" t="str" cm="1">
        <f t="array" ref="FP233">IF(FO233="","",_xlfn.LET(_xlpm.nd,_xlfn.TEXTSPLIT(FO233,"|"),IF(COLUMNS(_xlpm.nd)&gt;1,A233&amp;"¦"&amp;INDEX(_xlpm.nd,1)&amp;"¦"&amp;INDEX(_xlpm.nd,2),"")))</f>
        <v>ЩР-1¦QFD9¦кабель ВВГнг(А)-LS (3х2,5) → Розеточная группа Первый этаж Пом. №002Б Фартук</v>
      </c>
      <c r="FQ233" t="str">
        <f t="shared" si="332"/>
        <v>R.1.002Б.4¦Розеточная группа Первый этаж Пом. №002Б Фартук</v>
      </c>
      <c r="FR233" t="str" cm="1">
        <f t="array" ref="FR233">IF(FO233="","",_xlfn.LET(_xlpm.nd,_xlfn.TEXTSPLIT(FO233,"|"),IF(COLUMNS(_xlpm.nd)&gt;2,A233&amp;"¦"&amp;INDEX(_xlpm.nd,2)&amp;"¦"&amp;INDEX(_xlpm.nd,3),"")))</f>
        <v/>
      </c>
      <c r="FS233" t="str">
        <f t="shared" si="333"/>
        <v/>
      </c>
      <c r="FT233" t="str" cm="1">
        <f t="array" ref="FT233">IF(FO233="","",_xlfn.LET(_xlpm.nd,_xlfn.TEXTSPLIT(FO233,"|"),IF(COLUMNS(_xlpm.nd)&gt;3,A233&amp;"¦"&amp;INDEX(_xlpm.nd,3)&amp;"¦"&amp;INDEX(_xlpm.nd,4),"")))</f>
        <v/>
      </c>
      <c r="FU233" t="str">
        <f t="shared" si="334"/>
        <v/>
      </c>
      <c r="FV233" t="str" cm="1">
        <f t="array" ref="FV233">IF(FO233="","",_xlfn.LET(_xlpm.nd,_xlfn.TEXTSPLIT(FO233,"|"),IF(COLUMNS(_xlpm.nd)&gt;4,A233&amp;"¦"&amp;INDEX(_xlpm.nd,4)&amp;"¦"&amp;INDEX(_xlpm.nd,5),"")))</f>
        <v/>
      </c>
      <c r="FW233" t="str">
        <f t="shared" si="335"/>
        <v/>
      </c>
      <c r="FX233" t="str" cm="1">
        <f t="array" ref="FX233">IF(FO233="","",_xlfn.LET(_xlpm.nd,_xlfn.TEXTSPLIT(FO233,"|"),IF(COLUMNS(_xlpm.nd)&gt;5,A233&amp;"¦"&amp;INDEX(_xlpm.nd,5)&amp;"¦"&amp;INDEX(_xlpm.nd,6),"")))</f>
        <v/>
      </c>
      <c r="FY233" t="str">
        <f t="shared" si="336"/>
        <v/>
      </c>
      <c r="FZ233" t="str" cm="1">
        <f t="array" ref="FZ233">IF(FO233="","",_xlfn.LET(_xlpm.nd,_xlfn.TEXTSPLIT(FO233,"|"),IF(COLUMNS(_xlpm.nd)&gt;6,A233&amp;"¦"&amp;INDEX(_xlpm.nd,6)&amp;"¦"&amp;INDEX(_xlpm.nd,7),"")))</f>
        <v/>
      </c>
      <c r="GA233" t="str">
        <f t="shared" si="337"/>
        <v/>
      </c>
      <c r="GB233" t="str">
        <f t="shared" si="338"/>
        <v/>
      </c>
      <c r="GC233" t="str">
        <f t="shared" si="339"/>
        <v>QFD9</v>
      </c>
      <c r="GD233">
        <f t="shared" si="340"/>
        <v>1</v>
      </c>
      <c r="GE233">
        <f t="shared" si="341"/>
        <v>0</v>
      </c>
      <c r="GF233">
        <f t="shared" si="342"/>
        <v>1</v>
      </c>
      <c r="GG233" t="str">
        <f t="shared" si="343"/>
        <v/>
      </c>
      <c r="GH233" t="str">
        <f t="shared" si="344"/>
        <v/>
      </c>
      <c r="GI233" t="str">
        <f t="shared" si="345"/>
        <v/>
      </c>
      <c r="GJ233" t="str">
        <f t="shared" si="346"/>
        <v/>
      </c>
      <c r="GK233" t="str">
        <f>IF(D233="","",IFERROR(VLOOKUP(D233,УГО_спр,2,FALSE),IFERROR(VLOOKUP(AT233,УГО_спр,2,FALSE),IFERROR(VLOOKUP(LEFT(AT233,2),УГО_спр,2,FALSE),""))))</f>
        <v>Розетка</v>
      </c>
      <c r="GL233" t="str">
        <f>IF(D233="","",IF(OR(GK233="",GK233=0),"BOX",IFERROR(IF(VLOOKUP(GK233,УГО_блоки,3,FALSE)&amp;""&lt;&gt;"",VLOOKUP(GK233,УГО_блоки,3,FALSE),VLOOKUP(GK233,УГО_блоки,2,FALSE)),GK233)))</f>
        <v>SOCKET</v>
      </c>
      <c r="GM233">
        <f t="shared" si="347"/>
        <v>1</v>
      </c>
      <c r="GN233" t="str">
        <f>IF(EP233="","",IF(COUNTIF(EP$3:EP233,EP233)=1,MAX(GN$2:GN232)+1,""))</f>
        <v/>
      </c>
      <c r="GO233" t="str">
        <f>IF(AF233="","",IF(COUNTIF(AF$3:AF233,AF233)+COUNTIF(AG$2:AG232,AF233)+COUNTIF(AH$2:AH232,AF233)=1,MAX(GO$2:GQ232)+1,""))</f>
        <v/>
      </c>
      <c r="GP233" t="str">
        <f>IF(AG233="","",IF(COUNTIF(AF$3:AF233,AG233)+COUNTIF(AG$3:AG233,AG233)+COUNTIF(AH$2:AH232,AG233)=1,MAX(GO$2:GQ232,GO233)+1,""))</f>
        <v/>
      </c>
      <c r="GQ233" t="str">
        <f>IF(AH233="","",IF(COUNTIF(AF$3:AF233,AH233)+COUNTIF(AG$3:AG233,AH233)+COUNTIF(AH$3:AH233,AH233)=1,MAX(GO$2:GQ232,GO233,GP233)+1,""))</f>
        <v/>
      </c>
      <c r="GR233" t="str">
        <f t="shared" si="348"/>
        <v>3х2,5</v>
      </c>
      <c r="GS233" t="str">
        <f>IF(GR233="","",IF(COUNTIF(GR$3:GR233,GR233)=1,MAX(GS$2:GS232)+1,""))</f>
        <v/>
      </c>
      <c r="GT233" t="str">
        <f>IF(ES233="","",COUNTIF(ES$3:ES233,"?*"))</f>
        <v/>
      </c>
      <c r="GU233" t="str">
        <f>IF(OR(ES233="",EU233=""),"",IF(COUNTIFS(ES$3:ES233,"?*",EU$3:EU233,EU233)=1,MAX(GU$2:GU232)+1,""))</f>
        <v/>
      </c>
      <c r="GV233">
        <f t="shared" si="349"/>
        <v>0</v>
      </c>
      <c r="GW233">
        <f>IF(D233="","",COUNTIF(D$3:D233,"?*"))</f>
        <v>231</v>
      </c>
      <c r="GX233">
        <f>IF(EX233&lt;&gt;1,0,_xlfn.LET(_xlpm.k,MAX(IFERROR(--VLOOKUP(D233,УГО_спр,5,FALSE),0),IFERROR(--VLOOKUP(AT233,УГО_спр,5,FALSE),0),IFERROR(--VLOOKUP(LEFT(AT233,2),УГО_спр,5,FALSE),0)),IF(_xlpm.k&gt;0,_xlpm.k,IF(IFERROR(--LEFT(SUBSTITUTE(GR233,"x","х"),FIND("х",SUBSTITUTE(GR233,"x","х"))-1),3)&gt;3,Каталог!$S$9,1))))</f>
        <v>1</v>
      </c>
      <c r="GY233">
        <f t="shared" si="350"/>
        <v>0</v>
      </c>
    </row>
    <row r="234" spans="1:207" x14ac:dyDescent="0.3">
      <c r="A234" t="s">
        <v>762</v>
      </c>
      <c r="B234">
        <v>20</v>
      </c>
      <c r="C234" t="str">
        <f>IF(BD234="","",IF(BE234="вводной узел","узел ","")&amp;"л."&amp;(INT((BD234-1)/Столбцов_на_лист)+1)&amp;" / "&amp;(MOD(BD234-1,Столбцов_на_лист)+1))</f>
        <v>л.2 / 3</v>
      </c>
      <c r="D234" t="s">
        <v>1554</v>
      </c>
      <c r="E234" s="133" t="s">
        <v>1555</v>
      </c>
      <c r="G234">
        <v>3.8</v>
      </c>
      <c r="H234">
        <v>1</v>
      </c>
      <c r="I234">
        <v>1</v>
      </c>
      <c r="J234">
        <v>230</v>
      </c>
      <c r="K234" t="s">
        <v>566</v>
      </c>
      <c r="O234">
        <v>1</v>
      </c>
      <c r="P234">
        <v>19</v>
      </c>
      <c r="Q234">
        <v>0</v>
      </c>
      <c r="R234">
        <v>22</v>
      </c>
      <c r="S234">
        <v>0</v>
      </c>
      <c r="U234" t="s">
        <v>11</v>
      </c>
      <c r="V234">
        <v>3</v>
      </c>
      <c r="W234">
        <v>4</v>
      </c>
      <c r="Z234" t="s">
        <v>565</v>
      </c>
      <c r="AA234" t="s">
        <v>818</v>
      </c>
      <c r="AD234" t="s">
        <v>517</v>
      </c>
      <c r="AR234" t="str">
        <f t="shared" si="264"/>
        <v/>
      </c>
      <c r="AS234" cm="1">
        <f t="array" ref="AS234">ROW()-ROW(Линии[#Headers])</f>
        <v>232</v>
      </c>
      <c r="AT234" t="str">
        <f t="shared" si="265"/>
        <v>R</v>
      </c>
      <c r="AU234" t="str">
        <f t="shared" si="266"/>
        <v>1.002Б.5</v>
      </c>
      <c r="AV234" t="str">
        <f t="shared" si="267"/>
        <v>1</v>
      </c>
      <c r="AW234" t="str">
        <f t="shared" si="268"/>
        <v>002Б.5</v>
      </c>
      <c r="AX234" t="str">
        <f t="shared" si="269"/>
        <v>002Б</v>
      </c>
      <c r="AY234" t="str">
        <f>IF(D234="","",IF(ISERROR(SEARCH(".",D234)),IFERROR(VLOOKUP(D234,Потребители_обозначение,2,FALSE)&amp;"",""),IFERROR(IF(VLOOKUP(AT234,Потребители_обозначение,4,FALSE)=1,VLOOKUP(AT234,Потребители_обозначение,2,FALSE)&amp;" "&amp;VLOOKUP(AV234,Этаж_обозначение,2,FALSE)&amp;" Пом. №"&amp;AX234,VLOOKUP(AT234,Потребители_обозначение,2,FALSE)&amp;" Шлейф №"&amp;AV234),IFERROR(VLOOKUP(D234,Потребители_обозначение,2,FALSE),""))))</f>
        <v>Розеточная группа Первый этаж Пом. №002Б</v>
      </c>
      <c r="AZ234" t="str">
        <f t="shared" si="270"/>
        <v>Розеточная группа Первый этаж Пом. №002Б ПММ</v>
      </c>
      <c r="BA234" t="str">
        <f>IF(F234&lt;&gt;"",F234,IF(AND(D234&lt;&gt;"",D234&lt;&gt;A234,ISNUMBER(_xlfn.XMATCH(D234,Щиты[Щит]))),D234,""))</f>
        <v/>
      </c>
      <c r="BB234">
        <f>IFERROR(_xlfn.XMATCH(A234,Щиты[Щит]),0)</f>
        <v>10</v>
      </c>
      <c r="BC234">
        <f>IFERROR(N(_xlfn.XLOOKUP(A234,Щиты[Щит],Щиты[Мест под вводной узел])),15)</f>
        <v>8</v>
      </c>
      <c r="BD234">
        <f t="shared" si="271"/>
        <v>20</v>
      </c>
      <c r="BE234" t="str">
        <f t="shared" si="272"/>
        <v>линии</v>
      </c>
      <c r="BF234">
        <f>IF(D234="","",IF(BA234&lt;&gt;"",IFERROR(_xlfn.XLOOKUP(BA234,Щиты[Щит],Щиты[Руст, кВт]),0),N(G234)))</f>
        <v>3.8</v>
      </c>
      <c r="BG234">
        <f>IF(J234&lt;&gt;"",J234,IF(D234="","",IFERROR(IF(VLOOKUP(AT234,Потребители_обозначение,8,FALSE)=0,"",VLOOKUP(AT234,Потребители_обозначение,8,FALSE)),"")))</f>
        <v>230</v>
      </c>
      <c r="BH234">
        <f>IF(I234&lt;&gt;"",I234,IF(D234="","",IFERROR(IF(VLOOKUP(AT234,Потребители_обозначение,9,FALSE)=0,"",VLOOKUP(AT234,Потребители_обозначение,9,FALSE)),"")))</f>
        <v>1</v>
      </c>
      <c r="BI234" t="str">
        <f>IF(U234&lt;&gt;"",U234,IF(D234="","",IFERROR(IF(VLOOKUP(AT234,Потребители_обозначение,6,FALSE)=0,"",VLOOKUP(AT234,Потребители_обозначение,6,FALSE)),"")))</f>
        <v>мс</v>
      </c>
      <c r="BJ234">
        <f>IF(V234&lt;&gt;"",V234,IF(D234="","",IFERROR(IF(VLOOKUP(AT234,Потребители_обозначение,7,FALSE)=0,"",VLOOKUP(AT234,Потребители_обозначение,7,FALSE)),"")))</f>
        <v>3</v>
      </c>
      <c r="BK234">
        <f>IF(W234&lt;&gt;"",W234,IF(D234="","",IFERROR(IF(VLOOKUP(AT234,Потребители_обозначение,10,FALSE)=0,"",VLOOKUP(AT234,Потребители_обозначение,10,FALSE)),"")))</f>
        <v>4</v>
      </c>
      <c r="BL234">
        <f>IFERROR(VLOOKUP(AT234,Потребители_обозначение,5,FALSE),0)</f>
        <v>1</v>
      </c>
      <c r="BM234" cm="1">
        <f t="array" ref="BM234">IF(D234="","",IF(BA234&lt;&gt;"",IFERROR(_xlfn.XLOOKUP(BA234,Щиты[Щит],Щиты[cos φ]),0.95),IF(ISNUMBER(M234),M234,IFERROR(IF(BL234=2,_xlfn.IFS(BH234=3,VLOOKUP(BF234,Справочная_двигатели,8,FALSE),BH234=1,VLOOKUP(BF234,Справочная_двигатели,10,TRUE)),IF(AND(Методика="нормы 2026",CN234="Сил"),0.8,0.95)),0.95))))</f>
        <v>0.95</v>
      </c>
      <c r="BN234" cm="1">
        <f t="array" ref="BN234">IF(D234="","",IF(BA234&lt;&gt;"",IFERROR(_xlfn.XLOOKUP(BA234,Щиты[Щит],Щиты[Iр, А]),""),IFERROR(_xlfn.IFS(BH234=1,BF234/((Uн_лин/SQRT(3))*BM234),BH234=3,BF234/(SQRT(3)*Uн_лин*BM234)),"")))</f>
        <v>17.320508075688771</v>
      </c>
      <c r="BO234">
        <f>IF(D234="","",IF(N(X234)=0,IFERROR(VLOOKUP(BN234,Автомат_номиналы,2,TRUE),""),X234))</f>
        <v>20</v>
      </c>
      <c r="BP234">
        <f t="shared" si="273"/>
        <v>1</v>
      </c>
      <c r="BQ234">
        <f>IF(ISNUMBER(Y234),Y234,К_прокл)</f>
        <v>1</v>
      </c>
      <c r="BR234">
        <f t="shared" si="274"/>
        <v>2</v>
      </c>
      <c r="BS234" cm="1">
        <f t="array" ref="BS234">IF(D234="","",IF(N(BK234)&lt;&gt;0,BK234,IFERROR(_xlfn.LET(_xlpm.need,BO234/(BP234*BQ234),_xlpm.t,CHOOSE(BR234,Iдоп_1ж,Iдоп_2ж,Iдоп_3ж),_xlpm.k,_xlfn.XMATCH(_xlpm.need,_xlpm.t,1),IF(ISNA(_xlpm.k),"Не исп",INDEX(Iдоп_S,_xlpm.k))),"Не исп")))</f>
        <v>4</v>
      </c>
      <c r="BT234">
        <f>IFERROR(VLOOKUP(BS234,Кабель_сопротивление,3,FALSE),"")</f>
        <v>2.2499999999999999E-2</v>
      </c>
      <c r="BU234">
        <f>IFERROR(VLOOKUP(BS234,Кабель_сопротивление,2,FALSE),"")</f>
        <v>9.5000000000000001E-2</v>
      </c>
      <c r="BV234">
        <f t="shared" si="275"/>
        <v>19</v>
      </c>
      <c r="BW234">
        <f>IF(D234="","",IFERROR(IF(VLOOKUP(AT234,Потребители_обозначение,4,FALSE)=1,VLOOKUP(AT234,Потребители_обозначение,3,FALSE)*(H234*2-1)+BV234+VLOOKUP(AV234,Этаж_обозначение,3,FALSE)+VLOOKUP(AV234,Этаж_обозначение,4,FALSE),VLOOKUP(AT234,Потребители_обозначение,3,FALSE)*(H234*2-1)+BV234),BV234))</f>
        <v>22</v>
      </c>
      <c r="BX234">
        <f t="shared" si="276"/>
        <v>22</v>
      </c>
      <c r="BY234">
        <f t="shared" si="277"/>
        <v>0</v>
      </c>
      <c r="BZ234">
        <f t="shared" si="278"/>
        <v>2</v>
      </c>
      <c r="CA234">
        <f t="shared" si="279"/>
        <v>0.31</v>
      </c>
      <c r="CB234">
        <f t="shared" si="280"/>
        <v>4.0949283756607997</v>
      </c>
      <c r="CC234">
        <f>IFERROR(ROUNDUP(CB234/((Uн_лин/SQRT(3))*1000)*100,2),"")</f>
        <v>1.78</v>
      </c>
      <c r="CD234">
        <f>IF(ISNUMBER(CC234),CC234+IFERROR(_xlfn.XLOOKUP(A234,Щиты[Щит],Щиты[ΔU до шин, %]),0),"")</f>
        <v>3.0300000000000002</v>
      </c>
      <c r="CE234">
        <f>IF(D234="","",IF(IFERROR(VLOOKUP(AT234,УГО_спр,2,FALSE),"")="Светильник",3,4)+IF(Методика="нормы 2026",MIN(0.5,MAX(0,N(BW234)-100)*0.005),0))</f>
        <v>4</v>
      </c>
      <c r="CF234" t="str">
        <f>IFERROR(VLOOKUP(BI234,Кабель_обозначение,2,FALSE),"")</f>
        <v>ВВГнг(А)-LS</v>
      </c>
      <c r="CG234" t="str">
        <f>IFERROR(IF(VLOOKUP(BI234,Кабель_обозначение,3,FALSE)=1,CF234&amp;" ("&amp;BJ234&amp;"х"&amp;BS234&amp;")",CF234),"")</f>
        <v>ВВГнг(А)-LS (3х4)</v>
      </c>
      <c r="CH234" t="str">
        <f t="shared" si="281"/>
        <v>ВВГнг(А)-LS (3х4)
L=22-1,78%</v>
      </c>
      <c r="CI234">
        <f>IFERROR(2*ρкз_Cu*BW234/BS234,"")</f>
        <v>0.2893</v>
      </c>
      <c r="CJ234">
        <f t="shared" si="282"/>
        <v>9.6250000000000002E-2</v>
      </c>
      <c r="CK234" t="str">
        <f>IFERROR(IF(OR(D234="",NOT(ISNUMBER(BS234)),N(BW234)=0),"",_xlfn.XLOOKUP(A234,Щиты[Щит],Щиты[Zпетли на шинах, Ом])+CI234),"")</f>
        <v/>
      </c>
      <c r="CL234" t="str">
        <f>IF(ISNUMBER(CK234),c_min*(Uн_лин*1000/SQRT(3))/CK234,"")</f>
        <v/>
      </c>
      <c r="CM234" t="str">
        <f>IFERROR(IF(OR(D234="",NOT(ISNUMBER(BS234))),"",1.05*(Uн_лин*1000/SQRT(3))/(_xlfn.XLOOKUP(A234,Щиты[Щит],Щиты[Zmax на шинах, Ом])+CJ234)/1000),"")</f>
        <v/>
      </c>
      <c r="CN234" t="str">
        <f>IF(D234="","",IF(BA234&lt;&gt;"","Щит",IF(K234&lt;&gt;"",K234,IF(ISNUMBER(L234),"Сил",IF(IFERROR(_xlfn.XLOOKUP(AT234,Коды_код,Коды_группа)&amp;"","")="","Быт",_xlfn.XLOOKUP(AT234,Коды_код,Коды_группа)&amp;"")))))</f>
        <v>Быт</v>
      </c>
      <c r="CO234">
        <f>IF(CN234="Щит","щит",IF(CN234="","",IF(CN234="Быт",IFERROR(_xlfn.XLOOKUP(A234,Щиты[Щит],Щиты[Кс быт]),1),IF(CN234="Сил",IF(ISNUMBER(L234),L234,IF(Методика="нормы 2026",IFERROR(_xlfn.XLOOKUP(A234,Щиты[Щит],Щиты[Кс силовых (табл. 7.5)]),1),1)),IF(OR(CN234="Пост",CN234="Отоп"),1,IF(CN234="ВНГ",0.7,0))))))</f>
        <v>0.57830000000000004</v>
      </c>
      <c r="CP234">
        <f t="shared" si="283"/>
        <v>1</v>
      </c>
      <c r="CQ234">
        <f t="shared" si="284"/>
        <v>3.8</v>
      </c>
      <c r="CR234">
        <f t="shared" si="285"/>
        <v>3.8</v>
      </c>
      <c r="CS234">
        <f t="shared" si="286"/>
        <v>0</v>
      </c>
      <c r="CT234">
        <f t="shared" si="287"/>
        <v>0</v>
      </c>
      <c r="CU234">
        <f t="shared" si="288"/>
        <v>0</v>
      </c>
      <c r="CV234">
        <f t="shared" si="289"/>
        <v>0</v>
      </c>
      <c r="CW234">
        <f t="shared" si="290"/>
        <v>3.8</v>
      </c>
      <c r="CX234">
        <f t="shared" si="291"/>
        <v>3.61</v>
      </c>
      <c r="CY234">
        <f t="shared" si="292"/>
        <v>1</v>
      </c>
      <c r="CZ234" t="str">
        <f t="shared" si="293"/>
        <v>L1</v>
      </c>
      <c r="DA234" cm="1">
        <f t="array" ref="DA234">IFERROR(IF(BL234=2,_xlfn.IFS(BH234=3,VLOOKUP(BF234,Справочная_двигатели,3,FALSE),BH234=1,VLOOKUP(BF234,Справочная_двигатели,5,TRUE)),0),0)</f>
        <v>0</v>
      </c>
      <c r="DB234">
        <f>IFERROR(IF(BL234=3,VLOOKUP(BF234,Справочная_ЛЭД,2,TRUE),0),0)</f>
        <v>0</v>
      </c>
      <c r="DC234">
        <f t="shared" si="294"/>
        <v>0</v>
      </c>
      <c r="DD234" t="str">
        <f t="shared" si="295"/>
        <v>L1</v>
      </c>
      <c r="DE234" t="str" cm="1">
        <f t="array" ref="DE234">IF(D234="","",IFERROR(INDEX({"I особая","I","II","III"},MATCH(TRIM(AA234&amp;""),{"I особая","I","II","III"},0)),"III"))</f>
        <v>II</v>
      </c>
      <c r="DF234" t="str">
        <f>IF(D234="","",IF(TRIM(AB234&amp;"")&lt;&gt;"",IF(LOWER(TRIM(AB234&amp;""))="да","да","нет"),IF(IFERROR(_xlfn.XLOOKUP(AT234,Коды_код,Коды_пожарная),"")="да","да","нет")))</f>
        <v>нет</v>
      </c>
      <c r="DG234" t="str">
        <f t="shared" si="296"/>
        <v/>
      </c>
      <c r="DH234" t="str">
        <f t="shared" si="297"/>
        <v>основная</v>
      </c>
      <c r="DI234">
        <f t="shared" si="298"/>
        <v>1</v>
      </c>
      <c r="DJ234" t="str" cm="1">
        <f t="array" ref="DJ234">IF(D234="","",_xlfn.LET(_xlpm.t,IFERROR(_xlfn.XLOOKUP(1,(Шины[Шина]=DH234)*(((Шины[Щит]=A234)+(Шины[Щит]=""))&gt;0),Шины[Тип]),"")&amp;"",IF(_xlpm.t&lt;&gt;"",_xlpm.t,IF(ISNUMBER(SEARCH("ИБП",DH234)),"ИБП",IF(ISNUMBER(SEARCH("ДГУ",DH234)),"ДГУ","Ввод "&amp;DI234)))))</f>
        <v>Ввод 1</v>
      </c>
      <c r="DK234" t="str">
        <f t="shared" si="299"/>
        <v>Ввод 1</v>
      </c>
      <c r="DL234" t="str">
        <f>IF(D234="","",IF(OR(DJ234="ИБП",DJ234="ДГУ"),"I особая",IF(DJ234="Одиночная","III",_xlfn.XLOOKUP(A234,Щиты[Щит],Щиты[Категория шины «Ввод»],"III"))))</f>
        <v>II</v>
      </c>
      <c r="DM234">
        <f>IF(D234="",0,IFERROR(MATCH(DE234,{"III","II","I","I особая"},0),1))</f>
        <v>2</v>
      </c>
      <c r="DN234">
        <f t="shared" si="300"/>
        <v>2</v>
      </c>
      <c r="DO234" t="str">
        <f>IF(D234="","",IF(DM234&gt;IFERROR(MATCH(DL234,{"III","II","I","I особая"},0),1),"НЕ ОБЕСПЕЧЕНА","ОК"))</f>
        <v>ОК</v>
      </c>
      <c r="DP234" t="str">
        <f>IF(A234="","",_xlfn.XLOOKUP(A234,Щиты[Щит],Щиты[Путь],""))</f>
        <v>|ГРЩ-ЖД|ЩР-1|</v>
      </c>
      <c r="DQ234" t="str">
        <f>IF(D234="","",IF(Z234&lt;&gt;"",Z234,IF(IFERROR(_xlfn.XLOOKUP(AT234,Коды_код,Коды_вид)&amp;"","")="","Прочее",_xlfn.XLOOKUP(AT234,Коды_код,Коды_вид)&amp;"")))</f>
        <v>Розеточная сеть и бытовые приборы</v>
      </c>
      <c r="DR234">
        <f>IF(BD234="","",INT((BD234-1)/Столбцов_на_лист)+1)</f>
        <v>2</v>
      </c>
      <c r="DS234" t="str">
        <f t="shared" si="301"/>
        <v>ВВГнг(А)-LS (3х4) L=22-1,78%</v>
      </c>
      <c r="DT234">
        <f t="shared" si="302"/>
        <v>3.8</v>
      </c>
      <c r="DU234">
        <f t="shared" si="303"/>
        <v>17.330000000000002</v>
      </c>
      <c r="DV234">
        <f t="shared" si="304"/>
        <v>1</v>
      </c>
      <c r="DW234">
        <f>IF(AT234="",0,_xlfn.LET(_xlpm.v,IFERROR(VLOOKUP(D234,УГО_спр,3,FALSE),IFERROR(VLOOKUP(AT234,УГО_спр,3,FALSE),IFERROR(VLOOKUP(LEFT(AT234,2),УГО_спр,3,FALSE),""))),IF(_xlpm.v="да",30,IF(ISNUMBER(_xlpm.v),_xlpm.v,0))))</f>
        <v>30</v>
      </c>
      <c r="DX234">
        <f t="shared" si="305"/>
        <v>0</v>
      </c>
      <c r="DY234">
        <f>IF(BD234="","",IF(AD234&lt;&gt;"",COUNTIFS(A$3:A234,A234,AD$3:AD234,"?*"),IF(OR(OR(AS234=1,A234&lt;&gt;A233),AL234="вручную"),"",IF(AS234=1,"",DZ233))))</f>
        <v>10</v>
      </c>
      <c r="DZ234">
        <f t="shared" si="306"/>
        <v>10</v>
      </c>
      <c r="EA234">
        <f>IF(D234="",0,MAX(IFERROR(--X234,0),IFERROR(--VLOOKUP(D234,УГО_спр,4,FALSE),IFERROR(--VLOOKUP(AT234,УГО_спр,4,FALSE),IFERROR(--VLOOKUP(LEFT(AT234,2),УГО_спр,4,FALSE),0)))))</f>
        <v>16</v>
      </c>
      <c r="EB234">
        <f>IF(D234="","",IFERROR(LOOKUP(INDEX(CHOOSE(BR234,Iдоп_1ж,Iдоп_2ж,Iдоп_3ж),MATCH(BS234,Iдоп_S,0))*BP234*BQ234,{6,10,16,20,25,32,40,50,63,80,100,125,160,200,250,315,400,500,630}),""))</f>
        <v>32</v>
      </c>
      <c r="EC234">
        <f>IF(AD234="","",SUMIFS(Линии[_Ток схемы],Линии[_гр.],DY234,Линии[Щит],A234,Линии[_в кабель выше],0))</f>
        <v>17.330000000000002</v>
      </c>
      <c r="ED234">
        <f>IF(AD234="","",IFERROR(VLOOKUP(EC234,Автомат_номиналы,2,TRUE),""))</f>
        <v>20</v>
      </c>
      <c r="EE234">
        <f>IF(AD234="","",MAX(N(ED234),_xlfn.MAXIFS(Линии[_мин. по типу],Линии[_гр.],DY234,Линии[Щит],A234)))</f>
        <v>20</v>
      </c>
      <c r="EF234">
        <f>IF(AD234="","",_xlfn.MINIFS(Линии[_макс. автомат по кабелю],Линии[_гр.],DY234,Линии[Щит],A234))</f>
        <v>32</v>
      </c>
      <c r="EG234">
        <f>IF(AD234="","",MAX(1,_xlfn.MAXIFS(Линии[_фаз],Линии[_гр.],DY234,Линии[Щит],A234)))</f>
        <v>1</v>
      </c>
      <c r="EH234">
        <f>IF(AD234="","",IF(AND(AD234&lt;&gt;"авто",AD234&lt;&gt;"+"),IF(ISNUMBER(SEARCH("мА",AD234)),IFERROR(--TRIM(RIGHT(SUBSTITUTE(LEFT(AD234,SEARCH("мА",AD234)-1)," ",REPT(" ",9)),6)),30),0),IF(AE234="нет",0,IF(ISNUMBER(AE234),AE234,IF(AE234="да",30,_xlfn.MINIFS(Линии[_дифзащита по коду, мА],Линии[_гр.],DY234,Линии[Щит],A234,Линии[_дифзащита по коду, мА],"&gt;0"))))))</f>
        <v>30</v>
      </c>
      <c r="EI234">
        <f t="shared" si="307"/>
        <v>1</v>
      </c>
      <c r="EJ234" t="str">
        <f t="shared" si="308"/>
        <v>QFD10</v>
      </c>
      <c r="EK234" t="str">
        <f t="shared" si="309"/>
        <v>QFD10</v>
      </c>
      <c r="EL234" t="str">
        <f t="shared" si="310"/>
        <v/>
      </c>
      <c r="EM234">
        <f t="shared" si="311"/>
        <v>0</v>
      </c>
      <c r="EN234">
        <f>IF(AD234="","",IF(EM234=1,MAX(EE234,Мин_автомат_БП),EE234))</f>
        <v>20</v>
      </c>
      <c r="EO234" t="str">
        <f t="shared" si="312"/>
        <v>2P</v>
      </c>
      <c r="EP234" t="str">
        <f t="shared" si="313"/>
        <v>2P С20А 30мА</v>
      </c>
      <c r="EQ234">
        <f t="shared" si="314"/>
        <v>20</v>
      </c>
      <c r="ER234" t="str">
        <f>IF(OR(AI234="",AI234="-"),"",IFERROR(VLOOKUP(AI234,Модули_спр,2,FALSE),"R"))</f>
        <v/>
      </c>
      <c r="ES234" t="str">
        <f>IF(ER234="","",ER234&amp;"."&amp;COUNTIFS(A$3:A234,A234,ER$3:ER234,ER234))</f>
        <v/>
      </c>
      <c r="ET234" t="str">
        <f t="shared" si="315"/>
        <v/>
      </c>
      <c r="EU234" t="str">
        <f t="shared" si="316"/>
        <v/>
      </c>
      <c r="EV234" t="str">
        <f t="shared" si="317"/>
        <v/>
      </c>
      <c r="EW234" t="str">
        <f t="shared" si="318"/>
        <v/>
      </c>
      <c r="EX234">
        <f t="shared" si="319"/>
        <v>1</v>
      </c>
      <c r="EY234" t="str">
        <f>IF(AK234="нет","",IF(AK234&lt;&gt;"",AK234,IF(EX234=1,"XT"&amp;COUNTIFS(A$3:A234,A234,EX$3:EX234,1),"")))</f>
        <v>XT10</v>
      </c>
      <c r="EZ234" t="str">
        <f t="shared" si="320"/>
        <v>QFD10</v>
      </c>
      <c r="FA234" t="str">
        <f t="shared" si="321"/>
        <v/>
      </c>
      <c r="FB234" t="str">
        <f t="shared" si="322"/>
        <v>ok</v>
      </c>
      <c r="FC234" t="str">
        <f>IF(OR(EV234="",ET234=""),"",IF(EV234&gt;IFERROR(VLOOKUP(EU234,Модули_спр,3,FALSE),99),"ЛИШНИЙ КАНАЛ",IF(AND(AJ234&lt;&gt;"=",COUNTIFS(Линии[_модуль гр.],ET234,Линии[Канал (итог)],EV234,Линии[Канал],"&lt;&gt;=",Линии[Щит],A234)&gt;1),"ДУБЛЬ КАНАЛА","")))</f>
        <v/>
      </c>
      <c r="FD234">
        <f t="shared" si="323"/>
        <v>20</v>
      </c>
      <c r="FE234" t="str">
        <f t="shared" si="324"/>
        <v>2P С20А 30мА</v>
      </c>
      <c r="FF234">
        <f t="shared" si="325"/>
        <v>1</v>
      </c>
      <c r="FG234">
        <f t="shared" si="326"/>
        <v>30</v>
      </c>
      <c r="FH234" t="str">
        <f t="shared" si="327"/>
        <v/>
      </c>
      <c r="FI234">
        <f t="shared" si="328"/>
        <v>10</v>
      </c>
      <c r="FJ234" t="str">
        <f t="shared" si="329"/>
        <v/>
      </c>
      <c r="FK234" t="str">
        <f>IF(AND(D234="",EZ234=""),"",_xlfn.TEXTJOIN("; ",TRUE,IF(AND(D234&lt;&gt;"",DD234=""),"нет фазы",""),IF(AND(D234&lt;&gt;"",N(DT234)=0,CN234&lt;&gt;"Нет"),"нет мощности",""),IF(AND(EY234&lt;&gt;"",COUNTIFS(Линии[Щит],A234,Линии[Клемма (итог)],EY234)&gt;1),"дубль клеммы "&amp;EY234,""),IF(AND(FB234&lt;&gt;"",FB234&lt;&gt;"ok"),FB234,""),IF(FC234&lt;&gt;"",FC234,""),IF(AND(ISNUMBER(SEARCH("(5х",DS234)),N(DV234)=1),"5 жил на 1 фазе",""),IF(AND(AT234="R",AD234&lt;&gt;"",OR(N(EH234)=0,N(EH234)&gt;30)),"розетка без дифзащиты до 30 мА",""),IFERROR(IF(AND(ISNUMBER(CD234),CD234&gt;CE234),"потери "&amp;FIXED(CD234,1)&amp;" % &gt; "&amp;CE234&amp;" %",""),""),IFERROR(IF(LEFT(FJ234,4)="мало","Iкз мало — отключение &gt; 0,4 с",""),""),IF(AND(D234&lt;&gt;"",BD234=""),"не на схеме","")))</f>
        <v/>
      </c>
      <c r="FL234">
        <f>IF(AD234="","",_xlfn.LET(_xlpm.t,IFERROR(_xlfn.XLOOKUP(EP234,Каталог!$U$4:$U$500,Каталог!$G$4:$G$500),""),_xlpm.k,SEARCH("кА",_xlpm.t),IFERROR(--TRIM(RIGHT(SUBSTITUTE(MID(_xlpm.t,MAX(1,_xlpm.k-4),_xlpm.k-MAX(1,_xlpm.k-4))," ",REPT(" ",9)),5)),"")))</f>
        <v>6</v>
      </c>
      <c r="FM234" t="str">
        <f>IF(OR(FL234="",AD234=""),"",IF(_xlfn.XLOOKUP(A234,Щиты[Щит],Щиты[Iкз max на шинах, кА],"")="","",IF(FL234&lt;_xlfn.XLOOKUP(A234,Щиты[Щит],Щиты[Iкз max на шинах, кА]),"Icu "&amp;FL234&amp;" кА &lt; Iкз max","ok")))</f>
        <v/>
      </c>
      <c r="FN234" t="str">
        <f t="shared" si="330"/>
        <v>QFD10|XT10</v>
      </c>
      <c r="FO234" t="str">
        <f t="shared" si="331"/>
        <v>QFD10|XT10|кабель ВВГнг(А)-LS (3х4) → Розеточная группа Первый этаж Пом. №002Б ПММ</v>
      </c>
      <c r="FP234" t="str" cm="1">
        <f t="array" ref="FP234">IF(FO234="","",_xlfn.LET(_xlpm.nd,_xlfn.TEXTSPLIT(FO234,"|"),IF(COLUMNS(_xlpm.nd)&gt;1,A234&amp;"¦"&amp;INDEX(_xlpm.nd,1)&amp;"¦"&amp;INDEX(_xlpm.nd,2),"")))</f>
        <v>ЩР-1¦QFD10¦XT10</v>
      </c>
      <c r="FQ234" t="str">
        <f t="shared" si="332"/>
        <v>R.1.002Б.5¦Розеточная группа Первый этаж Пом. №002Б ПММ</v>
      </c>
      <c r="FR234" t="str" cm="1">
        <f t="array" ref="FR234">IF(FO234="","",_xlfn.LET(_xlpm.nd,_xlfn.TEXTSPLIT(FO234,"|"),IF(COLUMNS(_xlpm.nd)&gt;2,A234&amp;"¦"&amp;INDEX(_xlpm.nd,2)&amp;"¦"&amp;INDEX(_xlpm.nd,3),"")))</f>
        <v>ЩР-1¦XT10¦кабель ВВГнг(А)-LS (3х4) → Розеточная группа Первый этаж Пом. №002Б ПММ</v>
      </c>
      <c r="FS234" t="str">
        <f t="shared" si="333"/>
        <v>R.1.002Б.5¦Розеточная группа Первый этаж Пом. №002Б ПММ</v>
      </c>
      <c r="FT234" t="str" cm="1">
        <f t="array" ref="FT234">IF(FO234="","",_xlfn.LET(_xlpm.nd,_xlfn.TEXTSPLIT(FO234,"|"),IF(COLUMNS(_xlpm.nd)&gt;3,A234&amp;"¦"&amp;INDEX(_xlpm.nd,3)&amp;"¦"&amp;INDEX(_xlpm.nd,4),"")))</f>
        <v/>
      </c>
      <c r="FU234" t="str">
        <f t="shared" si="334"/>
        <v/>
      </c>
      <c r="FV234" t="str" cm="1">
        <f t="array" ref="FV234">IF(FO234="","",_xlfn.LET(_xlpm.nd,_xlfn.TEXTSPLIT(FO234,"|"),IF(COLUMNS(_xlpm.nd)&gt;4,A234&amp;"¦"&amp;INDEX(_xlpm.nd,4)&amp;"¦"&amp;INDEX(_xlpm.nd,5),"")))</f>
        <v/>
      </c>
      <c r="FW234" t="str">
        <f t="shared" si="335"/>
        <v/>
      </c>
      <c r="FX234" t="str" cm="1">
        <f t="array" ref="FX234">IF(FO234="","",_xlfn.LET(_xlpm.nd,_xlfn.TEXTSPLIT(FO234,"|"),IF(COLUMNS(_xlpm.nd)&gt;5,A234&amp;"¦"&amp;INDEX(_xlpm.nd,5)&amp;"¦"&amp;INDEX(_xlpm.nd,6),"")))</f>
        <v/>
      </c>
      <c r="FY234" t="str">
        <f t="shared" si="336"/>
        <v/>
      </c>
      <c r="FZ234" t="str" cm="1">
        <f t="array" ref="FZ234">IF(FO234="","",_xlfn.LET(_xlpm.nd,_xlfn.TEXTSPLIT(FO234,"|"),IF(COLUMNS(_xlpm.nd)&gt;6,A234&amp;"¦"&amp;INDEX(_xlpm.nd,6)&amp;"¦"&amp;INDEX(_xlpm.nd,7),"")))</f>
        <v/>
      </c>
      <c r="GA234" t="str">
        <f t="shared" si="337"/>
        <v/>
      </c>
      <c r="GB234" t="str">
        <f t="shared" si="338"/>
        <v/>
      </c>
      <c r="GC234" t="str">
        <f t="shared" si="339"/>
        <v>QFD10 → XT10</v>
      </c>
      <c r="GD234">
        <f t="shared" si="340"/>
        <v>1</v>
      </c>
      <c r="GE234">
        <f t="shared" si="341"/>
        <v>0</v>
      </c>
      <c r="GF234">
        <f t="shared" si="342"/>
        <v>1</v>
      </c>
      <c r="GG234" t="str">
        <f t="shared" si="343"/>
        <v/>
      </c>
      <c r="GH234" t="str">
        <f t="shared" si="344"/>
        <v/>
      </c>
      <c r="GI234" t="str">
        <f t="shared" si="345"/>
        <v/>
      </c>
      <c r="GJ234" t="str">
        <f t="shared" si="346"/>
        <v/>
      </c>
      <c r="GK234" t="str">
        <f>IF(D234="","",IFERROR(VLOOKUP(D234,УГО_спр,2,FALSE),IFERROR(VLOOKUP(AT234,УГО_спр,2,FALSE),IFERROR(VLOOKUP(LEFT(AT234,2),УГО_спр,2,FALSE),""))))</f>
        <v>Розетка</v>
      </c>
      <c r="GL234" t="str">
        <f>IF(D234="","",IF(OR(GK234="",GK234=0),"BOX",IFERROR(IF(VLOOKUP(GK234,УГО_блоки,3,FALSE)&amp;""&lt;&gt;"",VLOOKUP(GK234,УГО_блоки,3,FALSE),VLOOKUP(GK234,УГО_блоки,2,FALSE)),GK234)))</f>
        <v>SOCKET</v>
      </c>
      <c r="GM234">
        <f t="shared" si="347"/>
        <v>1</v>
      </c>
      <c r="GN234">
        <f>IF(EP234="","",IF(COUNTIF(EP$3:EP234,EP234)=1,MAX(GN$2:GN233)+1,""))</f>
        <v>11</v>
      </c>
      <c r="GO234" t="str">
        <f>IF(AF234="","",IF(COUNTIF(AF$3:AF234,AF234)+COUNTIF(AG$2:AG233,AF234)+COUNTIF(AH$2:AH233,AF234)=1,MAX(GO$2:GQ233)+1,""))</f>
        <v/>
      </c>
      <c r="GP234" t="str">
        <f>IF(AG234="","",IF(COUNTIF(AF$3:AF234,AG234)+COUNTIF(AG$3:AG234,AG234)+COUNTIF(AH$2:AH233,AG234)=1,MAX(GO$2:GQ233,GO234)+1,""))</f>
        <v/>
      </c>
      <c r="GQ234" t="str">
        <f>IF(AH234="","",IF(COUNTIF(AF$3:AF234,AH234)+COUNTIF(AG$3:AG234,AH234)+COUNTIF(AH$3:AH234,AH234)=1,MAX(GO$2:GQ233,GO234,GP234)+1,""))</f>
        <v/>
      </c>
      <c r="GR234" t="str">
        <f t="shared" si="348"/>
        <v>3х4</v>
      </c>
      <c r="GS234" t="str">
        <f>IF(GR234="","",IF(COUNTIF(GR$3:GR234,GR234)=1,MAX(GS$2:GS233)+1,""))</f>
        <v/>
      </c>
      <c r="GT234" t="str">
        <f>IF(ES234="","",COUNTIF(ES$3:ES234,"?*"))</f>
        <v/>
      </c>
      <c r="GU234" t="str">
        <f>IF(OR(ES234="",EU234=""),"",IF(COUNTIFS(ES$3:ES234,"?*",EU$3:EU234,EU234)=1,MAX(GU$2:GU233)+1,""))</f>
        <v/>
      </c>
      <c r="GV234">
        <f t="shared" si="349"/>
        <v>0</v>
      </c>
      <c r="GW234">
        <f>IF(D234="","",COUNTIF(D$3:D234,"?*"))</f>
        <v>232</v>
      </c>
      <c r="GX234">
        <f>IF(EX234&lt;&gt;1,0,_xlfn.LET(_xlpm.k,MAX(IFERROR(--VLOOKUP(D234,УГО_спр,5,FALSE),0),IFERROR(--VLOOKUP(AT234,УГО_спр,5,FALSE),0),IFERROR(--VLOOKUP(LEFT(AT234,2),УГО_спр,5,FALSE),0)),IF(_xlpm.k&gt;0,_xlpm.k,IF(IFERROR(--LEFT(SUBSTITUTE(GR234,"x","х"),FIND("х",SUBSTITUTE(GR234,"x","х"))-1),3)&gt;3,Каталог!$S$9,1))))</f>
        <v>1</v>
      </c>
      <c r="GY234">
        <f t="shared" si="350"/>
        <v>0</v>
      </c>
    </row>
    <row r="235" spans="1:207" x14ac:dyDescent="0.3">
      <c r="A235" t="s">
        <v>762</v>
      </c>
      <c r="B235">
        <v>21</v>
      </c>
      <c r="C235" t="str">
        <f>IF(BD235="","",IF(BE235="вводной узел","узел ","")&amp;"л."&amp;(INT((BD235-1)/Столбцов_на_лист)+1)&amp;" / "&amp;(MOD(BD235-1,Столбцов_на_лист)+1))</f>
        <v>л.2 / 4</v>
      </c>
      <c r="D235" t="s">
        <v>1556</v>
      </c>
      <c r="E235" s="133" t="s">
        <v>1557</v>
      </c>
      <c r="G235">
        <v>3.6</v>
      </c>
      <c r="H235">
        <v>1</v>
      </c>
      <c r="I235">
        <v>1</v>
      </c>
      <c r="J235">
        <v>230</v>
      </c>
      <c r="K235" t="s">
        <v>566</v>
      </c>
      <c r="O235">
        <v>3</v>
      </c>
      <c r="P235">
        <v>19</v>
      </c>
      <c r="Q235">
        <v>0</v>
      </c>
      <c r="R235">
        <v>22</v>
      </c>
      <c r="S235">
        <v>0</v>
      </c>
      <c r="U235" t="s">
        <v>11</v>
      </c>
      <c r="V235">
        <v>3</v>
      </c>
      <c r="W235">
        <v>4</v>
      </c>
      <c r="Z235" t="s">
        <v>565</v>
      </c>
      <c r="AA235" t="s">
        <v>818</v>
      </c>
      <c r="AD235" t="s">
        <v>517</v>
      </c>
      <c r="AK235" t="s">
        <v>488</v>
      </c>
      <c r="AR235" t="str">
        <f t="shared" si="264"/>
        <v/>
      </c>
      <c r="AS235" cm="1">
        <f t="array" ref="AS235">ROW()-ROW(Линии[#Headers])</f>
        <v>233</v>
      </c>
      <c r="AT235" t="str">
        <f t="shared" si="265"/>
        <v>R</v>
      </c>
      <c r="AU235" t="str">
        <f t="shared" si="266"/>
        <v>1.002Б.6</v>
      </c>
      <c r="AV235" t="str">
        <f t="shared" si="267"/>
        <v>1</v>
      </c>
      <c r="AW235" t="str">
        <f t="shared" si="268"/>
        <v>002Б.6</v>
      </c>
      <c r="AX235" t="str">
        <f t="shared" si="269"/>
        <v>002Б</v>
      </c>
      <c r="AY235" t="str">
        <f>IF(D235="","",IF(ISERROR(SEARCH(".",D235)),IFERROR(VLOOKUP(D235,Потребители_обозначение,2,FALSE)&amp;"",""),IFERROR(IF(VLOOKUP(AT235,Потребители_обозначение,4,FALSE)=1,VLOOKUP(AT235,Потребители_обозначение,2,FALSE)&amp;" "&amp;VLOOKUP(AV235,Этаж_обозначение,2,FALSE)&amp;" Пом. №"&amp;AX235,VLOOKUP(AT235,Потребители_обозначение,2,FALSE)&amp;" Шлейф №"&amp;AV235),IFERROR(VLOOKUP(D235,Потребители_обозначение,2,FALSE),""))))</f>
        <v>Розеточная группа Первый этаж Пом. №002Б</v>
      </c>
      <c r="AZ235" t="str">
        <f t="shared" si="270"/>
        <v>Розеточная группа Первый этаж Пом. №002Б Стаканомоечная машина</v>
      </c>
      <c r="BA235" t="str">
        <f>IF(F235&lt;&gt;"",F235,IF(AND(D235&lt;&gt;"",D235&lt;&gt;A235,ISNUMBER(_xlfn.XMATCH(D235,Щиты[Щит]))),D235,""))</f>
        <v/>
      </c>
      <c r="BB235">
        <f>IFERROR(_xlfn.XMATCH(A235,Щиты[Щит]),0)</f>
        <v>10</v>
      </c>
      <c r="BC235">
        <f>IFERROR(N(_xlfn.XLOOKUP(A235,Щиты[Щит],Щиты[Мест под вводной узел])),15)</f>
        <v>8</v>
      </c>
      <c r="BD235">
        <f t="shared" si="271"/>
        <v>21</v>
      </c>
      <c r="BE235" t="str">
        <f t="shared" si="272"/>
        <v>линии</v>
      </c>
      <c r="BF235">
        <f>IF(D235="","",IF(BA235&lt;&gt;"",IFERROR(_xlfn.XLOOKUP(BA235,Щиты[Щит],Щиты[Руст, кВт]),0),N(G235)))</f>
        <v>3.6</v>
      </c>
      <c r="BG235">
        <f>IF(J235&lt;&gt;"",J235,IF(D235="","",IFERROR(IF(VLOOKUP(AT235,Потребители_обозначение,8,FALSE)=0,"",VLOOKUP(AT235,Потребители_обозначение,8,FALSE)),"")))</f>
        <v>230</v>
      </c>
      <c r="BH235">
        <f>IF(I235&lt;&gt;"",I235,IF(D235="","",IFERROR(IF(VLOOKUP(AT235,Потребители_обозначение,9,FALSE)=0,"",VLOOKUP(AT235,Потребители_обозначение,9,FALSE)),"")))</f>
        <v>1</v>
      </c>
      <c r="BI235" t="str">
        <f>IF(U235&lt;&gt;"",U235,IF(D235="","",IFERROR(IF(VLOOKUP(AT235,Потребители_обозначение,6,FALSE)=0,"",VLOOKUP(AT235,Потребители_обозначение,6,FALSE)),"")))</f>
        <v>мс</v>
      </c>
      <c r="BJ235">
        <f>IF(V235&lt;&gt;"",V235,IF(D235="","",IFERROR(IF(VLOOKUP(AT235,Потребители_обозначение,7,FALSE)=0,"",VLOOKUP(AT235,Потребители_обозначение,7,FALSE)),"")))</f>
        <v>3</v>
      </c>
      <c r="BK235">
        <f>IF(W235&lt;&gt;"",W235,IF(D235="","",IFERROR(IF(VLOOKUP(AT235,Потребители_обозначение,10,FALSE)=0,"",VLOOKUP(AT235,Потребители_обозначение,10,FALSE)),"")))</f>
        <v>4</v>
      </c>
      <c r="BL235">
        <f>IFERROR(VLOOKUP(AT235,Потребители_обозначение,5,FALSE),0)</f>
        <v>1</v>
      </c>
      <c r="BM235" cm="1">
        <f t="array" ref="BM235">IF(D235="","",IF(BA235&lt;&gt;"",IFERROR(_xlfn.XLOOKUP(BA235,Щиты[Щит],Щиты[cos φ]),0.95),IF(ISNUMBER(M235),M235,IFERROR(IF(BL235=2,_xlfn.IFS(BH235=3,VLOOKUP(BF235,Справочная_двигатели,8,FALSE),BH235=1,VLOOKUP(BF235,Справочная_двигатели,10,TRUE)),IF(AND(Методика="нормы 2026",CN235="Сил"),0.8,0.95)),0.95))))</f>
        <v>0.95</v>
      </c>
      <c r="BN235" cm="1">
        <f t="array" ref="BN235">IF(D235="","",IF(BA235&lt;&gt;"",IFERROR(_xlfn.XLOOKUP(BA235,Щиты[Щит],Щиты[Iр, А]),""),IFERROR(_xlfn.IFS(BH235=1,BF235/((Uн_лин/SQRT(3))*BM235),BH235=3,BF235/(SQRT(3)*Uн_лин*BM235)),"")))</f>
        <v>16.408902387494628</v>
      </c>
      <c r="BO235">
        <f>IF(D235="","",IF(N(X235)=0,IFERROR(VLOOKUP(BN235,Автомат_номиналы,2,TRUE),""),X235))</f>
        <v>20</v>
      </c>
      <c r="BP235">
        <f t="shared" si="273"/>
        <v>1</v>
      </c>
      <c r="BQ235">
        <f>IF(ISNUMBER(Y235),Y235,К_прокл)</f>
        <v>1</v>
      </c>
      <c r="BR235">
        <f t="shared" si="274"/>
        <v>2</v>
      </c>
      <c r="BS235" cm="1">
        <f t="array" ref="BS235">IF(D235="","",IF(N(BK235)&lt;&gt;0,BK235,IFERROR(_xlfn.LET(_xlpm.need,BO235/(BP235*BQ235),_xlpm.t,CHOOSE(BR235,Iдоп_1ж,Iдоп_2ж,Iдоп_3ж),_xlpm.k,_xlfn.XMATCH(_xlpm.need,_xlpm.t,1),IF(ISNA(_xlpm.k),"Не исп",INDEX(Iдоп_S,_xlpm.k))),"Не исп")))</f>
        <v>4</v>
      </c>
      <c r="BT235">
        <f>IFERROR(VLOOKUP(BS235,Кабель_сопротивление,3,FALSE),"")</f>
        <v>2.2499999999999999E-2</v>
      </c>
      <c r="BU235">
        <f>IFERROR(VLOOKUP(BS235,Кабель_сопротивление,2,FALSE),"")</f>
        <v>9.5000000000000001E-2</v>
      </c>
      <c r="BV235">
        <f t="shared" si="275"/>
        <v>19</v>
      </c>
      <c r="BW235">
        <f>IF(D235="","",IFERROR(IF(VLOOKUP(AT235,Потребители_обозначение,4,FALSE)=1,VLOOKUP(AT235,Потребители_обозначение,3,FALSE)*(H235*2-1)+BV235+VLOOKUP(AV235,Этаж_обозначение,3,FALSE)+VLOOKUP(AV235,Этаж_обозначение,4,FALSE),VLOOKUP(AT235,Потребители_обозначение,3,FALSE)*(H235*2-1)+BV235),BV235))</f>
        <v>22</v>
      </c>
      <c r="BX235">
        <f t="shared" si="276"/>
        <v>22</v>
      </c>
      <c r="BY235">
        <f t="shared" si="277"/>
        <v>0</v>
      </c>
      <c r="BZ235">
        <f t="shared" si="278"/>
        <v>2</v>
      </c>
      <c r="CA235">
        <f t="shared" si="279"/>
        <v>0.31</v>
      </c>
      <c r="CB235">
        <f t="shared" si="280"/>
        <v>3.8794058295733902</v>
      </c>
      <c r="CC235">
        <f>IFERROR(ROUNDUP(CB235/((Uн_лин/SQRT(3))*1000)*100,2),"")</f>
        <v>1.68</v>
      </c>
      <c r="CD235">
        <f>IF(ISNUMBER(CC235),CC235+IFERROR(_xlfn.XLOOKUP(A235,Щиты[Щит],Щиты[ΔU до шин, %]),0),"")</f>
        <v>2.9299999999999997</v>
      </c>
      <c r="CE235">
        <f>IF(D235="","",IF(IFERROR(VLOOKUP(AT235,УГО_спр,2,FALSE),"")="Светильник",3,4)+IF(Методика="нормы 2026",MIN(0.5,MAX(0,N(BW235)-100)*0.005),0))</f>
        <v>4</v>
      </c>
      <c r="CF235" t="str">
        <f>IFERROR(VLOOKUP(BI235,Кабель_обозначение,2,FALSE),"")</f>
        <v>ВВГнг(А)-LS</v>
      </c>
      <c r="CG235" t="str">
        <f>IFERROR(IF(VLOOKUP(BI235,Кабель_обозначение,3,FALSE)=1,CF235&amp;" ("&amp;BJ235&amp;"х"&amp;BS235&amp;")",CF235),"")</f>
        <v>ВВГнг(А)-LS (3х4)</v>
      </c>
      <c r="CH235" t="str">
        <f t="shared" si="281"/>
        <v>ВВГнг(А)-LS (3х4)
L=22-1,68%</v>
      </c>
      <c r="CI235">
        <f>IFERROR(2*ρкз_Cu*BW235/BS235,"")</f>
        <v>0.2893</v>
      </c>
      <c r="CJ235">
        <f t="shared" si="282"/>
        <v>9.6250000000000002E-2</v>
      </c>
      <c r="CK235" t="str">
        <f>IFERROR(IF(OR(D235="",NOT(ISNUMBER(BS235)),N(BW235)=0),"",_xlfn.XLOOKUP(A235,Щиты[Щит],Щиты[Zпетли на шинах, Ом])+CI235),"")</f>
        <v/>
      </c>
      <c r="CL235" t="str">
        <f>IF(ISNUMBER(CK235),c_min*(Uн_лин*1000/SQRT(3))/CK235,"")</f>
        <v/>
      </c>
      <c r="CM235" t="str">
        <f>IFERROR(IF(OR(D235="",NOT(ISNUMBER(BS235))),"",1.05*(Uн_лин*1000/SQRT(3))/(_xlfn.XLOOKUP(A235,Щиты[Щит],Щиты[Zmax на шинах, Ом])+CJ235)/1000),"")</f>
        <v/>
      </c>
      <c r="CN235" t="str">
        <f>IF(D235="","",IF(BA235&lt;&gt;"","Щит",IF(K235&lt;&gt;"",K235,IF(ISNUMBER(L235),"Сил",IF(IFERROR(_xlfn.XLOOKUP(AT235,Коды_код,Коды_группа)&amp;"","")="","Быт",_xlfn.XLOOKUP(AT235,Коды_код,Коды_группа)&amp;"")))))</f>
        <v>Быт</v>
      </c>
      <c r="CO235">
        <f>IF(CN235="Щит","щит",IF(CN235="","",IF(CN235="Быт",IFERROR(_xlfn.XLOOKUP(A235,Щиты[Щит],Щиты[Кс быт]),1),IF(CN235="Сил",IF(ISNUMBER(L235),L235,IF(Методика="нормы 2026",IFERROR(_xlfn.XLOOKUP(A235,Щиты[Щит],Щиты[Кс силовых (табл. 7.5)]),1),1)),IF(OR(CN235="Пост",CN235="Отоп"),1,IF(CN235="ВНГ",0.7,0))))))</f>
        <v>0.57830000000000004</v>
      </c>
      <c r="CP235">
        <f t="shared" si="283"/>
        <v>1</v>
      </c>
      <c r="CQ235">
        <f t="shared" si="284"/>
        <v>3.6</v>
      </c>
      <c r="CR235">
        <f t="shared" si="285"/>
        <v>3.6</v>
      </c>
      <c r="CS235">
        <f t="shared" si="286"/>
        <v>0</v>
      </c>
      <c r="CT235">
        <f t="shared" si="287"/>
        <v>0</v>
      </c>
      <c r="CU235">
        <f t="shared" si="288"/>
        <v>0</v>
      </c>
      <c r="CV235">
        <f t="shared" si="289"/>
        <v>0</v>
      </c>
      <c r="CW235">
        <f t="shared" si="290"/>
        <v>3.6</v>
      </c>
      <c r="CX235">
        <f t="shared" si="291"/>
        <v>3.42</v>
      </c>
      <c r="CY235">
        <f t="shared" si="292"/>
        <v>2</v>
      </c>
      <c r="CZ235" t="str">
        <f t="shared" si="293"/>
        <v>L2</v>
      </c>
      <c r="DA235" cm="1">
        <f t="array" ref="DA235">IFERROR(IF(BL235=2,_xlfn.IFS(BH235=3,VLOOKUP(BF235,Справочная_двигатели,3,FALSE),BH235=1,VLOOKUP(BF235,Справочная_двигатели,5,TRUE)),0),0)</f>
        <v>0</v>
      </c>
      <c r="DB235">
        <f>IFERROR(IF(BL235=3,VLOOKUP(BF235,Справочная_ЛЭД,2,TRUE),0),0)</f>
        <v>0</v>
      </c>
      <c r="DC235">
        <f t="shared" si="294"/>
        <v>0</v>
      </c>
      <c r="DD235" t="str">
        <f t="shared" si="295"/>
        <v>L3</v>
      </c>
      <c r="DE235" t="str" cm="1">
        <f t="array" ref="DE235">IF(D235="","",IFERROR(INDEX({"I особая","I","II","III"},MATCH(TRIM(AA235&amp;""),{"I особая","I","II","III"},0)),"III"))</f>
        <v>II</v>
      </c>
      <c r="DF235" t="str">
        <f>IF(D235="","",IF(TRIM(AB235&amp;"")&lt;&gt;"",IF(LOWER(TRIM(AB235&amp;""))="да","да","нет"),IF(IFERROR(_xlfn.XLOOKUP(AT235,Коды_код,Коды_пожарная),"")="да","да","нет")))</f>
        <v>нет</v>
      </c>
      <c r="DG235" t="str">
        <f t="shared" si="296"/>
        <v/>
      </c>
      <c r="DH235" t="str">
        <f t="shared" si="297"/>
        <v>основная</v>
      </c>
      <c r="DI235">
        <f t="shared" si="298"/>
        <v>1</v>
      </c>
      <c r="DJ235" t="str" cm="1">
        <f t="array" ref="DJ235">IF(D235="","",_xlfn.LET(_xlpm.t,IFERROR(_xlfn.XLOOKUP(1,(Шины[Шина]=DH235)*(((Шины[Щит]=A235)+(Шины[Щит]=""))&gt;0),Шины[Тип]),"")&amp;"",IF(_xlpm.t&lt;&gt;"",_xlpm.t,IF(ISNUMBER(SEARCH("ИБП",DH235)),"ИБП",IF(ISNUMBER(SEARCH("ДГУ",DH235)),"ДГУ","Ввод "&amp;DI235)))))</f>
        <v>Ввод 1</v>
      </c>
      <c r="DK235" t="str">
        <f t="shared" si="299"/>
        <v>Ввод 1</v>
      </c>
      <c r="DL235" t="str">
        <f>IF(D235="","",IF(OR(DJ235="ИБП",DJ235="ДГУ"),"I особая",IF(DJ235="Одиночная","III",_xlfn.XLOOKUP(A235,Щиты[Щит],Щиты[Категория шины «Ввод»],"III"))))</f>
        <v>II</v>
      </c>
      <c r="DM235">
        <f>IF(D235="",0,IFERROR(MATCH(DE235,{"III","II","I","I особая"},0),1))</f>
        <v>2</v>
      </c>
      <c r="DN235">
        <f t="shared" si="300"/>
        <v>2</v>
      </c>
      <c r="DO235" t="str">
        <f>IF(D235="","",IF(DM235&gt;IFERROR(MATCH(DL235,{"III","II","I","I особая"},0),1),"НЕ ОБЕСПЕЧЕНА","ОК"))</f>
        <v>ОК</v>
      </c>
      <c r="DP235" t="str">
        <f>IF(A235="","",_xlfn.XLOOKUP(A235,Щиты[Щит],Щиты[Путь],""))</f>
        <v>|ГРЩ-ЖД|ЩР-1|</v>
      </c>
      <c r="DQ235" t="str">
        <f>IF(D235="","",IF(Z235&lt;&gt;"",Z235,IF(IFERROR(_xlfn.XLOOKUP(AT235,Коды_код,Коды_вид)&amp;"","")="","Прочее",_xlfn.XLOOKUP(AT235,Коды_код,Коды_вид)&amp;"")))</f>
        <v>Розеточная сеть и бытовые приборы</v>
      </c>
      <c r="DR235">
        <f>IF(BD235="","",INT((BD235-1)/Столбцов_на_лист)+1)</f>
        <v>2</v>
      </c>
      <c r="DS235" t="str">
        <f t="shared" si="301"/>
        <v>ВВГнг(А)-LS (3х4) L=22-1,68%</v>
      </c>
      <c r="DT235">
        <f t="shared" si="302"/>
        <v>3.6</v>
      </c>
      <c r="DU235">
        <f t="shared" si="303"/>
        <v>16.41</v>
      </c>
      <c r="DV235">
        <f t="shared" si="304"/>
        <v>1</v>
      </c>
      <c r="DW235">
        <f>IF(AT235="",0,_xlfn.LET(_xlpm.v,IFERROR(VLOOKUP(D235,УГО_спр,3,FALSE),IFERROR(VLOOKUP(AT235,УГО_спр,3,FALSE),IFERROR(VLOOKUP(LEFT(AT235,2),УГО_спр,3,FALSE),""))),IF(_xlpm.v="да",30,IF(ISNUMBER(_xlpm.v),_xlpm.v,0))))</f>
        <v>30</v>
      </c>
      <c r="DX235">
        <f t="shared" si="305"/>
        <v>0</v>
      </c>
      <c r="DY235">
        <f>IF(BD235="","",IF(AD235&lt;&gt;"",COUNTIFS(A$3:A235,A235,AD$3:AD235,"?*"),IF(OR(OR(AS235=1,A235&lt;&gt;A234),AL235="вручную"),"",IF(AS235=1,"",DZ234))))</f>
        <v>11</v>
      </c>
      <c r="DZ235">
        <f t="shared" si="306"/>
        <v>11</v>
      </c>
      <c r="EA235">
        <f>IF(D235="",0,MAX(IFERROR(--X235,0),IFERROR(--VLOOKUP(D235,УГО_спр,4,FALSE),IFERROR(--VLOOKUP(AT235,УГО_спр,4,FALSE),IFERROR(--VLOOKUP(LEFT(AT235,2),УГО_спр,4,FALSE),0)))))</f>
        <v>16</v>
      </c>
      <c r="EB235">
        <f>IF(D235="","",IFERROR(LOOKUP(INDEX(CHOOSE(BR235,Iдоп_1ж,Iдоп_2ж,Iдоп_3ж),MATCH(BS235,Iдоп_S,0))*BP235*BQ235,{6,10,16,20,25,32,40,50,63,80,100,125,160,200,250,315,400,500,630}),""))</f>
        <v>32</v>
      </c>
      <c r="EC235">
        <f>IF(AD235="","",SUMIFS(Линии[_Ток схемы],Линии[_гр.],DY235,Линии[Щит],A235,Линии[_в кабель выше],0))</f>
        <v>16.41</v>
      </c>
      <c r="ED235">
        <f>IF(AD235="","",IFERROR(VLOOKUP(EC235,Автомат_номиналы,2,TRUE),""))</f>
        <v>20</v>
      </c>
      <c r="EE235">
        <f>IF(AD235="","",MAX(N(ED235),_xlfn.MAXIFS(Линии[_мин. по типу],Линии[_гр.],DY235,Линии[Щит],A235)))</f>
        <v>20</v>
      </c>
      <c r="EF235">
        <f>IF(AD235="","",_xlfn.MINIFS(Линии[_макс. автомат по кабелю],Линии[_гр.],DY235,Линии[Щит],A235))</f>
        <v>32</v>
      </c>
      <c r="EG235">
        <f>IF(AD235="","",MAX(1,_xlfn.MAXIFS(Линии[_фаз],Линии[_гр.],DY235,Линии[Щит],A235)))</f>
        <v>1</v>
      </c>
      <c r="EH235">
        <f>IF(AD235="","",IF(AND(AD235&lt;&gt;"авто",AD235&lt;&gt;"+"),IF(ISNUMBER(SEARCH("мА",AD235)),IFERROR(--TRIM(RIGHT(SUBSTITUTE(LEFT(AD235,SEARCH("мА",AD235)-1)," ",REPT(" ",9)),6)),30),0),IF(AE235="нет",0,IF(ISNUMBER(AE235),AE235,IF(AE235="да",30,_xlfn.MINIFS(Линии[_дифзащита по коду, мА],Линии[_гр.],DY235,Линии[Щит],A235,Линии[_дифзащита по коду, мА],"&gt;0"))))))</f>
        <v>30</v>
      </c>
      <c r="EI235">
        <f t="shared" si="307"/>
        <v>1</v>
      </c>
      <c r="EJ235" t="str">
        <f t="shared" si="308"/>
        <v>QFD11</v>
      </c>
      <c r="EK235" t="str">
        <f t="shared" si="309"/>
        <v>QFD11</v>
      </c>
      <c r="EL235" t="str">
        <f t="shared" si="310"/>
        <v/>
      </c>
      <c r="EM235">
        <f t="shared" si="311"/>
        <v>0</v>
      </c>
      <c r="EN235">
        <f>IF(AD235="","",IF(EM235=1,MAX(EE235,Мин_автомат_БП),EE235))</f>
        <v>20</v>
      </c>
      <c r="EO235" t="str">
        <f t="shared" si="312"/>
        <v>2P</v>
      </c>
      <c r="EP235" t="str">
        <f t="shared" si="313"/>
        <v>2P С20А 30мА</v>
      </c>
      <c r="EQ235">
        <f t="shared" si="314"/>
        <v>20</v>
      </c>
      <c r="ER235" t="str">
        <f>IF(OR(AI235="",AI235="-"),"",IFERROR(VLOOKUP(AI235,Модули_спр,2,FALSE),"R"))</f>
        <v/>
      </c>
      <c r="ES235" t="str">
        <f>IF(ER235="","",ER235&amp;"."&amp;COUNTIFS(A$3:A235,A235,ER$3:ER235,ER235))</f>
        <v/>
      </c>
      <c r="ET235" t="str">
        <f t="shared" si="315"/>
        <v/>
      </c>
      <c r="EU235" t="str">
        <f t="shared" si="316"/>
        <v/>
      </c>
      <c r="EV235" t="str">
        <f t="shared" si="317"/>
        <v/>
      </c>
      <c r="EW235" t="str">
        <f t="shared" si="318"/>
        <v/>
      </c>
      <c r="EX235">
        <f t="shared" si="319"/>
        <v>1</v>
      </c>
      <c r="EY235" t="str">
        <f>IF(AK235="нет","",IF(AK235&lt;&gt;"",AK235,IF(EX235=1,"XT"&amp;COUNTIFS(A$3:A235,A235,EX$3:EX235,1),"")))</f>
        <v/>
      </c>
      <c r="EZ235" t="str">
        <f t="shared" si="320"/>
        <v>QFD11</v>
      </c>
      <c r="FA235" t="str">
        <f t="shared" si="321"/>
        <v/>
      </c>
      <c r="FB235" t="str">
        <f t="shared" si="322"/>
        <v>ok</v>
      </c>
      <c r="FC235" t="str">
        <f>IF(OR(EV235="",ET235=""),"",IF(EV235&gt;IFERROR(VLOOKUP(EU235,Модули_спр,3,FALSE),99),"ЛИШНИЙ КАНАЛ",IF(AND(AJ235&lt;&gt;"=",COUNTIFS(Линии[_модуль гр.],ET235,Линии[Канал (итог)],EV235,Линии[Канал],"&lt;&gt;=",Линии[Щит],A235)&gt;1),"ДУБЛЬ КАНАЛА","")))</f>
        <v/>
      </c>
      <c r="FD235">
        <f t="shared" si="323"/>
        <v>20</v>
      </c>
      <c r="FE235" t="str">
        <f t="shared" si="324"/>
        <v>2P С20А 30мА</v>
      </c>
      <c r="FF235">
        <f t="shared" si="325"/>
        <v>1</v>
      </c>
      <c r="FG235">
        <f t="shared" si="326"/>
        <v>30</v>
      </c>
      <c r="FH235" t="str">
        <f t="shared" si="327"/>
        <v/>
      </c>
      <c r="FI235">
        <f t="shared" si="328"/>
        <v>10</v>
      </c>
      <c r="FJ235" t="str">
        <f t="shared" si="329"/>
        <v/>
      </c>
      <c r="FK235" t="str">
        <f>IF(AND(D235="",EZ235=""),"",_xlfn.TEXTJOIN("; ",TRUE,IF(AND(D235&lt;&gt;"",DD235=""),"нет фазы",""),IF(AND(D235&lt;&gt;"",N(DT235)=0,CN235&lt;&gt;"Нет"),"нет мощности",""),IF(AND(EY235&lt;&gt;"",COUNTIFS(Линии[Щит],A235,Линии[Клемма (итог)],EY235)&gt;1),"дубль клеммы "&amp;EY235,""),IF(AND(FB235&lt;&gt;"",FB235&lt;&gt;"ok"),FB235,""),IF(FC235&lt;&gt;"",FC235,""),IF(AND(ISNUMBER(SEARCH("(5х",DS235)),N(DV235)=1),"5 жил на 1 фазе",""),IF(AND(AT235="R",AD235&lt;&gt;"",OR(N(EH235)=0,N(EH235)&gt;30)),"розетка без дифзащиты до 30 мА",""),IFERROR(IF(AND(ISNUMBER(CD235),CD235&gt;CE235),"потери "&amp;FIXED(CD235,1)&amp;" % &gt; "&amp;CE235&amp;" %",""),""),IFERROR(IF(LEFT(FJ235,4)="мало","Iкз мало — отключение &gt; 0,4 с",""),""),IF(AND(D235&lt;&gt;"",BD235=""),"не на схеме","")))</f>
        <v/>
      </c>
      <c r="FL235">
        <f>IF(AD235="","",_xlfn.LET(_xlpm.t,IFERROR(_xlfn.XLOOKUP(EP235,Каталог!$U$4:$U$500,Каталог!$G$4:$G$500),""),_xlpm.k,SEARCH("кА",_xlpm.t),IFERROR(--TRIM(RIGHT(SUBSTITUTE(MID(_xlpm.t,MAX(1,_xlpm.k-4),_xlpm.k-MAX(1,_xlpm.k-4))," ",REPT(" ",9)),5)),"")))</f>
        <v>6</v>
      </c>
      <c r="FM235" t="str">
        <f>IF(OR(FL235="",AD235=""),"",IF(_xlfn.XLOOKUP(A235,Щиты[Щит],Щиты[Iкз max на шинах, кА],"")="","",IF(FL235&lt;_xlfn.XLOOKUP(A235,Щиты[Щит],Щиты[Iкз max на шинах, кА]),"Icu "&amp;FL235&amp;" кА &lt; Iкз max","ok")))</f>
        <v/>
      </c>
      <c r="FN235" t="str">
        <f t="shared" si="330"/>
        <v>QFD11</v>
      </c>
      <c r="FO235" t="str">
        <f t="shared" si="331"/>
        <v>QFD11|кабель ВВГнг(А)-LS (3х4) → Розеточная группа Первый этаж Пом. №002Б Стаканомоечная машина</v>
      </c>
      <c r="FP235" t="str" cm="1">
        <f t="array" ref="FP235">IF(FO235="","",_xlfn.LET(_xlpm.nd,_xlfn.TEXTSPLIT(FO235,"|"),IF(COLUMNS(_xlpm.nd)&gt;1,A235&amp;"¦"&amp;INDEX(_xlpm.nd,1)&amp;"¦"&amp;INDEX(_xlpm.nd,2),"")))</f>
        <v>ЩР-1¦QFD11¦кабель ВВГнг(А)-LS (3х4) → Розеточная группа Первый этаж Пом. №002Б Стаканомоечная машина</v>
      </c>
      <c r="FQ235" t="str">
        <f t="shared" si="332"/>
        <v>R.1.002Б.6¦Розеточная группа Первый этаж Пом. №002Б Стаканомоечная машина</v>
      </c>
      <c r="FR235" t="str" cm="1">
        <f t="array" ref="FR235">IF(FO235="","",_xlfn.LET(_xlpm.nd,_xlfn.TEXTSPLIT(FO235,"|"),IF(COLUMNS(_xlpm.nd)&gt;2,A235&amp;"¦"&amp;INDEX(_xlpm.nd,2)&amp;"¦"&amp;INDEX(_xlpm.nd,3),"")))</f>
        <v/>
      </c>
      <c r="FS235" t="str">
        <f t="shared" si="333"/>
        <v/>
      </c>
      <c r="FT235" t="str" cm="1">
        <f t="array" ref="FT235">IF(FO235="","",_xlfn.LET(_xlpm.nd,_xlfn.TEXTSPLIT(FO235,"|"),IF(COLUMNS(_xlpm.nd)&gt;3,A235&amp;"¦"&amp;INDEX(_xlpm.nd,3)&amp;"¦"&amp;INDEX(_xlpm.nd,4),"")))</f>
        <v/>
      </c>
      <c r="FU235" t="str">
        <f t="shared" si="334"/>
        <v/>
      </c>
      <c r="FV235" t="str" cm="1">
        <f t="array" ref="FV235">IF(FO235="","",_xlfn.LET(_xlpm.nd,_xlfn.TEXTSPLIT(FO235,"|"),IF(COLUMNS(_xlpm.nd)&gt;4,A235&amp;"¦"&amp;INDEX(_xlpm.nd,4)&amp;"¦"&amp;INDEX(_xlpm.nd,5),"")))</f>
        <v/>
      </c>
      <c r="FW235" t="str">
        <f t="shared" si="335"/>
        <v/>
      </c>
      <c r="FX235" t="str" cm="1">
        <f t="array" ref="FX235">IF(FO235="","",_xlfn.LET(_xlpm.nd,_xlfn.TEXTSPLIT(FO235,"|"),IF(COLUMNS(_xlpm.nd)&gt;5,A235&amp;"¦"&amp;INDEX(_xlpm.nd,5)&amp;"¦"&amp;INDEX(_xlpm.nd,6),"")))</f>
        <v/>
      </c>
      <c r="FY235" t="str">
        <f t="shared" si="336"/>
        <v/>
      </c>
      <c r="FZ235" t="str" cm="1">
        <f t="array" ref="FZ235">IF(FO235="","",_xlfn.LET(_xlpm.nd,_xlfn.TEXTSPLIT(FO235,"|"),IF(COLUMNS(_xlpm.nd)&gt;6,A235&amp;"¦"&amp;INDEX(_xlpm.nd,6)&amp;"¦"&amp;INDEX(_xlpm.nd,7),"")))</f>
        <v/>
      </c>
      <c r="GA235" t="str">
        <f t="shared" si="337"/>
        <v/>
      </c>
      <c r="GB235" t="str">
        <f t="shared" si="338"/>
        <v/>
      </c>
      <c r="GC235" t="str">
        <f t="shared" si="339"/>
        <v>QFD11</v>
      </c>
      <c r="GD235">
        <f t="shared" si="340"/>
        <v>1</v>
      </c>
      <c r="GE235">
        <f t="shared" si="341"/>
        <v>0</v>
      </c>
      <c r="GF235">
        <f t="shared" si="342"/>
        <v>1</v>
      </c>
      <c r="GG235" t="str">
        <f t="shared" si="343"/>
        <v/>
      </c>
      <c r="GH235" t="str">
        <f t="shared" si="344"/>
        <v/>
      </c>
      <c r="GI235" t="str">
        <f t="shared" si="345"/>
        <v/>
      </c>
      <c r="GJ235" t="str">
        <f t="shared" si="346"/>
        <v/>
      </c>
      <c r="GK235" t="str">
        <f>IF(D235="","",IFERROR(VLOOKUP(D235,УГО_спр,2,FALSE),IFERROR(VLOOKUP(AT235,УГО_спр,2,FALSE),IFERROR(VLOOKUP(LEFT(AT235,2),УГО_спр,2,FALSE),""))))</f>
        <v>Розетка</v>
      </c>
      <c r="GL235" t="str">
        <f>IF(D235="","",IF(OR(GK235="",GK235=0),"BOX",IFERROR(IF(VLOOKUP(GK235,УГО_блоки,3,FALSE)&amp;""&lt;&gt;"",VLOOKUP(GK235,УГО_блоки,3,FALSE),VLOOKUP(GK235,УГО_блоки,2,FALSE)),GK235)))</f>
        <v>SOCKET</v>
      </c>
      <c r="GM235">
        <f t="shared" si="347"/>
        <v>1</v>
      </c>
      <c r="GN235" t="str">
        <f>IF(EP235="","",IF(COUNTIF(EP$3:EP235,EP235)=1,MAX(GN$2:GN234)+1,""))</f>
        <v/>
      </c>
      <c r="GO235" t="str">
        <f>IF(AF235="","",IF(COUNTIF(AF$3:AF235,AF235)+COUNTIF(AG$2:AG234,AF235)+COUNTIF(AH$2:AH234,AF235)=1,MAX(GO$2:GQ234)+1,""))</f>
        <v/>
      </c>
      <c r="GP235" t="str">
        <f>IF(AG235="","",IF(COUNTIF(AF$3:AF235,AG235)+COUNTIF(AG$3:AG235,AG235)+COUNTIF(AH$2:AH234,AG235)=1,MAX(GO$2:GQ234,GO235)+1,""))</f>
        <v/>
      </c>
      <c r="GQ235" t="str">
        <f>IF(AH235="","",IF(COUNTIF(AF$3:AF235,AH235)+COUNTIF(AG$3:AG235,AH235)+COUNTIF(AH$3:AH235,AH235)=1,MAX(GO$2:GQ234,GO235,GP235)+1,""))</f>
        <v/>
      </c>
      <c r="GR235" t="str">
        <f t="shared" si="348"/>
        <v>3х4</v>
      </c>
      <c r="GS235" t="str">
        <f>IF(GR235="","",IF(COUNTIF(GR$3:GR235,GR235)=1,MAX(GS$2:GS234)+1,""))</f>
        <v/>
      </c>
      <c r="GT235" t="str">
        <f>IF(ES235="","",COUNTIF(ES$3:ES235,"?*"))</f>
        <v/>
      </c>
      <c r="GU235" t="str">
        <f>IF(OR(ES235="",EU235=""),"",IF(COUNTIFS(ES$3:ES235,"?*",EU$3:EU235,EU235)=1,MAX(GU$2:GU234)+1,""))</f>
        <v/>
      </c>
      <c r="GV235">
        <f t="shared" si="349"/>
        <v>0</v>
      </c>
      <c r="GW235">
        <f>IF(D235="","",COUNTIF(D$3:D235,"?*"))</f>
        <v>233</v>
      </c>
      <c r="GX235">
        <f>IF(EX235&lt;&gt;1,0,_xlfn.LET(_xlpm.k,MAX(IFERROR(--VLOOKUP(D235,УГО_спр,5,FALSE),0),IFERROR(--VLOOKUP(AT235,УГО_спр,5,FALSE),0),IFERROR(--VLOOKUP(LEFT(AT235,2),УГО_спр,5,FALSE),0)),IF(_xlpm.k&gt;0,_xlpm.k,IF(IFERROR(--LEFT(SUBSTITUTE(GR235,"x","х"),FIND("х",SUBSTITUTE(GR235,"x","х"))-1),3)&gt;3,Каталог!$S$9,1))))</f>
        <v>1</v>
      </c>
      <c r="GY235">
        <f t="shared" si="350"/>
        <v>0</v>
      </c>
    </row>
    <row r="236" spans="1:207" x14ac:dyDescent="0.3">
      <c r="A236" t="s">
        <v>762</v>
      </c>
      <c r="B236">
        <v>22</v>
      </c>
      <c r="C236" t="str">
        <f>IF(BD236="","",IF(BE236="вводной узел","узел ","")&amp;"л."&amp;(INT((BD236-1)/Столбцов_на_лист)+1)&amp;" / "&amp;(MOD(BD236-1,Столбцов_на_лист)+1))</f>
        <v>л.2 / 5</v>
      </c>
      <c r="D236" t="s">
        <v>1558</v>
      </c>
      <c r="E236" s="133" t="str">
        <f t="shared" si="351"/>
        <v>Розеточная группа Первый этаж Пом. №002Б</v>
      </c>
      <c r="G236">
        <v>0.06</v>
      </c>
      <c r="H236">
        <v>1</v>
      </c>
      <c r="I236">
        <v>1</v>
      </c>
      <c r="J236">
        <v>230</v>
      </c>
      <c r="K236" t="s">
        <v>566</v>
      </c>
      <c r="O236">
        <v>3</v>
      </c>
      <c r="P236">
        <v>19</v>
      </c>
      <c r="Q236">
        <v>0</v>
      </c>
      <c r="R236">
        <v>22</v>
      </c>
      <c r="S236">
        <v>0</v>
      </c>
      <c r="U236" t="s">
        <v>11</v>
      </c>
      <c r="V236">
        <v>3</v>
      </c>
      <c r="W236">
        <v>2.5</v>
      </c>
      <c r="Z236" t="s">
        <v>565</v>
      </c>
      <c r="AA236" t="s">
        <v>818</v>
      </c>
      <c r="AD236" t="s">
        <v>517</v>
      </c>
      <c r="AK236" t="s">
        <v>488</v>
      </c>
      <c r="AR236" t="str">
        <f t="shared" si="264"/>
        <v/>
      </c>
      <c r="AS236" cm="1">
        <f t="array" ref="AS236">ROW()-ROW(Линии[#Headers])</f>
        <v>234</v>
      </c>
      <c r="AT236" t="str">
        <f t="shared" si="265"/>
        <v>R</v>
      </c>
      <c r="AU236" t="str">
        <f t="shared" si="266"/>
        <v>1.002Б.7</v>
      </c>
      <c r="AV236" t="str">
        <f t="shared" si="267"/>
        <v>1</v>
      </c>
      <c r="AW236" t="str">
        <f t="shared" si="268"/>
        <v>002Б.7</v>
      </c>
      <c r="AX236" t="str">
        <f t="shared" si="269"/>
        <v>002Б</v>
      </c>
      <c r="AY236" t="str">
        <f>IF(D236="","",IF(ISERROR(SEARCH(".",D236)),IFERROR(VLOOKUP(D236,Потребители_обозначение,2,FALSE)&amp;"",""),IFERROR(IF(VLOOKUP(AT236,Потребители_обозначение,4,FALSE)=1,VLOOKUP(AT236,Потребители_обозначение,2,FALSE)&amp;" "&amp;VLOOKUP(AV236,Этаж_обозначение,2,FALSE)&amp;" Пом. №"&amp;AX236,VLOOKUP(AT236,Потребители_обозначение,2,FALSE)&amp;" Шлейф №"&amp;AV236),IFERROR(VLOOKUP(D236,Потребители_обозначение,2,FALSE),""))))</f>
        <v>Розеточная группа Первый этаж Пом. №002Б</v>
      </c>
      <c r="AZ236" t="str">
        <f t="shared" si="270"/>
        <v>Розеточная группа Первый этаж Пом. №002Б</v>
      </c>
      <c r="BA236" t="str">
        <f>IF(F236&lt;&gt;"",F236,IF(AND(D236&lt;&gt;"",D236&lt;&gt;A236,ISNUMBER(_xlfn.XMATCH(D236,Щиты[Щит]))),D236,""))</f>
        <v/>
      </c>
      <c r="BB236">
        <f>IFERROR(_xlfn.XMATCH(A236,Щиты[Щит]),0)</f>
        <v>10</v>
      </c>
      <c r="BC236">
        <f>IFERROR(N(_xlfn.XLOOKUP(A236,Щиты[Щит],Щиты[Мест под вводной узел])),15)</f>
        <v>8</v>
      </c>
      <c r="BD236">
        <f t="shared" si="271"/>
        <v>22</v>
      </c>
      <c r="BE236" t="str">
        <f t="shared" si="272"/>
        <v>линии</v>
      </c>
      <c r="BF236">
        <f>IF(D236="","",IF(BA236&lt;&gt;"",IFERROR(_xlfn.XLOOKUP(BA236,Щиты[Щит],Щиты[Руст, кВт]),0),N(G236)))</f>
        <v>0.06</v>
      </c>
      <c r="BG236">
        <f>IF(J236&lt;&gt;"",J236,IF(D236="","",IFERROR(IF(VLOOKUP(AT236,Потребители_обозначение,8,FALSE)=0,"",VLOOKUP(AT236,Потребители_обозначение,8,FALSE)),"")))</f>
        <v>230</v>
      </c>
      <c r="BH236">
        <f>IF(I236&lt;&gt;"",I236,IF(D236="","",IFERROR(IF(VLOOKUP(AT236,Потребители_обозначение,9,FALSE)=0,"",VLOOKUP(AT236,Потребители_обозначение,9,FALSE)),"")))</f>
        <v>1</v>
      </c>
      <c r="BI236" t="str">
        <f>IF(U236&lt;&gt;"",U236,IF(D236="","",IFERROR(IF(VLOOKUP(AT236,Потребители_обозначение,6,FALSE)=0,"",VLOOKUP(AT236,Потребители_обозначение,6,FALSE)),"")))</f>
        <v>мс</v>
      </c>
      <c r="BJ236">
        <f>IF(V236&lt;&gt;"",V236,IF(D236="","",IFERROR(IF(VLOOKUP(AT236,Потребители_обозначение,7,FALSE)=0,"",VLOOKUP(AT236,Потребители_обозначение,7,FALSE)),"")))</f>
        <v>3</v>
      </c>
      <c r="BK236">
        <f>IF(W236&lt;&gt;"",W236,IF(D236="","",IFERROR(IF(VLOOKUP(AT236,Потребители_обозначение,10,FALSE)=0,"",VLOOKUP(AT236,Потребители_обозначение,10,FALSE)),"")))</f>
        <v>2.5</v>
      </c>
      <c r="BL236">
        <f>IFERROR(VLOOKUP(AT236,Потребители_обозначение,5,FALSE),0)</f>
        <v>1</v>
      </c>
      <c r="BM236" cm="1">
        <f t="array" ref="BM236">IF(D236="","",IF(BA236&lt;&gt;"",IFERROR(_xlfn.XLOOKUP(BA236,Щиты[Щит],Щиты[cos φ]),0.95),IF(ISNUMBER(M236),M236,IFERROR(IF(BL236=2,_xlfn.IFS(BH236=3,VLOOKUP(BF236,Справочная_двигатели,8,FALSE),BH236=1,VLOOKUP(BF236,Справочная_двигатели,10,TRUE)),IF(AND(Методика="нормы 2026",CN236="Сил"),0.8,0.95)),0.95))))</f>
        <v>0.95</v>
      </c>
      <c r="BN236" cm="1">
        <f t="array" ref="BN236">IF(D236="","",IF(BA236&lt;&gt;"",IFERROR(_xlfn.XLOOKUP(BA236,Щиты[Щит],Щиты[Iр, А]),""),IFERROR(_xlfn.IFS(BH236=1,BF236/((Uн_лин/SQRT(3))*BM236),BH236=3,BF236/(SQRT(3)*Uн_лин*BM236)),"")))</f>
        <v>0.27348170645824377</v>
      </c>
      <c r="BO236">
        <f>IF(D236="","",IF(N(X236)=0,IFERROR(VLOOKUP(BN236,Автомат_номиналы,2,TRUE),""),X236))</f>
        <v>6</v>
      </c>
      <c r="BP236">
        <f t="shared" si="273"/>
        <v>1</v>
      </c>
      <c r="BQ236">
        <f>IF(ISNUMBER(Y236),Y236,К_прокл)</f>
        <v>1</v>
      </c>
      <c r="BR236">
        <f t="shared" si="274"/>
        <v>2</v>
      </c>
      <c r="BS236" cm="1">
        <f t="array" ref="BS236">IF(D236="","",IF(N(BK236)&lt;&gt;0,BK236,IFERROR(_xlfn.LET(_xlpm.need,BO236/(BP236*BQ236),_xlpm.t,CHOOSE(BR236,Iдоп_1ж,Iдоп_2ж,Iдоп_3ж),_xlpm.k,_xlfn.XMATCH(_xlpm.need,_xlpm.t,1),IF(ISNA(_xlpm.k),"Не исп",INDEX(Iдоп_S,_xlpm.k))),"Не исп")))</f>
        <v>2.5</v>
      </c>
      <c r="BT236">
        <f>IFERROR(VLOOKUP(BS236,Кабель_сопротивление,3,FALSE),"")</f>
        <v>2.2499999999999999E-2</v>
      </c>
      <c r="BU236">
        <f>IFERROR(VLOOKUP(BS236,Кабель_сопротивление,2,FALSE),"")</f>
        <v>0.1</v>
      </c>
      <c r="BV236">
        <f t="shared" si="275"/>
        <v>19</v>
      </c>
      <c r="BW236">
        <f>IF(D236="","",IFERROR(IF(VLOOKUP(AT236,Потребители_обозначение,4,FALSE)=1,VLOOKUP(AT236,Потребители_обозначение,3,FALSE)*(H236*2-1)+BV236+VLOOKUP(AV236,Этаж_обозначение,3,FALSE)+VLOOKUP(AV236,Этаж_обозначение,4,FALSE),VLOOKUP(AT236,Потребители_обозначение,3,FALSE)*(H236*2-1)+BV236),BV236))</f>
        <v>22</v>
      </c>
      <c r="BX236">
        <f t="shared" si="276"/>
        <v>22</v>
      </c>
      <c r="BY236">
        <f t="shared" si="277"/>
        <v>0</v>
      </c>
      <c r="BZ236">
        <f t="shared" si="278"/>
        <v>2</v>
      </c>
      <c r="CA236">
        <f t="shared" si="279"/>
        <v>0.31</v>
      </c>
      <c r="CB236">
        <f t="shared" si="280"/>
        <v>0.10325684701720034</v>
      </c>
      <c r="CC236">
        <f>IFERROR(ROUNDUP(CB236/((Uн_лин/SQRT(3))*1000)*100,2),"")</f>
        <v>0.05</v>
      </c>
      <c r="CD236">
        <f>IF(ISNUMBER(CC236),CC236+IFERROR(_xlfn.XLOOKUP(A236,Щиты[Щит],Щиты[ΔU до шин, %]),0),"")</f>
        <v>1.3</v>
      </c>
      <c r="CE236">
        <f>IF(D236="","",IF(IFERROR(VLOOKUP(AT236,УГО_спр,2,FALSE),"")="Светильник",3,4)+IF(Методика="нормы 2026",MIN(0.5,MAX(0,N(BW236)-100)*0.005),0))</f>
        <v>4</v>
      </c>
      <c r="CF236" t="str">
        <f>IFERROR(VLOOKUP(BI236,Кабель_обозначение,2,FALSE),"")</f>
        <v>ВВГнг(А)-LS</v>
      </c>
      <c r="CG236" t="str">
        <f>IFERROR(IF(VLOOKUP(BI236,Кабель_обозначение,3,FALSE)=1,CF236&amp;" ("&amp;BJ236&amp;"х"&amp;BS236&amp;")",CF236),"")</f>
        <v>ВВГнг(А)-LS (3х2,5)</v>
      </c>
      <c r="CH236" t="str">
        <f t="shared" si="281"/>
        <v>ВВГнг(А)-LS (3х2,5)
L=22-0,05%</v>
      </c>
      <c r="CI236">
        <f>IFERROR(2*ρкз_Cu*BW236/BS236,"")</f>
        <v>0.46288000000000001</v>
      </c>
      <c r="CJ236">
        <f t="shared" si="282"/>
        <v>0.154</v>
      </c>
      <c r="CK236" t="str">
        <f>IFERROR(IF(OR(D236="",NOT(ISNUMBER(BS236)),N(BW236)=0),"",_xlfn.XLOOKUP(A236,Щиты[Щит],Щиты[Zпетли на шинах, Ом])+CI236),"")</f>
        <v/>
      </c>
      <c r="CL236" t="str">
        <f>IF(ISNUMBER(CK236),c_min*(Uн_лин*1000/SQRT(3))/CK236,"")</f>
        <v/>
      </c>
      <c r="CM236" t="str">
        <f>IFERROR(IF(OR(D236="",NOT(ISNUMBER(BS236))),"",1.05*(Uн_лин*1000/SQRT(3))/(_xlfn.XLOOKUP(A236,Щиты[Щит],Щиты[Zmax на шинах, Ом])+CJ236)/1000),"")</f>
        <v/>
      </c>
      <c r="CN236" t="str">
        <f>IF(D236="","",IF(BA236&lt;&gt;"","Щит",IF(K236&lt;&gt;"",K236,IF(ISNUMBER(L236),"Сил",IF(IFERROR(_xlfn.XLOOKUP(AT236,Коды_код,Коды_группа)&amp;"","")="","Быт",_xlfn.XLOOKUP(AT236,Коды_код,Коды_группа)&amp;"")))))</f>
        <v>Быт</v>
      </c>
      <c r="CO236">
        <f>IF(CN236="Щит","щит",IF(CN236="","",IF(CN236="Быт",IFERROR(_xlfn.XLOOKUP(A236,Щиты[Щит],Щиты[Кс быт]),1),IF(CN236="Сил",IF(ISNUMBER(L236),L236,IF(Методика="нормы 2026",IFERROR(_xlfn.XLOOKUP(A236,Щиты[Щит],Щиты[Кс силовых (табл. 7.5)]),1),1)),IF(OR(CN236="Пост",CN236="Отоп"),1,IF(CN236="ВНГ",0.7,0))))))</f>
        <v>0.57830000000000004</v>
      </c>
      <c r="CP236">
        <f t="shared" si="283"/>
        <v>1</v>
      </c>
      <c r="CQ236">
        <f t="shared" si="284"/>
        <v>0.06</v>
      </c>
      <c r="CR236">
        <f t="shared" si="285"/>
        <v>0.06</v>
      </c>
      <c r="CS236">
        <f t="shared" si="286"/>
        <v>0</v>
      </c>
      <c r="CT236">
        <f t="shared" si="287"/>
        <v>0</v>
      </c>
      <c r="CU236">
        <f t="shared" si="288"/>
        <v>0</v>
      </c>
      <c r="CV236">
        <f t="shared" si="289"/>
        <v>0</v>
      </c>
      <c r="CW236">
        <f t="shared" si="290"/>
        <v>0.06</v>
      </c>
      <c r="CX236">
        <f t="shared" si="291"/>
        <v>5.6999999999999995E-2</v>
      </c>
      <c r="CY236">
        <f t="shared" si="292"/>
        <v>3</v>
      </c>
      <c r="CZ236" t="str">
        <f t="shared" si="293"/>
        <v>L3</v>
      </c>
      <c r="DA236" cm="1">
        <f t="array" ref="DA236">IFERROR(IF(BL236=2,_xlfn.IFS(BH236=3,VLOOKUP(BF236,Справочная_двигатели,3,FALSE),BH236=1,VLOOKUP(BF236,Справочная_двигатели,5,TRUE)),0),0)</f>
        <v>0</v>
      </c>
      <c r="DB236">
        <f>IFERROR(IF(BL236=3,VLOOKUP(BF236,Справочная_ЛЭД,2,TRUE),0),0)</f>
        <v>0</v>
      </c>
      <c r="DC236">
        <f t="shared" si="294"/>
        <v>0</v>
      </c>
      <c r="DD236" t="str">
        <f t="shared" si="295"/>
        <v>L3</v>
      </c>
      <c r="DE236" t="str" cm="1">
        <f t="array" ref="DE236">IF(D236="","",IFERROR(INDEX({"I особая","I","II","III"},MATCH(TRIM(AA236&amp;""),{"I особая","I","II","III"},0)),"III"))</f>
        <v>II</v>
      </c>
      <c r="DF236" t="str">
        <f>IF(D236="","",IF(TRIM(AB236&amp;"")&lt;&gt;"",IF(LOWER(TRIM(AB236&amp;""))="да","да","нет"),IF(IFERROR(_xlfn.XLOOKUP(AT236,Коды_код,Коды_пожарная),"")="да","да","нет")))</f>
        <v>нет</v>
      </c>
      <c r="DG236" t="str">
        <f t="shared" si="296"/>
        <v/>
      </c>
      <c r="DH236" t="str">
        <f t="shared" si="297"/>
        <v>основная</v>
      </c>
      <c r="DI236">
        <f t="shared" si="298"/>
        <v>1</v>
      </c>
      <c r="DJ236" t="str" cm="1">
        <f t="array" ref="DJ236">IF(D236="","",_xlfn.LET(_xlpm.t,IFERROR(_xlfn.XLOOKUP(1,(Шины[Шина]=DH236)*(((Шины[Щит]=A236)+(Шины[Щит]=""))&gt;0),Шины[Тип]),"")&amp;"",IF(_xlpm.t&lt;&gt;"",_xlpm.t,IF(ISNUMBER(SEARCH("ИБП",DH236)),"ИБП",IF(ISNUMBER(SEARCH("ДГУ",DH236)),"ДГУ","Ввод "&amp;DI236)))))</f>
        <v>Ввод 1</v>
      </c>
      <c r="DK236" t="str">
        <f t="shared" si="299"/>
        <v>Ввод 1</v>
      </c>
      <c r="DL236" t="str">
        <f>IF(D236="","",IF(OR(DJ236="ИБП",DJ236="ДГУ"),"I особая",IF(DJ236="Одиночная","III",_xlfn.XLOOKUP(A236,Щиты[Щит],Щиты[Категория шины «Ввод»],"III"))))</f>
        <v>II</v>
      </c>
      <c r="DM236">
        <f>IF(D236="",0,IFERROR(MATCH(DE236,{"III","II","I","I особая"},0),1))</f>
        <v>2</v>
      </c>
      <c r="DN236">
        <f t="shared" si="300"/>
        <v>2</v>
      </c>
      <c r="DO236" t="str">
        <f>IF(D236="","",IF(DM236&gt;IFERROR(MATCH(DL236,{"III","II","I","I особая"},0),1),"НЕ ОБЕСПЕЧЕНА","ОК"))</f>
        <v>ОК</v>
      </c>
      <c r="DP236" t="str">
        <f>IF(A236="","",_xlfn.XLOOKUP(A236,Щиты[Щит],Щиты[Путь],""))</f>
        <v>|ГРЩ-ЖД|ЩР-1|</v>
      </c>
      <c r="DQ236" t="str">
        <f>IF(D236="","",IF(Z236&lt;&gt;"",Z236,IF(IFERROR(_xlfn.XLOOKUP(AT236,Коды_код,Коды_вид)&amp;"","")="","Прочее",_xlfn.XLOOKUP(AT236,Коды_код,Коды_вид)&amp;"")))</f>
        <v>Розеточная сеть и бытовые приборы</v>
      </c>
      <c r="DR236">
        <f>IF(BD236="","",INT((BD236-1)/Столбцов_на_лист)+1)</f>
        <v>2</v>
      </c>
      <c r="DS236" t="str">
        <f t="shared" si="301"/>
        <v>ВВГнг(А)-LS (3х2,5) L=22-0,05%</v>
      </c>
      <c r="DT236">
        <f t="shared" si="302"/>
        <v>0.06</v>
      </c>
      <c r="DU236">
        <f t="shared" si="303"/>
        <v>0.28000000000000003</v>
      </c>
      <c r="DV236">
        <f t="shared" si="304"/>
        <v>1</v>
      </c>
      <c r="DW236">
        <f>IF(AT236="",0,_xlfn.LET(_xlpm.v,IFERROR(VLOOKUP(D236,УГО_спр,3,FALSE),IFERROR(VLOOKUP(AT236,УГО_спр,3,FALSE),IFERROR(VLOOKUP(LEFT(AT236,2),УГО_спр,3,FALSE),""))),IF(_xlpm.v="да",30,IF(ISNUMBER(_xlpm.v),_xlpm.v,0))))</f>
        <v>30</v>
      </c>
      <c r="DX236">
        <f t="shared" si="305"/>
        <v>0</v>
      </c>
      <c r="DY236">
        <f>IF(BD236="","",IF(AD236&lt;&gt;"",COUNTIFS(A$3:A236,A236,AD$3:AD236,"?*"),IF(OR(OR(AS236=1,A236&lt;&gt;A235),AL236="вручную"),"",IF(AS236=1,"",DZ235))))</f>
        <v>12</v>
      </c>
      <c r="DZ236">
        <f t="shared" si="306"/>
        <v>12</v>
      </c>
      <c r="EA236">
        <f>IF(D236="",0,MAX(IFERROR(--X236,0),IFERROR(--VLOOKUP(D236,УГО_спр,4,FALSE),IFERROR(--VLOOKUP(AT236,УГО_спр,4,FALSE),IFERROR(--VLOOKUP(LEFT(AT236,2),УГО_спр,4,FALSE),0)))))</f>
        <v>16</v>
      </c>
      <c r="EB236">
        <f>IF(D236="","",IFERROR(LOOKUP(INDEX(CHOOSE(BR236,Iдоп_1ж,Iдоп_2ж,Iдоп_3ж),MATCH(BS236,Iдоп_S,0))*BP236*BQ236,{6,10,16,20,25,32,40,50,63,80,100,125,160,200,250,315,400,500,630}),""))</f>
        <v>25</v>
      </c>
      <c r="EC236">
        <f>IF(AD236="","",SUMIFS(Линии[_Ток схемы],Линии[_гр.],DY236,Линии[Щит],A236,Линии[_в кабель выше],0))</f>
        <v>0.28000000000000003</v>
      </c>
      <c r="ED236">
        <f>IF(AD236="","",IFERROR(VLOOKUP(EC236,Автомат_номиналы,2,TRUE),""))</f>
        <v>6</v>
      </c>
      <c r="EE236">
        <f>IF(AD236="","",MAX(N(ED236),_xlfn.MAXIFS(Линии[_мин. по типу],Линии[_гр.],DY236,Линии[Щит],A236)))</f>
        <v>16</v>
      </c>
      <c r="EF236">
        <f>IF(AD236="","",_xlfn.MINIFS(Линии[_макс. автомат по кабелю],Линии[_гр.],DY236,Линии[Щит],A236))</f>
        <v>25</v>
      </c>
      <c r="EG236">
        <f>IF(AD236="","",MAX(1,_xlfn.MAXIFS(Линии[_фаз],Линии[_гр.],DY236,Линии[Щит],A236)))</f>
        <v>1</v>
      </c>
      <c r="EH236">
        <f>IF(AD236="","",IF(AND(AD236&lt;&gt;"авто",AD236&lt;&gt;"+"),IF(ISNUMBER(SEARCH("мА",AD236)),IFERROR(--TRIM(RIGHT(SUBSTITUTE(LEFT(AD236,SEARCH("мА",AD236)-1)," ",REPT(" ",9)),6)),30),0),IF(AE236="нет",0,IF(ISNUMBER(AE236),AE236,IF(AE236="да",30,_xlfn.MINIFS(Линии[_дифзащита по коду, мА],Линии[_гр.],DY236,Линии[Щит],A236,Линии[_дифзащита по коду, мА],"&gt;0"))))))</f>
        <v>30</v>
      </c>
      <c r="EI236">
        <f t="shared" si="307"/>
        <v>1</v>
      </c>
      <c r="EJ236" t="str">
        <f t="shared" si="308"/>
        <v>QFD12</v>
      </c>
      <c r="EK236" t="str">
        <f t="shared" si="309"/>
        <v>QFD12</v>
      </c>
      <c r="EL236" t="str">
        <f t="shared" si="310"/>
        <v/>
      </c>
      <c r="EM236">
        <f t="shared" si="311"/>
        <v>0</v>
      </c>
      <c r="EN236">
        <f>IF(AD236="","",IF(EM236=1,MAX(EE236,Мин_автомат_БП),EE236))</f>
        <v>16</v>
      </c>
      <c r="EO236" t="str">
        <f t="shared" si="312"/>
        <v>2P</v>
      </c>
      <c r="EP236" t="str">
        <f t="shared" si="313"/>
        <v>2P С16А 30мА</v>
      </c>
      <c r="EQ236">
        <f t="shared" si="314"/>
        <v>16</v>
      </c>
      <c r="ER236" t="str">
        <f>IF(OR(AI236="",AI236="-"),"",IFERROR(VLOOKUP(AI236,Модули_спр,2,FALSE),"R"))</f>
        <v/>
      </c>
      <c r="ES236" t="str">
        <f>IF(ER236="","",ER236&amp;"."&amp;COUNTIFS(A$3:A236,A236,ER$3:ER236,ER236))</f>
        <v/>
      </c>
      <c r="ET236" t="str">
        <f t="shared" si="315"/>
        <v/>
      </c>
      <c r="EU236" t="str">
        <f t="shared" si="316"/>
        <v/>
      </c>
      <c r="EV236" t="str">
        <f t="shared" si="317"/>
        <v/>
      </c>
      <c r="EW236" t="str">
        <f t="shared" si="318"/>
        <v/>
      </c>
      <c r="EX236">
        <f t="shared" si="319"/>
        <v>1</v>
      </c>
      <c r="EY236" t="str">
        <f>IF(AK236="нет","",IF(AK236&lt;&gt;"",AK236,IF(EX236=1,"XT"&amp;COUNTIFS(A$3:A236,A236,EX$3:EX236,1),"")))</f>
        <v/>
      </c>
      <c r="EZ236" t="str">
        <f t="shared" si="320"/>
        <v>QFD12</v>
      </c>
      <c r="FA236" t="str">
        <f t="shared" si="321"/>
        <v/>
      </c>
      <c r="FB236" t="str">
        <f t="shared" si="322"/>
        <v>ok</v>
      </c>
      <c r="FC236" t="str">
        <f>IF(OR(EV236="",ET236=""),"",IF(EV236&gt;IFERROR(VLOOKUP(EU236,Модули_спр,3,FALSE),99),"ЛИШНИЙ КАНАЛ",IF(AND(AJ236&lt;&gt;"=",COUNTIFS(Линии[_модуль гр.],ET236,Линии[Канал (итог)],EV236,Линии[Канал],"&lt;&gt;=",Линии[Щит],A236)&gt;1),"ДУБЛЬ КАНАЛА","")))</f>
        <v/>
      </c>
      <c r="FD236">
        <f t="shared" si="323"/>
        <v>16</v>
      </c>
      <c r="FE236" t="str">
        <f t="shared" si="324"/>
        <v>2P С16А 30мА</v>
      </c>
      <c r="FF236">
        <f t="shared" si="325"/>
        <v>1</v>
      </c>
      <c r="FG236">
        <f t="shared" si="326"/>
        <v>30</v>
      </c>
      <c r="FH236" t="str">
        <f t="shared" si="327"/>
        <v/>
      </c>
      <c r="FI236">
        <f t="shared" si="328"/>
        <v>10</v>
      </c>
      <c r="FJ236" t="str">
        <f t="shared" si="329"/>
        <v/>
      </c>
      <c r="FK236" t="str">
        <f>IF(AND(D236="",EZ236=""),"",_xlfn.TEXTJOIN("; ",TRUE,IF(AND(D236&lt;&gt;"",DD236=""),"нет фазы",""),IF(AND(D236&lt;&gt;"",N(DT236)=0,CN236&lt;&gt;"Нет"),"нет мощности",""),IF(AND(EY236&lt;&gt;"",COUNTIFS(Линии[Щит],A236,Линии[Клемма (итог)],EY236)&gt;1),"дубль клеммы "&amp;EY236,""),IF(AND(FB236&lt;&gt;"",FB236&lt;&gt;"ok"),FB236,""),IF(FC236&lt;&gt;"",FC236,""),IF(AND(ISNUMBER(SEARCH("(5х",DS236)),N(DV236)=1),"5 жил на 1 фазе",""),IF(AND(AT236="R",AD236&lt;&gt;"",OR(N(EH236)=0,N(EH236)&gt;30)),"розетка без дифзащиты до 30 мА",""),IFERROR(IF(AND(ISNUMBER(CD236),CD236&gt;CE236),"потери "&amp;FIXED(CD236,1)&amp;" % &gt; "&amp;CE236&amp;" %",""),""),IFERROR(IF(LEFT(FJ236,4)="мало","Iкз мало — отключение &gt; 0,4 с",""),""),IF(AND(D236&lt;&gt;"",BD236=""),"не на схеме","")))</f>
        <v/>
      </c>
      <c r="FL236">
        <f>IF(AD236="","",_xlfn.LET(_xlpm.t,IFERROR(_xlfn.XLOOKUP(EP236,Каталог!$U$4:$U$500,Каталог!$G$4:$G$500),""),_xlpm.k,SEARCH("кА",_xlpm.t),IFERROR(--TRIM(RIGHT(SUBSTITUTE(MID(_xlpm.t,MAX(1,_xlpm.k-4),_xlpm.k-MAX(1,_xlpm.k-4))," ",REPT(" ",9)),5)),"")))</f>
        <v>6</v>
      </c>
      <c r="FM236" t="str">
        <f>IF(OR(FL236="",AD236=""),"",IF(_xlfn.XLOOKUP(A236,Щиты[Щит],Щиты[Iкз max на шинах, кА],"")="","",IF(FL236&lt;_xlfn.XLOOKUP(A236,Щиты[Щит],Щиты[Iкз max на шинах, кА]),"Icu "&amp;FL236&amp;" кА &lt; Iкз max","ok")))</f>
        <v/>
      </c>
      <c r="FN236" t="str">
        <f t="shared" si="330"/>
        <v>QFD12</v>
      </c>
      <c r="FO236" t="str">
        <f t="shared" si="331"/>
        <v>QFD12|кабель ВВГнг(А)-LS (3х2,5) → Розеточная группа Первый этаж Пом. №002Б</v>
      </c>
      <c r="FP236" t="str" cm="1">
        <f t="array" ref="FP236">IF(FO236="","",_xlfn.LET(_xlpm.nd,_xlfn.TEXTSPLIT(FO236,"|"),IF(COLUMNS(_xlpm.nd)&gt;1,A236&amp;"¦"&amp;INDEX(_xlpm.nd,1)&amp;"¦"&amp;INDEX(_xlpm.nd,2),"")))</f>
        <v>ЩР-1¦QFD12¦кабель ВВГнг(А)-LS (3х2,5) → Розеточная группа Первый этаж Пом. №002Б</v>
      </c>
      <c r="FQ236" t="str">
        <f t="shared" si="332"/>
        <v>R.1.002Б.7¦Розеточная группа Первый этаж Пом. №002Б</v>
      </c>
      <c r="FR236" t="str" cm="1">
        <f t="array" ref="FR236">IF(FO236="","",_xlfn.LET(_xlpm.nd,_xlfn.TEXTSPLIT(FO236,"|"),IF(COLUMNS(_xlpm.nd)&gt;2,A236&amp;"¦"&amp;INDEX(_xlpm.nd,2)&amp;"¦"&amp;INDEX(_xlpm.nd,3),"")))</f>
        <v/>
      </c>
      <c r="FS236" t="str">
        <f t="shared" si="333"/>
        <v/>
      </c>
      <c r="FT236" t="str" cm="1">
        <f t="array" ref="FT236">IF(FO236="","",_xlfn.LET(_xlpm.nd,_xlfn.TEXTSPLIT(FO236,"|"),IF(COLUMNS(_xlpm.nd)&gt;3,A236&amp;"¦"&amp;INDEX(_xlpm.nd,3)&amp;"¦"&amp;INDEX(_xlpm.nd,4),"")))</f>
        <v/>
      </c>
      <c r="FU236" t="str">
        <f t="shared" si="334"/>
        <v/>
      </c>
      <c r="FV236" t="str" cm="1">
        <f t="array" ref="FV236">IF(FO236="","",_xlfn.LET(_xlpm.nd,_xlfn.TEXTSPLIT(FO236,"|"),IF(COLUMNS(_xlpm.nd)&gt;4,A236&amp;"¦"&amp;INDEX(_xlpm.nd,4)&amp;"¦"&amp;INDEX(_xlpm.nd,5),"")))</f>
        <v/>
      </c>
      <c r="FW236" t="str">
        <f t="shared" si="335"/>
        <v/>
      </c>
      <c r="FX236" t="str" cm="1">
        <f t="array" ref="FX236">IF(FO236="","",_xlfn.LET(_xlpm.nd,_xlfn.TEXTSPLIT(FO236,"|"),IF(COLUMNS(_xlpm.nd)&gt;5,A236&amp;"¦"&amp;INDEX(_xlpm.nd,5)&amp;"¦"&amp;INDEX(_xlpm.nd,6),"")))</f>
        <v/>
      </c>
      <c r="FY236" t="str">
        <f t="shared" si="336"/>
        <v/>
      </c>
      <c r="FZ236" t="str" cm="1">
        <f t="array" ref="FZ236">IF(FO236="","",_xlfn.LET(_xlpm.nd,_xlfn.TEXTSPLIT(FO236,"|"),IF(COLUMNS(_xlpm.nd)&gt;6,A236&amp;"¦"&amp;INDEX(_xlpm.nd,6)&amp;"¦"&amp;INDEX(_xlpm.nd,7),"")))</f>
        <v/>
      </c>
      <c r="GA236" t="str">
        <f t="shared" si="337"/>
        <v/>
      </c>
      <c r="GB236" t="str">
        <f t="shared" si="338"/>
        <v/>
      </c>
      <c r="GC236" t="str">
        <f t="shared" si="339"/>
        <v>QFD12</v>
      </c>
      <c r="GD236">
        <f t="shared" si="340"/>
        <v>1</v>
      </c>
      <c r="GE236">
        <f t="shared" si="341"/>
        <v>0</v>
      </c>
      <c r="GF236">
        <f t="shared" si="342"/>
        <v>1</v>
      </c>
      <c r="GG236" t="str">
        <f t="shared" si="343"/>
        <v/>
      </c>
      <c r="GH236" t="str">
        <f t="shared" si="344"/>
        <v/>
      </c>
      <c r="GI236" t="str">
        <f t="shared" si="345"/>
        <v/>
      </c>
      <c r="GJ236" t="str">
        <f t="shared" si="346"/>
        <v/>
      </c>
      <c r="GK236" t="str">
        <f>IF(D236="","",IFERROR(VLOOKUP(D236,УГО_спр,2,FALSE),IFERROR(VLOOKUP(AT236,УГО_спр,2,FALSE),IFERROR(VLOOKUP(LEFT(AT236,2),УГО_спр,2,FALSE),""))))</f>
        <v>Розетка</v>
      </c>
      <c r="GL236" t="str">
        <f>IF(D236="","",IF(OR(GK236="",GK236=0),"BOX",IFERROR(IF(VLOOKUP(GK236,УГО_блоки,3,FALSE)&amp;""&lt;&gt;"",VLOOKUP(GK236,УГО_блоки,3,FALSE),VLOOKUP(GK236,УГО_блоки,2,FALSE)),GK236)))</f>
        <v>SOCKET</v>
      </c>
      <c r="GM236">
        <f t="shared" si="347"/>
        <v>1</v>
      </c>
      <c r="GN236" t="str">
        <f>IF(EP236="","",IF(COUNTIF(EP$3:EP236,EP236)=1,MAX(GN$2:GN235)+1,""))</f>
        <v/>
      </c>
      <c r="GO236" t="str">
        <f>IF(AF236="","",IF(COUNTIF(AF$3:AF236,AF236)+COUNTIF(AG$2:AG235,AF236)+COUNTIF(AH$2:AH235,AF236)=1,MAX(GO$2:GQ235)+1,""))</f>
        <v/>
      </c>
      <c r="GP236" t="str">
        <f>IF(AG236="","",IF(COUNTIF(AF$3:AF236,AG236)+COUNTIF(AG$3:AG236,AG236)+COUNTIF(AH$2:AH235,AG236)=1,MAX(GO$2:GQ235,GO236)+1,""))</f>
        <v/>
      </c>
      <c r="GQ236" t="str">
        <f>IF(AH236="","",IF(COUNTIF(AF$3:AF236,AH236)+COUNTIF(AG$3:AG236,AH236)+COUNTIF(AH$3:AH236,AH236)=1,MAX(GO$2:GQ235,GO236,GP236)+1,""))</f>
        <v/>
      </c>
      <c r="GR236" t="str">
        <f t="shared" si="348"/>
        <v>3х2,5</v>
      </c>
      <c r="GS236" t="str">
        <f>IF(GR236="","",IF(COUNTIF(GR$3:GR236,GR236)=1,MAX(GS$2:GS235)+1,""))</f>
        <v/>
      </c>
      <c r="GT236" t="str">
        <f>IF(ES236="","",COUNTIF(ES$3:ES236,"?*"))</f>
        <v/>
      </c>
      <c r="GU236" t="str">
        <f>IF(OR(ES236="",EU236=""),"",IF(COUNTIFS(ES$3:ES236,"?*",EU$3:EU236,EU236)=1,MAX(GU$2:GU235)+1,""))</f>
        <v/>
      </c>
      <c r="GV236">
        <f t="shared" si="349"/>
        <v>0</v>
      </c>
      <c r="GW236">
        <f>IF(D236="","",COUNTIF(D$3:D236,"?*"))</f>
        <v>234</v>
      </c>
      <c r="GX236">
        <f>IF(EX236&lt;&gt;1,0,_xlfn.LET(_xlpm.k,MAX(IFERROR(--VLOOKUP(D236,УГО_спр,5,FALSE),0),IFERROR(--VLOOKUP(AT236,УГО_спр,5,FALSE),0),IFERROR(--VLOOKUP(LEFT(AT236,2),УГО_спр,5,FALSE),0)),IF(_xlpm.k&gt;0,_xlpm.k,IF(IFERROR(--LEFT(SUBSTITUTE(GR236,"x","х"),FIND("х",SUBSTITUTE(GR236,"x","х"))-1),3)&gt;3,Каталог!$S$9,1))))</f>
        <v>1</v>
      </c>
      <c r="GY236">
        <f t="shared" si="350"/>
        <v>0</v>
      </c>
    </row>
    <row r="237" spans="1:207" x14ac:dyDescent="0.3">
      <c r="A237" t="s">
        <v>762</v>
      </c>
      <c r="B237">
        <v>23</v>
      </c>
      <c r="C237" t="str">
        <f>IF(BD237="","",IF(BE237="вводной узел","узел ","")&amp;"л."&amp;(INT((BD237-1)/Столбцов_на_лист)+1)&amp;" / "&amp;(MOD(BD237-1,Столбцов_на_лист)+1))</f>
        <v>л.2 / 6</v>
      </c>
      <c r="D237" t="s">
        <v>1559</v>
      </c>
      <c r="E237" s="133" t="str">
        <f t="shared" si="351"/>
        <v>Розеточная группа Первый этаж Пом. №002Б</v>
      </c>
      <c r="G237">
        <v>0.24</v>
      </c>
      <c r="H237">
        <v>1</v>
      </c>
      <c r="I237">
        <v>1</v>
      </c>
      <c r="J237">
        <v>230</v>
      </c>
      <c r="K237" t="s">
        <v>566</v>
      </c>
      <c r="O237">
        <v>1</v>
      </c>
      <c r="P237">
        <v>24</v>
      </c>
      <c r="Q237">
        <v>2</v>
      </c>
      <c r="R237">
        <v>6</v>
      </c>
      <c r="S237">
        <v>19</v>
      </c>
      <c r="U237" t="s">
        <v>11</v>
      </c>
      <c r="V237">
        <v>3</v>
      </c>
      <c r="W237">
        <v>2.5</v>
      </c>
      <c r="Z237" t="s">
        <v>565</v>
      </c>
      <c r="AA237" t="s">
        <v>818</v>
      </c>
      <c r="AD237" t="s">
        <v>517</v>
      </c>
      <c r="AK237" t="s">
        <v>488</v>
      </c>
      <c r="AR237" t="str">
        <f t="shared" si="264"/>
        <v/>
      </c>
      <c r="AS237" cm="1">
        <f t="array" ref="AS237">ROW()-ROW(Линии[#Headers])</f>
        <v>235</v>
      </c>
      <c r="AT237" t="str">
        <f t="shared" si="265"/>
        <v>R</v>
      </c>
      <c r="AU237" t="str">
        <f t="shared" si="266"/>
        <v>1.002Б.8</v>
      </c>
      <c r="AV237" t="str">
        <f t="shared" si="267"/>
        <v>1</v>
      </c>
      <c r="AW237" t="str">
        <f t="shared" si="268"/>
        <v>002Б.8</v>
      </c>
      <c r="AX237" t="str">
        <f t="shared" si="269"/>
        <v>002Б</v>
      </c>
      <c r="AY237" t="str">
        <f>IF(D237="","",IF(ISERROR(SEARCH(".",D237)),IFERROR(VLOOKUP(D237,Потребители_обозначение,2,FALSE)&amp;"",""),IFERROR(IF(VLOOKUP(AT237,Потребители_обозначение,4,FALSE)=1,VLOOKUP(AT237,Потребители_обозначение,2,FALSE)&amp;" "&amp;VLOOKUP(AV237,Этаж_обозначение,2,FALSE)&amp;" Пом. №"&amp;AX237,VLOOKUP(AT237,Потребители_обозначение,2,FALSE)&amp;" Шлейф №"&amp;AV237),IFERROR(VLOOKUP(D237,Потребители_обозначение,2,FALSE),""))))</f>
        <v>Розеточная группа Первый этаж Пом. №002Б</v>
      </c>
      <c r="AZ237" t="str">
        <f t="shared" si="270"/>
        <v>Розеточная группа Первый этаж Пом. №002Б</v>
      </c>
      <c r="BA237" t="str">
        <f>IF(F237&lt;&gt;"",F237,IF(AND(D237&lt;&gt;"",D237&lt;&gt;A237,ISNUMBER(_xlfn.XMATCH(D237,Щиты[Щит]))),D237,""))</f>
        <v/>
      </c>
      <c r="BB237">
        <f>IFERROR(_xlfn.XMATCH(A237,Щиты[Щит]),0)</f>
        <v>10</v>
      </c>
      <c r="BC237">
        <f>IFERROR(N(_xlfn.XLOOKUP(A237,Щиты[Щит],Щиты[Мест под вводной узел])),15)</f>
        <v>8</v>
      </c>
      <c r="BD237">
        <f t="shared" si="271"/>
        <v>23</v>
      </c>
      <c r="BE237" t="str">
        <f t="shared" si="272"/>
        <v>линии</v>
      </c>
      <c r="BF237">
        <f>IF(D237="","",IF(BA237&lt;&gt;"",IFERROR(_xlfn.XLOOKUP(BA237,Щиты[Щит],Щиты[Руст, кВт]),0),N(G237)))</f>
        <v>0.24</v>
      </c>
      <c r="BG237">
        <f>IF(J237&lt;&gt;"",J237,IF(D237="","",IFERROR(IF(VLOOKUP(AT237,Потребители_обозначение,8,FALSE)=0,"",VLOOKUP(AT237,Потребители_обозначение,8,FALSE)),"")))</f>
        <v>230</v>
      </c>
      <c r="BH237">
        <f>IF(I237&lt;&gt;"",I237,IF(D237="","",IFERROR(IF(VLOOKUP(AT237,Потребители_обозначение,9,FALSE)=0,"",VLOOKUP(AT237,Потребители_обозначение,9,FALSE)),"")))</f>
        <v>1</v>
      </c>
      <c r="BI237" t="str">
        <f>IF(U237&lt;&gt;"",U237,IF(D237="","",IFERROR(IF(VLOOKUP(AT237,Потребители_обозначение,6,FALSE)=0,"",VLOOKUP(AT237,Потребители_обозначение,6,FALSE)),"")))</f>
        <v>мс</v>
      </c>
      <c r="BJ237">
        <f>IF(V237&lt;&gt;"",V237,IF(D237="","",IFERROR(IF(VLOOKUP(AT237,Потребители_обозначение,7,FALSE)=0,"",VLOOKUP(AT237,Потребители_обозначение,7,FALSE)),"")))</f>
        <v>3</v>
      </c>
      <c r="BK237">
        <f>IF(W237&lt;&gt;"",W237,IF(D237="","",IFERROR(IF(VLOOKUP(AT237,Потребители_обозначение,10,FALSE)=0,"",VLOOKUP(AT237,Потребители_обозначение,10,FALSE)),"")))</f>
        <v>2.5</v>
      </c>
      <c r="BL237">
        <f>IFERROR(VLOOKUP(AT237,Потребители_обозначение,5,FALSE),0)</f>
        <v>1</v>
      </c>
      <c r="BM237" cm="1">
        <f t="array" ref="BM237">IF(D237="","",IF(BA237&lt;&gt;"",IFERROR(_xlfn.XLOOKUP(BA237,Щиты[Щит],Щиты[cos φ]),0.95),IF(ISNUMBER(M237),M237,IFERROR(IF(BL237=2,_xlfn.IFS(BH237=3,VLOOKUP(BF237,Справочная_двигатели,8,FALSE),BH237=1,VLOOKUP(BF237,Справочная_двигатели,10,TRUE)),IF(AND(Методика="нормы 2026",CN237="Сил"),0.8,0.95)),0.95))))</f>
        <v>0.95</v>
      </c>
      <c r="BN237" cm="1">
        <f t="array" ref="BN237">IF(D237="","",IF(BA237&lt;&gt;"",IFERROR(_xlfn.XLOOKUP(BA237,Щиты[Щит],Щиты[Iр, А]),""),IFERROR(_xlfn.IFS(BH237=1,BF237/((Uн_лин/SQRT(3))*BM237),BH237=3,BF237/(SQRT(3)*Uн_лин*BM237)),"")))</f>
        <v>1.0939268258329751</v>
      </c>
      <c r="BO237">
        <f>IF(D237="","",IF(N(X237)=0,IFERROR(VLOOKUP(BN237,Автомат_номиналы,2,TRUE),""),X237))</f>
        <v>6</v>
      </c>
      <c r="BP237">
        <f t="shared" si="273"/>
        <v>1</v>
      </c>
      <c r="BQ237">
        <f>IF(ISNUMBER(Y237),Y237,К_прокл)</f>
        <v>1</v>
      </c>
      <c r="BR237">
        <f t="shared" si="274"/>
        <v>2</v>
      </c>
      <c r="BS237" cm="1">
        <f t="array" ref="BS237">IF(D237="","",IF(N(BK237)&lt;&gt;0,BK237,IFERROR(_xlfn.LET(_xlpm.need,BO237/(BP237*BQ237),_xlpm.t,CHOOSE(BR237,Iдоп_1ж,Iдоп_2ж,Iдоп_3ж),_xlpm.k,_xlfn.XMATCH(_xlpm.need,_xlpm.t,1),IF(ISNA(_xlpm.k),"Не исп",INDEX(Iдоп_S,_xlpm.k))),"Не исп")))</f>
        <v>2.5</v>
      </c>
      <c r="BT237">
        <f>IFERROR(VLOOKUP(BS237,Кабель_сопротивление,3,FALSE),"")</f>
        <v>2.2499999999999999E-2</v>
      </c>
      <c r="BU237">
        <f>IFERROR(VLOOKUP(BS237,Кабель_сопротивление,2,FALSE),"")</f>
        <v>0.1</v>
      </c>
      <c r="BV237">
        <f t="shared" si="275"/>
        <v>24</v>
      </c>
      <c r="BW237">
        <f>IF(D237="","",IFERROR(IF(VLOOKUP(AT237,Потребители_обозначение,4,FALSE)=1,VLOOKUP(AT237,Потребители_обозначение,3,FALSE)*(H237*2-1)+BV237+VLOOKUP(AV237,Этаж_обозначение,3,FALSE)+VLOOKUP(AV237,Этаж_обозначение,4,FALSE),VLOOKUP(AT237,Потребители_обозначение,3,FALSE)*(H237*2-1)+BV237),BV237))</f>
        <v>27</v>
      </c>
      <c r="BX237">
        <f t="shared" si="276"/>
        <v>6</v>
      </c>
      <c r="BY237">
        <f t="shared" si="277"/>
        <v>19</v>
      </c>
      <c r="BZ237">
        <f t="shared" si="278"/>
        <v>2</v>
      </c>
      <c r="CA237">
        <f t="shared" si="279"/>
        <v>0.31</v>
      </c>
      <c r="CB237">
        <f t="shared" si="280"/>
        <v>0.50689724899352884</v>
      </c>
      <c r="CC237">
        <f>IFERROR(ROUNDUP(CB237/((Uн_лин/SQRT(3))*1000)*100,2),"")</f>
        <v>0.22</v>
      </c>
      <c r="CD237">
        <f>IF(ISNUMBER(CC237),CC237+IFERROR(_xlfn.XLOOKUP(A237,Щиты[Щит],Щиты[ΔU до шин, %]),0),"")</f>
        <v>1.47</v>
      </c>
      <c r="CE237">
        <f>IF(D237="","",IF(IFERROR(VLOOKUP(AT237,УГО_спр,2,FALSE),"")="Светильник",3,4)+IF(Методика="нормы 2026",MIN(0.5,MAX(0,N(BW237)-100)*0.005),0))</f>
        <v>4</v>
      </c>
      <c r="CF237" t="str">
        <f>IFERROR(VLOOKUP(BI237,Кабель_обозначение,2,FALSE),"")</f>
        <v>ВВГнг(А)-LS</v>
      </c>
      <c r="CG237" t="str">
        <f>IFERROR(IF(VLOOKUP(BI237,Кабель_обозначение,3,FALSE)=1,CF237&amp;" ("&amp;BJ237&amp;"х"&amp;BS237&amp;")",CF237),"")</f>
        <v>ВВГнг(А)-LS (3х2,5)</v>
      </c>
      <c r="CH237" t="str">
        <f t="shared" si="281"/>
        <v>ВВГнг(А)-LS (3х2,5)
L=27-0,22%</v>
      </c>
      <c r="CI237">
        <f>IFERROR(2*ρкз_Cu*BW237/BS237,"")</f>
        <v>0.56808000000000003</v>
      </c>
      <c r="CJ237">
        <f t="shared" si="282"/>
        <v>0.189</v>
      </c>
      <c r="CK237" t="str">
        <f>IFERROR(IF(OR(D237="",NOT(ISNUMBER(BS237)),N(BW237)=0),"",_xlfn.XLOOKUP(A237,Щиты[Щит],Щиты[Zпетли на шинах, Ом])+CI237),"")</f>
        <v/>
      </c>
      <c r="CL237" t="str">
        <f>IF(ISNUMBER(CK237),c_min*(Uн_лин*1000/SQRT(3))/CK237,"")</f>
        <v/>
      </c>
      <c r="CM237" t="str">
        <f>IFERROR(IF(OR(D237="",NOT(ISNUMBER(BS237))),"",1.05*(Uн_лин*1000/SQRT(3))/(_xlfn.XLOOKUP(A237,Щиты[Щит],Щиты[Zmax на шинах, Ом])+CJ237)/1000),"")</f>
        <v/>
      </c>
      <c r="CN237" t="str">
        <f>IF(D237="","",IF(BA237&lt;&gt;"","Щит",IF(K237&lt;&gt;"",K237,IF(ISNUMBER(L237),"Сил",IF(IFERROR(_xlfn.XLOOKUP(AT237,Коды_код,Коды_группа)&amp;"","")="","Быт",_xlfn.XLOOKUP(AT237,Коды_код,Коды_группа)&amp;"")))))</f>
        <v>Быт</v>
      </c>
      <c r="CO237">
        <f>IF(CN237="Щит","щит",IF(CN237="","",IF(CN237="Быт",IFERROR(_xlfn.XLOOKUP(A237,Щиты[Щит],Щиты[Кс быт]),1),IF(CN237="Сил",IF(ISNUMBER(L237),L237,IF(Методика="нормы 2026",IFERROR(_xlfn.XLOOKUP(A237,Щиты[Щит],Щиты[Кс силовых (табл. 7.5)]),1),1)),IF(OR(CN237="Пост",CN237="Отоп"),1,IF(CN237="ВНГ",0.7,0))))))</f>
        <v>0.57830000000000004</v>
      </c>
      <c r="CP237">
        <f t="shared" si="283"/>
        <v>1</v>
      </c>
      <c r="CQ237">
        <f t="shared" si="284"/>
        <v>0.24</v>
      </c>
      <c r="CR237">
        <f t="shared" si="285"/>
        <v>0.24</v>
      </c>
      <c r="CS237">
        <f t="shared" si="286"/>
        <v>0</v>
      </c>
      <c r="CT237">
        <f t="shared" si="287"/>
        <v>0</v>
      </c>
      <c r="CU237">
        <f t="shared" si="288"/>
        <v>0</v>
      </c>
      <c r="CV237">
        <f t="shared" si="289"/>
        <v>0</v>
      </c>
      <c r="CW237">
        <f t="shared" si="290"/>
        <v>0.24</v>
      </c>
      <c r="CX237">
        <f t="shared" si="291"/>
        <v>0.22799999999999998</v>
      </c>
      <c r="CY237">
        <f t="shared" si="292"/>
        <v>1</v>
      </c>
      <c r="CZ237" t="str">
        <f t="shared" si="293"/>
        <v>L1</v>
      </c>
      <c r="DA237" cm="1">
        <f t="array" ref="DA237">IFERROR(IF(BL237=2,_xlfn.IFS(BH237=3,VLOOKUP(BF237,Справочная_двигатели,3,FALSE),BH237=1,VLOOKUP(BF237,Справочная_двигатели,5,TRUE)),0),0)</f>
        <v>0</v>
      </c>
      <c r="DB237">
        <f>IFERROR(IF(BL237=3,VLOOKUP(BF237,Справочная_ЛЭД,2,TRUE),0),0)</f>
        <v>0</v>
      </c>
      <c r="DC237">
        <f t="shared" si="294"/>
        <v>0</v>
      </c>
      <c r="DD237" t="str">
        <f t="shared" si="295"/>
        <v>L1</v>
      </c>
      <c r="DE237" t="str" cm="1">
        <f t="array" ref="DE237">IF(D237="","",IFERROR(INDEX({"I особая","I","II","III"},MATCH(TRIM(AA237&amp;""),{"I особая","I","II","III"},0)),"III"))</f>
        <v>II</v>
      </c>
      <c r="DF237" t="str">
        <f>IF(D237="","",IF(TRIM(AB237&amp;"")&lt;&gt;"",IF(LOWER(TRIM(AB237&amp;""))="да","да","нет"),IF(IFERROR(_xlfn.XLOOKUP(AT237,Коды_код,Коды_пожарная),"")="да","да","нет")))</f>
        <v>нет</v>
      </c>
      <c r="DG237" t="str">
        <f t="shared" si="296"/>
        <v/>
      </c>
      <c r="DH237" t="str">
        <f t="shared" si="297"/>
        <v>основная</v>
      </c>
      <c r="DI237">
        <f t="shared" si="298"/>
        <v>1</v>
      </c>
      <c r="DJ237" t="str" cm="1">
        <f t="array" ref="DJ237">IF(D237="","",_xlfn.LET(_xlpm.t,IFERROR(_xlfn.XLOOKUP(1,(Шины[Шина]=DH237)*(((Шины[Щит]=A237)+(Шины[Щит]=""))&gt;0),Шины[Тип]),"")&amp;"",IF(_xlpm.t&lt;&gt;"",_xlpm.t,IF(ISNUMBER(SEARCH("ИБП",DH237)),"ИБП",IF(ISNUMBER(SEARCH("ДГУ",DH237)),"ДГУ","Ввод "&amp;DI237)))))</f>
        <v>Ввод 1</v>
      </c>
      <c r="DK237" t="str">
        <f t="shared" si="299"/>
        <v>Ввод 1</v>
      </c>
      <c r="DL237" t="str">
        <f>IF(D237="","",IF(OR(DJ237="ИБП",DJ237="ДГУ"),"I особая",IF(DJ237="Одиночная","III",_xlfn.XLOOKUP(A237,Щиты[Щит],Щиты[Категория шины «Ввод»],"III"))))</f>
        <v>II</v>
      </c>
      <c r="DM237">
        <f>IF(D237="",0,IFERROR(MATCH(DE237,{"III","II","I","I особая"},0),1))</f>
        <v>2</v>
      </c>
      <c r="DN237">
        <f t="shared" si="300"/>
        <v>2</v>
      </c>
      <c r="DO237" t="str">
        <f>IF(D237="","",IF(DM237&gt;IFERROR(MATCH(DL237,{"III","II","I","I особая"},0),1),"НЕ ОБЕСПЕЧЕНА","ОК"))</f>
        <v>ОК</v>
      </c>
      <c r="DP237" t="str">
        <f>IF(A237="","",_xlfn.XLOOKUP(A237,Щиты[Щит],Щиты[Путь],""))</f>
        <v>|ГРЩ-ЖД|ЩР-1|</v>
      </c>
      <c r="DQ237" t="str">
        <f>IF(D237="","",IF(Z237&lt;&gt;"",Z237,IF(IFERROR(_xlfn.XLOOKUP(AT237,Коды_код,Коды_вид)&amp;"","")="","Прочее",_xlfn.XLOOKUP(AT237,Коды_код,Коды_вид)&amp;"")))</f>
        <v>Розеточная сеть и бытовые приборы</v>
      </c>
      <c r="DR237">
        <f>IF(BD237="","",INT((BD237-1)/Столбцов_на_лист)+1)</f>
        <v>2</v>
      </c>
      <c r="DS237" t="str">
        <f t="shared" si="301"/>
        <v>ВВГнг(А)-LS (3х2,5) L=27-0,22%</v>
      </c>
      <c r="DT237">
        <f t="shared" si="302"/>
        <v>0.24</v>
      </c>
      <c r="DU237">
        <f t="shared" si="303"/>
        <v>1.1000000000000001</v>
      </c>
      <c r="DV237">
        <f t="shared" si="304"/>
        <v>1</v>
      </c>
      <c r="DW237">
        <f>IF(AT237="",0,_xlfn.LET(_xlpm.v,IFERROR(VLOOKUP(D237,УГО_спр,3,FALSE),IFERROR(VLOOKUP(AT237,УГО_спр,3,FALSE),IFERROR(VLOOKUP(LEFT(AT237,2),УГО_спр,3,FALSE),""))),IF(_xlpm.v="да",30,IF(ISNUMBER(_xlpm.v),_xlpm.v,0))))</f>
        <v>30</v>
      </c>
      <c r="DX237">
        <f t="shared" si="305"/>
        <v>0</v>
      </c>
      <c r="DY237">
        <f>IF(BD237="","",IF(AD237&lt;&gt;"",COUNTIFS(A$3:A237,A237,AD$3:AD237,"?*"),IF(OR(OR(AS237=1,A237&lt;&gt;A236),AL237="вручную"),"",IF(AS237=1,"",DZ236))))</f>
        <v>13</v>
      </c>
      <c r="DZ237">
        <f t="shared" si="306"/>
        <v>13</v>
      </c>
      <c r="EA237">
        <f>IF(D237="",0,MAX(IFERROR(--X237,0),IFERROR(--VLOOKUP(D237,УГО_спр,4,FALSE),IFERROR(--VLOOKUP(AT237,УГО_спр,4,FALSE),IFERROR(--VLOOKUP(LEFT(AT237,2),УГО_спр,4,FALSE),0)))))</f>
        <v>16</v>
      </c>
      <c r="EB237">
        <f>IF(D237="","",IFERROR(LOOKUP(INDEX(CHOOSE(BR237,Iдоп_1ж,Iдоп_2ж,Iдоп_3ж),MATCH(BS237,Iдоп_S,0))*BP237*BQ237,{6,10,16,20,25,32,40,50,63,80,100,125,160,200,250,315,400,500,630}),""))</f>
        <v>25</v>
      </c>
      <c r="EC237">
        <f>IF(AD237="","",SUMIFS(Линии[_Ток схемы],Линии[_гр.],DY237,Линии[Щит],A237,Линии[_в кабель выше],0))</f>
        <v>1.1000000000000001</v>
      </c>
      <c r="ED237">
        <f>IF(AD237="","",IFERROR(VLOOKUP(EC237,Автомат_номиналы,2,TRUE),""))</f>
        <v>6</v>
      </c>
      <c r="EE237">
        <f>IF(AD237="","",MAX(N(ED237),_xlfn.MAXIFS(Линии[_мин. по типу],Линии[_гр.],DY237,Линии[Щит],A237)))</f>
        <v>16</v>
      </c>
      <c r="EF237">
        <f>IF(AD237="","",_xlfn.MINIFS(Линии[_макс. автомат по кабелю],Линии[_гр.],DY237,Линии[Щит],A237))</f>
        <v>25</v>
      </c>
      <c r="EG237">
        <f>IF(AD237="","",MAX(1,_xlfn.MAXIFS(Линии[_фаз],Линии[_гр.],DY237,Линии[Щит],A237)))</f>
        <v>1</v>
      </c>
      <c r="EH237">
        <f>IF(AD237="","",IF(AND(AD237&lt;&gt;"авто",AD237&lt;&gt;"+"),IF(ISNUMBER(SEARCH("мА",AD237)),IFERROR(--TRIM(RIGHT(SUBSTITUTE(LEFT(AD237,SEARCH("мА",AD237)-1)," ",REPT(" ",9)),6)),30),0),IF(AE237="нет",0,IF(ISNUMBER(AE237),AE237,IF(AE237="да",30,_xlfn.MINIFS(Линии[_дифзащита по коду, мА],Линии[_гр.],DY237,Линии[Щит],A237,Линии[_дифзащита по коду, мА],"&gt;0"))))))</f>
        <v>30</v>
      </c>
      <c r="EI237">
        <f t="shared" si="307"/>
        <v>1</v>
      </c>
      <c r="EJ237" t="str">
        <f t="shared" si="308"/>
        <v>QFD13</v>
      </c>
      <c r="EK237" t="str">
        <f t="shared" si="309"/>
        <v>QFD13</v>
      </c>
      <c r="EL237" t="str">
        <f t="shared" si="310"/>
        <v/>
      </c>
      <c r="EM237">
        <f t="shared" si="311"/>
        <v>0</v>
      </c>
      <c r="EN237">
        <f>IF(AD237="","",IF(EM237=1,MAX(EE237,Мин_автомат_БП),EE237))</f>
        <v>16</v>
      </c>
      <c r="EO237" t="str">
        <f t="shared" si="312"/>
        <v>2P</v>
      </c>
      <c r="EP237" t="str">
        <f t="shared" si="313"/>
        <v>2P С16А 30мА</v>
      </c>
      <c r="EQ237">
        <f t="shared" si="314"/>
        <v>16</v>
      </c>
      <c r="ER237" t="str">
        <f>IF(OR(AI237="",AI237="-"),"",IFERROR(VLOOKUP(AI237,Модули_спр,2,FALSE),"R"))</f>
        <v/>
      </c>
      <c r="ES237" t="str">
        <f>IF(ER237="","",ER237&amp;"."&amp;COUNTIFS(A$3:A237,A237,ER$3:ER237,ER237))</f>
        <v/>
      </c>
      <c r="ET237" t="str">
        <f t="shared" si="315"/>
        <v/>
      </c>
      <c r="EU237" t="str">
        <f t="shared" si="316"/>
        <v/>
      </c>
      <c r="EV237" t="str">
        <f t="shared" si="317"/>
        <v/>
      </c>
      <c r="EW237" t="str">
        <f t="shared" si="318"/>
        <v/>
      </c>
      <c r="EX237">
        <f t="shared" si="319"/>
        <v>1</v>
      </c>
      <c r="EY237" t="str">
        <f>IF(AK237="нет","",IF(AK237&lt;&gt;"",AK237,IF(EX237=1,"XT"&amp;COUNTIFS(A$3:A237,A237,EX$3:EX237,1),"")))</f>
        <v/>
      </c>
      <c r="EZ237" t="str">
        <f t="shared" si="320"/>
        <v>QFD13</v>
      </c>
      <c r="FA237" t="str">
        <f t="shared" si="321"/>
        <v/>
      </c>
      <c r="FB237" t="str">
        <f t="shared" si="322"/>
        <v>ok</v>
      </c>
      <c r="FC237" t="str">
        <f>IF(OR(EV237="",ET237=""),"",IF(EV237&gt;IFERROR(VLOOKUP(EU237,Модули_спр,3,FALSE),99),"ЛИШНИЙ КАНАЛ",IF(AND(AJ237&lt;&gt;"=",COUNTIFS(Линии[_модуль гр.],ET237,Линии[Канал (итог)],EV237,Линии[Канал],"&lt;&gt;=",Линии[Щит],A237)&gt;1),"ДУБЛЬ КАНАЛА","")))</f>
        <v/>
      </c>
      <c r="FD237">
        <f t="shared" si="323"/>
        <v>16</v>
      </c>
      <c r="FE237" t="str">
        <f t="shared" si="324"/>
        <v>2P С16А 30мА</v>
      </c>
      <c r="FF237">
        <f t="shared" si="325"/>
        <v>1</v>
      </c>
      <c r="FG237">
        <f t="shared" si="326"/>
        <v>30</v>
      </c>
      <c r="FH237" t="str">
        <f t="shared" si="327"/>
        <v/>
      </c>
      <c r="FI237">
        <f t="shared" si="328"/>
        <v>10</v>
      </c>
      <c r="FJ237" t="str">
        <f t="shared" si="329"/>
        <v/>
      </c>
      <c r="FK237" t="str">
        <f>IF(AND(D237="",EZ237=""),"",_xlfn.TEXTJOIN("; ",TRUE,IF(AND(D237&lt;&gt;"",DD237=""),"нет фазы",""),IF(AND(D237&lt;&gt;"",N(DT237)=0,CN237&lt;&gt;"Нет"),"нет мощности",""),IF(AND(EY237&lt;&gt;"",COUNTIFS(Линии[Щит],A237,Линии[Клемма (итог)],EY237)&gt;1),"дубль клеммы "&amp;EY237,""),IF(AND(FB237&lt;&gt;"",FB237&lt;&gt;"ok"),FB237,""),IF(FC237&lt;&gt;"",FC237,""),IF(AND(ISNUMBER(SEARCH("(5х",DS237)),N(DV237)=1),"5 жил на 1 фазе",""),IF(AND(AT237="R",AD237&lt;&gt;"",OR(N(EH237)=0,N(EH237)&gt;30)),"розетка без дифзащиты до 30 мА",""),IFERROR(IF(AND(ISNUMBER(CD237),CD237&gt;CE237),"потери "&amp;FIXED(CD237,1)&amp;" % &gt; "&amp;CE237&amp;" %",""),""),IFERROR(IF(LEFT(FJ237,4)="мало","Iкз мало — отключение &gt; 0,4 с",""),""),IF(AND(D237&lt;&gt;"",BD237=""),"не на схеме","")))</f>
        <v/>
      </c>
      <c r="FL237">
        <f>IF(AD237="","",_xlfn.LET(_xlpm.t,IFERROR(_xlfn.XLOOKUP(EP237,Каталог!$U$4:$U$500,Каталог!$G$4:$G$500),""),_xlpm.k,SEARCH("кА",_xlpm.t),IFERROR(--TRIM(RIGHT(SUBSTITUTE(MID(_xlpm.t,MAX(1,_xlpm.k-4),_xlpm.k-MAX(1,_xlpm.k-4))," ",REPT(" ",9)),5)),"")))</f>
        <v>6</v>
      </c>
      <c r="FM237" t="str">
        <f>IF(OR(FL237="",AD237=""),"",IF(_xlfn.XLOOKUP(A237,Щиты[Щит],Щиты[Iкз max на шинах, кА],"")="","",IF(FL237&lt;_xlfn.XLOOKUP(A237,Щиты[Щит],Щиты[Iкз max на шинах, кА]),"Icu "&amp;FL237&amp;" кА &lt; Iкз max","ok")))</f>
        <v/>
      </c>
      <c r="FN237" t="str">
        <f t="shared" si="330"/>
        <v>QFD13</v>
      </c>
      <c r="FO237" t="str">
        <f t="shared" si="331"/>
        <v>QFD13|кабель ВВГнг(А)-LS (3х2,5) → Розеточная группа Первый этаж Пом. №002Б</v>
      </c>
      <c r="FP237" t="str" cm="1">
        <f t="array" ref="FP237">IF(FO237="","",_xlfn.LET(_xlpm.nd,_xlfn.TEXTSPLIT(FO237,"|"),IF(COLUMNS(_xlpm.nd)&gt;1,A237&amp;"¦"&amp;INDEX(_xlpm.nd,1)&amp;"¦"&amp;INDEX(_xlpm.nd,2),"")))</f>
        <v>ЩР-1¦QFD13¦кабель ВВГнг(А)-LS (3х2,5) → Розеточная группа Первый этаж Пом. №002Б</v>
      </c>
      <c r="FQ237" t="str">
        <f t="shared" si="332"/>
        <v>R.1.002Б.8¦Розеточная группа Первый этаж Пом. №002Б</v>
      </c>
      <c r="FR237" t="str" cm="1">
        <f t="array" ref="FR237">IF(FO237="","",_xlfn.LET(_xlpm.nd,_xlfn.TEXTSPLIT(FO237,"|"),IF(COLUMNS(_xlpm.nd)&gt;2,A237&amp;"¦"&amp;INDEX(_xlpm.nd,2)&amp;"¦"&amp;INDEX(_xlpm.nd,3),"")))</f>
        <v/>
      </c>
      <c r="FS237" t="str">
        <f t="shared" si="333"/>
        <v/>
      </c>
      <c r="FT237" t="str" cm="1">
        <f t="array" ref="FT237">IF(FO237="","",_xlfn.LET(_xlpm.nd,_xlfn.TEXTSPLIT(FO237,"|"),IF(COLUMNS(_xlpm.nd)&gt;3,A237&amp;"¦"&amp;INDEX(_xlpm.nd,3)&amp;"¦"&amp;INDEX(_xlpm.nd,4),"")))</f>
        <v/>
      </c>
      <c r="FU237" t="str">
        <f t="shared" si="334"/>
        <v/>
      </c>
      <c r="FV237" t="str" cm="1">
        <f t="array" ref="FV237">IF(FO237="","",_xlfn.LET(_xlpm.nd,_xlfn.TEXTSPLIT(FO237,"|"),IF(COLUMNS(_xlpm.nd)&gt;4,A237&amp;"¦"&amp;INDEX(_xlpm.nd,4)&amp;"¦"&amp;INDEX(_xlpm.nd,5),"")))</f>
        <v/>
      </c>
      <c r="FW237" t="str">
        <f t="shared" si="335"/>
        <v/>
      </c>
      <c r="FX237" t="str" cm="1">
        <f t="array" ref="FX237">IF(FO237="","",_xlfn.LET(_xlpm.nd,_xlfn.TEXTSPLIT(FO237,"|"),IF(COLUMNS(_xlpm.nd)&gt;5,A237&amp;"¦"&amp;INDEX(_xlpm.nd,5)&amp;"¦"&amp;INDEX(_xlpm.nd,6),"")))</f>
        <v/>
      </c>
      <c r="FY237" t="str">
        <f t="shared" si="336"/>
        <v/>
      </c>
      <c r="FZ237" t="str" cm="1">
        <f t="array" ref="FZ237">IF(FO237="","",_xlfn.LET(_xlpm.nd,_xlfn.TEXTSPLIT(FO237,"|"),IF(COLUMNS(_xlpm.nd)&gt;6,A237&amp;"¦"&amp;INDEX(_xlpm.nd,6)&amp;"¦"&amp;INDEX(_xlpm.nd,7),"")))</f>
        <v/>
      </c>
      <c r="GA237" t="str">
        <f t="shared" si="337"/>
        <v/>
      </c>
      <c r="GB237" t="str">
        <f t="shared" si="338"/>
        <v/>
      </c>
      <c r="GC237" t="str">
        <f t="shared" si="339"/>
        <v>QFD13</v>
      </c>
      <c r="GD237">
        <f t="shared" si="340"/>
        <v>1</v>
      </c>
      <c r="GE237">
        <f t="shared" si="341"/>
        <v>0</v>
      </c>
      <c r="GF237">
        <f t="shared" si="342"/>
        <v>1</v>
      </c>
      <c r="GG237" t="str">
        <f t="shared" si="343"/>
        <v/>
      </c>
      <c r="GH237" t="str">
        <f t="shared" si="344"/>
        <v/>
      </c>
      <c r="GI237" t="str">
        <f t="shared" si="345"/>
        <v/>
      </c>
      <c r="GJ237" t="str">
        <f t="shared" si="346"/>
        <v/>
      </c>
      <c r="GK237" t="str">
        <f>IF(D237="","",IFERROR(VLOOKUP(D237,УГО_спр,2,FALSE),IFERROR(VLOOKUP(AT237,УГО_спр,2,FALSE),IFERROR(VLOOKUP(LEFT(AT237,2),УГО_спр,2,FALSE),""))))</f>
        <v>Розетка</v>
      </c>
      <c r="GL237" t="str">
        <f>IF(D237="","",IF(OR(GK237="",GK237=0),"BOX",IFERROR(IF(VLOOKUP(GK237,УГО_блоки,3,FALSE)&amp;""&lt;&gt;"",VLOOKUP(GK237,УГО_блоки,3,FALSE),VLOOKUP(GK237,УГО_блоки,2,FALSE)),GK237)))</f>
        <v>SOCKET</v>
      </c>
      <c r="GM237">
        <f t="shared" si="347"/>
        <v>1</v>
      </c>
      <c r="GN237" t="str">
        <f>IF(EP237="","",IF(COUNTIF(EP$3:EP237,EP237)=1,MAX(GN$2:GN236)+1,""))</f>
        <v/>
      </c>
      <c r="GO237" t="str">
        <f>IF(AF237="","",IF(COUNTIF(AF$3:AF237,AF237)+COUNTIF(AG$2:AG236,AF237)+COUNTIF(AH$2:AH236,AF237)=1,MAX(GO$2:GQ236)+1,""))</f>
        <v/>
      </c>
      <c r="GP237" t="str">
        <f>IF(AG237="","",IF(COUNTIF(AF$3:AF237,AG237)+COUNTIF(AG$3:AG237,AG237)+COUNTIF(AH$2:AH236,AG237)=1,MAX(GO$2:GQ236,GO237)+1,""))</f>
        <v/>
      </c>
      <c r="GQ237" t="str">
        <f>IF(AH237="","",IF(COUNTIF(AF$3:AF237,AH237)+COUNTIF(AG$3:AG237,AH237)+COUNTIF(AH$3:AH237,AH237)=1,MAX(GO$2:GQ236,GO237,GP237)+1,""))</f>
        <v/>
      </c>
      <c r="GR237" t="str">
        <f t="shared" si="348"/>
        <v>3х2,5</v>
      </c>
      <c r="GS237" t="str">
        <f>IF(GR237="","",IF(COUNTIF(GR$3:GR237,GR237)=1,MAX(GS$2:GS236)+1,""))</f>
        <v/>
      </c>
      <c r="GT237" t="str">
        <f>IF(ES237="","",COUNTIF(ES$3:ES237,"?*"))</f>
        <v/>
      </c>
      <c r="GU237" t="str">
        <f>IF(OR(ES237="",EU237=""),"",IF(COUNTIFS(ES$3:ES237,"?*",EU$3:EU237,EU237)=1,MAX(GU$2:GU236)+1,""))</f>
        <v/>
      </c>
      <c r="GV237">
        <f t="shared" si="349"/>
        <v>0</v>
      </c>
      <c r="GW237">
        <f>IF(D237="","",COUNTIF(D$3:D237,"?*"))</f>
        <v>235</v>
      </c>
      <c r="GX237">
        <f>IF(EX237&lt;&gt;1,0,_xlfn.LET(_xlpm.k,MAX(IFERROR(--VLOOKUP(D237,УГО_спр,5,FALSE),0),IFERROR(--VLOOKUP(AT237,УГО_спр,5,FALSE),0),IFERROR(--VLOOKUP(LEFT(AT237,2),УГО_спр,5,FALSE),0)),IF(_xlpm.k&gt;0,_xlpm.k,IF(IFERROR(--LEFT(SUBSTITUTE(GR237,"x","х"),FIND("х",SUBSTITUTE(GR237,"x","х"))-1),3)&gt;3,Каталог!$S$9,1))))</f>
        <v>1</v>
      </c>
      <c r="GY237">
        <f t="shared" si="350"/>
        <v>0</v>
      </c>
    </row>
    <row r="238" spans="1:207" x14ac:dyDescent="0.3">
      <c r="A238" t="s">
        <v>762</v>
      </c>
      <c r="B238">
        <v>24</v>
      </c>
      <c r="C238" t="str">
        <f>IF(BD238="","",IF(BE238="вводной узел","узел ","")&amp;"л."&amp;(INT((BD238-1)/Столбцов_на_лист)+1)&amp;" / "&amp;(MOD(BD238-1,Столбцов_на_лист)+1))</f>
        <v>л.2 / 7</v>
      </c>
      <c r="D238" t="s">
        <v>1560</v>
      </c>
      <c r="E238" s="133" t="str">
        <f t="shared" si="351"/>
        <v>Розеточная группа Первый этаж Пом. №002Г</v>
      </c>
      <c r="G238">
        <v>0.24</v>
      </c>
      <c r="H238">
        <v>4</v>
      </c>
      <c r="I238">
        <v>1</v>
      </c>
      <c r="J238">
        <v>230</v>
      </c>
      <c r="K238" t="s">
        <v>566</v>
      </c>
      <c r="O238">
        <v>2</v>
      </c>
      <c r="P238">
        <v>92</v>
      </c>
      <c r="Q238">
        <v>28</v>
      </c>
      <c r="R238">
        <v>49</v>
      </c>
      <c r="S238">
        <v>36</v>
      </c>
      <c r="U238" t="s">
        <v>11</v>
      </c>
      <c r="V238">
        <v>3</v>
      </c>
      <c r="W238">
        <v>2.5</v>
      </c>
      <c r="Z238" t="s">
        <v>565</v>
      </c>
      <c r="AA238" t="s">
        <v>818</v>
      </c>
      <c r="AD238" t="s">
        <v>517</v>
      </c>
      <c r="AK238" t="s">
        <v>488</v>
      </c>
      <c r="AR238" t="str">
        <f t="shared" si="264"/>
        <v/>
      </c>
      <c r="AS238" cm="1">
        <f t="array" ref="AS238">ROW()-ROW(Линии[#Headers])</f>
        <v>236</v>
      </c>
      <c r="AT238" t="str">
        <f t="shared" si="265"/>
        <v>R</v>
      </c>
      <c r="AU238" t="str">
        <f t="shared" si="266"/>
        <v>1.002Г.1</v>
      </c>
      <c r="AV238" t="str">
        <f t="shared" si="267"/>
        <v>1</v>
      </c>
      <c r="AW238" t="str">
        <f t="shared" si="268"/>
        <v>002Г.1</v>
      </c>
      <c r="AX238" t="str">
        <f t="shared" si="269"/>
        <v>002Г</v>
      </c>
      <c r="AY238" t="str">
        <f>IF(D238="","",IF(ISERROR(SEARCH(".",D238)),IFERROR(VLOOKUP(D238,Потребители_обозначение,2,FALSE)&amp;"",""),IFERROR(IF(VLOOKUP(AT238,Потребители_обозначение,4,FALSE)=1,VLOOKUP(AT238,Потребители_обозначение,2,FALSE)&amp;" "&amp;VLOOKUP(AV238,Этаж_обозначение,2,FALSE)&amp;" Пом. №"&amp;AX238,VLOOKUP(AT238,Потребители_обозначение,2,FALSE)&amp;" Шлейф №"&amp;AV238),IFERROR(VLOOKUP(D238,Потребители_обозначение,2,FALSE),""))))</f>
        <v>Розеточная группа Первый этаж Пом. №002Г</v>
      </c>
      <c r="AZ238" t="str">
        <f t="shared" si="270"/>
        <v>Розеточная группа Первый этаж Пом. №002Г</v>
      </c>
      <c r="BA238" t="str">
        <f>IF(F238&lt;&gt;"",F238,IF(AND(D238&lt;&gt;"",D238&lt;&gt;A238,ISNUMBER(_xlfn.XMATCH(D238,Щиты[Щит]))),D238,""))</f>
        <v/>
      </c>
      <c r="BB238">
        <f>IFERROR(_xlfn.XMATCH(A238,Щиты[Щит]),0)</f>
        <v>10</v>
      </c>
      <c r="BC238">
        <f>IFERROR(N(_xlfn.XLOOKUP(A238,Щиты[Щит],Щиты[Мест под вводной узел])),15)</f>
        <v>8</v>
      </c>
      <c r="BD238">
        <f t="shared" si="271"/>
        <v>24</v>
      </c>
      <c r="BE238" t="str">
        <f t="shared" si="272"/>
        <v>линии</v>
      </c>
      <c r="BF238">
        <f>IF(D238="","",IF(BA238&lt;&gt;"",IFERROR(_xlfn.XLOOKUP(BA238,Щиты[Щит],Щиты[Руст, кВт]),0),N(G238)))</f>
        <v>0.24</v>
      </c>
      <c r="BG238">
        <f>IF(J238&lt;&gt;"",J238,IF(D238="","",IFERROR(IF(VLOOKUP(AT238,Потребители_обозначение,8,FALSE)=0,"",VLOOKUP(AT238,Потребители_обозначение,8,FALSE)),"")))</f>
        <v>230</v>
      </c>
      <c r="BH238">
        <f>IF(I238&lt;&gt;"",I238,IF(D238="","",IFERROR(IF(VLOOKUP(AT238,Потребители_обозначение,9,FALSE)=0,"",VLOOKUP(AT238,Потребители_обозначение,9,FALSE)),"")))</f>
        <v>1</v>
      </c>
      <c r="BI238" t="str">
        <f>IF(U238&lt;&gt;"",U238,IF(D238="","",IFERROR(IF(VLOOKUP(AT238,Потребители_обозначение,6,FALSE)=0,"",VLOOKUP(AT238,Потребители_обозначение,6,FALSE)),"")))</f>
        <v>мс</v>
      </c>
      <c r="BJ238">
        <f>IF(V238&lt;&gt;"",V238,IF(D238="","",IFERROR(IF(VLOOKUP(AT238,Потребители_обозначение,7,FALSE)=0,"",VLOOKUP(AT238,Потребители_обозначение,7,FALSE)),"")))</f>
        <v>3</v>
      </c>
      <c r="BK238">
        <f>IF(W238&lt;&gt;"",W238,IF(D238="","",IFERROR(IF(VLOOKUP(AT238,Потребители_обозначение,10,FALSE)=0,"",VLOOKUP(AT238,Потребители_обозначение,10,FALSE)),"")))</f>
        <v>2.5</v>
      </c>
      <c r="BL238">
        <f>IFERROR(VLOOKUP(AT238,Потребители_обозначение,5,FALSE),0)</f>
        <v>1</v>
      </c>
      <c r="BM238" cm="1">
        <f t="array" ref="BM238">IF(D238="","",IF(BA238&lt;&gt;"",IFERROR(_xlfn.XLOOKUP(BA238,Щиты[Щит],Щиты[cos φ]),0.95),IF(ISNUMBER(M238),M238,IFERROR(IF(BL238=2,_xlfn.IFS(BH238=3,VLOOKUP(BF238,Справочная_двигатели,8,FALSE),BH238=1,VLOOKUP(BF238,Справочная_двигатели,10,TRUE)),IF(AND(Методика="нормы 2026",CN238="Сил"),0.8,0.95)),0.95))))</f>
        <v>0.95</v>
      </c>
      <c r="BN238" cm="1">
        <f t="array" ref="BN238">IF(D238="","",IF(BA238&lt;&gt;"",IFERROR(_xlfn.XLOOKUP(BA238,Щиты[Щит],Щиты[Iр, А]),""),IFERROR(_xlfn.IFS(BH238=1,BF238/((Uн_лин/SQRT(3))*BM238),BH238=3,BF238/(SQRT(3)*Uн_лин*BM238)),"")))</f>
        <v>1.0939268258329751</v>
      </c>
      <c r="BO238">
        <f>IF(D238="","",IF(N(X238)=0,IFERROR(VLOOKUP(BN238,Автомат_номиналы,2,TRUE),""),X238))</f>
        <v>6</v>
      </c>
      <c r="BP238">
        <f t="shared" si="273"/>
        <v>1</v>
      </c>
      <c r="BQ238">
        <f>IF(ISNUMBER(Y238),Y238,К_прокл)</f>
        <v>1</v>
      </c>
      <c r="BR238">
        <f t="shared" si="274"/>
        <v>2</v>
      </c>
      <c r="BS238" cm="1">
        <f t="array" ref="BS238">IF(D238="","",IF(N(BK238)&lt;&gt;0,BK238,IFERROR(_xlfn.LET(_xlpm.need,BO238/(BP238*BQ238),_xlpm.t,CHOOSE(BR238,Iдоп_1ж,Iдоп_2ж,Iдоп_3ж),_xlpm.k,_xlfn.XMATCH(_xlpm.need,_xlpm.t,1),IF(ISNA(_xlpm.k),"Не исп",INDEX(Iдоп_S,_xlpm.k))),"Не исп")))</f>
        <v>2.5</v>
      </c>
      <c r="BT238">
        <f>IFERROR(VLOOKUP(BS238,Кабель_сопротивление,3,FALSE),"")</f>
        <v>2.2499999999999999E-2</v>
      </c>
      <c r="BU238">
        <f>IFERROR(VLOOKUP(BS238,Кабель_сопротивление,2,FALSE),"")</f>
        <v>0.1</v>
      </c>
      <c r="BV238">
        <f t="shared" si="275"/>
        <v>92</v>
      </c>
      <c r="BW238">
        <f>IF(D238="","",IFERROR(IF(VLOOKUP(AT238,Потребители_обозначение,4,FALSE)=1,VLOOKUP(AT238,Потребители_обозначение,3,FALSE)*(H238*2-1)+BV238+VLOOKUP(AV238,Этаж_обозначение,3,FALSE)+VLOOKUP(AV238,Этаж_обозначение,4,FALSE),VLOOKUP(AT238,Потребители_обозначение,3,FALSE)*(H238*2-1)+BV238),BV238))</f>
        <v>113</v>
      </c>
      <c r="BX238">
        <f t="shared" si="276"/>
        <v>49</v>
      </c>
      <c r="BY238">
        <f t="shared" si="277"/>
        <v>36</v>
      </c>
      <c r="BZ238">
        <f t="shared" si="278"/>
        <v>2</v>
      </c>
      <c r="CA238">
        <f t="shared" si="279"/>
        <v>0.31</v>
      </c>
      <c r="CB238">
        <f t="shared" si="280"/>
        <v>2.1214588568988431</v>
      </c>
      <c r="CC238">
        <f>IFERROR(ROUNDUP(CB238/((Uн_лин/SQRT(3))*1000)*100,2),"")</f>
        <v>0.92</v>
      </c>
      <c r="CD238">
        <f>IF(ISNUMBER(CC238),CC238+IFERROR(_xlfn.XLOOKUP(A238,Щиты[Щит],Щиты[ΔU до шин, %]),0),"")</f>
        <v>2.17</v>
      </c>
      <c r="CE238">
        <f>IF(D238="","",IF(IFERROR(VLOOKUP(AT238,УГО_спр,2,FALSE),"")="Светильник",3,4)+IF(Методика="нормы 2026",MIN(0.5,MAX(0,N(BW238)-100)*0.005),0))</f>
        <v>4</v>
      </c>
      <c r="CF238" t="str">
        <f>IFERROR(VLOOKUP(BI238,Кабель_обозначение,2,FALSE),"")</f>
        <v>ВВГнг(А)-LS</v>
      </c>
      <c r="CG238" t="str">
        <f>IFERROR(IF(VLOOKUP(BI238,Кабель_обозначение,3,FALSE)=1,CF238&amp;" ("&amp;BJ238&amp;"х"&amp;BS238&amp;")",CF238),"")</f>
        <v>ВВГнг(А)-LS (3х2,5)</v>
      </c>
      <c r="CH238" t="str">
        <f t="shared" si="281"/>
        <v>ВВГнг(А)-LS (3х2,5)
L=113-0,92%</v>
      </c>
      <c r="CI238">
        <f>IFERROR(2*ρкз_Cu*BW238/BS238,"")</f>
        <v>2.3775200000000001</v>
      </c>
      <c r="CJ238">
        <f t="shared" si="282"/>
        <v>0.79100000000000015</v>
      </c>
      <c r="CK238" t="str">
        <f>IFERROR(IF(OR(D238="",NOT(ISNUMBER(BS238)),N(BW238)=0),"",_xlfn.XLOOKUP(A238,Щиты[Щит],Щиты[Zпетли на шинах, Ом])+CI238),"")</f>
        <v/>
      </c>
      <c r="CL238" t="str">
        <f>IF(ISNUMBER(CK238),c_min*(Uн_лин*1000/SQRT(3))/CK238,"")</f>
        <v/>
      </c>
      <c r="CM238" t="str">
        <f>IFERROR(IF(OR(D238="",NOT(ISNUMBER(BS238))),"",1.05*(Uн_лин*1000/SQRT(3))/(_xlfn.XLOOKUP(A238,Щиты[Щит],Щиты[Zmax на шинах, Ом])+CJ238)/1000),"")</f>
        <v/>
      </c>
      <c r="CN238" t="str">
        <f>IF(D238="","",IF(BA238&lt;&gt;"","Щит",IF(K238&lt;&gt;"",K238,IF(ISNUMBER(L238),"Сил",IF(IFERROR(_xlfn.XLOOKUP(AT238,Коды_код,Коды_группа)&amp;"","")="","Быт",_xlfn.XLOOKUP(AT238,Коды_код,Коды_группа)&amp;"")))))</f>
        <v>Быт</v>
      </c>
      <c r="CO238">
        <f>IF(CN238="Щит","щит",IF(CN238="","",IF(CN238="Быт",IFERROR(_xlfn.XLOOKUP(A238,Щиты[Щит],Щиты[Кс быт]),1),IF(CN238="Сил",IF(ISNUMBER(L238),L238,IF(Методика="нормы 2026",IFERROR(_xlfn.XLOOKUP(A238,Щиты[Щит],Щиты[Кс силовых (табл. 7.5)]),1),1)),IF(OR(CN238="Пост",CN238="Отоп"),1,IF(CN238="ВНГ",0.7,0))))))</f>
        <v>0.57830000000000004</v>
      </c>
      <c r="CP238">
        <f t="shared" si="283"/>
        <v>1</v>
      </c>
      <c r="CQ238">
        <f t="shared" si="284"/>
        <v>0.24</v>
      </c>
      <c r="CR238">
        <f t="shared" si="285"/>
        <v>0.24</v>
      </c>
      <c r="CS238">
        <f t="shared" si="286"/>
        <v>0</v>
      </c>
      <c r="CT238">
        <f t="shared" si="287"/>
        <v>0</v>
      </c>
      <c r="CU238">
        <f t="shared" si="288"/>
        <v>0</v>
      </c>
      <c r="CV238">
        <f t="shared" si="289"/>
        <v>0</v>
      </c>
      <c r="CW238">
        <f t="shared" si="290"/>
        <v>0.24</v>
      </c>
      <c r="CX238">
        <f t="shared" si="291"/>
        <v>0.22799999999999998</v>
      </c>
      <c r="CY238">
        <f t="shared" si="292"/>
        <v>2</v>
      </c>
      <c r="CZ238" t="str">
        <f t="shared" si="293"/>
        <v>L2</v>
      </c>
      <c r="DA238" cm="1">
        <f t="array" ref="DA238">IFERROR(IF(BL238=2,_xlfn.IFS(BH238=3,VLOOKUP(BF238,Справочная_двигатели,3,FALSE),BH238=1,VLOOKUP(BF238,Справочная_двигатели,5,TRUE)),0),0)</f>
        <v>0</v>
      </c>
      <c r="DB238">
        <f>IFERROR(IF(BL238=3,VLOOKUP(BF238,Справочная_ЛЭД,2,TRUE),0),0)</f>
        <v>0</v>
      </c>
      <c r="DC238">
        <f t="shared" si="294"/>
        <v>0</v>
      </c>
      <c r="DD238" t="str">
        <f t="shared" si="295"/>
        <v>L2</v>
      </c>
      <c r="DE238" t="str" cm="1">
        <f t="array" ref="DE238">IF(D238="","",IFERROR(INDEX({"I особая","I","II","III"},MATCH(TRIM(AA238&amp;""),{"I особая","I","II","III"},0)),"III"))</f>
        <v>II</v>
      </c>
      <c r="DF238" t="str">
        <f>IF(D238="","",IF(TRIM(AB238&amp;"")&lt;&gt;"",IF(LOWER(TRIM(AB238&amp;""))="да","да","нет"),IF(IFERROR(_xlfn.XLOOKUP(AT238,Коды_код,Коды_пожарная),"")="да","да","нет")))</f>
        <v>нет</v>
      </c>
      <c r="DG238" t="str">
        <f t="shared" si="296"/>
        <v/>
      </c>
      <c r="DH238" t="str">
        <f t="shared" si="297"/>
        <v>основная</v>
      </c>
      <c r="DI238">
        <f t="shared" si="298"/>
        <v>1</v>
      </c>
      <c r="DJ238" t="str" cm="1">
        <f t="array" ref="DJ238">IF(D238="","",_xlfn.LET(_xlpm.t,IFERROR(_xlfn.XLOOKUP(1,(Шины[Шина]=DH238)*(((Шины[Щит]=A238)+(Шины[Щит]=""))&gt;0),Шины[Тип]),"")&amp;"",IF(_xlpm.t&lt;&gt;"",_xlpm.t,IF(ISNUMBER(SEARCH("ИБП",DH238)),"ИБП",IF(ISNUMBER(SEARCH("ДГУ",DH238)),"ДГУ","Ввод "&amp;DI238)))))</f>
        <v>Ввод 1</v>
      </c>
      <c r="DK238" t="str">
        <f t="shared" si="299"/>
        <v>Ввод 1</v>
      </c>
      <c r="DL238" t="str">
        <f>IF(D238="","",IF(OR(DJ238="ИБП",DJ238="ДГУ"),"I особая",IF(DJ238="Одиночная","III",_xlfn.XLOOKUP(A238,Щиты[Щит],Щиты[Категория шины «Ввод»],"III"))))</f>
        <v>II</v>
      </c>
      <c r="DM238">
        <f>IF(D238="",0,IFERROR(MATCH(DE238,{"III","II","I","I особая"},0),1))</f>
        <v>2</v>
      </c>
      <c r="DN238">
        <f t="shared" si="300"/>
        <v>2</v>
      </c>
      <c r="DO238" t="str">
        <f>IF(D238="","",IF(DM238&gt;IFERROR(MATCH(DL238,{"III","II","I","I особая"},0),1),"НЕ ОБЕСПЕЧЕНА","ОК"))</f>
        <v>ОК</v>
      </c>
      <c r="DP238" t="str">
        <f>IF(A238="","",_xlfn.XLOOKUP(A238,Щиты[Щит],Щиты[Путь],""))</f>
        <v>|ГРЩ-ЖД|ЩР-1|</v>
      </c>
      <c r="DQ238" t="str">
        <f>IF(D238="","",IF(Z238&lt;&gt;"",Z238,IF(IFERROR(_xlfn.XLOOKUP(AT238,Коды_код,Коды_вид)&amp;"","")="","Прочее",_xlfn.XLOOKUP(AT238,Коды_код,Коды_вид)&amp;"")))</f>
        <v>Розеточная сеть и бытовые приборы</v>
      </c>
      <c r="DR238">
        <f>IF(BD238="","",INT((BD238-1)/Столбцов_на_лист)+1)</f>
        <v>2</v>
      </c>
      <c r="DS238" t="str">
        <f t="shared" si="301"/>
        <v>ВВГнг(А)-LS (3х2,5) L=113-0,92%</v>
      </c>
      <c r="DT238">
        <f t="shared" si="302"/>
        <v>0.24</v>
      </c>
      <c r="DU238">
        <f t="shared" si="303"/>
        <v>1.1000000000000001</v>
      </c>
      <c r="DV238">
        <f t="shared" si="304"/>
        <v>1</v>
      </c>
      <c r="DW238">
        <f>IF(AT238="",0,_xlfn.LET(_xlpm.v,IFERROR(VLOOKUP(D238,УГО_спр,3,FALSE),IFERROR(VLOOKUP(AT238,УГО_спр,3,FALSE),IFERROR(VLOOKUP(LEFT(AT238,2),УГО_спр,3,FALSE),""))),IF(_xlpm.v="да",30,IF(ISNUMBER(_xlpm.v),_xlpm.v,0))))</f>
        <v>30</v>
      </c>
      <c r="DX238">
        <f t="shared" si="305"/>
        <v>0</v>
      </c>
      <c r="DY238">
        <f>IF(BD238="","",IF(AD238&lt;&gt;"",COUNTIFS(A$3:A238,A238,AD$3:AD238,"?*"),IF(OR(OR(AS238=1,A238&lt;&gt;A237),AL238="вручную"),"",IF(AS238=1,"",DZ237))))</f>
        <v>14</v>
      </c>
      <c r="DZ238">
        <f t="shared" si="306"/>
        <v>14</v>
      </c>
      <c r="EA238">
        <f>IF(D238="",0,MAX(IFERROR(--X238,0),IFERROR(--VLOOKUP(D238,УГО_спр,4,FALSE),IFERROR(--VLOOKUP(AT238,УГО_спр,4,FALSE),IFERROR(--VLOOKUP(LEFT(AT238,2),УГО_спр,4,FALSE),0)))))</f>
        <v>16</v>
      </c>
      <c r="EB238">
        <f>IF(D238="","",IFERROR(LOOKUP(INDEX(CHOOSE(BR238,Iдоп_1ж,Iдоп_2ж,Iдоп_3ж),MATCH(BS238,Iдоп_S,0))*BP238*BQ238,{6,10,16,20,25,32,40,50,63,80,100,125,160,200,250,315,400,500,630}),""))</f>
        <v>25</v>
      </c>
      <c r="EC238">
        <f>IF(AD238="","",SUMIFS(Линии[_Ток схемы],Линии[_гр.],DY238,Линии[Щит],A238,Линии[_в кабель выше],0))</f>
        <v>1.1000000000000001</v>
      </c>
      <c r="ED238">
        <f>IF(AD238="","",IFERROR(VLOOKUP(EC238,Автомат_номиналы,2,TRUE),""))</f>
        <v>6</v>
      </c>
      <c r="EE238">
        <f>IF(AD238="","",MAX(N(ED238),_xlfn.MAXIFS(Линии[_мин. по типу],Линии[_гр.],DY238,Линии[Щит],A238)))</f>
        <v>16</v>
      </c>
      <c r="EF238">
        <f>IF(AD238="","",_xlfn.MINIFS(Линии[_макс. автомат по кабелю],Линии[_гр.],DY238,Линии[Щит],A238))</f>
        <v>25</v>
      </c>
      <c r="EG238">
        <f>IF(AD238="","",MAX(1,_xlfn.MAXIFS(Линии[_фаз],Линии[_гр.],DY238,Линии[Щит],A238)))</f>
        <v>1</v>
      </c>
      <c r="EH238">
        <f>IF(AD238="","",IF(AND(AD238&lt;&gt;"авто",AD238&lt;&gt;"+"),IF(ISNUMBER(SEARCH("мА",AD238)),IFERROR(--TRIM(RIGHT(SUBSTITUTE(LEFT(AD238,SEARCH("мА",AD238)-1)," ",REPT(" ",9)),6)),30),0),IF(AE238="нет",0,IF(ISNUMBER(AE238),AE238,IF(AE238="да",30,_xlfn.MINIFS(Линии[_дифзащита по коду, мА],Линии[_гр.],DY238,Линии[Щит],A238,Линии[_дифзащита по коду, мА],"&gt;0"))))))</f>
        <v>30</v>
      </c>
      <c r="EI238">
        <f t="shared" si="307"/>
        <v>1</v>
      </c>
      <c r="EJ238" t="str">
        <f t="shared" si="308"/>
        <v>QFD14</v>
      </c>
      <c r="EK238" t="str">
        <f t="shared" si="309"/>
        <v>QFD14</v>
      </c>
      <c r="EL238" t="str">
        <f t="shared" si="310"/>
        <v/>
      </c>
      <c r="EM238">
        <f t="shared" si="311"/>
        <v>0</v>
      </c>
      <c r="EN238">
        <f>IF(AD238="","",IF(EM238=1,MAX(EE238,Мин_автомат_БП),EE238))</f>
        <v>16</v>
      </c>
      <c r="EO238" t="str">
        <f t="shared" si="312"/>
        <v>2P</v>
      </c>
      <c r="EP238" t="str">
        <f t="shared" si="313"/>
        <v>2P С16А 30мА</v>
      </c>
      <c r="EQ238">
        <f t="shared" si="314"/>
        <v>16</v>
      </c>
      <c r="ER238" t="str">
        <f>IF(OR(AI238="",AI238="-"),"",IFERROR(VLOOKUP(AI238,Модули_спр,2,FALSE),"R"))</f>
        <v/>
      </c>
      <c r="ES238" t="str">
        <f>IF(ER238="","",ER238&amp;"."&amp;COUNTIFS(A$3:A238,A238,ER$3:ER238,ER238))</f>
        <v/>
      </c>
      <c r="ET238" t="str">
        <f t="shared" si="315"/>
        <v/>
      </c>
      <c r="EU238" t="str">
        <f t="shared" si="316"/>
        <v/>
      </c>
      <c r="EV238" t="str">
        <f t="shared" si="317"/>
        <v/>
      </c>
      <c r="EW238" t="str">
        <f t="shared" si="318"/>
        <v/>
      </c>
      <c r="EX238">
        <f t="shared" si="319"/>
        <v>1</v>
      </c>
      <c r="EY238" t="str">
        <f>IF(AK238="нет","",IF(AK238&lt;&gt;"",AK238,IF(EX238=1,"XT"&amp;COUNTIFS(A$3:A238,A238,EX$3:EX238,1),"")))</f>
        <v/>
      </c>
      <c r="EZ238" t="str">
        <f t="shared" si="320"/>
        <v>QFD14</v>
      </c>
      <c r="FA238" t="str">
        <f t="shared" si="321"/>
        <v/>
      </c>
      <c r="FB238" t="str">
        <f t="shared" si="322"/>
        <v>ok</v>
      </c>
      <c r="FC238" t="str">
        <f>IF(OR(EV238="",ET238=""),"",IF(EV238&gt;IFERROR(VLOOKUP(EU238,Модули_спр,3,FALSE),99),"ЛИШНИЙ КАНАЛ",IF(AND(AJ238&lt;&gt;"=",COUNTIFS(Линии[_модуль гр.],ET238,Линии[Канал (итог)],EV238,Линии[Канал],"&lt;&gt;=",Линии[Щит],A238)&gt;1),"ДУБЛЬ КАНАЛА","")))</f>
        <v/>
      </c>
      <c r="FD238">
        <f t="shared" si="323"/>
        <v>16</v>
      </c>
      <c r="FE238" t="str">
        <f t="shared" si="324"/>
        <v>2P С16А 30мА</v>
      </c>
      <c r="FF238">
        <f t="shared" si="325"/>
        <v>1</v>
      </c>
      <c r="FG238">
        <f t="shared" si="326"/>
        <v>30</v>
      </c>
      <c r="FH238" t="str">
        <f t="shared" si="327"/>
        <v/>
      </c>
      <c r="FI238">
        <f t="shared" si="328"/>
        <v>10</v>
      </c>
      <c r="FJ238" t="str">
        <f t="shared" si="329"/>
        <v/>
      </c>
      <c r="FK238" t="str">
        <f>IF(AND(D238="",EZ238=""),"",_xlfn.TEXTJOIN("; ",TRUE,IF(AND(D238&lt;&gt;"",DD238=""),"нет фазы",""),IF(AND(D238&lt;&gt;"",N(DT238)=0,CN238&lt;&gt;"Нет"),"нет мощности",""),IF(AND(EY238&lt;&gt;"",COUNTIFS(Линии[Щит],A238,Линии[Клемма (итог)],EY238)&gt;1),"дубль клеммы "&amp;EY238,""),IF(AND(FB238&lt;&gt;"",FB238&lt;&gt;"ok"),FB238,""),IF(FC238&lt;&gt;"",FC238,""),IF(AND(ISNUMBER(SEARCH("(5х",DS238)),N(DV238)=1),"5 жил на 1 фазе",""),IF(AND(AT238="R",AD238&lt;&gt;"",OR(N(EH238)=0,N(EH238)&gt;30)),"розетка без дифзащиты до 30 мА",""),IFERROR(IF(AND(ISNUMBER(CD238),CD238&gt;CE238),"потери "&amp;FIXED(CD238,1)&amp;" % &gt; "&amp;CE238&amp;" %",""),""),IFERROR(IF(LEFT(FJ238,4)="мало","Iкз мало — отключение &gt; 0,4 с",""),""),IF(AND(D238&lt;&gt;"",BD238=""),"не на схеме","")))</f>
        <v/>
      </c>
      <c r="FL238">
        <f>IF(AD238="","",_xlfn.LET(_xlpm.t,IFERROR(_xlfn.XLOOKUP(EP238,Каталог!$U$4:$U$500,Каталог!$G$4:$G$500),""),_xlpm.k,SEARCH("кА",_xlpm.t),IFERROR(--TRIM(RIGHT(SUBSTITUTE(MID(_xlpm.t,MAX(1,_xlpm.k-4),_xlpm.k-MAX(1,_xlpm.k-4))," ",REPT(" ",9)),5)),"")))</f>
        <v>6</v>
      </c>
      <c r="FM238" t="str">
        <f>IF(OR(FL238="",AD238=""),"",IF(_xlfn.XLOOKUP(A238,Щиты[Щит],Щиты[Iкз max на шинах, кА],"")="","",IF(FL238&lt;_xlfn.XLOOKUP(A238,Щиты[Щит],Щиты[Iкз max на шинах, кА]),"Icu "&amp;FL238&amp;" кА &lt; Iкз max","ok")))</f>
        <v/>
      </c>
      <c r="FN238" t="str">
        <f t="shared" si="330"/>
        <v>QFD14</v>
      </c>
      <c r="FO238" t="str">
        <f t="shared" si="331"/>
        <v>QFD14|кабель ВВГнг(А)-LS (3х2,5) → Розеточная группа Первый этаж Пом. №002Г</v>
      </c>
      <c r="FP238" t="str" cm="1">
        <f t="array" ref="FP238">IF(FO238="","",_xlfn.LET(_xlpm.nd,_xlfn.TEXTSPLIT(FO238,"|"),IF(COLUMNS(_xlpm.nd)&gt;1,A238&amp;"¦"&amp;INDEX(_xlpm.nd,1)&amp;"¦"&amp;INDEX(_xlpm.nd,2),"")))</f>
        <v>ЩР-1¦QFD14¦кабель ВВГнг(А)-LS (3х2,5) → Розеточная группа Первый этаж Пом. №002Г</v>
      </c>
      <c r="FQ238" t="str">
        <f t="shared" si="332"/>
        <v>R.1.002Г.1¦Розеточная группа Первый этаж Пом. №002Г</v>
      </c>
      <c r="FR238" t="str" cm="1">
        <f t="array" ref="FR238">IF(FO238="","",_xlfn.LET(_xlpm.nd,_xlfn.TEXTSPLIT(FO238,"|"),IF(COLUMNS(_xlpm.nd)&gt;2,A238&amp;"¦"&amp;INDEX(_xlpm.nd,2)&amp;"¦"&amp;INDEX(_xlpm.nd,3),"")))</f>
        <v/>
      </c>
      <c r="FS238" t="str">
        <f t="shared" si="333"/>
        <v/>
      </c>
      <c r="FT238" t="str" cm="1">
        <f t="array" ref="FT238">IF(FO238="","",_xlfn.LET(_xlpm.nd,_xlfn.TEXTSPLIT(FO238,"|"),IF(COLUMNS(_xlpm.nd)&gt;3,A238&amp;"¦"&amp;INDEX(_xlpm.nd,3)&amp;"¦"&amp;INDEX(_xlpm.nd,4),"")))</f>
        <v/>
      </c>
      <c r="FU238" t="str">
        <f t="shared" si="334"/>
        <v/>
      </c>
      <c r="FV238" t="str" cm="1">
        <f t="array" ref="FV238">IF(FO238="","",_xlfn.LET(_xlpm.nd,_xlfn.TEXTSPLIT(FO238,"|"),IF(COLUMNS(_xlpm.nd)&gt;4,A238&amp;"¦"&amp;INDEX(_xlpm.nd,4)&amp;"¦"&amp;INDEX(_xlpm.nd,5),"")))</f>
        <v/>
      </c>
      <c r="FW238" t="str">
        <f t="shared" si="335"/>
        <v/>
      </c>
      <c r="FX238" t="str" cm="1">
        <f t="array" ref="FX238">IF(FO238="","",_xlfn.LET(_xlpm.nd,_xlfn.TEXTSPLIT(FO238,"|"),IF(COLUMNS(_xlpm.nd)&gt;5,A238&amp;"¦"&amp;INDEX(_xlpm.nd,5)&amp;"¦"&amp;INDEX(_xlpm.nd,6),"")))</f>
        <v/>
      </c>
      <c r="FY238" t="str">
        <f t="shared" si="336"/>
        <v/>
      </c>
      <c r="FZ238" t="str" cm="1">
        <f t="array" ref="FZ238">IF(FO238="","",_xlfn.LET(_xlpm.nd,_xlfn.TEXTSPLIT(FO238,"|"),IF(COLUMNS(_xlpm.nd)&gt;6,A238&amp;"¦"&amp;INDEX(_xlpm.nd,6)&amp;"¦"&amp;INDEX(_xlpm.nd,7),"")))</f>
        <v/>
      </c>
      <c r="GA238" t="str">
        <f t="shared" si="337"/>
        <v/>
      </c>
      <c r="GB238" t="str">
        <f t="shared" si="338"/>
        <v/>
      </c>
      <c r="GC238" t="str">
        <f t="shared" si="339"/>
        <v>QFD14</v>
      </c>
      <c r="GD238">
        <f t="shared" si="340"/>
        <v>1</v>
      </c>
      <c r="GE238">
        <f t="shared" si="341"/>
        <v>0</v>
      </c>
      <c r="GF238">
        <f t="shared" si="342"/>
        <v>1</v>
      </c>
      <c r="GG238" t="str">
        <f t="shared" si="343"/>
        <v/>
      </c>
      <c r="GH238" t="str">
        <f t="shared" si="344"/>
        <v/>
      </c>
      <c r="GI238" t="str">
        <f t="shared" si="345"/>
        <v/>
      </c>
      <c r="GJ238" t="str">
        <f t="shared" si="346"/>
        <v/>
      </c>
      <c r="GK238" t="str">
        <f>IF(D238="","",IFERROR(VLOOKUP(D238,УГО_спр,2,FALSE),IFERROR(VLOOKUP(AT238,УГО_спр,2,FALSE),IFERROR(VLOOKUP(LEFT(AT238,2),УГО_спр,2,FALSE),""))))</f>
        <v>Розетка</v>
      </c>
      <c r="GL238" t="str">
        <f>IF(D238="","",IF(OR(GK238="",GK238=0),"BOX",IFERROR(IF(VLOOKUP(GK238,УГО_блоки,3,FALSE)&amp;""&lt;&gt;"",VLOOKUP(GK238,УГО_блоки,3,FALSE),VLOOKUP(GK238,УГО_блоки,2,FALSE)),GK238)))</f>
        <v>SOCKET</v>
      </c>
      <c r="GM238">
        <f t="shared" si="347"/>
        <v>1</v>
      </c>
      <c r="GN238" t="str">
        <f>IF(EP238="","",IF(COUNTIF(EP$3:EP238,EP238)=1,MAX(GN$2:GN237)+1,""))</f>
        <v/>
      </c>
      <c r="GO238" t="str">
        <f>IF(AF238="","",IF(COUNTIF(AF$3:AF238,AF238)+COUNTIF(AG$2:AG237,AF238)+COUNTIF(AH$2:AH237,AF238)=1,MAX(GO$2:GQ237)+1,""))</f>
        <v/>
      </c>
      <c r="GP238" t="str">
        <f>IF(AG238="","",IF(COUNTIF(AF$3:AF238,AG238)+COUNTIF(AG$3:AG238,AG238)+COUNTIF(AH$2:AH237,AG238)=1,MAX(GO$2:GQ237,GO238)+1,""))</f>
        <v/>
      </c>
      <c r="GQ238" t="str">
        <f>IF(AH238="","",IF(COUNTIF(AF$3:AF238,AH238)+COUNTIF(AG$3:AG238,AH238)+COUNTIF(AH$3:AH238,AH238)=1,MAX(GO$2:GQ237,GO238,GP238)+1,""))</f>
        <v/>
      </c>
      <c r="GR238" t="str">
        <f t="shared" si="348"/>
        <v>3х2,5</v>
      </c>
      <c r="GS238" t="str">
        <f>IF(GR238="","",IF(COUNTIF(GR$3:GR238,GR238)=1,MAX(GS$2:GS237)+1,""))</f>
        <v/>
      </c>
      <c r="GT238" t="str">
        <f>IF(ES238="","",COUNTIF(ES$3:ES238,"?*"))</f>
        <v/>
      </c>
      <c r="GU238" t="str">
        <f>IF(OR(ES238="",EU238=""),"",IF(COUNTIFS(ES$3:ES238,"?*",EU$3:EU238,EU238)=1,MAX(GU$2:GU237)+1,""))</f>
        <v/>
      </c>
      <c r="GV238">
        <f t="shared" si="349"/>
        <v>0</v>
      </c>
      <c r="GW238">
        <f>IF(D238="","",COUNTIF(D$3:D238,"?*"))</f>
        <v>236</v>
      </c>
      <c r="GX238">
        <f>IF(EX238&lt;&gt;1,0,_xlfn.LET(_xlpm.k,MAX(IFERROR(--VLOOKUP(D238,УГО_спр,5,FALSE),0),IFERROR(--VLOOKUP(AT238,УГО_спр,5,FALSE),0),IFERROR(--VLOOKUP(LEFT(AT238,2),УГО_спр,5,FALSE),0)),IF(_xlpm.k&gt;0,_xlpm.k,IF(IFERROR(--LEFT(SUBSTITUTE(GR238,"x","х"),FIND("х",SUBSTITUTE(GR238,"x","х"))-1),3)&gt;3,Каталог!$S$9,1))))</f>
        <v>1</v>
      </c>
      <c r="GY238">
        <f t="shared" si="350"/>
        <v>0</v>
      </c>
    </row>
    <row r="239" spans="1:207" x14ac:dyDescent="0.3">
      <c r="A239" t="s">
        <v>762</v>
      </c>
      <c r="B239">
        <v>25</v>
      </c>
      <c r="C239" t="str">
        <f>IF(BD239="","",IF(BE239="вводной узел","узел ","")&amp;"л."&amp;(INT((BD239-1)/Столбцов_на_лист)+1)&amp;" / "&amp;(MOD(BD239-1,Столбцов_на_лист)+1))</f>
        <v>л.2 / 8</v>
      </c>
      <c r="D239" t="s">
        <v>1561</v>
      </c>
      <c r="E239" s="133" t="str">
        <f t="shared" si="351"/>
        <v>Розеточная группа Первый этаж Пом. №003A</v>
      </c>
      <c r="G239">
        <v>0.36</v>
      </c>
      <c r="H239">
        <v>1</v>
      </c>
      <c r="I239">
        <v>1</v>
      </c>
      <c r="J239">
        <v>230</v>
      </c>
      <c r="K239" t="s">
        <v>566</v>
      </c>
      <c r="O239">
        <v>3</v>
      </c>
      <c r="P239">
        <v>57</v>
      </c>
      <c r="Q239">
        <v>28</v>
      </c>
      <c r="R239">
        <v>25</v>
      </c>
      <c r="S239">
        <v>7</v>
      </c>
      <c r="U239" t="s">
        <v>11</v>
      </c>
      <c r="V239">
        <v>3</v>
      </c>
      <c r="W239">
        <v>2.5</v>
      </c>
      <c r="Z239" t="s">
        <v>565</v>
      </c>
      <c r="AA239" t="s">
        <v>818</v>
      </c>
      <c r="AD239" t="s">
        <v>517</v>
      </c>
      <c r="AK239" t="s">
        <v>488</v>
      </c>
      <c r="AR239" t="str">
        <f t="shared" si="264"/>
        <v/>
      </c>
      <c r="AS239" cm="1">
        <f t="array" ref="AS239">ROW()-ROW(Линии[#Headers])</f>
        <v>237</v>
      </c>
      <c r="AT239" t="str">
        <f t="shared" si="265"/>
        <v>R</v>
      </c>
      <c r="AU239" t="str">
        <f t="shared" si="266"/>
        <v>1.003A.1</v>
      </c>
      <c r="AV239" t="str">
        <f t="shared" si="267"/>
        <v>1</v>
      </c>
      <c r="AW239" t="str">
        <f t="shared" si="268"/>
        <v>003A.1</v>
      </c>
      <c r="AX239" t="str">
        <f t="shared" si="269"/>
        <v>003A</v>
      </c>
      <c r="AY239" t="str">
        <f>IF(D239="","",IF(ISERROR(SEARCH(".",D239)),IFERROR(VLOOKUP(D239,Потребители_обозначение,2,FALSE)&amp;"",""),IFERROR(IF(VLOOKUP(AT239,Потребители_обозначение,4,FALSE)=1,VLOOKUP(AT239,Потребители_обозначение,2,FALSE)&amp;" "&amp;VLOOKUP(AV239,Этаж_обозначение,2,FALSE)&amp;" Пом. №"&amp;AX239,VLOOKUP(AT239,Потребители_обозначение,2,FALSE)&amp;" Шлейф №"&amp;AV239),IFERROR(VLOOKUP(D239,Потребители_обозначение,2,FALSE),""))))</f>
        <v>Розеточная группа Первый этаж Пом. №003A</v>
      </c>
      <c r="AZ239" t="str">
        <f t="shared" si="270"/>
        <v>Розеточная группа Первый этаж Пом. №003A</v>
      </c>
      <c r="BA239" t="str">
        <f>IF(F239&lt;&gt;"",F239,IF(AND(D239&lt;&gt;"",D239&lt;&gt;A239,ISNUMBER(_xlfn.XMATCH(D239,Щиты[Щит]))),D239,""))</f>
        <v/>
      </c>
      <c r="BB239">
        <f>IFERROR(_xlfn.XMATCH(A239,Щиты[Щит]),0)</f>
        <v>10</v>
      </c>
      <c r="BC239">
        <f>IFERROR(N(_xlfn.XLOOKUP(A239,Щиты[Щит],Щиты[Мест под вводной узел])),15)</f>
        <v>8</v>
      </c>
      <c r="BD239">
        <f t="shared" si="271"/>
        <v>25</v>
      </c>
      <c r="BE239" t="str">
        <f t="shared" si="272"/>
        <v>линии</v>
      </c>
      <c r="BF239">
        <f>IF(D239="","",IF(BA239&lt;&gt;"",IFERROR(_xlfn.XLOOKUP(BA239,Щиты[Щит],Щиты[Руст, кВт]),0),N(G239)))</f>
        <v>0.36</v>
      </c>
      <c r="BG239">
        <f>IF(J239&lt;&gt;"",J239,IF(D239="","",IFERROR(IF(VLOOKUP(AT239,Потребители_обозначение,8,FALSE)=0,"",VLOOKUP(AT239,Потребители_обозначение,8,FALSE)),"")))</f>
        <v>230</v>
      </c>
      <c r="BH239">
        <f>IF(I239&lt;&gt;"",I239,IF(D239="","",IFERROR(IF(VLOOKUP(AT239,Потребители_обозначение,9,FALSE)=0,"",VLOOKUP(AT239,Потребители_обозначение,9,FALSE)),"")))</f>
        <v>1</v>
      </c>
      <c r="BI239" t="str">
        <f>IF(U239&lt;&gt;"",U239,IF(D239="","",IFERROR(IF(VLOOKUP(AT239,Потребители_обозначение,6,FALSE)=0,"",VLOOKUP(AT239,Потребители_обозначение,6,FALSE)),"")))</f>
        <v>мс</v>
      </c>
      <c r="BJ239">
        <f>IF(V239&lt;&gt;"",V239,IF(D239="","",IFERROR(IF(VLOOKUP(AT239,Потребители_обозначение,7,FALSE)=0,"",VLOOKUP(AT239,Потребители_обозначение,7,FALSE)),"")))</f>
        <v>3</v>
      </c>
      <c r="BK239">
        <f>IF(W239&lt;&gt;"",W239,IF(D239="","",IFERROR(IF(VLOOKUP(AT239,Потребители_обозначение,10,FALSE)=0,"",VLOOKUP(AT239,Потребители_обозначение,10,FALSE)),"")))</f>
        <v>2.5</v>
      </c>
      <c r="BL239">
        <f>IFERROR(VLOOKUP(AT239,Потребители_обозначение,5,FALSE),0)</f>
        <v>1</v>
      </c>
      <c r="BM239" cm="1">
        <f t="array" ref="BM239">IF(D239="","",IF(BA239&lt;&gt;"",IFERROR(_xlfn.XLOOKUP(BA239,Щиты[Щит],Щиты[cos φ]),0.95),IF(ISNUMBER(M239),M239,IFERROR(IF(BL239=2,_xlfn.IFS(BH239=3,VLOOKUP(BF239,Справочная_двигатели,8,FALSE),BH239=1,VLOOKUP(BF239,Справочная_двигатели,10,TRUE)),IF(AND(Методика="нормы 2026",CN239="Сил"),0.8,0.95)),0.95))))</f>
        <v>0.95</v>
      </c>
      <c r="BN239" cm="1">
        <f t="array" ref="BN239">IF(D239="","",IF(BA239&lt;&gt;"",IFERROR(_xlfn.XLOOKUP(BA239,Щиты[Щит],Щиты[Iр, А]),""),IFERROR(_xlfn.IFS(BH239=1,BF239/((Uн_лин/SQRT(3))*BM239),BH239=3,BF239/(SQRT(3)*Uн_лин*BM239)),"")))</f>
        <v>1.6408902387494626</v>
      </c>
      <c r="BO239">
        <f>IF(D239="","",IF(N(X239)=0,IFERROR(VLOOKUP(BN239,Автомат_номиналы,2,TRUE),""),X239))</f>
        <v>6</v>
      </c>
      <c r="BP239">
        <f t="shared" si="273"/>
        <v>1</v>
      </c>
      <c r="BQ239">
        <f>IF(ISNUMBER(Y239),Y239,К_прокл)</f>
        <v>1</v>
      </c>
      <c r="BR239">
        <f t="shared" si="274"/>
        <v>2</v>
      </c>
      <c r="BS239" cm="1">
        <f t="array" ref="BS239">IF(D239="","",IF(N(BK239)&lt;&gt;0,BK239,IFERROR(_xlfn.LET(_xlpm.need,BO239/(BP239*BQ239),_xlpm.t,CHOOSE(BR239,Iдоп_1ж,Iдоп_2ж,Iдоп_3ж),_xlpm.k,_xlfn.XMATCH(_xlpm.need,_xlpm.t,1),IF(ISNA(_xlpm.k),"Не исп",INDEX(Iдоп_S,_xlpm.k))),"Не исп")))</f>
        <v>2.5</v>
      </c>
      <c r="BT239">
        <f>IFERROR(VLOOKUP(BS239,Кабель_сопротивление,3,FALSE),"")</f>
        <v>2.2499999999999999E-2</v>
      </c>
      <c r="BU239">
        <f>IFERROR(VLOOKUP(BS239,Кабель_сопротивление,2,FALSE),"")</f>
        <v>0.1</v>
      </c>
      <c r="BV239">
        <f t="shared" si="275"/>
        <v>57</v>
      </c>
      <c r="BW239">
        <f>IF(D239="","",IFERROR(IF(VLOOKUP(AT239,Потребители_обозначение,4,FALSE)=1,VLOOKUP(AT239,Потребители_обозначение,3,FALSE)*(H239*2-1)+BV239+VLOOKUP(AV239,Этаж_обозначение,3,FALSE)+VLOOKUP(AV239,Этаж_обозначение,4,FALSE),VLOOKUP(AT239,Потребители_обозначение,3,FALSE)*(H239*2-1)+BV239),BV239))</f>
        <v>60</v>
      </c>
      <c r="BX239">
        <f t="shared" si="276"/>
        <v>25</v>
      </c>
      <c r="BY239">
        <f t="shared" si="277"/>
        <v>7</v>
      </c>
      <c r="BZ239">
        <f t="shared" si="278"/>
        <v>2</v>
      </c>
      <c r="CA239">
        <f t="shared" si="279"/>
        <v>0.31</v>
      </c>
      <c r="CB239">
        <f t="shared" si="280"/>
        <v>1.6896574966450961</v>
      </c>
      <c r="CC239">
        <f>IFERROR(ROUNDUP(CB239/((Uн_лин/SQRT(3))*1000)*100,2),"")</f>
        <v>0.74</v>
      </c>
      <c r="CD239">
        <f>IF(ISNUMBER(CC239),CC239+IFERROR(_xlfn.XLOOKUP(A239,Щиты[Щит],Щиты[ΔU до шин, %]),0),"")</f>
        <v>1.99</v>
      </c>
      <c r="CE239">
        <f>IF(D239="","",IF(IFERROR(VLOOKUP(AT239,УГО_спр,2,FALSE),"")="Светильник",3,4)+IF(Методика="нормы 2026",MIN(0.5,MAX(0,N(BW239)-100)*0.005),0))</f>
        <v>4</v>
      </c>
      <c r="CF239" t="str">
        <f>IFERROR(VLOOKUP(BI239,Кабель_обозначение,2,FALSE),"")</f>
        <v>ВВГнг(А)-LS</v>
      </c>
      <c r="CG239" t="str">
        <f>IFERROR(IF(VLOOKUP(BI239,Кабель_обозначение,3,FALSE)=1,CF239&amp;" ("&amp;BJ239&amp;"х"&amp;BS239&amp;")",CF239),"")</f>
        <v>ВВГнг(А)-LS (3х2,5)</v>
      </c>
      <c r="CH239" t="str">
        <f t="shared" si="281"/>
        <v>ВВГнг(А)-LS (3х2,5)
L=60-0,74%</v>
      </c>
      <c r="CI239">
        <f>IFERROR(2*ρкз_Cu*BW239/BS239,"")</f>
        <v>1.2624</v>
      </c>
      <c r="CJ239">
        <f t="shared" si="282"/>
        <v>0.42000000000000004</v>
      </c>
      <c r="CK239" t="str">
        <f>IFERROR(IF(OR(D239="",NOT(ISNUMBER(BS239)),N(BW239)=0),"",_xlfn.XLOOKUP(A239,Щиты[Щит],Щиты[Zпетли на шинах, Ом])+CI239),"")</f>
        <v/>
      </c>
      <c r="CL239" t="str">
        <f>IF(ISNUMBER(CK239),c_min*(Uн_лин*1000/SQRT(3))/CK239,"")</f>
        <v/>
      </c>
      <c r="CM239" t="str">
        <f>IFERROR(IF(OR(D239="",NOT(ISNUMBER(BS239))),"",1.05*(Uн_лин*1000/SQRT(3))/(_xlfn.XLOOKUP(A239,Щиты[Щит],Щиты[Zmax на шинах, Ом])+CJ239)/1000),"")</f>
        <v/>
      </c>
      <c r="CN239" t="str">
        <f>IF(D239="","",IF(BA239&lt;&gt;"","Щит",IF(K239&lt;&gt;"",K239,IF(ISNUMBER(L239),"Сил",IF(IFERROR(_xlfn.XLOOKUP(AT239,Коды_код,Коды_группа)&amp;"","")="","Быт",_xlfn.XLOOKUP(AT239,Коды_код,Коды_группа)&amp;"")))))</f>
        <v>Быт</v>
      </c>
      <c r="CO239">
        <f>IF(CN239="Щит","щит",IF(CN239="","",IF(CN239="Быт",IFERROR(_xlfn.XLOOKUP(A239,Щиты[Щит],Щиты[Кс быт]),1),IF(CN239="Сил",IF(ISNUMBER(L239),L239,IF(Методика="нормы 2026",IFERROR(_xlfn.XLOOKUP(A239,Щиты[Щит],Щиты[Кс силовых (табл. 7.5)]),1),1)),IF(OR(CN239="Пост",CN239="Отоп"),1,IF(CN239="ВНГ",0.7,0))))))</f>
        <v>0.57830000000000004</v>
      </c>
      <c r="CP239">
        <f t="shared" si="283"/>
        <v>1</v>
      </c>
      <c r="CQ239">
        <f t="shared" si="284"/>
        <v>0.36</v>
      </c>
      <c r="CR239">
        <f t="shared" si="285"/>
        <v>0.36</v>
      </c>
      <c r="CS239">
        <f t="shared" si="286"/>
        <v>0</v>
      </c>
      <c r="CT239">
        <f t="shared" si="287"/>
        <v>0</v>
      </c>
      <c r="CU239">
        <f t="shared" si="288"/>
        <v>0</v>
      </c>
      <c r="CV239">
        <f t="shared" si="289"/>
        <v>0</v>
      </c>
      <c r="CW239">
        <f t="shared" si="290"/>
        <v>0.36</v>
      </c>
      <c r="CX239">
        <f t="shared" si="291"/>
        <v>0.34199999999999997</v>
      </c>
      <c r="CY239">
        <f t="shared" si="292"/>
        <v>3</v>
      </c>
      <c r="CZ239" t="str">
        <f t="shared" si="293"/>
        <v>L3</v>
      </c>
      <c r="DA239" cm="1">
        <f t="array" ref="DA239">IFERROR(IF(BL239=2,_xlfn.IFS(BH239=3,VLOOKUP(BF239,Справочная_двигатели,3,FALSE),BH239=1,VLOOKUP(BF239,Справочная_двигатели,5,TRUE)),0),0)</f>
        <v>0</v>
      </c>
      <c r="DB239">
        <f>IFERROR(IF(BL239=3,VLOOKUP(BF239,Справочная_ЛЭД,2,TRUE),0),0)</f>
        <v>0</v>
      </c>
      <c r="DC239">
        <f t="shared" si="294"/>
        <v>0</v>
      </c>
      <c r="DD239" t="str">
        <f t="shared" si="295"/>
        <v>L3</v>
      </c>
      <c r="DE239" t="str" cm="1">
        <f t="array" ref="DE239">IF(D239="","",IFERROR(INDEX({"I особая","I","II","III"},MATCH(TRIM(AA239&amp;""),{"I особая","I","II","III"},0)),"III"))</f>
        <v>II</v>
      </c>
      <c r="DF239" t="str">
        <f>IF(D239="","",IF(TRIM(AB239&amp;"")&lt;&gt;"",IF(LOWER(TRIM(AB239&amp;""))="да","да","нет"),IF(IFERROR(_xlfn.XLOOKUP(AT239,Коды_код,Коды_пожарная),"")="да","да","нет")))</f>
        <v>нет</v>
      </c>
      <c r="DG239" t="str">
        <f t="shared" si="296"/>
        <v/>
      </c>
      <c r="DH239" t="str">
        <f t="shared" si="297"/>
        <v>основная</v>
      </c>
      <c r="DI239">
        <f t="shared" si="298"/>
        <v>1</v>
      </c>
      <c r="DJ239" t="str" cm="1">
        <f t="array" ref="DJ239">IF(D239="","",_xlfn.LET(_xlpm.t,IFERROR(_xlfn.XLOOKUP(1,(Шины[Шина]=DH239)*(((Шины[Щит]=A239)+(Шины[Щит]=""))&gt;0),Шины[Тип]),"")&amp;"",IF(_xlpm.t&lt;&gt;"",_xlpm.t,IF(ISNUMBER(SEARCH("ИБП",DH239)),"ИБП",IF(ISNUMBER(SEARCH("ДГУ",DH239)),"ДГУ","Ввод "&amp;DI239)))))</f>
        <v>Ввод 1</v>
      </c>
      <c r="DK239" t="str">
        <f t="shared" si="299"/>
        <v>Ввод 1</v>
      </c>
      <c r="DL239" t="str">
        <f>IF(D239="","",IF(OR(DJ239="ИБП",DJ239="ДГУ"),"I особая",IF(DJ239="Одиночная","III",_xlfn.XLOOKUP(A239,Щиты[Щит],Щиты[Категория шины «Ввод»],"III"))))</f>
        <v>II</v>
      </c>
      <c r="DM239">
        <f>IF(D239="",0,IFERROR(MATCH(DE239,{"III","II","I","I особая"},0),1))</f>
        <v>2</v>
      </c>
      <c r="DN239">
        <f t="shared" si="300"/>
        <v>2</v>
      </c>
      <c r="DO239" t="str">
        <f>IF(D239="","",IF(DM239&gt;IFERROR(MATCH(DL239,{"III","II","I","I особая"},0),1),"НЕ ОБЕСПЕЧЕНА","ОК"))</f>
        <v>ОК</v>
      </c>
      <c r="DP239" t="str">
        <f>IF(A239="","",_xlfn.XLOOKUP(A239,Щиты[Щит],Щиты[Путь],""))</f>
        <v>|ГРЩ-ЖД|ЩР-1|</v>
      </c>
      <c r="DQ239" t="str">
        <f>IF(D239="","",IF(Z239&lt;&gt;"",Z239,IF(IFERROR(_xlfn.XLOOKUP(AT239,Коды_код,Коды_вид)&amp;"","")="","Прочее",_xlfn.XLOOKUP(AT239,Коды_код,Коды_вид)&amp;"")))</f>
        <v>Розеточная сеть и бытовые приборы</v>
      </c>
      <c r="DR239">
        <f>IF(BD239="","",INT((BD239-1)/Столбцов_на_лист)+1)</f>
        <v>2</v>
      </c>
      <c r="DS239" t="str">
        <f t="shared" si="301"/>
        <v>ВВГнг(А)-LS (3х2,5) L=60-0,74%</v>
      </c>
      <c r="DT239">
        <f t="shared" si="302"/>
        <v>0.36</v>
      </c>
      <c r="DU239">
        <f t="shared" si="303"/>
        <v>1.65</v>
      </c>
      <c r="DV239">
        <f t="shared" si="304"/>
        <v>1</v>
      </c>
      <c r="DW239">
        <f>IF(AT239="",0,_xlfn.LET(_xlpm.v,IFERROR(VLOOKUP(D239,УГО_спр,3,FALSE),IFERROR(VLOOKUP(AT239,УГО_спр,3,FALSE),IFERROR(VLOOKUP(LEFT(AT239,2),УГО_спр,3,FALSE),""))),IF(_xlpm.v="да",30,IF(ISNUMBER(_xlpm.v),_xlpm.v,0))))</f>
        <v>30</v>
      </c>
      <c r="DX239">
        <f t="shared" si="305"/>
        <v>0</v>
      </c>
      <c r="DY239">
        <f>IF(BD239="","",IF(AD239&lt;&gt;"",COUNTIFS(A$3:A239,A239,AD$3:AD239,"?*"),IF(OR(OR(AS239=1,A239&lt;&gt;A238),AL239="вручную"),"",IF(AS239=1,"",DZ238))))</f>
        <v>15</v>
      </c>
      <c r="DZ239">
        <f t="shared" si="306"/>
        <v>15</v>
      </c>
      <c r="EA239">
        <f>IF(D239="",0,MAX(IFERROR(--X239,0),IFERROR(--VLOOKUP(D239,УГО_спр,4,FALSE),IFERROR(--VLOOKUP(AT239,УГО_спр,4,FALSE),IFERROR(--VLOOKUP(LEFT(AT239,2),УГО_спр,4,FALSE),0)))))</f>
        <v>16</v>
      </c>
      <c r="EB239">
        <f>IF(D239="","",IFERROR(LOOKUP(INDEX(CHOOSE(BR239,Iдоп_1ж,Iдоп_2ж,Iдоп_3ж),MATCH(BS239,Iдоп_S,0))*BP239*BQ239,{6,10,16,20,25,32,40,50,63,80,100,125,160,200,250,315,400,500,630}),""))</f>
        <v>25</v>
      </c>
      <c r="EC239">
        <f>IF(AD239="","",SUMIFS(Линии[_Ток схемы],Линии[_гр.],DY239,Линии[Щит],A239,Линии[_в кабель выше],0))</f>
        <v>1.65</v>
      </c>
      <c r="ED239">
        <f>IF(AD239="","",IFERROR(VLOOKUP(EC239,Автомат_номиналы,2,TRUE),""))</f>
        <v>6</v>
      </c>
      <c r="EE239">
        <f>IF(AD239="","",MAX(N(ED239),_xlfn.MAXIFS(Линии[_мин. по типу],Линии[_гр.],DY239,Линии[Щит],A239)))</f>
        <v>16</v>
      </c>
      <c r="EF239">
        <f>IF(AD239="","",_xlfn.MINIFS(Линии[_макс. автомат по кабелю],Линии[_гр.],DY239,Линии[Щит],A239))</f>
        <v>25</v>
      </c>
      <c r="EG239">
        <f>IF(AD239="","",MAX(1,_xlfn.MAXIFS(Линии[_фаз],Линии[_гр.],DY239,Линии[Щит],A239)))</f>
        <v>1</v>
      </c>
      <c r="EH239">
        <f>IF(AD239="","",IF(AND(AD239&lt;&gt;"авто",AD239&lt;&gt;"+"),IF(ISNUMBER(SEARCH("мА",AD239)),IFERROR(--TRIM(RIGHT(SUBSTITUTE(LEFT(AD239,SEARCH("мА",AD239)-1)," ",REPT(" ",9)),6)),30),0),IF(AE239="нет",0,IF(ISNUMBER(AE239),AE239,IF(AE239="да",30,_xlfn.MINIFS(Линии[_дифзащита по коду, мА],Линии[_гр.],DY239,Линии[Щит],A239,Линии[_дифзащита по коду, мА],"&gt;0"))))))</f>
        <v>30</v>
      </c>
      <c r="EI239">
        <f t="shared" si="307"/>
        <v>1</v>
      </c>
      <c r="EJ239" t="str">
        <f t="shared" si="308"/>
        <v>QFD15</v>
      </c>
      <c r="EK239" t="str">
        <f t="shared" si="309"/>
        <v>QFD15</v>
      </c>
      <c r="EL239" t="str">
        <f t="shared" si="310"/>
        <v/>
      </c>
      <c r="EM239">
        <f t="shared" si="311"/>
        <v>0</v>
      </c>
      <c r="EN239">
        <f>IF(AD239="","",IF(EM239=1,MAX(EE239,Мин_автомат_БП),EE239))</f>
        <v>16</v>
      </c>
      <c r="EO239" t="str">
        <f t="shared" si="312"/>
        <v>2P</v>
      </c>
      <c r="EP239" t="str">
        <f t="shared" si="313"/>
        <v>2P С16А 30мА</v>
      </c>
      <c r="EQ239">
        <f t="shared" si="314"/>
        <v>16</v>
      </c>
      <c r="ER239" t="str">
        <f>IF(OR(AI239="",AI239="-"),"",IFERROR(VLOOKUP(AI239,Модули_спр,2,FALSE),"R"))</f>
        <v/>
      </c>
      <c r="ES239" t="str">
        <f>IF(ER239="","",ER239&amp;"."&amp;COUNTIFS(A$3:A239,A239,ER$3:ER239,ER239))</f>
        <v/>
      </c>
      <c r="ET239" t="str">
        <f t="shared" si="315"/>
        <v/>
      </c>
      <c r="EU239" t="str">
        <f t="shared" si="316"/>
        <v/>
      </c>
      <c r="EV239" t="str">
        <f t="shared" si="317"/>
        <v/>
      </c>
      <c r="EW239" t="str">
        <f t="shared" si="318"/>
        <v/>
      </c>
      <c r="EX239">
        <f t="shared" si="319"/>
        <v>1</v>
      </c>
      <c r="EY239" t="str">
        <f>IF(AK239="нет","",IF(AK239&lt;&gt;"",AK239,IF(EX239=1,"XT"&amp;COUNTIFS(A$3:A239,A239,EX$3:EX239,1),"")))</f>
        <v/>
      </c>
      <c r="EZ239" t="str">
        <f t="shared" si="320"/>
        <v>QFD15</v>
      </c>
      <c r="FA239" t="str">
        <f t="shared" si="321"/>
        <v/>
      </c>
      <c r="FB239" t="str">
        <f t="shared" si="322"/>
        <v>ok</v>
      </c>
      <c r="FC239" t="str">
        <f>IF(OR(EV239="",ET239=""),"",IF(EV239&gt;IFERROR(VLOOKUP(EU239,Модули_спр,3,FALSE),99),"ЛИШНИЙ КАНАЛ",IF(AND(AJ239&lt;&gt;"=",COUNTIFS(Линии[_модуль гр.],ET239,Линии[Канал (итог)],EV239,Линии[Канал],"&lt;&gt;=",Линии[Щит],A239)&gt;1),"ДУБЛЬ КАНАЛА","")))</f>
        <v/>
      </c>
      <c r="FD239">
        <f t="shared" si="323"/>
        <v>16</v>
      </c>
      <c r="FE239" t="str">
        <f t="shared" si="324"/>
        <v>2P С16А 30мА</v>
      </c>
      <c r="FF239">
        <f t="shared" si="325"/>
        <v>1</v>
      </c>
      <c r="FG239">
        <f t="shared" si="326"/>
        <v>30</v>
      </c>
      <c r="FH239" t="str">
        <f t="shared" si="327"/>
        <v/>
      </c>
      <c r="FI239">
        <f t="shared" si="328"/>
        <v>10</v>
      </c>
      <c r="FJ239" t="str">
        <f t="shared" si="329"/>
        <v/>
      </c>
      <c r="FK239" t="str">
        <f>IF(AND(D239="",EZ239=""),"",_xlfn.TEXTJOIN("; ",TRUE,IF(AND(D239&lt;&gt;"",DD239=""),"нет фазы",""),IF(AND(D239&lt;&gt;"",N(DT239)=0,CN239&lt;&gt;"Нет"),"нет мощности",""),IF(AND(EY239&lt;&gt;"",COUNTIFS(Линии[Щит],A239,Линии[Клемма (итог)],EY239)&gt;1),"дубль клеммы "&amp;EY239,""),IF(AND(FB239&lt;&gt;"",FB239&lt;&gt;"ok"),FB239,""),IF(FC239&lt;&gt;"",FC239,""),IF(AND(ISNUMBER(SEARCH("(5х",DS239)),N(DV239)=1),"5 жил на 1 фазе",""),IF(AND(AT239="R",AD239&lt;&gt;"",OR(N(EH239)=0,N(EH239)&gt;30)),"розетка без дифзащиты до 30 мА",""),IFERROR(IF(AND(ISNUMBER(CD239),CD239&gt;CE239),"потери "&amp;FIXED(CD239,1)&amp;" % &gt; "&amp;CE239&amp;" %",""),""),IFERROR(IF(LEFT(FJ239,4)="мало","Iкз мало — отключение &gt; 0,4 с",""),""),IF(AND(D239&lt;&gt;"",BD239=""),"не на схеме","")))</f>
        <v/>
      </c>
      <c r="FL239">
        <f>IF(AD239="","",_xlfn.LET(_xlpm.t,IFERROR(_xlfn.XLOOKUP(EP239,Каталог!$U$4:$U$500,Каталог!$G$4:$G$500),""),_xlpm.k,SEARCH("кА",_xlpm.t),IFERROR(--TRIM(RIGHT(SUBSTITUTE(MID(_xlpm.t,MAX(1,_xlpm.k-4),_xlpm.k-MAX(1,_xlpm.k-4))," ",REPT(" ",9)),5)),"")))</f>
        <v>6</v>
      </c>
      <c r="FM239" t="str">
        <f>IF(OR(FL239="",AD239=""),"",IF(_xlfn.XLOOKUP(A239,Щиты[Щит],Щиты[Iкз max на шинах, кА],"")="","",IF(FL239&lt;_xlfn.XLOOKUP(A239,Щиты[Щит],Щиты[Iкз max на шинах, кА]),"Icu "&amp;FL239&amp;" кА &lt; Iкз max","ok")))</f>
        <v/>
      </c>
      <c r="FN239" t="str">
        <f t="shared" si="330"/>
        <v>QFD15</v>
      </c>
      <c r="FO239" t="str">
        <f t="shared" si="331"/>
        <v>QFD15|кабель ВВГнг(А)-LS (3х2,5) → Розеточная группа Первый этаж Пом. №003A</v>
      </c>
      <c r="FP239" t="str" cm="1">
        <f t="array" ref="FP239">IF(FO239="","",_xlfn.LET(_xlpm.nd,_xlfn.TEXTSPLIT(FO239,"|"),IF(COLUMNS(_xlpm.nd)&gt;1,A239&amp;"¦"&amp;INDEX(_xlpm.nd,1)&amp;"¦"&amp;INDEX(_xlpm.nd,2),"")))</f>
        <v>ЩР-1¦QFD15¦кабель ВВГнг(А)-LS (3х2,5) → Розеточная группа Первый этаж Пом. №003A</v>
      </c>
      <c r="FQ239" t="str">
        <f t="shared" si="332"/>
        <v>R.1.003A.1¦Розеточная группа Первый этаж Пом. №003A</v>
      </c>
      <c r="FR239" t="str" cm="1">
        <f t="array" ref="FR239">IF(FO239="","",_xlfn.LET(_xlpm.nd,_xlfn.TEXTSPLIT(FO239,"|"),IF(COLUMNS(_xlpm.nd)&gt;2,A239&amp;"¦"&amp;INDEX(_xlpm.nd,2)&amp;"¦"&amp;INDEX(_xlpm.nd,3),"")))</f>
        <v/>
      </c>
      <c r="FS239" t="str">
        <f t="shared" si="333"/>
        <v/>
      </c>
      <c r="FT239" t="str" cm="1">
        <f t="array" ref="FT239">IF(FO239="","",_xlfn.LET(_xlpm.nd,_xlfn.TEXTSPLIT(FO239,"|"),IF(COLUMNS(_xlpm.nd)&gt;3,A239&amp;"¦"&amp;INDEX(_xlpm.nd,3)&amp;"¦"&amp;INDEX(_xlpm.nd,4),"")))</f>
        <v/>
      </c>
      <c r="FU239" t="str">
        <f t="shared" si="334"/>
        <v/>
      </c>
      <c r="FV239" t="str" cm="1">
        <f t="array" ref="FV239">IF(FO239="","",_xlfn.LET(_xlpm.nd,_xlfn.TEXTSPLIT(FO239,"|"),IF(COLUMNS(_xlpm.nd)&gt;4,A239&amp;"¦"&amp;INDEX(_xlpm.nd,4)&amp;"¦"&amp;INDEX(_xlpm.nd,5),"")))</f>
        <v/>
      </c>
      <c r="FW239" t="str">
        <f t="shared" si="335"/>
        <v/>
      </c>
      <c r="FX239" t="str" cm="1">
        <f t="array" ref="FX239">IF(FO239="","",_xlfn.LET(_xlpm.nd,_xlfn.TEXTSPLIT(FO239,"|"),IF(COLUMNS(_xlpm.nd)&gt;5,A239&amp;"¦"&amp;INDEX(_xlpm.nd,5)&amp;"¦"&amp;INDEX(_xlpm.nd,6),"")))</f>
        <v/>
      </c>
      <c r="FY239" t="str">
        <f t="shared" si="336"/>
        <v/>
      </c>
      <c r="FZ239" t="str" cm="1">
        <f t="array" ref="FZ239">IF(FO239="","",_xlfn.LET(_xlpm.nd,_xlfn.TEXTSPLIT(FO239,"|"),IF(COLUMNS(_xlpm.nd)&gt;6,A239&amp;"¦"&amp;INDEX(_xlpm.nd,6)&amp;"¦"&amp;INDEX(_xlpm.nd,7),"")))</f>
        <v/>
      </c>
      <c r="GA239" t="str">
        <f t="shared" si="337"/>
        <v/>
      </c>
      <c r="GB239" t="str">
        <f t="shared" si="338"/>
        <v/>
      </c>
      <c r="GC239" t="str">
        <f t="shared" si="339"/>
        <v>QFD15</v>
      </c>
      <c r="GD239">
        <f t="shared" si="340"/>
        <v>1</v>
      </c>
      <c r="GE239">
        <f t="shared" si="341"/>
        <v>0</v>
      </c>
      <c r="GF239">
        <f t="shared" si="342"/>
        <v>1</v>
      </c>
      <c r="GG239" t="str">
        <f t="shared" si="343"/>
        <v/>
      </c>
      <c r="GH239" t="str">
        <f t="shared" si="344"/>
        <v/>
      </c>
      <c r="GI239" t="str">
        <f t="shared" si="345"/>
        <v/>
      </c>
      <c r="GJ239" t="str">
        <f t="shared" si="346"/>
        <v/>
      </c>
      <c r="GK239" t="str">
        <f>IF(D239="","",IFERROR(VLOOKUP(D239,УГО_спр,2,FALSE),IFERROR(VLOOKUP(AT239,УГО_спр,2,FALSE),IFERROR(VLOOKUP(LEFT(AT239,2),УГО_спр,2,FALSE),""))))</f>
        <v>Розетка</v>
      </c>
      <c r="GL239" t="str">
        <f>IF(D239="","",IF(OR(GK239="",GK239=0),"BOX",IFERROR(IF(VLOOKUP(GK239,УГО_блоки,3,FALSE)&amp;""&lt;&gt;"",VLOOKUP(GK239,УГО_блоки,3,FALSE),VLOOKUP(GK239,УГО_блоки,2,FALSE)),GK239)))</f>
        <v>SOCKET</v>
      </c>
      <c r="GM239">
        <f t="shared" si="347"/>
        <v>1</v>
      </c>
      <c r="GN239" t="str">
        <f>IF(EP239="","",IF(COUNTIF(EP$3:EP239,EP239)=1,MAX(GN$2:GN238)+1,""))</f>
        <v/>
      </c>
      <c r="GO239" t="str">
        <f>IF(AF239="","",IF(COUNTIF(AF$3:AF239,AF239)+COUNTIF(AG$2:AG238,AF239)+COUNTIF(AH$2:AH238,AF239)=1,MAX(GO$2:GQ238)+1,""))</f>
        <v/>
      </c>
      <c r="GP239" t="str">
        <f>IF(AG239="","",IF(COUNTIF(AF$3:AF239,AG239)+COUNTIF(AG$3:AG239,AG239)+COUNTIF(AH$2:AH238,AG239)=1,MAX(GO$2:GQ238,GO239)+1,""))</f>
        <v/>
      </c>
      <c r="GQ239" t="str">
        <f>IF(AH239="","",IF(COUNTIF(AF$3:AF239,AH239)+COUNTIF(AG$3:AG239,AH239)+COUNTIF(AH$3:AH239,AH239)=1,MAX(GO$2:GQ238,GO239,GP239)+1,""))</f>
        <v/>
      </c>
      <c r="GR239" t="str">
        <f t="shared" si="348"/>
        <v>3х2,5</v>
      </c>
      <c r="GS239" t="str">
        <f>IF(GR239="","",IF(COUNTIF(GR$3:GR239,GR239)=1,MAX(GS$2:GS238)+1,""))</f>
        <v/>
      </c>
      <c r="GT239" t="str">
        <f>IF(ES239="","",COUNTIF(ES$3:ES239,"?*"))</f>
        <v/>
      </c>
      <c r="GU239" t="str">
        <f>IF(OR(ES239="",EU239=""),"",IF(COUNTIFS(ES$3:ES239,"?*",EU$3:EU239,EU239)=1,MAX(GU$2:GU238)+1,""))</f>
        <v/>
      </c>
      <c r="GV239">
        <f t="shared" si="349"/>
        <v>0</v>
      </c>
      <c r="GW239">
        <f>IF(D239="","",COUNTIF(D$3:D239,"?*"))</f>
        <v>237</v>
      </c>
      <c r="GX239">
        <f>IF(EX239&lt;&gt;1,0,_xlfn.LET(_xlpm.k,MAX(IFERROR(--VLOOKUP(D239,УГО_спр,5,FALSE),0),IFERROR(--VLOOKUP(AT239,УГО_спр,5,FALSE),0),IFERROR(--VLOOKUP(LEFT(AT239,2),УГО_спр,5,FALSE),0)),IF(_xlpm.k&gt;0,_xlpm.k,IF(IFERROR(--LEFT(SUBSTITUTE(GR239,"x","х"),FIND("х",SUBSTITUTE(GR239,"x","х"))-1),3)&gt;3,Каталог!$S$9,1))))</f>
        <v>1</v>
      </c>
      <c r="GY239">
        <f t="shared" si="350"/>
        <v>0</v>
      </c>
    </row>
    <row r="240" spans="1:207" x14ac:dyDescent="0.3">
      <c r="A240" t="s">
        <v>762</v>
      </c>
      <c r="B240">
        <v>26</v>
      </c>
      <c r="C240" t="str">
        <f>IF(BD240="","",IF(BE240="вводной узел","узел ","")&amp;"л."&amp;(INT((BD240-1)/Столбцов_на_лист)+1)&amp;" / "&amp;(MOD(BD240-1,Столбцов_на_лист)+1))</f>
        <v>л.2 / 9</v>
      </c>
      <c r="D240" t="s">
        <v>1562</v>
      </c>
      <c r="E240" s="133" t="str">
        <f t="shared" si="351"/>
        <v>Розеточная группа Первый этаж Пом. №003A</v>
      </c>
      <c r="G240">
        <v>0.3</v>
      </c>
      <c r="H240">
        <v>3</v>
      </c>
      <c r="I240">
        <v>1</v>
      </c>
      <c r="J240">
        <v>230</v>
      </c>
      <c r="K240" t="s">
        <v>566</v>
      </c>
      <c r="O240">
        <v>1</v>
      </c>
      <c r="P240">
        <v>60</v>
      </c>
      <c r="Q240">
        <v>28</v>
      </c>
      <c r="R240">
        <v>42</v>
      </c>
      <c r="S240">
        <v>5</v>
      </c>
      <c r="U240" t="s">
        <v>11</v>
      </c>
      <c r="V240">
        <v>3</v>
      </c>
      <c r="W240">
        <v>2.5</v>
      </c>
      <c r="Z240" t="s">
        <v>565</v>
      </c>
      <c r="AA240" t="s">
        <v>818</v>
      </c>
      <c r="AD240" t="s">
        <v>517</v>
      </c>
      <c r="AK240" t="s">
        <v>488</v>
      </c>
      <c r="AR240" t="str">
        <f t="shared" si="264"/>
        <v/>
      </c>
      <c r="AS240" cm="1">
        <f t="array" ref="AS240">ROW()-ROW(Линии[#Headers])</f>
        <v>238</v>
      </c>
      <c r="AT240" t="str">
        <f t="shared" si="265"/>
        <v>R</v>
      </c>
      <c r="AU240" t="str">
        <f t="shared" si="266"/>
        <v>1.003A.2</v>
      </c>
      <c r="AV240" t="str">
        <f t="shared" si="267"/>
        <v>1</v>
      </c>
      <c r="AW240" t="str">
        <f t="shared" si="268"/>
        <v>003A.2</v>
      </c>
      <c r="AX240" t="str">
        <f t="shared" si="269"/>
        <v>003A</v>
      </c>
      <c r="AY240" t="str">
        <f>IF(D240="","",IF(ISERROR(SEARCH(".",D240)),IFERROR(VLOOKUP(D240,Потребители_обозначение,2,FALSE)&amp;"",""),IFERROR(IF(VLOOKUP(AT240,Потребители_обозначение,4,FALSE)=1,VLOOKUP(AT240,Потребители_обозначение,2,FALSE)&amp;" "&amp;VLOOKUP(AV240,Этаж_обозначение,2,FALSE)&amp;" Пом. №"&amp;AX240,VLOOKUP(AT240,Потребители_обозначение,2,FALSE)&amp;" Шлейф №"&amp;AV240),IFERROR(VLOOKUP(D240,Потребители_обозначение,2,FALSE),""))))</f>
        <v>Розеточная группа Первый этаж Пом. №003A</v>
      </c>
      <c r="AZ240" t="str">
        <f t="shared" si="270"/>
        <v>Розеточная группа Первый этаж Пом. №003A</v>
      </c>
      <c r="BA240" t="str">
        <f>IF(F240&lt;&gt;"",F240,IF(AND(D240&lt;&gt;"",D240&lt;&gt;A240,ISNUMBER(_xlfn.XMATCH(D240,Щиты[Щит]))),D240,""))</f>
        <v/>
      </c>
      <c r="BB240">
        <f>IFERROR(_xlfn.XMATCH(A240,Щиты[Щит]),0)</f>
        <v>10</v>
      </c>
      <c r="BC240">
        <f>IFERROR(N(_xlfn.XLOOKUP(A240,Щиты[Щит],Щиты[Мест под вводной узел])),15)</f>
        <v>8</v>
      </c>
      <c r="BD240">
        <f t="shared" si="271"/>
        <v>26</v>
      </c>
      <c r="BE240" t="str">
        <f t="shared" si="272"/>
        <v>линии</v>
      </c>
      <c r="BF240">
        <f>IF(D240="","",IF(BA240&lt;&gt;"",IFERROR(_xlfn.XLOOKUP(BA240,Щиты[Щит],Щиты[Руст, кВт]),0),N(G240)))</f>
        <v>0.3</v>
      </c>
      <c r="BG240">
        <f>IF(J240&lt;&gt;"",J240,IF(D240="","",IFERROR(IF(VLOOKUP(AT240,Потребители_обозначение,8,FALSE)=0,"",VLOOKUP(AT240,Потребители_обозначение,8,FALSE)),"")))</f>
        <v>230</v>
      </c>
      <c r="BH240">
        <f>IF(I240&lt;&gt;"",I240,IF(D240="","",IFERROR(IF(VLOOKUP(AT240,Потребители_обозначение,9,FALSE)=0,"",VLOOKUP(AT240,Потребители_обозначение,9,FALSE)),"")))</f>
        <v>1</v>
      </c>
      <c r="BI240" t="str">
        <f>IF(U240&lt;&gt;"",U240,IF(D240="","",IFERROR(IF(VLOOKUP(AT240,Потребители_обозначение,6,FALSE)=0,"",VLOOKUP(AT240,Потребители_обозначение,6,FALSE)),"")))</f>
        <v>мс</v>
      </c>
      <c r="BJ240">
        <f>IF(V240&lt;&gt;"",V240,IF(D240="","",IFERROR(IF(VLOOKUP(AT240,Потребители_обозначение,7,FALSE)=0,"",VLOOKUP(AT240,Потребители_обозначение,7,FALSE)),"")))</f>
        <v>3</v>
      </c>
      <c r="BK240">
        <f>IF(W240&lt;&gt;"",W240,IF(D240="","",IFERROR(IF(VLOOKUP(AT240,Потребители_обозначение,10,FALSE)=0,"",VLOOKUP(AT240,Потребители_обозначение,10,FALSE)),"")))</f>
        <v>2.5</v>
      </c>
      <c r="BL240">
        <f>IFERROR(VLOOKUP(AT240,Потребители_обозначение,5,FALSE),0)</f>
        <v>1</v>
      </c>
      <c r="BM240" cm="1">
        <f t="array" ref="BM240">IF(D240="","",IF(BA240&lt;&gt;"",IFERROR(_xlfn.XLOOKUP(BA240,Щиты[Щит],Щиты[cos φ]),0.95),IF(ISNUMBER(M240),M240,IFERROR(IF(BL240=2,_xlfn.IFS(BH240=3,VLOOKUP(BF240,Справочная_двигатели,8,FALSE),BH240=1,VLOOKUP(BF240,Справочная_двигатели,10,TRUE)),IF(AND(Методика="нормы 2026",CN240="Сил"),0.8,0.95)),0.95))))</f>
        <v>0.95</v>
      </c>
      <c r="BN240" cm="1">
        <f t="array" ref="BN240">IF(D240="","",IF(BA240&lt;&gt;"",IFERROR(_xlfn.XLOOKUP(BA240,Щиты[Щит],Щиты[Iр, А]),""),IFERROR(_xlfn.IFS(BH240=1,BF240/((Uн_лин/SQRT(3))*BM240),BH240=3,BF240/(SQRT(3)*Uн_лин*BM240)),"")))</f>
        <v>1.3674085322912188</v>
      </c>
      <c r="BO240">
        <f>IF(D240="","",IF(N(X240)=0,IFERROR(VLOOKUP(BN240,Автомат_номиналы,2,TRUE),""),X240))</f>
        <v>6</v>
      </c>
      <c r="BP240">
        <f t="shared" si="273"/>
        <v>1</v>
      </c>
      <c r="BQ240">
        <f>IF(ISNUMBER(Y240),Y240,К_прокл)</f>
        <v>1</v>
      </c>
      <c r="BR240">
        <f t="shared" si="274"/>
        <v>2</v>
      </c>
      <c r="BS240" cm="1">
        <f t="array" ref="BS240">IF(D240="","",IF(N(BK240)&lt;&gt;0,BK240,IFERROR(_xlfn.LET(_xlpm.need,BO240/(BP240*BQ240),_xlpm.t,CHOOSE(BR240,Iдоп_1ж,Iдоп_2ж,Iдоп_3ж),_xlpm.k,_xlfn.XMATCH(_xlpm.need,_xlpm.t,1),IF(ISNA(_xlpm.k),"Не исп",INDEX(Iдоп_S,_xlpm.k))),"Не исп")))</f>
        <v>2.5</v>
      </c>
      <c r="BT240">
        <f>IFERROR(VLOOKUP(BS240,Кабель_сопротивление,3,FALSE),"")</f>
        <v>2.2499999999999999E-2</v>
      </c>
      <c r="BU240">
        <f>IFERROR(VLOOKUP(BS240,Кабель_сопротивление,2,FALSE),"")</f>
        <v>0.1</v>
      </c>
      <c r="BV240">
        <f t="shared" si="275"/>
        <v>60</v>
      </c>
      <c r="BW240">
        <f>IF(D240="","",IFERROR(IF(VLOOKUP(AT240,Потребители_обозначение,4,FALSE)=1,VLOOKUP(AT240,Потребители_обозначение,3,FALSE)*(H240*2-1)+BV240+VLOOKUP(AV240,Этаж_обозначение,3,FALSE)+VLOOKUP(AV240,Этаж_обозначение,4,FALSE),VLOOKUP(AT240,Потребители_обозначение,3,FALSE)*(H240*2-1)+BV240),BV240))</f>
        <v>75</v>
      </c>
      <c r="BX240">
        <f t="shared" si="276"/>
        <v>42</v>
      </c>
      <c r="BY240">
        <f t="shared" si="277"/>
        <v>5</v>
      </c>
      <c r="BZ240">
        <f t="shared" si="278"/>
        <v>2</v>
      </c>
      <c r="CA240">
        <f t="shared" si="279"/>
        <v>0.31</v>
      </c>
      <c r="CB240">
        <f t="shared" si="280"/>
        <v>1.7600598923386424</v>
      </c>
      <c r="CC240">
        <f>IFERROR(ROUNDUP(CB240/((Uн_лин/SQRT(3))*1000)*100,2),"")</f>
        <v>0.77</v>
      </c>
      <c r="CD240">
        <f>IF(ISNUMBER(CC240),CC240+IFERROR(_xlfn.XLOOKUP(A240,Щиты[Щит],Щиты[ΔU до шин, %]),0),"")</f>
        <v>2.02</v>
      </c>
      <c r="CE240">
        <f>IF(D240="","",IF(IFERROR(VLOOKUP(AT240,УГО_спр,2,FALSE),"")="Светильник",3,4)+IF(Методика="нормы 2026",MIN(0.5,MAX(0,N(BW240)-100)*0.005),0))</f>
        <v>4</v>
      </c>
      <c r="CF240" t="str">
        <f>IFERROR(VLOOKUP(BI240,Кабель_обозначение,2,FALSE),"")</f>
        <v>ВВГнг(А)-LS</v>
      </c>
      <c r="CG240" t="str">
        <f>IFERROR(IF(VLOOKUP(BI240,Кабель_обозначение,3,FALSE)=1,CF240&amp;" ("&amp;BJ240&amp;"х"&amp;BS240&amp;")",CF240),"")</f>
        <v>ВВГнг(А)-LS (3х2,5)</v>
      </c>
      <c r="CH240" t="str">
        <f t="shared" si="281"/>
        <v>ВВГнг(А)-LS (3х2,5)
L=75-0,77%</v>
      </c>
      <c r="CI240">
        <f>IFERROR(2*ρкз_Cu*BW240/BS240,"")</f>
        <v>1.5780000000000001</v>
      </c>
      <c r="CJ240">
        <f t="shared" si="282"/>
        <v>0.52500000000000013</v>
      </c>
      <c r="CK240" t="str">
        <f>IFERROR(IF(OR(D240="",NOT(ISNUMBER(BS240)),N(BW240)=0),"",_xlfn.XLOOKUP(A240,Щиты[Щит],Щиты[Zпетли на шинах, Ом])+CI240),"")</f>
        <v/>
      </c>
      <c r="CL240" t="str">
        <f>IF(ISNUMBER(CK240),c_min*(Uн_лин*1000/SQRT(3))/CK240,"")</f>
        <v/>
      </c>
      <c r="CM240" t="str">
        <f>IFERROR(IF(OR(D240="",NOT(ISNUMBER(BS240))),"",1.05*(Uн_лин*1000/SQRT(3))/(_xlfn.XLOOKUP(A240,Щиты[Щит],Щиты[Zmax на шинах, Ом])+CJ240)/1000),"")</f>
        <v/>
      </c>
      <c r="CN240" t="str">
        <f>IF(D240="","",IF(BA240&lt;&gt;"","Щит",IF(K240&lt;&gt;"",K240,IF(ISNUMBER(L240),"Сил",IF(IFERROR(_xlfn.XLOOKUP(AT240,Коды_код,Коды_группа)&amp;"","")="","Быт",_xlfn.XLOOKUP(AT240,Коды_код,Коды_группа)&amp;"")))))</f>
        <v>Быт</v>
      </c>
      <c r="CO240">
        <f>IF(CN240="Щит","щит",IF(CN240="","",IF(CN240="Быт",IFERROR(_xlfn.XLOOKUP(A240,Щиты[Щит],Щиты[Кс быт]),1),IF(CN240="Сил",IF(ISNUMBER(L240),L240,IF(Методика="нормы 2026",IFERROR(_xlfn.XLOOKUP(A240,Щиты[Щит],Щиты[Кс силовых (табл. 7.5)]),1),1)),IF(OR(CN240="Пост",CN240="Отоп"),1,IF(CN240="ВНГ",0.7,0))))))</f>
        <v>0.57830000000000004</v>
      </c>
      <c r="CP240">
        <f t="shared" si="283"/>
        <v>1</v>
      </c>
      <c r="CQ240">
        <f t="shared" si="284"/>
        <v>0.3</v>
      </c>
      <c r="CR240">
        <f t="shared" si="285"/>
        <v>0.3</v>
      </c>
      <c r="CS240">
        <f t="shared" si="286"/>
        <v>0</v>
      </c>
      <c r="CT240">
        <f t="shared" si="287"/>
        <v>0</v>
      </c>
      <c r="CU240">
        <f t="shared" si="288"/>
        <v>0</v>
      </c>
      <c r="CV240">
        <f t="shared" si="289"/>
        <v>0</v>
      </c>
      <c r="CW240">
        <f t="shared" si="290"/>
        <v>0.3</v>
      </c>
      <c r="CX240">
        <f t="shared" si="291"/>
        <v>0.28499999999999998</v>
      </c>
      <c r="CY240">
        <f t="shared" si="292"/>
        <v>1</v>
      </c>
      <c r="CZ240" t="str">
        <f t="shared" si="293"/>
        <v>L1</v>
      </c>
      <c r="DA240" cm="1">
        <f t="array" ref="DA240">IFERROR(IF(BL240=2,_xlfn.IFS(BH240=3,VLOOKUP(BF240,Справочная_двигатели,3,FALSE),BH240=1,VLOOKUP(BF240,Справочная_двигатели,5,TRUE)),0),0)</f>
        <v>0</v>
      </c>
      <c r="DB240">
        <f>IFERROR(IF(BL240=3,VLOOKUP(BF240,Справочная_ЛЭД,2,TRUE),0),0)</f>
        <v>0</v>
      </c>
      <c r="DC240">
        <f t="shared" si="294"/>
        <v>0</v>
      </c>
      <c r="DD240" t="str">
        <f t="shared" si="295"/>
        <v>L1</v>
      </c>
      <c r="DE240" t="str" cm="1">
        <f t="array" ref="DE240">IF(D240="","",IFERROR(INDEX({"I особая","I","II","III"},MATCH(TRIM(AA240&amp;""),{"I особая","I","II","III"},0)),"III"))</f>
        <v>II</v>
      </c>
      <c r="DF240" t="str">
        <f>IF(D240="","",IF(TRIM(AB240&amp;"")&lt;&gt;"",IF(LOWER(TRIM(AB240&amp;""))="да","да","нет"),IF(IFERROR(_xlfn.XLOOKUP(AT240,Коды_код,Коды_пожарная),"")="да","да","нет")))</f>
        <v>нет</v>
      </c>
      <c r="DG240" t="str">
        <f t="shared" si="296"/>
        <v/>
      </c>
      <c r="DH240" t="str">
        <f t="shared" si="297"/>
        <v>основная</v>
      </c>
      <c r="DI240">
        <f t="shared" si="298"/>
        <v>1</v>
      </c>
      <c r="DJ240" t="str" cm="1">
        <f t="array" ref="DJ240">IF(D240="","",_xlfn.LET(_xlpm.t,IFERROR(_xlfn.XLOOKUP(1,(Шины[Шина]=DH240)*(((Шины[Щит]=A240)+(Шины[Щит]=""))&gt;0),Шины[Тип]),"")&amp;"",IF(_xlpm.t&lt;&gt;"",_xlpm.t,IF(ISNUMBER(SEARCH("ИБП",DH240)),"ИБП",IF(ISNUMBER(SEARCH("ДГУ",DH240)),"ДГУ","Ввод "&amp;DI240)))))</f>
        <v>Ввод 1</v>
      </c>
      <c r="DK240" t="str">
        <f t="shared" si="299"/>
        <v>Ввод 1</v>
      </c>
      <c r="DL240" t="str">
        <f>IF(D240="","",IF(OR(DJ240="ИБП",DJ240="ДГУ"),"I особая",IF(DJ240="Одиночная","III",_xlfn.XLOOKUP(A240,Щиты[Щит],Щиты[Категория шины «Ввод»],"III"))))</f>
        <v>II</v>
      </c>
      <c r="DM240">
        <f>IF(D240="",0,IFERROR(MATCH(DE240,{"III","II","I","I особая"},0),1))</f>
        <v>2</v>
      </c>
      <c r="DN240">
        <f t="shared" si="300"/>
        <v>2</v>
      </c>
      <c r="DO240" t="str">
        <f>IF(D240="","",IF(DM240&gt;IFERROR(MATCH(DL240,{"III","II","I","I особая"},0),1),"НЕ ОБЕСПЕЧЕНА","ОК"))</f>
        <v>ОК</v>
      </c>
      <c r="DP240" t="str">
        <f>IF(A240="","",_xlfn.XLOOKUP(A240,Щиты[Щит],Щиты[Путь],""))</f>
        <v>|ГРЩ-ЖД|ЩР-1|</v>
      </c>
      <c r="DQ240" t="str">
        <f>IF(D240="","",IF(Z240&lt;&gt;"",Z240,IF(IFERROR(_xlfn.XLOOKUP(AT240,Коды_код,Коды_вид)&amp;"","")="","Прочее",_xlfn.XLOOKUP(AT240,Коды_код,Коды_вид)&amp;"")))</f>
        <v>Розеточная сеть и бытовые приборы</v>
      </c>
      <c r="DR240">
        <f>IF(BD240="","",INT((BD240-1)/Столбцов_на_лист)+1)</f>
        <v>2</v>
      </c>
      <c r="DS240" t="str">
        <f t="shared" si="301"/>
        <v>ВВГнг(А)-LS (3х2,5) L=75-0,77%</v>
      </c>
      <c r="DT240">
        <f t="shared" si="302"/>
        <v>0.3</v>
      </c>
      <c r="DU240">
        <f t="shared" si="303"/>
        <v>1.37</v>
      </c>
      <c r="DV240">
        <f t="shared" si="304"/>
        <v>1</v>
      </c>
      <c r="DW240">
        <f>IF(AT240="",0,_xlfn.LET(_xlpm.v,IFERROR(VLOOKUP(D240,УГО_спр,3,FALSE),IFERROR(VLOOKUP(AT240,УГО_спр,3,FALSE),IFERROR(VLOOKUP(LEFT(AT240,2),УГО_спр,3,FALSE),""))),IF(_xlpm.v="да",30,IF(ISNUMBER(_xlpm.v),_xlpm.v,0))))</f>
        <v>30</v>
      </c>
      <c r="DX240">
        <f t="shared" si="305"/>
        <v>0</v>
      </c>
      <c r="DY240">
        <f>IF(BD240="","",IF(AD240&lt;&gt;"",COUNTIFS(A$3:A240,A240,AD$3:AD240,"?*"),IF(OR(OR(AS240=1,A240&lt;&gt;A239),AL240="вручную"),"",IF(AS240=1,"",DZ239))))</f>
        <v>16</v>
      </c>
      <c r="DZ240">
        <f t="shared" si="306"/>
        <v>16</v>
      </c>
      <c r="EA240">
        <f>IF(D240="",0,MAX(IFERROR(--X240,0),IFERROR(--VLOOKUP(D240,УГО_спр,4,FALSE),IFERROR(--VLOOKUP(AT240,УГО_спр,4,FALSE),IFERROR(--VLOOKUP(LEFT(AT240,2),УГО_спр,4,FALSE),0)))))</f>
        <v>16</v>
      </c>
      <c r="EB240">
        <f>IF(D240="","",IFERROR(LOOKUP(INDEX(CHOOSE(BR240,Iдоп_1ж,Iдоп_2ж,Iдоп_3ж),MATCH(BS240,Iдоп_S,0))*BP240*BQ240,{6,10,16,20,25,32,40,50,63,80,100,125,160,200,250,315,400,500,630}),""))</f>
        <v>25</v>
      </c>
      <c r="EC240">
        <f>IF(AD240="","",SUMIFS(Линии[_Ток схемы],Линии[_гр.],DY240,Линии[Щит],A240,Линии[_в кабель выше],0))</f>
        <v>1.37</v>
      </c>
      <c r="ED240">
        <f>IF(AD240="","",IFERROR(VLOOKUP(EC240,Автомат_номиналы,2,TRUE),""))</f>
        <v>6</v>
      </c>
      <c r="EE240">
        <f>IF(AD240="","",MAX(N(ED240),_xlfn.MAXIFS(Линии[_мин. по типу],Линии[_гр.],DY240,Линии[Щит],A240)))</f>
        <v>16</v>
      </c>
      <c r="EF240">
        <f>IF(AD240="","",_xlfn.MINIFS(Линии[_макс. автомат по кабелю],Линии[_гр.],DY240,Линии[Щит],A240))</f>
        <v>25</v>
      </c>
      <c r="EG240">
        <f>IF(AD240="","",MAX(1,_xlfn.MAXIFS(Линии[_фаз],Линии[_гр.],DY240,Линии[Щит],A240)))</f>
        <v>1</v>
      </c>
      <c r="EH240">
        <f>IF(AD240="","",IF(AND(AD240&lt;&gt;"авто",AD240&lt;&gt;"+"),IF(ISNUMBER(SEARCH("мА",AD240)),IFERROR(--TRIM(RIGHT(SUBSTITUTE(LEFT(AD240,SEARCH("мА",AD240)-1)," ",REPT(" ",9)),6)),30),0),IF(AE240="нет",0,IF(ISNUMBER(AE240),AE240,IF(AE240="да",30,_xlfn.MINIFS(Линии[_дифзащита по коду, мА],Линии[_гр.],DY240,Линии[Щит],A240,Линии[_дифзащита по коду, мА],"&gt;0"))))))</f>
        <v>30</v>
      </c>
      <c r="EI240">
        <f t="shared" si="307"/>
        <v>1</v>
      </c>
      <c r="EJ240" t="str">
        <f t="shared" si="308"/>
        <v>QFD16</v>
      </c>
      <c r="EK240" t="str">
        <f t="shared" si="309"/>
        <v>QFD16</v>
      </c>
      <c r="EL240" t="str">
        <f t="shared" si="310"/>
        <v/>
      </c>
      <c r="EM240">
        <f t="shared" si="311"/>
        <v>0</v>
      </c>
      <c r="EN240">
        <f>IF(AD240="","",IF(EM240=1,MAX(EE240,Мин_автомат_БП),EE240))</f>
        <v>16</v>
      </c>
      <c r="EO240" t="str">
        <f t="shared" si="312"/>
        <v>2P</v>
      </c>
      <c r="EP240" t="str">
        <f t="shared" si="313"/>
        <v>2P С16А 30мА</v>
      </c>
      <c r="EQ240">
        <f t="shared" si="314"/>
        <v>16</v>
      </c>
      <c r="ER240" t="str">
        <f>IF(OR(AI240="",AI240="-"),"",IFERROR(VLOOKUP(AI240,Модули_спр,2,FALSE),"R"))</f>
        <v/>
      </c>
      <c r="ES240" t="str">
        <f>IF(ER240="","",ER240&amp;"."&amp;COUNTIFS(A$3:A240,A240,ER$3:ER240,ER240))</f>
        <v/>
      </c>
      <c r="ET240" t="str">
        <f t="shared" si="315"/>
        <v/>
      </c>
      <c r="EU240" t="str">
        <f t="shared" si="316"/>
        <v/>
      </c>
      <c r="EV240" t="str">
        <f t="shared" si="317"/>
        <v/>
      </c>
      <c r="EW240" t="str">
        <f t="shared" si="318"/>
        <v/>
      </c>
      <c r="EX240">
        <f t="shared" si="319"/>
        <v>1</v>
      </c>
      <c r="EY240" t="str">
        <f>IF(AK240="нет","",IF(AK240&lt;&gt;"",AK240,IF(EX240=1,"XT"&amp;COUNTIFS(A$3:A240,A240,EX$3:EX240,1),"")))</f>
        <v/>
      </c>
      <c r="EZ240" t="str">
        <f t="shared" si="320"/>
        <v>QFD16</v>
      </c>
      <c r="FA240" t="str">
        <f t="shared" si="321"/>
        <v/>
      </c>
      <c r="FB240" t="str">
        <f t="shared" si="322"/>
        <v>ok</v>
      </c>
      <c r="FC240" t="str">
        <f>IF(OR(EV240="",ET240=""),"",IF(EV240&gt;IFERROR(VLOOKUP(EU240,Модули_спр,3,FALSE),99),"ЛИШНИЙ КАНАЛ",IF(AND(AJ240&lt;&gt;"=",COUNTIFS(Линии[_модуль гр.],ET240,Линии[Канал (итог)],EV240,Линии[Канал],"&lt;&gt;=",Линии[Щит],A240)&gt;1),"ДУБЛЬ КАНАЛА","")))</f>
        <v/>
      </c>
      <c r="FD240">
        <f t="shared" si="323"/>
        <v>16</v>
      </c>
      <c r="FE240" t="str">
        <f t="shared" si="324"/>
        <v>2P С16А 30мА</v>
      </c>
      <c r="FF240">
        <f t="shared" si="325"/>
        <v>1</v>
      </c>
      <c r="FG240">
        <f t="shared" si="326"/>
        <v>30</v>
      </c>
      <c r="FH240" t="str">
        <f t="shared" si="327"/>
        <v/>
      </c>
      <c r="FI240">
        <f t="shared" si="328"/>
        <v>10</v>
      </c>
      <c r="FJ240" t="str">
        <f t="shared" si="329"/>
        <v/>
      </c>
      <c r="FK240" t="str">
        <f>IF(AND(D240="",EZ240=""),"",_xlfn.TEXTJOIN("; ",TRUE,IF(AND(D240&lt;&gt;"",DD240=""),"нет фазы",""),IF(AND(D240&lt;&gt;"",N(DT240)=0,CN240&lt;&gt;"Нет"),"нет мощности",""),IF(AND(EY240&lt;&gt;"",COUNTIFS(Линии[Щит],A240,Линии[Клемма (итог)],EY240)&gt;1),"дубль клеммы "&amp;EY240,""),IF(AND(FB240&lt;&gt;"",FB240&lt;&gt;"ok"),FB240,""),IF(FC240&lt;&gt;"",FC240,""),IF(AND(ISNUMBER(SEARCH("(5х",DS240)),N(DV240)=1),"5 жил на 1 фазе",""),IF(AND(AT240="R",AD240&lt;&gt;"",OR(N(EH240)=0,N(EH240)&gt;30)),"розетка без дифзащиты до 30 мА",""),IFERROR(IF(AND(ISNUMBER(CD240),CD240&gt;CE240),"потери "&amp;FIXED(CD240,1)&amp;" % &gt; "&amp;CE240&amp;" %",""),""),IFERROR(IF(LEFT(FJ240,4)="мало","Iкз мало — отключение &gt; 0,4 с",""),""),IF(AND(D240&lt;&gt;"",BD240=""),"не на схеме","")))</f>
        <v/>
      </c>
      <c r="FL240">
        <f>IF(AD240="","",_xlfn.LET(_xlpm.t,IFERROR(_xlfn.XLOOKUP(EP240,Каталог!$U$4:$U$500,Каталог!$G$4:$G$500),""),_xlpm.k,SEARCH("кА",_xlpm.t),IFERROR(--TRIM(RIGHT(SUBSTITUTE(MID(_xlpm.t,MAX(1,_xlpm.k-4),_xlpm.k-MAX(1,_xlpm.k-4))," ",REPT(" ",9)),5)),"")))</f>
        <v>6</v>
      </c>
      <c r="FM240" t="str">
        <f>IF(OR(FL240="",AD240=""),"",IF(_xlfn.XLOOKUP(A240,Щиты[Щит],Щиты[Iкз max на шинах, кА],"")="","",IF(FL240&lt;_xlfn.XLOOKUP(A240,Щиты[Щит],Щиты[Iкз max на шинах, кА]),"Icu "&amp;FL240&amp;" кА &lt; Iкз max","ok")))</f>
        <v/>
      </c>
      <c r="FN240" t="str">
        <f t="shared" si="330"/>
        <v>QFD16</v>
      </c>
      <c r="FO240" t="str">
        <f t="shared" si="331"/>
        <v>QFD16|кабель ВВГнг(А)-LS (3х2,5) → Розеточная группа Первый этаж Пом. №003A</v>
      </c>
      <c r="FP240" t="str" cm="1">
        <f t="array" ref="FP240">IF(FO240="","",_xlfn.LET(_xlpm.nd,_xlfn.TEXTSPLIT(FO240,"|"),IF(COLUMNS(_xlpm.nd)&gt;1,A240&amp;"¦"&amp;INDEX(_xlpm.nd,1)&amp;"¦"&amp;INDEX(_xlpm.nd,2),"")))</f>
        <v>ЩР-1¦QFD16¦кабель ВВГнг(А)-LS (3х2,5) → Розеточная группа Первый этаж Пом. №003A</v>
      </c>
      <c r="FQ240" t="str">
        <f t="shared" si="332"/>
        <v>R.1.003A.2¦Розеточная группа Первый этаж Пом. №003A</v>
      </c>
      <c r="FR240" t="str" cm="1">
        <f t="array" ref="FR240">IF(FO240="","",_xlfn.LET(_xlpm.nd,_xlfn.TEXTSPLIT(FO240,"|"),IF(COLUMNS(_xlpm.nd)&gt;2,A240&amp;"¦"&amp;INDEX(_xlpm.nd,2)&amp;"¦"&amp;INDEX(_xlpm.nd,3),"")))</f>
        <v/>
      </c>
      <c r="FS240" t="str">
        <f t="shared" si="333"/>
        <v/>
      </c>
      <c r="FT240" t="str" cm="1">
        <f t="array" ref="FT240">IF(FO240="","",_xlfn.LET(_xlpm.nd,_xlfn.TEXTSPLIT(FO240,"|"),IF(COLUMNS(_xlpm.nd)&gt;3,A240&amp;"¦"&amp;INDEX(_xlpm.nd,3)&amp;"¦"&amp;INDEX(_xlpm.nd,4),"")))</f>
        <v/>
      </c>
      <c r="FU240" t="str">
        <f t="shared" si="334"/>
        <v/>
      </c>
      <c r="FV240" t="str" cm="1">
        <f t="array" ref="FV240">IF(FO240="","",_xlfn.LET(_xlpm.nd,_xlfn.TEXTSPLIT(FO240,"|"),IF(COLUMNS(_xlpm.nd)&gt;4,A240&amp;"¦"&amp;INDEX(_xlpm.nd,4)&amp;"¦"&amp;INDEX(_xlpm.nd,5),"")))</f>
        <v/>
      </c>
      <c r="FW240" t="str">
        <f t="shared" si="335"/>
        <v/>
      </c>
      <c r="FX240" t="str" cm="1">
        <f t="array" ref="FX240">IF(FO240="","",_xlfn.LET(_xlpm.nd,_xlfn.TEXTSPLIT(FO240,"|"),IF(COLUMNS(_xlpm.nd)&gt;5,A240&amp;"¦"&amp;INDEX(_xlpm.nd,5)&amp;"¦"&amp;INDEX(_xlpm.nd,6),"")))</f>
        <v/>
      </c>
      <c r="FY240" t="str">
        <f t="shared" si="336"/>
        <v/>
      </c>
      <c r="FZ240" t="str" cm="1">
        <f t="array" ref="FZ240">IF(FO240="","",_xlfn.LET(_xlpm.nd,_xlfn.TEXTSPLIT(FO240,"|"),IF(COLUMNS(_xlpm.nd)&gt;6,A240&amp;"¦"&amp;INDEX(_xlpm.nd,6)&amp;"¦"&amp;INDEX(_xlpm.nd,7),"")))</f>
        <v/>
      </c>
      <c r="GA240" t="str">
        <f t="shared" si="337"/>
        <v/>
      </c>
      <c r="GB240" t="str">
        <f t="shared" si="338"/>
        <v/>
      </c>
      <c r="GC240" t="str">
        <f t="shared" si="339"/>
        <v>QFD16</v>
      </c>
      <c r="GD240">
        <f t="shared" si="340"/>
        <v>1</v>
      </c>
      <c r="GE240">
        <f t="shared" si="341"/>
        <v>0</v>
      </c>
      <c r="GF240">
        <f t="shared" si="342"/>
        <v>1</v>
      </c>
      <c r="GG240" t="str">
        <f t="shared" si="343"/>
        <v/>
      </c>
      <c r="GH240" t="str">
        <f t="shared" si="344"/>
        <v/>
      </c>
      <c r="GI240" t="str">
        <f t="shared" si="345"/>
        <v/>
      </c>
      <c r="GJ240" t="str">
        <f t="shared" si="346"/>
        <v/>
      </c>
      <c r="GK240" t="str">
        <f>IF(D240="","",IFERROR(VLOOKUP(D240,УГО_спр,2,FALSE),IFERROR(VLOOKUP(AT240,УГО_спр,2,FALSE),IFERROR(VLOOKUP(LEFT(AT240,2),УГО_спр,2,FALSE),""))))</f>
        <v>Розетка</v>
      </c>
      <c r="GL240" t="str">
        <f>IF(D240="","",IF(OR(GK240="",GK240=0),"BOX",IFERROR(IF(VLOOKUP(GK240,УГО_блоки,3,FALSE)&amp;""&lt;&gt;"",VLOOKUP(GK240,УГО_блоки,3,FALSE),VLOOKUP(GK240,УГО_блоки,2,FALSE)),GK240)))</f>
        <v>SOCKET</v>
      </c>
      <c r="GM240">
        <f t="shared" si="347"/>
        <v>1</v>
      </c>
      <c r="GN240" t="str">
        <f>IF(EP240="","",IF(COUNTIF(EP$3:EP240,EP240)=1,MAX(GN$2:GN239)+1,""))</f>
        <v/>
      </c>
      <c r="GO240" t="str">
        <f>IF(AF240="","",IF(COUNTIF(AF$3:AF240,AF240)+COUNTIF(AG$2:AG239,AF240)+COUNTIF(AH$2:AH239,AF240)=1,MAX(GO$2:GQ239)+1,""))</f>
        <v/>
      </c>
      <c r="GP240" t="str">
        <f>IF(AG240="","",IF(COUNTIF(AF$3:AF240,AG240)+COUNTIF(AG$3:AG240,AG240)+COUNTIF(AH$2:AH239,AG240)=1,MAX(GO$2:GQ239,GO240)+1,""))</f>
        <v/>
      </c>
      <c r="GQ240" t="str">
        <f>IF(AH240="","",IF(COUNTIF(AF$3:AF240,AH240)+COUNTIF(AG$3:AG240,AH240)+COUNTIF(AH$3:AH240,AH240)=1,MAX(GO$2:GQ239,GO240,GP240)+1,""))</f>
        <v/>
      </c>
      <c r="GR240" t="str">
        <f t="shared" si="348"/>
        <v>3х2,5</v>
      </c>
      <c r="GS240" t="str">
        <f>IF(GR240="","",IF(COUNTIF(GR$3:GR240,GR240)=1,MAX(GS$2:GS239)+1,""))</f>
        <v/>
      </c>
      <c r="GT240" t="str">
        <f>IF(ES240="","",COUNTIF(ES$3:ES240,"?*"))</f>
        <v/>
      </c>
      <c r="GU240" t="str">
        <f>IF(OR(ES240="",EU240=""),"",IF(COUNTIFS(ES$3:ES240,"?*",EU$3:EU240,EU240)=1,MAX(GU$2:GU239)+1,""))</f>
        <v/>
      </c>
      <c r="GV240">
        <f t="shared" si="349"/>
        <v>0</v>
      </c>
      <c r="GW240">
        <f>IF(D240="","",COUNTIF(D$3:D240,"?*"))</f>
        <v>238</v>
      </c>
      <c r="GX240">
        <f>IF(EX240&lt;&gt;1,0,_xlfn.LET(_xlpm.k,MAX(IFERROR(--VLOOKUP(D240,УГО_спр,5,FALSE),0),IFERROR(--VLOOKUP(AT240,УГО_спр,5,FALSE),0),IFERROR(--VLOOKUP(LEFT(AT240,2),УГО_спр,5,FALSE),0)),IF(_xlpm.k&gt;0,_xlpm.k,IF(IFERROR(--LEFT(SUBSTITUTE(GR240,"x","х"),FIND("х",SUBSTITUTE(GR240,"x","х"))-1),3)&gt;3,Каталог!$S$9,1))))</f>
        <v>1</v>
      </c>
      <c r="GY240">
        <f t="shared" si="350"/>
        <v>0</v>
      </c>
    </row>
    <row r="241" spans="1:207" x14ac:dyDescent="0.3">
      <c r="A241" t="s">
        <v>762</v>
      </c>
      <c r="B241">
        <v>27</v>
      </c>
      <c r="C241" t="str">
        <f>IF(BD241="","",IF(BE241="вводной узел","узел ","")&amp;"л."&amp;(INT((BD241-1)/Столбцов_на_лист)+1)&amp;" / "&amp;(MOD(BD241-1,Столбцов_на_лист)+1))</f>
        <v>л.2 / 10</v>
      </c>
      <c r="D241" t="s">
        <v>1563</v>
      </c>
      <c r="E241" s="133" t="str">
        <f t="shared" si="351"/>
        <v>Розеточная группа Первый этаж Пом. №003A</v>
      </c>
      <c r="G241">
        <v>0.36</v>
      </c>
      <c r="H241">
        <v>9</v>
      </c>
      <c r="I241">
        <v>1</v>
      </c>
      <c r="J241">
        <v>230</v>
      </c>
      <c r="K241" t="s">
        <v>566</v>
      </c>
      <c r="O241">
        <v>2</v>
      </c>
      <c r="P241">
        <v>56</v>
      </c>
      <c r="Q241">
        <v>28</v>
      </c>
      <c r="R241">
        <v>72</v>
      </c>
      <c r="S241">
        <v>7</v>
      </c>
      <c r="U241" t="s">
        <v>11</v>
      </c>
      <c r="V241">
        <v>3</v>
      </c>
      <c r="W241">
        <v>2.5</v>
      </c>
      <c r="Z241" t="s">
        <v>565</v>
      </c>
      <c r="AA241" t="s">
        <v>818</v>
      </c>
      <c r="AD241" t="s">
        <v>517</v>
      </c>
      <c r="AK241" t="s">
        <v>488</v>
      </c>
      <c r="AR241" t="str">
        <f t="shared" si="264"/>
        <v/>
      </c>
      <c r="AS241" cm="1">
        <f t="array" ref="AS241">ROW()-ROW(Линии[#Headers])</f>
        <v>239</v>
      </c>
      <c r="AT241" t="str">
        <f t="shared" si="265"/>
        <v>R</v>
      </c>
      <c r="AU241" t="str">
        <f t="shared" si="266"/>
        <v>1.003A.3</v>
      </c>
      <c r="AV241" t="str">
        <f t="shared" si="267"/>
        <v>1</v>
      </c>
      <c r="AW241" t="str">
        <f t="shared" si="268"/>
        <v>003A.3</v>
      </c>
      <c r="AX241" t="str">
        <f t="shared" si="269"/>
        <v>003A</v>
      </c>
      <c r="AY241" t="str">
        <f>IF(D241="","",IF(ISERROR(SEARCH(".",D241)),IFERROR(VLOOKUP(D241,Потребители_обозначение,2,FALSE)&amp;"",""),IFERROR(IF(VLOOKUP(AT241,Потребители_обозначение,4,FALSE)=1,VLOOKUP(AT241,Потребители_обозначение,2,FALSE)&amp;" "&amp;VLOOKUP(AV241,Этаж_обозначение,2,FALSE)&amp;" Пом. №"&amp;AX241,VLOOKUP(AT241,Потребители_обозначение,2,FALSE)&amp;" Шлейф №"&amp;AV241),IFERROR(VLOOKUP(D241,Потребители_обозначение,2,FALSE),""))))</f>
        <v>Розеточная группа Первый этаж Пом. №003A</v>
      </c>
      <c r="AZ241" t="str">
        <f t="shared" si="270"/>
        <v>Розеточная группа Первый этаж Пом. №003A</v>
      </c>
      <c r="BA241" t="str">
        <f>IF(F241&lt;&gt;"",F241,IF(AND(D241&lt;&gt;"",D241&lt;&gt;A241,ISNUMBER(_xlfn.XMATCH(D241,Щиты[Щит]))),D241,""))</f>
        <v/>
      </c>
      <c r="BB241">
        <f>IFERROR(_xlfn.XMATCH(A241,Щиты[Щит]),0)</f>
        <v>10</v>
      </c>
      <c r="BC241">
        <f>IFERROR(N(_xlfn.XLOOKUP(A241,Щиты[Щит],Щиты[Мест под вводной узел])),15)</f>
        <v>8</v>
      </c>
      <c r="BD241">
        <f t="shared" si="271"/>
        <v>27</v>
      </c>
      <c r="BE241" t="str">
        <f t="shared" si="272"/>
        <v>линии</v>
      </c>
      <c r="BF241">
        <f>IF(D241="","",IF(BA241&lt;&gt;"",IFERROR(_xlfn.XLOOKUP(BA241,Щиты[Щит],Щиты[Руст, кВт]),0),N(G241)))</f>
        <v>0.36</v>
      </c>
      <c r="BG241">
        <f>IF(J241&lt;&gt;"",J241,IF(D241="","",IFERROR(IF(VLOOKUP(AT241,Потребители_обозначение,8,FALSE)=0,"",VLOOKUP(AT241,Потребители_обозначение,8,FALSE)),"")))</f>
        <v>230</v>
      </c>
      <c r="BH241">
        <f>IF(I241&lt;&gt;"",I241,IF(D241="","",IFERROR(IF(VLOOKUP(AT241,Потребители_обозначение,9,FALSE)=0,"",VLOOKUP(AT241,Потребители_обозначение,9,FALSE)),"")))</f>
        <v>1</v>
      </c>
      <c r="BI241" t="str">
        <f>IF(U241&lt;&gt;"",U241,IF(D241="","",IFERROR(IF(VLOOKUP(AT241,Потребители_обозначение,6,FALSE)=0,"",VLOOKUP(AT241,Потребители_обозначение,6,FALSE)),"")))</f>
        <v>мс</v>
      </c>
      <c r="BJ241">
        <f>IF(V241&lt;&gt;"",V241,IF(D241="","",IFERROR(IF(VLOOKUP(AT241,Потребители_обозначение,7,FALSE)=0,"",VLOOKUP(AT241,Потребители_обозначение,7,FALSE)),"")))</f>
        <v>3</v>
      </c>
      <c r="BK241">
        <f>IF(W241&lt;&gt;"",W241,IF(D241="","",IFERROR(IF(VLOOKUP(AT241,Потребители_обозначение,10,FALSE)=0,"",VLOOKUP(AT241,Потребители_обозначение,10,FALSE)),"")))</f>
        <v>2.5</v>
      </c>
      <c r="BL241">
        <f>IFERROR(VLOOKUP(AT241,Потребители_обозначение,5,FALSE),0)</f>
        <v>1</v>
      </c>
      <c r="BM241" cm="1">
        <f t="array" ref="BM241">IF(D241="","",IF(BA241&lt;&gt;"",IFERROR(_xlfn.XLOOKUP(BA241,Щиты[Щит],Щиты[cos φ]),0.95),IF(ISNUMBER(M241),M241,IFERROR(IF(BL241=2,_xlfn.IFS(BH241=3,VLOOKUP(BF241,Справочная_двигатели,8,FALSE),BH241=1,VLOOKUP(BF241,Справочная_двигатели,10,TRUE)),IF(AND(Методика="нормы 2026",CN241="Сил"),0.8,0.95)),0.95))))</f>
        <v>0.95</v>
      </c>
      <c r="BN241" cm="1">
        <f t="array" ref="BN241">IF(D241="","",IF(BA241&lt;&gt;"",IFERROR(_xlfn.XLOOKUP(BA241,Щиты[Щит],Щиты[Iр, А]),""),IFERROR(_xlfn.IFS(BH241=1,BF241/((Uн_лин/SQRT(3))*BM241),BH241=3,BF241/(SQRT(3)*Uн_лин*BM241)),"")))</f>
        <v>1.6408902387494626</v>
      </c>
      <c r="BO241">
        <f>IF(D241="","",IF(N(X241)=0,IFERROR(VLOOKUP(BN241,Автомат_номиналы,2,TRUE),""),X241))</f>
        <v>6</v>
      </c>
      <c r="BP241">
        <f t="shared" si="273"/>
        <v>1</v>
      </c>
      <c r="BQ241">
        <f>IF(ISNUMBER(Y241),Y241,К_прокл)</f>
        <v>1</v>
      </c>
      <c r="BR241">
        <f t="shared" si="274"/>
        <v>2</v>
      </c>
      <c r="BS241" cm="1">
        <f t="array" ref="BS241">IF(D241="","",IF(N(BK241)&lt;&gt;0,BK241,IFERROR(_xlfn.LET(_xlpm.need,BO241/(BP241*BQ241),_xlpm.t,CHOOSE(BR241,Iдоп_1ж,Iдоп_2ж,Iдоп_3ж),_xlpm.k,_xlfn.XMATCH(_xlpm.need,_xlpm.t,1),IF(ISNA(_xlpm.k),"Не исп",INDEX(Iдоп_S,_xlpm.k))),"Не исп")))</f>
        <v>2.5</v>
      </c>
      <c r="BT241">
        <f>IFERROR(VLOOKUP(BS241,Кабель_сопротивление,3,FALSE),"")</f>
        <v>2.2499999999999999E-2</v>
      </c>
      <c r="BU241">
        <f>IFERROR(VLOOKUP(BS241,Кабель_сопротивление,2,FALSE),"")</f>
        <v>0.1</v>
      </c>
      <c r="BV241">
        <f t="shared" si="275"/>
        <v>56</v>
      </c>
      <c r="BW241">
        <f>IF(D241="","",IFERROR(IF(VLOOKUP(AT241,Потребители_обозначение,4,FALSE)=1,VLOOKUP(AT241,Потребители_обозначение,3,FALSE)*(H241*2-1)+BV241+VLOOKUP(AV241,Этаж_обозначение,3,FALSE)+VLOOKUP(AV241,Этаж_обозначение,4,FALSE),VLOOKUP(AT241,Потребители_обозначение,3,FALSE)*(H241*2-1)+BV241),BV241))</f>
        <v>107</v>
      </c>
      <c r="BX241">
        <f t="shared" si="276"/>
        <v>72</v>
      </c>
      <c r="BY241">
        <f t="shared" si="277"/>
        <v>7</v>
      </c>
      <c r="BZ241">
        <f t="shared" si="278"/>
        <v>2</v>
      </c>
      <c r="CA241">
        <f t="shared" si="279"/>
        <v>0.31</v>
      </c>
      <c r="CB241">
        <f t="shared" si="280"/>
        <v>3.013222535683755</v>
      </c>
      <c r="CC241">
        <f>IFERROR(ROUNDUP(CB241/((Uн_лин/SQRT(3))*1000)*100,2),"")</f>
        <v>1.31</v>
      </c>
      <c r="CD241">
        <f>IF(ISNUMBER(CC241),CC241+IFERROR(_xlfn.XLOOKUP(A241,Щиты[Щит],Щиты[ΔU до шин, %]),0),"")</f>
        <v>2.56</v>
      </c>
      <c r="CE241">
        <f>IF(D241="","",IF(IFERROR(VLOOKUP(AT241,УГО_спр,2,FALSE),"")="Светильник",3,4)+IF(Методика="нормы 2026",MIN(0.5,MAX(0,N(BW241)-100)*0.005),0))</f>
        <v>4</v>
      </c>
      <c r="CF241" t="str">
        <f>IFERROR(VLOOKUP(BI241,Кабель_обозначение,2,FALSE),"")</f>
        <v>ВВГнг(А)-LS</v>
      </c>
      <c r="CG241" t="str">
        <f>IFERROR(IF(VLOOKUP(BI241,Кабель_обозначение,3,FALSE)=1,CF241&amp;" ("&amp;BJ241&amp;"х"&amp;BS241&amp;")",CF241),"")</f>
        <v>ВВГнг(А)-LS (3х2,5)</v>
      </c>
      <c r="CH241" t="str">
        <f t="shared" si="281"/>
        <v>ВВГнг(А)-LS (3х2,5)
L=107-1,31%</v>
      </c>
      <c r="CI241">
        <f>IFERROR(2*ρкз_Cu*BW241/BS241,"")</f>
        <v>2.2512800000000004</v>
      </c>
      <c r="CJ241">
        <f t="shared" si="282"/>
        <v>0.74900000000000011</v>
      </c>
      <c r="CK241" t="str">
        <f>IFERROR(IF(OR(D241="",NOT(ISNUMBER(BS241)),N(BW241)=0),"",_xlfn.XLOOKUP(A241,Щиты[Щит],Щиты[Zпетли на шинах, Ом])+CI241),"")</f>
        <v/>
      </c>
      <c r="CL241" t="str">
        <f>IF(ISNUMBER(CK241),c_min*(Uн_лин*1000/SQRT(3))/CK241,"")</f>
        <v/>
      </c>
      <c r="CM241" t="str">
        <f>IFERROR(IF(OR(D241="",NOT(ISNUMBER(BS241))),"",1.05*(Uн_лин*1000/SQRT(3))/(_xlfn.XLOOKUP(A241,Щиты[Щит],Щиты[Zmax на шинах, Ом])+CJ241)/1000),"")</f>
        <v/>
      </c>
      <c r="CN241" t="str">
        <f>IF(D241="","",IF(BA241&lt;&gt;"","Щит",IF(K241&lt;&gt;"",K241,IF(ISNUMBER(L241),"Сил",IF(IFERROR(_xlfn.XLOOKUP(AT241,Коды_код,Коды_группа)&amp;"","")="","Быт",_xlfn.XLOOKUP(AT241,Коды_код,Коды_группа)&amp;"")))))</f>
        <v>Быт</v>
      </c>
      <c r="CO241">
        <f>IF(CN241="Щит","щит",IF(CN241="","",IF(CN241="Быт",IFERROR(_xlfn.XLOOKUP(A241,Щиты[Щит],Щиты[Кс быт]),1),IF(CN241="Сил",IF(ISNUMBER(L241),L241,IF(Методика="нормы 2026",IFERROR(_xlfn.XLOOKUP(A241,Щиты[Щит],Щиты[Кс силовых (табл. 7.5)]),1),1)),IF(OR(CN241="Пост",CN241="Отоп"),1,IF(CN241="ВНГ",0.7,0))))))</f>
        <v>0.57830000000000004</v>
      </c>
      <c r="CP241">
        <f t="shared" si="283"/>
        <v>1</v>
      </c>
      <c r="CQ241">
        <f t="shared" si="284"/>
        <v>0.36</v>
      </c>
      <c r="CR241">
        <f t="shared" si="285"/>
        <v>0.36</v>
      </c>
      <c r="CS241">
        <f t="shared" si="286"/>
        <v>0</v>
      </c>
      <c r="CT241">
        <f t="shared" si="287"/>
        <v>0</v>
      </c>
      <c r="CU241">
        <f t="shared" si="288"/>
        <v>0</v>
      </c>
      <c r="CV241">
        <f t="shared" si="289"/>
        <v>0</v>
      </c>
      <c r="CW241">
        <f t="shared" si="290"/>
        <v>0.36</v>
      </c>
      <c r="CX241">
        <f t="shared" si="291"/>
        <v>0.34199999999999997</v>
      </c>
      <c r="CY241">
        <f t="shared" si="292"/>
        <v>2</v>
      </c>
      <c r="CZ241" t="str">
        <f t="shared" si="293"/>
        <v>L2</v>
      </c>
      <c r="DA241" cm="1">
        <f t="array" ref="DA241">IFERROR(IF(BL241=2,_xlfn.IFS(BH241=3,VLOOKUP(BF241,Справочная_двигатели,3,FALSE),BH241=1,VLOOKUP(BF241,Справочная_двигатели,5,TRUE)),0),0)</f>
        <v>0</v>
      </c>
      <c r="DB241">
        <f>IFERROR(IF(BL241=3,VLOOKUP(BF241,Справочная_ЛЭД,2,TRUE),0),0)</f>
        <v>0</v>
      </c>
      <c r="DC241">
        <f t="shared" si="294"/>
        <v>0</v>
      </c>
      <c r="DD241" t="str">
        <f t="shared" si="295"/>
        <v>L2</v>
      </c>
      <c r="DE241" t="str" cm="1">
        <f t="array" ref="DE241">IF(D241="","",IFERROR(INDEX({"I особая","I","II","III"},MATCH(TRIM(AA241&amp;""),{"I особая","I","II","III"},0)),"III"))</f>
        <v>II</v>
      </c>
      <c r="DF241" t="str">
        <f>IF(D241="","",IF(TRIM(AB241&amp;"")&lt;&gt;"",IF(LOWER(TRIM(AB241&amp;""))="да","да","нет"),IF(IFERROR(_xlfn.XLOOKUP(AT241,Коды_код,Коды_пожарная),"")="да","да","нет")))</f>
        <v>нет</v>
      </c>
      <c r="DG241" t="str">
        <f t="shared" si="296"/>
        <v/>
      </c>
      <c r="DH241" t="str">
        <f t="shared" si="297"/>
        <v>основная</v>
      </c>
      <c r="DI241">
        <f t="shared" si="298"/>
        <v>1</v>
      </c>
      <c r="DJ241" t="str" cm="1">
        <f t="array" ref="DJ241">IF(D241="","",_xlfn.LET(_xlpm.t,IFERROR(_xlfn.XLOOKUP(1,(Шины[Шина]=DH241)*(((Шины[Щит]=A241)+(Шины[Щит]=""))&gt;0),Шины[Тип]),"")&amp;"",IF(_xlpm.t&lt;&gt;"",_xlpm.t,IF(ISNUMBER(SEARCH("ИБП",DH241)),"ИБП",IF(ISNUMBER(SEARCH("ДГУ",DH241)),"ДГУ","Ввод "&amp;DI241)))))</f>
        <v>Ввод 1</v>
      </c>
      <c r="DK241" t="str">
        <f t="shared" si="299"/>
        <v>Ввод 1</v>
      </c>
      <c r="DL241" t="str">
        <f>IF(D241="","",IF(OR(DJ241="ИБП",DJ241="ДГУ"),"I особая",IF(DJ241="Одиночная","III",_xlfn.XLOOKUP(A241,Щиты[Щит],Щиты[Категория шины «Ввод»],"III"))))</f>
        <v>II</v>
      </c>
      <c r="DM241">
        <f>IF(D241="",0,IFERROR(MATCH(DE241,{"III","II","I","I особая"},0),1))</f>
        <v>2</v>
      </c>
      <c r="DN241">
        <f t="shared" si="300"/>
        <v>2</v>
      </c>
      <c r="DO241" t="str">
        <f>IF(D241="","",IF(DM241&gt;IFERROR(MATCH(DL241,{"III","II","I","I особая"},0),1),"НЕ ОБЕСПЕЧЕНА","ОК"))</f>
        <v>ОК</v>
      </c>
      <c r="DP241" t="str">
        <f>IF(A241="","",_xlfn.XLOOKUP(A241,Щиты[Щит],Щиты[Путь],""))</f>
        <v>|ГРЩ-ЖД|ЩР-1|</v>
      </c>
      <c r="DQ241" t="str">
        <f>IF(D241="","",IF(Z241&lt;&gt;"",Z241,IF(IFERROR(_xlfn.XLOOKUP(AT241,Коды_код,Коды_вид)&amp;"","")="","Прочее",_xlfn.XLOOKUP(AT241,Коды_код,Коды_вид)&amp;"")))</f>
        <v>Розеточная сеть и бытовые приборы</v>
      </c>
      <c r="DR241">
        <f>IF(BD241="","",INT((BD241-1)/Столбцов_на_лист)+1)</f>
        <v>2</v>
      </c>
      <c r="DS241" t="str">
        <f t="shared" si="301"/>
        <v>ВВГнг(А)-LS (3х2,5) L=107-1,31%</v>
      </c>
      <c r="DT241">
        <f t="shared" si="302"/>
        <v>0.36</v>
      </c>
      <c r="DU241">
        <f t="shared" si="303"/>
        <v>1.65</v>
      </c>
      <c r="DV241">
        <f t="shared" si="304"/>
        <v>1</v>
      </c>
      <c r="DW241">
        <f>IF(AT241="",0,_xlfn.LET(_xlpm.v,IFERROR(VLOOKUP(D241,УГО_спр,3,FALSE),IFERROR(VLOOKUP(AT241,УГО_спр,3,FALSE),IFERROR(VLOOKUP(LEFT(AT241,2),УГО_спр,3,FALSE),""))),IF(_xlpm.v="да",30,IF(ISNUMBER(_xlpm.v),_xlpm.v,0))))</f>
        <v>30</v>
      </c>
      <c r="DX241">
        <f t="shared" si="305"/>
        <v>0</v>
      </c>
      <c r="DY241">
        <f>IF(BD241="","",IF(AD241&lt;&gt;"",COUNTIFS(A$3:A241,A241,AD$3:AD241,"?*"),IF(OR(OR(AS241=1,A241&lt;&gt;A240),AL241="вручную"),"",IF(AS241=1,"",DZ240))))</f>
        <v>17</v>
      </c>
      <c r="DZ241">
        <f t="shared" si="306"/>
        <v>17</v>
      </c>
      <c r="EA241">
        <f>IF(D241="",0,MAX(IFERROR(--X241,0),IFERROR(--VLOOKUP(D241,УГО_спр,4,FALSE),IFERROR(--VLOOKUP(AT241,УГО_спр,4,FALSE),IFERROR(--VLOOKUP(LEFT(AT241,2),УГО_спр,4,FALSE),0)))))</f>
        <v>16</v>
      </c>
      <c r="EB241">
        <f>IF(D241="","",IFERROR(LOOKUP(INDEX(CHOOSE(BR241,Iдоп_1ж,Iдоп_2ж,Iдоп_3ж),MATCH(BS241,Iдоп_S,0))*BP241*BQ241,{6,10,16,20,25,32,40,50,63,80,100,125,160,200,250,315,400,500,630}),""))</f>
        <v>25</v>
      </c>
      <c r="EC241">
        <f>IF(AD241="","",SUMIFS(Линии[_Ток схемы],Линии[_гр.],DY241,Линии[Щит],A241,Линии[_в кабель выше],0))</f>
        <v>1.65</v>
      </c>
      <c r="ED241">
        <f>IF(AD241="","",IFERROR(VLOOKUP(EC241,Автомат_номиналы,2,TRUE),""))</f>
        <v>6</v>
      </c>
      <c r="EE241">
        <f>IF(AD241="","",MAX(N(ED241),_xlfn.MAXIFS(Линии[_мин. по типу],Линии[_гр.],DY241,Линии[Щит],A241)))</f>
        <v>16</v>
      </c>
      <c r="EF241">
        <f>IF(AD241="","",_xlfn.MINIFS(Линии[_макс. автомат по кабелю],Линии[_гр.],DY241,Линии[Щит],A241))</f>
        <v>25</v>
      </c>
      <c r="EG241">
        <f>IF(AD241="","",MAX(1,_xlfn.MAXIFS(Линии[_фаз],Линии[_гр.],DY241,Линии[Щит],A241)))</f>
        <v>1</v>
      </c>
      <c r="EH241">
        <f>IF(AD241="","",IF(AND(AD241&lt;&gt;"авто",AD241&lt;&gt;"+"),IF(ISNUMBER(SEARCH("мА",AD241)),IFERROR(--TRIM(RIGHT(SUBSTITUTE(LEFT(AD241,SEARCH("мА",AD241)-1)," ",REPT(" ",9)),6)),30),0),IF(AE241="нет",0,IF(ISNUMBER(AE241),AE241,IF(AE241="да",30,_xlfn.MINIFS(Линии[_дифзащита по коду, мА],Линии[_гр.],DY241,Линии[Щит],A241,Линии[_дифзащита по коду, мА],"&gt;0"))))))</f>
        <v>30</v>
      </c>
      <c r="EI241">
        <f t="shared" si="307"/>
        <v>1</v>
      </c>
      <c r="EJ241" t="str">
        <f t="shared" si="308"/>
        <v>QFD17</v>
      </c>
      <c r="EK241" t="str">
        <f t="shared" si="309"/>
        <v>QFD17</v>
      </c>
      <c r="EL241" t="str">
        <f t="shared" si="310"/>
        <v/>
      </c>
      <c r="EM241">
        <f t="shared" si="311"/>
        <v>0</v>
      </c>
      <c r="EN241">
        <f>IF(AD241="","",IF(EM241=1,MAX(EE241,Мин_автомат_БП),EE241))</f>
        <v>16</v>
      </c>
      <c r="EO241" t="str">
        <f t="shared" si="312"/>
        <v>2P</v>
      </c>
      <c r="EP241" t="str">
        <f t="shared" si="313"/>
        <v>2P С16А 30мА</v>
      </c>
      <c r="EQ241">
        <f t="shared" si="314"/>
        <v>16</v>
      </c>
      <c r="ER241" t="str">
        <f>IF(OR(AI241="",AI241="-"),"",IFERROR(VLOOKUP(AI241,Модули_спр,2,FALSE),"R"))</f>
        <v/>
      </c>
      <c r="ES241" t="str">
        <f>IF(ER241="","",ER241&amp;"."&amp;COUNTIFS(A$3:A241,A241,ER$3:ER241,ER241))</f>
        <v/>
      </c>
      <c r="ET241" t="str">
        <f t="shared" si="315"/>
        <v/>
      </c>
      <c r="EU241" t="str">
        <f t="shared" si="316"/>
        <v/>
      </c>
      <c r="EV241" t="str">
        <f t="shared" si="317"/>
        <v/>
      </c>
      <c r="EW241" t="str">
        <f t="shared" si="318"/>
        <v/>
      </c>
      <c r="EX241">
        <f t="shared" si="319"/>
        <v>1</v>
      </c>
      <c r="EY241" t="str">
        <f>IF(AK241="нет","",IF(AK241&lt;&gt;"",AK241,IF(EX241=1,"XT"&amp;COUNTIFS(A$3:A241,A241,EX$3:EX241,1),"")))</f>
        <v/>
      </c>
      <c r="EZ241" t="str">
        <f t="shared" si="320"/>
        <v>QFD17</v>
      </c>
      <c r="FA241" t="str">
        <f t="shared" si="321"/>
        <v/>
      </c>
      <c r="FB241" t="str">
        <f t="shared" si="322"/>
        <v>ok</v>
      </c>
      <c r="FC241" t="str">
        <f>IF(OR(EV241="",ET241=""),"",IF(EV241&gt;IFERROR(VLOOKUP(EU241,Модули_спр,3,FALSE),99),"ЛИШНИЙ КАНАЛ",IF(AND(AJ241&lt;&gt;"=",COUNTIFS(Линии[_модуль гр.],ET241,Линии[Канал (итог)],EV241,Линии[Канал],"&lt;&gt;=",Линии[Щит],A241)&gt;1),"ДУБЛЬ КАНАЛА","")))</f>
        <v/>
      </c>
      <c r="FD241">
        <f t="shared" si="323"/>
        <v>16</v>
      </c>
      <c r="FE241" t="str">
        <f t="shared" si="324"/>
        <v>2P С16А 30мА</v>
      </c>
      <c r="FF241">
        <f t="shared" si="325"/>
        <v>1</v>
      </c>
      <c r="FG241">
        <f t="shared" si="326"/>
        <v>30</v>
      </c>
      <c r="FH241" t="str">
        <f t="shared" si="327"/>
        <v/>
      </c>
      <c r="FI241">
        <f t="shared" si="328"/>
        <v>10</v>
      </c>
      <c r="FJ241" t="str">
        <f t="shared" si="329"/>
        <v/>
      </c>
      <c r="FK241" t="str">
        <f>IF(AND(D241="",EZ241=""),"",_xlfn.TEXTJOIN("; ",TRUE,IF(AND(D241&lt;&gt;"",DD241=""),"нет фазы",""),IF(AND(D241&lt;&gt;"",N(DT241)=0,CN241&lt;&gt;"Нет"),"нет мощности",""),IF(AND(EY241&lt;&gt;"",COUNTIFS(Линии[Щит],A241,Линии[Клемма (итог)],EY241)&gt;1),"дубль клеммы "&amp;EY241,""),IF(AND(FB241&lt;&gt;"",FB241&lt;&gt;"ok"),FB241,""),IF(FC241&lt;&gt;"",FC241,""),IF(AND(ISNUMBER(SEARCH("(5х",DS241)),N(DV241)=1),"5 жил на 1 фазе",""),IF(AND(AT241="R",AD241&lt;&gt;"",OR(N(EH241)=0,N(EH241)&gt;30)),"розетка без дифзащиты до 30 мА",""),IFERROR(IF(AND(ISNUMBER(CD241),CD241&gt;CE241),"потери "&amp;FIXED(CD241,1)&amp;" % &gt; "&amp;CE241&amp;" %",""),""),IFERROR(IF(LEFT(FJ241,4)="мало","Iкз мало — отключение &gt; 0,4 с",""),""),IF(AND(D241&lt;&gt;"",BD241=""),"не на схеме","")))</f>
        <v/>
      </c>
      <c r="FL241">
        <f>IF(AD241="","",_xlfn.LET(_xlpm.t,IFERROR(_xlfn.XLOOKUP(EP241,Каталог!$U$4:$U$500,Каталог!$G$4:$G$500),""),_xlpm.k,SEARCH("кА",_xlpm.t),IFERROR(--TRIM(RIGHT(SUBSTITUTE(MID(_xlpm.t,MAX(1,_xlpm.k-4),_xlpm.k-MAX(1,_xlpm.k-4))," ",REPT(" ",9)),5)),"")))</f>
        <v>6</v>
      </c>
      <c r="FM241" t="str">
        <f>IF(OR(FL241="",AD241=""),"",IF(_xlfn.XLOOKUP(A241,Щиты[Щит],Щиты[Iкз max на шинах, кА],"")="","",IF(FL241&lt;_xlfn.XLOOKUP(A241,Щиты[Щит],Щиты[Iкз max на шинах, кА]),"Icu "&amp;FL241&amp;" кА &lt; Iкз max","ok")))</f>
        <v/>
      </c>
      <c r="FN241" t="str">
        <f t="shared" si="330"/>
        <v>QFD17</v>
      </c>
      <c r="FO241" t="str">
        <f t="shared" si="331"/>
        <v>QFD17|кабель ВВГнг(А)-LS (3х2,5) → Розеточная группа Первый этаж Пом. №003A</v>
      </c>
      <c r="FP241" t="str" cm="1">
        <f t="array" ref="FP241">IF(FO241="","",_xlfn.LET(_xlpm.nd,_xlfn.TEXTSPLIT(FO241,"|"),IF(COLUMNS(_xlpm.nd)&gt;1,A241&amp;"¦"&amp;INDEX(_xlpm.nd,1)&amp;"¦"&amp;INDEX(_xlpm.nd,2),"")))</f>
        <v>ЩР-1¦QFD17¦кабель ВВГнг(А)-LS (3х2,5) → Розеточная группа Первый этаж Пом. №003A</v>
      </c>
      <c r="FQ241" t="str">
        <f t="shared" si="332"/>
        <v>R.1.003A.3¦Розеточная группа Первый этаж Пом. №003A</v>
      </c>
      <c r="FR241" t="str" cm="1">
        <f t="array" ref="FR241">IF(FO241="","",_xlfn.LET(_xlpm.nd,_xlfn.TEXTSPLIT(FO241,"|"),IF(COLUMNS(_xlpm.nd)&gt;2,A241&amp;"¦"&amp;INDEX(_xlpm.nd,2)&amp;"¦"&amp;INDEX(_xlpm.nd,3),"")))</f>
        <v/>
      </c>
      <c r="FS241" t="str">
        <f t="shared" si="333"/>
        <v/>
      </c>
      <c r="FT241" t="str" cm="1">
        <f t="array" ref="FT241">IF(FO241="","",_xlfn.LET(_xlpm.nd,_xlfn.TEXTSPLIT(FO241,"|"),IF(COLUMNS(_xlpm.nd)&gt;3,A241&amp;"¦"&amp;INDEX(_xlpm.nd,3)&amp;"¦"&amp;INDEX(_xlpm.nd,4),"")))</f>
        <v/>
      </c>
      <c r="FU241" t="str">
        <f t="shared" si="334"/>
        <v/>
      </c>
      <c r="FV241" t="str" cm="1">
        <f t="array" ref="FV241">IF(FO241="","",_xlfn.LET(_xlpm.nd,_xlfn.TEXTSPLIT(FO241,"|"),IF(COLUMNS(_xlpm.nd)&gt;4,A241&amp;"¦"&amp;INDEX(_xlpm.nd,4)&amp;"¦"&amp;INDEX(_xlpm.nd,5),"")))</f>
        <v/>
      </c>
      <c r="FW241" t="str">
        <f t="shared" si="335"/>
        <v/>
      </c>
      <c r="FX241" t="str" cm="1">
        <f t="array" ref="FX241">IF(FO241="","",_xlfn.LET(_xlpm.nd,_xlfn.TEXTSPLIT(FO241,"|"),IF(COLUMNS(_xlpm.nd)&gt;5,A241&amp;"¦"&amp;INDEX(_xlpm.nd,5)&amp;"¦"&amp;INDEX(_xlpm.nd,6),"")))</f>
        <v/>
      </c>
      <c r="FY241" t="str">
        <f t="shared" si="336"/>
        <v/>
      </c>
      <c r="FZ241" t="str" cm="1">
        <f t="array" ref="FZ241">IF(FO241="","",_xlfn.LET(_xlpm.nd,_xlfn.TEXTSPLIT(FO241,"|"),IF(COLUMNS(_xlpm.nd)&gt;6,A241&amp;"¦"&amp;INDEX(_xlpm.nd,6)&amp;"¦"&amp;INDEX(_xlpm.nd,7),"")))</f>
        <v/>
      </c>
      <c r="GA241" t="str">
        <f t="shared" si="337"/>
        <v/>
      </c>
      <c r="GB241" t="str">
        <f t="shared" si="338"/>
        <v/>
      </c>
      <c r="GC241" t="str">
        <f t="shared" si="339"/>
        <v>QFD17</v>
      </c>
      <c r="GD241">
        <f t="shared" si="340"/>
        <v>1</v>
      </c>
      <c r="GE241">
        <f t="shared" si="341"/>
        <v>0</v>
      </c>
      <c r="GF241">
        <f t="shared" si="342"/>
        <v>1</v>
      </c>
      <c r="GG241" t="str">
        <f t="shared" si="343"/>
        <v/>
      </c>
      <c r="GH241" t="str">
        <f t="shared" si="344"/>
        <v/>
      </c>
      <c r="GI241" t="str">
        <f t="shared" si="345"/>
        <v/>
      </c>
      <c r="GJ241" t="str">
        <f t="shared" si="346"/>
        <v/>
      </c>
      <c r="GK241" t="str">
        <f>IF(D241="","",IFERROR(VLOOKUP(D241,УГО_спр,2,FALSE),IFERROR(VLOOKUP(AT241,УГО_спр,2,FALSE),IFERROR(VLOOKUP(LEFT(AT241,2),УГО_спр,2,FALSE),""))))</f>
        <v>Розетка</v>
      </c>
      <c r="GL241" t="str">
        <f>IF(D241="","",IF(OR(GK241="",GK241=0),"BOX",IFERROR(IF(VLOOKUP(GK241,УГО_блоки,3,FALSE)&amp;""&lt;&gt;"",VLOOKUP(GK241,УГО_блоки,3,FALSE),VLOOKUP(GK241,УГО_блоки,2,FALSE)),GK241)))</f>
        <v>SOCKET</v>
      </c>
      <c r="GM241">
        <f t="shared" si="347"/>
        <v>1</v>
      </c>
      <c r="GN241" t="str">
        <f>IF(EP241="","",IF(COUNTIF(EP$3:EP241,EP241)=1,MAX(GN$2:GN240)+1,""))</f>
        <v/>
      </c>
      <c r="GO241" t="str">
        <f>IF(AF241="","",IF(COUNTIF(AF$3:AF241,AF241)+COUNTIF(AG$2:AG240,AF241)+COUNTIF(AH$2:AH240,AF241)=1,MAX(GO$2:GQ240)+1,""))</f>
        <v/>
      </c>
      <c r="GP241" t="str">
        <f>IF(AG241="","",IF(COUNTIF(AF$3:AF241,AG241)+COUNTIF(AG$3:AG241,AG241)+COUNTIF(AH$2:AH240,AG241)=1,MAX(GO$2:GQ240,GO241)+1,""))</f>
        <v/>
      </c>
      <c r="GQ241" t="str">
        <f>IF(AH241="","",IF(COUNTIF(AF$3:AF241,AH241)+COUNTIF(AG$3:AG241,AH241)+COUNTIF(AH$3:AH241,AH241)=1,MAX(GO$2:GQ240,GO241,GP241)+1,""))</f>
        <v/>
      </c>
      <c r="GR241" t="str">
        <f t="shared" si="348"/>
        <v>3х2,5</v>
      </c>
      <c r="GS241" t="str">
        <f>IF(GR241="","",IF(COUNTIF(GR$3:GR241,GR241)=1,MAX(GS$2:GS240)+1,""))</f>
        <v/>
      </c>
      <c r="GT241" t="str">
        <f>IF(ES241="","",COUNTIF(ES$3:ES241,"?*"))</f>
        <v/>
      </c>
      <c r="GU241" t="str">
        <f>IF(OR(ES241="",EU241=""),"",IF(COUNTIFS(ES$3:ES241,"?*",EU$3:EU241,EU241)=1,MAX(GU$2:GU240)+1,""))</f>
        <v/>
      </c>
      <c r="GV241">
        <f t="shared" si="349"/>
        <v>0</v>
      </c>
      <c r="GW241">
        <f>IF(D241="","",COUNTIF(D$3:D241,"?*"))</f>
        <v>239</v>
      </c>
      <c r="GX241">
        <f>IF(EX241&lt;&gt;1,0,_xlfn.LET(_xlpm.k,MAX(IFERROR(--VLOOKUP(D241,УГО_спр,5,FALSE),0),IFERROR(--VLOOKUP(AT241,УГО_спр,5,FALSE),0),IFERROR(--VLOOKUP(LEFT(AT241,2),УГО_спр,5,FALSE),0)),IF(_xlpm.k&gt;0,_xlpm.k,IF(IFERROR(--LEFT(SUBSTITUTE(GR241,"x","х"),FIND("х",SUBSTITUTE(GR241,"x","х"))-1),3)&gt;3,Каталог!$S$9,1))))</f>
        <v>1</v>
      </c>
      <c r="GY241">
        <f t="shared" si="350"/>
        <v>0</v>
      </c>
    </row>
    <row r="242" spans="1:207" x14ac:dyDescent="0.3">
      <c r="A242" t="s">
        <v>762</v>
      </c>
      <c r="B242">
        <v>28</v>
      </c>
      <c r="C242" t="str">
        <f>IF(BD242="","",IF(BE242="вводной узел","узел ","")&amp;"л."&amp;(INT((BD242-1)/Столбцов_на_лист)+1)&amp;" / "&amp;(MOD(BD242-1,Столбцов_на_лист)+1))</f>
        <v>л.2 / 11</v>
      </c>
      <c r="D242" t="s">
        <v>1564</v>
      </c>
      <c r="E242" s="133" t="str">
        <f t="shared" si="351"/>
        <v>Розеточная группа Первый этаж Пом. №003A2</v>
      </c>
      <c r="G242">
        <v>0.3</v>
      </c>
      <c r="H242">
        <v>2</v>
      </c>
      <c r="I242">
        <v>1</v>
      </c>
      <c r="J242">
        <v>230</v>
      </c>
      <c r="K242" t="s">
        <v>566</v>
      </c>
      <c r="O242">
        <v>1</v>
      </c>
      <c r="P242">
        <v>60</v>
      </c>
      <c r="Q242">
        <v>28</v>
      </c>
      <c r="R242">
        <v>35</v>
      </c>
      <c r="S242">
        <v>6</v>
      </c>
      <c r="U242" t="s">
        <v>11</v>
      </c>
      <c r="V242">
        <v>3</v>
      </c>
      <c r="W242">
        <v>2.5</v>
      </c>
      <c r="Z242" t="s">
        <v>565</v>
      </c>
      <c r="AA242" t="s">
        <v>818</v>
      </c>
      <c r="AD242" t="s">
        <v>517</v>
      </c>
      <c r="AK242" t="s">
        <v>488</v>
      </c>
      <c r="AR242" t="str">
        <f t="shared" si="264"/>
        <v/>
      </c>
      <c r="AS242" cm="1">
        <f t="array" ref="AS242">ROW()-ROW(Линии[#Headers])</f>
        <v>240</v>
      </c>
      <c r="AT242" t="str">
        <f t="shared" si="265"/>
        <v>R</v>
      </c>
      <c r="AU242" t="str">
        <f t="shared" si="266"/>
        <v>1.003A2</v>
      </c>
      <c r="AV242" t="str">
        <f t="shared" si="267"/>
        <v>1</v>
      </c>
      <c r="AW242" t="str">
        <f t="shared" si="268"/>
        <v>003A2</v>
      </c>
      <c r="AX242" t="str">
        <f t="shared" si="269"/>
        <v>003A2</v>
      </c>
      <c r="AY242" t="str">
        <f>IF(D242="","",IF(ISERROR(SEARCH(".",D242)),IFERROR(VLOOKUP(D242,Потребители_обозначение,2,FALSE)&amp;"",""),IFERROR(IF(VLOOKUP(AT242,Потребители_обозначение,4,FALSE)=1,VLOOKUP(AT242,Потребители_обозначение,2,FALSE)&amp;" "&amp;VLOOKUP(AV242,Этаж_обозначение,2,FALSE)&amp;" Пом. №"&amp;AX242,VLOOKUP(AT242,Потребители_обозначение,2,FALSE)&amp;" Шлейф №"&amp;AV242),IFERROR(VLOOKUP(D242,Потребители_обозначение,2,FALSE),""))))</f>
        <v>Розеточная группа Первый этаж Пом. №003A2</v>
      </c>
      <c r="AZ242" t="str">
        <f t="shared" si="270"/>
        <v>Розеточная группа Первый этаж Пом. №003A2</v>
      </c>
      <c r="BA242" t="str">
        <f>IF(F242&lt;&gt;"",F242,IF(AND(D242&lt;&gt;"",D242&lt;&gt;A242,ISNUMBER(_xlfn.XMATCH(D242,Щиты[Щит]))),D242,""))</f>
        <v/>
      </c>
      <c r="BB242">
        <f>IFERROR(_xlfn.XMATCH(A242,Щиты[Щит]),0)</f>
        <v>10</v>
      </c>
      <c r="BC242">
        <f>IFERROR(N(_xlfn.XLOOKUP(A242,Щиты[Щит],Щиты[Мест под вводной узел])),15)</f>
        <v>8</v>
      </c>
      <c r="BD242">
        <f t="shared" si="271"/>
        <v>28</v>
      </c>
      <c r="BE242" t="str">
        <f t="shared" si="272"/>
        <v>линии</v>
      </c>
      <c r="BF242">
        <f>IF(D242="","",IF(BA242&lt;&gt;"",IFERROR(_xlfn.XLOOKUP(BA242,Щиты[Щит],Щиты[Руст, кВт]),0),N(G242)))</f>
        <v>0.3</v>
      </c>
      <c r="BG242">
        <f>IF(J242&lt;&gt;"",J242,IF(D242="","",IFERROR(IF(VLOOKUP(AT242,Потребители_обозначение,8,FALSE)=0,"",VLOOKUP(AT242,Потребители_обозначение,8,FALSE)),"")))</f>
        <v>230</v>
      </c>
      <c r="BH242">
        <f>IF(I242&lt;&gt;"",I242,IF(D242="","",IFERROR(IF(VLOOKUP(AT242,Потребители_обозначение,9,FALSE)=0,"",VLOOKUP(AT242,Потребители_обозначение,9,FALSE)),"")))</f>
        <v>1</v>
      </c>
      <c r="BI242" t="str">
        <f>IF(U242&lt;&gt;"",U242,IF(D242="","",IFERROR(IF(VLOOKUP(AT242,Потребители_обозначение,6,FALSE)=0,"",VLOOKUP(AT242,Потребители_обозначение,6,FALSE)),"")))</f>
        <v>мс</v>
      </c>
      <c r="BJ242">
        <f>IF(V242&lt;&gt;"",V242,IF(D242="","",IFERROR(IF(VLOOKUP(AT242,Потребители_обозначение,7,FALSE)=0,"",VLOOKUP(AT242,Потребители_обозначение,7,FALSE)),"")))</f>
        <v>3</v>
      </c>
      <c r="BK242">
        <f>IF(W242&lt;&gt;"",W242,IF(D242="","",IFERROR(IF(VLOOKUP(AT242,Потребители_обозначение,10,FALSE)=0,"",VLOOKUP(AT242,Потребители_обозначение,10,FALSE)),"")))</f>
        <v>2.5</v>
      </c>
      <c r="BL242">
        <f>IFERROR(VLOOKUP(AT242,Потребители_обозначение,5,FALSE),0)</f>
        <v>1</v>
      </c>
      <c r="BM242" cm="1">
        <f t="array" ref="BM242">IF(D242="","",IF(BA242&lt;&gt;"",IFERROR(_xlfn.XLOOKUP(BA242,Щиты[Щит],Щиты[cos φ]),0.95),IF(ISNUMBER(M242),M242,IFERROR(IF(BL242=2,_xlfn.IFS(BH242=3,VLOOKUP(BF242,Справочная_двигатели,8,FALSE),BH242=1,VLOOKUP(BF242,Справочная_двигатели,10,TRUE)),IF(AND(Методика="нормы 2026",CN242="Сил"),0.8,0.95)),0.95))))</f>
        <v>0.95</v>
      </c>
      <c r="BN242" cm="1">
        <f t="array" ref="BN242">IF(D242="","",IF(BA242&lt;&gt;"",IFERROR(_xlfn.XLOOKUP(BA242,Щиты[Щит],Щиты[Iр, А]),""),IFERROR(_xlfn.IFS(BH242=1,BF242/((Uн_лин/SQRT(3))*BM242),BH242=3,BF242/(SQRT(3)*Uн_лин*BM242)),"")))</f>
        <v>1.3674085322912188</v>
      </c>
      <c r="BO242">
        <f>IF(D242="","",IF(N(X242)=0,IFERROR(VLOOKUP(BN242,Автомат_номиналы,2,TRUE),""),X242))</f>
        <v>6</v>
      </c>
      <c r="BP242">
        <f t="shared" si="273"/>
        <v>1</v>
      </c>
      <c r="BQ242">
        <f>IF(ISNUMBER(Y242),Y242,К_прокл)</f>
        <v>1</v>
      </c>
      <c r="BR242">
        <f t="shared" si="274"/>
        <v>2</v>
      </c>
      <c r="BS242" cm="1">
        <f t="array" ref="BS242">IF(D242="","",IF(N(BK242)&lt;&gt;0,BK242,IFERROR(_xlfn.LET(_xlpm.need,BO242/(BP242*BQ242),_xlpm.t,CHOOSE(BR242,Iдоп_1ж,Iдоп_2ж,Iдоп_3ж),_xlpm.k,_xlfn.XMATCH(_xlpm.need,_xlpm.t,1),IF(ISNA(_xlpm.k),"Не исп",INDEX(Iдоп_S,_xlpm.k))),"Не исп")))</f>
        <v>2.5</v>
      </c>
      <c r="BT242">
        <f>IFERROR(VLOOKUP(BS242,Кабель_сопротивление,3,FALSE),"")</f>
        <v>2.2499999999999999E-2</v>
      </c>
      <c r="BU242">
        <f>IFERROR(VLOOKUP(BS242,Кабель_сопротивление,2,FALSE),"")</f>
        <v>0.1</v>
      </c>
      <c r="BV242">
        <f t="shared" si="275"/>
        <v>60</v>
      </c>
      <c r="BW242">
        <f>IF(D242="","",IFERROR(IF(VLOOKUP(AT242,Потребители_обозначение,4,FALSE)=1,VLOOKUP(AT242,Потребители_обозначение,3,FALSE)*(H242*2-1)+BV242+VLOOKUP(AV242,Этаж_обозначение,3,FALSE)+VLOOKUP(AV242,Этаж_обозначение,4,FALSE),VLOOKUP(AT242,Потребители_обозначение,3,FALSE)*(H242*2-1)+BV242),BV242))</f>
        <v>69</v>
      </c>
      <c r="BX242">
        <f t="shared" si="276"/>
        <v>35</v>
      </c>
      <c r="BY242">
        <f t="shared" si="277"/>
        <v>6</v>
      </c>
      <c r="BZ242">
        <f t="shared" si="278"/>
        <v>2</v>
      </c>
      <c r="CA242">
        <f t="shared" si="279"/>
        <v>0.31</v>
      </c>
      <c r="CB242">
        <f t="shared" si="280"/>
        <v>1.6192551009515508</v>
      </c>
      <c r="CC242">
        <f>IFERROR(ROUNDUP(CB242/((Uн_лин/SQRT(3))*1000)*100,2),"")</f>
        <v>0.71</v>
      </c>
      <c r="CD242">
        <f>IF(ISNUMBER(CC242),CC242+IFERROR(_xlfn.XLOOKUP(A242,Щиты[Щит],Щиты[ΔU до шин, %]),0),"")</f>
        <v>1.96</v>
      </c>
      <c r="CE242">
        <f>IF(D242="","",IF(IFERROR(VLOOKUP(AT242,УГО_спр,2,FALSE),"")="Светильник",3,4)+IF(Методика="нормы 2026",MIN(0.5,MAX(0,N(BW242)-100)*0.005),0))</f>
        <v>4</v>
      </c>
      <c r="CF242" t="str">
        <f>IFERROR(VLOOKUP(BI242,Кабель_обозначение,2,FALSE),"")</f>
        <v>ВВГнг(А)-LS</v>
      </c>
      <c r="CG242" t="str">
        <f>IFERROR(IF(VLOOKUP(BI242,Кабель_обозначение,3,FALSE)=1,CF242&amp;" ("&amp;BJ242&amp;"х"&amp;BS242&amp;")",CF242),"")</f>
        <v>ВВГнг(А)-LS (3х2,5)</v>
      </c>
      <c r="CH242" t="str">
        <f t="shared" si="281"/>
        <v>ВВГнг(А)-LS (3х2,5)
L=69-0,71%</v>
      </c>
      <c r="CI242">
        <f>IFERROR(2*ρкз_Cu*BW242/BS242,"")</f>
        <v>1.4517599999999999</v>
      </c>
      <c r="CJ242">
        <f t="shared" si="282"/>
        <v>0.48299999999999998</v>
      </c>
      <c r="CK242" t="str">
        <f>IFERROR(IF(OR(D242="",NOT(ISNUMBER(BS242)),N(BW242)=0),"",_xlfn.XLOOKUP(A242,Щиты[Щит],Щиты[Zпетли на шинах, Ом])+CI242),"")</f>
        <v/>
      </c>
      <c r="CL242" t="str">
        <f>IF(ISNUMBER(CK242),c_min*(Uн_лин*1000/SQRT(3))/CK242,"")</f>
        <v/>
      </c>
      <c r="CM242" t="str">
        <f>IFERROR(IF(OR(D242="",NOT(ISNUMBER(BS242))),"",1.05*(Uн_лин*1000/SQRT(3))/(_xlfn.XLOOKUP(A242,Щиты[Щит],Щиты[Zmax на шинах, Ом])+CJ242)/1000),"")</f>
        <v/>
      </c>
      <c r="CN242" t="str">
        <f>IF(D242="","",IF(BA242&lt;&gt;"","Щит",IF(K242&lt;&gt;"",K242,IF(ISNUMBER(L242),"Сил",IF(IFERROR(_xlfn.XLOOKUP(AT242,Коды_код,Коды_группа)&amp;"","")="","Быт",_xlfn.XLOOKUP(AT242,Коды_код,Коды_группа)&amp;"")))))</f>
        <v>Быт</v>
      </c>
      <c r="CO242">
        <f>IF(CN242="Щит","щит",IF(CN242="","",IF(CN242="Быт",IFERROR(_xlfn.XLOOKUP(A242,Щиты[Щит],Щиты[Кс быт]),1),IF(CN242="Сил",IF(ISNUMBER(L242),L242,IF(Методика="нормы 2026",IFERROR(_xlfn.XLOOKUP(A242,Щиты[Щит],Щиты[Кс силовых (табл. 7.5)]),1),1)),IF(OR(CN242="Пост",CN242="Отоп"),1,IF(CN242="ВНГ",0.7,0))))))</f>
        <v>0.57830000000000004</v>
      </c>
      <c r="CP242">
        <f t="shared" si="283"/>
        <v>1</v>
      </c>
      <c r="CQ242">
        <f t="shared" si="284"/>
        <v>0.3</v>
      </c>
      <c r="CR242">
        <f t="shared" si="285"/>
        <v>0.3</v>
      </c>
      <c r="CS242">
        <f t="shared" si="286"/>
        <v>0</v>
      </c>
      <c r="CT242">
        <f t="shared" si="287"/>
        <v>0</v>
      </c>
      <c r="CU242">
        <f t="shared" si="288"/>
        <v>0</v>
      </c>
      <c r="CV242">
        <f t="shared" si="289"/>
        <v>0</v>
      </c>
      <c r="CW242">
        <f t="shared" si="290"/>
        <v>0.3</v>
      </c>
      <c r="CX242">
        <f t="shared" si="291"/>
        <v>0.28499999999999998</v>
      </c>
      <c r="CY242">
        <f t="shared" si="292"/>
        <v>3</v>
      </c>
      <c r="CZ242" t="str">
        <f t="shared" si="293"/>
        <v>L3</v>
      </c>
      <c r="DA242" cm="1">
        <f t="array" ref="DA242">IFERROR(IF(BL242=2,_xlfn.IFS(BH242=3,VLOOKUP(BF242,Справочная_двигатели,3,FALSE),BH242=1,VLOOKUP(BF242,Справочная_двигатели,5,TRUE)),0),0)</f>
        <v>0</v>
      </c>
      <c r="DB242">
        <f>IFERROR(IF(BL242=3,VLOOKUP(BF242,Справочная_ЛЭД,2,TRUE),0),0)</f>
        <v>0</v>
      </c>
      <c r="DC242">
        <f t="shared" si="294"/>
        <v>0</v>
      </c>
      <c r="DD242" t="str">
        <f t="shared" si="295"/>
        <v>L1</v>
      </c>
      <c r="DE242" t="str" cm="1">
        <f t="array" ref="DE242">IF(D242="","",IFERROR(INDEX({"I особая","I","II","III"},MATCH(TRIM(AA242&amp;""),{"I особая","I","II","III"},0)),"III"))</f>
        <v>II</v>
      </c>
      <c r="DF242" t="str">
        <f>IF(D242="","",IF(TRIM(AB242&amp;"")&lt;&gt;"",IF(LOWER(TRIM(AB242&amp;""))="да","да","нет"),IF(IFERROR(_xlfn.XLOOKUP(AT242,Коды_код,Коды_пожарная),"")="да","да","нет")))</f>
        <v>нет</v>
      </c>
      <c r="DG242" t="str">
        <f t="shared" si="296"/>
        <v/>
      </c>
      <c r="DH242" t="str">
        <f t="shared" si="297"/>
        <v>основная</v>
      </c>
      <c r="DI242">
        <f t="shared" si="298"/>
        <v>1</v>
      </c>
      <c r="DJ242" t="str" cm="1">
        <f t="array" ref="DJ242">IF(D242="","",_xlfn.LET(_xlpm.t,IFERROR(_xlfn.XLOOKUP(1,(Шины[Шина]=DH242)*(((Шины[Щит]=A242)+(Шины[Щит]=""))&gt;0),Шины[Тип]),"")&amp;"",IF(_xlpm.t&lt;&gt;"",_xlpm.t,IF(ISNUMBER(SEARCH("ИБП",DH242)),"ИБП",IF(ISNUMBER(SEARCH("ДГУ",DH242)),"ДГУ","Ввод "&amp;DI242)))))</f>
        <v>Ввод 1</v>
      </c>
      <c r="DK242" t="str">
        <f t="shared" si="299"/>
        <v>Ввод 1</v>
      </c>
      <c r="DL242" t="str">
        <f>IF(D242="","",IF(OR(DJ242="ИБП",DJ242="ДГУ"),"I особая",IF(DJ242="Одиночная","III",_xlfn.XLOOKUP(A242,Щиты[Щит],Щиты[Категория шины «Ввод»],"III"))))</f>
        <v>II</v>
      </c>
      <c r="DM242">
        <f>IF(D242="",0,IFERROR(MATCH(DE242,{"III","II","I","I особая"},0),1))</f>
        <v>2</v>
      </c>
      <c r="DN242">
        <f t="shared" si="300"/>
        <v>2</v>
      </c>
      <c r="DO242" t="str">
        <f>IF(D242="","",IF(DM242&gt;IFERROR(MATCH(DL242,{"III","II","I","I особая"},0),1),"НЕ ОБЕСПЕЧЕНА","ОК"))</f>
        <v>ОК</v>
      </c>
      <c r="DP242" t="str">
        <f>IF(A242="","",_xlfn.XLOOKUP(A242,Щиты[Щит],Щиты[Путь],""))</f>
        <v>|ГРЩ-ЖД|ЩР-1|</v>
      </c>
      <c r="DQ242" t="str">
        <f>IF(D242="","",IF(Z242&lt;&gt;"",Z242,IF(IFERROR(_xlfn.XLOOKUP(AT242,Коды_код,Коды_вид)&amp;"","")="","Прочее",_xlfn.XLOOKUP(AT242,Коды_код,Коды_вид)&amp;"")))</f>
        <v>Розеточная сеть и бытовые приборы</v>
      </c>
      <c r="DR242">
        <f>IF(BD242="","",INT((BD242-1)/Столбцов_на_лист)+1)</f>
        <v>2</v>
      </c>
      <c r="DS242" t="str">
        <f t="shared" si="301"/>
        <v>ВВГнг(А)-LS (3х2,5) L=69-0,71%</v>
      </c>
      <c r="DT242">
        <f t="shared" si="302"/>
        <v>0.3</v>
      </c>
      <c r="DU242">
        <f t="shared" si="303"/>
        <v>1.37</v>
      </c>
      <c r="DV242">
        <f t="shared" si="304"/>
        <v>1</v>
      </c>
      <c r="DW242">
        <f>IF(AT242="",0,_xlfn.LET(_xlpm.v,IFERROR(VLOOKUP(D242,УГО_спр,3,FALSE),IFERROR(VLOOKUP(AT242,УГО_спр,3,FALSE),IFERROR(VLOOKUP(LEFT(AT242,2),УГО_спр,3,FALSE),""))),IF(_xlpm.v="да",30,IF(ISNUMBER(_xlpm.v),_xlpm.v,0))))</f>
        <v>30</v>
      </c>
      <c r="DX242">
        <f t="shared" si="305"/>
        <v>0</v>
      </c>
      <c r="DY242">
        <f>IF(BD242="","",IF(AD242&lt;&gt;"",COUNTIFS(A$3:A242,A242,AD$3:AD242,"?*"),IF(OR(OR(AS242=1,A242&lt;&gt;A241),AL242="вручную"),"",IF(AS242=1,"",DZ241))))</f>
        <v>18</v>
      </c>
      <c r="DZ242">
        <f t="shared" si="306"/>
        <v>18</v>
      </c>
      <c r="EA242">
        <f>IF(D242="",0,MAX(IFERROR(--X242,0),IFERROR(--VLOOKUP(D242,УГО_спр,4,FALSE),IFERROR(--VLOOKUP(AT242,УГО_спр,4,FALSE),IFERROR(--VLOOKUP(LEFT(AT242,2),УГО_спр,4,FALSE),0)))))</f>
        <v>16</v>
      </c>
      <c r="EB242">
        <f>IF(D242="","",IFERROR(LOOKUP(INDEX(CHOOSE(BR242,Iдоп_1ж,Iдоп_2ж,Iдоп_3ж),MATCH(BS242,Iдоп_S,0))*BP242*BQ242,{6,10,16,20,25,32,40,50,63,80,100,125,160,200,250,315,400,500,630}),""))</f>
        <v>25</v>
      </c>
      <c r="EC242">
        <f>IF(AD242="","",SUMIFS(Линии[_Ток схемы],Линии[_гр.],DY242,Линии[Щит],A242,Линии[_в кабель выше],0))</f>
        <v>1.37</v>
      </c>
      <c r="ED242">
        <f>IF(AD242="","",IFERROR(VLOOKUP(EC242,Автомат_номиналы,2,TRUE),""))</f>
        <v>6</v>
      </c>
      <c r="EE242">
        <f>IF(AD242="","",MAX(N(ED242),_xlfn.MAXIFS(Линии[_мин. по типу],Линии[_гр.],DY242,Линии[Щит],A242)))</f>
        <v>16</v>
      </c>
      <c r="EF242">
        <f>IF(AD242="","",_xlfn.MINIFS(Линии[_макс. автомат по кабелю],Линии[_гр.],DY242,Линии[Щит],A242))</f>
        <v>25</v>
      </c>
      <c r="EG242">
        <f>IF(AD242="","",MAX(1,_xlfn.MAXIFS(Линии[_фаз],Линии[_гр.],DY242,Линии[Щит],A242)))</f>
        <v>1</v>
      </c>
      <c r="EH242">
        <f>IF(AD242="","",IF(AND(AD242&lt;&gt;"авто",AD242&lt;&gt;"+"),IF(ISNUMBER(SEARCH("мА",AD242)),IFERROR(--TRIM(RIGHT(SUBSTITUTE(LEFT(AD242,SEARCH("мА",AD242)-1)," ",REPT(" ",9)),6)),30),0),IF(AE242="нет",0,IF(ISNUMBER(AE242),AE242,IF(AE242="да",30,_xlfn.MINIFS(Линии[_дифзащита по коду, мА],Линии[_гр.],DY242,Линии[Щит],A242,Линии[_дифзащита по коду, мА],"&gt;0"))))))</f>
        <v>30</v>
      </c>
      <c r="EI242">
        <f t="shared" si="307"/>
        <v>1</v>
      </c>
      <c r="EJ242" t="str">
        <f t="shared" si="308"/>
        <v>QFD18</v>
      </c>
      <c r="EK242" t="str">
        <f t="shared" si="309"/>
        <v>QFD18</v>
      </c>
      <c r="EL242" t="str">
        <f t="shared" si="310"/>
        <v/>
      </c>
      <c r="EM242">
        <f t="shared" si="311"/>
        <v>0</v>
      </c>
      <c r="EN242">
        <f>IF(AD242="","",IF(EM242=1,MAX(EE242,Мин_автомат_БП),EE242))</f>
        <v>16</v>
      </c>
      <c r="EO242" t="str">
        <f t="shared" si="312"/>
        <v>2P</v>
      </c>
      <c r="EP242" t="str">
        <f t="shared" si="313"/>
        <v>2P С16А 30мА</v>
      </c>
      <c r="EQ242">
        <f t="shared" si="314"/>
        <v>16</v>
      </c>
      <c r="ER242" t="str">
        <f>IF(OR(AI242="",AI242="-"),"",IFERROR(VLOOKUP(AI242,Модули_спр,2,FALSE),"R"))</f>
        <v/>
      </c>
      <c r="ES242" t="str">
        <f>IF(ER242="","",ER242&amp;"."&amp;COUNTIFS(A$3:A242,A242,ER$3:ER242,ER242))</f>
        <v/>
      </c>
      <c r="ET242" t="str">
        <f t="shared" si="315"/>
        <v/>
      </c>
      <c r="EU242" t="str">
        <f t="shared" si="316"/>
        <v/>
      </c>
      <c r="EV242" t="str">
        <f t="shared" si="317"/>
        <v/>
      </c>
      <c r="EW242" t="str">
        <f t="shared" si="318"/>
        <v/>
      </c>
      <c r="EX242">
        <f t="shared" si="319"/>
        <v>1</v>
      </c>
      <c r="EY242" t="str">
        <f>IF(AK242="нет","",IF(AK242&lt;&gt;"",AK242,IF(EX242=1,"XT"&amp;COUNTIFS(A$3:A242,A242,EX$3:EX242,1),"")))</f>
        <v/>
      </c>
      <c r="EZ242" t="str">
        <f t="shared" si="320"/>
        <v>QFD18</v>
      </c>
      <c r="FA242" t="str">
        <f t="shared" si="321"/>
        <v/>
      </c>
      <c r="FB242" t="str">
        <f t="shared" si="322"/>
        <v>ok</v>
      </c>
      <c r="FC242" t="str">
        <f>IF(OR(EV242="",ET242=""),"",IF(EV242&gt;IFERROR(VLOOKUP(EU242,Модули_спр,3,FALSE),99),"ЛИШНИЙ КАНАЛ",IF(AND(AJ242&lt;&gt;"=",COUNTIFS(Линии[_модуль гр.],ET242,Линии[Канал (итог)],EV242,Линии[Канал],"&lt;&gt;=",Линии[Щит],A242)&gt;1),"ДУБЛЬ КАНАЛА","")))</f>
        <v/>
      </c>
      <c r="FD242">
        <f t="shared" si="323"/>
        <v>16</v>
      </c>
      <c r="FE242" t="str">
        <f t="shared" si="324"/>
        <v>2P С16А 30мА</v>
      </c>
      <c r="FF242">
        <f t="shared" si="325"/>
        <v>1</v>
      </c>
      <c r="FG242">
        <f t="shared" si="326"/>
        <v>30</v>
      </c>
      <c r="FH242" t="str">
        <f t="shared" si="327"/>
        <v/>
      </c>
      <c r="FI242">
        <f t="shared" si="328"/>
        <v>10</v>
      </c>
      <c r="FJ242" t="str">
        <f t="shared" si="329"/>
        <v/>
      </c>
      <c r="FK242" t="str">
        <f>IF(AND(D242="",EZ242=""),"",_xlfn.TEXTJOIN("; ",TRUE,IF(AND(D242&lt;&gt;"",DD242=""),"нет фазы",""),IF(AND(D242&lt;&gt;"",N(DT242)=0,CN242&lt;&gt;"Нет"),"нет мощности",""),IF(AND(EY242&lt;&gt;"",COUNTIFS(Линии[Щит],A242,Линии[Клемма (итог)],EY242)&gt;1),"дубль клеммы "&amp;EY242,""),IF(AND(FB242&lt;&gt;"",FB242&lt;&gt;"ok"),FB242,""),IF(FC242&lt;&gt;"",FC242,""),IF(AND(ISNUMBER(SEARCH("(5х",DS242)),N(DV242)=1),"5 жил на 1 фазе",""),IF(AND(AT242="R",AD242&lt;&gt;"",OR(N(EH242)=0,N(EH242)&gt;30)),"розетка без дифзащиты до 30 мА",""),IFERROR(IF(AND(ISNUMBER(CD242),CD242&gt;CE242),"потери "&amp;FIXED(CD242,1)&amp;" % &gt; "&amp;CE242&amp;" %",""),""),IFERROR(IF(LEFT(FJ242,4)="мало","Iкз мало — отключение &gt; 0,4 с",""),""),IF(AND(D242&lt;&gt;"",BD242=""),"не на схеме","")))</f>
        <v/>
      </c>
      <c r="FL242">
        <f>IF(AD242="","",_xlfn.LET(_xlpm.t,IFERROR(_xlfn.XLOOKUP(EP242,Каталог!$U$4:$U$500,Каталог!$G$4:$G$500),""),_xlpm.k,SEARCH("кА",_xlpm.t),IFERROR(--TRIM(RIGHT(SUBSTITUTE(MID(_xlpm.t,MAX(1,_xlpm.k-4),_xlpm.k-MAX(1,_xlpm.k-4))," ",REPT(" ",9)),5)),"")))</f>
        <v>6</v>
      </c>
      <c r="FM242" t="str">
        <f>IF(OR(FL242="",AD242=""),"",IF(_xlfn.XLOOKUP(A242,Щиты[Щит],Щиты[Iкз max на шинах, кА],"")="","",IF(FL242&lt;_xlfn.XLOOKUP(A242,Щиты[Щит],Щиты[Iкз max на шинах, кА]),"Icu "&amp;FL242&amp;" кА &lt; Iкз max","ok")))</f>
        <v/>
      </c>
      <c r="FN242" t="str">
        <f t="shared" si="330"/>
        <v>QFD18</v>
      </c>
      <c r="FO242" t="str">
        <f t="shared" si="331"/>
        <v>QFD18|кабель ВВГнг(А)-LS (3х2,5) → Розеточная группа Первый этаж Пом. №003A2</v>
      </c>
      <c r="FP242" t="str" cm="1">
        <f t="array" ref="FP242">IF(FO242="","",_xlfn.LET(_xlpm.nd,_xlfn.TEXTSPLIT(FO242,"|"),IF(COLUMNS(_xlpm.nd)&gt;1,A242&amp;"¦"&amp;INDEX(_xlpm.nd,1)&amp;"¦"&amp;INDEX(_xlpm.nd,2),"")))</f>
        <v>ЩР-1¦QFD18¦кабель ВВГнг(А)-LS (3х2,5) → Розеточная группа Первый этаж Пом. №003A2</v>
      </c>
      <c r="FQ242" t="str">
        <f t="shared" si="332"/>
        <v>R.1.003A2¦Розеточная группа Первый этаж Пом. №003A2</v>
      </c>
      <c r="FR242" t="str" cm="1">
        <f t="array" ref="FR242">IF(FO242="","",_xlfn.LET(_xlpm.nd,_xlfn.TEXTSPLIT(FO242,"|"),IF(COLUMNS(_xlpm.nd)&gt;2,A242&amp;"¦"&amp;INDEX(_xlpm.nd,2)&amp;"¦"&amp;INDEX(_xlpm.nd,3),"")))</f>
        <v/>
      </c>
      <c r="FS242" t="str">
        <f t="shared" si="333"/>
        <v/>
      </c>
      <c r="FT242" t="str" cm="1">
        <f t="array" ref="FT242">IF(FO242="","",_xlfn.LET(_xlpm.nd,_xlfn.TEXTSPLIT(FO242,"|"),IF(COLUMNS(_xlpm.nd)&gt;3,A242&amp;"¦"&amp;INDEX(_xlpm.nd,3)&amp;"¦"&amp;INDEX(_xlpm.nd,4),"")))</f>
        <v/>
      </c>
      <c r="FU242" t="str">
        <f t="shared" si="334"/>
        <v/>
      </c>
      <c r="FV242" t="str" cm="1">
        <f t="array" ref="FV242">IF(FO242="","",_xlfn.LET(_xlpm.nd,_xlfn.TEXTSPLIT(FO242,"|"),IF(COLUMNS(_xlpm.nd)&gt;4,A242&amp;"¦"&amp;INDEX(_xlpm.nd,4)&amp;"¦"&amp;INDEX(_xlpm.nd,5),"")))</f>
        <v/>
      </c>
      <c r="FW242" t="str">
        <f t="shared" si="335"/>
        <v/>
      </c>
      <c r="FX242" t="str" cm="1">
        <f t="array" ref="FX242">IF(FO242="","",_xlfn.LET(_xlpm.nd,_xlfn.TEXTSPLIT(FO242,"|"),IF(COLUMNS(_xlpm.nd)&gt;5,A242&amp;"¦"&amp;INDEX(_xlpm.nd,5)&amp;"¦"&amp;INDEX(_xlpm.nd,6),"")))</f>
        <v/>
      </c>
      <c r="FY242" t="str">
        <f t="shared" si="336"/>
        <v/>
      </c>
      <c r="FZ242" t="str" cm="1">
        <f t="array" ref="FZ242">IF(FO242="","",_xlfn.LET(_xlpm.nd,_xlfn.TEXTSPLIT(FO242,"|"),IF(COLUMNS(_xlpm.nd)&gt;6,A242&amp;"¦"&amp;INDEX(_xlpm.nd,6)&amp;"¦"&amp;INDEX(_xlpm.nd,7),"")))</f>
        <v/>
      </c>
      <c r="GA242" t="str">
        <f t="shared" si="337"/>
        <v/>
      </c>
      <c r="GB242" t="str">
        <f t="shared" si="338"/>
        <v/>
      </c>
      <c r="GC242" t="str">
        <f t="shared" si="339"/>
        <v>QFD18</v>
      </c>
      <c r="GD242">
        <f t="shared" si="340"/>
        <v>1</v>
      </c>
      <c r="GE242">
        <f t="shared" si="341"/>
        <v>0</v>
      </c>
      <c r="GF242">
        <f t="shared" si="342"/>
        <v>1</v>
      </c>
      <c r="GG242" t="str">
        <f t="shared" si="343"/>
        <v/>
      </c>
      <c r="GH242" t="str">
        <f t="shared" si="344"/>
        <v/>
      </c>
      <c r="GI242" t="str">
        <f t="shared" si="345"/>
        <v/>
      </c>
      <c r="GJ242" t="str">
        <f t="shared" si="346"/>
        <v/>
      </c>
      <c r="GK242" t="str">
        <f>IF(D242="","",IFERROR(VLOOKUP(D242,УГО_спр,2,FALSE),IFERROR(VLOOKUP(AT242,УГО_спр,2,FALSE),IFERROR(VLOOKUP(LEFT(AT242,2),УГО_спр,2,FALSE),""))))</f>
        <v>Розетка</v>
      </c>
      <c r="GL242" t="str">
        <f>IF(D242="","",IF(OR(GK242="",GK242=0),"BOX",IFERROR(IF(VLOOKUP(GK242,УГО_блоки,3,FALSE)&amp;""&lt;&gt;"",VLOOKUP(GK242,УГО_блоки,3,FALSE),VLOOKUP(GK242,УГО_блоки,2,FALSE)),GK242)))</f>
        <v>SOCKET</v>
      </c>
      <c r="GM242">
        <f t="shared" si="347"/>
        <v>1</v>
      </c>
      <c r="GN242" t="str">
        <f>IF(EP242="","",IF(COUNTIF(EP$3:EP242,EP242)=1,MAX(GN$2:GN241)+1,""))</f>
        <v/>
      </c>
      <c r="GO242" t="str">
        <f>IF(AF242="","",IF(COUNTIF(AF$3:AF242,AF242)+COUNTIF(AG$2:AG241,AF242)+COUNTIF(AH$2:AH241,AF242)=1,MAX(GO$2:GQ241)+1,""))</f>
        <v/>
      </c>
      <c r="GP242" t="str">
        <f>IF(AG242="","",IF(COUNTIF(AF$3:AF242,AG242)+COUNTIF(AG$3:AG242,AG242)+COUNTIF(AH$2:AH241,AG242)=1,MAX(GO$2:GQ241,GO242)+1,""))</f>
        <v/>
      </c>
      <c r="GQ242" t="str">
        <f>IF(AH242="","",IF(COUNTIF(AF$3:AF242,AH242)+COUNTIF(AG$3:AG242,AH242)+COUNTIF(AH$3:AH242,AH242)=1,MAX(GO$2:GQ241,GO242,GP242)+1,""))</f>
        <v/>
      </c>
      <c r="GR242" t="str">
        <f t="shared" si="348"/>
        <v>3х2,5</v>
      </c>
      <c r="GS242" t="str">
        <f>IF(GR242="","",IF(COUNTIF(GR$3:GR242,GR242)=1,MAX(GS$2:GS241)+1,""))</f>
        <v/>
      </c>
      <c r="GT242" t="str">
        <f>IF(ES242="","",COUNTIF(ES$3:ES242,"?*"))</f>
        <v/>
      </c>
      <c r="GU242" t="str">
        <f>IF(OR(ES242="",EU242=""),"",IF(COUNTIFS(ES$3:ES242,"?*",EU$3:EU242,EU242)=1,MAX(GU$2:GU241)+1,""))</f>
        <v/>
      </c>
      <c r="GV242">
        <f t="shared" si="349"/>
        <v>0</v>
      </c>
      <c r="GW242">
        <f>IF(D242="","",COUNTIF(D$3:D242,"?*"))</f>
        <v>240</v>
      </c>
      <c r="GX242">
        <f>IF(EX242&lt;&gt;1,0,_xlfn.LET(_xlpm.k,MAX(IFERROR(--VLOOKUP(D242,УГО_спр,5,FALSE),0),IFERROR(--VLOOKUP(AT242,УГО_спр,5,FALSE),0),IFERROR(--VLOOKUP(LEFT(AT242,2),УГО_спр,5,FALSE),0)),IF(_xlpm.k&gt;0,_xlpm.k,IF(IFERROR(--LEFT(SUBSTITUTE(GR242,"x","х"),FIND("х",SUBSTITUTE(GR242,"x","х"))-1),3)&gt;3,Каталог!$S$9,1))))</f>
        <v>1</v>
      </c>
      <c r="GY242">
        <f t="shared" si="350"/>
        <v>0</v>
      </c>
    </row>
    <row r="243" spans="1:207" x14ac:dyDescent="0.3">
      <c r="A243" t="s">
        <v>762</v>
      </c>
      <c r="B243">
        <v>29</v>
      </c>
      <c r="C243" t="str">
        <f>IF(BD243="","",IF(BE243="вводной узел","узел ","")&amp;"л."&amp;(INT((BD243-1)/Столбцов_на_лист)+1)&amp;" / "&amp;(MOD(BD243-1,Столбцов_на_лист)+1))</f>
        <v>л.2 / 12</v>
      </c>
      <c r="D243" t="s">
        <v>1565</v>
      </c>
      <c r="E243" s="133" t="str">
        <f t="shared" si="351"/>
        <v>Розеточная группа Первый этаж Пом. №003Aб</v>
      </c>
      <c r="G243">
        <v>0.24</v>
      </c>
      <c r="H243">
        <v>4</v>
      </c>
      <c r="I243">
        <v>1</v>
      </c>
      <c r="J243">
        <v>230</v>
      </c>
      <c r="K243" t="s">
        <v>566</v>
      </c>
      <c r="O243">
        <v>1</v>
      </c>
      <c r="P243">
        <v>60</v>
      </c>
      <c r="Q243">
        <v>28</v>
      </c>
      <c r="R243">
        <v>53</v>
      </c>
      <c r="U243" t="s">
        <v>11</v>
      </c>
      <c r="V243">
        <v>3</v>
      </c>
      <c r="W243">
        <v>2.5</v>
      </c>
      <c r="Z243" t="s">
        <v>565</v>
      </c>
      <c r="AA243" t="s">
        <v>818</v>
      </c>
      <c r="AD243" t="s">
        <v>517</v>
      </c>
      <c r="AK243" t="s">
        <v>488</v>
      </c>
      <c r="AR243" t="str">
        <f t="shared" si="264"/>
        <v/>
      </c>
      <c r="AS243" cm="1">
        <f t="array" ref="AS243">ROW()-ROW(Линии[#Headers])</f>
        <v>241</v>
      </c>
      <c r="AT243" t="str">
        <f t="shared" si="265"/>
        <v>R</v>
      </c>
      <c r="AU243" t="str">
        <f t="shared" si="266"/>
        <v>1.003Aб.1</v>
      </c>
      <c r="AV243" t="str">
        <f t="shared" si="267"/>
        <v>1</v>
      </c>
      <c r="AW243" t="str">
        <f t="shared" si="268"/>
        <v>003Aб.1</v>
      </c>
      <c r="AX243" t="str">
        <f t="shared" si="269"/>
        <v>003Aб</v>
      </c>
      <c r="AY243" t="str">
        <f>IF(D243="","",IF(ISERROR(SEARCH(".",D243)),IFERROR(VLOOKUP(D243,Потребители_обозначение,2,FALSE)&amp;"",""),IFERROR(IF(VLOOKUP(AT243,Потребители_обозначение,4,FALSE)=1,VLOOKUP(AT243,Потребители_обозначение,2,FALSE)&amp;" "&amp;VLOOKUP(AV243,Этаж_обозначение,2,FALSE)&amp;" Пом. №"&amp;AX243,VLOOKUP(AT243,Потребители_обозначение,2,FALSE)&amp;" Шлейф №"&amp;AV243),IFERROR(VLOOKUP(D243,Потребители_обозначение,2,FALSE),""))))</f>
        <v>Розеточная группа Первый этаж Пом. №003Aб</v>
      </c>
      <c r="AZ243" t="str">
        <f t="shared" si="270"/>
        <v>Розеточная группа Первый этаж Пом. №003Aб</v>
      </c>
      <c r="BA243" t="str">
        <f>IF(F243&lt;&gt;"",F243,IF(AND(D243&lt;&gt;"",D243&lt;&gt;A243,ISNUMBER(_xlfn.XMATCH(D243,Щиты[Щит]))),D243,""))</f>
        <v/>
      </c>
      <c r="BB243">
        <f>IFERROR(_xlfn.XMATCH(A243,Щиты[Щит]),0)</f>
        <v>10</v>
      </c>
      <c r="BC243">
        <f>IFERROR(N(_xlfn.XLOOKUP(A243,Щиты[Щит],Щиты[Мест под вводной узел])),15)</f>
        <v>8</v>
      </c>
      <c r="BD243">
        <f t="shared" si="271"/>
        <v>29</v>
      </c>
      <c r="BE243" t="str">
        <f t="shared" si="272"/>
        <v>линии</v>
      </c>
      <c r="BF243">
        <f>IF(D243="","",IF(BA243&lt;&gt;"",IFERROR(_xlfn.XLOOKUP(BA243,Щиты[Щит],Щиты[Руст, кВт]),0),N(G243)))</f>
        <v>0.24</v>
      </c>
      <c r="BG243">
        <f>IF(J243&lt;&gt;"",J243,IF(D243="","",IFERROR(IF(VLOOKUP(AT243,Потребители_обозначение,8,FALSE)=0,"",VLOOKUP(AT243,Потребители_обозначение,8,FALSE)),"")))</f>
        <v>230</v>
      </c>
      <c r="BH243">
        <f>IF(I243&lt;&gt;"",I243,IF(D243="","",IFERROR(IF(VLOOKUP(AT243,Потребители_обозначение,9,FALSE)=0,"",VLOOKUP(AT243,Потребители_обозначение,9,FALSE)),"")))</f>
        <v>1</v>
      </c>
      <c r="BI243" t="str">
        <f>IF(U243&lt;&gt;"",U243,IF(D243="","",IFERROR(IF(VLOOKUP(AT243,Потребители_обозначение,6,FALSE)=0,"",VLOOKUP(AT243,Потребители_обозначение,6,FALSE)),"")))</f>
        <v>мс</v>
      </c>
      <c r="BJ243">
        <f>IF(V243&lt;&gt;"",V243,IF(D243="","",IFERROR(IF(VLOOKUP(AT243,Потребители_обозначение,7,FALSE)=0,"",VLOOKUP(AT243,Потребители_обозначение,7,FALSE)),"")))</f>
        <v>3</v>
      </c>
      <c r="BK243">
        <f>IF(W243&lt;&gt;"",W243,IF(D243="","",IFERROR(IF(VLOOKUP(AT243,Потребители_обозначение,10,FALSE)=0,"",VLOOKUP(AT243,Потребители_обозначение,10,FALSE)),"")))</f>
        <v>2.5</v>
      </c>
      <c r="BL243">
        <f>IFERROR(VLOOKUP(AT243,Потребители_обозначение,5,FALSE),0)</f>
        <v>1</v>
      </c>
      <c r="BM243" cm="1">
        <f t="array" ref="BM243">IF(D243="","",IF(BA243&lt;&gt;"",IFERROR(_xlfn.XLOOKUP(BA243,Щиты[Щит],Щиты[cos φ]),0.95),IF(ISNUMBER(M243),M243,IFERROR(IF(BL243=2,_xlfn.IFS(BH243=3,VLOOKUP(BF243,Справочная_двигатели,8,FALSE),BH243=1,VLOOKUP(BF243,Справочная_двигатели,10,TRUE)),IF(AND(Методика="нормы 2026",CN243="Сил"),0.8,0.95)),0.95))))</f>
        <v>0.95</v>
      </c>
      <c r="BN243" cm="1">
        <f t="array" ref="BN243">IF(D243="","",IF(BA243&lt;&gt;"",IFERROR(_xlfn.XLOOKUP(BA243,Щиты[Щит],Щиты[Iр, А]),""),IFERROR(_xlfn.IFS(BH243=1,BF243/((Uн_лин/SQRT(3))*BM243),BH243=3,BF243/(SQRT(3)*Uн_лин*BM243)),"")))</f>
        <v>1.0939268258329751</v>
      </c>
      <c r="BO243">
        <f>IF(D243="","",IF(N(X243)=0,IFERROR(VLOOKUP(BN243,Автомат_номиналы,2,TRUE),""),X243))</f>
        <v>6</v>
      </c>
      <c r="BP243">
        <f t="shared" si="273"/>
        <v>1</v>
      </c>
      <c r="BQ243">
        <f>IF(ISNUMBER(Y243),Y243,К_прокл)</f>
        <v>1</v>
      </c>
      <c r="BR243">
        <f t="shared" si="274"/>
        <v>2</v>
      </c>
      <c r="BS243" cm="1">
        <f t="array" ref="BS243">IF(D243="","",IF(N(BK243)&lt;&gt;0,BK243,IFERROR(_xlfn.LET(_xlpm.need,BO243/(BP243*BQ243),_xlpm.t,CHOOSE(BR243,Iдоп_1ж,Iдоп_2ж,Iдоп_3ж),_xlpm.k,_xlfn.XMATCH(_xlpm.need,_xlpm.t,1),IF(ISNA(_xlpm.k),"Не исп",INDEX(Iдоп_S,_xlpm.k))),"Не исп")))</f>
        <v>2.5</v>
      </c>
      <c r="BT243">
        <f>IFERROR(VLOOKUP(BS243,Кабель_сопротивление,3,FALSE),"")</f>
        <v>2.2499999999999999E-2</v>
      </c>
      <c r="BU243">
        <f>IFERROR(VLOOKUP(BS243,Кабель_сопротивление,2,FALSE),"")</f>
        <v>0.1</v>
      </c>
      <c r="BV243">
        <f t="shared" si="275"/>
        <v>60</v>
      </c>
      <c r="BW243">
        <f>IF(D243="","",IFERROR(IF(VLOOKUP(AT243,Потребители_обозначение,4,FALSE)=1,VLOOKUP(AT243,Потребители_обозначение,3,FALSE)*(H243*2-1)+BV243+VLOOKUP(AV243,Этаж_обозначение,3,FALSE)+VLOOKUP(AV243,Этаж_обозначение,4,FALSE),VLOOKUP(AT243,Потребители_обозначение,3,FALSE)*(H243*2-1)+BV243),BV243))</f>
        <v>81</v>
      </c>
      <c r="BX243">
        <f t="shared" si="276"/>
        <v>53</v>
      </c>
      <c r="BY243" t="str">
        <f t="shared" si="277"/>
        <v/>
      </c>
      <c r="BZ243">
        <f t="shared" si="278"/>
        <v>2</v>
      </c>
      <c r="CA243">
        <f t="shared" si="279"/>
        <v>0.31</v>
      </c>
      <c r="CB243">
        <f t="shared" si="280"/>
        <v>1.520691746980587</v>
      </c>
      <c r="CC243">
        <f>IFERROR(ROUNDUP(CB243/((Uн_лин/SQRT(3))*1000)*100,2),"")</f>
        <v>0.66</v>
      </c>
      <c r="CD243">
        <f>IF(ISNUMBER(CC243),CC243+IFERROR(_xlfn.XLOOKUP(A243,Щиты[Щит],Щиты[ΔU до шин, %]),0),"")</f>
        <v>1.9100000000000001</v>
      </c>
      <c r="CE243">
        <f>IF(D243="","",IF(IFERROR(VLOOKUP(AT243,УГО_спр,2,FALSE),"")="Светильник",3,4)+IF(Методика="нормы 2026",MIN(0.5,MAX(0,N(BW243)-100)*0.005),0))</f>
        <v>4</v>
      </c>
      <c r="CF243" t="str">
        <f>IFERROR(VLOOKUP(BI243,Кабель_обозначение,2,FALSE),"")</f>
        <v>ВВГнг(А)-LS</v>
      </c>
      <c r="CG243" t="str">
        <f>IFERROR(IF(VLOOKUP(BI243,Кабель_обозначение,3,FALSE)=1,CF243&amp;" ("&amp;BJ243&amp;"х"&amp;BS243&amp;")",CF243),"")</f>
        <v>ВВГнг(А)-LS (3х2,5)</v>
      </c>
      <c r="CH243" t="str">
        <f t="shared" si="281"/>
        <v>ВВГнг(А)-LS (3х2,5)
L=81-0,66%</v>
      </c>
      <c r="CI243">
        <f>IFERROR(2*ρкз_Cu*BW243/BS243,"")</f>
        <v>1.70424</v>
      </c>
      <c r="CJ243">
        <f t="shared" si="282"/>
        <v>0.56700000000000006</v>
      </c>
      <c r="CK243" t="str">
        <f>IFERROR(IF(OR(D243="",NOT(ISNUMBER(BS243)),N(BW243)=0),"",_xlfn.XLOOKUP(A243,Щиты[Щит],Щиты[Zпетли на шинах, Ом])+CI243),"")</f>
        <v/>
      </c>
      <c r="CL243" t="str">
        <f>IF(ISNUMBER(CK243),c_min*(Uн_лин*1000/SQRT(3))/CK243,"")</f>
        <v/>
      </c>
      <c r="CM243" t="str">
        <f>IFERROR(IF(OR(D243="",NOT(ISNUMBER(BS243))),"",1.05*(Uн_лин*1000/SQRT(3))/(_xlfn.XLOOKUP(A243,Щиты[Щит],Щиты[Zmax на шинах, Ом])+CJ243)/1000),"")</f>
        <v/>
      </c>
      <c r="CN243" t="str">
        <f>IF(D243="","",IF(BA243&lt;&gt;"","Щит",IF(K243&lt;&gt;"",K243,IF(ISNUMBER(L243),"Сил",IF(IFERROR(_xlfn.XLOOKUP(AT243,Коды_код,Коды_группа)&amp;"","")="","Быт",_xlfn.XLOOKUP(AT243,Коды_код,Коды_группа)&amp;"")))))</f>
        <v>Быт</v>
      </c>
      <c r="CO243">
        <f>IF(CN243="Щит","щит",IF(CN243="","",IF(CN243="Быт",IFERROR(_xlfn.XLOOKUP(A243,Щиты[Щит],Щиты[Кс быт]),1),IF(CN243="Сил",IF(ISNUMBER(L243),L243,IF(Методика="нормы 2026",IFERROR(_xlfn.XLOOKUP(A243,Щиты[Щит],Щиты[Кс силовых (табл. 7.5)]),1),1)),IF(OR(CN243="Пост",CN243="Отоп"),1,IF(CN243="ВНГ",0.7,0))))))</f>
        <v>0.57830000000000004</v>
      </c>
      <c r="CP243">
        <f t="shared" si="283"/>
        <v>1</v>
      </c>
      <c r="CQ243">
        <f t="shared" si="284"/>
        <v>0.24</v>
      </c>
      <c r="CR243">
        <f t="shared" si="285"/>
        <v>0.24</v>
      </c>
      <c r="CS243">
        <f t="shared" si="286"/>
        <v>0</v>
      </c>
      <c r="CT243">
        <f t="shared" si="287"/>
        <v>0</v>
      </c>
      <c r="CU243">
        <f t="shared" si="288"/>
        <v>0</v>
      </c>
      <c r="CV243">
        <f t="shared" si="289"/>
        <v>0</v>
      </c>
      <c r="CW243">
        <f t="shared" si="290"/>
        <v>0.24</v>
      </c>
      <c r="CX243">
        <f t="shared" si="291"/>
        <v>0.22799999999999998</v>
      </c>
      <c r="CY243">
        <f t="shared" si="292"/>
        <v>1</v>
      </c>
      <c r="CZ243" t="str">
        <f t="shared" si="293"/>
        <v>L1</v>
      </c>
      <c r="DA243" cm="1">
        <f t="array" ref="DA243">IFERROR(IF(BL243=2,_xlfn.IFS(BH243=3,VLOOKUP(BF243,Справочная_двигатели,3,FALSE),BH243=1,VLOOKUP(BF243,Справочная_двигатели,5,TRUE)),0),0)</f>
        <v>0</v>
      </c>
      <c r="DB243">
        <f>IFERROR(IF(BL243=3,VLOOKUP(BF243,Справочная_ЛЭД,2,TRUE),0),0)</f>
        <v>0</v>
      </c>
      <c r="DC243">
        <f t="shared" si="294"/>
        <v>0</v>
      </c>
      <c r="DD243" t="str">
        <f t="shared" si="295"/>
        <v>L1</v>
      </c>
      <c r="DE243" t="str" cm="1">
        <f t="array" ref="DE243">IF(D243="","",IFERROR(INDEX({"I особая","I","II","III"},MATCH(TRIM(AA243&amp;""),{"I особая","I","II","III"},0)),"III"))</f>
        <v>II</v>
      </c>
      <c r="DF243" t="str">
        <f>IF(D243="","",IF(TRIM(AB243&amp;"")&lt;&gt;"",IF(LOWER(TRIM(AB243&amp;""))="да","да","нет"),IF(IFERROR(_xlfn.XLOOKUP(AT243,Коды_код,Коды_пожарная),"")="да","да","нет")))</f>
        <v>нет</v>
      </c>
      <c r="DG243" t="str">
        <f t="shared" si="296"/>
        <v/>
      </c>
      <c r="DH243" t="str">
        <f t="shared" si="297"/>
        <v>основная</v>
      </c>
      <c r="DI243">
        <f t="shared" si="298"/>
        <v>1</v>
      </c>
      <c r="DJ243" t="str" cm="1">
        <f t="array" ref="DJ243">IF(D243="","",_xlfn.LET(_xlpm.t,IFERROR(_xlfn.XLOOKUP(1,(Шины[Шина]=DH243)*(((Шины[Щит]=A243)+(Шины[Щит]=""))&gt;0),Шины[Тип]),"")&amp;"",IF(_xlpm.t&lt;&gt;"",_xlpm.t,IF(ISNUMBER(SEARCH("ИБП",DH243)),"ИБП",IF(ISNUMBER(SEARCH("ДГУ",DH243)),"ДГУ","Ввод "&amp;DI243)))))</f>
        <v>Ввод 1</v>
      </c>
      <c r="DK243" t="str">
        <f t="shared" si="299"/>
        <v>Ввод 1</v>
      </c>
      <c r="DL243" t="str">
        <f>IF(D243="","",IF(OR(DJ243="ИБП",DJ243="ДГУ"),"I особая",IF(DJ243="Одиночная","III",_xlfn.XLOOKUP(A243,Щиты[Щит],Щиты[Категория шины «Ввод»],"III"))))</f>
        <v>II</v>
      </c>
      <c r="DM243">
        <f>IF(D243="",0,IFERROR(MATCH(DE243,{"III","II","I","I особая"},0),1))</f>
        <v>2</v>
      </c>
      <c r="DN243">
        <f t="shared" si="300"/>
        <v>2</v>
      </c>
      <c r="DO243" t="str">
        <f>IF(D243="","",IF(DM243&gt;IFERROR(MATCH(DL243,{"III","II","I","I особая"},0),1),"НЕ ОБЕСПЕЧЕНА","ОК"))</f>
        <v>ОК</v>
      </c>
      <c r="DP243" t="str">
        <f>IF(A243="","",_xlfn.XLOOKUP(A243,Щиты[Щит],Щиты[Путь],""))</f>
        <v>|ГРЩ-ЖД|ЩР-1|</v>
      </c>
      <c r="DQ243" t="str">
        <f>IF(D243="","",IF(Z243&lt;&gt;"",Z243,IF(IFERROR(_xlfn.XLOOKUP(AT243,Коды_код,Коды_вид)&amp;"","")="","Прочее",_xlfn.XLOOKUP(AT243,Коды_код,Коды_вид)&amp;"")))</f>
        <v>Розеточная сеть и бытовые приборы</v>
      </c>
      <c r="DR243">
        <f>IF(BD243="","",INT((BD243-1)/Столбцов_на_лист)+1)</f>
        <v>2</v>
      </c>
      <c r="DS243" t="str">
        <f t="shared" si="301"/>
        <v>ВВГнг(А)-LS (3х2,5) L=81-0,66%</v>
      </c>
      <c r="DT243">
        <f t="shared" si="302"/>
        <v>0.24</v>
      </c>
      <c r="DU243">
        <f t="shared" si="303"/>
        <v>1.1000000000000001</v>
      </c>
      <c r="DV243">
        <f t="shared" si="304"/>
        <v>1</v>
      </c>
      <c r="DW243">
        <f>IF(AT243="",0,_xlfn.LET(_xlpm.v,IFERROR(VLOOKUP(D243,УГО_спр,3,FALSE),IFERROR(VLOOKUP(AT243,УГО_спр,3,FALSE),IFERROR(VLOOKUP(LEFT(AT243,2),УГО_спр,3,FALSE),""))),IF(_xlpm.v="да",30,IF(ISNUMBER(_xlpm.v),_xlpm.v,0))))</f>
        <v>30</v>
      </c>
      <c r="DX243">
        <f t="shared" si="305"/>
        <v>0</v>
      </c>
      <c r="DY243">
        <f>IF(BD243="","",IF(AD243&lt;&gt;"",COUNTIFS(A$3:A243,A243,AD$3:AD243,"?*"),IF(OR(OR(AS243=1,A243&lt;&gt;A242),AL243="вручную"),"",IF(AS243=1,"",DZ242))))</f>
        <v>19</v>
      </c>
      <c r="DZ243">
        <f t="shared" si="306"/>
        <v>19</v>
      </c>
      <c r="EA243">
        <f>IF(D243="",0,MAX(IFERROR(--X243,0),IFERROR(--VLOOKUP(D243,УГО_спр,4,FALSE),IFERROR(--VLOOKUP(AT243,УГО_спр,4,FALSE),IFERROR(--VLOOKUP(LEFT(AT243,2),УГО_спр,4,FALSE),0)))))</f>
        <v>16</v>
      </c>
      <c r="EB243">
        <f>IF(D243="","",IFERROR(LOOKUP(INDEX(CHOOSE(BR243,Iдоп_1ж,Iдоп_2ж,Iдоп_3ж),MATCH(BS243,Iдоп_S,0))*BP243*BQ243,{6,10,16,20,25,32,40,50,63,80,100,125,160,200,250,315,400,500,630}),""))</f>
        <v>25</v>
      </c>
      <c r="EC243">
        <f>IF(AD243="","",SUMIFS(Линии[_Ток схемы],Линии[_гр.],DY243,Линии[Щит],A243,Линии[_в кабель выше],0))</f>
        <v>1.1000000000000001</v>
      </c>
      <c r="ED243">
        <f>IF(AD243="","",IFERROR(VLOOKUP(EC243,Автомат_номиналы,2,TRUE),""))</f>
        <v>6</v>
      </c>
      <c r="EE243">
        <f>IF(AD243="","",MAX(N(ED243),_xlfn.MAXIFS(Линии[_мин. по типу],Линии[_гр.],DY243,Линии[Щит],A243)))</f>
        <v>16</v>
      </c>
      <c r="EF243">
        <f>IF(AD243="","",_xlfn.MINIFS(Линии[_макс. автомат по кабелю],Линии[_гр.],DY243,Линии[Щит],A243))</f>
        <v>25</v>
      </c>
      <c r="EG243">
        <f>IF(AD243="","",MAX(1,_xlfn.MAXIFS(Линии[_фаз],Линии[_гр.],DY243,Линии[Щит],A243)))</f>
        <v>1</v>
      </c>
      <c r="EH243">
        <f>IF(AD243="","",IF(AND(AD243&lt;&gt;"авто",AD243&lt;&gt;"+"),IF(ISNUMBER(SEARCH("мА",AD243)),IFERROR(--TRIM(RIGHT(SUBSTITUTE(LEFT(AD243,SEARCH("мА",AD243)-1)," ",REPT(" ",9)),6)),30),0),IF(AE243="нет",0,IF(ISNUMBER(AE243),AE243,IF(AE243="да",30,_xlfn.MINIFS(Линии[_дифзащита по коду, мА],Линии[_гр.],DY243,Линии[Щит],A243,Линии[_дифзащита по коду, мА],"&gt;0"))))))</f>
        <v>30</v>
      </c>
      <c r="EI243">
        <f t="shared" si="307"/>
        <v>1</v>
      </c>
      <c r="EJ243" t="str">
        <f t="shared" si="308"/>
        <v>QFD19</v>
      </c>
      <c r="EK243" t="str">
        <f t="shared" si="309"/>
        <v>QFD19</v>
      </c>
      <c r="EL243" t="str">
        <f t="shared" si="310"/>
        <v/>
      </c>
      <c r="EM243">
        <f t="shared" si="311"/>
        <v>0</v>
      </c>
      <c r="EN243">
        <f>IF(AD243="","",IF(EM243=1,MAX(EE243,Мин_автомат_БП),EE243))</f>
        <v>16</v>
      </c>
      <c r="EO243" t="str">
        <f t="shared" si="312"/>
        <v>2P</v>
      </c>
      <c r="EP243" t="str">
        <f t="shared" si="313"/>
        <v>2P С16А 30мА</v>
      </c>
      <c r="EQ243">
        <f t="shared" si="314"/>
        <v>16</v>
      </c>
      <c r="ER243" t="str">
        <f>IF(OR(AI243="",AI243="-"),"",IFERROR(VLOOKUP(AI243,Модули_спр,2,FALSE),"R"))</f>
        <v/>
      </c>
      <c r="ES243" t="str">
        <f>IF(ER243="","",ER243&amp;"."&amp;COUNTIFS(A$3:A243,A243,ER$3:ER243,ER243))</f>
        <v/>
      </c>
      <c r="ET243" t="str">
        <f t="shared" si="315"/>
        <v/>
      </c>
      <c r="EU243" t="str">
        <f t="shared" si="316"/>
        <v/>
      </c>
      <c r="EV243" t="str">
        <f t="shared" si="317"/>
        <v/>
      </c>
      <c r="EW243" t="str">
        <f t="shared" si="318"/>
        <v/>
      </c>
      <c r="EX243">
        <f t="shared" si="319"/>
        <v>1</v>
      </c>
      <c r="EY243" t="str">
        <f>IF(AK243="нет","",IF(AK243&lt;&gt;"",AK243,IF(EX243=1,"XT"&amp;COUNTIFS(A$3:A243,A243,EX$3:EX243,1),"")))</f>
        <v/>
      </c>
      <c r="EZ243" t="str">
        <f t="shared" si="320"/>
        <v>QFD19</v>
      </c>
      <c r="FA243" t="str">
        <f t="shared" si="321"/>
        <v/>
      </c>
      <c r="FB243" t="str">
        <f t="shared" si="322"/>
        <v>ok</v>
      </c>
      <c r="FC243" t="str">
        <f>IF(OR(EV243="",ET243=""),"",IF(EV243&gt;IFERROR(VLOOKUP(EU243,Модули_спр,3,FALSE),99),"ЛИШНИЙ КАНАЛ",IF(AND(AJ243&lt;&gt;"=",COUNTIFS(Линии[_модуль гр.],ET243,Линии[Канал (итог)],EV243,Линии[Канал],"&lt;&gt;=",Линии[Щит],A243)&gt;1),"ДУБЛЬ КАНАЛА","")))</f>
        <v/>
      </c>
      <c r="FD243">
        <f t="shared" si="323"/>
        <v>16</v>
      </c>
      <c r="FE243" t="str">
        <f t="shared" si="324"/>
        <v>2P С16А 30мА</v>
      </c>
      <c r="FF243">
        <f t="shared" si="325"/>
        <v>1</v>
      </c>
      <c r="FG243">
        <f t="shared" si="326"/>
        <v>30</v>
      </c>
      <c r="FH243" t="str">
        <f t="shared" si="327"/>
        <v/>
      </c>
      <c r="FI243">
        <f t="shared" si="328"/>
        <v>10</v>
      </c>
      <c r="FJ243" t="str">
        <f t="shared" si="329"/>
        <v/>
      </c>
      <c r="FK243" t="str">
        <f>IF(AND(D243="",EZ243=""),"",_xlfn.TEXTJOIN("; ",TRUE,IF(AND(D243&lt;&gt;"",DD243=""),"нет фазы",""),IF(AND(D243&lt;&gt;"",N(DT243)=0,CN243&lt;&gt;"Нет"),"нет мощности",""),IF(AND(EY243&lt;&gt;"",COUNTIFS(Линии[Щит],A243,Линии[Клемма (итог)],EY243)&gt;1),"дубль клеммы "&amp;EY243,""),IF(AND(FB243&lt;&gt;"",FB243&lt;&gt;"ok"),FB243,""),IF(FC243&lt;&gt;"",FC243,""),IF(AND(ISNUMBER(SEARCH("(5х",DS243)),N(DV243)=1),"5 жил на 1 фазе",""),IF(AND(AT243="R",AD243&lt;&gt;"",OR(N(EH243)=0,N(EH243)&gt;30)),"розетка без дифзащиты до 30 мА",""),IFERROR(IF(AND(ISNUMBER(CD243),CD243&gt;CE243),"потери "&amp;FIXED(CD243,1)&amp;" % &gt; "&amp;CE243&amp;" %",""),""),IFERROR(IF(LEFT(FJ243,4)="мало","Iкз мало — отключение &gt; 0,4 с",""),""),IF(AND(D243&lt;&gt;"",BD243=""),"не на схеме","")))</f>
        <v/>
      </c>
      <c r="FL243">
        <f>IF(AD243="","",_xlfn.LET(_xlpm.t,IFERROR(_xlfn.XLOOKUP(EP243,Каталог!$U$4:$U$500,Каталог!$G$4:$G$500),""),_xlpm.k,SEARCH("кА",_xlpm.t),IFERROR(--TRIM(RIGHT(SUBSTITUTE(MID(_xlpm.t,MAX(1,_xlpm.k-4),_xlpm.k-MAX(1,_xlpm.k-4))," ",REPT(" ",9)),5)),"")))</f>
        <v>6</v>
      </c>
      <c r="FM243" t="str">
        <f>IF(OR(FL243="",AD243=""),"",IF(_xlfn.XLOOKUP(A243,Щиты[Щит],Щиты[Iкз max на шинах, кА],"")="","",IF(FL243&lt;_xlfn.XLOOKUP(A243,Щиты[Щит],Щиты[Iкз max на шинах, кА]),"Icu "&amp;FL243&amp;" кА &lt; Iкз max","ok")))</f>
        <v/>
      </c>
      <c r="FN243" t="str">
        <f t="shared" si="330"/>
        <v>QFD19</v>
      </c>
      <c r="FO243" t="str">
        <f t="shared" si="331"/>
        <v>QFD19|кабель ВВГнг(А)-LS (3х2,5) → Розеточная группа Первый этаж Пом. №003Aб</v>
      </c>
      <c r="FP243" t="str" cm="1">
        <f t="array" ref="FP243">IF(FO243="","",_xlfn.LET(_xlpm.nd,_xlfn.TEXTSPLIT(FO243,"|"),IF(COLUMNS(_xlpm.nd)&gt;1,A243&amp;"¦"&amp;INDEX(_xlpm.nd,1)&amp;"¦"&amp;INDEX(_xlpm.nd,2),"")))</f>
        <v>ЩР-1¦QFD19¦кабель ВВГнг(А)-LS (3х2,5) → Розеточная группа Первый этаж Пом. №003Aб</v>
      </c>
      <c r="FQ243" t="str">
        <f t="shared" si="332"/>
        <v>R.1.003Aб.1¦Розеточная группа Первый этаж Пом. №003Aб</v>
      </c>
      <c r="FR243" t="str" cm="1">
        <f t="array" ref="FR243">IF(FO243="","",_xlfn.LET(_xlpm.nd,_xlfn.TEXTSPLIT(FO243,"|"),IF(COLUMNS(_xlpm.nd)&gt;2,A243&amp;"¦"&amp;INDEX(_xlpm.nd,2)&amp;"¦"&amp;INDEX(_xlpm.nd,3),"")))</f>
        <v/>
      </c>
      <c r="FS243" t="str">
        <f t="shared" si="333"/>
        <v/>
      </c>
      <c r="FT243" t="str" cm="1">
        <f t="array" ref="FT243">IF(FO243="","",_xlfn.LET(_xlpm.nd,_xlfn.TEXTSPLIT(FO243,"|"),IF(COLUMNS(_xlpm.nd)&gt;3,A243&amp;"¦"&amp;INDEX(_xlpm.nd,3)&amp;"¦"&amp;INDEX(_xlpm.nd,4),"")))</f>
        <v/>
      </c>
      <c r="FU243" t="str">
        <f t="shared" si="334"/>
        <v/>
      </c>
      <c r="FV243" t="str" cm="1">
        <f t="array" ref="FV243">IF(FO243="","",_xlfn.LET(_xlpm.nd,_xlfn.TEXTSPLIT(FO243,"|"),IF(COLUMNS(_xlpm.nd)&gt;4,A243&amp;"¦"&amp;INDEX(_xlpm.nd,4)&amp;"¦"&amp;INDEX(_xlpm.nd,5),"")))</f>
        <v/>
      </c>
      <c r="FW243" t="str">
        <f t="shared" si="335"/>
        <v/>
      </c>
      <c r="FX243" t="str" cm="1">
        <f t="array" ref="FX243">IF(FO243="","",_xlfn.LET(_xlpm.nd,_xlfn.TEXTSPLIT(FO243,"|"),IF(COLUMNS(_xlpm.nd)&gt;5,A243&amp;"¦"&amp;INDEX(_xlpm.nd,5)&amp;"¦"&amp;INDEX(_xlpm.nd,6),"")))</f>
        <v/>
      </c>
      <c r="FY243" t="str">
        <f t="shared" si="336"/>
        <v/>
      </c>
      <c r="FZ243" t="str" cm="1">
        <f t="array" ref="FZ243">IF(FO243="","",_xlfn.LET(_xlpm.nd,_xlfn.TEXTSPLIT(FO243,"|"),IF(COLUMNS(_xlpm.nd)&gt;6,A243&amp;"¦"&amp;INDEX(_xlpm.nd,6)&amp;"¦"&amp;INDEX(_xlpm.nd,7),"")))</f>
        <v/>
      </c>
      <c r="GA243" t="str">
        <f t="shared" si="337"/>
        <v/>
      </c>
      <c r="GB243" t="str">
        <f t="shared" si="338"/>
        <v/>
      </c>
      <c r="GC243" t="str">
        <f t="shared" si="339"/>
        <v>QFD19</v>
      </c>
      <c r="GD243">
        <f t="shared" si="340"/>
        <v>1</v>
      </c>
      <c r="GE243">
        <f t="shared" si="341"/>
        <v>0</v>
      </c>
      <c r="GF243">
        <f t="shared" si="342"/>
        <v>1</v>
      </c>
      <c r="GG243" t="str">
        <f t="shared" si="343"/>
        <v/>
      </c>
      <c r="GH243" t="str">
        <f t="shared" si="344"/>
        <v/>
      </c>
      <c r="GI243" t="str">
        <f t="shared" si="345"/>
        <v/>
      </c>
      <c r="GJ243" t="str">
        <f t="shared" si="346"/>
        <v/>
      </c>
      <c r="GK243" t="str">
        <f>IF(D243="","",IFERROR(VLOOKUP(D243,УГО_спр,2,FALSE),IFERROR(VLOOKUP(AT243,УГО_спр,2,FALSE),IFERROR(VLOOKUP(LEFT(AT243,2),УГО_спр,2,FALSE),""))))</f>
        <v>Розетка</v>
      </c>
      <c r="GL243" t="str">
        <f>IF(D243="","",IF(OR(GK243="",GK243=0),"BOX",IFERROR(IF(VLOOKUP(GK243,УГО_блоки,3,FALSE)&amp;""&lt;&gt;"",VLOOKUP(GK243,УГО_блоки,3,FALSE),VLOOKUP(GK243,УГО_блоки,2,FALSE)),GK243)))</f>
        <v>SOCKET</v>
      </c>
      <c r="GM243">
        <f t="shared" si="347"/>
        <v>1</v>
      </c>
      <c r="GN243" t="str">
        <f>IF(EP243="","",IF(COUNTIF(EP$3:EP243,EP243)=1,MAX(GN$2:GN242)+1,""))</f>
        <v/>
      </c>
      <c r="GO243" t="str">
        <f>IF(AF243="","",IF(COUNTIF(AF$3:AF243,AF243)+COUNTIF(AG$2:AG242,AF243)+COUNTIF(AH$2:AH242,AF243)=1,MAX(GO$2:GQ242)+1,""))</f>
        <v/>
      </c>
      <c r="GP243" t="str">
        <f>IF(AG243="","",IF(COUNTIF(AF$3:AF243,AG243)+COUNTIF(AG$3:AG243,AG243)+COUNTIF(AH$2:AH242,AG243)=1,MAX(GO$2:GQ242,GO243)+1,""))</f>
        <v/>
      </c>
      <c r="GQ243" t="str">
        <f>IF(AH243="","",IF(COUNTIF(AF$3:AF243,AH243)+COUNTIF(AG$3:AG243,AH243)+COUNTIF(AH$3:AH243,AH243)=1,MAX(GO$2:GQ242,GO243,GP243)+1,""))</f>
        <v/>
      </c>
      <c r="GR243" t="str">
        <f t="shared" si="348"/>
        <v>3х2,5</v>
      </c>
      <c r="GS243" t="str">
        <f>IF(GR243="","",IF(COUNTIF(GR$3:GR243,GR243)=1,MAX(GS$2:GS242)+1,""))</f>
        <v/>
      </c>
      <c r="GT243" t="str">
        <f>IF(ES243="","",COUNTIF(ES$3:ES243,"?*"))</f>
        <v/>
      </c>
      <c r="GU243" t="str">
        <f>IF(OR(ES243="",EU243=""),"",IF(COUNTIFS(ES$3:ES243,"?*",EU$3:EU243,EU243)=1,MAX(GU$2:GU242)+1,""))</f>
        <v/>
      </c>
      <c r="GV243">
        <f t="shared" si="349"/>
        <v>0</v>
      </c>
      <c r="GW243">
        <f>IF(D243="","",COUNTIF(D$3:D243,"?*"))</f>
        <v>241</v>
      </c>
      <c r="GX243">
        <f>IF(EX243&lt;&gt;1,0,_xlfn.LET(_xlpm.k,MAX(IFERROR(--VLOOKUP(D243,УГО_спр,5,FALSE),0),IFERROR(--VLOOKUP(AT243,УГО_спр,5,FALSE),0),IFERROR(--VLOOKUP(LEFT(AT243,2),УГО_спр,5,FALSE),0)),IF(_xlpm.k&gt;0,_xlpm.k,IF(IFERROR(--LEFT(SUBSTITUTE(GR243,"x","х"),FIND("х",SUBSTITUTE(GR243,"x","х"))-1),3)&gt;3,Каталог!$S$9,1))))</f>
        <v>1</v>
      </c>
      <c r="GY243">
        <f t="shared" si="350"/>
        <v>0</v>
      </c>
    </row>
    <row r="244" spans="1:207" x14ac:dyDescent="0.3">
      <c r="A244" t="s">
        <v>762</v>
      </c>
      <c r="B244">
        <v>30</v>
      </c>
      <c r="C244" t="str">
        <f>IF(BD244="","",IF(BE244="вводной узел","узел ","")&amp;"л."&amp;(INT((BD244-1)/Столбцов_на_лист)+1)&amp;" / "&amp;(MOD(BD244-1,Столбцов_на_лист)+1))</f>
        <v>л.2 / 13</v>
      </c>
      <c r="D244" t="s">
        <v>1566</v>
      </c>
      <c r="E244" s="133" t="str">
        <f t="shared" si="351"/>
        <v>Розеточная группа Первый этаж Пом. №003Б</v>
      </c>
      <c r="G244">
        <v>0.24</v>
      </c>
      <c r="H244">
        <v>3</v>
      </c>
      <c r="I244">
        <v>1</v>
      </c>
      <c r="J244">
        <v>230</v>
      </c>
      <c r="K244" t="s">
        <v>566</v>
      </c>
      <c r="O244">
        <v>2</v>
      </c>
      <c r="P244">
        <v>13</v>
      </c>
      <c r="Q244">
        <v>0</v>
      </c>
      <c r="R244">
        <v>0</v>
      </c>
      <c r="S244">
        <v>23</v>
      </c>
      <c r="U244" t="s">
        <v>11</v>
      </c>
      <c r="V244">
        <v>3</v>
      </c>
      <c r="W244">
        <v>2.5</v>
      </c>
      <c r="Z244" t="s">
        <v>565</v>
      </c>
      <c r="AA244" t="s">
        <v>818</v>
      </c>
      <c r="AD244" t="s">
        <v>517</v>
      </c>
      <c r="AK244" t="s">
        <v>488</v>
      </c>
      <c r="AR244" t="str">
        <f t="shared" si="264"/>
        <v/>
      </c>
      <c r="AS244" cm="1">
        <f t="array" ref="AS244">ROW()-ROW(Линии[#Headers])</f>
        <v>242</v>
      </c>
      <c r="AT244" t="str">
        <f t="shared" si="265"/>
        <v>R</v>
      </c>
      <c r="AU244" t="str">
        <f t="shared" si="266"/>
        <v>1.003Б.1</v>
      </c>
      <c r="AV244" t="str">
        <f t="shared" si="267"/>
        <v>1</v>
      </c>
      <c r="AW244" t="str">
        <f t="shared" si="268"/>
        <v>003Б.1</v>
      </c>
      <c r="AX244" t="str">
        <f t="shared" si="269"/>
        <v>003Б</v>
      </c>
      <c r="AY244" t="str">
        <f>IF(D244="","",IF(ISERROR(SEARCH(".",D244)),IFERROR(VLOOKUP(D244,Потребители_обозначение,2,FALSE)&amp;"",""),IFERROR(IF(VLOOKUP(AT244,Потребители_обозначение,4,FALSE)=1,VLOOKUP(AT244,Потребители_обозначение,2,FALSE)&amp;" "&amp;VLOOKUP(AV244,Этаж_обозначение,2,FALSE)&amp;" Пом. №"&amp;AX244,VLOOKUP(AT244,Потребители_обозначение,2,FALSE)&amp;" Шлейф №"&amp;AV244),IFERROR(VLOOKUP(D244,Потребители_обозначение,2,FALSE),""))))</f>
        <v>Розеточная группа Первый этаж Пом. №003Б</v>
      </c>
      <c r="AZ244" t="str">
        <f t="shared" si="270"/>
        <v>Розеточная группа Первый этаж Пом. №003Б</v>
      </c>
      <c r="BA244" t="str">
        <f>IF(F244&lt;&gt;"",F244,IF(AND(D244&lt;&gt;"",D244&lt;&gt;A244,ISNUMBER(_xlfn.XMATCH(D244,Щиты[Щит]))),D244,""))</f>
        <v/>
      </c>
      <c r="BB244">
        <f>IFERROR(_xlfn.XMATCH(A244,Щиты[Щит]),0)</f>
        <v>10</v>
      </c>
      <c r="BC244">
        <f>IFERROR(N(_xlfn.XLOOKUP(A244,Щиты[Щит],Щиты[Мест под вводной узел])),15)</f>
        <v>8</v>
      </c>
      <c r="BD244">
        <f t="shared" si="271"/>
        <v>30</v>
      </c>
      <c r="BE244" t="str">
        <f t="shared" si="272"/>
        <v>линии</v>
      </c>
      <c r="BF244">
        <f>IF(D244="","",IF(BA244&lt;&gt;"",IFERROR(_xlfn.XLOOKUP(BA244,Щиты[Щит],Щиты[Руст, кВт]),0),N(G244)))</f>
        <v>0.24</v>
      </c>
      <c r="BG244">
        <f>IF(J244&lt;&gt;"",J244,IF(D244="","",IFERROR(IF(VLOOKUP(AT244,Потребители_обозначение,8,FALSE)=0,"",VLOOKUP(AT244,Потребители_обозначение,8,FALSE)),"")))</f>
        <v>230</v>
      </c>
      <c r="BH244">
        <f>IF(I244&lt;&gt;"",I244,IF(D244="","",IFERROR(IF(VLOOKUP(AT244,Потребители_обозначение,9,FALSE)=0,"",VLOOKUP(AT244,Потребители_обозначение,9,FALSE)),"")))</f>
        <v>1</v>
      </c>
      <c r="BI244" t="str">
        <f>IF(U244&lt;&gt;"",U244,IF(D244="","",IFERROR(IF(VLOOKUP(AT244,Потребители_обозначение,6,FALSE)=0,"",VLOOKUP(AT244,Потребители_обозначение,6,FALSE)),"")))</f>
        <v>мс</v>
      </c>
      <c r="BJ244">
        <f>IF(V244&lt;&gt;"",V244,IF(D244="","",IFERROR(IF(VLOOKUP(AT244,Потребители_обозначение,7,FALSE)=0,"",VLOOKUP(AT244,Потребители_обозначение,7,FALSE)),"")))</f>
        <v>3</v>
      </c>
      <c r="BK244">
        <f>IF(W244&lt;&gt;"",W244,IF(D244="","",IFERROR(IF(VLOOKUP(AT244,Потребители_обозначение,10,FALSE)=0,"",VLOOKUP(AT244,Потребители_обозначение,10,FALSE)),"")))</f>
        <v>2.5</v>
      </c>
      <c r="BL244">
        <f>IFERROR(VLOOKUP(AT244,Потребители_обозначение,5,FALSE),0)</f>
        <v>1</v>
      </c>
      <c r="BM244" cm="1">
        <f t="array" ref="BM244">IF(D244="","",IF(BA244&lt;&gt;"",IFERROR(_xlfn.XLOOKUP(BA244,Щиты[Щит],Щиты[cos φ]),0.95),IF(ISNUMBER(M244),M244,IFERROR(IF(BL244=2,_xlfn.IFS(BH244=3,VLOOKUP(BF244,Справочная_двигатели,8,FALSE),BH244=1,VLOOKUP(BF244,Справочная_двигатели,10,TRUE)),IF(AND(Методика="нормы 2026",CN244="Сил"),0.8,0.95)),0.95))))</f>
        <v>0.95</v>
      </c>
      <c r="BN244" cm="1">
        <f t="array" ref="BN244">IF(D244="","",IF(BA244&lt;&gt;"",IFERROR(_xlfn.XLOOKUP(BA244,Щиты[Щит],Щиты[Iр, А]),""),IFERROR(_xlfn.IFS(BH244=1,BF244/((Uн_лин/SQRT(3))*BM244),BH244=3,BF244/(SQRT(3)*Uн_лин*BM244)),"")))</f>
        <v>1.0939268258329751</v>
      </c>
      <c r="BO244">
        <f>IF(D244="","",IF(N(X244)=0,IFERROR(VLOOKUP(BN244,Автомат_номиналы,2,TRUE),""),X244))</f>
        <v>6</v>
      </c>
      <c r="BP244">
        <f t="shared" si="273"/>
        <v>1</v>
      </c>
      <c r="BQ244">
        <f>IF(ISNUMBER(Y244),Y244,К_прокл)</f>
        <v>1</v>
      </c>
      <c r="BR244">
        <f t="shared" si="274"/>
        <v>2</v>
      </c>
      <c r="BS244" cm="1">
        <f t="array" ref="BS244">IF(D244="","",IF(N(BK244)&lt;&gt;0,BK244,IFERROR(_xlfn.LET(_xlpm.need,BO244/(BP244*BQ244),_xlpm.t,CHOOSE(BR244,Iдоп_1ж,Iдоп_2ж,Iдоп_3ж),_xlpm.k,_xlfn.XMATCH(_xlpm.need,_xlpm.t,1),IF(ISNA(_xlpm.k),"Не исп",INDEX(Iдоп_S,_xlpm.k))),"Не исп")))</f>
        <v>2.5</v>
      </c>
      <c r="BT244">
        <f>IFERROR(VLOOKUP(BS244,Кабель_сопротивление,3,FALSE),"")</f>
        <v>2.2499999999999999E-2</v>
      </c>
      <c r="BU244">
        <f>IFERROR(VLOOKUP(BS244,Кабель_сопротивление,2,FALSE),"")</f>
        <v>0.1</v>
      </c>
      <c r="BV244">
        <f t="shared" si="275"/>
        <v>13</v>
      </c>
      <c r="BW244">
        <f>IF(D244="","",IFERROR(IF(VLOOKUP(AT244,Потребители_обозначение,4,FALSE)=1,VLOOKUP(AT244,Потребители_обозначение,3,FALSE)*(H244*2-1)+BV244+VLOOKUP(AV244,Этаж_обозначение,3,FALSE)+VLOOKUP(AV244,Этаж_обозначение,4,FALSE),VLOOKUP(AT244,Потребители_обозначение,3,FALSE)*(H244*2-1)+BV244),BV244))</f>
        <v>28</v>
      </c>
      <c r="BX244">
        <f t="shared" si="276"/>
        <v>0</v>
      </c>
      <c r="BY244">
        <f t="shared" si="277"/>
        <v>23</v>
      </c>
      <c r="BZ244">
        <f t="shared" si="278"/>
        <v>2</v>
      </c>
      <c r="CA244">
        <f t="shared" si="279"/>
        <v>0.31</v>
      </c>
      <c r="CB244">
        <f t="shared" si="280"/>
        <v>0.52567122117847453</v>
      </c>
      <c r="CC244">
        <f>IFERROR(ROUNDUP(CB244/((Uн_лин/SQRT(3))*1000)*100,2),"")</f>
        <v>0.23</v>
      </c>
      <c r="CD244">
        <f>IF(ISNUMBER(CC244),CC244+IFERROR(_xlfn.XLOOKUP(A244,Щиты[Щит],Щиты[ΔU до шин, %]),0),"")</f>
        <v>1.48</v>
      </c>
      <c r="CE244">
        <f>IF(D244="","",IF(IFERROR(VLOOKUP(AT244,УГО_спр,2,FALSE),"")="Светильник",3,4)+IF(Методика="нормы 2026",MIN(0.5,MAX(0,N(BW244)-100)*0.005),0))</f>
        <v>4</v>
      </c>
      <c r="CF244" t="str">
        <f>IFERROR(VLOOKUP(BI244,Кабель_обозначение,2,FALSE),"")</f>
        <v>ВВГнг(А)-LS</v>
      </c>
      <c r="CG244" t="str">
        <f>IFERROR(IF(VLOOKUP(BI244,Кабель_обозначение,3,FALSE)=1,CF244&amp;" ("&amp;BJ244&amp;"х"&amp;BS244&amp;")",CF244),"")</f>
        <v>ВВГнг(А)-LS (3х2,5)</v>
      </c>
      <c r="CH244" t="str">
        <f t="shared" si="281"/>
        <v>ВВГнг(А)-LS (3х2,5)
L=28-0,23%</v>
      </c>
      <c r="CI244">
        <f>IFERROR(2*ρкз_Cu*BW244/BS244,"")</f>
        <v>0.58912000000000009</v>
      </c>
      <c r="CJ244">
        <f t="shared" si="282"/>
        <v>0.19600000000000001</v>
      </c>
      <c r="CK244" t="str">
        <f>IFERROR(IF(OR(D244="",NOT(ISNUMBER(BS244)),N(BW244)=0),"",_xlfn.XLOOKUP(A244,Щиты[Щит],Щиты[Zпетли на шинах, Ом])+CI244),"")</f>
        <v/>
      </c>
      <c r="CL244" t="str">
        <f>IF(ISNUMBER(CK244),c_min*(Uн_лин*1000/SQRT(3))/CK244,"")</f>
        <v/>
      </c>
      <c r="CM244" t="str">
        <f>IFERROR(IF(OR(D244="",NOT(ISNUMBER(BS244))),"",1.05*(Uн_лин*1000/SQRT(3))/(_xlfn.XLOOKUP(A244,Щиты[Щит],Щиты[Zmax на шинах, Ом])+CJ244)/1000),"")</f>
        <v/>
      </c>
      <c r="CN244" t="str">
        <f>IF(D244="","",IF(BA244&lt;&gt;"","Щит",IF(K244&lt;&gt;"",K244,IF(ISNUMBER(L244),"Сил",IF(IFERROR(_xlfn.XLOOKUP(AT244,Коды_код,Коды_группа)&amp;"","")="","Быт",_xlfn.XLOOKUP(AT244,Коды_код,Коды_группа)&amp;"")))))</f>
        <v>Быт</v>
      </c>
      <c r="CO244">
        <f>IF(CN244="Щит","щит",IF(CN244="","",IF(CN244="Быт",IFERROR(_xlfn.XLOOKUP(A244,Щиты[Щит],Щиты[Кс быт]),1),IF(CN244="Сил",IF(ISNUMBER(L244),L244,IF(Методика="нормы 2026",IFERROR(_xlfn.XLOOKUP(A244,Щиты[Щит],Щиты[Кс силовых (табл. 7.5)]),1),1)),IF(OR(CN244="Пост",CN244="Отоп"),1,IF(CN244="ВНГ",0.7,0))))))</f>
        <v>0.57830000000000004</v>
      </c>
      <c r="CP244">
        <f t="shared" si="283"/>
        <v>1</v>
      </c>
      <c r="CQ244">
        <f t="shared" si="284"/>
        <v>0.24</v>
      </c>
      <c r="CR244">
        <f t="shared" si="285"/>
        <v>0.24</v>
      </c>
      <c r="CS244">
        <f t="shared" si="286"/>
        <v>0</v>
      </c>
      <c r="CT244">
        <f t="shared" si="287"/>
        <v>0</v>
      </c>
      <c r="CU244">
        <f t="shared" si="288"/>
        <v>0</v>
      </c>
      <c r="CV244">
        <f t="shared" si="289"/>
        <v>0</v>
      </c>
      <c r="CW244">
        <f t="shared" si="290"/>
        <v>0.24</v>
      </c>
      <c r="CX244">
        <f t="shared" si="291"/>
        <v>0.22799999999999998</v>
      </c>
      <c r="CY244">
        <f t="shared" si="292"/>
        <v>2</v>
      </c>
      <c r="CZ244" t="str">
        <f t="shared" si="293"/>
        <v>L2</v>
      </c>
      <c r="DA244" cm="1">
        <f t="array" ref="DA244">IFERROR(IF(BL244=2,_xlfn.IFS(BH244=3,VLOOKUP(BF244,Справочная_двигатели,3,FALSE),BH244=1,VLOOKUP(BF244,Справочная_двигатели,5,TRUE)),0),0)</f>
        <v>0</v>
      </c>
      <c r="DB244">
        <f>IFERROR(IF(BL244=3,VLOOKUP(BF244,Справочная_ЛЭД,2,TRUE),0),0)</f>
        <v>0</v>
      </c>
      <c r="DC244">
        <f t="shared" si="294"/>
        <v>0</v>
      </c>
      <c r="DD244" t="str">
        <f t="shared" si="295"/>
        <v>L2</v>
      </c>
      <c r="DE244" t="str" cm="1">
        <f t="array" ref="DE244">IF(D244="","",IFERROR(INDEX({"I особая","I","II","III"},MATCH(TRIM(AA244&amp;""),{"I особая","I","II","III"},0)),"III"))</f>
        <v>II</v>
      </c>
      <c r="DF244" t="str">
        <f>IF(D244="","",IF(TRIM(AB244&amp;"")&lt;&gt;"",IF(LOWER(TRIM(AB244&amp;""))="да","да","нет"),IF(IFERROR(_xlfn.XLOOKUP(AT244,Коды_код,Коды_пожарная),"")="да","да","нет")))</f>
        <v>нет</v>
      </c>
      <c r="DG244" t="str">
        <f t="shared" si="296"/>
        <v/>
      </c>
      <c r="DH244" t="str">
        <f t="shared" si="297"/>
        <v>основная</v>
      </c>
      <c r="DI244">
        <f t="shared" si="298"/>
        <v>1</v>
      </c>
      <c r="DJ244" t="str" cm="1">
        <f t="array" ref="DJ244">IF(D244="","",_xlfn.LET(_xlpm.t,IFERROR(_xlfn.XLOOKUP(1,(Шины[Шина]=DH244)*(((Шины[Щит]=A244)+(Шины[Щит]=""))&gt;0),Шины[Тип]),"")&amp;"",IF(_xlpm.t&lt;&gt;"",_xlpm.t,IF(ISNUMBER(SEARCH("ИБП",DH244)),"ИБП",IF(ISNUMBER(SEARCH("ДГУ",DH244)),"ДГУ","Ввод "&amp;DI244)))))</f>
        <v>Ввод 1</v>
      </c>
      <c r="DK244" t="str">
        <f t="shared" si="299"/>
        <v>Ввод 1</v>
      </c>
      <c r="DL244" t="str">
        <f>IF(D244="","",IF(OR(DJ244="ИБП",DJ244="ДГУ"),"I особая",IF(DJ244="Одиночная","III",_xlfn.XLOOKUP(A244,Щиты[Щит],Щиты[Категория шины «Ввод»],"III"))))</f>
        <v>II</v>
      </c>
      <c r="DM244">
        <f>IF(D244="",0,IFERROR(MATCH(DE244,{"III","II","I","I особая"},0),1))</f>
        <v>2</v>
      </c>
      <c r="DN244">
        <f t="shared" si="300"/>
        <v>2</v>
      </c>
      <c r="DO244" t="str">
        <f>IF(D244="","",IF(DM244&gt;IFERROR(MATCH(DL244,{"III","II","I","I особая"},0),1),"НЕ ОБЕСПЕЧЕНА","ОК"))</f>
        <v>ОК</v>
      </c>
      <c r="DP244" t="str">
        <f>IF(A244="","",_xlfn.XLOOKUP(A244,Щиты[Щит],Щиты[Путь],""))</f>
        <v>|ГРЩ-ЖД|ЩР-1|</v>
      </c>
      <c r="DQ244" t="str">
        <f>IF(D244="","",IF(Z244&lt;&gt;"",Z244,IF(IFERROR(_xlfn.XLOOKUP(AT244,Коды_код,Коды_вид)&amp;"","")="","Прочее",_xlfn.XLOOKUP(AT244,Коды_код,Коды_вид)&amp;"")))</f>
        <v>Розеточная сеть и бытовые приборы</v>
      </c>
      <c r="DR244">
        <f>IF(BD244="","",INT((BD244-1)/Столбцов_на_лист)+1)</f>
        <v>2</v>
      </c>
      <c r="DS244" t="str">
        <f t="shared" si="301"/>
        <v>ВВГнг(А)-LS (3х2,5) L=28-0,23%</v>
      </c>
      <c r="DT244">
        <f t="shared" si="302"/>
        <v>0.24</v>
      </c>
      <c r="DU244">
        <f t="shared" si="303"/>
        <v>1.1000000000000001</v>
      </c>
      <c r="DV244">
        <f t="shared" si="304"/>
        <v>1</v>
      </c>
      <c r="DW244">
        <f>IF(AT244="",0,_xlfn.LET(_xlpm.v,IFERROR(VLOOKUP(D244,УГО_спр,3,FALSE),IFERROR(VLOOKUP(AT244,УГО_спр,3,FALSE),IFERROR(VLOOKUP(LEFT(AT244,2),УГО_спр,3,FALSE),""))),IF(_xlpm.v="да",30,IF(ISNUMBER(_xlpm.v),_xlpm.v,0))))</f>
        <v>30</v>
      </c>
      <c r="DX244">
        <f t="shared" si="305"/>
        <v>0</v>
      </c>
      <c r="DY244">
        <f>IF(BD244="","",IF(AD244&lt;&gt;"",COUNTIFS(A$3:A244,A244,AD$3:AD244,"?*"),IF(OR(OR(AS244=1,A244&lt;&gt;A243),AL244="вручную"),"",IF(AS244=1,"",DZ243))))</f>
        <v>20</v>
      </c>
      <c r="DZ244">
        <f t="shared" si="306"/>
        <v>20</v>
      </c>
      <c r="EA244">
        <f>IF(D244="",0,MAX(IFERROR(--X244,0),IFERROR(--VLOOKUP(D244,УГО_спр,4,FALSE),IFERROR(--VLOOKUP(AT244,УГО_спр,4,FALSE),IFERROR(--VLOOKUP(LEFT(AT244,2),УГО_спр,4,FALSE),0)))))</f>
        <v>16</v>
      </c>
      <c r="EB244">
        <f>IF(D244="","",IFERROR(LOOKUP(INDEX(CHOOSE(BR244,Iдоп_1ж,Iдоп_2ж,Iдоп_3ж),MATCH(BS244,Iдоп_S,0))*BP244*BQ244,{6,10,16,20,25,32,40,50,63,80,100,125,160,200,250,315,400,500,630}),""))</f>
        <v>25</v>
      </c>
      <c r="EC244">
        <f>IF(AD244="","",SUMIFS(Линии[_Ток схемы],Линии[_гр.],DY244,Линии[Щит],A244,Линии[_в кабель выше],0))</f>
        <v>1.1000000000000001</v>
      </c>
      <c r="ED244">
        <f>IF(AD244="","",IFERROR(VLOOKUP(EC244,Автомат_номиналы,2,TRUE),""))</f>
        <v>6</v>
      </c>
      <c r="EE244">
        <f>IF(AD244="","",MAX(N(ED244),_xlfn.MAXIFS(Линии[_мин. по типу],Линии[_гр.],DY244,Линии[Щит],A244)))</f>
        <v>16</v>
      </c>
      <c r="EF244">
        <f>IF(AD244="","",_xlfn.MINIFS(Линии[_макс. автомат по кабелю],Линии[_гр.],DY244,Линии[Щит],A244))</f>
        <v>25</v>
      </c>
      <c r="EG244">
        <f>IF(AD244="","",MAX(1,_xlfn.MAXIFS(Линии[_фаз],Линии[_гр.],DY244,Линии[Щит],A244)))</f>
        <v>1</v>
      </c>
      <c r="EH244">
        <f>IF(AD244="","",IF(AND(AD244&lt;&gt;"авто",AD244&lt;&gt;"+"),IF(ISNUMBER(SEARCH("мА",AD244)),IFERROR(--TRIM(RIGHT(SUBSTITUTE(LEFT(AD244,SEARCH("мА",AD244)-1)," ",REPT(" ",9)),6)),30),0),IF(AE244="нет",0,IF(ISNUMBER(AE244),AE244,IF(AE244="да",30,_xlfn.MINIFS(Линии[_дифзащита по коду, мА],Линии[_гр.],DY244,Линии[Щит],A244,Линии[_дифзащита по коду, мА],"&gt;0"))))))</f>
        <v>30</v>
      </c>
      <c r="EI244">
        <f t="shared" si="307"/>
        <v>1</v>
      </c>
      <c r="EJ244" t="str">
        <f t="shared" si="308"/>
        <v>QFD20</v>
      </c>
      <c r="EK244" t="str">
        <f t="shared" si="309"/>
        <v>QFD20</v>
      </c>
      <c r="EL244" t="str">
        <f t="shared" si="310"/>
        <v/>
      </c>
      <c r="EM244">
        <f t="shared" si="311"/>
        <v>0</v>
      </c>
      <c r="EN244">
        <f>IF(AD244="","",IF(EM244=1,MAX(EE244,Мин_автомат_БП),EE244))</f>
        <v>16</v>
      </c>
      <c r="EO244" t="str">
        <f t="shared" si="312"/>
        <v>2P</v>
      </c>
      <c r="EP244" t="str">
        <f t="shared" si="313"/>
        <v>2P С16А 30мА</v>
      </c>
      <c r="EQ244">
        <f t="shared" si="314"/>
        <v>16</v>
      </c>
      <c r="ER244" t="str">
        <f>IF(OR(AI244="",AI244="-"),"",IFERROR(VLOOKUP(AI244,Модули_спр,2,FALSE),"R"))</f>
        <v/>
      </c>
      <c r="ES244" t="str">
        <f>IF(ER244="","",ER244&amp;"."&amp;COUNTIFS(A$3:A244,A244,ER$3:ER244,ER244))</f>
        <v/>
      </c>
      <c r="ET244" t="str">
        <f t="shared" si="315"/>
        <v/>
      </c>
      <c r="EU244" t="str">
        <f t="shared" si="316"/>
        <v/>
      </c>
      <c r="EV244" t="str">
        <f t="shared" si="317"/>
        <v/>
      </c>
      <c r="EW244" t="str">
        <f t="shared" si="318"/>
        <v/>
      </c>
      <c r="EX244">
        <f t="shared" si="319"/>
        <v>1</v>
      </c>
      <c r="EY244" t="str">
        <f>IF(AK244="нет","",IF(AK244&lt;&gt;"",AK244,IF(EX244=1,"XT"&amp;COUNTIFS(A$3:A244,A244,EX$3:EX244,1),"")))</f>
        <v/>
      </c>
      <c r="EZ244" t="str">
        <f t="shared" si="320"/>
        <v>QFD20</v>
      </c>
      <c r="FA244" t="str">
        <f t="shared" si="321"/>
        <v/>
      </c>
      <c r="FB244" t="str">
        <f t="shared" si="322"/>
        <v>ok</v>
      </c>
      <c r="FC244" t="str">
        <f>IF(OR(EV244="",ET244=""),"",IF(EV244&gt;IFERROR(VLOOKUP(EU244,Модули_спр,3,FALSE),99),"ЛИШНИЙ КАНАЛ",IF(AND(AJ244&lt;&gt;"=",COUNTIFS(Линии[_модуль гр.],ET244,Линии[Канал (итог)],EV244,Линии[Канал],"&lt;&gt;=",Линии[Щит],A244)&gt;1),"ДУБЛЬ КАНАЛА","")))</f>
        <v/>
      </c>
      <c r="FD244">
        <f t="shared" si="323"/>
        <v>16</v>
      </c>
      <c r="FE244" t="str">
        <f t="shared" si="324"/>
        <v>2P С16А 30мА</v>
      </c>
      <c r="FF244">
        <f t="shared" si="325"/>
        <v>1</v>
      </c>
      <c r="FG244">
        <f t="shared" si="326"/>
        <v>30</v>
      </c>
      <c r="FH244" t="str">
        <f t="shared" si="327"/>
        <v/>
      </c>
      <c r="FI244">
        <f t="shared" si="328"/>
        <v>10</v>
      </c>
      <c r="FJ244" t="str">
        <f t="shared" si="329"/>
        <v/>
      </c>
      <c r="FK244" t="str">
        <f>IF(AND(D244="",EZ244=""),"",_xlfn.TEXTJOIN("; ",TRUE,IF(AND(D244&lt;&gt;"",DD244=""),"нет фазы",""),IF(AND(D244&lt;&gt;"",N(DT244)=0,CN244&lt;&gt;"Нет"),"нет мощности",""),IF(AND(EY244&lt;&gt;"",COUNTIFS(Линии[Щит],A244,Линии[Клемма (итог)],EY244)&gt;1),"дубль клеммы "&amp;EY244,""),IF(AND(FB244&lt;&gt;"",FB244&lt;&gt;"ok"),FB244,""),IF(FC244&lt;&gt;"",FC244,""),IF(AND(ISNUMBER(SEARCH("(5х",DS244)),N(DV244)=1),"5 жил на 1 фазе",""),IF(AND(AT244="R",AD244&lt;&gt;"",OR(N(EH244)=0,N(EH244)&gt;30)),"розетка без дифзащиты до 30 мА",""),IFERROR(IF(AND(ISNUMBER(CD244),CD244&gt;CE244),"потери "&amp;FIXED(CD244,1)&amp;" % &gt; "&amp;CE244&amp;" %",""),""),IFERROR(IF(LEFT(FJ244,4)="мало","Iкз мало — отключение &gt; 0,4 с",""),""),IF(AND(D244&lt;&gt;"",BD244=""),"не на схеме","")))</f>
        <v/>
      </c>
      <c r="FL244">
        <f>IF(AD244="","",_xlfn.LET(_xlpm.t,IFERROR(_xlfn.XLOOKUP(EP244,Каталог!$U$4:$U$500,Каталог!$G$4:$G$500),""),_xlpm.k,SEARCH("кА",_xlpm.t),IFERROR(--TRIM(RIGHT(SUBSTITUTE(MID(_xlpm.t,MAX(1,_xlpm.k-4),_xlpm.k-MAX(1,_xlpm.k-4))," ",REPT(" ",9)),5)),"")))</f>
        <v>6</v>
      </c>
      <c r="FM244" t="str">
        <f>IF(OR(FL244="",AD244=""),"",IF(_xlfn.XLOOKUP(A244,Щиты[Щит],Щиты[Iкз max на шинах, кА],"")="","",IF(FL244&lt;_xlfn.XLOOKUP(A244,Щиты[Щит],Щиты[Iкз max на шинах, кА]),"Icu "&amp;FL244&amp;" кА &lt; Iкз max","ok")))</f>
        <v/>
      </c>
      <c r="FN244" t="str">
        <f t="shared" si="330"/>
        <v>QFD20</v>
      </c>
      <c r="FO244" t="str">
        <f t="shared" si="331"/>
        <v>QFD20|кабель ВВГнг(А)-LS (3х2,5) → Розеточная группа Первый этаж Пом. №003Б</v>
      </c>
      <c r="FP244" t="str" cm="1">
        <f t="array" ref="FP244">IF(FO244="","",_xlfn.LET(_xlpm.nd,_xlfn.TEXTSPLIT(FO244,"|"),IF(COLUMNS(_xlpm.nd)&gt;1,A244&amp;"¦"&amp;INDEX(_xlpm.nd,1)&amp;"¦"&amp;INDEX(_xlpm.nd,2),"")))</f>
        <v>ЩР-1¦QFD20¦кабель ВВГнг(А)-LS (3х2,5) → Розеточная группа Первый этаж Пом. №003Б</v>
      </c>
      <c r="FQ244" t="str">
        <f t="shared" si="332"/>
        <v>R.1.003Б.1¦Розеточная группа Первый этаж Пом. №003Б</v>
      </c>
      <c r="FR244" t="str" cm="1">
        <f t="array" ref="FR244">IF(FO244="","",_xlfn.LET(_xlpm.nd,_xlfn.TEXTSPLIT(FO244,"|"),IF(COLUMNS(_xlpm.nd)&gt;2,A244&amp;"¦"&amp;INDEX(_xlpm.nd,2)&amp;"¦"&amp;INDEX(_xlpm.nd,3),"")))</f>
        <v/>
      </c>
      <c r="FS244" t="str">
        <f t="shared" si="333"/>
        <v/>
      </c>
      <c r="FT244" t="str" cm="1">
        <f t="array" ref="FT244">IF(FO244="","",_xlfn.LET(_xlpm.nd,_xlfn.TEXTSPLIT(FO244,"|"),IF(COLUMNS(_xlpm.nd)&gt;3,A244&amp;"¦"&amp;INDEX(_xlpm.nd,3)&amp;"¦"&amp;INDEX(_xlpm.nd,4),"")))</f>
        <v/>
      </c>
      <c r="FU244" t="str">
        <f t="shared" si="334"/>
        <v/>
      </c>
      <c r="FV244" t="str" cm="1">
        <f t="array" ref="FV244">IF(FO244="","",_xlfn.LET(_xlpm.nd,_xlfn.TEXTSPLIT(FO244,"|"),IF(COLUMNS(_xlpm.nd)&gt;4,A244&amp;"¦"&amp;INDEX(_xlpm.nd,4)&amp;"¦"&amp;INDEX(_xlpm.nd,5),"")))</f>
        <v/>
      </c>
      <c r="FW244" t="str">
        <f t="shared" si="335"/>
        <v/>
      </c>
      <c r="FX244" t="str" cm="1">
        <f t="array" ref="FX244">IF(FO244="","",_xlfn.LET(_xlpm.nd,_xlfn.TEXTSPLIT(FO244,"|"),IF(COLUMNS(_xlpm.nd)&gt;5,A244&amp;"¦"&amp;INDEX(_xlpm.nd,5)&amp;"¦"&amp;INDEX(_xlpm.nd,6),"")))</f>
        <v/>
      </c>
      <c r="FY244" t="str">
        <f t="shared" si="336"/>
        <v/>
      </c>
      <c r="FZ244" t="str" cm="1">
        <f t="array" ref="FZ244">IF(FO244="","",_xlfn.LET(_xlpm.nd,_xlfn.TEXTSPLIT(FO244,"|"),IF(COLUMNS(_xlpm.nd)&gt;6,A244&amp;"¦"&amp;INDEX(_xlpm.nd,6)&amp;"¦"&amp;INDEX(_xlpm.nd,7),"")))</f>
        <v/>
      </c>
      <c r="GA244" t="str">
        <f t="shared" si="337"/>
        <v/>
      </c>
      <c r="GB244" t="str">
        <f t="shared" si="338"/>
        <v/>
      </c>
      <c r="GC244" t="str">
        <f t="shared" si="339"/>
        <v>QFD20</v>
      </c>
      <c r="GD244">
        <f t="shared" si="340"/>
        <v>1</v>
      </c>
      <c r="GE244">
        <f t="shared" si="341"/>
        <v>0</v>
      </c>
      <c r="GF244">
        <f t="shared" si="342"/>
        <v>1</v>
      </c>
      <c r="GG244" t="str">
        <f t="shared" si="343"/>
        <v/>
      </c>
      <c r="GH244" t="str">
        <f t="shared" si="344"/>
        <v/>
      </c>
      <c r="GI244" t="str">
        <f t="shared" si="345"/>
        <v/>
      </c>
      <c r="GJ244" t="str">
        <f t="shared" si="346"/>
        <v/>
      </c>
      <c r="GK244" t="str">
        <f>IF(D244="","",IFERROR(VLOOKUP(D244,УГО_спр,2,FALSE),IFERROR(VLOOKUP(AT244,УГО_спр,2,FALSE),IFERROR(VLOOKUP(LEFT(AT244,2),УГО_спр,2,FALSE),""))))</f>
        <v>Розетка</v>
      </c>
      <c r="GL244" t="str">
        <f>IF(D244="","",IF(OR(GK244="",GK244=0),"BOX",IFERROR(IF(VLOOKUP(GK244,УГО_блоки,3,FALSE)&amp;""&lt;&gt;"",VLOOKUP(GK244,УГО_блоки,3,FALSE),VLOOKUP(GK244,УГО_блоки,2,FALSE)),GK244)))</f>
        <v>SOCKET</v>
      </c>
      <c r="GM244">
        <f t="shared" si="347"/>
        <v>1</v>
      </c>
      <c r="GN244" t="str">
        <f>IF(EP244="","",IF(COUNTIF(EP$3:EP244,EP244)=1,MAX(GN$2:GN243)+1,""))</f>
        <v/>
      </c>
      <c r="GO244" t="str">
        <f>IF(AF244="","",IF(COUNTIF(AF$3:AF244,AF244)+COUNTIF(AG$2:AG243,AF244)+COUNTIF(AH$2:AH243,AF244)=1,MAX(GO$2:GQ243)+1,""))</f>
        <v/>
      </c>
      <c r="GP244" t="str">
        <f>IF(AG244="","",IF(COUNTIF(AF$3:AF244,AG244)+COUNTIF(AG$3:AG244,AG244)+COUNTIF(AH$2:AH243,AG244)=1,MAX(GO$2:GQ243,GO244)+1,""))</f>
        <v/>
      </c>
      <c r="GQ244" t="str">
        <f>IF(AH244="","",IF(COUNTIF(AF$3:AF244,AH244)+COUNTIF(AG$3:AG244,AH244)+COUNTIF(AH$3:AH244,AH244)=1,MAX(GO$2:GQ243,GO244,GP244)+1,""))</f>
        <v/>
      </c>
      <c r="GR244" t="str">
        <f t="shared" si="348"/>
        <v>3х2,5</v>
      </c>
      <c r="GS244" t="str">
        <f>IF(GR244="","",IF(COUNTIF(GR$3:GR244,GR244)=1,MAX(GS$2:GS243)+1,""))</f>
        <v/>
      </c>
      <c r="GT244" t="str">
        <f>IF(ES244="","",COUNTIF(ES$3:ES244,"?*"))</f>
        <v/>
      </c>
      <c r="GU244" t="str">
        <f>IF(OR(ES244="",EU244=""),"",IF(COUNTIFS(ES$3:ES244,"?*",EU$3:EU244,EU244)=1,MAX(GU$2:GU243)+1,""))</f>
        <v/>
      </c>
      <c r="GV244">
        <f t="shared" si="349"/>
        <v>0</v>
      </c>
      <c r="GW244">
        <f>IF(D244="","",COUNTIF(D$3:D244,"?*"))</f>
        <v>242</v>
      </c>
      <c r="GX244">
        <f>IF(EX244&lt;&gt;1,0,_xlfn.LET(_xlpm.k,MAX(IFERROR(--VLOOKUP(D244,УГО_спр,5,FALSE),0),IFERROR(--VLOOKUP(AT244,УГО_спр,5,FALSE),0),IFERROR(--VLOOKUP(LEFT(AT244,2),УГО_спр,5,FALSE),0)),IF(_xlpm.k&gt;0,_xlpm.k,IF(IFERROR(--LEFT(SUBSTITUTE(GR244,"x","х"),FIND("х",SUBSTITUTE(GR244,"x","х"))-1),3)&gt;3,Каталог!$S$9,1))))</f>
        <v>1</v>
      </c>
      <c r="GY244">
        <f t="shared" si="350"/>
        <v>0</v>
      </c>
    </row>
    <row r="245" spans="1:207" x14ac:dyDescent="0.3">
      <c r="A245" t="s">
        <v>762</v>
      </c>
      <c r="B245">
        <v>31</v>
      </c>
      <c r="C245" t="str">
        <f>IF(BD245="","",IF(BE245="вводной узел","узел ","")&amp;"л."&amp;(INT((BD245-1)/Столбцов_на_лист)+1)&amp;" / "&amp;(MOD(BD245-1,Столбцов_на_лист)+1))</f>
        <v>л.2 / 14</v>
      </c>
      <c r="D245" t="s">
        <v>1567</v>
      </c>
      <c r="E245" s="133" t="str">
        <f t="shared" si="351"/>
        <v>Розеточная группа Первый этаж Пом. №003Б</v>
      </c>
      <c r="G245">
        <v>0.12</v>
      </c>
      <c r="H245">
        <v>1</v>
      </c>
      <c r="I245">
        <v>1</v>
      </c>
      <c r="J245">
        <v>230</v>
      </c>
      <c r="K245" t="s">
        <v>566</v>
      </c>
      <c r="O245">
        <v>3</v>
      </c>
      <c r="P245">
        <v>10</v>
      </c>
      <c r="Q245">
        <v>0</v>
      </c>
      <c r="R245">
        <v>0</v>
      </c>
      <c r="S245">
        <v>8</v>
      </c>
      <c r="U245" t="s">
        <v>11</v>
      </c>
      <c r="V245">
        <v>3</v>
      </c>
      <c r="W245">
        <v>2.5</v>
      </c>
      <c r="Z245" t="s">
        <v>565</v>
      </c>
      <c r="AA245" t="s">
        <v>818</v>
      </c>
      <c r="AD245" t="s">
        <v>517</v>
      </c>
      <c r="AK245" t="s">
        <v>488</v>
      </c>
      <c r="AR245" t="str">
        <f t="shared" si="264"/>
        <v/>
      </c>
      <c r="AS245" cm="1">
        <f t="array" ref="AS245">ROW()-ROW(Линии[#Headers])</f>
        <v>243</v>
      </c>
      <c r="AT245" t="str">
        <f t="shared" si="265"/>
        <v>R</v>
      </c>
      <c r="AU245" t="str">
        <f t="shared" si="266"/>
        <v>1.003Б.2</v>
      </c>
      <c r="AV245" t="str">
        <f t="shared" si="267"/>
        <v>1</v>
      </c>
      <c r="AW245" t="str">
        <f t="shared" si="268"/>
        <v>003Б.2</v>
      </c>
      <c r="AX245" t="str">
        <f t="shared" si="269"/>
        <v>003Б</v>
      </c>
      <c r="AY245" t="str">
        <f>IF(D245="","",IF(ISERROR(SEARCH(".",D245)),IFERROR(VLOOKUP(D245,Потребители_обозначение,2,FALSE)&amp;"",""),IFERROR(IF(VLOOKUP(AT245,Потребители_обозначение,4,FALSE)=1,VLOOKUP(AT245,Потребители_обозначение,2,FALSE)&amp;" "&amp;VLOOKUP(AV245,Этаж_обозначение,2,FALSE)&amp;" Пом. №"&amp;AX245,VLOOKUP(AT245,Потребители_обозначение,2,FALSE)&amp;" Шлейф №"&amp;AV245),IFERROR(VLOOKUP(D245,Потребители_обозначение,2,FALSE),""))))</f>
        <v>Розеточная группа Первый этаж Пом. №003Б</v>
      </c>
      <c r="AZ245" t="str">
        <f t="shared" si="270"/>
        <v>Розеточная группа Первый этаж Пом. №003Б</v>
      </c>
      <c r="BA245" t="str">
        <f>IF(F245&lt;&gt;"",F245,IF(AND(D245&lt;&gt;"",D245&lt;&gt;A245,ISNUMBER(_xlfn.XMATCH(D245,Щиты[Щит]))),D245,""))</f>
        <v/>
      </c>
      <c r="BB245">
        <f>IFERROR(_xlfn.XMATCH(A245,Щиты[Щит]),0)</f>
        <v>10</v>
      </c>
      <c r="BC245">
        <f>IFERROR(N(_xlfn.XLOOKUP(A245,Щиты[Щит],Щиты[Мест под вводной узел])),15)</f>
        <v>8</v>
      </c>
      <c r="BD245">
        <f t="shared" si="271"/>
        <v>31</v>
      </c>
      <c r="BE245" t="str">
        <f t="shared" si="272"/>
        <v>линии</v>
      </c>
      <c r="BF245">
        <f>IF(D245="","",IF(BA245&lt;&gt;"",IFERROR(_xlfn.XLOOKUP(BA245,Щиты[Щит],Щиты[Руст, кВт]),0),N(G245)))</f>
        <v>0.12</v>
      </c>
      <c r="BG245">
        <f>IF(J245&lt;&gt;"",J245,IF(D245="","",IFERROR(IF(VLOOKUP(AT245,Потребители_обозначение,8,FALSE)=0,"",VLOOKUP(AT245,Потребители_обозначение,8,FALSE)),"")))</f>
        <v>230</v>
      </c>
      <c r="BH245">
        <f>IF(I245&lt;&gt;"",I245,IF(D245="","",IFERROR(IF(VLOOKUP(AT245,Потребители_обозначение,9,FALSE)=0,"",VLOOKUP(AT245,Потребители_обозначение,9,FALSE)),"")))</f>
        <v>1</v>
      </c>
      <c r="BI245" t="str">
        <f>IF(U245&lt;&gt;"",U245,IF(D245="","",IFERROR(IF(VLOOKUP(AT245,Потребители_обозначение,6,FALSE)=0,"",VLOOKUP(AT245,Потребители_обозначение,6,FALSE)),"")))</f>
        <v>мс</v>
      </c>
      <c r="BJ245">
        <f>IF(V245&lt;&gt;"",V245,IF(D245="","",IFERROR(IF(VLOOKUP(AT245,Потребители_обозначение,7,FALSE)=0,"",VLOOKUP(AT245,Потребители_обозначение,7,FALSE)),"")))</f>
        <v>3</v>
      </c>
      <c r="BK245">
        <f>IF(W245&lt;&gt;"",W245,IF(D245="","",IFERROR(IF(VLOOKUP(AT245,Потребители_обозначение,10,FALSE)=0,"",VLOOKUP(AT245,Потребители_обозначение,10,FALSE)),"")))</f>
        <v>2.5</v>
      </c>
      <c r="BL245">
        <f>IFERROR(VLOOKUP(AT245,Потребители_обозначение,5,FALSE),0)</f>
        <v>1</v>
      </c>
      <c r="BM245" cm="1">
        <f t="array" ref="BM245">IF(D245="","",IF(BA245&lt;&gt;"",IFERROR(_xlfn.XLOOKUP(BA245,Щиты[Щит],Щиты[cos φ]),0.95),IF(ISNUMBER(M245),M245,IFERROR(IF(BL245=2,_xlfn.IFS(BH245=3,VLOOKUP(BF245,Справочная_двигатели,8,FALSE),BH245=1,VLOOKUP(BF245,Справочная_двигатели,10,TRUE)),IF(AND(Методика="нормы 2026",CN245="Сил"),0.8,0.95)),0.95))))</f>
        <v>0.95</v>
      </c>
      <c r="BN245" cm="1">
        <f t="array" ref="BN245">IF(D245="","",IF(BA245&lt;&gt;"",IFERROR(_xlfn.XLOOKUP(BA245,Щиты[Щит],Щиты[Iр, А]),""),IFERROR(_xlfn.IFS(BH245=1,BF245/((Uн_лин/SQRT(3))*BM245),BH245=3,BF245/(SQRT(3)*Uн_лин*BM245)),"")))</f>
        <v>0.54696341291648753</v>
      </c>
      <c r="BO245">
        <f>IF(D245="","",IF(N(X245)=0,IFERROR(VLOOKUP(BN245,Автомат_номиналы,2,TRUE),""),X245))</f>
        <v>6</v>
      </c>
      <c r="BP245">
        <f t="shared" si="273"/>
        <v>1</v>
      </c>
      <c r="BQ245">
        <f>IF(ISNUMBER(Y245),Y245,К_прокл)</f>
        <v>1</v>
      </c>
      <c r="BR245">
        <f t="shared" si="274"/>
        <v>2</v>
      </c>
      <c r="BS245" cm="1">
        <f t="array" ref="BS245">IF(D245="","",IF(N(BK245)&lt;&gt;0,BK245,IFERROR(_xlfn.LET(_xlpm.need,BO245/(BP245*BQ245),_xlpm.t,CHOOSE(BR245,Iдоп_1ж,Iдоп_2ж,Iдоп_3ж),_xlpm.k,_xlfn.XMATCH(_xlpm.need,_xlpm.t,1),IF(ISNA(_xlpm.k),"Не исп",INDEX(Iдоп_S,_xlpm.k))),"Не исп")))</f>
        <v>2.5</v>
      </c>
      <c r="BT245">
        <f>IFERROR(VLOOKUP(BS245,Кабель_сопротивление,3,FALSE),"")</f>
        <v>2.2499999999999999E-2</v>
      </c>
      <c r="BU245">
        <f>IFERROR(VLOOKUP(BS245,Кабель_сопротивление,2,FALSE),"")</f>
        <v>0.1</v>
      </c>
      <c r="BV245">
        <f t="shared" si="275"/>
        <v>10</v>
      </c>
      <c r="BW245">
        <f>IF(D245="","",IFERROR(IF(VLOOKUP(AT245,Потребители_обозначение,4,FALSE)=1,VLOOKUP(AT245,Потребители_обозначение,3,FALSE)*(H245*2-1)+BV245+VLOOKUP(AV245,Этаж_обозначение,3,FALSE)+VLOOKUP(AV245,Этаж_обозначение,4,FALSE),VLOOKUP(AT245,Потребители_обозначение,3,FALSE)*(H245*2-1)+BV245),BV245))</f>
        <v>13</v>
      </c>
      <c r="BX245">
        <f t="shared" si="276"/>
        <v>0</v>
      </c>
      <c r="BY245">
        <f t="shared" si="277"/>
        <v>8</v>
      </c>
      <c r="BZ245">
        <f t="shared" si="278"/>
        <v>2</v>
      </c>
      <c r="CA245">
        <f t="shared" si="279"/>
        <v>0.31</v>
      </c>
      <c r="CB245">
        <f t="shared" si="280"/>
        <v>0.12203081920214585</v>
      </c>
      <c r="CC245">
        <f>IFERROR(ROUNDUP(CB245/((Uн_лин/SQRT(3))*1000)*100,2),"")</f>
        <v>6.0000000000000005E-2</v>
      </c>
      <c r="CD245">
        <f>IF(ISNUMBER(CC245),CC245+IFERROR(_xlfn.XLOOKUP(A245,Щиты[Щит],Щиты[ΔU до шин, %]),0),"")</f>
        <v>1.31</v>
      </c>
      <c r="CE245">
        <f>IF(D245="","",IF(IFERROR(VLOOKUP(AT245,УГО_спр,2,FALSE),"")="Светильник",3,4)+IF(Методика="нормы 2026",MIN(0.5,MAX(0,N(BW245)-100)*0.005),0))</f>
        <v>4</v>
      </c>
      <c r="CF245" t="str">
        <f>IFERROR(VLOOKUP(BI245,Кабель_обозначение,2,FALSE),"")</f>
        <v>ВВГнг(А)-LS</v>
      </c>
      <c r="CG245" t="str">
        <f>IFERROR(IF(VLOOKUP(BI245,Кабель_обозначение,3,FALSE)=1,CF245&amp;" ("&amp;BJ245&amp;"х"&amp;BS245&amp;")",CF245),"")</f>
        <v>ВВГнг(А)-LS (3х2,5)</v>
      </c>
      <c r="CH245" t="str">
        <f t="shared" si="281"/>
        <v>ВВГнг(А)-LS (3х2,5)
L=13-0,06%</v>
      </c>
      <c r="CI245">
        <f>IFERROR(2*ρкз_Cu*BW245/BS245,"")</f>
        <v>0.27351999999999999</v>
      </c>
      <c r="CJ245">
        <f t="shared" si="282"/>
        <v>9.1000000000000011E-2</v>
      </c>
      <c r="CK245" t="str">
        <f>IFERROR(IF(OR(D245="",NOT(ISNUMBER(BS245)),N(BW245)=0),"",_xlfn.XLOOKUP(A245,Щиты[Щит],Щиты[Zпетли на шинах, Ом])+CI245),"")</f>
        <v/>
      </c>
      <c r="CL245" t="str">
        <f>IF(ISNUMBER(CK245),c_min*(Uн_лин*1000/SQRT(3))/CK245,"")</f>
        <v/>
      </c>
      <c r="CM245" t="str">
        <f>IFERROR(IF(OR(D245="",NOT(ISNUMBER(BS245))),"",1.05*(Uн_лин*1000/SQRT(3))/(_xlfn.XLOOKUP(A245,Щиты[Щит],Щиты[Zmax на шинах, Ом])+CJ245)/1000),"")</f>
        <v/>
      </c>
      <c r="CN245" t="str">
        <f>IF(D245="","",IF(BA245&lt;&gt;"","Щит",IF(K245&lt;&gt;"",K245,IF(ISNUMBER(L245),"Сил",IF(IFERROR(_xlfn.XLOOKUP(AT245,Коды_код,Коды_группа)&amp;"","")="","Быт",_xlfn.XLOOKUP(AT245,Коды_код,Коды_группа)&amp;"")))))</f>
        <v>Быт</v>
      </c>
      <c r="CO245">
        <f>IF(CN245="Щит","щит",IF(CN245="","",IF(CN245="Быт",IFERROR(_xlfn.XLOOKUP(A245,Щиты[Щит],Щиты[Кс быт]),1),IF(CN245="Сил",IF(ISNUMBER(L245),L245,IF(Методика="нормы 2026",IFERROR(_xlfn.XLOOKUP(A245,Щиты[Щит],Щиты[Кс силовых (табл. 7.5)]),1),1)),IF(OR(CN245="Пост",CN245="Отоп"),1,IF(CN245="ВНГ",0.7,0))))))</f>
        <v>0.57830000000000004</v>
      </c>
      <c r="CP245">
        <f t="shared" si="283"/>
        <v>1</v>
      </c>
      <c r="CQ245">
        <f t="shared" si="284"/>
        <v>0.12</v>
      </c>
      <c r="CR245">
        <f t="shared" si="285"/>
        <v>0.12</v>
      </c>
      <c r="CS245">
        <f t="shared" si="286"/>
        <v>0</v>
      </c>
      <c r="CT245">
        <f t="shared" si="287"/>
        <v>0</v>
      </c>
      <c r="CU245">
        <f t="shared" si="288"/>
        <v>0</v>
      </c>
      <c r="CV245">
        <f t="shared" si="289"/>
        <v>0</v>
      </c>
      <c r="CW245">
        <f t="shared" si="290"/>
        <v>0.12</v>
      </c>
      <c r="CX245">
        <f t="shared" si="291"/>
        <v>0.11399999999999999</v>
      </c>
      <c r="CY245">
        <f t="shared" si="292"/>
        <v>3</v>
      </c>
      <c r="CZ245" t="str">
        <f t="shared" si="293"/>
        <v>L3</v>
      </c>
      <c r="DA245" cm="1">
        <f t="array" ref="DA245">IFERROR(IF(BL245=2,_xlfn.IFS(BH245=3,VLOOKUP(BF245,Справочная_двигатели,3,FALSE),BH245=1,VLOOKUP(BF245,Справочная_двигатели,5,TRUE)),0),0)</f>
        <v>0</v>
      </c>
      <c r="DB245">
        <f>IFERROR(IF(BL245=3,VLOOKUP(BF245,Справочная_ЛЭД,2,TRUE),0),0)</f>
        <v>0</v>
      </c>
      <c r="DC245">
        <f t="shared" si="294"/>
        <v>0</v>
      </c>
      <c r="DD245" t="str">
        <f t="shared" si="295"/>
        <v>L3</v>
      </c>
      <c r="DE245" t="str" cm="1">
        <f t="array" ref="DE245">IF(D245="","",IFERROR(INDEX({"I особая","I","II","III"},MATCH(TRIM(AA245&amp;""),{"I особая","I","II","III"},0)),"III"))</f>
        <v>II</v>
      </c>
      <c r="DF245" t="str">
        <f>IF(D245="","",IF(TRIM(AB245&amp;"")&lt;&gt;"",IF(LOWER(TRIM(AB245&amp;""))="да","да","нет"),IF(IFERROR(_xlfn.XLOOKUP(AT245,Коды_код,Коды_пожарная),"")="да","да","нет")))</f>
        <v>нет</v>
      </c>
      <c r="DG245" t="str">
        <f t="shared" si="296"/>
        <v/>
      </c>
      <c r="DH245" t="str">
        <f t="shared" si="297"/>
        <v>основная</v>
      </c>
      <c r="DI245">
        <f t="shared" si="298"/>
        <v>1</v>
      </c>
      <c r="DJ245" t="str" cm="1">
        <f t="array" ref="DJ245">IF(D245="","",_xlfn.LET(_xlpm.t,IFERROR(_xlfn.XLOOKUP(1,(Шины[Шина]=DH245)*(((Шины[Щит]=A245)+(Шины[Щит]=""))&gt;0),Шины[Тип]),"")&amp;"",IF(_xlpm.t&lt;&gt;"",_xlpm.t,IF(ISNUMBER(SEARCH("ИБП",DH245)),"ИБП",IF(ISNUMBER(SEARCH("ДГУ",DH245)),"ДГУ","Ввод "&amp;DI245)))))</f>
        <v>Ввод 1</v>
      </c>
      <c r="DK245" t="str">
        <f t="shared" si="299"/>
        <v>Ввод 1</v>
      </c>
      <c r="DL245" t="str">
        <f>IF(D245="","",IF(OR(DJ245="ИБП",DJ245="ДГУ"),"I особая",IF(DJ245="Одиночная","III",_xlfn.XLOOKUP(A245,Щиты[Щит],Щиты[Категория шины «Ввод»],"III"))))</f>
        <v>II</v>
      </c>
      <c r="DM245">
        <f>IF(D245="",0,IFERROR(MATCH(DE245,{"III","II","I","I особая"},0),1))</f>
        <v>2</v>
      </c>
      <c r="DN245">
        <f t="shared" si="300"/>
        <v>2</v>
      </c>
      <c r="DO245" t="str">
        <f>IF(D245="","",IF(DM245&gt;IFERROR(MATCH(DL245,{"III","II","I","I особая"},0),1),"НЕ ОБЕСПЕЧЕНА","ОК"))</f>
        <v>ОК</v>
      </c>
      <c r="DP245" t="str">
        <f>IF(A245="","",_xlfn.XLOOKUP(A245,Щиты[Щит],Щиты[Путь],""))</f>
        <v>|ГРЩ-ЖД|ЩР-1|</v>
      </c>
      <c r="DQ245" t="str">
        <f>IF(D245="","",IF(Z245&lt;&gt;"",Z245,IF(IFERROR(_xlfn.XLOOKUP(AT245,Коды_код,Коды_вид)&amp;"","")="","Прочее",_xlfn.XLOOKUP(AT245,Коды_код,Коды_вид)&amp;"")))</f>
        <v>Розеточная сеть и бытовые приборы</v>
      </c>
      <c r="DR245">
        <f>IF(BD245="","",INT((BD245-1)/Столбцов_на_лист)+1)</f>
        <v>2</v>
      </c>
      <c r="DS245" t="str">
        <f t="shared" si="301"/>
        <v>ВВГнг(А)-LS (3х2,5) L=13-0,06%</v>
      </c>
      <c r="DT245">
        <f t="shared" si="302"/>
        <v>0.12</v>
      </c>
      <c r="DU245">
        <f t="shared" si="303"/>
        <v>0.55000000000000004</v>
      </c>
      <c r="DV245">
        <f t="shared" si="304"/>
        <v>1</v>
      </c>
      <c r="DW245">
        <f>IF(AT245="",0,_xlfn.LET(_xlpm.v,IFERROR(VLOOKUP(D245,УГО_спр,3,FALSE),IFERROR(VLOOKUP(AT245,УГО_спр,3,FALSE),IFERROR(VLOOKUP(LEFT(AT245,2),УГО_спр,3,FALSE),""))),IF(_xlpm.v="да",30,IF(ISNUMBER(_xlpm.v),_xlpm.v,0))))</f>
        <v>30</v>
      </c>
      <c r="DX245">
        <f t="shared" si="305"/>
        <v>0</v>
      </c>
      <c r="DY245">
        <f>IF(BD245="","",IF(AD245&lt;&gt;"",COUNTIFS(A$3:A245,A245,AD$3:AD245,"?*"),IF(OR(OR(AS245=1,A245&lt;&gt;A244),AL245="вручную"),"",IF(AS245=1,"",DZ244))))</f>
        <v>21</v>
      </c>
      <c r="DZ245">
        <f t="shared" si="306"/>
        <v>21</v>
      </c>
      <c r="EA245">
        <f>IF(D245="",0,MAX(IFERROR(--X245,0),IFERROR(--VLOOKUP(D245,УГО_спр,4,FALSE),IFERROR(--VLOOKUP(AT245,УГО_спр,4,FALSE),IFERROR(--VLOOKUP(LEFT(AT245,2),УГО_спр,4,FALSE),0)))))</f>
        <v>16</v>
      </c>
      <c r="EB245">
        <f>IF(D245="","",IFERROR(LOOKUP(INDEX(CHOOSE(BR245,Iдоп_1ж,Iдоп_2ж,Iдоп_3ж),MATCH(BS245,Iдоп_S,0))*BP245*BQ245,{6,10,16,20,25,32,40,50,63,80,100,125,160,200,250,315,400,500,630}),""))</f>
        <v>25</v>
      </c>
      <c r="EC245">
        <f>IF(AD245="","",SUMIFS(Линии[_Ток схемы],Линии[_гр.],DY245,Линии[Щит],A245,Линии[_в кабель выше],0))</f>
        <v>0.55000000000000004</v>
      </c>
      <c r="ED245">
        <f>IF(AD245="","",IFERROR(VLOOKUP(EC245,Автомат_номиналы,2,TRUE),""))</f>
        <v>6</v>
      </c>
      <c r="EE245">
        <f>IF(AD245="","",MAX(N(ED245),_xlfn.MAXIFS(Линии[_мин. по типу],Линии[_гр.],DY245,Линии[Щит],A245)))</f>
        <v>16</v>
      </c>
      <c r="EF245">
        <f>IF(AD245="","",_xlfn.MINIFS(Линии[_макс. автомат по кабелю],Линии[_гр.],DY245,Линии[Щит],A245))</f>
        <v>25</v>
      </c>
      <c r="EG245">
        <f>IF(AD245="","",MAX(1,_xlfn.MAXIFS(Линии[_фаз],Линии[_гр.],DY245,Линии[Щит],A245)))</f>
        <v>1</v>
      </c>
      <c r="EH245">
        <f>IF(AD245="","",IF(AND(AD245&lt;&gt;"авто",AD245&lt;&gt;"+"),IF(ISNUMBER(SEARCH("мА",AD245)),IFERROR(--TRIM(RIGHT(SUBSTITUTE(LEFT(AD245,SEARCH("мА",AD245)-1)," ",REPT(" ",9)),6)),30),0),IF(AE245="нет",0,IF(ISNUMBER(AE245),AE245,IF(AE245="да",30,_xlfn.MINIFS(Линии[_дифзащита по коду, мА],Линии[_гр.],DY245,Линии[Щит],A245,Линии[_дифзащита по коду, мА],"&gt;0"))))))</f>
        <v>30</v>
      </c>
      <c r="EI245">
        <f t="shared" si="307"/>
        <v>1</v>
      </c>
      <c r="EJ245" t="str">
        <f t="shared" si="308"/>
        <v>QFD21</v>
      </c>
      <c r="EK245" t="str">
        <f t="shared" si="309"/>
        <v>QFD21</v>
      </c>
      <c r="EL245" t="str">
        <f t="shared" si="310"/>
        <v/>
      </c>
      <c r="EM245">
        <f t="shared" si="311"/>
        <v>0</v>
      </c>
      <c r="EN245">
        <f>IF(AD245="","",IF(EM245=1,MAX(EE245,Мин_автомат_БП),EE245))</f>
        <v>16</v>
      </c>
      <c r="EO245" t="str">
        <f t="shared" si="312"/>
        <v>2P</v>
      </c>
      <c r="EP245" t="str">
        <f t="shared" si="313"/>
        <v>2P С16А 30мА</v>
      </c>
      <c r="EQ245">
        <f t="shared" si="314"/>
        <v>16</v>
      </c>
      <c r="ER245" t="str">
        <f>IF(OR(AI245="",AI245="-"),"",IFERROR(VLOOKUP(AI245,Модули_спр,2,FALSE),"R"))</f>
        <v/>
      </c>
      <c r="ES245" t="str">
        <f>IF(ER245="","",ER245&amp;"."&amp;COUNTIFS(A$3:A245,A245,ER$3:ER245,ER245))</f>
        <v/>
      </c>
      <c r="ET245" t="str">
        <f t="shared" si="315"/>
        <v/>
      </c>
      <c r="EU245" t="str">
        <f t="shared" si="316"/>
        <v/>
      </c>
      <c r="EV245" t="str">
        <f t="shared" si="317"/>
        <v/>
      </c>
      <c r="EW245" t="str">
        <f t="shared" si="318"/>
        <v/>
      </c>
      <c r="EX245">
        <f t="shared" si="319"/>
        <v>1</v>
      </c>
      <c r="EY245" t="str">
        <f>IF(AK245="нет","",IF(AK245&lt;&gt;"",AK245,IF(EX245=1,"XT"&amp;COUNTIFS(A$3:A245,A245,EX$3:EX245,1),"")))</f>
        <v/>
      </c>
      <c r="EZ245" t="str">
        <f t="shared" si="320"/>
        <v>QFD21</v>
      </c>
      <c r="FA245" t="str">
        <f t="shared" si="321"/>
        <v/>
      </c>
      <c r="FB245" t="str">
        <f t="shared" si="322"/>
        <v>ok</v>
      </c>
      <c r="FC245" t="str">
        <f>IF(OR(EV245="",ET245=""),"",IF(EV245&gt;IFERROR(VLOOKUP(EU245,Модули_спр,3,FALSE),99),"ЛИШНИЙ КАНАЛ",IF(AND(AJ245&lt;&gt;"=",COUNTIFS(Линии[_модуль гр.],ET245,Линии[Канал (итог)],EV245,Линии[Канал],"&lt;&gt;=",Линии[Щит],A245)&gt;1),"ДУБЛЬ КАНАЛА","")))</f>
        <v/>
      </c>
      <c r="FD245">
        <f t="shared" si="323"/>
        <v>16</v>
      </c>
      <c r="FE245" t="str">
        <f t="shared" si="324"/>
        <v>2P С16А 30мА</v>
      </c>
      <c r="FF245">
        <f t="shared" si="325"/>
        <v>1</v>
      </c>
      <c r="FG245">
        <f t="shared" si="326"/>
        <v>30</v>
      </c>
      <c r="FH245" t="str">
        <f t="shared" si="327"/>
        <v/>
      </c>
      <c r="FI245">
        <f t="shared" si="328"/>
        <v>10</v>
      </c>
      <c r="FJ245" t="str">
        <f t="shared" si="329"/>
        <v/>
      </c>
      <c r="FK245" t="str">
        <f>IF(AND(D245="",EZ245=""),"",_xlfn.TEXTJOIN("; ",TRUE,IF(AND(D245&lt;&gt;"",DD245=""),"нет фазы",""),IF(AND(D245&lt;&gt;"",N(DT245)=0,CN245&lt;&gt;"Нет"),"нет мощности",""),IF(AND(EY245&lt;&gt;"",COUNTIFS(Линии[Щит],A245,Линии[Клемма (итог)],EY245)&gt;1),"дубль клеммы "&amp;EY245,""),IF(AND(FB245&lt;&gt;"",FB245&lt;&gt;"ok"),FB245,""),IF(FC245&lt;&gt;"",FC245,""),IF(AND(ISNUMBER(SEARCH("(5х",DS245)),N(DV245)=1),"5 жил на 1 фазе",""),IF(AND(AT245="R",AD245&lt;&gt;"",OR(N(EH245)=0,N(EH245)&gt;30)),"розетка без дифзащиты до 30 мА",""),IFERROR(IF(AND(ISNUMBER(CD245),CD245&gt;CE245),"потери "&amp;FIXED(CD245,1)&amp;" % &gt; "&amp;CE245&amp;" %",""),""),IFERROR(IF(LEFT(FJ245,4)="мало","Iкз мало — отключение &gt; 0,4 с",""),""),IF(AND(D245&lt;&gt;"",BD245=""),"не на схеме","")))</f>
        <v/>
      </c>
      <c r="FL245">
        <f>IF(AD245="","",_xlfn.LET(_xlpm.t,IFERROR(_xlfn.XLOOKUP(EP245,Каталог!$U$4:$U$500,Каталог!$G$4:$G$500),""),_xlpm.k,SEARCH("кА",_xlpm.t),IFERROR(--TRIM(RIGHT(SUBSTITUTE(MID(_xlpm.t,MAX(1,_xlpm.k-4),_xlpm.k-MAX(1,_xlpm.k-4))," ",REPT(" ",9)),5)),"")))</f>
        <v>6</v>
      </c>
      <c r="FM245" t="str">
        <f>IF(OR(FL245="",AD245=""),"",IF(_xlfn.XLOOKUP(A245,Щиты[Щит],Щиты[Iкз max на шинах, кА],"")="","",IF(FL245&lt;_xlfn.XLOOKUP(A245,Щиты[Щит],Щиты[Iкз max на шинах, кА]),"Icu "&amp;FL245&amp;" кА &lt; Iкз max","ok")))</f>
        <v/>
      </c>
      <c r="FN245" t="str">
        <f t="shared" si="330"/>
        <v>QFD21</v>
      </c>
      <c r="FO245" t="str">
        <f t="shared" si="331"/>
        <v>QFD21|кабель ВВГнг(А)-LS (3х2,5) → Розеточная группа Первый этаж Пом. №003Б</v>
      </c>
      <c r="FP245" t="str" cm="1">
        <f t="array" ref="FP245">IF(FO245="","",_xlfn.LET(_xlpm.nd,_xlfn.TEXTSPLIT(FO245,"|"),IF(COLUMNS(_xlpm.nd)&gt;1,A245&amp;"¦"&amp;INDEX(_xlpm.nd,1)&amp;"¦"&amp;INDEX(_xlpm.nd,2),"")))</f>
        <v>ЩР-1¦QFD21¦кабель ВВГнг(А)-LS (3х2,5) → Розеточная группа Первый этаж Пом. №003Б</v>
      </c>
      <c r="FQ245" t="str">
        <f t="shared" si="332"/>
        <v>R.1.003Б.2¦Розеточная группа Первый этаж Пом. №003Б</v>
      </c>
      <c r="FR245" t="str" cm="1">
        <f t="array" ref="FR245">IF(FO245="","",_xlfn.LET(_xlpm.nd,_xlfn.TEXTSPLIT(FO245,"|"),IF(COLUMNS(_xlpm.nd)&gt;2,A245&amp;"¦"&amp;INDEX(_xlpm.nd,2)&amp;"¦"&amp;INDEX(_xlpm.nd,3),"")))</f>
        <v/>
      </c>
      <c r="FS245" t="str">
        <f t="shared" si="333"/>
        <v/>
      </c>
      <c r="FT245" t="str" cm="1">
        <f t="array" ref="FT245">IF(FO245="","",_xlfn.LET(_xlpm.nd,_xlfn.TEXTSPLIT(FO245,"|"),IF(COLUMNS(_xlpm.nd)&gt;3,A245&amp;"¦"&amp;INDEX(_xlpm.nd,3)&amp;"¦"&amp;INDEX(_xlpm.nd,4),"")))</f>
        <v/>
      </c>
      <c r="FU245" t="str">
        <f t="shared" si="334"/>
        <v/>
      </c>
      <c r="FV245" t="str" cm="1">
        <f t="array" ref="FV245">IF(FO245="","",_xlfn.LET(_xlpm.nd,_xlfn.TEXTSPLIT(FO245,"|"),IF(COLUMNS(_xlpm.nd)&gt;4,A245&amp;"¦"&amp;INDEX(_xlpm.nd,4)&amp;"¦"&amp;INDEX(_xlpm.nd,5),"")))</f>
        <v/>
      </c>
      <c r="FW245" t="str">
        <f t="shared" si="335"/>
        <v/>
      </c>
      <c r="FX245" t="str" cm="1">
        <f t="array" ref="FX245">IF(FO245="","",_xlfn.LET(_xlpm.nd,_xlfn.TEXTSPLIT(FO245,"|"),IF(COLUMNS(_xlpm.nd)&gt;5,A245&amp;"¦"&amp;INDEX(_xlpm.nd,5)&amp;"¦"&amp;INDEX(_xlpm.nd,6),"")))</f>
        <v/>
      </c>
      <c r="FY245" t="str">
        <f t="shared" si="336"/>
        <v/>
      </c>
      <c r="FZ245" t="str" cm="1">
        <f t="array" ref="FZ245">IF(FO245="","",_xlfn.LET(_xlpm.nd,_xlfn.TEXTSPLIT(FO245,"|"),IF(COLUMNS(_xlpm.nd)&gt;6,A245&amp;"¦"&amp;INDEX(_xlpm.nd,6)&amp;"¦"&amp;INDEX(_xlpm.nd,7),"")))</f>
        <v/>
      </c>
      <c r="GA245" t="str">
        <f t="shared" si="337"/>
        <v/>
      </c>
      <c r="GB245" t="str">
        <f t="shared" si="338"/>
        <v/>
      </c>
      <c r="GC245" t="str">
        <f t="shared" si="339"/>
        <v>QFD21</v>
      </c>
      <c r="GD245">
        <f t="shared" si="340"/>
        <v>1</v>
      </c>
      <c r="GE245">
        <f t="shared" si="341"/>
        <v>0</v>
      </c>
      <c r="GF245">
        <f t="shared" si="342"/>
        <v>1</v>
      </c>
      <c r="GG245" t="str">
        <f t="shared" si="343"/>
        <v/>
      </c>
      <c r="GH245" t="str">
        <f t="shared" si="344"/>
        <v/>
      </c>
      <c r="GI245" t="str">
        <f t="shared" si="345"/>
        <v/>
      </c>
      <c r="GJ245" t="str">
        <f t="shared" si="346"/>
        <v/>
      </c>
      <c r="GK245" t="str">
        <f>IF(D245="","",IFERROR(VLOOKUP(D245,УГО_спр,2,FALSE),IFERROR(VLOOKUP(AT245,УГО_спр,2,FALSE),IFERROR(VLOOKUP(LEFT(AT245,2),УГО_спр,2,FALSE),""))))</f>
        <v>Розетка</v>
      </c>
      <c r="GL245" t="str">
        <f>IF(D245="","",IF(OR(GK245="",GK245=0),"BOX",IFERROR(IF(VLOOKUP(GK245,УГО_блоки,3,FALSE)&amp;""&lt;&gt;"",VLOOKUP(GK245,УГО_блоки,3,FALSE),VLOOKUP(GK245,УГО_блоки,2,FALSE)),GK245)))</f>
        <v>SOCKET</v>
      </c>
      <c r="GM245">
        <f t="shared" si="347"/>
        <v>1</v>
      </c>
      <c r="GN245" t="str">
        <f>IF(EP245="","",IF(COUNTIF(EP$3:EP245,EP245)=1,MAX(GN$2:GN244)+1,""))</f>
        <v/>
      </c>
      <c r="GO245" t="str">
        <f>IF(AF245="","",IF(COUNTIF(AF$3:AF245,AF245)+COUNTIF(AG$2:AG244,AF245)+COUNTIF(AH$2:AH244,AF245)=1,MAX(GO$2:GQ244)+1,""))</f>
        <v/>
      </c>
      <c r="GP245" t="str">
        <f>IF(AG245="","",IF(COUNTIF(AF$3:AF245,AG245)+COUNTIF(AG$3:AG245,AG245)+COUNTIF(AH$2:AH244,AG245)=1,MAX(GO$2:GQ244,GO245)+1,""))</f>
        <v/>
      </c>
      <c r="GQ245" t="str">
        <f>IF(AH245="","",IF(COUNTIF(AF$3:AF245,AH245)+COUNTIF(AG$3:AG245,AH245)+COUNTIF(AH$3:AH245,AH245)=1,MAX(GO$2:GQ244,GO245,GP245)+1,""))</f>
        <v/>
      </c>
      <c r="GR245" t="str">
        <f t="shared" si="348"/>
        <v>3х2,5</v>
      </c>
      <c r="GS245" t="str">
        <f>IF(GR245="","",IF(COUNTIF(GR$3:GR245,GR245)=1,MAX(GS$2:GS244)+1,""))</f>
        <v/>
      </c>
      <c r="GT245" t="str">
        <f>IF(ES245="","",COUNTIF(ES$3:ES245,"?*"))</f>
        <v/>
      </c>
      <c r="GU245" t="str">
        <f>IF(OR(ES245="",EU245=""),"",IF(COUNTIFS(ES$3:ES245,"?*",EU$3:EU245,EU245)=1,MAX(GU$2:GU244)+1,""))</f>
        <v/>
      </c>
      <c r="GV245">
        <f t="shared" si="349"/>
        <v>0</v>
      </c>
      <c r="GW245">
        <f>IF(D245="","",COUNTIF(D$3:D245,"?*"))</f>
        <v>243</v>
      </c>
      <c r="GX245">
        <f>IF(EX245&lt;&gt;1,0,_xlfn.LET(_xlpm.k,MAX(IFERROR(--VLOOKUP(D245,УГО_спр,5,FALSE),0),IFERROR(--VLOOKUP(AT245,УГО_спр,5,FALSE),0),IFERROR(--VLOOKUP(LEFT(AT245,2),УГО_спр,5,FALSE),0)),IF(_xlpm.k&gt;0,_xlpm.k,IF(IFERROR(--LEFT(SUBSTITUTE(GR245,"x","х"),FIND("х",SUBSTITUTE(GR245,"x","х"))-1),3)&gt;3,Каталог!$S$9,1))))</f>
        <v>1</v>
      </c>
      <c r="GY245">
        <f t="shared" si="350"/>
        <v>0</v>
      </c>
    </row>
    <row r="246" spans="1:207" x14ac:dyDescent="0.3">
      <c r="A246" t="s">
        <v>762</v>
      </c>
      <c r="B246">
        <v>32</v>
      </c>
      <c r="C246" t="str">
        <f>IF(BD246="","",IF(BE246="вводной узел","узел ","")&amp;"л."&amp;(INT((BD246-1)/Столбцов_на_лист)+1)&amp;" / "&amp;(MOD(BD246-1,Столбцов_на_лист)+1))</f>
        <v>л.2 / 15</v>
      </c>
      <c r="D246" t="s">
        <v>1568</v>
      </c>
      <c r="E246" s="133" t="str">
        <f t="shared" si="351"/>
        <v>Розеточная группа Первый этаж Пом. №003Г</v>
      </c>
      <c r="G246">
        <v>0.06</v>
      </c>
      <c r="H246">
        <v>1</v>
      </c>
      <c r="I246">
        <v>1</v>
      </c>
      <c r="J246">
        <v>230</v>
      </c>
      <c r="K246" t="s">
        <v>566</v>
      </c>
      <c r="O246">
        <v>1</v>
      </c>
      <c r="P246">
        <v>29</v>
      </c>
      <c r="Q246">
        <v>6</v>
      </c>
      <c r="R246">
        <v>26</v>
      </c>
      <c r="S246">
        <v>0</v>
      </c>
      <c r="U246" t="s">
        <v>11</v>
      </c>
      <c r="V246">
        <v>3</v>
      </c>
      <c r="W246">
        <v>2.5</v>
      </c>
      <c r="Z246" t="s">
        <v>565</v>
      </c>
      <c r="AA246" t="s">
        <v>818</v>
      </c>
      <c r="AD246" t="s">
        <v>517</v>
      </c>
      <c r="AK246" t="s">
        <v>488</v>
      </c>
      <c r="AR246" t="str">
        <f t="shared" si="264"/>
        <v/>
      </c>
      <c r="AS246" cm="1">
        <f t="array" ref="AS246">ROW()-ROW(Линии[#Headers])</f>
        <v>244</v>
      </c>
      <c r="AT246" t="str">
        <f t="shared" si="265"/>
        <v>R</v>
      </c>
      <c r="AU246" t="str">
        <f t="shared" si="266"/>
        <v>1.003Г.1</v>
      </c>
      <c r="AV246" t="str">
        <f t="shared" si="267"/>
        <v>1</v>
      </c>
      <c r="AW246" t="str">
        <f t="shared" si="268"/>
        <v>003Г.1</v>
      </c>
      <c r="AX246" t="str">
        <f t="shared" si="269"/>
        <v>003Г</v>
      </c>
      <c r="AY246" t="str">
        <f>IF(D246="","",IF(ISERROR(SEARCH(".",D246)),IFERROR(VLOOKUP(D246,Потребители_обозначение,2,FALSE)&amp;"",""),IFERROR(IF(VLOOKUP(AT246,Потребители_обозначение,4,FALSE)=1,VLOOKUP(AT246,Потребители_обозначение,2,FALSE)&amp;" "&amp;VLOOKUP(AV246,Этаж_обозначение,2,FALSE)&amp;" Пом. №"&amp;AX246,VLOOKUP(AT246,Потребители_обозначение,2,FALSE)&amp;" Шлейф №"&amp;AV246),IFERROR(VLOOKUP(D246,Потребители_обозначение,2,FALSE),""))))</f>
        <v>Розеточная группа Первый этаж Пом. №003Г</v>
      </c>
      <c r="AZ246" t="str">
        <f t="shared" si="270"/>
        <v>Розеточная группа Первый этаж Пом. №003Г</v>
      </c>
      <c r="BA246" t="str">
        <f>IF(F246&lt;&gt;"",F246,IF(AND(D246&lt;&gt;"",D246&lt;&gt;A246,ISNUMBER(_xlfn.XMATCH(D246,Щиты[Щит]))),D246,""))</f>
        <v/>
      </c>
      <c r="BB246">
        <f>IFERROR(_xlfn.XMATCH(A246,Щиты[Щит]),0)</f>
        <v>10</v>
      </c>
      <c r="BC246">
        <f>IFERROR(N(_xlfn.XLOOKUP(A246,Щиты[Щит],Щиты[Мест под вводной узел])),15)</f>
        <v>8</v>
      </c>
      <c r="BD246">
        <f t="shared" si="271"/>
        <v>32</v>
      </c>
      <c r="BE246" t="str">
        <f t="shared" si="272"/>
        <v>линии</v>
      </c>
      <c r="BF246">
        <f>IF(D246="","",IF(BA246&lt;&gt;"",IFERROR(_xlfn.XLOOKUP(BA246,Щиты[Щит],Щиты[Руст, кВт]),0),N(G246)))</f>
        <v>0.06</v>
      </c>
      <c r="BG246">
        <f>IF(J246&lt;&gt;"",J246,IF(D246="","",IFERROR(IF(VLOOKUP(AT246,Потребители_обозначение,8,FALSE)=0,"",VLOOKUP(AT246,Потребители_обозначение,8,FALSE)),"")))</f>
        <v>230</v>
      </c>
      <c r="BH246">
        <f>IF(I246&lt;&gt;"",I246,IF(D246="","",IFERROR(IF(VLOOKUP(AT246,Потребители_обозначение,9,FALSE)=0,"",VLOOKUP(AT246,Потребители_обозначение,9,FALSE)),"")))</f>
        <v>1</v>
      </c>
      <c r="BI246" t="str">
        <f>IF(U246&lt;&gt;"",U246,IF(D246="","",IFERROR(IF(VLOOKUP(AT246,Потребители_обозначение,6,FALSE)=0,"",VLOOKUP(AT246,Потребители_обозначение,6,FALSE)),"")))</f>
        <v>мс</v>
      </c>
      <c r="BJ246">
        <f>IF(V246&lt;&gt;"",V246,IF(D246="","",IFERROR(IF(VLOOKUP(AT246,Потребители_обозначение,7,FALSE)=0,"",VLOOKUP(AT246,Потребители_обозначение,7,FALSE)),"")))</f>
        <v>3</v>
      </c>
      <c r="BK246">
        <f>IF(W246&lt;&gt;"",W246,IF(D246="","",IFERROR(IF(VLOOKUP(AT246,Потребители_обозначение,10,FALSE)=0,"",VLOOKUP(AT246,Потребители_обозначение,10,FALSE)),"")))</f>
        <v>2.5</v>
      </c>
      <c r="BL246">
        <f>IFERROR(VLOOKUP(AT246,Потребители_обозначение,5,FALSE),0)</f>
        <v>1</v>
      </c>
      <c r="BM246" cm="1">
        <f t="array" ref="BM246">IF(D246="","",IF(BA246&lt;&gt;"",IFERROR(_xlfn.XLOOKUP(BA246,Щиты[Щит],Щиты[cos φ]),0.95),IF(ISNUMBER(M246),M246,IFERROR(IF(BL246=2,_xlfn.IFS(BH246=3,VLOOKUP(BF246,Справочная_двигатели,8,FALSE),BH246=1,VLOOKUP(BF246,Справочная_двигатели,10,TRUE)),IF(AND(Методика="нормы 2026",CN246="Сил"),0.8,0.95)),0.95))))</f>
        <v>0.95</v>
      </c>
      <c r="BN246" cm="1">
        <f t="array" ref="BN246">IF(D246="","",IF(BA246&lt;&gt;"",IFERROR(_xlfn.XLOOKUP(BA246,Щиты[Щит],Щиты[Iр, А]),""),IFERROR(_xlfn.IFS(BH246=1,BF246/((Uн_лин/SQRT(3))*BM246),BH246=3,BF246/(SQRT(3)*Uн_лин*BM246)),"")))</f>
        <v>0.27348170645824377</v>
      </c>
      <c r="BO246">
        <f>IF(D246="","",IF(N(X246)=0,IFERROR(VLOOKUP(BN246,Автомат_номиналы,2,TRUE),""),X246))</f>
        <v>6</v>
      </c>
      <c r="BP246">
        <f t="shared" si="273"/>
        <v>1</v>
      </c>
      <c r="BQ246">
        <f>IF(ISNUMBER(Y246),Y246,К_прокл)</f>
        <v>1</v>
      </c>
      <c r="BR246">
        <f t="shared" si="274"/>
        <v>2</v>
      </c>
      <c r="BS246" cm="1">
        <f t="array" ref="BS246">IF(D246="","",IF(N(BK246)&lt;&gt;0,BK246,IFERROR(_xlfn.LET(_xlpm.need,BO246/(BP246*BQ246),_xlpm.t,CHOOSE(BR246,Iдоп_1ж,Iдоп_2ж,Iдоп_3ж),_xlpm.k,_xlfn.XMATCH(_xlpm.need,_xlpm.t,1),IF(ISNA(_xlpm.k),"Не исп",INDEX(Iдоп_S,_xlpm.k))),"Не исп")))</f>
        <v>2.5</v>
      </c>
      <c r="BT246">
        <f>IFERROR(VLOOKUP(BS246,Кабель_сопротивление,3,FALSE),"")</f>
        <v>2.2499999999999999E-2</v>
      </c>
      <c r="BU246">
        <f>IFERROR(VLOOKUP(BS246,Кабель_сопротивление,2,FALSE),"")</f>
        <v>0.1</v>
      </c>
      <c r="BV246">
        <f t="shared" si="275"/>
        <v>29</v>
      </c>
      <c r="BW246">
        <f>IF(D246="","",IFERROR(IF(VLOOKUP(AT246,Потребители_обозначение,4,FALSE)=1,VLOOKUP(AT246,Потребители_обозначение,3,FALSE)*(H246*2-1)+BV246+VLOOKUP(AV246,Этаж_обозначение,3,FALSE)+VLOOKUP(AV246,Этаж_обозначение,4,FALSE),VLOOKUP(AT246,Потребители_обозначение,3,FALSE)*(H246*2-1)+BV246),BV246))</f>
        <v>32</v>
      </c>
      <c r="BX246">
        <f t="shared" si="276"/>
        <v>26</v>
      </c>
      <c r="BY246">
        <f t="shared" si="277"/>
        <v>0</v>
      </c>
      <c r="BZ246">
        <f t="shared" si="278"/>
        <v>2</v>
      </c>
      <c r="CA246">
        <f t="shared" si="279"/>
        <v>0.31</v>
      </c>
      <c r="CB246">
        <f t="shared" si="280"/>
        <v>0.15019177747956411</v>
      </c>
      <c r="CC246">
        <f>IFERROR(ROUNDUP(CB246/((Uн_лин/SQRT(3))*1000)*100,2),"")</f>
        <v>6.9999999999999993E-2</v>
      </c>
      <c r="CD246">
        <f>IF(ISNUMBER(CC246),CC246+IFERROR(_xlfn.XLOOKUP(A246,Щиты[Щит],Щиты[ΔU до шин, %]),0),"")</f>
        <v>1.32</v>
      </c>
      <c r="CE246">
        <f>IF(D246="","",IF(IFERROR(VLOOKUP(AT246,УГО_спр,2,FALSE),"")="Светильник",3,4)+IF(Методика="нормы 2026",MIN(0.5,MAX(0,N(BW246)-100)*0.005),0))</f>
        <v>4</v>
      </c>
      <c r="CF246" t="str">
        <f>IFERROR(VLOOKUP(BI246,Кабель_обозначение,2,FALSE),"")</f>
        <v>ВВГнг(А)-LS</v>
      </c>
      <c r="CG246" t="str">
        <f>IFERROR(IF(VLOOKUP(BI246,Кабель_обозначение,3,FALSE)=1,CF246&amp;" ("&amp;BJ246&amp;"х"&amp;BS246&amp;")",CF246),"")</f>
        <v>ВВГнг(А)-LS (3х2,5)</v>
      </c>
      <c r="CH246" t="str">
        <f t="shared" si="281"/>
        <v>ВВГнг(А)-LS (3х2,5)
L=32-0,07%</v>
      </c>
      <c r="CI246">
        <f>IFERROR(2*ρкз_Cu*BW246/BS246,"")</f>
        <v>0.67327999999999999</v>
      </c>
      <c r="CJ246">
        <f t="shared" si="282"/>
        <v>0.22400000000000003</v>
      </c>
      <c r="CK246" t="str">
        <f>IFERROR(IF(OR(D246="",NOT(ISNUMBER(BS246)),N(BW246)=0),"",_xlfn.XLOOKUP(A246,Щиты[Щит],Щиты[Zпетли на шинах, Ом])+CI246),"")</f>
        <v/>
      </c>
      <c r="CL246" t="str">
        <f>IF(ISNUMBER(CK246),c_min*(Uн_лин*1000/SQRT(3))/CK246,"")</f>
        <v/>
      </c>
      <c r="CM246" t="str">
        <f>IFERROR(IF(OR(D246="",NOT(ISNUMBER(BS246))),"",1.05*(Uн_лин*1000/SQRT(3))/(_xlfn.XLOOKUP(A246,Щиты[Щит],Щиты[Zmax на шинах, Ом])+CJ246)/1000),"")</f>
        <v/>
      </c>
      <c r="CN246" t="str">
        <f>IF(D246="","",IF(BA246&lt;&gt;"","Щит",IF(K246&lt;&gt;"",K246,IF(ISNUMBER(L246),"Сил",IF(IFERROR(_xlfn.XLOOKUP(AT246,Коды_код,Коды_группа)&amp;"","")="","Быт",_xlfn.XLOOKUP(AT246,Коды_код,Коды_группа)&amp;"")))))</f>
        <v>Быт</v>
      </c>
      <c r="CO246">
        <f>IF(CN246="Щит","щит",IF(CN246="","",IF(CN246="Быт",IFERROR(_xlfn.XLOOKUP(A246,Щиты[Щит],Щиты[Кс быт]),1),IF(CN246="Сил",IF(ISNUMBER(L246),L246,IF(Методика="нормы 2026",IFERROR(_xlfn.XLOOKUP(A246,Щиты[Щит],Щиты[Кс силовых (табл. 7.5)]),1),1)),IF(OR(CN246="Пост",CN246="Отоп"),1,IF(CN246="ВНГ",0.7,0))))))</f>
        <v>0.57830000000000004</v>
      </c>
      <c r="CP246">
        <f t="shared" si="283"/>
        <v>1</v>
      </c>
      <c r="CQ246">
        <f t="shared" si="284"/>
        <v>0.06</v>
      </c>
      <c r="CR246">
        <f t="shared" si="285"/>
        <v>0.06</v>
      </c>
      <c r="CS246">
        <f t="shared" si="286"/>
        <v>0</v>
      </c>
      <c r="CT246">
        <f t="shared" si="287"/>
        <v>0</v>
      </c>
      <c r="CU246">
        <f t="shared" si="288"/>
        <v>0</v>
      </c>
      <c r="CV246">
        <f t="shared" si="289"/>
        <v>0</v>
      </c>
      <c r="CW246">
        <f t="shared" si="290"/>
        <v>0.06</v>
      </c>
      <c r="CX246">
        <f t="shared" si="291"/>
        <v>5.6999999999999995E-2</v>
      </c>
      <c r="CY246">
        <f t="shared" si="292"/>
        <v>1</v>
      </c>
      <c r="CZ246" t="str">
        <f t="shared" si="293"/>
        <v>L1</v>
      </c>
      <c r="DA246" cm="1">
        <f t="array" ref="DA246">IFERROR(IF(BL246=2,_xlfn.IFS(BH246=3,VLOOKUP(BF246,Справочная_двигатели,3,FALSE),BH246=1,VLOOKUP(BF246,Справочная_двигатели,5,TRUE)),0),0)</f>
        <v>0</v>
      </c>
      <c r="DB246">
        <f>IFERROR(IF(BL246=3,VLOOKUP(BF246,Справочная_ЛЭД,2,TRUE),0),0)</f>
        <v>0</v>
      </c>
      <c r="DC246">
        <f t="shared" si="294"/>
        <v>0</v>
      </c>
      <c r="DD246" t="str">
        <f t="shared" si="295"/>
        <v>L1</v>
      </c>
      <c r="DE246" t="str" cm="1">
        <f t="array" ref="DE246">IF(D246="","",IFERROR(INDEX({"I особая","I","II","III"},MATCH(TRIM(AA246&amp;""),{"I особая","I","II","III"},0)),"III"))</f>
        <v>II</v>
      </c>
      <c r="DF246" t="str">
        <f>IF(D246="","",IF(TRIM(AB246&amp;"")&lt;&gt;"",IF(LOWER(TRIM(AB246&amp;""))="да","да","нет"),IF(IFERROR(_xlfn.XLOOKUP(AT246,Коды_код,Коды_пожарная),"")="да","да","нет")))</f>
        <v>нет</v>
      </c>
      <c r="DG246" t="str">
        <f t="shared" si="296"/>
        <v/>
      </c>
      <c r="DH246" t="str">
        <f t="shared" si="297"/>
        <v>основная</v>
      </c>
      <c r="DI246">
        <f t="shared" si="298"/>
        <v>1</v>
      </c>
      <c r="DJ246" t="str" cm="1">
        <f t="array" ref="DJ246">IF(D246="","",_xlfn.LET(_xlpm.t,IFERROR(_xlfn.XLOOKUP(1,(Шины[Шина]=DH246)*(((Шины[Щит]=A246)+(Шины[Щит]=""))&gt;0),Шины[Тип]),"")&amp;"",IF(_xlpm.t&lt;&gt;"",_xlpm.t,IF(ISNUMBER(SEARCH("ИБП",DH246)),"ИБП",IF(ISNUMBER(SEARCH("ДГУ",DH246)),"ДГУ","Ввод "&amp;DI246)))))</f>
        <v>Ввод 1</v>
      </c>
      <c r="DK246" t="str">
        <f t="shared" si="299"/>
        <v>Ввод 1</v>
      </c>
      <c r="DL246" t="str">
        <f>IF(D246="","",IF(OR(DJ246="ИБП",DJ246="ДГУ"),"I особая",IF(DJ246="Одиночная","III",_xlfn.XLOOKUP(A246,Щиты[Щит],Щиты[Категория шины «Ввод»],"III"))))</f>
        <v>II</v>
      </c>
      <c r="DM246">
        <f>IF(D246="",0,IFERROR(MATCH(DE246,{"III","II","I","I особая"},0),1))</f>
        <v>2</v>
      </c>
      <c r="DN246">
        <f t="shared" si="300"/>
        <v>2</v>
      </c>
      <c r="DO246" t="str">
        <f>IF(D246="","",IF(DM246&gt;IFERROR(MATCH(DL246,{"III","II","I","I особая"},0),1),"НЕ ОБЕСПЕЧЕНА","ОК"))</f>
        <v>ОК</v>
      </c>
      <c r="DP246" t="str">
        <f>IF(A246="","",_xlfn.XLOOKUP(A246,Щиты[Щит],Щиты[Путь],""))</f>
        <v>|ГРЩ-ЖД|ЩР-1|</v>
      </c>
      <c r="DQ246" t="str">
        <f>IF(D246="","",IF(Z246&lt;&gt;"",Z246,IF(IFERROR(_xlfn.XLOOKUP(AT246,Коды_код,Коды_вид)&amp;"","")="","Прочее",_xlfn.XLOOKUP(AT246,Коды_код,Коды_вид)&amp;"")))</f>
        <v>Розеточная сеть и бытовые приборы</v>
      </c>
      <c r="DR246">
        <f>IF(BD246="","",INT((BD246-1)/Столбцов_на_лист)+1)</f>
        <v>2</v>
      </c>
      <c r="DS246" t="str">
        <f t="shared" si="301"/>
        <v>ВВГнг(А)-LS (3х2,5) L=32-0,07%</v>
      </c>
      <c r="DT246">
        <f t="shared" si="302"/>
        <v>0.06</v>
      </c>
      <c r="DU246">
        <f t="shared" si="303"/>
        <v>0.28000000000000003</v>
      </c>
      <c r="DV246">
        <f t="shared" si="304"/>
        <v>1</v>
      </c>
      <c r="DW246">
        <f>IF(AT246="",0,_xlfn.LET(_xlpm.v,IFERROR(VLOOKUP(D246,УГО_спр,3,FALSE),IFERROR(VLOOKUP(AT246,УГО_спр,3,FALSE),IFERROR(VLOOKUP(LEFT(AT246,2),УГО_спр,3,FALSE),""))),IF(_xlpm.v="да",30,IF(ISNUMBER(_xlpm.v),_xlpm.v,0))))</f>
        <v>30</v>
      </c>
      <c r="DX246">
        <f t="shared" si="305"/>
        <v>0</v>
      </c>
      <c r="DY246">
        <f>IF(BD246="","",IF(AD246&lt;&gt;"",COUNTIFS(A$3:A246,A246,AD$3:AD246,"?*"),IF(OR(OR(AS246=1,A246&lt;&gt;A245),AL246="вручную"),"",IF(AS246=1,"",DZ245))))</f>
        <v>22</v>
      </c>
      <c r="DZ246">
        <f t="shared" si="306"/>
        <v>22</v>
      </c>
      <c r="EA246">
        <f>IF(D246="",0,MAX(IFERROR(--X246,0),IFERROR(--VLOOKUP(D246,УГО_спр,4,FALSE),IFERROR(--VLOOKUP(AT246,УГО_спр,4,FALSE),IFERROR(--VLOOKUP(LEFT(AT246,2),УГО_спр,4,FALSE),0)))))</f>
        <v>16</v>
      </c>
      <c r="EB246">
        <f>IF(D246="","",IFERROR(LOOKUP(INDEX(CHOOSE(BR246,Iдоп_1ж,Iдоп_2ж,Iдоп_3ж),MATCH(BS246,Iдоп_S,0))*BP246*BQ246,{6,10,16,20,25,32,40,50,63,80,100,125,160,200,250,315,400,500,630}),""))</f>
        <v>25</v>
      </c>
      <c r="EC246">
        <f>IF(AD246="","",SUMIFS(Линии[_Ток схемы],Линии[_гр.],DY246,Линии[Щит],A246,Линии[_в кабель выше],0))</f>
        <v>0.28000000000000003</v>
      </c>
      <c r="ED246">
        <f>IF(AD246="","",IFERROR(VLOOKUP(EC246,Автомат_номиналы,2,TRUE),""))</f>
        <v>6</v>
      </c>
      <c r="EE246">
        <f>IF(AD246="","",MAX(N(ED246),_xlfn.MAXIFS(Линии[_мин. по типу],Линии[_гр.],DY246,Линии[Щит],A246)))</f>
        <v>16</v>
      </c>
      <c r="EF246">
        <f>IF(AD246="","",_xlfn.MINIFS(Линии[_макс. автомат по кабелю],Линии[_гр.],DY246,Линии[Щит],A246))</f>
        <v>25</v>
      </c>
      <c r="EG246">
        <f>IF(AD246="","",MAX(1,_xlfn.MAXIFS(Линии[_фаз],Линии[_гр.],DY246,Линии[Щит],A246)))</f>
        <v>1</v>
      </c>
      <c r="EH246">
        <f>IF(AD246="","",IF(AND(AD246&lt;&gt;"авто",AD246&lt;&gt;"+"),IF(ISNUMBER(SEARCH("мА",AD246)),IFERROR(--TRIM(RIGHT(SUBSTITUTE(LEFT(AD246,SEARCH("мА",AD246)-1)," ",REPT(" ",9)),6)),30),0),IF(AE246="нет",0,IF(ISNUMBER(AE246),AE246,IF(AE246="да",30,_xlfn.MINIFS(Линии[_дифзащита по коду, мА],Линии[_гр.],DY246,Линии[Щит],A246,Линии[_дифзащита по коду, мА],"&gt;0"))))))</f>
        <v>30</v>
      </c>
      <c r="EI246">
        <f t="shared" si="307"/>
        <v>1</v>
      </c>
      <c r="EJ246" t="str">
        <f t="shared" si="308"/>
        <v>QFD22</v>
      </c>
      <c r="EK246" t="str">
        <f t="shared" si="309"/>
        <v>QFD22</v>
      </c>
      <c r="EL246" t="str">
        <f t="shared" si="310"/>
        <v/>
      </c>
      <c r="EM246">
        <f t="shared" si="311"/>
        <v>0</v>
      </c>
      <c r="EN246">
        <f>IF(AD246="","",IF(EM246=1,MAX(EE246,Мин_автомат_БП),EE246))</f>
        <v>16</v>
      </c>
      <c r="EO246" t="str">
        <f t="shared" si="312"/>
        <v>2P</v>
      </c>
      <c r="EP246" t="str">
        <f t="shared" si="313"/>
        <v>2P С16А 30мА</v>
      </c>
      <c r="EQ246">
        <f t="shared" si="314"/>
        <v>16</v>
      </c>
      <c r="ER246" t="str">
        <f>IF(OR(AI246="",AI246="-"),"",IFERROR(VLOOKUP(AI246,Модули_спр,2,FALSE),"R"))</f>
        <v/>
      </c>
      <c r="ES246" t="str">
        <f>IF(ER246="","",ER246&amp;"."&amp;COUNTIFS(A$3:A246,A246,ER$3:ER246,ER246))</f>
        <v/>
      </c>
      <c r="ET246" t="str">
        <f t="shared" si="315"/>
        <v/>
      </c>
      <c r="EU246" t="str">
        <f t="shared" si="316"/>
        <v/>
      </c>
      <c r="EV246" t="str">
        <f t="shared" si="317"/>
        <v/>
      </c>
      <c r="EW246" t="str">
        <f t="shared" si="318"/>
        <v/>
      </c>
      <c r="EX246">
        <f t="shared" si="319"/>
        <v>1</v>
      </c>
      <c r="EY246" t="str">
        <f>IF(AK246="нет","",IF(AK246&lt;&gt;"",AK246,IF(EX246=1,"XT"&amp;COUNTIFS(A$3:A246,A246,EX$3:EX246,1),"")))</f>
        <v/>
      </c>
      <c r="EZ246" t="str">
        <f t="shared" si="320"/>
        <v>QFD22</v>
      </c>
      <c r="FA246" t="str">
        <f t="shared" si="321"/>
        <v/>
      </c>
      <c r="FB246" t="str">
        <f t="shared" si="322"/>
        <v>ok</v>
      </c>
      <c r="FC246" t="str">
        <f>IF(OR(EV246="",ET246=""),"",IF(EV246&gt;IFERROR(VLOOKUP(EU246,Модули_спр,3,FALSE),99),"ЛИШНИЙ КАНАЛ",IF(AND(AJ246&lt;&gt;"=",COUNTIFS(Линии[_модуль гр.],ET246,Линии[Канал (итог)],EV246,Линии[Канал],"&lt;&gt;=",Линии[Щит],A246)&gt;1),"ДУБЛЬ КАНАЛА","")))</f>
        <v/>
      </c>
      <c r="FD246">
        <f t="shared" si="323"/>
        <v>16</v>
      </c>
      <c r="FE246" t="str">
        <f t="shared" si="324"/>
        <v>2P С16А 30мА</v>
      </c>
      <c r="FF246">
        <f t="shared" si="325"/>
        <v>1</v>
      </c>
      <c r="FG246">
        <f t="shared" si="326"/>
        <v>30</v>
      </c>
      <c r="FH246" t="str">
        <f t="shared" si="327"/>
        <v/>
      </c>
      <c r="FI246">
        <f t="shared" si="328"/>
        <v>10</v>
      </c>
      <c r="FJ246" t="str">
        <f t="shared" si="329"/>
        <v/>
      </c>
      <c r="FK246" t="str">
        <f>IF(AND(D246="",EZ246=""),"",_xlfn.TEXTJOIN("; ",TRUE,IF(AND(D246&lt;&gt;"",DD246=""),"нет фазы",""),IF(AND(D246&lt;&gt;"",N(DT246)=0,CN246&lt;&gt;"Нет"),"нет мощности",""),IF(AND(EY246&lt;&gt;"",COUNTIFS(Линии[Щит],A246,Линии[Клемма (итог)],EY246)&gt;1),"дубль клеммы "&amp;EY246,""),IF(AND(FB246&lt;&gt;"",FB246&lt;&gt;"ok"),FB246,""),IF(FC246&lt;&gt;"",FC246,""),IF(AND(ISNUMBER(SEARCH("(5х",DS246)),N(DV246)=1),"5 жил на 1 фазе",""),IF(AND(AT246="R",AD246&lt;&gt;"",OR(N(EH246)=0,N(EH246)&gt;30)),"розетка без дифзащиты до 30 мА",""),IFERROR(IF(AND(ISNUMBER(CD246),CD246&gt;CE246),"потери "&amp;FIXED(CD246,1)&amp;" % &gt; "&amp;CE246&amp;" %",""),""),IFERROR(IF(LEFT(FJ246,4)="мало","Iкз мало — отключение &gt; 0,4 с",""),""),IF(AND(D246&lt;&gt;"",BD246=""),"не на схеме","")))</f>
        <v/>
      </c>
      <c r="FL246">
        <f>IF(AD246="","",_xlfn.LET(_xlpm.t,IFERROR(_xlfn.XLOOKUP(EP246,Каталог!$U$4:$U$500,Каталог!$G$4:$G$500),""),_xlpm.k,SEARCH("кА",_xlpm.t),IFERROR(--TRIM(RIGHT(SUBSTITUTE(MID(_xlpm.t,MAX(1,_xlpm.k-4),_xlpm.k-MAX(1,_xlpm.k-4))," ",REPT(" ",9)),5)),"")))</f>
        <v>6</v>
      </c>
      <c r="FM246" t="str">
        <f>IF(OR(FL246="",AD246=""),"",IF(_xlfn.XLOOKUP(A246,Щиты[Щит],Щиты[Iкз max на шинах, кА],"")="","",IF(FL246&lt;_xlfn.XLOOKUP(A246,Щиты[Щит],Щиты[Iкз max на шинах, кА]),"Icu "&amp;FL246&amp;" кА &lt; Iкз max","ok")))</f>
        <v/>
      </c>
      <c r="FN246" t="str">
        <f t="shared" si="330"/>
        <v>QFD22</v>
      </c>
      <c r="FO246" t="str">
        <f t="shared" si="331"/>
        <v>QFD22|кабель ВВГнг(А)-LS (3х2,5) → Розеточная группа Первый этаж Пом. №003Г</v>
      </c>
      <c r="FP246" t="str" cm="1">
        <f t="array" ref="FP246">IF(FO246="","",_xlfn.LET(_xlpm.nd,_xlfn.TEXTSPLIT(FO246,"|"),IF(COLUMNS(_xlpm.nd)&gt;1,A246&amp;"¦"&amp;INDEX(_xlpm.nd,1)&amp;"¦"&amp;INDEX(_xlpm.nd,2),"")))</f>
        <v>ЩР-1¦QFD22¦кабель ВВГнг(А)-LS (3х2,5) → Розеточная группа Первый этаж Пом. №003Г</v>
      </c>
      <c r="FQ246" t="str">
        <f t="shared" si="332"/>
        <v>R.1.003Г.1¦Розеточная группа Первый этаж Пом. №003Г</v>
      </c>
      <c r="FR246" t="str" cm="1">
        <f t="array" ref="FR246">IF(FO246="","",_xlfn.LET(_xlpm.nd,_xlfn.TEXTSPLIT(FO246,"|"),IF(COLUMNS(_xlpm.nd)&gt;2,A246&amp;"¦"&amp;INDEX(_xlpm.nd,2)&amp;"¦"&amp;INDEX(_xlpm.nd,3),"")))</f>
        <v/>
      </c>
      <c r="FS246" t="str">
        <f t="shared" si="333"/>
        <v/>
      </c>
      <c r="FT246" t="str" cm="1">
        <f t="array" ref="FT246">IF(FO246="","",_xlfn.LET(_xlpm.nd,_xlfn.TEXTSPLIT(FO246,"|"),IF(COLUMNS(_xlpm.nd)&gt;3,A246&amp;"¦"&amp;INDEX(_xlpm.nd,3)&amp;"¦"&amp;INDEX(_xlpm.nd,4),"")))</f>
        <v/>
      </c>
      <c r="FU246" t="str">
        <f t="shared" si="334"/>
        <v/>
      </c>
      <c r="FV246" t="str" cm="1">
        <f t="array" ref="FV246">IF(FO246="","",_xlfn.LET(_xlpm.nd,_xlfn.TEXTSPLIT(FO246,"|"),IF(COLUMNS(_xlpm.nd)&gt;4,A246&amp;"¦"&amp;INDEX(_xlpm.nd,4)&amp;"¦"&amp;INDEX(_xlpm.nd,5),"")))</f>
        <v/>
      </c>
      <c r="FW246" t="str">
        <f t="shared" si="335"/>
        <v/>
      </c>
      <c r="FX246" t="str" cm="1">
        <f t="array" ref="FX246">IF(FO246="","",_xlfn.LET(_xlpm.nd,_xlfn.TEXTSPLIT(FO246,"|"),IF(COLUMNS(_xlpm.nd)&gt;5,A246&amp;"¦"&amp;INDEX(_xlpm.nd,5)&amp;"¦"&amp;INDEX(_xlpm.nd,6),"")))</f>
        <v/>
      </c>
      <c r="FY246" t="str">
        <f t="shared" si="336"/>
        <v/>
      </c>
      <c r="FZ246" t="str" cm="1">
        <f t="array" ref="FZ246">IF(FO246="","",_xlfn.LET(_xlpm.nd,_xlfn.TEXTSPLIT(FO246,"|"),IF(COLUMNS(_xlpm.nd)&gt;6,A246&amp;"¦"&amp;INDEX(_xlpm.nd,6)&amp;"¦"&amp;INDEX(_xlpm.nd,7),"")))</f>
        <v/>
      </c>
      <c r="GA246" t="str">
        <f t="shared" si="337"/>
        <v/>
      </c>
      <c r="GB246" t="str">
        <f t="shared" si="338"/>
        <v/>
      </c>
      <c r="GC246" t="str">
        <f t="shared" si="339"/>
        <v>QFD22</v>
      </c>
      <c r="GD246">
        <f t="shared" si="340"/>
        <v>1</v>
      </c>
      <c r="GE246">
        <f t="shared" si="341"/>
        <v>0</v>
      </c>
      <c r="GF246">
        <f t="shared" si="342"/>
        <v>1</v>
      </c>
      <c r="GG246" t="str">
        <f t="shared" si="343"/>
        <v/>
      </c>
      <c r="GH246" t="str">
        <f t="shared" si="344"/>
        <v/>
      </c>
      <c r="GI246" t="str">
        <f t="shared" si="345"/>
        <v/>
      </c>
      <c r="GJ246" t="str">
        <f t="shared" si="346"/>
        <v/>
      </c>
      <c r="GK246" t="str">
        <f>IF(D246="","",IFERROR(VLOOKUP(D246,УГО_спр,2,FALSE),IFERROR(VLOOKUP(AT246,УГО_спр,2,FALSE),IFERROR(VLOOKUP(LEFT(AT246,2),УГО_спр,2,FALSE),""))))</f>
        <v>Розетка</v>
      </c>
      <c r="GL246" t="str">
        <f>IF(D246="","",IF(OR(GK246="",GK246=0),"BOX",IFERROR(IF(VLOOKUP(GK246,УГО_блоки,3,FALSE)&amp;""&lt;&gt;"",VLOOKUP(GK246,УГО_блоки,3,FALSE),VLOOKUP(GK246,УГО_блоки,2,FALSE)),GK246)))</f>
        <v>SOCKET</v>
      </c>
      <c r="GM246">
        <f t="shared" si="347"/>
        <v>1</v>
      </c>
      <c r="GN246" t="str">
        <f>IF(EP246="","",IF(COUNTIF(EP$3:EP246,EP246)=1,MAX(GN$2:GN245)+1,""))</f>
        <v/>
      </c>
      <c r="GO246" t="str">
        <f>IF(AF246="","",IF(COUNTIF(AF$3:AF246,AF246)+COUNTIF(AG$2:AG245,AF246)+COUNTIF(AH$2:AH245,AF246)=1,MAX(GO$2:GQ245)+1,""))</f>
        <v/>
      </c>
      <c r="GP246" t="str">
        <f>IF(AG246="","",IF(COUNTIF(AF$3:AF246,AG246)+COUNTIF(AG$3:AG246,AG246)+COUNTIF(AH$2:AH245,AG246)=1,MAX(GO$2:GQ245,GO246)+1,""))</f>
        <v/>
      </c>
      <c r="GQ246" t="str">
        <f>IF(AH246="","",IF(COUNTIF(AF$3:AF246,AH246)+COUNTIF(AG$3:AG246,AH246)+COUNTIF(AH$3:AH246,AH246)=1,MAX(GO$2:GQ245,GO246,GP246)+1,""))</f>
        <v/>
      </c>
      <c r="GR246" t="str">
        <f t="shared" si="348"/>
        <v>3х2,5</v>
      </c>
      <c r="GS246" t="str">
        <f>IF(GR246="","",IF(COUNTIF(GR$3:GR246,GR246)=1,MAX(GS$2:GS245)+1,""))</f>
        <v/>
      </c>
      <c r="GT246" t="str">
        <f>IF(ES246="","",COUNTIF(ES$3:ES246,"?*"))</f>
        <v/>
      </c>
      <c r="GU246" t="str">
        <f>IF(OR(ES246="",EU246=""),"",IF(COUNTIFS(ES$3:ES246,"?*",EU$3:EU246,EU246)=1,MAX(GU$2:GU245)+1,""))</f>
        <v/>
      </c>
      <c r="GV246">
        <f t="shared" si="349"/>
        <v>0</v>
      </c>
      <c r="GW246">
        <f>IF(D246="","",COUNTIF(D$3:D246,"?*"))</f>
        <v>244</v>
      </c>
      <c r="GX246">
        <f>IF(EX246&lt;&gt;1,0,_xlfn.LET(_xlpm.k,MAX(IFERROR(--VLOOKUP(D246,УГО_спр,5,FALSE),0),IFERROR(--VLOOKUP(AT246,УГО_спр,5,FALSE),0),IFERROR(--VLOOKUP(LEFT(AT246,2),УГО_спр,5,FALSE),0)),IF(_xlpm.k&gt;0,_xlpm.k,IF(IFERROR(--LEFT(SUBSTITUTE(GR246,"x","х"),FIND("х",SUBSTITUTE(GR246,"x","х"))-1),3)&gt;3,Каталог!$S$9,1))))</f>
        <v>1</v>
      </c>
      <c r="GY246">
        <f t="shared" si="350"/>
        <v>0</v>
      </c>
    </row>
    <row r="247" spans="1:207" x14ac:dyDescent="0.3">
      <c r="A247" t="s">
        <v>762</v>
      </c>
      <c r="B247">
        <v>33</v>
      </c>
      <c r="C247" t="str">
        <f>IF(BD247="","",IF(BE247="вводной узел","узел ","")&amp;"л."&amp;(INT((BD247-1)/Столбцов_на_лист)+1)&amp;" / "&amp;(MOD(BD247-1,Столбцов_на_лист)+1))</f>
        <v>л.2 / 16</v>
      </c>
      <c r="D247" t="s">
        <v>1569</v>
      </c>
      <c r="E247" s="133" t="str">
        <f t="shared" si="351"/>
        <v>Розеточная группа Первый этаж Пом. №004Aб</v>
      </c>
      <c r="G247">
        <v>0.24</v>
      </c>
      <c r="H247">
        <v>4</v>
      </c>
      <c r="I247">
        <v>1</v>
      </c>
      <c r="J247">
        <v>230</v>
      </c>
      <c r="K247" t="s">
        <v>566</v>
      </c>
      <c r="O247">
        <v>2</v>
      </c>
      <c r="P247">
        <v>54</v>
      </c>
      <c r="Q247">
        <v>28</v>
      </c>
      <c r="R247">
        <v>47</v>
      </c>
      <c r="S247">
        <v>0</v>
      </c>
      <c r="U247" t="s">
        <v>11</v>
      </c>
      <c r="V247">
        <v>3</v>
      </c>
      <c r="W247">
        <v>2.5</v>
      </c>
      <c r="Z247" t="s">
        <v>565</v>
      </c>
      <c r="AA247" t="s">
        <v>818</v>
      </c>
      <c r="AD247" t="s">
        <v>517</v>
      </c>
      <c r="AK247" t="s">
        <v>488</v>
      </c>
      <c r="AR247" t="str">
        <f t="shared" si="264"/>
        <v/>
      </c>
      <c r="AS247" cm="1">
        <f t="array" ref="AS247">ROW()-ROW(Линии[#Headers])</f>
        <v>245</v>
      </c>
      <c r="AT247" t="str">
        <f t="shared" si="265"/>
        <v>R</v>
      </c>
      <c r="AU247" t="str">
        <f t="shared" si="266"/>
        <v>1.004Aб.1</v>
      </c>
      <c r="AV247" t="str">
        <f t="shared" si="267"/>
        <v>1</v>
      </c>
      <c r="AW247" t="str">
        <f t="shared" si="268"/>
        <v>004Aб.1</v>
      </c>
      <c r="AX247" t="str">
        <f t="shared" si="269"/>
        <v>004Aб</v>
      </c>
      <c r="AY247" t="str">
        <f>IF(D247="","",IF(ISERROR(SEARCH(".",D247)),IFERROR(VLOOKUP(D247,Потребители_обозначение,2,FALSE)&amp;"",""),IFERROR(IF(VLOOKUP(AT247,Потребители_обозначение,4,FALSE)=1,VLOOKUP(AT247,Потребители_обозначение,2,FALSE)&amp;" "&amp;VLOOKUP(AV247,Этаж_обозначение,2,FALSE)&amp;" Пом. №"&amp;AX247,VLOOKUP(AT247,Потребители_обозначение,2,FALSE)&amp;" Шлейф №"&amp;AV247),IFERROR(VLOOKUP(D247,Потребители_обозначение,2,FALSE),""))))</f>
        <v>Розеточная группа Первый этаж Пом. №004Aб</v>
      </c>
      <c r="AZ247" t="str">
        <f t="shared" si="270"/>
        <v>Розеточная группа Первый этаж Пом. №004Aб</v>
      </c>
      <c r="BA247" t="str">
        <f>IF(F247&lt;&gt;"",F247,IF(AND(D247&lt;&gt;"",D247&lt;&gt;A247,ISNUMBER(_xlfn.XMATCH(D247,Щиты[Щит]))),D247,""))</f>
        <v/>
      </c>
      <c r="BB247">
        <f>IFERROR(_xlfn.XMATCH(A247,Щиты[Щит]),0)</f>
        <v>10</v>
      </c>
      <c r="BC247">
        <f>IFERROR(N(_xlfn.XLOOKUP(A247,Щиты[Щит],Щиты[Мест под вводной узел])),15)</f>
        <v>8</v>
      </c>
      <c r="BD247">
        <f t="shared" si="271"/>
        <v>33</v>
      </c>
      <c r="BE247" t="str">
        <f t="shared" si="272"/>
        <v>линии</v>
      </c>
      <c r="BF247">
        <f>IF(D247="","",IF(BA247&lt;&gt;"",IFERROR(_xlfn.XLOOKUP(BA247,Щиты[Щит],Щиты[Руст, кВт]),0),N(G247)))</f>
        <v>0.24</v>
      </c>
      <c r="BG247">
        <f>IF(J247&lt;&gt;"",J247,IF(D247="","",IFERROR(IF(VLOOKUP(AT247,Потребители_обозначение,8,FALSE)=0,"",VLOOKUP(AT247,Потребители_обозначение,8,FALSE)),"")))</f>
        <v>230</v>
      </c>
      <c r="BH247">
        <f>IF(I247&lt;&gt;"",I247,IF(D247="","",IFERROR(IF(VLOOKUP(AT247,Потребители_обозначение,9,FALSE)=0,"",VLOOKUP(AT247,Потребители_обозначение,9,FALSE)),"")))</f>
        <v>1</v>
      </c>
      <c r="BI247" t="str">
        <f>IF(U247&lt;&gt;"",U247,IF(D247="","",IFERROR(IF(VLOOKUP(AT247,Потребители_обозначение,6,FALSE)=0,"",VLOOKUP(AT247,Потребители_обозначение,6,FALSE)),"")))</f>
        <v>мс</v>
      </c>
      <c r="BJ247">
        <f>IF(V247&lt;&gt;"",V247,IF(D247="","",IFERROR(IF(VLOOKUP(AT247,Потребители_обозначение,7,FALSE)=0,"",VLOOKUP(AT247,Потребители_обозначение,7,FALSE)),"")))</f>
        <v>3</v>
      </c>
      <c r="BK247">
        <f>IF(W247&lt;&gt;"",W247,IF(D247="","",IFERROR(IF(VLOOKUP(AT247,Потребители_обозначение,10,FALSE)=0,"",VLOOKUP(AT247,Потребители_обозначение,10,FALSE)),"")))</f>
        <v>2.5</v>
      </c>
      <c r="BL247">
        <f>IFERROR(VLOOKUP(AT247,Потребители_обозначение,5,FALSE),0)</f>
        <v>1</v>
      </c>
      <c r="BM247" cm="1">
        <f t="array" ref="BM247">IF(D247="","",IF(BA247&lt;&gt;"",IFERROR(_xlfn.XLOOKUP(BA247,Щиты[Щит],Щиты[cos φ]),0.95),IF(ISNUMBER(M247),M247,IFERROR(IF(BL247=2,_xlfn.IFS(BH247=3,VLOOKUP(BF247,Справочная_двигатели,8,FALSE),BH247=1,VLOOKUP(BF247,Справочная_двигатели,10,TRUE)),IF(AND(Методика="нормы 2026",CN247="Сил"),0.8,0.95)),0.95))))</f>
        <v>0.95</v>
      </c>
      <c r="BN247" cm="1">
        <f t="array" ref="BN247">IF(D247="","",IF(BA247&lt;&gt;"",IFERROR(_xlfn.XLOOKUP(BA247,Щиты[Щит],Щиты[Iр, А]),""),IFERROR(_xlfn.IFS(BH247=1,BF247/((Uн_лин/SQRT(3))*BM247),BH247=3,BF247/(SQRT(3)*Uн_лин*BM247)),"")))</f>
        <v>1.0939268258329751</v>
      </c>
      <c r="BO247">
        <f>IF(D247="","",IF(N(X247)=0,IFERROR(VLOOKUP(BN247,Автомат_номиналы,2,TRUE),""),X247))</f>
        <v>6</v>
      </c>
      <c r="BP247">
        <f t="shared" si="273"/>
        <v>1</v>
      </c>
      <c r="BQ247">
        <f>IF(ISNUMBER(Y247),Y247,К_прокл)</f>
        <v>1</v>
      </c>
      <c r="BR247">
        <f t="shared" si="274"/>
        <v>2</v>
      </c>
      <c r="BS247" cm="1">
        <f t="array" ref="BS247">IF(D247="","",IF(N(BK247)&lt;&gt;0,BK247,IFERROR(_xlfn.LET(_xlpm.need,BO247/(BP247*BQ247),_xlpm.t,CHOOSE(BR247,Iдоп_1ж,Iдоп_2ж,Iдоп_3ж),_xlpm.k,_xlfn.XMATCH(_xlpm.need,_xlpm.t,1),IF(ISNA(_xlpm.k),"Не исп",INDEX(Iдоп_S,_xlpm.k))),"Не исп")))</f>
        <v>2.5</v>
      </c>
      <c r="BT247">
        <f>IFERROR(VLOOKUP(BS247,Кабель_сопротивление,3,FALSE),"")</f>
        <v>2.2499999999999999E-2</v>
      </c>
      <c r="BU247">
        <f>IFERROR(VLOOKUP(BS247,Кабель_сопротивление,2,FALSE),"")</f>
        <v>0.1</v>
      </c>
      <c r="BV247">
        <f t="shared" si="275"/>
        <v>54</v>
      </c>
      <c r="BW247">
        <f>IF(D247="","",IFERROR(IF(VLOOKUP(AT247,Потребители_обозначение,4,FALSE)=1,VLOOKUP(AT247,Потребители_обозначение,3,FALSE)*(H247*2-1)+BV247+VLOOKUP(AV247,Этаж_обозначение,3,FALSE)+VLOOKUP(AV247,Этаж_обозначение,4,FALSE),VLOOKUP(AT247,Потребители_обозначение,3,FALSE)*(H247*2-1)+BV247),BV247))</f>
        <v>75</v>
      </c>
      <c r="BX247">
        <f t="shared" si="276"/>
        <v>47</v>
      </c>
      <c r="BY247">
        <f t="shared" si="277"/>
        <v>0</v>
      </c>
      <c r="BZ247">
        <f t="shared" si="278"/>
        <v>2</v>
      </c>
      <c r="CA247">
        <f t="shared" si="279"/>
        <v>0.31</v>
      </c>
      <c r="CB247">
        <f t="shared" si="280"/>
        <v>1.4080479138709139</v>
      </c>
      <c r="CC247">
        <f>IFERROR(ROUNDUP(CB247/((Uн_лин/SQRT(3))*1000)*100,2),"")</f>
        <v>0.61</v>
      </c>
      <c r="CD247">
        <f>IF(ISNUMBER(CC247),CC247+IFERROR(_xlfn.XLOOKUP(A247,Щиты[Щит],Щиты[ΔU до шин, %]),0),"")</f>
        <v>1.8599999999999999</v>
      </c>
      <c r="CE247">
        <f>IF(D247="","",IF(IFERROR(VLOOKUP(AT247,УГО_спр,2,FALSE),"")="Светильник",3,4)+IF(Методика="нормы 2026",MIN(0.5,MAX(0,N(BW247)-100)*0.005),0))</f>
        <v>4</v>
      </c>
      <c r="CF247" t="str">
        <f>IFERROR(VLOOKUP(BI247,Кабель_обозначение,2,FALSE),"")</f>
        <v>ВВГнг(А)-LS</v>
      </c>
      <c r="CG247" t="str">
        <f>IFERROR(IF(VLOOKUP(BI247,Кабель_обозначение,3,FALSE)=1,CF247&amp;" ("&amp;BJ247&amp;"х"&amp;BS247&amp;")",CF247),"")</f>
        <v>ВВГнг(А)-LS (3х2,5)</v>
      </c>
      <c r="CH247" t="str">
        <f t="shared" si="281"/>
        <v>ВВГнг(А)-LS (3х2,5)
L=75-0,61%</v>
      </c>
      <c r="CI247">
        <f>IFERROR(2*ρкз_Cu*BW247/BS247,"")</f>
        <v>1.5780000000000001</v>
      </c>
      <c r="CJ247">
        <f t="shared" si="282"/>
        <v>0.52500000000000013</v>
      </c>
      <c r="CK247" t="str">
        <f>IFERROR(IF(OR(D247="",NOT(ISNUMBER(BS247)),N(BW247)=0),"",_xlfn.XLOOKUP(A247,Щиты[Щит],Щиты[Zпетли на шинах, Ом])+CI247),"")</f>
        <v/>
      </c>
      <c r="CL247" t="str">
        <f>IF(ISNUMBER(CK247),c_min*(Uн_лин*1000/SQRT(3))/CK247,"")</f>
        <v/>
      </c>
      <c r="CM247" t="str">
        <f>IFERROR(IF(OR(D247="",NOT(ISNUMBER(BS247))),"",1.05*(Uн_лин*1000/SQRT(3))/(_xlfn.XLOOKUP(A247,Щиты[Щит],Щиты[Zmax на шинах, Ом])+CJ247)/1000),"")</f>
        <v/>
      </c>
      <c r="CN247" t="str">
        <f>IF(D247="","",IF(BA247&lt;&gt;"","Щит",IF(K247&lt;&gt;"",K247,IF(ISNUMBER(L247),"Сил",IF(IFERROR(_xlfn.XLOOKUP(AT247,Коды_код,Коды_группа)&amp;"","")="","Быт",_xlfn.XLOOKUP(AT247,Коды_код,Коды_группа)&amp;"")))))</f>
        <v>Быт</v>
      </c>
      <c r="CO247">
        <f>IF(CN247="Щит","щит",IF(CN247="","",IF(CN247="Быт",IFERROR(_xlfn.XLOOKUP(A247,Щиты[Щит],Щиты[Кс быт]),1),IF(CN247="Сил",IF(ISNUMBER(L247),L247,IF(Методика="нормы 2026",IFERROR(_xlfn.XLOOKUP(A247,Щиты[Щит],Щиты[Кс силовых (табл. 7.5)]),1),1)),IF(OR(CN247="Пост",CN247="Отоп"),1,IF(CN247="ВНГ",0.7,0))))))</f>
        <v>0.57830000000000004</v>
      </c>
      <c r="CP247">
        <f t="shared" si="283"/>
        <v>1</v>
      </c>
      <c r="CQ247">
        <f t="shared" si="284"/>
        <v>0.24</v>
      </c>
      <c r="CR247">
        <f t="shared" si="285"/>
        <v>0.24</v>
      </c>
      <c r="CS247">
        <f t="shared" si="286"/>
        <v>0</v>
      </c>
      <c r="CT247">
        <f t="shared" si="287"/>
        <v>0</v>
      </c>
      <c r="CU247">
        <f t="shared" si="288"/>
        <v>0</v>
      </c>
      <c r="CV247">
        <f t="shared" si="289"/>
        <v>0</v>
      </c>
      <c r="CW247">
        <f t="shared" si="290"/>
        <v>0.24</v>
      </c>
      <c r="CX247">
        <f t="shared" si="291"/>
        <v>0.22799999999999998</v>
      </c>
      <c r="CY247">
        <f t="shared" si="292"/>
        <v>2</v>
      </c>
      <c r="CZ247" t="str">
        <f t="shared" si="293"/>
        <v>L2</v>
      </c>
      <c r="DA247" cm="1">
        <f t="array" ref="DA247">IFERROR(IF(BL247=2,_xlfn.IFS(BH247=3,VLOOKUP(BF247,Справочная_двигатели,3,FALSE),BH247=1,VLOOKUP(BF247,Справочная_двигатели,5,TRUE)),0),0)</f>
        <v>0</v>
      </c>
      <c r="DB247">
        <f>IFERROR(IF(BL247=3,VLOOKUP(BF247,Справочная_ЛЭД,2,TRUE),0),0)</f>
        <v>0</v>
      </c>
      <c r="DC247">
        <f t="shared" si="294"/>
        <v>0</v>
      </c>
      <c r="DD247" t="str">
        <f t="shared" si="295"/>
        <v>L2</v>
      </c>
      <c r="DE247" t="str" cm="1">
        <f t="array" ref="DE247">IF(D247="","",IFERROR(INDEX({"I особая","I","II","III"},MATCH(TRIM(AA247&amp;""),{"I особая","I","II","III"},0)),"III"))</f>
        <v>II</v>
      </c>
      <c r="DF247" t="str">
        <f>IF(D247="","",IF(TRIM(AB247&amp;"")&lt;&gt;"",IF(LOWER(TRIM(AB247&amp;""))="да","да","нет"),IF(IFERROR(_xlfn.XLOOKUP(AT247,Коды_код,Коды_пожарная),"")="да","да","нет")))</f>
        <v>нет</v>
      </c>
      <c r="DG247" t="str">
        <f t="shared" si="296"/>
        <v/>
      </c>
      <c r="DH247" t="str">
        <f t="shared" si="297"/>
        <v>основная</v>
      </c>
      <c r="DI247">
        <f t="shared" si="298"/>
        <v>1</v>
      </c>
      <c r="DJ247" t="str" cm="1">
        <f t="array" ref="DJ247">IF(D247="","",_xlfn.LET(_xlpm.t,IFERROR(_xlfn.XLOOKUP(1,(Шины[Шина]=DH247)*(((Шины[Щит]=A247)+(Шины[Щит]=""))&gt;0),Шины[Тип]),"")&amp;"",IF(_xlpm.t&lt;&gt;"",_xlpm.t,IF(ISNUMBER(SEARCH("ИБП",DH247)),"ИБП",IF(ISNUMBER(SEARCH("ДГУ",DH247)),"ДГУ","Ввод "&amp;DI247)))))</f>
        <v>Ввод 1</v>
      </c>
      <c r="DK247" t="str">
        <f t="shared" si="299"/>
        <v>Ввод 1</v>
      </c>
      <c r="DL247" t="str">
        <f>IF(D247="","",IF(OR(DJ247="ИБП",DJ247="ДГУ"),"I особая",IF(DJ247="Одиночная","III",_xlfn.XLOOKUP(A247,Щиты[Щит],Щиты[Категория шины «Ввод»],"III"))))</f>
        <v>II</v>
      </c>
      <c r="DM247">
        <f>IF(D247="",0,IFERROR(MATCH(DE247,{"III","II","I","I особая"},0),1))</f>
        <v>2</v>
      </c>
      <c r="DN247">
        <f t="shared" si="300"/>
        <v>2</v>
      </c>
      <c r="DO247" t="str">
        <f>IF(D247="","",IF(DM247&gt;IFERROR(MATCH(DL247,{"III","II","I","I особая"},0),1),"НЕ ОБЕСПЕЧЕНА","ОК"))</f>
        <v>ОК</v>
      </c>
      <c r="DP247" t="str">
        <f>IF(A247="","",_xlfn.XLOOKUP(A247,Щиты[Щит],Щиты[Путь],""))</f>
        <v>|ГРЩ-ЖД|ЩР-1|</v>
      </c>
      <c r="DQ247" t="str">
        <f>IF(D247="","",IF(Z247&lt;&gt;"",Z247,IF(IFERROR(_xlfn.XLOOKUP(AT247,Коды_код,Коды_вид)&amp;"","")="","Прочее",_xlfn.XLOOKUP(AT247,Коды_код,Коды_вид)&amp;"")))</f>
        <v>Розеточная сеть и бытовые приборы</v>
      </c>
      <c r="DR247">
        <f>IF(BD247="","",INT((BD247-1)/Столбцов_на_лист)+1)</f>
        <v>2</v>
      </c>
      <c r="DS247" t="str">
        <f t="shared" si="301"/>
        <v>ВВГнг(А)-LS (3х2,5) L=75-0,61%</v>
      </c>
      <c r="DT247">
        <f t="shared" si="302"/>
        <v>0.24</v>
      </c>
      <c r="DU247">
        <f t="shared" si="303"/>
        <v>1.1000000000000001</v>
      </c>
      <c r="DV247">
        <f t="shared" si="304"/>
        <v>1</v>
      </c>
      <c r="DW247">
        <f>IF(AT247="",0,_xlfn.LET(_xlpm.v,IFERROR(VLOOKUP(D247,УГО_спр,3,FALSE),IFERROR(VLOOKUP(AT247,УГО_спр,3,FALSE),IFERROR(VLOOKUP(LEFT(AT247,2),УГО_спр,3,FALSE),""))),IF(_xlpm.v="да",30,IF(ISNUMBER(_xlpm.v),_xlpm.v,0))))</f>
        <v>30</v>
      </c>
      <c r="DX247">
        <f t="shared" si="305"/>
        <v>0</v>
      </c>
      <c r="DY247">
        <f>IF(BD247="","",IF(AD247&lt;&gt;"",COUNTIFS(A$3:A247,A247,AD$3:AD247,"?*"),IF(OR(OR(AS247=1,A247&lt;&gt;A246),AL247="вручную"),"",IF(AS247=1,"",DZ246))))</f>
        <v>23</v>
      </c>
      <c r="DZ247">
        <f t="shared" si="306"/>
        <v>23</v>
      </c>
      <c r="EA247">
        <f>IF(D247="",0,MAX(IFERROR(--X247,0),IFERROR(--VLOOKUP(D247,УГО_спр,4,FALSE),IFERROR(--VLOOKUP(AT247,УГО_спр,4,FALSE),IFERROR(--VLOOKUP(LEFT(AT247,2),УГО_спр,4,FALSE),0)))))</f>
        <v>16</v>
      </c>
      <c r="EB247">
        <f>IF(D247="","",IFERROR(LOOKUP(INDEX(CHOOSE(BR247,Iдоп_1ж,Iдоп_2ж,Iдоп_3ж),MATCH(BS247,Iдоп_S,0))*BP247*BQ247,{6,10,16,20,25,32,40,50,63,80,100,125,160,200,250,315,400,500,630}),""))</f>
        <v>25</v>
      </c>
      <c r="EC247">
        <f>IF(AD247="","",SUMIFS(Линии[_Ток схемы],Линии[_гр.],DY247,Линии[Щит],A247,Линии[_в кабель выше],0))</f>
        <v>1.1000000000000001</v>
      </c>
      <c r="ED247">
        <f>IF(AD247="","",IFERROR(VLOOKUP(EC247,Автомат_номиналы,2,TRUE),""))</f>
        <v>6</v>
      </c>
      <c r="EE247">
        <f>IF(AD247="","",MAX(N(ED247),_xlfn.MAXIFS(Линии[_мин. по типу],Линии[_гр.],DY247,Линии[Щит],A247)))</f>
        <v>16</v>
      </c>
      <c r="EF247">
        <f>IF(AD247="","",_xlfn.MINIFS(Линии[_макс. автомат по кабелю],Линии[_гр.],DY247,Линии[Щит],A247))</f>
        <v>25</v>
      </c>
      <c r="EG247">
        <f>IF(AD247="","",MAX(1,_xlfn.MAXIFS(Линии[_фаз],Линии[_гр.],DY247,Линии[Щит],A247)))</f>
        <v>1</v>
      </c>
      <c r="EH247">
        <f>IF(AD247="","",IF(AND(AD247&lt;&gt;"авто",AD247&lt;&gt;"+"),IF(ISNUMBER(SEARCH("мА",AD247)),IFERROR(--TRIM(RIGHT(SUBSTITUTE(LEFT(AD247,SEARCH("мА",AD247)-1)," ",REPT(" ",9)),6)),30),0),IF(AE247="нет",0,IF(ISNUMBER(AE247),AE247,IF(AE247="да",30,_xlfn.MINIFS(Линии[_дифзащита по коду, мА],Линии[_гр.],DY247,Линии[Щит],A247,Линии[_дифзащита по коду, мА],"&gt;0"))))))</f>
        <v>30</v>
      </c>
      <c r="EI247">
        <f t="shared" si="307"/>
        <v>1</v>
      </c>
      <c r="EJ247" t="str">
        <f t="shared" si="308"/>
        <v>QFD23</v>
      </c>
      <c r="EK247" t="str">
        <f t="shared" si="309"/>
        <v>QFD23</v>
      </c>
      <c r="EL247" t="str">
        <f t="shared" si="310"/>
        <v/>
      </c>
      <c r="EM247">
        <f t="shared" si="311"/>
        <v>0</v>
      </c>
      <c r="EN247">
        <f>IF(AD247="","",IF(EM247=1,MAX(EE247,Мин_автомат_БП),EE247))</f>
        <v>16</v>
      </c>
      <c r="EO247" t="str">
        <f t="shared" si="312"/>
        <v>2P</v>
      </c>
      <c r="EP247" t="str">
        <f t="shared" si="313"/>
        <v>2P С16А 30мА</v>
      </c>
      <c r="EQ247">
        <f t="shared" si="314"/>
        <v>16</v>
      </c>
      <c r="ER247" t="str">
        <f>IF(OR(AI247="",AI247="-"),"",IFERROR(VLOOKUP(AI247,Модули_спр,2,FALSE),"R"))</f>
        <v/>
      </c>
      <c r="ES247" t="str">
        <f>IF(ER247="","",ER247&amp;"."&amp;COUNTIFS(A$3:A247,A247,ER$3:ER247,ER247))</f>
        <v/>
      </c>
      <c r="ET247" t="str">
        <f t="shared" si="315"/>
        <v/>
      </c>
      <c r="EU247" t="str">
        <f t="shared" si="316"/>
        <v/>
      </c>
      <c r="EV247" t="str">
        <f t="shared" si="317"/>
        <v/>
      </c>
      <c r="EW247" t="str">
        <f t="shared" si="318"/>
        <v/>
      </c>
      <c r="EX247">
        <f t="shared" si="319"/>
        <v>1</v>
      </c>
      <c r="EY247" t="str">
        <f>IF(AK247="нет","",IF(AK247&lt;&gt;"",AK247,IF(EX247=1,"XT"&amp;COUNTIFS(A$3:A247,A247,EX$3:EX247,1),"")))</f>
        <v/>
      </c>
      <c r="EZ247" t="str">
        <f t="shared" si="320"/>
        <v>QFD23</v>
      </c>
      <c r="FA247" t="str">
        <f t="shared" si="321"/>
        <v/>
      </c>
      <c r="FB247" t="str">
        <f t="shared" si="322"/>
        <v>ok</v>
      </c>
      <c r="FC247" t="str">
        <f>IF(OR(EV247="",ET247=""),"",IF(EV247&gt;IFERROR(VLOOKUP(EU247,Модули_спр,3,FALSE),99),"ЛИШНИЙ КАНАЛ",IF(AND(AJ247&lt;&gt;"=",COUNTIFS(Линии[_модуль гр.],ET247,Линии[Канал (итог)],EV247,Линии[Канал],"&lt;&gt;=",Линии[Щит],A247)&gt;1),"ДУБЛЬ КАНАЛА","")))</f>
        <v/>
      </c>
      <c r="FD247">
        <f t="shared" si="323"/>
        <v>16</v>
      </c>
      <c r="FE247" t="str">
        <f t="shared" si="324"/>
        <v>2P С16А 30мА</v>
      </c>
      <c r="FF247">
        <f t="shared" si="325"/>
        <v>1</v>
      </c>
      <c r="FG247">
        <f t="shared" si="326"/>
        <v>30</v>
      </c>
      <c r="FH247" t="str">
        <f t="shared" si="327"/>
        <v/>
      </c>
      <c r="FI247">
        <f t="shared" si="328"/>
        <v>10</v>
      </c>
      <c r="FJ247" t="str">
        <f t="shared" si="329"/>
        <v/>
      </c>
      <c r="FK247" t="str">
        <f>IF(AND(D247="",EZ247=""),"",_xlfn.TEXTJOIN("; ",TRUE,IF(AND(D247&lt;&gt;"",DD247=""),"нет фазы",""),IF(AND(D247&lt;&gt;"",N(DT247)=0,CN247&lt;&gt;"Нет"),"нет мощности",""),IF(AND(EY247&lt;&gt;"",COUNTIFS(Линии[Щит],A247,Линии[Клемма (итог)],EY247)&gt;1),"дубль клеммы "&amp;EY247,""),IF(AND(FB247&lt;&gt;"",FB247&lt;&gt;"ok"),FB247,""),IF(FC247&lt;&gt;"",FC247,""),IF(AND(ISNUMBER(SEARCH("(5х",DS247)),N(DV247)=1),"5 жил на 1 фазе",""),IF(AND(AT247="R",AD247&lt;&gt;"",OR(N(EH247)=0,N(EH247)&gt;30)),"розетка без дифзащиты до 30 мА",""),IFERROR(IF(AND(ISNUMBER(CD247),CD247&gt;CE247),"потери "&amp;FIXED(CD247,1)&amp;" % &gt; "&amp;CE247&amp;" %",""),""),IFERROR(IF(LEFT(FJ247,4)="мало","Iкз мало — отключение &gt; 0,4 с",""),""),IF(AND(D247&lt;&gt;"",BD247=""),"не на схеме","")))</f>
        <v/>
      </c>
      <c r="FL247">
        <f>IF(AD247="","",_xlfn.LET(_xlpm.t,IFERROR(_xlfn.XLOOKUP(EP247,Каталог!$U$4:$U$500,Каталог!$G$4:$G$500),""),_xlpm.k,SEARCH("кА",_xlpm.t),IFERROR(--TRIM(RIGHT(SUBSTITUTE(MID(_xlpm.t,MAX(1,_xlpm.k-4),_xlpm.k-MAX(1,_xlpm.k-4))," ",REPT(" ",9)),5)),"")))</f>
        <v>6</v>
      </c>
      <c r="FM247" t="str">
        <f>IF(OR(FL247="",AD247=""),"",IF(_xlfn.XLOOKUP(A247,Щиты[Щит],Щиты[Iкз max на шинах, кА],"")="","",IF(FL247&lt;_xlfn.XLOOKUP(A247,Щиты[Щит],Щиты[Iкз max на шинах, кА]),"Icu "&amp;FL247&amp;" кА &lt; Iкз max","ok")))</f>
        <v/>
      </c>
      <c r="FN247" t="str">
        <f t="shared" si="330"/>
        <v>QFD23</v>
      </c>
      <c r="FO247" t="str">
        <f t="shared" si="331"/>
        <v>QFD23|кабель ВВГнг(А)-LS (3х2,5) → Розеточная группа Первый этаж Пом. №004Aб</v>
      </c>
      <c r="FP247" t="str" cm="1">
        <f t="array" ref="FP247">IF(FO247="","",_xlfn.LET(_xlpm.nd,_xlfn.TEXTSPLIT(FO247,"|"),IF(COLUMNS(_xlpm.nd)&gt;1,A247&amp;"¦"&amp;INDEX(_xlpm.nd,1)&amp;"¦"&amp;INDEX(_xlpm.nd,2),"")))</f>
        <v>ЩР-1¦QFD23¦кабель ВВГнг(А)-LS (3х2,5) → Розеточная группа Первый этаж Пом. №004Aб</v>
      </c>
      <c r="FQ247" t="str">
        <f t="shared" si="332"/>
        <v>R.1.004Aб.1¦Розеточная группа Первый этаж Пом. №004Aб</v>
      </c>
      <c r="FR247" t="str" cm="1">
        <f t="array" ref="FR247">IF(FO247="","",_xlfn.LET(_xlpm.nd,_xlfn.TEXTSPLIT(FO247,"|"),IF(COLUMNS(_xlpm.nd)&gt;2,A247&amp;"¦"&amp;INDEX(_xlpm.nd,2)&amp;"¦"&amp;INDEX(_xlpm.nd,3),"")))</f>
        <v/>
      </c>
      <c r="FS247" t="str">
        <f t="shared" si="333"/>
        <v/>
      </c>
      <c r="FT247" t="str" cm="1">
        <f t="array" ref="FT247">IF(FO247="","",_xlfn.LET(_xlpm.nd,_xlfn.TEXTSPLIT(FO247,"|"),IF(COLUMNS(_xlpm.nd)&gt;3,A247&amp;"¦"&amp;INDEX(_xlpm.nd,3)&amp;"¦"&amp;INDEX(_xlpm.nd,4),"")))</f>
        <v/>
      </c>
      <c r="FU247" t="str">
        <f t="shared" si="334"/>
        <v/>
      </c>
      <c r="FV247" t="str" cm="1">
        <f t="array" ref="FV247">IF(FO247="","",_xlfn.LET(_xlpm.nd,_xlfn.TEXTSPLIT(FO247,"|"),IF(COLUMNS(_xlpm.nd)&gt;4,A247&amp;"¦"&amp;INDEX(_xlpm.nd,4)&amp;"¦"&amp;INDEX(_xlpm.nd,5),"")))</f>
        <v/>
      </c>
      <c r="FW247" t="str">
        <f t="shared" si="335"/>
        <v/>
      </c>
      <c r="FX247" t="str" cm="1">
        <f t="array" ref="FX247">IF(FO247="","",_xlfn.LET(_xlpm.nd,_xlfn.TEXTSPLIT(FO247,"|"),IF(COLUMNS(_xlpm.nd)&gt;5,A247&amp;"¦"&amp;INDEX(_xlpm.nd,5)&amp;"¦"&amp;INDEX(_xlpm.nd,6),"")))</f>
        <v/>
      </c>
      <c r="FY247" t="str">
        <f t="shared" si="336"/>
        <v/>
      </c>
      <c r="FZ247" t="str" cm="1">
        <f t="array" ref="FZ247">IF(FO247="","",_xlfn.LET(_xlpm.nd,_xlfn.TEXTSPLIT(FO247,"|"),IF(COLUMNS(_xlpm.nd)&gt;6,A247&amp;"¦"&amp;INDEX(_xlpm.nd,6)&amp;"¦"&amp;INDEX(_xlpm.nd,7),"")))</f>
        <v/>
      </c>
      <c r="GA247" t="str">
        <f t="shared" si="337"/>
        <v/>
      </c>
      <c r="GB247" t="str">
        <f t="shared" si="338"/>
        <v/>
      </c>
      <c r="GC247" t="str">
        <f t="shared" si="339"/>
        <v>QFD23</v>
      </c>
      <c r="GD247">
        <f t="shared" si="340"/>
        <v>1</v>
      </c>
      <c r="GE247">
        <f t="shared" si="341"/>
        <v>0</v>
      </c>
      <c r="GF247">
        <f t="shared" si="342"/>
        <v>1</v>
      </c>
      <c r="GG247" t="str">
        <f t="shared" si="343"/>
        <v/>
      </c>
      <c r="GH247" t="str">
        <f t="shared" si="344"/>
        <v/>
      </c>
      <c r="GI247" t="str">
        <f t="shared" si="345"/>
        <v/>
      </c>
      <c r="GJ247" t="str">
        <f t="shared" si="346"/>
        <v/>
      </c>
      <c r="GK247" t="str">
        <f>IF(D247="","",IFERROR(VLOOKUP(D247,УГО_спр,2,FALSE),IFERROR(VLOOKUP(AT247,УГО_спр,2,FALSE),IFERROR(VLOOKUP(LEFT(AT247,2),УГО_спр,2,FALSE),""))))</f>
        <v>Розетка</v>
      </c>
      <c r="GL247" t="str">
        <f>IF(D247="","",IF(OR(GK247="",GK247=0),"BOX",IFERROR(IF(VLOOKUP(GK247,УГО_блоки,3,FALSE)&amp;""&lt;&gt;"",VLOOKUP(GK247,УГО_блоки,3,FALSE),VLOOKUP(GK247,УГО_блоки,2,FALSE)),GK247)))</f>
        <v>SOCKET</v>
      </c>
      <c r="GM247">
        <f t="shared" si="347"/>
        <v>1</v>
      </c>
      <c r="GN247" t="str">
        <f>IF(EP247="","",IF(COUNTIF(EP$3:EP247,EP247)=1,MAX(GN$2:GN246)+1,""))</f>
        <v/>
      </c>
      <c r="GO247" t="str">
        <f>IF(AF247="","",IF(COUNTIF(AF$3:AF247,AF247)+COUNTIF(AG$2:AG246,AF247)+COUNTIF(AH$2:AH246,AF247)=1,MAX(GO$2:GQ246)+1,""))</f>
        <v/>
      </c>
      <c r="GP247" t="str">
        <f>IF(AG247="","",IF(COUNTIF(AF$3:AF247,AG247)+COUNTIF(AG$3:AG247,AG247)+COUNTIF(AH$2:AH246,AG247)=1,MAX(GO$2:GQ246,GO247)+1,""))</f>
        <v/>
      </c>
      <c r="GQ247" t="str">
        <f>IF(AH247="","",IF(COUNTIF(AF$3:AF247,AH247)+COUNTIF(AG$3:AG247,AH247)+COUNTIF(AH$3:AH247,AH247)=1,MAX(GO$2:GQ246,GO247,GP247)+1,""))</f>
        <v/>
      </c>
      <c r="GR247" t="str">
        <f t="shared" si="348"/>
        <v>3х2,5</v>
      </c>
      <c r="GS247" t="str">
        <f>IF(GR247="","",IF(COUNTIF(GR$3:GR247,GR247)=1,MAX(GS$2:GS246)+1,""))</f>
        <v/>
      </c>
      <c r="GT247" t="str">
        <f>IF(ES247="","",COUNTIF(ES$3:ES247,"?*"))</f>
        <v/>
      </c>
      <c r="GU247" t="str">
        <f>IF(OR(ES247="",EU247=""),"",IF(COUNTIFS(ES$3:ES247,"?*",EU$3:EU247,EU247)=1,MAX(GU$2:GU246)+1,""))</f>
        <v/>
      </c>
      <c r="GV247">
        <f t="shared" si="349"/>
        <v>0</v>
      </c>
      <c r="GW247">
        <f>IF(D247="","",COUNTIF(D$3:D247,"?*"))</f>
        <v>245</v>
      </c>
      <c r="GX247">
        <f>IF(EX247&lt;&gt;1,0,_xlfn.LET(_xlpm.k,MAX(IFERROR(--VLOOKUP(D247,УГО_спр,5,FALSE),0),IFERROR(--VLOOKUP(AT247,УГО_спр,5,FALSE),0),IFERROR(--VLOOKUP(LEFT(AT247,2),УГО_спр,5,FALSE),0)),IF(_xlpm.k&gt;0,_xlpm.k,IF(IFERROR(--LEFT(SUBSTITUTE(GR247,"x","х"),FIND("х",SUBSTITUTE(GR247,"x","х"))-1),3)&gt;3,Каталог!$S$9,1))))</f>
        <v>1</v>
      </c>
      <c r="GY247">
        <f t="shared" si="350"/>
        <v>0</v>
      </c>
    </row>
    <row r="248" spans="1:207" x14ac:dyDescent="0.3">
      <c r="A248" t="s">
        <v>762</v>
      </c>
      <c r="B248">
        <v>36</v>
      </c>
      <c r="C248" t="str">
        <f>IF(BD248="","",IF(BE248="вводной узел","узел ","")&amp;"л."&amp;(INT((BD248-1)/Столбцов_на_лист)+1)&amp;" / "&amp;(MOD(BD248-1,Столбцов_на_лист)+1))</f>
        <v>л.3 / 2</v>
      </c>
      <c r="D248" t="s">
        <v>1570</v>
      </c>
      <c r="E248" s="133" t="str">
        <f t="shared" si="351"/>
        <v>Розеточная группа Первый этаж Пом. №005A</v>
      </c>
      <c r="G248">
        <v>0.06</v>
      </c>
      <c r="H248">
        <v>1</v>
      </c>
      <c r="I248">
        <v>1</v>
      </c>
      <c r="J248">
        <v>230</v>
      </c>
      <c r="K248" t="s">
        <v>566</v>
      </c>
      <c r="O248">
        <v>2</v>
      </c>
      <c r="P248">
        <v>28</v>
      </c>
      <c r="Q248">
        <v>12</v>
      </c>
      <c r="R248">
        <v>19</v>
      </c>
      <c r="S248">
        <v>0</v>
      </c>
      <c r="U248" t="s">
        <v>11</v>
      </c>
      <c r="V248">
        <v>3</v>
      </c>
      <c r="W248">
        <v>2.5</v>
      </c>
      <c r="Z248" t="s">
        <v>565</v>
      </c>
      <c r="AA248" t="s">
        <v>818</v>
      </c>
      <c r="AD248" t="s">
        <v>517</v>
      </c>
      <c r="AR248" t="str">
        <f t="shared" si="264"/>
        <v/>
      </c>
      <c r="AS248" cm="1">
        <f t="array" ref="AS248">ROW()-ROW(Линии[#Headers])</f>
        <v>246</v>
      </c>
      <c r="AT248" t="str">
        <f t="shared" si="265"/>
        <v>R</v>
      </c>
      <c r="AU248" t="str">
        <f t="shared" si="266"/>
        <v>1.005A.1</v>
      </c>
      <c r="AV248" t="str">
        <f t="shared" si="267"/>
        <v>1</v>
      </c>
      <c r="AW248" t="str">
        <f t="shared" si="268"/>
        <v>005A.1</v>
      </c>
      <c r="AX248" t="str">
        <f t="shared" si="269"/>
        <v>005A</v>
      </c>
      <c r="AY248" t="str">
        <f>IF(D248="","",IF(ISERROR(SEARCH(".",D248)),IFERROR(VLOOKUP(D248,Потребители_обозначение,2,FALSE)&amp;"",""),IFERROR(IF(VLOOKUP(AT248,Потребители_обозначение,4,FALSE)=1,VLOOKUP(AT248,Потребители_обозначение,2,FALSE)&amp;" "&amp;VLOOKUP(AV248,Этаж_обозначение,2,FALSE)&amp;" Пом. №"&amp;AX248,VLOOKUP(AT248,Потребители_обозначение,2,FALSE)&amp;" Шлейф №"&amp;AV248),IFERROR(VLOOKUP(D248,Потребители_обозначение,2,FALSE),""))))</f>
        <v>Розеточная группа Первый этаж Пом. №005A</v>
      </c>
      <c r="AZ248" t="str">
        <f t="shared" si="270"/>
        <v>Розеточная группа Первый этаж Пом. №005A</v>
      </c>
      <c r="BA248" t="str">
        <f>IF(F248&lt;&gt;"",F248,IF(AND(D248&lt;&gt;"",D248&lt;&gt;A248,ISNUMBER(_xlfn.XMATCH(D248,Щиты[Щит]))),D248,""))</f>
        <v/>
      </c>
      <c r="BB248">
        <f>IFERROR(_xlfn.XMATCH(A248,Щиты[Щит]),0)</f>
        <v>10</v>
      </c>
      <c r="BC248">
        <f>IFERROR(N(_xlfn.XLOOKUP(A248,Щиты[Щит],Щиты[Мест под вводной узел])),15)</f>
        <v>8</v>
      </c>
      <c r="BD248">
        <f t="shared" si="271"/>
        <v>36</v>
      </c>
      <c r="BE248" t="str">
        <f t="shared" si="272"/>
        <v>линии</v>
      </c>
      <c r="BF248">
        <f>IF(D248="","",IF(BA248&lt;&gt;"",IFERROR(_xlfn.XLOOKUP(BA248,Щиты[Щит],Щиты[Руст, кВт]),0),N(G248)))</f>
        <v>0.06</v>
      </c>
      <c r="BG248">
        <f>IF(J248&lt;&gt;"",J248,IF(D248="","",IFERROR(IF(VLOOKUP(AT248,Потребители_обозначение,8,FALSE)=0,"",VLOOKUP(AT248,Потребители_обозначение,8,FALSE)),"")))</f>
        <v>230</v>
      </c>
      <c r="BH248">
        <f>IF(I248&lt;&gt;"",I248,IF(D248="","",IFERROR(IF(VLOOKUP(AT248,Потребители_обозначение,9,FALSE)=0,"",VLOOKUP(AT248,Потребители_обозначение,9,FALSE)),"")))</f>
        <v>1</v>
      </c>
      <c r="BI248" t="str">
        <f>IF(U248&lt;&gt;"",U248,IF(D248="","",IFERROR(IF(VLOOKUP(AT248,Потребители_обозначение,6,FALSE)=0,"",VLOOKUP(AT248,Потребители_обозначение,6,FALSE)),"")))</f>
        <v>мс</v>
      </c>
      <c r="BJ248">
        <f>IF(V248&lt;&gt;"",V248,IF(D248="","",IFERROR(IF(VLOOKUP(AT248,Потребители_обозначение,7,FALSE)=0,"",VLOOKUP(AT248,Потребители_обозначение,7,FALSE)),"")))</f>
        <v>3</v>
      </c>
      <c r="BK248">
        <f>IF(W248&lt;&gt;"",W248,IF(D248="","",IFERROR(IF(VLOOKUP(AT248,Потребители_обозначение,10,FALSE)=0,"",VLOOKUP(AT248,Потребители_обозначение,10,FALSE)),"")))</f>
        <v>2.5</v>
      </c>
      <c r="BL248">
        <f>IFERROR(VLOOKUP(AT248,Потребители_обозначение,5,FALSE),0)</f>
        <v>1</v>
      </c>
      <c r="BM248" cm="1">
        <f t="array" ref="BM248">IF(D248="","",IF(BA248&lt;&gt;"",IFERROR(_xlfn.XLOOKUP(BA248,Щиты[Щит],Щиты[cos φ]),0.95),IF(ISNUMBER(M248),M248,IFERROR(IF(BL248=2,_xlfn.IFS(BH248=3,VLOOKUP(BF248,Справочная_двигатели,8,FALSE),BH248=1,VLOOKUP(BF248,Справочная_двигатели,10,TRUE)),IF(AND(Методика="нормы 2026",CN248="Сил"),0.8,0.95)),0.95))))</f>
        <v>0.95</v>
      </c>
      <c r="BN248" cm="1">
        <f t="array" ref="BN248">IF(D248="","",IF(BA248&lt;&gt;"",IFERROR(_xlfn.XLOOKUP(BA248,Щиты[Щит],Щиты[Iр, А]),""),IFERROR(_xlfn.IFS(BH248=1,BF248/((Uн_лин/SQRT(3))*BM248),BH248=3,BF248/(SQRT(3)*Uн_лин*BM248)),"")))</f>
        <v>0.27348170645824377</v>
      </c>
      <c r="BO248">
        <f>IF(D248="","",IF(N(X248)=0,IFERROR(VLOOKUP(BN248,Автомат_номиналы,2,TRUE),""),X248))</f>
        <v>6</v>
      </c>
      <c r="BP248">
        <f t="shared" si="273"/>
        <v>1</v>
      </c>
      <c r="BQ248">
        <f>IF(ISNUMBER(Y248),Y248,К_прокл)</f>
        <v>1</v>
      </c>
      <c r="BR248">
        <f t="shared" si="274"/>
        <v>2</v>
      </c>
      <c r="BS248" cm="1">
        <f t="array" ref="BS248">IF(D248="","",IF(N(BK248)&lt;&gt;0,BK248,IFERROR(_xlfn.LET(_xlpm.need,BO248/(BP248*BQ248),_xlpm.t,CHOOSE(BR248,Iдоп_1ж,Iдоп_2ж,Iдоп_3ж),_xlpm.k,_xlfn.XMATCH(_xlpm.need,_xlpm.t,1),IF(ISNA(_xlpm.k),"Не исп",INDEX(Iдоп_S,_xlpm.k))),"Не исп")))</f>
        <v>2.5</v>
      </c>
      <c r="BT248">
        <f>IFERROR(VLOOKUP(BS248,Кабель_сопротивление,3,FALSE),"")</f>
        <v>2.2499999999999999E-2</v>
      </c>
      <c r="BU248">
        <f>IFERROR(VLOOKUP(BS248,Кабель_сопротивление,2,FALSE),"")</f>
        <v>0.1</v>
      </c>
      <c r="BV248">
        <f t="shared" si="275"/>
        <v>28</v>
      </c>
      <c r="BW248">
        <f>IF(D248="","",IFERROR(IF(VLOOKUP(AT248,Потребители_обозначение,4,FALSE)=1,VLOOKUP(AT248,Потребители_обозначение,3,FALSE)*(H248*2-1)+BV248+VLOOKUP(AV248,Этаж_обозначение,3,FALSE)+VLOOKUP(AV248,Этаж_обозначение,4,FALSE),VLOOKUP(AT248,Потребители_обозначение,3,FALSE)*(H248*2-1)+BV248),BV248))</f>
        <v>31</v>
      </c>
      <c r="BX248">
        <f t="shared" si="276"/>
        <v>19</v>
      </c>
      <c r="BY248">
        <f t="shared" si="277"/>
        <v>0</v>
      </c>
      <c r="BZ248">
        <f t="shared" si="278"/>
        <v>2</v>
      </c>
      <c r="CA248">
        <f t="shared" si="279"/>
        <v>0.31</v>
      </c>
      <c r="CB248">
        <f t="shared" si="280"/>
        <v>0.14549828443332777</v>
      </c>
      <c r="CC248">
        <f>IFERROR(ROUNDUP(CB248/((Uн_лин/SQRT(3))*1000)*100,2),"")</f>
        <v>6.9999999999999993E-2</v>
      </c>
      <c r="CD248">
        <f>IF(ISNUMBER(CC248),CC248+IFERROR(_xlfn.XLOOKUP(A248,Щиты[Щит],Щиты[ΔU до шин, %]),0),"")</f>
        <v>1.32</v>
      </c>
      <c r="CE248">
        <f>IF(D248="","",IF(IFERROR(VLOOKUP(AT248,УГО_спр,2,FALSE),"")="Светильник",3,4)+IF(Методика="нормы 2026",MIN(0.5,MAX(0,N(BW248)-100)*0.005),0))</f>
        <v>4</v>
      </c>
      <c r="CF248" t="str">
        <f>IFERROR(VLOOKUP(BI248,Кабель_обозначение,2,FALSE),"")</f>
        <v>ВВГнг(А)-LS</v>
      </c>
      <c r="CG248" t="str">
        <f>IFERROR(IF(VLOOKUP(BI248,Кабель_обозначение,3,FALSE)=1,CF248&amp;" ("&amp;BJ248&amp;"х"&amp;BS248&amp;")",CF248),"")</f>
        <v>ВВГнг(А)-LS (3х2,5)</v>
      </c>
      <c r="CH248" t="str">
        <f t="shared" si="281"/>
        <v>ВВГнг(А)-LS (3х2,5)
L=31-0,07%</v>
      </c>
      <c r="CI248">
        <f>IFERROR(2*ρкз_Cu*BW248/BS248,"")</f>
        <v>0.65224000000000004</v>
      </c>
      <c r="CJ248">
        <f t="shared" si="282"/>
        <v>0.21700000000000003</v>
      </c>
      <c r="CK248" t="str">
        <f>IFERROR(IF(OR(D248="",NOT(ISNUMBER(BS248)),N(BW248)=0),"",_xlfn.XLOOKUP(A248,Щиты[Щит],Щиты[Zпетли на шинах, Ом])+CI248),"")</f>
        <v/>
      </c>
      <c r="CL248" t="str">
        <f>IF(ISNUMBER(CK248),c_min*(Uн_лин*1000/SQRT(3))/CK248,"")</f>
        <v/>
      </c>
      <c r="CM248" t="str">
        <f>IFERROR(IF(OR(D248="",NOT(ISNUMBER(BS248))),"",1.05*(Uн_лин*1000/SQRT(3))/(_xlfn.XLOOKUP(A248,Щиты[Щит],Щиты[Zmax на шинах, Ом])+CJ248)/1000),"")</f>
        <v/>
      </c>
      <c r="CN248" t="str">
        <f>IF(D248="","",IF(BA248&lt;&gt;"","Щит",IF(K248&lt;&gt;"",K248,IF(ISNUMBER(L248),"Сил",IF(IFERROR(_xlfn.XLOOKUP(AT248,Коды_код,Коды_группа)&amp;"","")="","Быт",_xlfn.XLOOKUP(AT248,Коды_код,Коды_группа)&amp;"")))))</f>
        <v>Быт</v>
      </c>
      <c r="CO248">
        <f>IF(CN248="Щит","щит",IF(CN248="","",IF(CN248="Быт",IFERROR(_xlfn.XLOOKUP(A248,Щиты[Щит],Щиты[Кс быт]),1),IF(CN248="Сил",IF(ISNUMBER(L248),L248,IF(Методика="нормы 2026",IFERROR(_xlfn.XLOOKUP(A248,Щиты[Щит],Щиты[Кс силовых (табл. 7.5)]),1),1)),IF(OR(CN248="Пост",CN248="Отоп"),1,IF(CN248="ВНГ",0.7,0))))))</f>
        <v>0.57830000000000004</v>
      </c>
      <c r="CP248">
        <f t="shared" si="283"/>
        <v>1</v>
      </c>
      <c r="CQ248">
        <f t="shared" si="284"/>
        <v>0.06</v>
      </c>
      <c r="CR248">
        <f t="shared" si="285"/>
        <v>0.06</v>
      </c>
      <c r="CS248">
        <f t="shared" si="286"/>
        <v>0</v>
      </c>
      <c r="CT248">
        <f t="shared" si="287"/>
        <v>0</v>
      </c>
      <c r="CU248">
        <f t="shared" si="288"/>
        <v>0</v>
      </c>
      <c r="CV248">
        <f t="shared" si="289"/>
        <v>0</v>
      </c>
      <c r="CW248">
        <f t="shared" si="290"/>
        <v>0.06</v>
      </c>
      <c r="CX248">
        <f t="shared" si="291"/>
        <v>5.6999999999999995E-2</v>
      </c>
      <c r="CY248">
        <f t="shared" si="292"/>
        <v>3</v>
      </c>
      <c r="CZ248" t="str">
        <f t="shared" si="293"/>
        <v>L3</v>
      </c>
      <c r="DA248" cm="1">
        <f t="array" ref="DA248">IFERROR(IF(BL248=2,_xlfn.IFS(BH248=3,VLOOKUP(BF248,Справочная_двигатели,3,FALSE),BH248=1,VLOOKUP(BF248,Справочная_двигатели,5,TRUE)),0),0)</f>
        <v>0</v>
      </c>
      <c r="DB248">
        <f>IFERROR(IF(BL248=3,VLOOKUP(BF248,Справочная_ЛЭД,2,TRUE),0),0)</f>
        <v>0</v>
      </c>
      <c r="DC248">
        <f t="shared" si="294"/>
        <v>0</v>
      </c>
      <c r="DD248" t="str">
        <f t="shared" si="295"/>
        <v>L2</v>
      </c>
      <c r="DE248" t="str" cm="1">
        <f t="array" ref="DE248">IF(D248="","",IFERROR(INDEX({"I особая","I","II","III"},MATCH(TRIM(AA248&amp;""),{"I особая","I","II","III"},0)),"III"))</f>
        <v>II</v>
      </c>
      <c r="DF248" t="str">
        <f>IF(D248="","",IF(TRIM(AB248&amp;"")&lt;&gt;"",IF(LOWER(TRIM(AB248&amp;""))="да","да","нет"),IF(IFERROR(_xlfn.XLOOKUP(AT248,Коды_код,Коды_пожарная),"")="да","да","нет")))</f>
        <v>нет</v>
      </c>
      <c r="DG248" t="str">
        <f t="shared" si="296"/>
        <v/>
      </c>
      <c r="DH248" t="str">
        <f t="shared" si="297"/>
        <v>основная</v>
      </c>
      <c r="DI248">
        <f t="shared" si="298"/>
        <v>1</v>
      </c>
      <c r="DJ248" t="str" cm="1">
        <f t="array" ref="DJ248">IF(D248="","",_xlfn.LET(_xlpm.t,IFERROR(_xlfn.XLOOKUP(1,(Шины[Шина]=DH248)*(((Шины[Щит]=A248)+(Шины[Щит]=""))&gt;0),Шины[Тип]),"")&amp;"",IF(_xlpm.t&lt;&gt;"",_xlpm.t,IF(ISNUMBER(SEARCH("ИБП",DH248)),"ИБП",IF(ISNUMBER(SEARCH("ДГУ",DH248)),"ДГУ","Ввод "&amp;DI248)))))</f>
        <v>Ввод 1</v>
      </c>
      <c r="DK248" t="str">
        <f t="shared" si="299"/>
        <v>Ввод 1</v>
      </c>
      <c r="DL248" t="str">
        <f>IF(D248="","",IF(OR(DJ248="ИБП",DJ248="ДГУ"),"I особая",IF(DJ248="Одиночная","III",_xlfn.XLOOKUP(A248,Щиты[Щит],Щиты[Категория шины «Ввод»],"III"))))</f>
        <v>II</v>
      </c>
      <c r="DM248">
        <f>IF(D248="",0,IFERROR(MATCH(DE248,{"III","II","I","I особая"},0),1))</f>
        <v>2</v>
      </c>
      <c r="DN248">
        <f t="shared" si="300"/>
        <v>2</v>
      </c>
      <c r="DO248" t="str">
        <f>IF(D248="","",IF(DM248&gt;IFERROR(MATCH(DL248,{"III","II","I","I особая"},0),1),"НЕ ОБЕСПЕЧЕНА","ОК"))</f>
        <v>ОК</v>
      </c>
      <c r="DP248" t="str">
        <f>IF(A248="","",_xlfn.XLOOKUP(A248,Щиты[Щит],Щиты[Путь],""))</f>
        <v>|ГРЩ-ЖД|ЩР-1|</v>
      </c>
      <c r="DQ248" t="str">
        <f>IF(D248="","",IF(Z248&lt;&gt;"",Z248,IF(IFERROR(_xlfn.XLOOKUP(AT248,Коды_код,Коды_вид)&amp;"","")="","Прочее",_xlfn.XLOOKUP(AT248,Коды_код,Коды_вид)&amp;"")))</f>
        <v>Розеточная сеть и бытовые приборы</v>
      </c>
      <c r="DR248">
        <f>IF(BD248="","",INT((BD248-1)/Столбцов_на_лист)+1)</f>
        <v>3</v>
      </c>
      <c r="DS248" t="str">
        <f t="shared" si="301"/>
        <v>ВВГнг(А)-LS (3х2,5) L=31-0,07%</v>
      </c>
      <c r="DT248">
        <f t="shared" si="302"/>
        <v>0.06</v>
      </c>
      <c r="DU248">
        <f t="shared" si="303"/>
        <v>0.28000000000000003</v>
      </c>
      <c r="DV248">
        <f t="shared" si="304"/>
        <v>1</v>
      </c>
      <c r="DW248">
        <f>IF(AT248="",0,_xlfn.LET(_xlpm.v,IFERROR(VLOOKUP(D248,УГО_спр,3,FALSE),IFERROR(VLOOKUP(AT248,УГО_спр,3,FALSE),IFERROR(VLOOKUP(LEFT(AT248,2),УГО_спр,3,FALSE),""))),IF(_xlpm.v="да",30,IF(ISNUMBER(_xlpm.v),_xlpm.v,0))))</f>
        <v>30</v>
      </c>
      <c r="DX248">
        <f t="shared" si="305"/>
        <v>0</v>
      </c>
      <c r="DY248">
        <f>IF(BD248="","",IF(AD248&lt;&gt;"",COUNTIFS(A$3:A248,A248,AD$3:AD248,"?*"),IF(OR(OR(AS248=1,A248&lt;&gt;A247),AL248="вручную"),"",IF(AS248=1,"",DZ247))))</f>
        <v>24</v>
      </c>
      <c r="DZ248">
        <f t="shared" si="306"/>
        <v>24</v>
      </c>
      <c r="EA248">
        <f>IF(D248="",0,MAX(IFERROR(--X248,0),IFERROR(--VLOOKUP(D248,УГО_спр,4,FALSE),IFERROR(--VLOOKUP(AT248,УГО_спр,4,FALSE),IFERROR(--VLOOKUP(LEFT(AT248,2),УГО_спр,4,FALSE),0)))))</f>
        <v>16</v>
      </c>
      <c r="EB248">
        <f>IF(D248="","",IFERROR(LOOKUP(INDEX(CHOOSE(BR248,Iдоп_1ж,Iдоп_2ж,Iдоп_3ж),MATCH(BS248,Iдоп_S,0))*BP248*BQ248,{6,10,16,20,25,32,40,50,63,80,100,125,160,200,250,315,400,500,630}),""))</f>
        <v>25</v>
      </c>
      <c r="EC248">
        <f>IF(AD248="","",SUMIFS(Линии[_Ток схемы],Линии[_гр.],DY248,Линии[Щит],A248,Линии[_в кабель выше],0))</f>
        <v>0.28000000000000003</v>
      </c>
      <c r="ED248">
        <f>IF(AD248="","",IFERROR(VLOOKUP(EC248,Автомат_номиналы,2,TRUE),""))</f>
        <v>6</v>
      </c>
      <c r="EE248">
        <f>IF(AD248="","",MAX(N(ED248),_xlfn.MAXIFS(Линии[_мин. по типу],Линии[_гр.],DY248,Линии[Щит],A248)))</f>
        <v>16</v>
      </c>
      <c r="EF248">
        <f>IF(AD248="","",_xlfn.MINIFS(Линии[_макс. автомат по кабелю],Линии[_гр.],DY248,Линии[Щит],A248))</f>
        <v>25</v>
      </c>
      <c r="EG248">
        <f>IF(AD248="","",MAX(1,_xlfn.MAXIFS(Линии[_фаз],Линии[_гр.],DY248,Линии[Щит],A248)))</f>
        <v>1</v>
      </c>
      <c r="EH248">
        <f>IF(AD248="","",IF(AND(AD248&lt;&gt;"авто",AD248&lt;&gt;"+"),IF(ISNUMBER(SEARCH("мА",AD248)),IFERROR(--TRIM(RIGHT(SUBSTITUTE(LEFT(AD248,SEARCH("мА",AD248)-1)," ",REPT(" ",9)),6)),30),0),IF(AE248="нет",0,IF(ISNUMBER(AE248),AE248,IF(AE248="да",30,_xlfn.MINIFS(Линии[_дифзащита по коду, мА],Линии[_гр.],DY248,Линии[Щит],A248,Линии[_дифзащита по коду, мА],"&gt;0"))))))</f>
        <v>30</v>
      </c>
      <c r="EI248">
        <f t="shared" si="307"/>
        <v>1</v>
      </c>
      <c r="EJ248" t="str">
        <f t="shared" si="308"/>
        <v>QFD24</v>
      </c>
      <c r="EK248" t="str">
        <f t="shared" si="309"/>
        <v>QFD24</v>
      </c>
      <c r="EL248" t="str">
        <f t="shared" si="310"/>
        <v/>
      </c>
      <c r="EM248">
        <f t="shared" si="311"/>
        <v>0</v>
      </c>
      <c r="EN248">
        <f>IF(AD248="","",IF(EM248=1,MAX(EE248,Мин_автомат_БП),EE248))</f>
        <v>16</v>
      </c>
      <c r="EO248" t="str">
        <f t="shared" si="312"/>
        <v>2P</v>
      </c>
      <c r="EP248" t="str">
        <f t="shared" si="313"/>
        <v>2P С16А 30мА</v>
      </c>
      <c r="EQ248">
        <f t="shared" si="314"/>
        <v>16</v>
      </c>
      <c r="ER248" t="str">
        <f>IF(OR(AI248="",AI248="-"),"",IFERROR(VLOOKUP(AI248,Модули_спр,2,FALSE),"R"))</f>
        <v/>
      </c>
      <c r="ES248" t="str">
        <f>IF(ER248="","",ER248&amp;"."&amp;COUNTIFS(A$3:A248,A248,ER$3:ER248,ER248))</f>
        <v/>
      </c>
      <c r="ET248" t="str">
        <f t="shared" si="315"/>
        <v/>
      </c>
      <c r="EU248" t="str">
        <f t="shared" si="316"/>
        <v/>
      </c>
      <c r="EV248" t="str">
        <f t="shared" si="317"/>
        <v/>
      </c>
      <c r="EW248" t="str">
        <f t="shared" si="318"/>
        <v/>
      </c>
      <c r="EX248">
        <f t="shared" si="319"/>
        <v>1</v>
      </c>
      <c r="EY248" t="str">
        <f>IF(AK248="нет","",IF(AK248&lt;&gt;"",AK248,IF(EX248=1,"XT"&amp;COUNTIFS(A$3:A248,A248,EX$3:EX248,1),"")))</f>
        <v>XT24</v>
      </c>
      <c r="EZ248" t="str">
        <f t="shared" si="320"/>
        <v>QFD24</v>
      </c>
      <c r="FA248" t="str">
        <f t="shared" si="321"/>
        <v/>
      </c>
      <c r="FB248" t="str">
        <f t="shared" si="322"/>
        <v>ok</v>
      </c>
      <c r="FC248" t="str">
        <f>IF(OR(EV248="",ET248=""),"",IF(EV248&gt;IFERROR(VLOOKUP(EU248,Модули_спр,3,FALSE),99),"ЛИШНИЙ КАНАЛ",IF(AND(AJ248&lt;&gt;"=",COUNTIFS(Линии[_модуль гр.],ET248,Линии[Канал (итог)],EV248,Линии[Канал],"&lt;&gt;=",Линии[Щит],A248)&gt;1),"ДУБЛЬ КАНАЛА","")))</f>
        <v/>
      </c>
      <c r="FD248">
        <f t="shared" si="323"/>
        <v>16</v>
      </c>
      <c r="FE248" t="str">
        <f t="shared" si="324"/>
        <v>2P С16А 30мА</v>
      </c>
      <c r="FF248">
        <f t="shared" si="325"/>
        <v>1</v>
      </c>
      <c r="FG248">
        <f t="shared" si="326"/>
        <v>30</v>
      </c>
      <c r="FH248" t="str">
        <f t="shared" si="327"/>
        <v/>
      </c>
      <c r="FI248">
        <f t="shared" si="328"/>
        <v>10</v>
      </c>
      <c r="FJ248" t="str">
        <f t="shared" si="329"/>
        <v/>
      </c>
      <c r="FK248" t="str">
        <f>IF(AND(D248="",EZ248=""),"",_xlfn.TEXTJOIN("; ",TRUE,IF(AND(D248&lt;&gt;"",DD248=""),"нет фазы",""),IF(AND(D248&lt;&gt;"",N(DT248)=0,CN248&lt;&gt;"Нет"),"нет мощности",""),IF(AND(EY248&lt;&gt;"",COUNTIFS(Линии[Щит],A248,Линии[Клемма (итог)],EY248)&gt;1),"дубль клеммы "&amp;EY248,""),IF(AND(FB248&lt;&gt;"",FB248&lt;&gt;"ok"),FB248,""),IF(FC248&lt;&gt;"",FC248,""),IF(AND(ISNUMBER(SEARCH("(5х",DS248)),N(DV248)=1),"5 жил на 1 фазе",""),IF(AND(AT248="R",AD248&lt;&gt;"",OR(N(EH248)=0,N(EH248)&gt;30)),"розетка без дифзащиты до 30 мА",""),IFERROR(IF(AND(ISNUMBER(CD248),CD248&gt;CE248),"потери "&amp;FIXED(CD248,1)&amp;" % &gt; "&amp;CE248&amp;" %",""),""),IFERROR(IF(LEFT(FJ248,4)="мало","Iкз мало — отключение &gt; 0,4 с",""),""),IF(AND(D248&lt;&gt;"",BD248=""),"не на схеме","")))</f>
        <v/>
      </c>
      <c r="FL248">
        <f>IF(AD248="","",_xlfn.LET(_xlpm.t,IFERROR(_xlfn.XLOOKUP(EP248,Каталог!$U$4:$U$500,Каталог!$G$4:$G$500),""),_xlpm.k,SEARCH("кА",_xlpm.t),IFERROR(--TRIM(RIGHT(SUBSTITUTE(MID(_xlpm.t,MAX(1,_xlpm.k-4),_xlpm.k-MAX(1,_xlpm.k-4))," ",REPT(" ",9)),5)),"")))</f>
        <v>6</v>
      </c>
      <c r="FM248" t="str">
        <f>IF(OR(FL248="",AD248=""),"",IF(_xlfn.XLOOKUP(A248,Щиты[Щит],Щиты[Iкз max на шинах, кА],"")="","",IF(FL248&lt;_xlfn.XLOOKUP(A248,Щиты[Щит],Щиты[Iкз max на шинах, кА]),"Icu "&amp;FL248&amp;" кА &lt; Iкз max","ok")))</f>
        <v/>
      </c>
      <c r="FN248" t="str">
        <f t="shared" si="330"/>
        <v>QFD24|XT24</v>
      </c>
      <c r="FO248" t="str">
        <f t="shared" si="331"/>
        <v>QFD24|XT24|кабель ВВГнг(А)-LS (3х2,5) → Розеточная группа Первый этаж Пом. №005A</v>
      </c>
      <c r="FP248" t="str" cm="1">
        <f t="array" ref="FP248">IF(FO248="","",_xlfn.LET(_xlpm.nd,_xlfn.TEXTSPLIT(FO248,"|"),IF(COLUMNS(_xlpm.nd)&gt;1,A248&amp;"¦"&amp;INDEX(_xlpm.nd,1)&amp;"¦"&amp;INDEX(_xlpm.nd,2),"")))</f>
        <v>ЩР-1¦QFD24¦XT24</v>
      </c>
      <c r="FQ248" t="str">
        <f t="shared" si="332"/>
        <v>R.1.005A.1¦Розеточная группа Первый этаж Пом. №005A</v>
      </c>
      <c r="FR248" t="str" cm="1">
        <f t="array" ref="FR248">IF(FO248="","",_xlfn.LET(_xlpm.nd,_xlfn.TEXTSPLIT(FO248,"|"),IF(COLUMNS(_xlpm.nd)&gt;2,A248&amp;"¦"&amp;INDEX(_xlpm.nd,2)&amp;"¦"&amp;INDEX(_xlpm.nd,3),"")))</f>
        <v>ЩР-1¦XT24¦кабель ВВГнг(А)-LS (3х2,5) → Розеточная группа Первый этаж Пом. №005A</v>
      </c>
      <c r="FS248" t="str">
        <f t="shared" si="333"/>
        <v>R.1.005A.1¦Розеточная группа Первый этаж Пом. №005A</v>
      </c>
      <c r="FT248" t="str" cm="1">
        <f t="array" ref="FT248">IF(FO248="","",_xlfn.LET(_xlpm.nd,_xlfn.TEXTSPLIT(FO248,"|"),IF(COLUMNS(_xlpm.nd)&gt;3,A248&amp;"¦"&amp;INDEX(_xlpm.nd,3)&amp;"¦"&amp;INDEX(_xlpm.nd,4),"")))</f>
        <v/>
      </c>
      <c r="FU248" t="str">
        <f t="shared" si="334"/>
        <v/>
      </c>
      <c r="FV248" t="str" cm="1">
        <f t="array" ref="FV248">IF(FO248="","",_xlfn.LET(_xlpm.nd,_xlfn.TEXTSPLIT(FO248,"|"),IF(COLUMNS(_xlpm.nd)&gt;4,A248&amp;"¦"&amp;INDEX(_xlpm.nd,4)&amp;"¦"&amp;INDEX(_xlpm.nd,5),"")))</f>
        <v/>
      </c>
      <c r="FW248" t="str">
        <f t="shared" si="335"/>
        <v/>
      </c>
      <c r="FX248" t="str" cm="1">
        <f t="array" ref="FX248">IF(FO248="","",_xlfn.LET(_xlpm.nd,_xlfn.TEXTSPLIT(FO248,"|"),IF(COLUMNS(_xlpm.nd)&gt;5,A248&amp;"¦"&amp;INDEX(_xlpm.nd,5)&amp;"¦"&amp;INDEX(_xlpm.nd,6),"")))</f>
        <v/>
      </c>
      <c r="FY248" t="str">
        <f t="shared" si="336"/>
        <v/>
      </c>
      <c r="FZ248" t="str" cm="1">
        <f t="array" ref="FZ248">IF(FO248="","",_xlfn.LET(_xlpm.nd,_xlfn.TEXTSPLIT(FO248,"|"),IF(COLUMNS(_xlpm.nd)&gt;6,A248&amp;"¦"&amp;INDEX(_xlpm.nd,6)&amp;"¦"&amp;INDEX(_xlpm.nd,7),"")))</f>
        <v/>
      </c>
      <c r="GA248" t="str">
        <f t="shared" si="337"/>
        <v/>
      </c>
      <c r="GB248" t="str">
        <f t="shared" si="338"/>
        <v/>
      </c>
      <c r="GC248" t="str">
        <f t="shared" si="339"/>
        <v>QFD24 → XT24</v>
      </c>
      <c r="GD248">
        <f t="shared" si="340"/>
        <v>1</v>
      </c>
      <c r="GE248">
        <f t="shared" si="341"/>
        <v>0</v>
      </c>
      <c r="GF248">
        <f t="shared" si="342"/>
        <v>1</v>
      </c>
      <c r="GG248" t="str">
        <f t="shared" si="343"/>
        <v/>
      </c>
      <c r="GH248" t="str">
        <f t="shared" si="344"/>
        <v/>
      </c>
      <c r="GI248" t="str">
        <f t="shared" si="345"/>
        <v/>
      </c>
      <c r="GJ248" t="str">
        <f t="shared" si="346"/>
        <v/>
      </c>
      <c r="GK248" t="str">
        <f>IF(D248="","",IFERROR(VLOOKUP(D248,УГО_спр,2,FALSE),IFERROR(VLOOKUP(AT248,УГО_спр,2,FALSE),IFERROR(VLOOKUP(LEFT(AT248,2),УГО_спр,2,FALSE),""))))</f>
        <v>Розетка</v>
      </c>
      <c r="GL248" t="str">
        <f>IF(D248="","",IF(OR(GK248="",GK248=0),"BOX",IFERROR(IF(VLOOKUP(GK248,УГО_блоки,3,FALSE)&amp;""&lt;&gt;"",VLOOKUP(GK248,УГО_блоки,3,FALSE),VLOOKUP(GK248,УГО_блоки,2,FALSE)),GK248)))</f>
        <v>SOCKET</v>
      </c>
      <c r="GM248">
        <f t="shared" si="347"/>
        <v>1</v>
      </c>
      <c r="GN248" t="str">
        <f>IF(EP248="","",IF(COUNTIF(EP$3:EP248,EP248)=1,MAX(GN$2:GN247)+1,""))</f>
        <v/>
      </c>
      <c r="GO248" t="str">
        <f>IF(AF248="","",IF(COUNTIF(AF$3:AF248,AF248)+COUNTIF(AG$2:AG247,AF248)+COUNTIF(AH$2:AH247,AF248)=1,MAX(GO$2:GQ247)+1,""))</f>
        <v/>
      </c>
      <c r="GP248" t="str">
        <f>IF(AG248="","",IF(COUNTIF(AF$3:AF248,AG248)+COUNTIF(AG$3:AG248,AG248)+COUNTIF(AH$2:AH247,AG248)=1,MAX(GO$2:GQ247,GO248)+1,""))</f>
        <v/>
      </c>
      <c r="GQ248" t="str">
        <f>IF(AH248="","",IF(COUNTIF(AF$3:AF248,AH248)+COUNTIF(AG$3:AG248,AH248)+COUNTIF(AH$3:AH248,AH248)=1,MAX(GO$2:GQ247,GO248,GP248)+1,""))</f>
        <v/>
      </c>
      <c r="GR248" t="str">
        <f t="shared" si="348"/>
        <v>3х2,5</v>
      </c>
      <c r="GS248" t="str">
        <f>IF(GR248="","",IF(COUNTIF(GR$3:GR248,GR248)=1,MAX(GS$2:GS247)+1,""))</f>
        <v/>
      </c>
      <c r="GT248" t="str">
        <f>IF(ES248="","",COUNTIF(ES$3:ES248,"?*"))</f>
        <v/>
      </c>
      <c r="GU248" t="str">
        <f>IF(OR(ES248="",EU248=""),"",IF(COUNTIFS(ES$3:ES248,"?*",EU$3:EU248,EU248)=1,MAX(GU$2:GU247)+1,""))</f>
        <v/>
      </c>
      <c r="GV248">
        <f t="shared" si="349"/>
        <v>0</v>
      </c>
      <c r="GW248">
        <f>IF(D248="","",COUNTIF(D$3:D248,"?*"))</f>
        <v>246</v>
      </c>
      <c r="GX248">
        <f>IF(EX248&lt;&gt;1,0,_xlfn.LET(_xlpm.k,MAX(IFERROR(--VLOOKUP(D248,УГО_спр,5,FALSE),0),IFERROR(--VLOOKUP(AT248,УГО_спр,5,FALSE),0),IFERROR(--VLOOKUP(LEFT(AT248,2),УГО_спр,5,FALSE),0)),IF(_xlpm.k&gt;0,_xlpm.k,IF(IFERROR(--LEFT(SUBSTITUTE(GR248,"x","х"),FIND("х",SUBSTITUTE(GR248,"x","х"))-1),3)&gt;3,Каталог!$S$9,1))))</f>
        <v>1</v>
      </c>
      <c r="GY248">
        <f t="shared" si="350"/>
        <v>0</v>
      </c>
    </row>
    <row r="249" spans="1:207" x14ac:dyDescent="0.3">
      <c r="A249" t="s">
        <v>762</v>
      </c>
      <c r="B249">
        <v>37</v>
      </c>
      <c r="C249" t="str">
        <f>IF(BD249="","",IF(BE249="вводной узел","узел ","")&amp;"л."&amp;(INT((BD249-1)/Столбцов_на_лист)+1)&amp;" / "&amp;(MOD(BD249-1,Столбцов_на_лист)+1))</f>
        <v>л.3 / 3</v>
      </c>
      <c r="D249" t="s">
        <v>1571</v>
      </c>
      <c r="E249" s="133" t="str">
        <f t="shared" si="351"/>
        <v>Розеточная группа Первый этаж Пом. №006A</v>
      </c>
      <c r="G249">
        <v>0.12</v>
      </c>
      <c r="H249">
        <v>2</v>
      </c>
      <c r="I249">
        <v>1</v>
      </c>
      <c r="J249">
        <v>230</v>
      </c>
      <c r="K249" t="s">
        <v>566</v>
      </c>
      <c r="O249">
        <v>2</v>
      </c>
      <c r="P249">
        <v>45</v>
      </c>
      <c r="Q249">
        <v>28</v>
      </c>
      <c r="R249">
        <v>20</v>
      </c>
      <c r="S249">
        <v>6</v>
      </c>
      <c r="U249" t="s">
        <v>11</v>
      </c>
      <c r="V249">
        <v>3</v>
      </c>
      <c r="W249">
        <v>2.5</v>
      </c>
      <c r="Z249" t="s">
        <v>565</v>
      </c>
      <c r="AA249" t="s">
        <v>818</v>
      </c>
      <c r="AD249" t="s">
        <v>517</v>
      </c>
      <c r="AR249" t="str">
        <f t="shared" si="264"/>
        <v/>
      </c>
      <c r="AS249" cm="1">
        <f t="array" ref="AS249">ROW()-ROW(Линии[#Headers])</f>
        <v>247</v>
      </c>
      <c r="AT249" t="str">
        <f t="shared" si="265"/>
        <v>R</v>
      </c>
      <c r="AU249" t="str">
        <f t="shared" si="266"/>
        <v>1.006A.1</v>
      </c>
      <c r="AV249" t="str">
        <f t="shared" si="267"/>
        <v>1</v>
      </c>
      <c r="AW249" t="str">
        <f t="shared" si="268"/>
        <v>006A.1</v>
      </c>
      <c r="AX249" t="str">
        <f t="shared" si="269"/>
        <v>006A</v>
      </c>
      <c r="AY249" t="str">
        <f>IF(D249="","",IF(ISERROR(SEARCH(".",D249)),IFERROR(VLOOKUP(D249,Потребители_обозначение,2,FALSE)&amp;"",""),IFERROR(IF(VLOOKUP(AT249,Потребители_обозначение,4,FALSE)=1,VLOOKUP(AT249,Потребители_обозначение,2,FALSE)&amp;" "&amp;VLOOKUP(AV249,Этаж_обозначение,2,FALSE)&amp;" Пом. №"&amp;AX249,VLOOKUP(AT249,Потребители_обозначение,2,FALSE)&amp;" Шлейф №"&amp;AV249),IFERROR(VLOOKUP(D249,Потребители_обозначение,2,FALSE),""))))</f>
        <v>Розеточная группа Первый этаж Пом. №006A</v>
      </c>
      <c r="AZ249" t="str">
        <f t="shared" si="270"/>
        <v>Розеточная группа Первый этаж Пом. №006A</v>
      </c>
      <c r="BA249" t="str">
        <f>IF(F249&lt;&gt;"",F249,IF(AND(D249&lt;&gt;"",D249&lt;&gt;A249,ISNUMBER(_xlfn.XMATCH(D249,Щиты[Щит]))),D249,""))</f>
        <v/>
      </c>
      <c r="BB249">
        <f>IFERROR(_xlfn.XMATCH(A249,Щиты[Щит]),0)</f>
        <v>10</v>
      </c>
      <c r="BC249">
        <f>IFERROR(N(_xlfn.XLOOKUP(A249,Щиты[Щит],Щиты[Мест под вводной узел])),15)</f>
        <v>8</v>
      </c>
      <c r="BD249">
        <f t="shared" si="271"/>
        <v>37</v>
      </c>
      <c r="BE249" t="str">
        <f t="shared" si="272"/>
        <v>линии</v>
      </c>
      <c r="BF249">
        <f>IF(D249="","",IF(BA249&lt;&gt;"",IFERROR(_xlfn.XLOOKUP(BA249,Щиты[Щит],Щиты[Руст, кВт]),0),N(G249)))</f>
        <v>0.12</v>
      </c>
      <c r="BG249">
        <f>IF(J249&lt;&gt;"",J249,IF(D249="","",IFERROR(IF(VLOOKUP(AT249,Потребители_обозначение,8,FALSE)=0,"",VLOOKUP(AT249,Потребители_обозначение,8,FALSE)),"")))</f>
        <v>230</v>
      </c>
      <c r="BH249">
        <f>IF(I249&lt;&gt;"",I249,IF(D249="","",IFERROR(IF(VLOOKUP(AT249,Потребители_обозначение,9,FALSE)=0,"",VLOOKUP(AT249,Потребители_обозначение,9,FALSE)),"")))</f>
        <v>1</v>
      </c>
      <c r="BI249" t="str">
        <f>IF(U249&lt;&gt;"",U249,IF(D249="","",IFERROR(IF(VLOOKUP(AT249,Потребители_обозначение,6,FALSE)=0,"",VLOOKUP(AT249,Потребители_обозначение,6,FALSE)),"")))</f>
        <v>мс</v>
      </c>
      <c r="BJ249">
        <f>IF(V249&lt;&gt;"",V249,IF(D249="","",IFERROR(IF(VLOOKUP(AT249,Потребители_обозначение,7,FALSE)=0,"",VLOOKUP(AT249,Потребители_обозначение,7,FALSE)),"")))</f>
        <v>3</v>
      </c>
      <c r="BK249">
        <f>IF(W249&lt;&gt;"",W249,IF(D249="","",IFERROR(IF(VLOOKUP(AT249,Потребители_обозначение,10,FALSE)=0,"",VLOOKUP(AT249,Потребители_обозначение,10,FALSE)),"")))</f>
        <v>2.5</v>
      </c>
      <c r="BL249">
        <f>IFERROR(VLOOKUP(AT249,Потребители_обозначение,5,FALSE),0)</f>
        <v>1</v>
      </c>
      <c r="BM249" cm="1">
        <f t="array" ref="BM249">IF(D249="","",IF(BA249&lt;&gt;"",IFERROR(_xlfn.XLOOKUP(BA249,Щиты[Щит],Щиты[cos φ]),0.95),IF(ISNUMBER(M249),M249,IFERROR(IF(BL249=2,_xlfn.IFS(BH249=3,VLOOKUP(BF249,Справочная_двигатели,8,FALSE),BH249=1,VLOOKUP(BF249,Справочная_двигатели,10,TRUE)),IF(AND(Методика="нормы 2026",CN249="Сил"),0.8,0.95)),0.95))))</f>
        <v>0.95</v>
      </c>
      <c r="BN249" cm="1">
        <f t="array" ref="BN249">IF(D249="","",IF(BA249&lt;&gt;"",IFERROR(_xlfn.XLOOKUP(BA249,Щиты[Щит],Щиты[Iр, А]),""),IFERROR(_xlfn.IFS(BH249=1,BF249/((Uн_лин/SQRT(3))*BM249),BH249=3,BF249/(SQRT(3)*Uн_лин*BM249)),"")))</f>
        <v>0.54696341291648753</v>
      </c>
      <c r="BO249">
        <f>IF(D249="","",IF(N(X249)=0,IFERROR(VLOOKUP(BN249,Автомат_номиналы,2,TRUE),""),X249))</f>
        <v>6</v>
      </c>
      <c r="BP249">
        <f t="shared" si="273"/>
        <v>1</v>
      </c>
      <c r="BQ249">
        <f>IF(ISNUMBER(Y249),Y249,К_прокл)</f>
        <v>1</v>
      </c>
      <c r="BR249">
        <f t="shared" si="274"/>
        <v>2</v>
      </c>
      <c r="BS249" cm="1">
        <f t="array" ref="BS249">IF(D249="","",IF(N(BK249)&lt;&gt;0,BK249,IFERROR(_xlfn.LET(_xlpm.need,BO249/(BP249*BQ249),_xlpm.t,CHOOSE(BR249,Iдоп_1ж,Iдоп_2ж,Iдоп_3ж),_xlpm.k,_xlfn.XMATCH(_xlpm.need,_xlpm.t,1),IF(ISNA(_xlpm.k),"Не исп",INDEX(Iдоп_S,_xlpm.k))),"Не исп")))</f>
        <v>2.5</v>
      </c>
      <c r="BT249">
        <f>IFERROR(VLOOKUP(BS249,Кабель_сопротивление,3,FALSE),"")</f>
        <v>2.2499999999999999E-2</v>
      </c>
      <c r="BU249">
        <f>IFERROR(VLOOKUP(BS249,Кабель_сопротивление,2,FALSE),"")</f>
        <v>0.1</v>
      </c>
      <c r="BV249">
        <f t="shared" si="275"/>
        <v>45</v>
      </c>
      <c r="BW249">
        <f>IF(D249="","",IFERROR(IF(VLOOKUP(AT249,Потребители_обозначение,4,FALSE)=1,VLOOKUP(AT249,Потребители_обозначение,3,FALSE)*(H249*2-1)+BV249+VLOOKUP(AV249,Этаж_обозначение,3,FALSE)+VLOOKUP(AV249,Этаж_обозначение,4,FALSE),VLOOKUP(AT249,Потребители_обозначение,3,FALSE)*(H249*2-1)+BV249),BV249))</f>
        <v>54</v>
      </c>
      <c r="BX249">
        <f t="shared" si="276"/>
        <v>20</v>
      </c>
      <c r="BY249">
        <f t="shared" si="277"/>
        <v>6</v>
      </c>
      <c r="BZ249">
        <f t="shared" si="278"/>
        <v>2</v>
      </c>
      <c r="CA249">
        <f t="shared" si="279"/>
        <v>0.31</v>
      </c>
      <c r="CB249">
        <f t="shared" si="280"/>
        <v>0.50689724899352884</v>
      </c>
      <c r="CC249">
        <f>IFERROR(ROUNDUP(CB249/((Uн_лин/SQRT(3))*1000)*100,2),"")</f>
        <v>0.22</v>
      </c>
      <c r="CD249">
        <f>IF(ISNUMBER(CC249),CC249+IFERROR(_xlfn.XLOOKUP(A249,Щиты[Щит],Щиты[ΔU до шин, %]),0),"")</f>
        <v>1.47</v>
      </c>
      <c r="CE249">
        <f>IF(D249="","",IF(IFERROR(VLOOKUP(AT249,УГО_спр,2,FALSE),"")="Светильник",3,4)+IF(Методика="нормы 2026",MIN(0.5,MAX(0,N(BW249)-100)*0.005),0))</f>
        <v>4</v>
      </c>
      <c r="CF249" t="str">
        <f>IFERROR(VLOOKUP(BI249,Кабель_обозначение,2,FALSE),"")</f>
        <v>ВВГнг(А)-LS</v>
      </c>
      <c r="CG249" t="str">
        <f>IFERROR(IF(VLOOKUP(BI249,Кабель_обозначение,3,FALSE)=1,CF249&amp;" ("&amp;BJ249&amp;"х"&amp;BS249&amp;")",CF249),"")</f>
        <v>ВВГнг(А)-LS (3х2,5)</v>
      </c>
      <c r="CH249" t="str">
        <f t="shared" si="281"/>
        <v>ВВГнг(А)-LS (3х2,5)
L=54-0,22%</v>
      </c>
      <c r="CI249">
        <f>IFERROR(2*ρкз_Cu*BW249/BS249,"")</f>
        <v>1.1361600000000001</v>
      </c>
      <c r="CJ249">
        <f t="shared" si="282"/>
        <v>0.378</v>
      </c>
      <c r="CK249" t="str">
        <f>IFERROR(IF(OR(D249="",NOT(ISNUMBER(BS249)),N(BW249)=0),"",_xlfn.XLOOKUP(A249,Щиты[Щит],Щиты[Zпетли на шинах, Ом])+CI249),"")</f>
        <v/>
      </c>
      <c r="CL249" t="str">
        <f>IF(ISNUMBER(CK249),c_min*(Uн_лин*1000/SQRT(3))/CK249,"")</f>
        <v/>
      </c>
      <c r="CM249" t="str">
        <f>IFERROR(IF(OR(D249="",NOT(ISNUMBER(BS249))),"",1.05*(Uн_лин*1000/SQRT(3))/(_xlfn.XLOOKUP(A249,Щиты[Щит],Щиты[Zmax на шинах, Ом])+CJ249)/1000),"")</f>
        <v/>
      </c>
      <c r="CN249" t="str">
        <f>IF(D249="","",IF(BA249&lt;&gt;"","Щит",IF(K249&lt;&gt;"",K249,IF(ISNUMBER(L249),"Сил",IF(IFERROR(_xlfn.XLOOKUP(AT249,Коды_код,Коды_группа)&amp;"","")="","Быт",_xlfn.XLOOKUP(AT249,Коды_код,Коды_группа)&amp;"")))))</f>
        <v>Быт</v>
      </c>
      <c r="CO249">
        <f>IF(CN249="Щит","щит",IF(CN249="","",IF(CN249="Быт",IFERROR(_xlfn.XLOOKUP(A249,Щиты[Щит],Щиты[Кс быт]),1),IF(CN249="Сил",IF(ISNUMBER(L249),L249,IF(Методика="нормы 2026",IFERROR(_xlfn.XLOOKUP(A249,Щиты[Щит],Щиты[Кс силовых (табл. 7.5)]),1),1)),IF(OR(CN249="Пост",CN249="Отоп"),1,IF(CN249="ВНГ",0.7,0))))))</f>
        <v>0.57830000000000004</v>
      </c>
      <c r="CP249">
        <f t="shared" si="283"/>
        <v>1</v>
      </c>
      <c r="CQ249">
        <f t="shared" si="284"/>
        <v>0.12</v>
      </c>
      <c r="CR249">
        <f t="shared" si="285"/>
        <v>0.12</v>
      </c>
      <c r="CS249">
        <f t="shared" si="286"/>
        <v>0</v>
      </c>
      <c r="CT249">
        <f t="shared" si="287"/>
        <v>0</v>
      </c>
      <c r="CU249">
        <f t="shared" si="288"/>
        <v>0</v>
      </c>
      <c r="CV249">
        <f t="shared" si="289"/>
        <v>0</v>
      </c>
      <c r="CW249">
        <f t="shared" si="290"/>
        <v>0.12</v>
      </c>
      <c r="CX249">
        <f t="shared" si="291"/>
        <v>0.11399999999999999</v>
      </c>
      <c r="CY249">
        <f t="shared" si="292"/>
        <v>1</v>
      </c>
      <c r="CZ249" t="str">
        <f t="shared" si="293"/>
        <v>L1</v>
      </c>
      <c r="DA249" cm="1">
        <f t="array" ref="DA249">IFERROR(IF(BL249=2,_xlfn.IFS(BH249=3,VLOOKUP(BF249,Справочная_двигатели,3,FALSE),BH249=1,VLOOKUP(BF249,Справочная_двигатели,5,TRUE)),0),0)</f>
        <v>0</v>
      </c>
      <c r="DB249">
        <f>IFERROR(IF(BL249=3,VLOOKUP(BF249,Справочная_ЛЭД,2,TRUE),0),0)</f>
        <v>0</v>
      </c>
      <c r="DC249">
        <f t="shared" si="294"/>
        <v>0</v>
      </c>
      <c r="DD249" t="str">
        <f t="shared" si="295"/>
        <v>L2</v>
      </c>
      <c r="DE249" t="str" cm="1">
        <f t="array" ref="DE249">IF(D249="","",IFERROR(INDEX({"I особая","I","II","III"},MATCH(TRIM(AA249&amp;""),{"I особая","I","II","III"},0)),"III"))</f>
        <v>II</v>
      </c>
      <c r="DF249" t="str">
        <f>IF(D249="","",IF(TRIM(AB249&amp;"")&lt;&gt;"",IF(LOWER(TRIM(AB249&amp;""))="да","да","нет"),IF(IFERROR(_xlfn.XLOOKUP(AT249,Коды_код,Коды_пожарная),"")="да","да","нет")))</f>
        <v>нет</v>
      </c>
      <c r="DG249" t="str">
        <f t="shared" si="296"/>
        <v/>
      </c>
      <c r="DH249" t="str">
        <f t="shared" si="297"/>
        <v>основная</v>
      </c>
      <c r="DI249">
        <f t="shared" si="298"/>
        <v>1</v>
      </c>
      <c r="DJ249" t="str" cm="1">
        <f t="array" ref="DJ249">IF(D249="","",_xlfn.LET(_xlpm.t,IFERROR(_xlfn.XLOOKUP(1,(Шины[Шина]=DH249)*(((Шины[Щит]=A249)+(Шины[Щит]=""))&gt;0),Шины[Тип]),"")&amp;"",IF(_xlpm.t&lt;&gt;"",_xlpm.t,IF(ISNUMBER(SEARCH("ИБП",DH249)),"ИБП",IF(ISNUMBER(SEARCH("ДГУ",DH249)),"ДГУ","Ввод "&amp;DI249)))))</f>
        <v>Ввод 1</v>
      </c>
      <c r="DK249" t="str">
        <f t="shared" si="299"/>
        <v>Ввод 1</v>
      </c>
      <c r="DL249" t="str">
        <f>IF(D249="","",IF(OR(DJ249="ИБП",DJ249="ДГУ"),"I особая",IF(DJ249="Одиночная","III",_xlfn.XLOOKUP(A249,Щиты[Щит],Щиты[Категория шины «Ввод»],"III"))))</f>
        <v>II</v>
      </c>
      <c r="DM249">
        <f>IF(D249="",0,IFERROR(MATCH(DE249,{"III","II","I","I особая"},0),1))</f>
        <v>2</v>
      </c>
      <c r="DN249">
        <f t="shared" si="300"/>
        <v>2</v>
      </c>
      <c r="DO249" t="str">
        <f>IF(D249="","",IF(DM249&gt;IFERROR(MATCH(DL249,{"III","II","I","I особая"},0),1),"НЕ ОБЕСПЕЧЕНА","ОК"))</f>
        <v>ОК</v>
      </c>
      <c r="DP249" t="str">
        <f>IF(A249="","",_xlfn.XLOOKUP(A249,Щиты[Щит],Щиты[Путь],""))</f>
        <v>|ГРЩ-ЖД|ЩР-1|</v>
      </c>
      <c r="DQ249" t="str">
        <f>IF(D249="","",IF(Z249&lt;&gt;"",Z249,IF(IFERROR(_xlfn.XLOOKUP(AT249,Коды_код,Коды_вид)&amp;"","")="","Прочее",_xlfn.XLOOKUP(AT249,Коды_код,Коды_вид)&amp;"")))</f>
        <v>Розеточная сеть и бытовые приборы</v>
      </c>
      <c r="DR249">
        <f>IF(BD249="","",INT((BD249-1)/Столбцов_на_лист)+1)</f>
        <v>3</v>
      </c>
      <c r="DS249" t="str">
        <f t="shared" si="301"/>
        <v>ВВГнг(А)-LS (3х2,5) L=54-0,22%</v>
      </c>
      <c r="DT249">
        <f t="shared" si="302"/>
        <v>0.12</v>
      </c>
      <c r="DU249">
        <f t="shared" si="303"/>
        <v>0.55000000000000004</v>
      </c>
      <c r="DV249">
        <f t="shared" si="304"/>
        <v>1</v>
      </c>
      <c r="DW249">
        <f>IF(AT249="",0,_xlfn.LET(_xlpm.v,IFERROR(VLOOKUP(D249,УГО_спр,3,FALSE),IFERROR(VLOOKUP(AT249,УГО_спр,3,FALSE),IFERROR(VLOOKUP(LEFT(AT249,2),УГО_спр,3,FALSE),""))),IF(_xlpm.v="да",30,IF(ISNUMBER(_xlpm.v),_xlpm.v,0))))</f>
        <v>30</v>
      </c>
      <c r="DX249">
        <f t="shared" si="305"/>
        <v>0</v>
      </c>
      <c r="DY249">
        <f>IF(BD249="","",IF(AD249&lt;&gt;"",COUNTIFS(A$3:A249,A249,AD$3:AD249,"?*"),IF(OR(OR(AS249=1,A249&lt;&gt;A248),AL249="вручную"),"",IF(AS249=1,"",DZ248))))</f>
        <v>25</v>
      </c>
      <c r="DZ249">
        <f t="shared" si="306"/>
        <v>25</v>
      </c>
      <c r="EA249">
        <f>IF(D249="",0,MAX(IFERROR(--X249,0),IFERROR(--VLOOKUP(D249,УГО_спр,4,FALSE),IFERROR(--VLOOKUP(AT249,УГО_спр,4,FALSE),IFERROR(--VLOOKUP(LEFT(AT249,2),УГО_спр,4,FALSE),0)))))</f>
        <v>16</v>
      </c>
      <c r="EB249">
        <f>IF(D249="","",IFERROR(LOOKUP(INDEX(CHOOSE(BR249,Iдоп_1ж,Iдоп_2ж,Iдоп_3ж),MATCH(BS249,Iдоп_S,0))*BP249*BQ249,{6,10,16,20,25,32,40,50,63,80,100,125,160,200,250,315,400,500,630}),""))</f>
        <v>25</v>
      </c>
      <c r="EC249">
        <f>IF(AD249="","",SUMIFS(Линии[_Ток схемы],Линии[_гр.],DY249,Линии[Щит],A249,Линии[_в кабель выше],0))</f>
        <v>0.55000000000000004</v>
      </c>
      <c r="ED249">
        <f>IF(AD249="","",IFERROR(VLOOKUP(EC249,Автомат_номиналы,2,TRUE),""))</f>
        <v>6</v>
      </c>
      <c r="EE249">
        <f>IF(AD249="","",MAX(N(ED249),_xlfn.MAXIFS(Линии[_мин. по типу],Линии[_гр.],DY249,Линии[Щит],A249)))</f>
        <v>16</v>
      </c>
      <c r="EF249">
        <f>IF(AD249="","",_xlfn.MINIFS(Линии[_макс. автомат по кабелю],Линии[_гр.],DY249,Линии[Щит],A249))</f>
        <v>25</v>
      </c>
      <c r="EG249">
        <f>IF(AD249="","",MAX(1,_xlfn.MAXIFS(Линии[_фаз],Линии[_гр.],DY249,Линии[Щит],A249)))</f>
        <v>1</v>
      </c>
      <c r="EH249">
        <f>IF(AD249="","",IF(AND(AD249&lt;&gt;"авто",AD249&lt;&gt;"+"),IF(ISNUMBER(SEARCH("мА",AD249)),IFERROR(--TRIM(RIGHT(SUBSTITUTE(LEFT(AD249,SEARCH("мА",AD249)-1)," ",REPT(" ",9)),6)),30),0),IF(AE249="нет",0,IF(ISNUMBER(AE249),AE249,IF(AE249="да",30,_xlfn.MINIFS(Линии[_дифзащита по коду, мА],Линии[_гр.],DY249,Линии[Щит],A249,Линии[_дифзащита по коду, мА],"&gt;0"))))))</f>
        <v>30</v>
      </c>
      <c r="EI249">
        <f t="shared" si="307"/>
        <v>1</v>
      </c>
      <c r="EJ249" t="str">
        <f t="shared" si="308"/>
        <v>QFD25</v>
      </c>
      <c r="EK249" t="str">
        <f t="shared" si="309"/>
        <v>QFD25</v>
      </c>
      <c r="EL249" t="str">
        <f t="shared" si="310"/>
        <v/>
      </c>
      <c r="EM249">
        <f t="shared" si="311"/>
        <v>0</v>
      </c>
      <c r="EN249">
        <f>IF(AD249="","",IF(EM249=1,MAX(EE249,Мин_автомат_БП),EE249))</f>
        <v>16</v>
      </c>
      <c r="EO249" t="str">
        <f t="shared" si="312"/>
        <v>2P</v>
      </c>
      <c r="EP249" t="str">
        <f t="shared" si="313"/>
        <v>2P С16А 30мА</v>
      </c>
      <c r="EQ249">
        <f t="shared" si="314"/>
        <v>16</v>
      </c>
      <c r="ER249" t="str">
        <f>IF(OR(AI249="",AI249="-"),"",IFERROR(VLOOKUP(AI249,Модули_спр,2,FALSE),"R"))</f>
        <v/>
      </c>
      <c r="ES249" t="str">
        <f>IF(ER249="","",ER249&amp;"."&amp;COUNTIFS(A$3:A249,A249,ER$3:ER249,ER249))</f>
        <v/>
      </c>
      <c r="ET249" t="str">
        <f t="shared" si="315"/>
        <v/>
      </c>
      <c r="EU249" t="str">
        <f t="shared" si="316"/>
        <v/>
      </c>
      <c r="EV249" t="str">
        <f t="shared" si="317"/>
        <v/>
      </c>
      <c r="EW249" t="str">
        <f t="shared" si="318"/>
        <v/>
      </c>
      <c r="EX249">
        <f t="shared" si="319"/>
        <v>1</v>
      </c>
      <c r="EY249" t="str">
        <f>IF(AK249="нет","",IF(AK249&lt;&gt;"",AK249,IF(EX249=1,"XT"&amp;COUNTIFS(A$3:A249,A249,EX$3:EX249,1),"")))</f>
        <v>XT25</v>
      </c>
      <c r="EZ249" t="str">
        <f t="shared" si="320"/>
        <v>QFD25</v>
      </c>
      <c r="FA249" t="str">
        <f t="shared" si="321"/>
        <v/>
      </c>
      <c r="FB249" t="str">
        <f t="shared" si="322"/>
        <v>ok</v>
      </c>
      <c r="FC249" t="str">
        <f>IF(OR(EV249="",ET249=""),"",IF(EV249&gt;IFERROR(VLOOKUP(EU249,Модули_спр,3,FALSE),99),"ЛИШНИЙ КАНАЛ",IF(AND(AJ249&lt;&gt;"=",COUNTIFS(Линии[_модуль гр.],ET249,Линии[Канал (итог)],EV249,Линии[Канал],"&lt;&gt;=",Линии[Щит],A249)&gt;1),"ДУБЛЬ КАНАЛА","")))</f>
        <v/>
      </c>
      <c r="FD249">
        <f t="shared" si="323"/>
        <v>16</v>
      </c>
      <c r="FE249" t="str">
        <f t="shared" si="324"/>
        <v>2P С16А 30мА</v>
      </c>
      <c r="FF249">
        <f t="shared" si="325"/>
        <v>1</v>
      </c>
      <c r="FG249">
        <f t="shared" si="326"/>
        <v>30</v>
      </c>
      <c r="FH249" t="str">
        <f t="shared" si="327"/>
        <v/>
      </c>
      <c r="FI249">
        <f t="shared" si="328"/>
        <v>10</v>
      </c>
      <c r="FJ249" t="str">
        <f t="shared" si="329"/>
        <v/>
      </c>
      <c r="FK249" t="str">
        <f>IF(AND(D249="",EZ249=""),"",_xlfn.TEXTJOIN("; ",TRUE,IF(AND(D249&lt;&gt;"",DD249=""),"нет фазы",""),IF(AND(D249&lt;&gt;"",N(DT249)=0,CN249&lt;&gt;"Нет"),"нет мощности",""),IF(AND(EY249&lt;&gt;"",COUNTIFS(Линии[Щит],A249,Линии[Клемма (итог)],EY249)&gt;1),"дубль клеммы "&amp;EY249,""),IF(AND(FB249&lt;&gt;"",FB249&lt;&gt;"ok"),FB249,""),IF(FC249&lt;&gt;"",FC249,""),IF(AND(ISNUMBER(SEARCH("(5х",DS249)),N(DV249)=1),"5 жил на 1 фазе",""),IF(AND(AT249="R",AD249&lt;&gt;"",OR(N(EH249)=0,N(EH249)&gt;30)),"розетка без дифзащиты до 30 мА",""),IFERROR(IF(AND(ISNUMBER(CD249),CD249&gt;CE249),"потери "&amp;FIXED(CD249,1)&amp;" % &gt; "&amp;CE249&amp;" %",""),""),IFERROR(IF(LEFT(FJ249,4)="мало","Iкз мало — отключение &gt; 0,4 с",""),""),IF(AND(D249&lt;&gt;"",BD249=""),"не на схеме","")))</f>
        <v/>
      </c>
      <c r="FL249">
        <f>IF(AD249="","",_xlfn.LET(_xlpm.t,IFERROR(_xlfn.XLOOKUP(EP249,Каталог!$U$4:$U$500,Каталог!$G$4:$G$500),""),_xlpm.k,SEARCH("кА",_xlpm.t),IFERROR(--TRIM(RIGHT(SUBSTITUTE(MID(_xlpm.t,MAX(1,_xlpm.k-4),_xlpm.k-MAX(1,_xlpm.k-4))," ",REPT(" ",9)),5)),"")))</f>
        <v>6</v>
      </c>
      <c r="FM249" t="str">
        <f>IF(OR(FL249="",AD249=""),"",IF(_xlfn.XLOOKUP(A249,Щиты[Щит],Щиты[Iкз max на шинах, кА],"")="","",IF(FL249&lt;_xlfn.XLOOKUP(A249,Щиты[Щит],Щиты[Iкз max на шинах, кА]),"Icu "&amp;FL249&amp;" кА &lt; Iкз max","ok")))</f>
        <v/>
      </c>
      <c r="FN249" t="str">
        <f t="shared" si="330"/>
        <v>QFD25|XT25</v>
      </c>
      <c r="FO249" t="str">
        <f t="shared" si="331"/>
        <v>QFD25|XT25|кабель ВВГнг(А)-LS (3х2,5) → Розеточная группа Первый этаж Пом. №006A</v>
      </c>
      <c r="FP249" t="str" cm="1">
        <f t="array" ref="FP249">IF(FO249="","",_xlfn.LET(_xlpm.nd,_xlfn.TEXTSPLIT(FO249,"|"),IF(COLUMNS(_xlpm.nd)&gt;1,A249&amp;"¦"&amp;INDEX(_xlpm.nd,1)&amp;"¦"&amp;INDEX(_xlpm.nd,2),"")))</f>
        <v>ЩР-1¦QFD25¦XT25</v>
      </c>
      <c r="FQ249" t="str">
        <f t="shared" si="332"/>
        <v>R.1.006A.1¦Розеточная группа Первый этаж Пом. №006A</v>
      </c>
      <c r="FR249" t="str" cm="1">
        <f t="array" ref="FR249">IF(FO249="","",_xlfn.LET(_xlpm.nd,_xlfn.TEXTSPLIT(FO249,"|"),IF(COLUMNS(_xlpm.nd)&gt;2,A249&amp;"¦"&amp;INDEX(_xlpm.nd,2)&amp;"¦"&amp;INDEX(_xlpm.nd,3),"")))</f>
        <v>ЩР-1¦XT25¦кабель ВВГнг(А)-LS (3х2,5) → Розеточная группа Первый этаж Пом. №006A</v>
      </c>
      <c r="FS249" t="str">
        <f t="shared" si="333"/>
        <v>R.1.006A.1¦Розеточная группа Первый этаж Пом. №006A</v>
      </c>
      <c r="FT249" t="str" cm="1">
        <f t="array" ref="FT249">IF(FO249="","",_xlfn.LET(_xlpm.nd,_xlfn.TEXTSPLIT(FO249,"|"),IF(COLUMNS(_xlpm.nd)&gt;3,A249&amp;"¦"&amp;INDEX(_xlpm.nd,3)&amp;"¦"&amp;INDEX(_xlpm.nd,4),"")))</f>
        <v/>
      </c>
      <c r="FU249" t="str">
        <f t="shared" si="334"/>
        <v/>
      </c>
      <c r="FV249" t="str" cm="1">
        <f t="array" ref="FV249">IF(FO249="","",_xlfn.LET(_xlpm.nd,_xlfn.TEXTSPLIT(FO249,"|"),IF(COLUMNS(_xlpm.nd)&gt;4,A249&amp;"¦"&amp;INDEX(_xlpm.nd,4)&amp;"¦"&amp;INDEX(_xlpm.nd,5),"")))</f>
        <v/>
      </c>
      <c r="FW249" t="str">
        <f t="shared" si="335"/>
        <v/>
      </c>
      <c r="FX249" t="str" cm="1">
        <f t="array" ref="FX249">IF(FO249="","",_xlfn.LET(_xlpm.nd,_xlfn.TEXTSPLIT(FO249,"|"),IF(COLUMNS(_xlpm.nd)&gt;5,A249&amp;"¦"&amp;INDEX(_xlpm.nd,5)&amp;"¦"&amp;INDEX(_xlpm.nd,6),"")))</f>
        <v/>
      </c>
      <c r="FY249" t="str">
        <f t="shared" si="336"/>
        <v/>
      </c>
      <c r="FZ249" t="str" cm="1">
        <f t="array" ref="FZ249">IF(FO249="","",_xlfn.LET(_xlpm.nd,_xlfn.TEXTSPLIT(FO249,"|"),IF(COLUMNS(_xlpm.nd)&gt;6,A249&amp;"¦"&amp;INDEX(_xlpm.nd,6)&amp;"¦"&amp;INDEX(_xlpm.nd,7),"")))</f>
        <v/>
      </c>
      <c r="GA249" t="str">
        <f t="shared" si="337"/>
        <v/>
      </c>
      <c r="GB249" t="str">
        <f t="shared" si="338"/>
        <v/>
      </c>
      <c r="GC249" t="str">
        <f t="shared" si="339"/>
        <v>QFD25 → XT25</v>
      </c>
      <c r="GD249">
        <f t="shared" si="340"/>
        <v>1</v>
      </c>
      <c r="GE249">
        <f t="shared" si="341"/>
        <v>0</v>
      </c>
      <c r="GF249">
        <f t="shared" si="342"/>
        <v>1</v>
      </c>
      <c r="GG249" t="str">
        <f t="shared" si="343"/>
        <v/>
      </c>
      <c r="GH249" t="str">
        <f t="shared" si="344"/>
        <v/>
      </c>
      <c r="GI249" t="str">
        <f t="shared" si="345"/>
        <v/>
      </c>
      <c r="GJ249" t="str">
        <f t="shared" si="346"/>
        <v/>
      </c>
      <c r="GK249" t="str">
        <f>IF(D249="","",IFERROR(VLOOKUP(D249,УГО_спр,2,FALSE),IFERROR(VLOOKUP(AT249,УГО_спр,2,FALSE),IFERROR(VLOOKUP(LEFT(AT249,2),УГО_спр,2,FALSE),""))))</f>
        <v>Розетка</v>
      </c>
      <c r="GL249" t="str">
        <f>IF(D249="","",IF(OR(GK249="",GK249=0),"BOX",IFERROR(IF(VLOOKUP(GK249,УГО_блоки,3,FALSE)&amp;""&lt;&gt;"",VLOOKUP(GK249,УГО_блоки,3,FALSE),VLOOKUP(GK249,УГО_блоки,2,FALSE)),GK249)))</f>
        <v>SOCKET</v>
      </c>
      <c r="GM249">
        <f t="shared" si="347"/>
        <v>1</v>
      </c>
      <c r="GN249" t="str">
        <f>IF(EP249="","",IF(COUNTIF(EP$3:EP249,EP249)=1,MAX(GN$2:GN248)+1,""))</f>
        <v/>
      </c>
      <c r="GO249" t="str">
        <f>IF(AF249="","",IF(COUNTIF(AF$3:AF249,AF249)+COUNTIF(AG$2:AG248,AF249)+COUNTIF(AH$2:AH248,AF249)=1,MAX(GO$2:GQ248)+1,""))</f>
        <v/>
      </c>
      <c r="GP249" t="str">
        <f>IF(AG249="","",IF(COUNTIF(AF$3:AF249,AG249)+COUNTIF(AG$3:AG249,AG249)+COUNTIF(AH$2:AH248,AG249)=1,MAX(GO$2:GQ248,GO249)+1,""))</f>
        <v/>
      </c>
      <c r="GQ249" t="str">
        <f>IF(AH249="","",IF(COUNTIF(AF$3:AF249,AH249)+COUNTIF(AG$3:AG249,AH249)+COUNTIF(AH$3:AH249,AH249)=1,MAX(GO$2:GQ248,GO249,GP249)+1,""))</f>
        <v/>
      </c>
      <c r="GR249" t="str">
        <f t="shared" si="348"/>
        <v>3х2,5</v>
      </c>
      <c r="GS249" t="str">
        <f>IF(GR249="","",IF(COUNTIF(GR$3:GR249,GR249)=1,MAX(GS$2:GS248)+1,""))</f>
        <v/>
      </c>
      <c r="GT249" t="str">
        <f>IF(ES249="","",COUNTIF(ES$3:ES249,"?*"))</f>
        <v/>
      </c>
      <c r="GU249" t="str">
        <f>IF(OR(ES249="",EU249=""),"",IF(COUNTIFS(ES$3:ES249,"?*",EU$3:EU249,EU249)=1,MAX(GU$2:GU248)+1,""))</f>
        <v/>
      </c>
      <c r="GV249">
        <f t="shared" si="349"/>
        <v>0</v>
      </c>
      <c r="GW249">
        <f>IF(D249="","",COUNTIF(D$3:D249,"?*"))</f>
        <v>247</v>
      </c>
      <c r="GX249">
        <f>IF(EX249&lt;&gt;1,0,_xlfn.LET(_xlpm.k,MAX(IFERROR(--VLOOKUP(D249,УГО_спр,5,FALSE),0),IFERROR(--VLOOKUP(AT249,УГО_спр,5,FALSE),0),IFERROR(--VLOOKUP(LEFT(AT249,2),УГО_спр,5,FALSE),0)),IF(_xlpm.k&gt;0,_xlpm.k,IF(IFERROR(--LEFT(SUBSTITUTE(GR249,"x","х"),FIND("х",SUBSTITUTE(GR249,"x","х"))-1),3)&gt;3,Каталог!$S$9,1))))</f>
        <v>1</v>
      </c>
      <c r="GY249">
        <f t="shared" si="350"/>
        <v>0</v>
      </c>
    </row>
    <row r="250" spans="1:207" x14ac:dyDescent="0.3">
      <c r="A250" t="s">
        <v>762</v>
      </c>
      <c r="B250">
        <v>38</v>
      </c>
      <c r="C250" t="str">
        <f>IF(BD250="","",IF(BE250="вводной узел","узел ","")&amp;"л."&amp;(INT((BD250-1)/Столбцов_на_лист)+1)&amp;" / "&amp;(MOD(BD250-1,Столбцов_на_лист)+1))</f>
        <v>л.3 / 4</v>
      </c>
      <c r="D250" t="s">
        <v>1572</v>
      </c>
      <c r="E250" s="133" t="str">
        <f t="shared" si="351"/>
        <v>Розеточная группа Первый этаж Пом. №006Aб</v>
      </c>
      <c r="G250">
        <v>0.24</v>
      </c>
      <c r="H250">
        <v>4</v>
      </c>
      <c r="I250">
        <v>1</v>
      </c>
      <c r="J250">
        <v>230</v>
      </c>
      <c r="K250" t="s">
        <v>566</v>
      </c>
      <c r="O250">
        <v>1</v>
      </c>
      <c r="P250">
        <v>85</v>
      </c>
      <c r="Q250">
        <v>28</v>
      </c>
      <c r="R250">
        <v>78</v>
      </c>
      <c r="S250">
        <v>0</v>
      </c>
      <c r="U250" t="s">
        <v>11</v>
      </c>
      <c r="V250">
        <v>3</v>
      </c>
      <c r="W250">
        <v>2.5</v>
      </c>
      <c r="Z250" t="s">
        <v>565</v>
      </c>
      <c r="AA250" t="s">
        <v>818</v>
      </c>
      <c r="AD250" t="s">
        <v>517</v>
      </c>
      <c r="AK250" t="s">
        <v>488</v>
      </c>
      <c r="AR250" t="str">
        <f t="shared" si="264"/>
        <v/>
      </c>
      <c r="AS250" cm="1">
        <f t="array" ref="AS250">ROW()-ROW(Линии[#Headers])</f>
        <v>248</v>
      </c>
      <c r="AT250" t="str">
        <f t="shared" si="265"/>
        <v>R</v>
      </c>
      <c r="AU250" t="str">
        <f t="shared" si="266"/>
        <v>1.006Aб.1</v>
      </c>
      <c r="AV250" t="str">
        <f t="shared" si="267"/>
        <v>1</v>
      </c>
      <c r="AW250" t="str">
        <f t="shared" si="268"/>
        <v>006Aб.1</v>
      </c>
      <c r="AX250" t="str">
        <f t="shared" si="269"/>
        <v>006Aб</v>
      </c>
      <c r="AY250" t="str">
        <f>IF(D250="","",IF(ISERROR(SEARCH(".",D250)),IFERROR(VLOOKUP(D250,Потребители_обозначение,2,FALSE)&amp;"",""),IFERROR(IF(VLOOKUP(AT250,Потребители_обозначение,4,FALSE)=1,VLOOKUP(AT250,Потребители_обозначение,2,FALSE)&amp;" "&amp;VLOOKUP(AV250,Этаж_обозначение,2,FALSE)&amp;" Пом. №"&amp;AX250,VLOOKUP(AT250,Потребители_обозначение,2,FALSE)&amp;" Шлейф №"&amp;AV250),IFERROR(VLOOKUP(D250,Потребители_обозначение,2,FALSE),""))))</f>
        <v>Розеточная группа Первый этаж Пом. №006Aб</v>
      </c>
      <c r="AZ250" t="str">
        <f t="shared" si="270"/>
        <v>Розеточная группа Первый этаж Пом. №006Aб</v>
      </c>
      <c r="BA250" t="str">
        <f>IF(F250&lt;&gt;"",F250,IF(AND(D250&lt;&gt;"",D250&lt;&gt;A250,ISNUMBER(_xlfn.XMATCH(D250,Щиты[Щит]))),D250,""))</f>
        <v/>
      </c>
      <c r="BB250">
        <f>IFERROR(_xlfn.XMATCH(A250,Щиты[Щит]),0)</f>
        <v>10</v>
      </c>
      <c r="BC250">
        <f>IFERROR(N(_xlfn.XLOOKUP(A250,Щиты[Щит],Щиты[Мест под вводной узел])),15)</f>
        <v>8</v>
      </c>
      <c r="BD250">
        <f t="shared" si="271"/>
        <v>38</v>
      </c>
      <c r="BE250" t="str">
        <f t="shared" si="272"/>
        <v>линии</v>
      </c>
      <c r="BF250">
        <f>IF(D250="","",IF(BA250&lt;&gt;"",IFERROR(_xlfn.XLOOKUP(BA250,Щиты[Щит],Щиты[Руст, кВт]),0),N(G250)))</f>
        <v>0.24</v>
      </c>
      <c r="BG250">
        <f>IF(J250&lt;&gt;"",J250,IF(D250="","",IFERROR(IF(VLOOKUP(AT250,Потребители_обозначение,8,FALSE)=0,"",VLOOKUP(AT250,Потребители_обозначение,8,FALSE)),"")))</f>
        <v>230</v>
      </c>
      <c r="BH250">
        <f>IF(I250&lt;&gt;"",I250,IF(D250="","",IFERROR(IF(VLOOKUP(AT250,Потребители_обозначение,9,FALSE)=0,"",VLOOKUP(AT250,Потребители_обозначение,9,FALSE)),"")))</f>
        <v>1</v>
      </c>
      <c r="BI250" t="str">
        <f>IF(U250&lt;&gt;"",U250,IF(D250="","",IFERROR(IF(VLOOKUP(AT250,Потребители_обозначение,6,FALSE)=0,"",VLOOKUP(AT250,Потребители_обозначение,6,FALSE)),"")))</f>
        <v>мс</v>
      </c>
      <c r="BJ250">
        <f>IF(V250&lt;&gt;"",V250,IF(D250="","",IFERROR(IF(VLOOKUP(AT250,Потребители_обозначение,7,FALSE)=0,"",VLOOKUP(AT250,Потребители_обозначение,7,FALSE)),"")))</f>
        <v>3</v>
      </c>
      <c r="BK250">
        <f>IF(W250&lt;&gt;"",W250,IF(D250="","",IFERROR(IF(VLOOKUP(AT250,Потребители_обозначение,10,FALSE)=0,"",VLOOKUP(AT250,Потребители_обозначение,10,FALSE)),"")))</f>
        <v>2.5</v>
      </c>
      <c r="BL250">
        <f>IFERROR(VLOOKUP(AT250,Потребители_обозначение,5,FALSE),0)</f>
        <v>1</v>
      </c>
      <c r="BM250" cm="1">
        <f t="array" ref="BM250">IF(D250="","",IF(BA250&lt;&gt;"",IFERROR(_xlfn.XLOOKUP(BA250,Щиты[Щит],Щиты[cos φ]),0.95),IF(ISNUMBER(M250),M250,IFERROR(IF(BL250=2,_xlfn.IFS(BH250=3,VLOOKUP(BF250,Справочная_двигатели,8,FALSE),BH250=1,VLOOKUP(BF250,Справочная_двигатели,10,TRUE)),IF(AND(Методика="нормы 2026",CN250="Сил"),0.8,0.95)),0.95))))</f>
        <v>0.95</v>
      </c>
      <c r="BN250" cm="1">
        <f t="array" ref="BN250">IF(D250="","",IF(BA250&lt;&gt;"",IFERROR(_xlfn.XLOOKUP(BA250,Щиты[Щит],Щиты[Iр, А]),""),IFERROR(_xlfn.IFS(BH250=1,BF250/((Uн_лин/SQRT(3))*BM250),BH250=3,BF250/(SQRT(3)*Uн_лин*BM250)),"")))</f>
        <v>1.0939268258329751</v>
      </c>
      <c r="BO250">
        <f>IF(D250="","",IF(N(X250)=0,IFERROR(VLOOKUP(BN250,Автомат_номиналы,2,TRUE),""),X250))</f>
        <v>6</v>
      </c>
      <c r="BP250">
        <f t="shared" si="273"/>
        <v>1</v>
      </c>
      <c r="BQ250">
        <f>IF(ISNUMBER(Y250),Y250,К_прокл)</f>
        <v>1</v>
      </c>
      <c r="BR250">
        <f t="shared" si="274"/>
        <v>2</v>
      </c>
      <c r="BS250" cm="1">
        <f t="array" ref="BS250">IF(D250="","",IF(N(BK250)&lt;&gt;0,BK250,IFERROR(_xlfn.LET(_xlpm.need,BO250/(BP250*BQ250),_xlpm.t,CHOOSE(BR250,Iдоп_1ж,Iдоп_2ж,Iдоп_3ж),_xlpm.k,_xlfn.XMATCH(_xlpm.need,_xlpm.t,1),IF(ISNA(_xlpm.k),"Не исп",INDEX(Iдоп_S,_xlpm.k))),"Не исп")))</f>
        <v>2.5</v>
      </c>
      <c r="BT250">
        <f>IFERROR(VLOOKUP(BS250,Кабель_сопротивление,3,FALSE),"")</f>
        <v>2.2499999999999999E-2</v>
      </c>
      <c r="BU250">
        <f>IFERROR(VLOOKUP(BS250,Кабель_сопротивление,2,FALSE),"")</f>
        <v>0.1</v>
      </c>
      <c r="BV250">
        <f t="shared" si="275"/>
        <v>85</v>
      </c>
      <c r="BW250">
        <f>IF(D250="","",IFERROR(IF(VLOOKUP(AT250,Потребители_обозначение,4,FALSE)=1,VLOOKUP(AT250,Потребители_обозначение,3,FALSE)*(H250*2-1)+BV250+VLOOKUP(AV250,Этаж_обозначение,3,FALSE)+VLOOKUP(AV250,Этаж_обозначение,4,FALSE),VLOOKUP(AT250,Потребители_обозначение,3,FALSE)*(H250*2-1)+BV250),BV250))</f>
        <v>106</v>
      </c>
      <c r="BX250">
        <f t="shared" si="276"/>
        <v>78</v>
      </c>
      <c r="BY250">
        <f t="shared" si="277"/>
        <v>0</v>
      </c>
      <c r="BZ250">
        <f t="shared" si="278"/>
        <v>2</v>
      </c>
      <c r="CA250">
        <f t="shared" si="279"/>
        <v>0.31</v>
      </c>
      <c r="CB250">
        <f t="shared" si="280"/>
        <v>1.9900410516042246</v>
      </c>
      <c r="CC250">
        <f>IFERROR(ROUNDUP(CB250/((Uн_лин/SQRT(3))*1000)*100,2),"")</f>
        <v>0.87</v>
      </c>
      <c r="CD250">
        <f>IF(ISNUMBER(CC250),CC250+IFERROR(_xlfn.XLOOKUP(A250,Щиты[Щит],Щиты[ΔU до шин, %]),0),"")</f>
        <v>2.12</v>
      </c>
      <c r="CE250">
        <f>IF(D250="","",IF(IFERROR(VLOOKUP(AT250,УГО_спр,2,FALSE),"")="Светильник",3,4)+IF(Методика="нормы 2026",MIN(0.5,MAX(0,N(BW250)-100)*0.005),0))</f>
        <v>4</v>
      </c>
      <c r="CF250" t="str">
        <f>IFERROR(VLOOKUP(BI250,Кабель_обозначение,2,FALSE),"")</f>
        <v>ВВГнг(А)-LS</v>
      </c>
      <c r="CG250" t="str">
        <f>IFERROR(IF(VLOOKUP(BI250,Кабель_обозначение,3,FALSE)=1,CF250&amp;" ("&amp;BJ250&amp;"х"&amp;BS250&amp;")",CF250),"")</f>
        <v>ВВГнг(А)-LS (3х2,5)</v>
      </c>
      <c r="CH250" t="str">
        <f t="shared" si="281"/>
        <v>ВВГнг(А)-LS (3х2,5)
L=106-0,87%</v>
      </c>
      <c r="CI250">
        <f>IFERROR(2*ρкз_Cu*BW250/BS250,"")</f>
        <v>2.2302399999999998</v>
      </c>
      <c r="CJ250">
        <f t="shared" si="282"/>
        <v>0.7420000000000001</v>
      </c>
      <c r="CK250" t="str">
        <f>IFERROR(IF(OR(D250="",NOT(ISNUMBER(BS250)),N(BW250)=0),"",_xlfn.XLOOKUP(A250,Щиты[Щит],Щиты[Zпетли на шинах, Ом])+CI250),"")</f>
        <v/>
      </c>
      <c r="CL250" t="str">
        <f>IF(ISNUMBER(CK250),c_min*(Uн_лин*1000/SQRT(3))/CK250,"")</f>
        <v/>
      </c>
      <c r="CM250" t="str">
        <f>IFERROR(IF(OR(D250="",NOT(ISNUMBER(BS250))),"",1.05*(Uн_лин*1000/SQRT(3))/(_xlfn.XLOOKUP(A250,Щиты[Щит],Щиты[Zmax на шинах, Ом])+CJ250)/1000),"")</f>
        <v/>
      </c>
      <c r="CN250" t="str">
        <f>IF(D250="","",IF(BA250&lt;&gt;"","Щит",IF(K250&lt;&gt;"",K250,IF(ISNUMBER(L250),"Сил",IF(IFERROR(_xlfn.XLOOKUP(AT250,Коды_код,Коды_группа)&amp;"","")="","Быт",_xlfn.XLOOKUP(AT250,Коды_код,Коды_группа)&amp;"")))))</f>
        <v>Быт</v>
      </c>
      <c r="CO250">
        <f>IF(CN250="Щит","щит",IF(CN250="","",IF(CN250="Быт",IFERROR(_xlfn.XLOOKUP(A250,Щиты[Щит],Щиты[Кс быт]),1),IF(CN250="Сил",IF(ISNUMBER(L250),L250,IF(Методика="нормы 2026",IFERROR(_xlfn.XLOOKUP(A250,Щиты[Щит],Щиты[Кс силовых (табл. 7.5)]),1),1)),IF(OR(CN250="Пост",CN250="Отоп"),1,IF(CN250="ВНГ",0.7,0))))))</f>
        <v>0.57830000000000004</v>
      </c>
      <c r="CP250">
        <f t="shared" si="283"/>
        <v>1</v>
      </c>
      <c r="CQ250">
        <f t="shared" si="284"/>
        <v>0.24</v>
      </c>
      <c r="CR250">
        <f t="shared" si="285"/>
        <v>0.24</v>
      </c>
      <c r="CS250">
        <f t="shared" si="286"/>
        <v>0</v>
      </c>
      <c r="CT250">
        <f t="shared" si="287"/>
        <v>0</v>
      </c>
      <c r="CU250">
        <f t="shared" si="288"/>
        <v>0</v>
      </c>
      <c r="CV250">
        <f t="shared" si="289"/>
        <v>0</v>
      </c>
      <c r="CW250">
        <f t="shared" si="290"/>
        <v>0.24</v>
      </c>
      <c r="CX250">
        <f t="shared" si="291"/>
        <v>0.22799999999999998</v>
      </c>
      <c r="CY250">
        <f t="shared" si="292"/>
        <v>2</v>
      </c>
      <c r="CZ250" t="str">
        <f t="shared" si="293"/>
        <v>L2</v>
      </c>
      <c r="DA250" cm="1">
        <f t="array" ref="DA250">IFERROR(IF(BL250=2,_xlfn.IFS(BH250=3,VLOOKUP(BF250,Справочная_двигатели,3,FALSE),BH250=1,VLOOKUP(BF250,Справочная_двигатели,5,TRUE)),0),0)</f>
        <v>0</v>
      </c>
      <c r="DB250">
        <f>IFERROR(IF(BL250=3,VLOOKUP(BF250,Справочная_ЛЭД,2,TRUE),0),0)</f>
        <v>0</v>
      </c>
      <c r="DC250">
        <f t="shared" si="294"/>
        <v>0</v>
      </c>
      <c r="DD250" t="str">
        <f t="shared" si="295"/>
        <v>L1</v>
      </c>
      <c r="DE250" t="str" cm="1">
        <f t="array" ref="DE250">IF(D250="","",IFERROR(INDEX({"I особая","I","II","III"},MATCH(TRIM(AA250&amp;""),{"I особая","I","II","III"},0)),"III"))</f>
        <v>II</v>
      </c>
      <c r="DF250" t="str">
        <f>IF(D250="","",IF(TRIM(AB250&amp;"")&lt;&gt;"",IF(LOWER(TRIM(AB250&amp;""))="да","да","нет"),IF(IFERROR(_xlfn.XLOOKUP(AT250,Коды_код,Коды_пожарная),"")="да","да","нет")))</f>
        <v>нет</v>
      </c>
      <c r="DG250" t="str">
        <f t="shared" si="296"/>
        <v/>
      </c>
      <c r="DH250" t="str">
        <f t="shared" si="297"/>
        <v>основная</v>
      </c>
      <c r="DI250">
        <f t="shared" si="298"/>
        <v>1</v>
      </c>
      <c r="DJ250" t="str" cm="1">
        <f t="array" ref="DJ250">IF(D250="","",_xlfn.LET(_xlpm.t,IFERROR(_xlfn.XLOOKUP(1,(Шины[Шина]=DH250)*(((Шины[Щит]=A250)+(Шины[Щит]=""))&gt;0),Шины[Тип]),"")&amp;"",IF(_xlpm.t&lt;&gt;"",_xlpm.t,IF(ISNUMBER(SEARCH("ИБП",DH250)),"ИБП",IF(ISNUMBER(SEARCH("ДГУ",DH250)),"ДГУ","Ввод "&amp;DI250)))))</f>
        <v>Ввод 1</v>
      </c>
      <c r="DK250" t="str">
        <f t="shared" si="299"/>
        <v>Ввод 1</v>
      </c>
      <c r="DL250" t="str">
        <f>IF(D250="","",IF(OR(DJ250="ИБП",DJ250="ДГУ"),"I особая",IF(DJ250="Одиночная","III",_xlfn.XLOOKUP(A250,Щиты[Щит],Щиты[Категория шины «Ввод»],"III"))))</f>
        <v>II</v>
      </c>
      <c r="DM250">
        <f>IF(D250="",0,IFERROR(MATCH(DE250,{"III","II","I","I особая"},0),1))</f>
        <v>2</v>
      </c>
      <c r="DN250">
        <f t="shared" si="300"/>
        <v>2</v>
      </c>
      <c r="DO250" t="str">
        <f>IF(D250="","",IF(DM250&gt;IFERROR(MATCH(DL250,{"III","II","I","I особая"},0),1),"НЕ ОБЕСПЕЧЕНА","ОК"))</f>
        <v>ОК</v>
      </c>
      <c r="DP250" t="str">
        <f>IF(A250="","",_xlfn.XLOOKUP(A250,Щиты[Щит],Щиты[Путь],""))</f>
        <v>|ГРЩ-ЖД|ЩР-1|</v>
      </c>
      <c r="DQ250" t="str">
        <f>IF(D250="","",IF(Z250&lt;&gt;"",Z250,IF(IFERROR(_xlfn.XLOOKUP(AT250,Коды_код,Коды_вид)&amp;"","")="","Прочее",_xlfn.XLOOKUP(AT250,Коды_код,Коды_вид)&amp;"")))</f>
        <v>Розеточная сеть и бытовые приборы</v>
      </c>
      <c r="DR250">
        <f>IF(BD250="","",INT((BD250-1)/Столбцов_на_лист)+1)</f>
        <v>3</v>
      </c>
      <c r="DS250" t="str">
        <f t="shared" si="301"/>
        <v>ВВГнг(А)-LS (3х2,5) L=106-0,87%</v>
      </c>
      <c r="DT250">
        <f t="shared" si="302"/>
        <v>0.24</v>
      </c>
      <c r="DU250">
        <f t="shared" si="303"/>
        <v>1.1000000000000001</v>
      </c>
      <c r="DV250">
        <f t="shared" si="304"/>
        <v>1</v>
      </c>
      <c r="DW250">
        <f>IF(AT250="",0,_xlfn.LET(_xlpm.v,IFERROR(VLOOKUP(D250,УГО_спр,3,FALSE),IFERROR(VLOOKUP(AT250,УГО_спр,3,FALSE),IFERROR(VLOOKUP(LEFT(AT250,2),УГО_спр,3,FALSE),""))),IF(_xlpm.v="да",30,IF(ISNUMBER(_xlpm.v),_xlpm.v,0))))</f>
        <v>30</v>
      </c>
      <c r="DX250">
        <f t="shared" si="305"/>
        <v>0</v>
      </c>
      <c r="DY250">
        <f>IF(BD250="","",IF(AD250&lt;&gt;"",COUNTIFS(A$3:A250,A250,AD$3:AD250,"?*"),IF(OR(OR(AS250=1,A250&lt;&gt;A249),AL250="вручную"),"",IF(AS250=1,"",DZ249))))</f>
        <v>26</v>
      </c>
      <c r="DZ250">
        <f t="shared" si="306"/>
        <v>26</v>
      </c>
      <c r="EA250">
        <f>IF(D250="",0,MAX(IFERROR(--X250,0),IFERROR(--VLOOKUP(D250,УГО_спр,4,FALSE),IFERROR(--VLOOKUP(AT250,УГО_спр,4,FALSE),IFERROR(--VLOOKUP(LEFT(AT250,2),УГО_спр,4,FALSE),0)))))</f>
        <v>16</v>
      </c>
      <c r="EB250">
        <f>IF(D250="","",IFERROR(LOOKUP(INDEX(CHOOSE(BR250,Iдоп_1ж,Iдоп_2ж,Iдоп_3ж),MATCH(BS250,Iдоп_S,0))*BP250*BQ250,{6,10,16,20,25,32,40,50,63,80,100,125,160,200,250,315,400,500,630}),""))</f>
        <v>25</v>
      </c>
      <c r="EC250">
        <f>IF(AD250="","",SUMIFS(Линии[_Ток схемы],Линии[_гр.],DY250,Линии[Щит],A250,Линии[_в кабель выше],0))</f>
        <v>1.1000000000000001</v>
      </c>
      <c r="ED250">
        <f>IF(AD250="","",IFERROR(VLOOKUP(EC250,Автомат_номиналы,2,TRUE),""))</f>
        <v>6</v>
      </c>
      <c r="EE250">
        <f>IF(AD250="","",MAX(N(ED250),_xlfn.MAXIFS(Линии[_мин. по типу],Линии[_гр.],DY250,Линии[Щит],A250)))</f>
        <v>16</v>
      </c>
      <c r="EF250">
        <f>IF(AD250="","",_xlfn.MINIFS(Линии[_макс. автомат по кабелю],Линии[_гр.],DY250,Линии[Щит],A250))</f>
        <v>25</v>
      </c>
      <c r="EG250">
        <f>IF(AD250="","",MAX(1,_xlfn.MAXIFS(Линии[_фаз],Линии[_гр.],DY250,Линии[Щит],A250)))</f>
        <v>1</v>
      </c>
      <c r="EH250">
        <f>IF(AD250="","",IF(AND(AD250&lt;&gt;"авто",AD250&lt;&gt;"+"),IF(ISNUMBER(SEARCH("мА",AD250)),IFERROR(--TRIM(RIGHT(SUBSTITUTE(LEFT(AD250,SEARCH("мА",AD250)-1)," ",REPT(" ",9)),6)),30),0),IF(AE250="нет",0,IF(ISNUMBER(AE250),AE250,IF(AE250="да",30,_xlfn.MINIFS(Линии[_дифзащита по коду, мА],Линии[_гр.],DY250,Линии[Щит],A250,Линии[_дифзащита по коду, мА],"&gt;0"))))))</f>
        <v>30</v>
      </c>
      <c r="EI250">
        <f t="shared" si="307"/>
        <v>1</v>
      </c>
      <c r="EJ250" t="str">
        <f t="shared" si="308"/>
        <v>QFD26</v>
      </c>
      <c r="EK250" t="str">
        <f t="shared" si="309"/>
        <v>QFD26</v>
      </c>
      <c r="EL250" t="str">
        <f t="shared" si="310"/>
        <v/>
      </c>
      <c r="EM250">
        <f t="shared" si="311"/>
        <v>0</v>
      </c>
      <c r="EN250">
        <f>IF(AD250="","",IF(EM250=1,MAX(EE250,Мин_автомат_БП),EE250))</f>
        <v>16</v>
      </c>
      <c r="EO250" t="str">
        <f t="shared" si="312"/>
        <v>2P</v>
      </c>
      <c r="EP250" t="str">
        <f t="shared" si="313"/>
        <v>2P С16А 30мА</v>
      </c>
      <c r="EQ250">
        <f t="shared" si="314"/>
        <v>16</v>
      </c>
      <c r="ER250" t="str">
        <f>IF(OR(AI250="",AI250="-"),"",IFERROR(VLOOKUP(AI250,Модули_спр,2,FALSE),"R"))</f>
        <v/>
      </c>
      <c r="ES250" t="str">
        <f>IF(ER250="","",ER250&amp;"."&amp;COUNTIFS(A$3:A250,A250,ER$3:ER250,ER250))</f>
        <v/>
      </c>
      <c r="ET250" t="str">
        <f t="shared" si="315"/>
        <v/>
      </c>
      <c r="EU250" t="str">
        <f t="shared" si="316"/>
        <v/>
      </c>
      <c r="EV250" t="str">
        <f t="shared" si="317"/>
        <v/>
      </c>
      <c r="EW250" t="str">
        <f t="shared" si="318"/>
        <v/>
      </c>
      <c r="EX250">
        <f t="shared" si="319"/>
        <v>1</v>
      </c>
      <c r="EY250" t="str">
        <f>IF(AK250="нет","",IF(AK250&lt;&gt;"",AK250,IF(EX250=1,"XT"&amp;COUNTIFS(A$3:A250,A250,EX$3:EX250,1),"")))</f>
        <v/>
      </c>
      <c r="EZ250" t="str">
        <f t="shared" si="320"/>
        <v>QFD26</v>
      </c>
      <c r="FA250" t="str">
        <f t="shared" si="321"/>
        <v/>
      </c>
      <c r="FB250" t="str">
        <f t="shared" si="322"/>
        <v>ok</v>
      </c>
      <c r="FC250" t="str">
        <f>IF(OR(EV250="",ET250=""),"",IF(EV250&gt;IFERROR(VLOOKUP(EU250,Модули_спр,3,FALSE),99),"ЛИШНИЙ КАНАЛ",IF(AND(AJ250&lt;&gt;"=",COUNTIFS(Линии[_модуль гр.],ET250,Линии[Канал (итог)],EV250,Линии[Канал],"&lt;&gt;=",Линии[Щит],A250)&gt;1),"ДУБЛЬ КАНАЛА","")))</f>
        <v/>
      </c>
      <c r="FD250">
        <f t="shared" si="323"/>
        <v>16</v>
      </c>
      <c r="FE250" t="str">
        <f t="shared" si="324"/>
        <v>2P С16А 30мА</v>
      </c>
      <c r="FF250">
        <f t="shared" si="325"/>
        <v>1</v>
      </c>
      <c r="FG250">
        <f t="shared" si="326"/>
        <v>30</v>
      </c>
      <c r="FH250" t="str">
        <f t="shared" si="327"/>
        <v/>
      </c>
      <c r="FI250">
        <f t="shared" si="328"/>
        <v>10</v>
      </c>
      <c r="FJ250" t="str">
        <f t="shared" si="329"/>
        <v/>
      </c>
      <c r="FK250" t="str">
        <f>IF(AND(D250="",EZ250=""),"",_xlfn.TEXTJOIN("; ",TRUE,IF(AND(D250&lt;&gt;"",DD250=""),"нет фазы",""),IF(AND(D250&lt;&gt;"",N(DT250)=0,CN250&lt;&gt;"Нет"),"нет мощности",""),IF(AND(EY250&lt;&gt;"",COUNTIFS(Линии[Щит],A250,Линии[Клемма (итог)],EY250)&gt;1),"дубль клеммы "&amp;EY250,""),IF(AND(FB250&lt;&gt;"",FB250&lt;&gt;"ok"),FB250,""),IF(FC250&lt;&gt;"",FC250,""),IF(AND(ISNUMBER(SEARCH("(5х",DS250)),N(DV250)=1),"5 жил на 1 фазе",""),IF(AND(AT250="R",AD250&lt;&gt;"",OR(N(EH250)=0,N(EH250)&gt;30)),"розетка без дифзащиты до 30 мА",""),IFERROR(IF(AND(ISNUMBER(CD250),CD250&gt;CE250),"потери "&amp;FIXED(CD250,1)&amp;" % &gt; "&amp;CE250&amp;" %",""),""),IFERROR(IF(LEFT(FJ250,4)="мало","Iкз мало — отключение &gt; 0,4 с",""),""),IF(AND(D250&lt;&gt;"",BD250=""),"не на схеме","")))</f>
        <v/>
      </c>
      <c r="FL250">
        <f>IF(AD250="","",_xlfn.LET(_xlpm.t,IFERROR(_xlfn.XLOOKUP(EP250,Каталог!$U$4:$U$500,Каталог!$G$4:$G$500),""),_xlpm.k,SEARCH("кА",_xlpm.t),IFERROR(--TRIM(RIGHT(SUBSTITUTE(MID(_xlpm.t,MAX(1,_xlpm.k-4),_xlpm.k-MAX(1,_xlpm.k-4))," ",REPT(" ",9)),5)),"")))</f>
        <v>6</v>
      </c>
      <c r="FM250" t="str">
        <f>IF(OR(FL250="",AD250=""),"",IF(_xlfn.XLOOKUP(A250,Щиты[Щит],Щиты[Iкз max на шинах, кА],"")="","",IF(FL250&lt;_xlfn.XLOOKUP(A250,Щиты[Щит],Щиты[Iкз max на шинах, кА]),"Icu "&amp;FL250&amp;" кА &lt; Iкз max","ok")))</f>
        <v/>
      </c>
      <c r="FN250" t="str">
        <f t="shared" si="330"/>
        <v>QFD26</v>
      </c>
      <c r="FO250" t="str">
        <f t="shared" si="331"/>
        <v>QFD26|кабель ВВГнг(А)-LS (3х2,5) → Розеточная группа Первый этаж Пом. №006Aб</v>
      </c>
      <c r="FP250" t="str" cm="1">
        <f t="array" ref="FP250">IF(FO250="","",_xlfn.LET(_xlpm.nd,_xlfn.TEXTSPLIT(FO250,"|"),IF(COLUMNS(_xlpm.nd)&gt;1,A250&amp;"¦"&amp;INDEX(_xlpm.nd,1)&amp;"¦"&amp;INDEX(_xlpm.nd,2),"")))</f>
        <v>ЩР-1¦QFD26¦кабель ВВГнг(А)-LS (3х2,5) → Розеточная группа Первый этаж Пом. №006Aб</v>
      </c>
      <c r="FQ250" t="str">
        <f t="shared" si="332"/>
        <v>R.1.006Aб.1¦Розеточная группа Первый этаж Пом. №006Aб</v>
      </c>
      <c r="FR250" t="str" cm="1">
        <f t="array" ref="FR250">IF(FO250="","",_xlfn.LET(_xlpm.nd,_xlfn.TEXTSPLIT(FO250,"|"),IF(COLUMNS(_xlpm.nd)&gt;2,A250&amp;"¦"&amp;INDEX(_xlpm.nd,2)&amp;"¦"&amp;INDEX(_xlpm.nd,3),"")))</f>
        <v/>
      </c>
      <c r="FS250" t="str">
        <f t="shared" si="333"/>
        <v/>
      </c>
      <c r="FT250" t="str" cm="1">
        <f t="array" ref="FT250">IF(FO250="","",_xlfn.LET(_xlpm.nd,_xlfn.TEXTSPLIT(FO250,"|"),IF(COLUMNS(_xlpm.nd)&gt;3,A250&amp;"¦"&amp;INDEX(_xlpm.nd,3)&amp;"¦"&amp;INDEX(_xlpm.nd,4),"")))</f>
        <v/>
      </c>
      <c r="FU250" t="str">
        <f t="shared" si="334"/>
        <v/>
      </c>
      <c r="FV250" t="str" cm="1">
        <f t="array" ref="FV250">IF(FO250="","",_xlfn.LET(_xlpm.nd,_xlfn.TEXTSPLIT(FO250,"|"),IF(COLUMNS(_xlpm.nd)&gt;4,A250&amp;"¦"&amp;INDEX(_xlpm.nd,4)&amp;"¦"&amp;INDEX(_xlpm.nd,5),"")))</f>
        <v/>
      </c>
      <c r="FW250" t="str">
        <f t="shared" si="335"/>
        <v/>
      </c>
      <c r="FX250" t="str" cm="1">
        <f t="array" ref="FX250">IF(FO250="","",_xlfn.LET(_xlpm.nd,_xlfn.TEXTSPLIT(FO250,"|"),IF(COLUMNS(_xlpm.nd)&gt;5,A250&amp;"¦"&amp;INDEX(_xlpm.nd,5)&amp;"¦"&amp;INDEX(_xlpm.nd,6),"")))</f>
        <v/>
      </c>
      <c r="FY250" t="str">
        <f t="shared" si="336"/>
        <v/>
      </c>
      <c r="FZ250" t="str" cm="1">
        <f t="array" ref="FZ250">IF(FO250="","",_xlfn.LET(_xlpm.nd,_xlfn.TEXTSPLIT(FO250,"|"),IF(COLUMNS(_xlpm.nd)&gt;6,A250&amp;"¦"&amp;INDEX(_xlpm.nd,6)&amp;"¦"&amp;INDEX(_xlpm.nd,7),"")))</f>
        <v/>
      </c>
      <c r="GA250" t="str">
        <f t="shared" si="337"/>
        <v/>
      </c>
      <c r="GB250" t="str">
        <f t="shared" si="338"/>
        <v/>
      </c>
      <c r="GC250" t="str">
        <f t="shared" si="339"/>
        <v>QFD26</v>
      </c>
      <c r="GD250">
        <f t="shared" si="340"/>
        <v>1</v>
      </c>
      <c r="GE250">
        <f t="shared" si="341"/>
        <v>0</v>
      </c>
      <c r="GF250">
        <f t="shared" si="342"/>
        <v>1</v>
      </c>
      <c r="GG250" t="str">
        <f t="shared" si="343"/>
        <v/>
      </c>
      <c r="GH250" t="str">
        <f t="shared" si="344"/>
        <v/>
      </c>
      <c r="GI250" t="str">
        <f t="shared" si="345"/>
        <v/>
      </c>
      <c r="GJ250" t="str">
        <f t="shared" si="346"/>
        <v/>
      </c>
      <c r="GK250" t="str">
        <f>IF(D250="","",IFERROR(VLOOKUP(D250,УГО_спр,2,FALSE),IFERROR(VLOOKUP(AT250,УГО_спр,2,FALSE),IFERROR(VLOOKUP(LEFT(AT250,2),УГО_спр,2,FALSE),""))))</f>
        <v>Розетка</v>
      </c>
      <c r="GL250" t="str">
        <f>IF(D250="","",IF(OR(GK250="",GK250=0),"BOX",IFERROR(IF(VLOOKUP(GK250,УГО_блоки,3,FALSE)&amp;""&lt;&gt;"",VLOOKUP(GK250,УГО_блоки,3,FALSE),VLOOKUP(GK250,УГО_блоки,2,FALSE)),GK250)))</f>
        <v>SOCKET</v>
      </c>
      <c r="GM250">
        <f t="shared" si="347"/>
        <v>1</v>
      </c>
      <c r="GN250" t="str">
        <f>IF(EP250="","",IF(COUNTIF(EP$3:EP250,EP250)=1,MAX(GN$2:GN249)+1,""))</f>
        <v/>
      </c>
      <c r="GO250" t="str">
        <f>IF(AF250="","",IF(COUNTIF(AF$3:AF250,AF250)+COUNTIF(AG$2:AG249,AF250)+COUNTIF(AH$2:AH249,AF250)=1,MAX(GO$2:GQ249)+1,""))</f>
        <v/>
      </c>
      <c r="GP250" t="str">
        <f>IF(AG250="","",IF(COUNTIF(AF$3:AF250,AG250)+COUNTIF(AG$3:AG250,AG250)+COUNTIF(AH$2:AH249,AG250)=1,MAX(GO$2:GQ249,GO250)+1,""))</f>
        <v/>
      </c>
      <c r="GQ250" t="str">
        <f>IF(AH250="","",IF(COUNTIF(AF$3:AF250,AH250)+COUNTIF(AG$3:AG250,AH250)+COUNTIF(AH$3:AH250,AH250)=1,MAX(GO$2:GQ249,GO250,GP250)+1,""))</f>
        <v/>
      </c>
      <c r="GR250" t="str">
        <f t="shared" si="348"/>
        <v>3х2,5</v>
      </c>
      <c r="GS250" t="str">
        <f>IF(GR250="","",IF(COUNTIF(GR$3:GR250,GR250)=1,MAX(GS$2:GS249)+1,""))</f>
        <v/>
      </c>
      <c r="GT250" t="str">
        <f>IF(ES250="","",COUNTIF(ES$3:ES250,"?*"))</f>
        <v/>
      </c>
      <c r="GU250" t="str">
        <f>IF(OR(ES250="",EU250=""),"",IF(COUNTIFS(ES$3:ES250,"?*",EU$3:EU250,EU250)=1,MAX(GU$2:GU249)+1,""))</f>
        <v/>
      </c>
      <c r="GV250">
        <f t="shared" si="349"/>
        <v>0</v>
      </c>
      <c r="GW250">
        <f>IF(D250="","",COUNTIF(D$3:D250,"?*"))</f>
        <v>248</v>
      </c>
      <c r="GX250">
        <f>IF(EX250&lt;&gt;1,0,_xlfn.LET(_xlpm.k,MAX(IFERROR(--VLOOKUP(D250,УГО_спр,5,FALSE),0),IFERROR(--VLOOKUP(AT250,УГО_спр,5,FALSE),0),IFERROR(--VLOOKUP(LEFT(AT250,2),УГО_спр,5,FALSE),0)),IF(_xlpm.k&gt;0,_xlpm.k,IF(IFERROR(--LEFT(SUBSTITUTE(GR250,"x","х"),FIND("х",SUBSTITUTE(GR250,"x","х"))-1),3)&gt;3,Каталог!$S$9,1))))</f>
        <v>1</v>
      </c>
      <c r="GY250">
        <f t="shared" si="350"/>
        <v>0</v>
      </c>
    </row>
    <row r="251" spans="1:207" x14ac:dyDescent="0.3">
      <c r="A251" t="s">
        <v>762</v>
      </c>
      <c r="B251">
        <v>39</v>
      </c>
      <c r="C251" t="str">
        <f>IF(BD251="","",IF(BE251="вводной узел","узел ","")&amp;"л."&amp;(INT((BD251-1)/Столбцов_на_лист)+1)&amp;" / "&amp;(MOD(BD251-1,Столбцов_на_лист)+1))</f>
        <v>л.3 / 5</v>
      </c>
      <c r="D251" t="s">
        <v>1573</v>
      </c>
      <c r="E251" s="133" t="str">
        <f t="shared" si="351"/>
        <v>Розеточная группа Первый этаж Пом. №006Aб</v>
      </c>
      <c r="G251">
        <v>0.3</v>
      </c>
      <c r="H251">
        <v>5</v>
      </c>
      <c r="I251">
        <v>1</v>
      </c>
      <c r="J251">
        <v>230</v>
      </c>
      <c r="K251" t="s">
        <v>566</v>
      </c>
      <c r="O251">
        <v>2</v>
      </c>
      <c r="P251">
        <v>97</v>
      </c>
      <c r="Q251">
        <v>28</v>
      </c>
      <c r="R251">
        <v>96</v>
      </c>
      <c r="S251">
        <v>0</v>
      </c>
      <c r="U251" t="s">
        <v>11</v>
      </c>
      <c r="V251">
        <v>3</v>
      </c>
      <c r="W251">
        <v>2.5</v>
      </c>
      <c r="Z251" t="s">
        <v>565</v>
      </c>
      <c r="AA251" t="s">
        <v>818</v>
      </c>
      <c r="AD251" t="s">
        <v>517</v>
      </c>
      <c r="AK251" t="s">
        <v>488</v>
      </c>
      <c r="AR251" t="str">
        <f t="shared" si="264"/>
        <v/>
      </c>
      <c r="AS251" cm="1">
        <f t="array" ref="AS251">ROW()-ROW(Линии[#Headers])</f>
        <v>249</v>
      </c>
      <c r="AT251" t="str">
        <f t="shared" si="265"/>
        <v>R</v>
      </c>
      <c r="AU251" t="str">
        <f t="shared" si="266"/>
        <v>1.006Aб.2</v>
      </c>
      <c r="AV251" t="str">
        <f t="shared" si="267"/>
        <v>1</v>
      </c>
      <c r="AW251" t="str">
        <f t="shared" si="268"/>
        <v>006Aб.2</v>
      </c>
      <c r="AX251" t="str">
        <f t="shared" si="269"/>
        <v>006Aб</v>
      </c>
      <c r="AY251" t="str">
        <f>IF(D251="","",IF(ISERROR(SEARCH(".",D251)),IFERROR(VLOOKUP(D251,Потребители_обозначение,2,FALSE)&amp;"",""),IFERROR(IF(VLOOKUP(AT251,Потребители_обозначение,4,FALSE)=1,VLOOKUP(AT251,Потребители_обозначение,2,FALSE)&amp;" "&amp;VLOOKUP(AV251,Этаж_обозначение,2,FALSE)&amp;" Пом. №"&amp;AX251,VLOOKUP(AT251,Потребители_обозначение,2,FALSE)&amp;" Шлейф №"&amp;AV251),IFERROR(VLOOKUP(D251,Потребители_обозначение,2,FALSE),""))))</f>
        <v>Розеточная группа Первый этаж Пом. №006Aб</v>
      </c>
      <c r="AZ251" t="str">
        <f t="shared" si="270"/>
        <v>Розеточная группа Первый этаж Пом. №006Aб</v>
      </c>
      <c r="BA251" t="str">
        <f>IF(F251&lt;&gt;"",F251,IF(AND(D251&lt;&gt;"",D251&lt;&gt;A251,ISNUMBER(_xlfn.XMATCH(D251,Щиты[Щит]))),D251,""))</f>
        <v/>
      </c>
      <c r="BB251">
        <f>IFERROR(_xlfn.XMATCH(A251,Щиты[Щит]),0)</f>
        <v>10</v>
      </c>
      <c r="BC251">
        <f>IFERROR(N(_xlfn.XLOOKUP(A251,Щиты[Щит],Щиты[Мест под вводной узел])),15)</f>
        <v>8</v>
      </c>
      <c r="BD251">
        <f t="shared" si="271"/>
        <v>39</v>
      </c>
      <c r="BE251" t="str">
        <f t="shared" si="272"/>
        <v>линии</v>
      </c>
      <c r="BF251">
        <f>IF(D251="","",IF(BA251&lt;&gt;"",IFERROR(_xlfn.XLOOKUP(BA251,Щиты[Щит],Щиты[Руст, кВт]),0),N(G251)))</f>
        <v>0.3</v>
      </c>
      <c r="BG251">
        <f>IF(J251&lt;&gt;"",J251,IF(D251="","",IFERROR(IF(VLOOKUP(AT251,Потребители_обозначение,8,FALSE)=0,"",VLOOKUP(AT251,Потребители_обозначение,8,FALSE)),"")))</f>
        <v>230</v>
      </c>
      <c r="BH251">
        <f>IF(I251&lt;&gt;"",I251,IF(D251="","",IFERROR(IF(VLOOKUP(AT251,Потребители_обозначение,9,FALSE)=0,"",VLOOKUP(AT251,Потребители_обозначение,9,FALSE)),"")))</f>
        <v>1</v>
      </c>
      <c r="BI251" t="str">
        <f>IF(U251&lt;&gt;"",U251,IF(D251="","",IFERROR(IF(VLOOKUP(AT251,Потребители_обозначение,6,FALSE)=0,"",VLOOKUP(AT251,Потребители_обозначение,6,FALSE)),"")))</f>
        <v>мс</v>
      </c>
      <c r="BJ251">
        <f>IF(V251&lt;&gt;"",V251,IF(D251="","",IFERROR(IF(VLOOKUP(AT251,Потребители_обозначение,7,FALSE)=0,"",VLOOKUP(AT251,Потребители_обозначение,7,FALSE)),"")))</f>
        <v>3</v>
      </c>
      <c r="BK251">
        <f>IF(W251&lt;&gt;"",W251,IF(D251="","",IFERROR(IF(VLOOKUP(AT251,Потребители_обозначение,10,FALSE)=0,"",VLOOKUP(AT251,Потребители_обозначение,10,FALSE)),"")))</f>
        <v>2.5</v>
      </c>
      <c r="BL251">
        <f>IFERROR(VLOOKUP(AT251,Потребители_обозначение,5,FALSE),0)</f>
        <v>1</v>
      </c>
      <c r="BM251" cm="1">
        <f t="array" ref="BM251">IF(D251="","",IF(BA251&lt;&gt;"",IFERROR(_xlfn.XLOOKUP(BA251,Щиты[Щит],Щиты[cos φ]),0.95),IF(ISNUMBER(M251),M251,IFERROR(IF(BL251=2,_xlfn.IFS(BH251=3,VLOOKUP(BF251,Справочная_двигатели,8,FALSE),BH251=1,VLOOKUP(BF251,Справочная_двигатели,10,TRUE)),IF(AND(Методика="нормы 2026",CN251="Сил"),0.8,0.95)),0.95))))</f>
        <v>0.95</v>
      </c>
      <c r="BN251" cm="1">
        <f t="array" ref="BN251">IF(D251="","",IF(BA251&lt;&gt;"",IFERROR(_xlfn.XLOOKUP(BA251,Щиты[Щит],Щиты[Iр, А]),""),IFERROR(_xlfn.IFS(BH251=1,BF251/((Uн_лин/SQRT(3))*BM251),BH251=3,BF251/(SQRT(3)*Uн_лин*BM251)),"")))</f>
        <v>1.3674085322912188</v>
      </c>
      <c r="BO251">
        <f>IF(D251="","",IF(N(X251)=0,IFERROR(VLOOKUP(BN251,Автомат_номиналы,2,TRUE),""),X251))</f>
        <v>6</v>
      </c>
      <c r="BP251">
        <f t="shared" si="273"/>
        <v>1</v>
      </c>
      <c r="BQ251">
        <f>IF(ISNUMBER(Y251),Y251,К_прокл)</f>
        <v>1</v>
      </c>
      <c r="BR251">
        <f t="shared" si="274"/>
        <v>2</v>
      </c>
      <c r="BS251" cm="1">
        <f t="array" ref="BS251">IF(D251="","",IF(N(BK251)&lt;&gt;0,BK251,IFERROR(_xlfn.LET(_xlpm.need,BO251/(BP251*BQ251),_xlpm.t,CHOOSE(BR251,Iдоп_1ж,Iдоп_2ж,Iдоп_3ж),_xlpm.k,_xlfn.XMATCH(_xlpm.need,_xlpm.t,1),IF(ISNA(_xlpm.k),"Не исп",INDEX(Iдоп_S,_xlpm.k))),"Не исп")))</f>
        <v>2.5</v>
      </c>
      <c r="BT251">
        <f>IFERROR(VLOOKUP(BS251,Кабель_сопротивление,3,FALSE),"")</f>
        <v>2.2499999999999999E-2</v>
      </c>
      <c r="BU251">
        <f>IFERROR(VLOOKUP(BS251,Кабель_сопротивление,2,FALSE),"")</f>
        <v>0.1</v>
      </c>
      <c r="BV251">
        <f t="shared" si="275"/>
        <v>97</v>
      </c>
      <c r="BW251">
        <f>IF(D251="","",IFERROR(IF(VLOOKUP(AT251,Потребители_обозначение,4,FALSE)=1,VLOOKUP(AT251,Потребители_обозначение,3,FALSE)*(H251*2-1)+BV251+VLOOKUP(AV251,Этаж_обозначение,3,FALSE)+VLOOKUP(AV251,Этаж_обозначение,4,FALSE),VLOOKUP(AT251,Потребители_обозначение,3,FALSE)*(H251*2-1)+BV251),BV251))</f>
        <v>124</v>
      </c>
      <c r="BX251">
        <f t="shared" si="276"/>
        <v>96</v>
      </c>
      <c r="BY251">
        <f t="shared" si="277"/>
        <v>0</v>
      </c>
      <c r="BZ251">
        <f t="shared" si="278"/>
        <v>2</v>
      </c>
      <c r="CA251">
        <f t="shared" si="279"/>
        <v>0.31</v>
      </c>
      <c r="CB251">
        <f t="shared" si="280"/>
        <v>2.9099656886665555</v>
      </c>
      <c r="CC251">
        <f>IFERROR(ROUNDUP(CB251/((Uн_лин/SQRT(3))*1000)*100,2),"")</f>
        <v>1.27</v>
      </c>
      <c r="CD251">
        <f>IF(ISNUMBER(CC251),CC251+IFERROR(_xlfn.XLOOKUP(A251,Щиты[Щит],Щиты[ΔU до шин, %]),0),"")</f>
        <v>2.52</v>
      </c>
      <c r="CE251">
        <f>IF(D251="","",IF(IFERROR(VLOOKUP(AT251,УГО_спр,2,FALSE),"")="Светильник",3,4)+IF(Методика="нормы 2026",MIN(0.5,MAX(0,N(BW251)-100)*0.005),0))</f>
        <v>4</v>
      </c>
      <c r="CF251" t="str">
        <f>IFERROR(VLOOKUP(BI251,Кабель_обозначение,2,FALSE),"")</f>
        <v>ВВГнг(А)-LS</v>
      </c>
      <c r="CG251" t="str">
        <f>IFERROR(IF(VLOOKUP(BI251,Кабель_обозначение,3,FALSE)=1,CF251&amp;" ("&amp;BJ251&amp;"х"&amp;BS251&amp;")",CF251),"")</f>
        <v>ВВГнг(А)-LS (3х2,5)</v>
      </c>
      <c r="CH251" t="str">
        <f t="shared" si="281"/>
        <v>ВВГнг(А)-LS (3х2,5)
L=124-1,27%</v>
      </c>
      <c r="CI251">
        <f>IFERROR(2*ρкз_Cu*BW251/BS251,"")</f>
        <v>2.6089600000000002</v>
      </c>
      <c r="CJ251">
        <f t="shared" si="282"/>
        <v>0.8680000000000001</v>
      </c>
      <c r="CK251" t="str">
        <f>IFERROR(IF(OR(D251="",NOT(ISNUMBER(BS251)),N(BW251)=0),"",_xlfn.XLOOKUP(A251,Щиты[Щит],Щиты[Zпетли на шинах, Ом])+CI251),"")</f>
        <v/>
      </c>
      <c r="CL251" t="str">
        <f>IF(ISNUMBER(CK251),c_min*(Uн_лин*1000/SQRT(3))/CK251,"")</f>
        <v/>
      </c>
      <c r="CM251" t="str">
        <f>IFERROR(IF(OR(D251="",NOT(ISNUMBER(BS251))),"",1.05*(Uн_лин*1000/SQRT(3))/(_xlfn.XLOOKUP(A251,Щиты[Щит],Щиты[Zmax на шинах, Ом])+CJ251)/1000),"")</f>
        <v/>
      </c>
      <c r="CN251" t="str">
        <f>IF(D251="","",IF(BA251&lt;&gt;"","Щит",IF(K251&lt;&gt;"",K251,IF(ISNUMBER(L251),"Сил",IF(IFERROR(_xlfn.XLOOKUP(AT251,Коды_код,Коды_группа)&amp;"","")="","Быт",_xlfn.XLOOKUP(AT251,Коды_код,Коды_группа)&amp;"")))))</f>
        <v>Быт</v>
      </c>
      <c r="CO251">
        <f>IF(CN251="Щит","щит",IF(CN251="","",IF(CN251="Быт",IFERROR(_xlfn.XLOOKUP(A251,Щиты[Щит],Щиты[Кс быт]),1),IF(CN251="Сил",IF(ISNUMBER(L251),L251,IF(Методика="нормы 2026",IFERROR(_xlfn.XLOOKUP(A251,Щиты[Щит],Щиты[Кс силовых (табл. 7.5)]),1),1)),IF(OR(CN251="Пост",CN251="Отоп"),1,IF(CN251="ВНГ",0.7,0))))))</f>
        <v>0.57830000000000004</v>
      </c>
      <c r="CP251">
        <f t="shared" si="283"/>
        <v>1</v>
      </c>
      <c r="CQ251">
        <f t="shared" si="284"/>
        <v>0.3</v>
      </c>
      <c r="CR251">
        <f t="shared" si="285"/>
        <v>0.3</v>
      </c>
      <c r="CS251">
        <f t="shared" si="286"/>
        <v>0</v>
      </c>
      <c r="CT251">
        <f t="shared" si="287"/>
        <v>0</v>
      </c>
      <c r="CU251">
        <f t="shared" si="288"/>
        <v>0</v>
      </c>
      <c r="CV251">
        <f t="shared" si="289"/>
        <v>0</v>
      </c>
      <c r="CW251">
        <f t="shared" si="290"/>
        <v>0.3</v>
      </c>
      <c r="CX251">
        <f t="shared" si="291"/>
        <v>0.28499999999999998</v>
      </c>
      <c r="CY251">
        <f t="shared" si="292"/>
        <v>3</v>
      </c>
      <c r="CZ251" t="str">
        <f t="shared" si="293"/>
        <v>L3</v>
      </c>
      <c r="DA251" cm="1">
        <f t="array" ref="DA251">IFERROR(IF(BL251=2,_xlfn.IFS(BH251=3,VLOOKUP(BF251,Справочная_двигатели,3,FALSE),BH251=1,VLOOKUP(BF251,Справочная_двигатели,5,TRUE)),0),0)</f>
        <v>0</v>
      </c>
      <c r="DB251">
        <f>IFERROR(IF(BL251=3,VLOOKUP(BF251,Справочная_ЛЭД,2,TRUE),0),0)</f>
        <v>0</v>
      </c>
      <c r="DC251">
        <f t="shared" si="294"/>
        <v>0</v>
      </c>
      <c r="DD251" t="str">
        <f t="shared" si="295"/>
        <v>L2</v>
      </c>
      <c r="DE251" t="str" cm="1">
        <f t="array" ref="DE251">IF(D251="","",IFERROR(INDEX({"I особая","I","II","III"},MATCH(TRIM(AA251&amp;""),{"I особая","I","II","III"},0)),"III"))</f>
        <v>II</v>
      </c>
      <c r="DF251" t="str">
        <f>IF(D251="","",IF(TRIM(AB251&amp;"")&lt;&gt;"",IF(LOWER(TRIM(AB251&amp;""))="да","да","нет"),IF(IFERROR(_xlfn.XLOOKUP(AT251,Коды_код,Коды_пожарная),"")="да","да","нет")))</f>
        <v>нет</v>
      </c>
      <c r="DG251" t="str">
        <f t="shared" si="296"/>
        <v/>
      </c>
      <c r="DH251" t="str">
        <f t="shared" si="297"/>
        <v>основная</v>
      </c>
      <c r="DI251">
        <f t="shared" si="298"/>
        <v>1</v>
      </c>
      <c r="DJ251" t="str" cm="1">
        <f t="array" ref="DJ251">IF(D251="","",_xlfn.LET(_xlpm.t,IFERROR(_xlfn.XLOOKUP(1,(Шины[Шина]=DH251)*(((Шины[Щит]=A251)+(Шины[Щит]=""))&gt;0),Шины[Тип]),"")&amp;"",IF(_xlpm.t&lt;&gt;"",_xlpm.t,IF(ISNUMBER(SEARCH("ИБП",DH251)),"ИБП",IF(ISNUMBER(SEARCH("ДГУ",DH251)),"ДГУ","Ввод "&amp;DI251)))))</f>
        <v>Ввод 1</v>
      </c>
      <c r="DK251" t="str">
        <f t="shared" si="299"/>
        <v>Ввод 1</v>
      </c>
      <c r="DL251" t="str">
        <f>IF(D251="","",IF(OR(DJ251="ИБП",DJ251="ДГУ"),"I особая",IF(DJ251="Одиночная","III",_xlfn.XLOOKUP(A251,Щиты[Щит],Щиты[Категория шины «Ввод»],"III"))))</f>
        <v>II</v>
      </c>
      <c r="DM251">
        <f>IF(D251="",0,IFERROR(MATCH(DE251,{"III","II","I","I особая"},0),1))</f>
        <v>2</v>
      </c>
      <c r="DN251">
        <f t="shared" si="300"/>
        <v>2</v>
      </c>
      <c r="DO251" t="str">
        <f>IF(D251="","",IF(DM251&gt;IFERROR(MATCH(DL251,{"III","II","I","I особая"},0),1),"НЕ ОБЕСПЕЧЕНА","ОК"))</f>
        <v>ОК</v>
      </c>
      <c r="DP251" t="str">
        <f>IF(A251="","",_xlfn.XLOOKUP(A251,Щиты[Щит],Щиты[Путь],""))</f>
        <v>|ГРЩ-ЖД|ЩР-1|</v>
      </c>
      <c r="DQ251" t="str">
        <f>IF(D251="","",IF(Z251&lt;&gt;"",Z251,IF(IFERROR(_xlfn.XLOOKUP(AT251,Коды_код,Коды_вид)&amp;"","")="","Прочее",_xlfn.XLOOKUP(AT251,Коды_код,Коды_вид)&amp;"")))</f>
        <v>Розеточная сеть и бытовые приборы</v>
      </c>
      <c r="DR251">
        <f>IF(BD251="","",INT((BD251-1)/Столбцов_на_лист)+1)</f>
        <v>3</v>
      </c>
      <c r="DS251" t="str">
        <f t="shared" si="301"/>
        <v>ВВГнг(А)-LS (3х2,5) L=124-1,27%</v>
      </c>
      <c r="DT251">
        <f t="shared" si="302"/>
        <v>0.3</v>
      </c>
      <c r="DU251">
        <f t="shared" si="303"/>
        <v>1.37</v>
      </c>
      <c r="DV251">
        <f t="shared" si="304"/>
        <v>1</v>
      </c>
      <c r="DW251">
        <f>IF(AT251="",0,_xlfn.LET(_xlpm.v,IFERROR(VLOOKUP(D251,УГО_спр,3,FALSE),IFERROR(VLOOKUP(AT251,УГО_спр,3,FALSE),IFERROR(VLOOKUP(LEFT(AT251,2),УГО_спр,3,FALSE),""))),IF(_xlpm.v="да",30,IF(ISNUMBER(_xlpm.v),_xlpm.v,0))))</f>
        <v>30</v>
      </c>
      <c r="DX251">
        <f t="shared" si="305"/>
        <v>0</v>
      </c>
      <c r="DY251">
        <f>IF(BD251="","",IF(AD251&lt;&gt;"",COUNTIFS(A$3:A251,A251,AD$3:AD251,"?*"),IF(OR(OR(AS251=1,A251&lt;&gt;A250),AL251="вручную"),"",IF(AS251=1,"",DZ250))))</f>
        <v>27</v>
      </c>
      <c r="DZ251">
        <f t="shared" si="306"/>
        <v>27</v>
      </c>
      <c r="EA251">
        <f>IF(D251="",0,MAX(IFERROR(--X251,0),IFERROR(--VLOOKUP(D251,УГО_спр,4,FALSE),IFERROR(--VLOOKUP(AT251,УГО_спр,4,FALSE),IFERROR(--VLOOKUP(LEFT(AT251,2),УГО_спр,4,FALSE),0)))))</f>
        <v>16</v>
      </c>
      <c r="EB251">
        <f>IF(D251="","",IFERROR(LOOKUP(INDEX(CHOOSE(BR251,Iдоп_1ж,Iдоп_2ж,Iдоп_3ж),MATCH(BS251,Iдоп_S,0))*BP251*BQ251,{6,10,16,20,25,32,40,50,63,80,100,125,160,200,250,315,400,500,630}),""))</f>
        <v>25</v>
      </c>
      <c r="EC251">
        <f>IF(AD251="","",SUMIFS(Линии[_Ток схемы],Линии[_гр.],DY251,Линии[Щит],A251,Линии[_в кабель выше],0))</f>
        <v>1.37</v>
      </c>
      <c r="ED251">
        <f>IF(AD251="","",IFERROR(VLOOKUP(EC251,Автомат_номиналы,2,TRUE),""))</f>
        <v>6</v>
      </c>
      <c r="EE251">
        <f>IF(AD251="","",MAX(N(ED251),_xlfn.MAXIFS(Линии[_мин. по типу],Линии[_гр.],DY251,Линии[Щит],A251)))</f>
        <v>16</v>
      </c>
      <c r="EF251">
        <f>IF(AD251="","",_xlfn.MINIFS(Линии[_макс. автомат по кабелю],Линии[_гр.],DY251,Линии[Щит],A251))</f>
        <v>25</v>
      </c>
      <c r="EG251">
        <f>IF(AD251="","",MAX(1,_xlfn.MAXIFS(Линии[_фаз],Линии[_гр.],DY251,Линии[Щит],A251)))</f>
        <v>1</v>
      </c>
      <c r="EH251">
        <f>IF(AD251="","",IF(AND(AD251&lt;&gt;"авто",AD251&lt;&gt;"+"),IF(ISNUMBER(SEARCH("мА",AD251)),IFERROR(--TRIM(RIGHT(SUBSTITUTE(LEFT(AD251,SEARCH("мА",AD251)-1)," ",REPT(" ",9)),6)),30),0),IF(AE251="нет",0,IF(ISNUMBER(AE251),AE251,IF(AE251="да",30,_xlfn.MINIFS(Линии[_дифзащита по коду, мА],Линии[_гр.],DY251,Линии[Щит],A251,Линии[_дифзащита по коду, мА],"&gt;0"))))))</f>
        <v>30</v>
      </c>
      <c r="EI251">
        <f t="shared" si="307"/>
        <v>1</v>
      </c>
      <c r="EJ251" t="str">
        <f t="shared" si="308"/>
        <v>QFD27</v>
      </c>
      <c r="EK251" t="str">
        <f t="shared" si="309"/>
        <v>QFD27</v>
      </c>
      <c r="EL251" t="str">
        <f t="shared" si="310"/>
        <v/>
      </c>
      <c r="EM251">
        <f t="shared" si="311"/>
        <v>0</v>
      </c>
      <c r="EN251">
        <f>IF(AD251="","",IF(EM251=1,MAX(EE251,Мин_автомат_БП),EE251))</f>
        <v>16</v>
      </c>
      <c r="EO251" t="str">
        <f t="shared" si="312"/>
        <v>2P</v>
      </c>
      <c r="EP251" t="str">
        <f t="shared" si="313"/>
        <v>2P С16А 30мА</v>
      </c>
      <c r="EQ251">
        <f t="shared" si="314"/>
        <v>16</v>
      </c>
      <c r="ER251" t="str">
        <f>IF(OR(AI251="",AI251="-"),"",IFERROR(VLOOKUP(AI251,Модули_спр,2,FALSE),"R"))</f>
        <v/>
      </c>
      <c r="ES251" t="str">
        <f>IF(ER251="","",ER251&amp;"."&amp;COUNTIFS(A$3:A251,A251,ER$3:ER251,ER251))</f>
        <v/>
      </c>
      <c r="ET251" t="str">
        <f t="shared" si="315"/>
        <v/>
      </c>
      <c r="EU251" t="str">
        <f t="shared" si="316"/>
        <v/>
      </c>
      <c r="EV251" t="str">
        <f t="shared" si="317"/>
        <v/>
      </c>
      <c r="EW251" t="str">
        <f t="shared" si="318"/>
        <v/>
      </c>
      <c r="EX251">
        <f t="shared" si="319"/>
        <v>1</v>
      </c>
      <c r="EY251" t="str">
        <f>IF(AK251="нет","",IF(AK251&lt;&gt;"",AK251,IF(EX251=1,"XT"&amp;COUNTIFS(A$3:A251,A251,EX$3:EX251,1),"")))</f>
        <v/>
      </c>
      <c r="EZ251" t="str">
        <f t="shared" si="320"/>
        <v>QFD27</v>
      </c>
      <c r="FA251" t="str">
        <f t="shared" si="321"/>
        <v/>
      </c>
      <c r="FB251" t="str">
        <f t="shared" si="322"/>
        <v>ok</v>
      </c>
      <c r="FC251" t="str">
        <f>IF(OR(EV251="",ET251=""),"",IF(EV251&gt;IFERROR(VLOOKUP(EU251,Модули_спр,3,FALSE),99),"ЛИШНИЙ КАНАЛ",IF(AND(AJ251&lt;&gt;"=",COUNTIFS(Линии[_модуль гр.],ET251,Линии[Канал (итог)],EV251,Линии[Канал],"&lt;&gt;=",Линии[Щит],A251)&gt;1),"ДУБЛЬ КАНАЛА","")))</f>
        <v/>
      </c>
      <c r="FD251">
        <f t="shared" si="323"/>
        <v>16</v>
      </c>
      <c r="FE251" t="str">
        <f t="shared" si="324"/>
        <v>2P С16А 30мА</v>
      </c>
      <c r="FF251">
        <f t="shared" si="325"/>
        <v>1</v>
      </c>
      <c r="FG251">
        <f t="shared" si="326"/>
        <v>30</v>
      </c>
      <c r="FH251" t="str">
        <f t="shared" si="327"/>
        <v/>
      </c>
      <c r="FI251">
        <f t="shared" si="328"/>
        <v>10</v>
      </c>
      <c r="FJ251" t="str">
        <f t="shared" si="329"/>
        <v/>
      </c>
      <c r="FK251" t="str">
        <f>IF(AND(D251="",EZ251=""),"",_xlfn.TEXTJOIN("; ",TRUE,IF(AND(D251&lt;&gt;"",DD251=""),"нет фазы",""),IF(AND(D251&lt;&gt;"",N(DT251)=0,CN251&lt;&gt;"Нет"),"нет мощности",""),IF(AND(EY251&lt;&gt;"",COUNTIFS(Линии[Щит],A251,Линии[Клемма (итог)],EY251)&gt;1),"дубль клеммы "&amp;EY251,""),IF(AND(FB251&lt;&gt;"",FB251&lt;&gt;"ok"),FB251,""),IF(FC251&lt;&gt;"",FC251,""),IF(AND(ISNUMBER(SEARCH("(5х",DS251)),N(DV251)=1),"5 жил на 1 фазе",""),IF(AND(AT251="R",AD251&lt;&gt;"",OR(N(EH251)=0,N(EH251)&gt;30)),"розетка без дифзащиты до 30 мА",""),IFERROR(IF(AND(ISNUMBER(CD251),CD251&gt;CE251),"потери "&amp;FIXED(CD251,1)&amp;" % &gt; "&amp;CE251&amp;" %",""),""),IFERROR(IF(LEFT(FJ251,4)="мало","Iкз мало — отключение &gt; 0,4 с",""),""),IF(AND(D251&lt;&gt;"",BD251=""),"не на схеме","")))</f>
        <v/>
      </c>
      <c r="FL251">
        <f>IF(AD251="","",_xlfn.LET(_xlpm.t,IFERROR(_xlfn.XLOOKUP(EP251,Каталог!$U$4:$U$500,Каталог!$G$4:$G$500),""),_xlpm.k,SEARCH("кА",_xlpm.t),IFERROR(--TRIM(RIGHT(SUBSTITUTE(MID(_xlpm.t,MAX(1,_xlpm.k-4),_xlpm.k-MAX(1,_xlpm.k-4))," ",REPT(" ",9)),5)),"")))</f>
        <v>6</v>
      </c>
      <c r="FM251" t="str">
        <f>IF(OR(FL251="",AD251=""),"",IF(_xlfn.XLOOKUP(A251,Щиты[Щит],Щиты[Iкз max на шинах, кА],"")="","",IF(FL251&lt;_xlfn.XLOOKUP(A251,Щиты[Щит],Щиты[Iкз max на шинах, кА]),"Icu "&amp;FL251&amp;" кА &lt; Iкз max","ok")))</f>
        <v/>
      </c>
      <c r="FN251" t="str">
        <f t="shared" si="330"/>
        <v>QFD27</v>
      </c>
      <c r="FO251" t="str">
        <f t="shared" si="331"/>
        <v>QFD27|кабель ВВГнг(А)-LS (3х2,5) → Розеточная группа Первый этаж Пом. №006Aб</v>
      </c>
      <c r="FP251" t="str" cm="1">
        <f t="array" ref="FP251">IF(FO251="","",_xlfn.LET(_xlpm.nd,_xlfn.TEXTSPLIT(FO251,"|"),IF(COLUMNS(_xlpm.nd)&gt;1,A251&amp;"¦"&amp;INDEX(_xlpm.nd,1)&amp;"¦"&amp;INDEX(_xlpm.nd,2),"")))</f>
        <v>ЩР-1¦QFD27¦кабель ВВГнг(А)-LS (3х2,5) → Розеточная группа Первый этаж Пом. №006Aб</v>
      </c>
      <c r="FQ251" t="str">
        <f t="shared" si="332"/>
        <v>R.1.006Aб.2¦Розеточная группа Первый этаж Пом. №006Aб</v>
      </c>
      <c r="FR251" t="str" cm="1">
        <f t="array" ref="FR251">IF(FO251="","",_xlfn.LET(_xlpm.nd,_xlfn.TEXTSPLIT(FO251,"|"),IF(COLUMNS(_xlpm.nd)&gt;2,A251&amp;"¦"&amp;INDEX(_xlpm.nd,2)&amp;"¦"&amp;INDEX(_xlpm.nd,3),"")))</f>
        <v/>
      </c>
      <c r="FS251" t="str">
        <f t="shared" si="333"/>
        <v/>
      </c>
      <c r="FT251" t="str" cm="1">
        <f t="array" ref="FT251">IF(FO251="","",_xlfn.LET(_xlpm.nd,_xlfn.TEXTSPLIT(FO251,"|"),IF(COLUMNS(_xlpm.nd)&gt;3,A251&amp;"¦"&amp;INDEX(_xlpm.nd,3)&amp;"¦"&amp;INDEX(_xlpm.nd,4),"")))</f>
        <v/>
      </c>
      <c r="FU251" t="str">
        <f t="shared" si="334"/>
        <v/>
      </c>
      <c r="FV251" t="str" cm="1">
        <f t="array" ref="FV251">IF(FO251="","",_xlfn.LET(_xlpm.nd,_xlfn.TEXTSPLIT(FO251,"|"),IF(COLUMNS(_xlpm.nd)&gt;4,A251&amp;"¦"&amp;INDEX(_xlpm.nd,4)&amp;"¦"&amp;INDEX(_xlpm.nd,5),"")))</f>
        <v/>
      </c>
      <c r="FW251" t="str">
        <f t="shared" si="335"/>
        <v/>
      </c>
      <c r="FX251" t="str" cm="1">
        <f t="array" ref="FX251">IF(FO251="","",_xlfn.LET(_xlpm.nd,_xlfn.TEXTSPLIT(FO251,"|"),IF(COLUMNS(_xlpm.nd)&gt;5,A251&amp;"¦"&amp;INDEX(_xlpm.nd,5)&amp;"¦"&amp;INDEX(_xlpm.nd,6),"")))</f>
        <v/>
      </c>
      <c r="FY251" t="str">
        <f t="shared" si="336"/>
        <v/>
      </c>
      <c r="FZ251" t="str" cm="1">
        <f t="array" ref="FZ251">IF(FO251="","",_xlfn.LET(_xlpm.nd,_xlfn.TEXTSPLIT(FO251,"|"),IF(COLUMNS(_xlpm.nd)&gt;6,A251&amp;"¦"&amp;INDEX(_xlpm.nd,6)&amp;"¦"&amp;INDEX(_xlpm.nd,7),"")))</f>
        <v/>
      </c>
      <c r="GA251" t="str">
        <f t="shared" si="337"/>
        <v/>
      </c>
      <c r="GB251" t="str">
        <f t="shared" si="338"/>
        <v/>
      </c>
      <c r="GC251" t="str">
        <f t="shared" si="339"/>
        <v>QFD27</v>
      </c>
      <c r="GD251">
        <f t="shared" si="340"/>
        <v>1</v>
      </c>
      <c r="GE251">
        <f t="shared" si="341"/>
        <v>0</v>
      </c>
      <c r="GF251">
        <f t="shared" si="342"/>
        <v>1</v>
      </c>
      <c r="GG251" t="str">
        <f t="shared" si="343"/>
        <v/>
      </c>
      <c r="GH251" t="str">
        <f t="shared" si="344"/>
        <v/>
      </c>
      <c r="GI251" t="str">
        <f t="shared" si="345"/>
        <v/>
      </c>
      <c r="GJ251" t="str">
        <f t="shared" si="346"/>
        <v/>
      </c>
      <c r="GK251" t="str">
        <f>IF(D251="","",IFERROR(VLOOKUP(D251,УГО_спр,2,FALSE),IFERROR(VLOOKUP(AT251,УГО_спр,2,FALSE),IFERROR(VLOOKUP(LEFT(AT251,2),УГО_спр,2,FALSE),""))))</f>
        <v>Розетка</v>
      </c>
      <c r="GL251" t="str">
        <f>IF(D251="","",IF(OR(GK251="",GK251=0),"BOX",IFERROR(IF(VLOOKUP(GK251,УГО_блоки,3,FALSE)&amp;""&lt;&gt;"",VLOOKUP(GK251,УГО_блоки,3,FALSE),VLOOKUP(GK251,УГО_блоки,2,FALSE)),GK251)))</f>
        <v>SOCKET</v>
      </c>
      <c r="GM251">
        <f t="shared" si="347"/>
        <v>1</v>
      </c>
      <c r="GN251" t="str">
        <f>IF(EP251="","",IF(COUNTIF(EP$3:EP251,EP251)=1,MAX(GN$2:GN250)+1,""))</f>
        <v/>
      </c>
      <c r="GO251" t="str">
        <f>IF(AF251="","",IF(COUNTIF(AF$3:AF251,AF251)+COUNTIF(AG$2:AG250,AF251)+COUNTIF(AH$2:AH250,AF251)=1,MAX(GO$2:GQ250)+1,""))</f>
        <v/>
      </c>
      <c r="GP251" t="str">
        <f>IF(AG251="","",IF(COUNTIF(AF$3:AF251,AG251)+COUNTIF(AG$3:AG251,AG251)+COUNTIF(AH$2:AH250,AG251)=1,MAX(GO$2:GQ250,GO251)+1,""))</f>
        <v/>
      </c>
      <c r="GQ251" t="str">
        <f>IF(AH251="","",IF(COUNTIF(AF$3:AF251,AH251)+COUNTIF(AG$3:AG251,AH251)+COUNTIF(AH$3:AH251,AH251)=1,MAX(GO$2:GQ250,GO251,GP251)+1,""))</f>
        <v/>
      </c>
      <c r="GR251" t="str">
        <f t="shared" si="348"/>
        <v>3х2,5</v>
      </c>
      <c r="GS251" t="str">
        <f>IF(GR251="","",IF(COUNTIF(GR$3:GR251,GR251)=1,MAX(GS$2:GS250)+1,""))</f>
        <v/>
      </c>
      <c r="GT251" t="str">
        <f>IF(ES251="","",COUNTIF(ES$3:ES251,"?*"))</f>
        <v/>
      </c>
      <c r="GU251" t="str">
        <f>IF(OR(ES251="",EU251=""),"",IF(COUNTIFS(ES$3:ES251,"?*",EU$3:EU251,EU251)=1,MAX(GU$2:GU250)+1,""))</f>
        <v/>
      </c>
      <c r="GV251">
        <f t="shared" si="349"/>
        <v>0</v>
      </c>
      <c r="GW251">
        <f>IF(D251="","",COUNTIF(D$3:D251,"?*"))</f>
        <v>249</v>
      </c>
      <c r="GX251">
        <f>IF(EX251&lt;&gt;1,0,_xlfn.LET(_xlpm.k,MAX(IFERROR(--VLOOKUP(D251,УГО_спр,5,FALSE),0),IFERROR(--VLOOKUP(AT251,УГО_спр,5,FALSE),0),IFERROR(--VLOOKUP(LEFT(AT251,2),УГО_спр,5,FALSE),0)),IF(_xlpm.k&gt;0,_xlpm.k,IF(IFERROR(--LEFT(SUBSTITUTE(GR251,"x","х"),FIND("х",SUBSTITUTE(GR251,"x","х"))-1),3)&gt;3,Каталог!$S$9,1))))</f>
        <v>1</v>
      </c>
      <c r="GY251">
        <f t="shared" si="350"/>
        <v>0</v>
      </c>
    </row>
    <row r="252" spans="1:207" x14ac:dyDescent="0.3">
      <c r="A252" t="s">
        <v>762</v>
      </c>
      <c r="B252">
        <v>40</v>
      </c>
      <c r="C252" t="str">
        <f>IF(BD252="","",IF(BE252="вводной узел","узел ","")&amp;"л."&amp;(INT((BD252-1)/Столбцов_на_лист)+1)&amp;" / "&amp;(MOD(BD252-1,Столбцов_на_лист)+1))</f>
        <v>л.3 / 6</v>
      </c>
      <c r="D252" t="s">
        <v>1574</v>
      </c>
      <c r="E252" s="133" t="str">
        <f t="shared" si="351"/>
        <v>Розеточная группа Первый этаж Пом. №007A</v>
      </c>
      <c r="G252">
        <v>0.24</v>
      </c>
      <c r="H252">
        <v>3</v>
      </c>
      <c r="I252">
        <v>1</v>
      </c>
      <c r="J252">
        <v>230</v>
      </c>
      <c r="K252" t="s">
        <v>566</v>
      </c>
      <c r="O252">
        <v>2</v>
      </c>
      <c r="P252">
        <v>30</v>
      </c>
      <c r="Q252">
        <v>7</v>
      </c>
      <c r="R252">
        <v>38</v>
      </c>
      <c r="S252">
        <v>0</v>
      </c>
      <c r="U252" t="s">
        <v>11</v>
      </c>
      <c r="V252">
        <v>3</v>
      </c>
      <c r="W252">
        <v>2.5</v>
      </c>
      <c r="Z252" t="s">
        <v>565</v>
      </c>
      <c r="AA252" t="s">
        <v>818</v>
      </c>
      <c r="AD252" t="s">
        <v>517</v>
      </c>
      <c r="AK252" t="s">
        <v>488</v>
      </c>
      <c r="AR252" t="str">
        <f t="shared" si="264"/>
        <v/>
      </c>
      <c r="AS252" cm="1">
        <f t="array" ref="AS252">ROW()-ROW(Линии[#Headers])</f>
        <v>250</v>
      </c>
      <c r="AT252" t="str">
        <f t="shared" si="265"/>
        <v>R</v>
      </c>
      <c r="AU252" t="str">
        <f t="shared" si="266"/>
        <v>1.007A.1</v>
      </c>
      <c r="AV252" t="str">
        <f t="shared" si="267"/>
        <v>1</v>
      </c>
      <c r="AW252" t="str">
        <f t="shared" si="268"/>
        <v>007A.1</v>
      </c>
      <c r="AX252" t="str">
        <f t="shared" si="269"/>
        <v>007A</v>
      </c>
      <c r="AY252" t="str">
        <f>IF(D252="","",IF(ISERROR(SEARCH(".",D252)),IFERROR(VLOOKUP(D252,Потребители_обозначение,2,FALSE)&amp;"",""),IFERROR(IF(VLOOKUP(AT252,Потребители_обозначение,4,FALSE)=1,VLOOKUP(AT252,Потребители_обозначение,2,FALSE)&amp;" "&amp;VLOOKUP(AV252,Этаж_обозначение,2,FALSE)&amp;" Пом. №"&amp;AX252,VLOOKUP(AT252,Потребители_обозначение,2,FALSE)&amp;" Шлейф №"&amp;AV252),IFERROR(VLOOKUP(D252,Потребители_обозначение,2,FALSE),""))))</f>
        <v>Розеточная группа Первый этаж Пом. №007A</v>
      </c>
      <c r="AZ252" t="str">
        <f t="shared" si="270"/>
        <v>Розеточная группа Первый этаж Пом. №007A</v>
      </c>
      <c r="BA252" t="str">
        <f>IF(F252&lt;&gt;"",F252,IF(AND(D252&lt;&gt;"",D252&lt;&gt;A252,ISNUMBER(_xlfn.XMATCH(D252,Щиты[Щит]))),D252,""))</f>
        <v/>
      </c>
      <c r="BB252">
        <f>IFERROR(_xlfn.XMATCH(A252,Щиты[Щит]),0)</f>
        <v>10</v>
      </c>
      <c r="BC252">
        <f>IFERROR(N(_xlfn.XLOOKUP(A252,Щиты[Щит],Щиты[Мест под вводной узел])),15)</f>
        <v>8</v>
      </c>
      <c r="BD252">
        <f t="shared" si="271"/>
        <v>40</v>
      </c>
      <c r="BE252" t="str">
        <f t="shared" si="272"/>
        <v>линии</v>
      </c>
      <c r="BF252">
        <f>IF(D252="","",IF(BA252&lt;&gt;"",IFERROR(_xlfn.XLOOKUP(BA252,Щиты[Щит],Щиты[Руст, кВт]),0),N(G252)))</f>
        <v>0.24</v>
      </c>
      <c r="BG252">
        <f>IF(J252&lt;&gt;"",J252,IF(D252="","",IFERROR(IF(VLOOKUP(AT252,Потребители_обозначение,8,FALSE)=0,"",VLOOKUP(AT252,Потребители_обозначение,8,FALSE)),"")))</f>
        <v>230</v>
      </c>
      <c r="BH252">
        <f>IF(I252&lt;&gt;"",I252,IF(D252="","",IFERROR(IF(VLOOKUP(AT252,Потребители_обозначение,9,FALSE)=0,"",VLOOKUP(AT252,Потребители_обозначение,9,FALSE)),"")))</f>
        <v>1</v>
      </c>
      <c r="BI252" t="str">
        <f>IF(U252&lt;&gt;"",U252,IF(D252="","",IFERROR(IF(VLOOKUP(AT252,Потребители_обозначение,6,FALSE)=0,"",VLOOKUP(AT252,Потребители_обозначение,6,FALSE)),"")))</f>
        <v>мс</v>
      </c>
      <c r="BJ252">
        <f>IF(V252&lt;&gt;"",V252,IF(D252="","",IFERROR(IF(VLOOKUP(AT252,Потребители_обозначение,7,FALSE)=0,"",VLOOKUP(AT252,Потребители_обозначение,7,FALSE)),"")))</f>
        <v>3</v>
      </c>
      <c r="BK252">
        <f>IF(W252&lt;&gt;"",W252,IF(D252="","",IFERROR(IF(VLOOKUP(AT252,Потребители_обозначение,10,FALSE)=0,"",VLOOKUP(AT252,Потребители_обозначение,10,FALSE)),"")))</f>
        <v>2.5</v>
      </c>
      <c r="BL252">
        <f>IFERROR(VLOOKUP(AT252,Потребители_обозначение,5,FALSE),0)</f>
        <v>1</v>
      </c>
      <c r="BM252" cm="1">
        <f t="array" ref="BM252">IF(D252="","",IF(BA252&lt;&gt;"",IFERROR(_xlfn.XLOOKUP(BA252,Щиты[Щит],Щиты[cos φ]),0.95),IF(ISNUMBER(M252),M252,IFERROR(IF(BL252=2,_xlfn.IFS(BH252=3,VLOOKUP(BF252,Справочная_двигатели,8,FALSE),BH252=1,VLOOKUP(BF252,Справочная_двигатели,10,TRUE)),IF(AND(Методика="нормы 2026",CN252="Сил"),0.8,0.95)),0.95))))</f>
        <v>0.95</v>
      </c>
      <c r="BN252" cm="1">
        <f t="array" ref="BN252">IF(D252="","",IF(BA252&lt;&gt;"",IFERROR(_xlfn.XLOOKUP(BA252,Щиты[Щит],Щиты[Iр, А]),""),IFERROR(_xlfn.IFS(BH252=1,BF252/((Uн_лин/SQRT(3))*BM252),BH252=3,BF252/(SQRT(3)*Uн_лин*BM252)),"")))</f>
        <v>1.0939268258329751</v>
      </c>
      <c r="BO252">
        <f>IF(D252="","",IF(N(X252)=0,IFERROR(VLOOKUP(BN252,Автомат_номиналы,2,TRUE),""),X252))</f>
        <v>6</v>
      </c>
      <c r="BP252">
        <f t="shared" si="273"/>
        <v>1</v>
      </c>
      <c r="BQ252">
        <f>IF(ISNUMBER(Y252),Y252,К_прокл)</f>
        <v>1</v>
      </c>
      <c r="BR252">
        <f t="shared" si="274"/>
        <v>2</v>
      </c>
      <c r="BS252" cm="1">
        <f t="array" ref="BS252">IF(D252="","",IF(N(BK252)&lt;&gt;0,BK252,IFERROR(_xlfn.LET(_xlpm.need,BO252/(BP252*BQ252),_xlpm.t,CHOOSE(BR252,Iдоп_1ж,Iдоп_2ж,Iдоп_3ж),_xlpm.k,_xlfn.XMATCH(_xlpm.need,_xlpm.t,1),IF(ISNA(_xlpm.k),"Не исп",INDEX(Iдоп_S,_xlpm.k))),"Не исп")))</f>
        <v>2.5</v>
      </c>
      <c r="BT252">
        <f>IFERROR(VLOOKUP(BS252,Кабель_сопротивление,3,FALSE),"")</f>
        <v>2.2499999999999999E-2</v>
      </c>
      <c r="BU252">
        <f>IFERROR(VLOOKUP(BS252,Кабель_сопротивление,2,FALSE),"")</f>
        <v>0.1</v>
      </c>
      <c r="BV252">
        <f t="shared" si="275"/>
        <v>30</v>
      </c>
      <c r="BW252">
        <f>IF(D252="","",IFERROR(IF(VLOOKUP(AT252,Потребители_обозначение,4,FALSE)=1,VLOOKUP(AT252,Потребители_обозначение,3,FALSE)*(H252*2-1)+BV252+VLOOKUP(AV252,Этаж_обозначение,3,FALSE)+VLOOKUP(AV252,Этаж_обозначение,4,FALSE),VLOOKUP(AT252,Потребители_обозначение,3,FALSE)*(H252*2-1)+BV252),BV252))</f>
        <v>45</v>
      </c>
      <c r="BX252">
        <f t="shared" si="276"/>
        <v>38</v>
      </c>
      <c r="BY252">
        <f t="shared" si="277"/>
        <v>0</v>
      </c>
      <c r="BZ252">
        <f t="shared" si="278"/>
        <v>2</v>
      </c>
      <c r="CA252">
        <f t="shared" si="279"/>
        <v>0.31</v>
      </c>
      <c r="CB252">
        <f t="shared" si="280"/>
        <v>0.84482874832254828</v>
      </c>
      <c r="CC252">
        <f>IFERROR(ROUNDUP(CB252/((Uн_лин/SQRT(3))*1000)*100,2),"")</f>
        <v>0.37</v>
      </c>
      <c r="CD252">
        <f>IF(ISNUMBER(CC252),CC252+IFERROR(_xlfn.XLOOKUP(A252,Щиты[Щит],Щиты[ΔU до шин, %]),0),"")</f>
        <v>1.62</v>
      </c>
      <c r="CE252">
        <f>IF(D252="","",IF(IFERROR(VLOOKUP(AT252,УГО_спр,2,FALSE),"")="Светильник",3,4)+IF(Методика="нормы 2026",MIN(0.5,MAX(0,N(BW252)-100)*0.005),0))</f>
        <v>4</v>
      </c>
      <c r="CF252" t="str">
        <f>IFERROR(VLOOKUP(BI252,Кабель_обозначение,2,FALSE),"")</f>
        <v>ВВГнг(А)-LS</v>
      </c>
      <c r="CG252" t="str">
        <f>IFERROR(IF(VLOOKUP(BI252,Кабель_обозначение,3,FALSE)=1,CF252&amp;" ("&amp;BJ252&amp;"х"&amp;BS252&amp;")",CF252),"")</f>
        <v>ВВГнг(А)-LS (3х2,5)</v>
      </c>
      <c r="CH252" t="str">
        <f t="shared" si="281"/>
        <v>ВВГнг(А)-LS (3х2,5)
L=45-0,37%</v>
      </c>
      <c r="CI252">
        <f>IFERROR(2*ρкз_Cu*BW252/BS252,"")</f>
        <v>0.94679999999999997</v>
      </c>
      <c r="CJ252">
        <f t="shared" si="282"/>
        <v>0.31500000000000006</v>
      </c>
      <c r="CK252" t="str">
        <f>IFERROR(IF(OR(D252="",NOT(ISNUMBER(BS252)),N(BW252)=0),"",_xlfn.XLOOKUP(A252,Щиты[Щит],Щиты[Zпетли на шинах, Ом])+CI252),"")</f>
        <v/>
      </c>
      <c r="CL252" t="str">
        <f>IF(ISNUMBER(CK252),c_min*(Uн_лин*1000/SQRT(3))/CK252,"")</f>
        <v/>
      </c>
      <c r="CM252" t="str">
        <f>IFERROR(IF(OR(D252="",NOT(ISNUMBER(BS252))),"",1.05*(Uн_лин*1000/SQRT(3))/(_xlfn.XLOOKUP(A252,Щиты[Щит],Щиты[Zmax на шинах, Ом])+CJ252)/1000),"")</f>
        <v/>
      </c>
      <c r="CN252" t="str">
        <f>IF(D252="","",IF(BA252&lt;&gt;"","Щит",IF(K252&lt;&gt;"",K252,IF(ISNUMBER(L252),"Сил",IF(IFERROR(_xlfn.XLOOKUP(AT252,Коды_код,Коды_группа)&amp;"","")="","Быт",_xlfn.XLOOKUP(AT252,Коды_код,Коды_группа)&amp;"")))))</f>
        <v>Быт</v>
      </c>
      <c r="CO252">
        <f>IF(CN252="Щит","щит",IF(CN252="","",IF(CN252="Быт",IFERROR(_xlfn.XLOOKUP(A252,Щиты[Щит],Щиты[Кс быт]),1),IF(CN252="Сил",IF(ISNUMBER(L252),L252,IF(Методика="нормы 2026",IFERROR(_xlfn.XLOOKUP(A252,Щиты[Щит],Щиты[Кс силовых (табл. 7.5)]),1),1)),IF(OR(CN252="Пост",CN252="Отоп"),1,IF(CN252="ВНГ",0.7,0))))))</f>
        <v>0.57830000000000004</v>
      </c>
      <c r="CP252">
        <f t="shared" si="283"/>
        <v>1</v>
      </c>
      <c r="CQ252">
        <f t="shared" si="284"/>
        <v>0.24</v>
      </c>
      <c r="CR252">
        <f t="shared" si="285"/>
        <v>0.24</v>
      </c>
      <c r="CS252">
        <f t="shared" si="286"/>
        <v>0</v>
      </c>
      <c r="CT252">
        <f t="shared" si="287"/>
        <v>0</v>
      </c>
      <c r="CU252">
        <f t="shared" si="288"/>
        <v>0</v>
      </c>
      <c r="CV252">
        <f t="shared" si="289"/>
        <v>0</v>
      </c>
      <c r="CW252">
        <f t="shared" si="290"/>
        <v>0.24</v>
      </c>
      <c r="CX252">
        <f t="shared" si="291"/>
        <v>0.22799999999999998</v>
      </c>
      <c r="CY252">
        <f t="shared" si="292"/>
        <v>1</v>
      </c>
      <c r="CZ252" t="str">
        <f t="shared" si="293"/>
        <v>L1</v>
      </c>
      <c r="DA252" cm="1">
        <f t="array" ref="DA252">IFERROR(IF(BL252=2,_xlfn.IFS(BH252=3,VLOOKUP(BF252,Справочная_двигатели,3,FALSE),BH252=1,VLOOKUP(BF252,Справочная_двигатели,5,TRUE)),0),0)</f>
        <v>0</v>
      </c>
      <c r="DB252">
        <f>IFERROR(IF(BL252=3,VLOOKUP(BF252,Справочная_ЛЭД,2,TRUE),0),0)</f>
        <v>0</v>
      </c>
      <c r="DC252">
        <f t="shared" si="294"/>
        <v>0</v>
      </c>
      <c r="DD252" t="str">
        <f t="shared" si="295"/>
        <v>L2</v>
      </c>
      <c r="DE252" t="str" cm="1">
        <f t="array" ref="DE252">IF(D252="","",IFERROR(INDEX({"I особая","I","II","III"},MATCH(TRIM(AA252&amp;""),{"I особая","I","II","III"},0)),"III"))</f>
        <v>II</v>
      </c>
      <c r="DF252" t="str">
        <f>IF(D252="","",IF(TRIM(AB252&amp;"")&lt;&gt;"",IF(LOWER(TRIM(AB252&amp;""))="да","да","нет"),IF(IFERROR(_xlfn.XLOOKUP(AT252,Коды_код,Коды_пожарная),"")="да","да","нет")))</f>
        <v>нет</v>
      </c>
      <c r="DG252" t="str">
        <f t="shared" si="296"/>
        <v/>
      </c>
      <c r="DH252" t="str">
        <f t="shared" si="297"/>
        <v>основная</v>
      </c>
      <c r="DI252">
        <f t="shared" si="298"/>
        <v>1</v>
      </c>
      <c r="DJ252" t="str" cm="1">
        <f t="array" ref="DJ252">IF(D252="","",_xlfn.LET(_xlpm.t,IFERROR(_xlfn.XLOOKUP(1,(Шины[Шина]=DH252)*(((Шины[Щит]=A252)+(Шины[Щит]=""))&gt;0),Шины[Тип]),"")&amp;"",IF(_xlpm.t&lt;&gt;"",_xlpm.t,IF(ISNUMBER(SEARCH("ИБП",DH252)),"ИБП",IF(ISNUMBER(SEARCH("ДГУ",DH252)),"ДГУ","Ввод "&amp;DI252)))))</f>
        <v>Ввод 1</v>
      </c>
      <c r="DK252" t="str">
        <f t="shared" si="299"/>
        <v>Ввод 1</v>
      </c>
      <c r="DL252" t="str">
        <f>IF(D252="","",IF(OR(DJ252="ИБП",DJ252="ДГУ"),"I особая",IF(DJ252="Одиночная","III",_xlfn.XLOOKUP(A252,Щиты[Щит],Щиты[Категория шины «Ввод»],"III"))))</f>
        <v>II</v>
      </c>
      <c r="DM252">
        <f>IF(D252="",0,IFERROR(MATCH(DE252,{"III","II","I","I особая"},0),1))</f>
        <v>2</v>
      </c>
      <c r="DN252">
        <f t="shared" si="300"/>
        <v>2</v>
      </c>
      <c r="DO252" t="str">
        <f>IF(D252="","",IF(DM252&gt;IFERROR(MATCH(DL252,{"III","II","I","I особая"},0),1),"НЕ ОБЕСПЕЧЕНА","ОК"))</f>
        <v>ОК</v>
      </c>
      <c r="DP252" t="str">
        <f>IF(A252="","",_xlfn.XLOOKUP(A252,Щиты[Щит],Щиты[Путь],""))</f>
        <v>|ГРЩ-ЖД|ЩР-1|</v>
      </c>
      <c r="DQ252" t="str">
        <f>IF(D252="","",IF(Z252&lt;&gt;"",Z252,IF(IFERROR(_xlfn.XLOOKUP(AT252,Коды_код,Коды_вид)&amp;"","")="","Прочее",_xlfn.XLOOKUP(AT252,Коды_код,Коды_вид)&amp;"")))</f>
        <v>Розеточная сеть и бытовые приборы</v>
      </c>
      <c r="DR252">
        <f>IF(BD252="","",INT((BD252-1)/Столбцов_на_лист)+1)</f>
        <v>3</v>
      </c>
      <c r="DS252" t="str">
        <f t="shared" si="301"/>
        <v>ВВГнг(А)-LS (3х2,5) L=45-0,37%</v>
      </c>
      <c r="DT252">
        <f t="shared" si="302"/>
        <v>0.24</v>
      </c>
      <c r="DU252">
        <f t="shared" si="303"/>
        <v>1.1000000000000001</v>
      </c>
      <c r="DV252">
        <f t="shared" si="304"/>
        <v>1</v>
      </c>
      <c r="DW252">
        <f>IF(AT252="",0,_xlfn.LET(_xlpm.v,IFERROR(VLOOKUP(D252,УГО_спр,3,FALSE),IFERROR(VLOOKUP(AT252,УГО_спр,3,FALSE),IFERROR(VLOOKUP(LEFT(AT252,2),УГО_спр,3,FALSE),""))),IF(_xlpm.v="да",30,IF(ISNUMBER(_xlpm.v),_xlpm.v,0))))</f>
        <v>30</v>
      </c>
      <c r="DX252">
        <f t="shared" si="305"/>
        <v>0</v>
      </c>
      <c r="DY252">
        <f>IF(BD252="","",IF(AD252&lt;&gt;"",COUNTIFS(A$3:A252,A252,AD$3:AD252,"?*"),IF(OR(OR(AS252=1,A252&lt;&gt;A251),AL252="вручную"),"",IF(AS252=1,"",DZ251))))</f>
        <v>28</v>
      </c>
      <c r="DZ252">
        <f t="shared" si="306"/>
        <v>28</v>
      </c>
      <c r="EA252">
        <f>IF(D252="",0,MAX(IFERROR(--X252,0),IFERROR(--VLOOKUP(D252,УГО_спр,4,FALSE),IFERROR(--VLOOKUP(AT252,УГО_спр,4,FALSE),IFERROR(--VLOOKUP(LEFT(AT252,2),УГО_спр,4,FALSE),0)))))</f>
        <v>16</v>
      </c>
      <c r="EB252">
        <f>IF(D252="","",IFERROR(LOOKUP(INDEX(CHOOSE(BR252,Iдоп_1ж,Iдоп_2ж,Iдоп_3ж),MATCH(BS252,Iдоп_S,0))*BP252*BQ252,{6,10,16,20,25,32,40,50,63,80,100,125,160,200,250,315,400,500,630}),""))</f>
        <v>25</v>
      </c>
      <c r="EC252">
        <f>IF(AD252="","",SUMIFS(Линии[_Ток схемы],Линии[_гр.],DY252,Линии[Щит],A252,Линии[_в кабель выше],0))</f>
        <v>1.1000000000000001</v>
      </c>
      <c r="ED252">
        <f>IF(AD252="","",IFERROR(VLOOKUP(EC252,Автомат_номиналы,2,TRUE),""))</f>
        <v>6</v>
      </c>
      <c r="EE252">
        <f>IF(AD252="","",MAX(N(ED252),_xlfn.MAXIFS(Линии[_мин. по типу],Линии[_гр.],DY252,Линии[Щит],A252)))</f>
        <v>16</v>
      </c>
      <c r="EF252">
        <f>IF(AD252="","",_xlfn.MINIFS(Линии[_макс. автомат по кабелю],Линии[_гр.],DY252,Линии[Щит],A252))</f>
        <v>25</v>
      </c>
      <c r="EG252">
        <f>IF(AD252="","",MAX(1,_xlfn.MAXIFS(Линии[_фаз],Линии[_гр.],DY252,Линии[Щит],A252)))</f>
        <v>1</v>
      </c>
      <c r="EH252">
        <f>IF(AD252="","",IF(AND(AD252&lt;&gt;"авто",AD252&lt;&gt;"+"),IF(ISNUMBER(SEARCH("мА",AD252)),IFERROR(--TRIM(RIGHT(SUBSTITUTE(LEFT(AD252,SEARCH("мА",AD252)-1)," ",REPT(" ",9)),6)),30),0),IF(AE252="нет",0,IF(ISNUMBER(AE252),AE252,IF(AE252="да",30,_xlfn.MINIFS(Линии[_дифзащита по коду, мА],Линии[_гр.],DY252,Линии[Щит],A252,Линии[_дифзащита по коду, мА],"&gt;0"))))))</f>
        <v>30</v>
      </c>
      <c r="EI252">
        <f t="shared" si="307"/>
        <v>1</v>
      </c>
      <c r="EJ252" t="str">
        <f t="shared" si="308"/>
        <v>QFD28</v>
      </c>
      <c r="EK252" t="str">
        <f t="shared" si="309"/>
        <v>QFD28</v>
      </c>
      <c r="EL252" t="str">
        <f t="shared" si="310"/>
        <v/>
      </c>
      <c r="EM252">
        <f t="shared" si="311"/>
        <v>0</v>
      </c>
      <c r="EN252">
        <f>IF(AD252="","",IF(EM252=1,MAX(EE252,Мин_автомат_БП),EE252))</f>
        <v>16</v>
      </c>
      <c r="EO252" t="str">
        <f t="shared" si="312"/>
        <v>2P</v>
      </c>
      <c r="EP252" t="str">
        <f t="shared" si="313"/>
        <v>2P С16А 30мА</v>
      </c>
      <c r="EQ252">
        <f t="shared" si="314"/>
        <v>16</v>
      </c>
      <c r="ER252" t="str">
        <f>IF(OR(AI252="",AI252="-"),"",IFERROR(VLOOKUP(AI252,Модули_спр,2,FALSE),"R"))</f>
        <v/>
      </c>
      <c r="ES252" t="str">
        <f>IF(ER252="","",ER252&amp;"."&amp;COUNTIFS(A$3:A252,A252,ER$3:ER252,ER252))</f>
        <v/>
      </c>
      <c r="ET252" t="str">
        <f t="shared" si="315"/>
        <v/>
      </c>
      <c r="EU252" t="str">
        <f t="shared" si="316"/>
        <v/>
      </c>
      <c r="EV252" t="str">
        <f t="shared" si="317"/>
        <v/>
      </c>
      <c r="EW252" t="str">
        <f t="shared" si="318"/>
        <v/>
      </c>
      <c r="EX252">
        <f t="shared" si="319"/>
        <v>1</v>
      </c>
      <c r="EY252" t="str">
        <f>IF(AK252="нет","",IF(AK252&lt;&gt;"",AK252,IF(EX252=1,"XT"&amp;COUNTIFS(A$3:A252,A252,EX$3:EX252,1),"")))</f>
        <v/>
      </c>
      <c r="EZ252" t="str">
        <f t="shared" si="320"/>
        <v>QFD28</v>
      </c>
      <c r="FA252" t="str">
        <f t="shared" si="321"/>
        <v/>
      </c>
      <c r="FB252" t="str">
        <f t="shared" si="322"/>
        <v>ok</v>
      </c>
      <c r="FC252" t="str">
        <f>IF(OR(EV252="",ET252=""),"",IF(EV252&gt;IFERROR(VLOOKUP(EU252,Модули_спр,3,FALSE),99),"ЛИШНИЙ КАНАЛ",IF(AND(AJ252&lt;&gt;"=",COUNTIFS(Линии[_модуль гр.],ET252,Линии[Канал (итог)],EV252,Линии[Канал],"&lt;&gt;=",Линии[Щит],A252)&gt;1),"ДУБЛЬ КАНАЛА","")))</f>
        <v/>
      </c>
      <c r="FD252">
        <f t="shared" si="323"/>
        <v>16</v>
      </c>
      <c r="FE252" t="str">
        <f t="shared" si="324"/>
        <v>2P С16А 30мА</v>
      </c>
      <c r="FF252">
        <f t="shared" si="325"/>
        <v>1</v>
      </c>
      <c r="FG252">
        <f t="shared" si="326"/>
        <v>30</v>
      </c>
      <c r="FH252" t="str">
        <f t="shared" si="327"/>
        <v/>
      </c>
      <c r="FI252">
        <f t="shared" si="328"/>
        <v>10</v>
      </c>
      <c r="FJ252" t="str">
        <f t="shared" si="329"/>
        <v/>
      </c>
      <c r="FK252" t="str">
        <f>IF(AND(D252="",EZ252=""),"",_xlfn.TEXTJOIN("; ",TRUE,IF(AND(D252&lt;&gt;"",DD252=""),"нет фазы",""),IF(AND(D252&lt;&gt;"",N(DT252)=0,CN252&lt;&gt;"Нет"),"нет мощности",""),IF(AND(EY252&lt;&gt;"",COUNTIFS(Линии[Щит],A252,Линии[Клемма (итог)],EY252)&gt;1),"дубль клеммы "&amp;EY252,""),IF(AND(FB252&lt;&gt;"",FB252&lt;&gt;"ok"),FB252,""),IF(FC252&lt;&gt;"",FC252,""),IF(AND(ISNUMBER(SEARCH("(5х",DS252)),N(DV252)=1),"5 жил на 1 фазе",""),IF(AND(AT252="R",AD252&lt;&gt;"",OR(N(EH252)=0,N(EH252)&gt;30)),"розетка без дифзащиты до 30 мА",""),IFERROR(IF(AND(ISNUMBER(CD252),CD252&gt;CE252),"потери "&amp;FIXED(CD252,1)&amp;" % &gt; "&amp;CE252&amp;" %",""),""),IFERROR(IF(LEFT(FJ252,4)="мало","Iкз мало — отключение &gt; 0,4 с",""),""),IF(AND(D252&lt;&gt;"",BD252=""),"не на схеме","")))</f>
        <v/>
      </c>
      <c r="FL252">
        <f>IF(AD252="","",_xlfn.LET(_xlpm.t,IFERROR(_xlfn.XLOOKUP(EP252,Каталог!$U$4:$U$500,Каталог!$G$4:$G$500),""),_xlpm.k,SEARCH("кА",_xlpm.t),IFERROR(--TRIM(RIGHT(SUBSTITUTE(MID(_xlpm.t,MAX(1,_xlpm.k-4),_xlpm.k-MAX(1,_xlpm.k-4))," ",REPT(" ",9)),5)),"")))</f>
        <v>6</v>
      </c>
      <c r="FM252" t="str">
        <f>IF(OR(FL252="",AD252=""),"",IF(_xlfn.XLOOKUP(A252,Щиты[Щит],Щиты[Iкз max на шинах, кА],"")="","",IF(FL252&lt;_xlfn.XLOOKUP(A252,Щиты[Щит],Щиты[Iкз max на шинах, кА]),"Icu "&amp;FL252&amp;" кА &lt; Iкз max","ok")))</f>
        <v/>
      </c>
      <c r="FN252" t="str">
        <f t="shared" si="330"/>
        <v>QFD28</v>
      </c>
      <c r="FO252" t="str">
        <f t="shared" si="331"/>
        <v>QFD28|кабель ВВГнг(А)-LS (3х2,5) → Розеточная группа Первый этаж Пом. №007A</v>
      </c>
      <c r="FP252" t="str" cm="1">
        <f t="array" ref="FP252">IF(FO252="","",_xlfn.LET(_xlpm.nd,_xlfn.TEXTSPLIT(FO252,"|"),IF(COLUMNS(_xlpm.nd)&gt;1,A252&amp;"¦"&amp;INDEX(_xlpm.nd,1)&amp;"¦"&amp;INDEX(_xlpm.nd,2),"")))</f>
        <v>ЩР-1¦QFD28¦кабель ВВГнг(А)-LS (3х2,5) → Розеточная группа Первый этаж Пом. №007A</v>
      </c>
      <c r="FQ252" t="str">
        <f t="shared" si="332"/>
        <v>R.1.007A.1¦Розеточная группа Первый этаж Пом. №007A</v>
      </c>
      <c r="FR252" t="str" cm="1">
        <f t="array" ref="FR252">IF(FO252="","",_xlfn.LET(_xlpm.nd,_xlfn.TEXTSPLIT(FO252,"|"),IF(COLUMNS(_xlpm.nd)&gt;2,A252&amp;"¦"&amp;INDEX(_xlpm.nd,2)&amp;"¦"&amp;INDEX(_xlpm.nd,3),"")))</f>
        <v/>
      </c>
      <c r="FS252" t="str">
        <f t="shared" si="333"/>
        <v/>
      </c>
      <c r="FT252" t="str" cm="1">
        <f t="array" ref="FT252">IF(FO252="","",_xlfn.LET(_xlpm.nd,_xlfn.TEXTSPLIT(FO252,"|"),IF(COLUMNS(_xlpm.nd)&gt;3,A252&amp;"¦"&amp;INDEX(_xlpm.nd,3)&amp;"¦"&amp;INDEX(_xlpm.nd,4),"")))</f>
        <v/>
      </c>
      <c r="FU252" t="str">
        <f t="shared" si="334"/>
        <v/>
      </c>
      <c r="FV252" t="str" cm="1">
        <f t="array" ref="FV252">IF(FO252="","",_xlfn.LET(_xlpm.nd,_xlfn.TEXTSPLIT(FO252,"|"),IF(COLUMNS(_xlpm.nd)&gt;4,A252&amp;"¦"&amp;INDEX(_xlpm.nd,4)&amp;"¦"&amp;INDEX(_xlpm.nd,5),"")))</f>
        <v/>
      </c>
      <c r="FW252" t="str">
        <f t="shared" si="335"/>
        <v/>
      </c>
      <c r="FX252" t="str" cm="1">
        <f t="array" ref="FX252">IF(FO252="","",_xlfn.LET(_xlpm.nd,_xlfn.TEXTSPLIT(FO252,"|"),IF(COLUMNS(_xlpm.nd)&gt;5,A252&amp;"¦"&amp;INDEX(_xlpm.nd,5)&amp;"¦"&amp;INDEX(_xlpm.nd,6),"")))</f>
        <v/>
      </c>
      <c r="FY252" t="str">
        <f t="shared" si="336"/>
        <v/>
      </c>
      <c r="FZ252" t="str" cm="1">
        <f t="array" ref="FZ252">IF(FO252="","",_xlfn.LET(_xlpm.nd,_xlfn.TEXTSPLIT(FO252,"|"),IF(COLUMNS(_xlpm.nd)&gt;6,A252&amp;"¦"&amp;INDEX(_xlpm.nd,6)&amp;"¦"&amp;INDEX(_xlpm.nd,7),"")))</f>
        <v/>
      </c>
      <c r="GA252" t="str">
        <f t="shared" si="337"/>
        <v/>
      </c>
      <c r="GB252" t="str">
        <f t="shared" si="338"/>
        <v/>
      </c>
      <c r="GC252" t="str">
        <f t="shared" si="339"/>
        <v>QFD28</v>
      </c>
      <c r="GD252">
        <f t="shared" si="340"/>
        <v>1</v>
      </c>
      <c r="GE252">
        <f t="shared" si="341"/>
        <v>0</v>
      </c>
      <c r="GF252">
        <f t="shared" si="342"/>
        <v>1</v>
      </c>
      <c r="GG252" t="str">
        <f t="shared" si="343"/>
        <v/>
      </c>
      <c r="GH252" t="str">
        <f t="shared" si="344"/>
        <v/>
      </c>
      <c r="GI252" t="str">
        <f t="shared" si="345"/>
        <v/>
      </c>
      <c r="GJ252" t="str">
        <f t="shared" si="346"/>
        <v/>
      </c>
      <c r="GK252" t="str">
        <f>IF(D252="","",IFERROR(VLOOKUP(D252,УГО_спр,2,FALSE),IFERROR(VLOOKUP(AT252,УГО_спр,2,FALSE),IFERROR(VLOOKUP(LEFT(AT252,2),УГО_спр,2,FALSE),""))))</f>
        <v>Розетка</v>
      </c>
      <c r="GL252" t="str">
        <f>IF(D252="","",IF(OR(GK252="",GK252=0),"BOX",IFERROR(IF(VLOOKUP(GK252,УГО_блоки,3,FALSE)&amp;""&lt;&gt;"",VLOOKUP(GK252,УГО_блоки,3,FALSE),VLOOKUP(GK252,УГО_блоки,2,FALSE)),GK252)))</f>
        <v>SOCKET</v>
      </c>
      <c r="GM252">
        <f t="shared" si="347"/>
        <v>1</v>
      </c>
      <c r="GN252" t="str">
        <f>IF(EP252="","",IF(COUNTIF(EP$3:EP252,EP252)=1,MAX(GN$2:GN251)+1,""))</f>
        <v/>
      </c>
      <c r="GO252" t="str">
        <f>IF(AF252="","",IF(COUNTIF(AF$3:AF252,AF252)+COUNTIF(AG$2:AG251,AF252)+COUNTIF(AH$2:AH251,AF252)=1,MAX(GO$2:GQ251)+1,""))</f>
        <v/>
      </c>
      <c r="GP252" t="str">
        <f>IF(AG252="","",IF(COUNTIF(AF$3:AF252,AG252)+COUNTIF(AG$3:AG252,AG252)+COUNTIF(AH$2:AH251,AG252)=1,MAX(GO$2:GQ251,GO252)+1,""))</f>
        <v/>
      </c>
      <c r="GQ252" t="str">
        <f>IF(AH252="","",IF(COUNTIF(AF$3:AF252,AH252)+COUNTIF(AG$3:AG252,AH252)+COUNTIF(AH$3:AH252,AH252)=1,MAX(GO$2:GQ251,GO252,GP252)+1,""))</f>
        <v/>
      </c>
      <c r="GR252" t="str">
        <f t="shared" si="348"/>
        <v>3х2,5</v>
      </c>
      <c r="GS252" t="str">
        <f>IF(GR252="","",IF(COUNTIF(GR$3:GR252,GR252)=1,MAX(GS$2:GS251)+1,""))</f>
        <v/>
      </c>
      <c r="GT252" t="str">
        <f>IF(ES252="","",COUNTIF(ES$3:ES252,"?*"))</f>
        <v/>
      </c>
      <c r="GU252" t="str">
        <f>IF(OR(ES252="",EU252=""),"",IF(COUNTIFS(ES$3:ES252,"?*",EU$3:EU252,EU252)=1,MAX(GU$2:GU251)+1,""))</f>
        <v/>
      </c>
      <c r="GV252">
        <f t="shared" si="349"/>
        <v>0</v>
      </c>
      <c r="GW252">
        <f>IF(D252="","",COUNTIF(D$3:D252,"?*"))</f>
        <v>250</v>
      </c>
      <c r="GX252">
        <f>IF(EX252&lt;&gt;1,0,_xlfn.LET(_xlpm.k,MAX(IFERROR(--VLOOKUP(D252,УГО_спр,5,FALSE),0),IFERROR(--VLOOKUP(AT252,УГО_спр,5,FALSE),0),IFERROR(--VLOOKUP(LEFT(AT252,2),УГО_спр,5,FALSE),0)),IF(_xlpm.k&gt;0,_xlpm.k,IF(IFERROR(--LEFT(SUBSTITUTE(GR252,"x","х"),FIND("х",SUBSTITUTE(GR252,"x","х"))-1),3)&gt;3,Каталог!$S$9,1))))</f>
        <v>1</v>
      </c>
      <c r="GY252">
        <f t="shared" si="350"/>
        <v>0</v>
      </c>
    </row>
    <row r="253" spans="1:207" x14ac:dyDescent="0.3">
      <c r="A253" t="s">
        <v>762</v>
      </c>
      <c r="B253">
        <v>41</v>
      </c>
      <c r="C253" t="str">
        <f>IF(BD253="","",IF(BE253="вводной узел","узел ","")&amp;"л."&amp;(INT((BD253-1)/Столбцов_на_лист)+1)&amp;" / "&amp;(MOD(BD253-1,Столбцов_на_лист)+1))</f>
        <v>л.3 / 7</v>
      </c>
      <c r="D253" t="s">
        <v>1575</v>
      </c>
      <c r="E253" s="133" t="str">
        <f t="shared" si="351"/>
        <v>Розеточная группа Первый этаж Пом. №008A</v>
      </c>
      <c r="G253">
        <v>0.12</v>
      </c>
      <c r="H253">
        <v>2</v>
      </c>
      <c r="I253">
        <v>1</v>
      </c>
      <c r="J253">
        <v>230</v>
      </c>
      <c r="K253" t="s">
        <v>566</v>
      </c>
      <c r="O253">
        <v>1</v>
      </c>
      <c r="P253">
        <v>42</v>
      </c>
      <c r="Q253">
        <v>20</v>
      </c>
      <c r="R253">
        <v>26</v>
      </c>
      <c r="S253">
        <v>5</v>
      </c>
      <c r="U253" t="s">
        <v>11</v>
      </c>
      <c r="V253">
        <v>3</v>
      </c>
      <c r="W253">
        <v>2.5</v>
      </c>
      <c r="Z253" t="s">
        <v>565</v>
      </c>
      <c r="AA253" t="s">
        <v>818</v>
      </c>
      <c r="AD253" t="s">
        <v>517</v>
      </c>
      <c r="AK253" t="s">
        <v>488</v>
      </c>
      <c r="AR253" t="str">
        <f t="shared" si="264"/>
        <v/>
      </c>
      <c r="AS253" cm="1">
        <f t="array" ref="AS253">ROW()-ROW(Линии[#Headers])</f>
        <v>251</v>
      </c>
      <c r="AT253" t="str">
        <f t="shared" si="265"/>
        <v>R</v>
      </c>
      <c r="AU253" t="str">
        <f t="shared" si="266"/>
        <v>1.008A.1</v>
      </c>
      <c r="AV253" t="str">
        <f t="shared" si="267"/>
        <v>1</v>
      </c>
      <c r="AW253" t="str">
        <f t="shared" si="268"/>
        <v>008A.1</v>
      </c>
      <c r="AX253" t="str">
        <f t="shared" si="269"/>
        <v>008A</v>
      </c>
      <c r="AY253" t="str">
        <f>IF(D253="","",IF(ISERROR(SEARCH(".",D253)),IFERROR(VLOOKUP(D253,Потребители_обозначение,2,FALSE)&amp;"",""),IFERROR(IF(VLOOKUP(AT253,Потребители_обозначение,4,FALSE)=1,VLOOKUP(AT253,Потребители_обозначение,2,FALSE)&amp;" "&amp;VLOOKUP(AV253,Этаж_обозначение,2,FALSE)&amp;" Пом. №"&amp;AX253,VLOOKUP(AT253,Потребители_обозначение,2,FALSE)&amp;" Шлейф №"&amp;AV253),IFERROR(VLOOKUP(D253,Потребители_обозначение,2,FALSE),""))))</f>
        <v>Розеточная группа Первый этаж Пом. №008A</v>
      </c>
      <c r="AZ253" t="str">
        <f t="shared" si="270"/>
        <v>Розеточная группа Первый этаж Пом. №008A</v>
      </c>
      <c r="BA253" t="str">
        <f>IF(F253&lt;&gt;"",F253,IF(AND(D253&lt;&gt;"",D253&lt;&gt;A253,ISNUMBER(_xlfn.XMATCH(D253,Щиты[Щит]))),D253,""))</f>
        <v/>
      </c>
      <c r="BB253">
        <f>IFERROR(_xlfn.XMATCH(A253,Щиты[Щит]),0)</f>
        <v>10</v>
      </c>
      <c r="BC253">
        <f>IFERROR(N(_xlfn.XLOOKUP(A253,Щиты[Щит],Щиты[Мест под вводной узел])),15)</f>
        <v>8</v>
      </c>
      <c r="BD253">
        <f t="shared" si="271"/>
        <v>41</v>
      </c>
      <c r="BE253" t="str">
        <f t="shared" si="272"/>
        <v>линии</v>
      </c>
      <c r="BF253">
        <f>IF(D253="","",IF(BA253&lt;&gt;"",IFERROR(_xlfn.XLOOKUP(BA253,Щиты[Щит],Щиты[Руст, кВт]),0),N(G253)))</f>
        <v>0.12</v>
      </c>
      <c r="BG253">
        <f>IF(J253&lt;&gt;"",J253,IF(D253="","",IFERROR(IF(VLOOKUP(AT253,Потребители_обозначение,8,FALSE)=0,"",VLOOKUP(AT253,Потребители_обозначение,8,FALSE)),"")))</f>
        <v>230</v>
      </c>
      <c r="BH253">
        <f>IF(I253&lt;&gt;"",I253,IF(D253="","",IFERROR(IF(VLOOKUP(AT253,Потребители_обозначение,9,FALSE)=0,"",VLOOKUP(AT253,Потребители_обозначение,9,FALSE)),"")))</f>
        <v>1</v>
      </c>
      <c r="BI253" t="str">
        <f>IF(U253&lt;&gt;"",U253,IF(D253="","",IFERROR(IF(VLOOKUP(AT253,Потребители_обозначение,6,FALSE)=0,"",VLOOKUP(AT253,Потребители_обозначение,6,FALSE)),"")))</f>
        <v>мс</v>
      </c>
      <c r="BJ253">
        <f>IF(V253&lt;&gt;"",V253,IF(D253="","",IFERROR(IF(VLOOKUP(AT253,Потребители_обозначение,7,FALSE)=0,"",VLOOKUP(AT253,Потребители_обозначение,7,FALSE)),"")))</f>
        <v>3</v>
      </c>
      <c r="BK253">
        <f>IF(W253&lt;&gt;"",W253,IF(D253="","",IFERROR(IF(VLOOKUP(AT253,Потребители_обозначение,10,FALSE)=0,"",VLOOKUP(AT253,Потребители_обозначение,10,FALSE)),"")))</f>
        <v>2.5</v>
      </c>
      <c r="BL253">
        <f>IFERROR(VLOOKUP(AT253,Потребители_обозначение,5,FALSE),0)</f>
        <v>1</v>
      </c>
      <c r="BM253" cm="1">
        <f t="array" ref="BM253">IF(D253="","",IF(BA253&lt;&gt;"",IFERROR(_xlfn.XLOOKUP(BA253,Щиты[Щит],Щиты[cos φ]),0.95),IF(ISNUMBER(M253),M253,IFERROR(IF(BL253=2,_xlfn.IFS(BH253=3,VLOOKUP(BF253,Справочная_двигатели,8,FALSE),BH253=1,VLOOKUP(BF253,Справочная_двигатели,10,TRUE)),IF(AND(Методика="нормы 2026",CN253="Сил"),0.8,0.95)),0.95))))</f>
        <v>0.95</v>
      </c>
      <c r="BN253" cm="1">
        <f t="array" ref="BN253">IF(D253="","",IF(BA253&lt;&gt;"",IFERROR(_xlfn.XLOOKUP(BA253,Щиты[Щит],Щиты[Iр, А]),""),IFERROR(_xlfn.IFS(BH253=1,BF253/((Uн_лин/SQRT(3))*BM253),BH253=3,BF253/(SQRT(3)*Uн_лин*BM253)),"")))</f>
        <v>0.54696341291648753</v>
      </c>
      <c r="BO253">
        <f>IF(D253="","",IF(N(X253)=0,IFERROR(VLOOKUP(BN253,Автомат_номиналы,2,TRUE),""),X253))</f>
        <v>6</v>
      </c>
      <c r="BP253">
        <f t="shared" si="273"/>
        <v>1</v>
      </c>
      <c r="BQ253">
        <f>IF(ISNUMBER(Y253),Y253,К_прокл)</f>
        <v>1</v>
      </c>
      <c r="BR253">
        <f t="shared" si="274"/>
        <v>2</v>
      </c>
      <c r="BS253" cm="1">
        <f t="array" ref="BS253">IF(D253="","",IF(N(BK253)&lt;&gt;0,BK253,IFERROR(_xlfn.LET(_xlpm.need,BO253/(BP253*BQ253),_xlpm.t,CHOOSE(BR253,Iдоп_1ж,Iдоп_2ж,Iдоп_3ж),_xlpm.k,_xlfn.XMATCH(_xlpm.need,_xlpm.t,1),IF(ISNA(_xlpm.k),"Не исп",INDEX(Iдоп_S,_xlpm.k))),"Не исп")))</f>
        <v>2.5</v>
      </c>
      <c r="BT253">
        <f>IFERROR(VLOOKUP(BS253,Кабель_сопротивление,3,FALSE),"")</f>
        <v>2.2499999999999999E-2</v>
      </c>
      <c r="BU253">
        <f>IFERROR(VLOOKUP(BS253,Кабель_сопротивление,2,FALSE),"")</f>
        <v>0.1</v>
      </c>
      <c r="BV253">
        <f t="shared" si="275"/>
        <v>42</v>
      </c>
      <c r="BW253">
        <f>IF(D253="","",IFERROR(IF(VLOOKUP(AT253,Потребители_обозначение,4,FALSE)=1,VLOOKUP(AT253,Потребители_обозначение,3,FALSE)*(H253*2-1)+BV253+VLOOKUP(AV253,Этаж_обозначение,3,FALSE)+VLOOKUP(AV253,Этаж_обозначение,4,FALSE),VLOOKUP(AT253,Потребители_обозначение,3,FALSE)*(H253*2-1)+BV253),BV253))</f>
        <v>51</v>
      </c>
      <c r="BX253">
        <f t="shared" si="276"/>
        <v>26</v>
      </c>
      <c r="BY253">
        <f t="shared" si="277"/>
        <v>5</v>
      </c>
      <c r="BZ253">
        <f t="shared" si="278"/>
        <v>2</v>
      </c>
      <c r="CA253">
        <f t="shared" si="279"/>
        <v>0.31</v>
      </c>
      <c r="CB253">
        <f t="shared" si="280"/>
        <v>0.47873629071611062</v>
      </c>
      <c r="CC253">
        <f>IFERROR(ROUNDUP(CB253/((Uн_лин/SQRT(3))*1000)*100,2),"")</f>
        <v>0.21000000000000002</v>
      </c>
      <c r="CD253">
        <f>IF(ISNUMBER(CC253),CC253+IFERROR(_xlfn.XLOOKUP(A253,Щиты[Щит],Щиты[ΔU до шин, %]),0),"")</f>
        <v>1.46</v>
      </c>
      <c r="CE253">
        <f>IF(D253="","",IF(IFERROR(VLOOKUP(AT253,УГО_спр,2,FALSE),"")="Светильник",3,4)+IF(Методика="нормы 2026",MIN(0.5,MAX(0,N(BW253)-100)*0.005),0))</f>
        <v>4</v>
      </c>
      <c r="CF253" t="str">
        <f>IFERROR(VLOOKUP(BI253,Кабель_обозначение,2,FALSE),"")</f>
        <v>ВВГнг(А)-LS</v>
      </c>
      <c r="CG253" t="str">
        <f>IFERROR(IF(VLOOKUP(BI253,Кабель_обозначение,3,FALSE)=1,CF253&amp;" ("&amp;BJ253&amp;"х"&amp;BS253&amp;")",CF253),"")</f>
        <v>ВВГнг(А)-LS (3х2,5)</v>
      </c>
      <c r="CH253" t="str">
        <f t="shared" si="281"/>
        <v>ВВГнг(А)-LS (3х2,5)
L=51-0,21%</v>
      </c>
      <c r="CI253">
        <f>IFERROR(2*ρкз_Cu*BW253/BS253,"")</f>
        <v>1.07304</v>
      </c>
      <c r="CJ253">
        <f t="shared" si="282"/>
        <v>0.35700000000000004</v>
      </c>
      <c r="CK253" t="str">
        <f>IFERROR(IF(OR(D253="",NOT(ISNUMBER(BS253)),N(BW253)=0),"",_xlfn.XLOOKUP(A253,Щиты[Щит],Щиты[Zпетли на шинах, Ом])+CI253),"")</f>
        <v/>
      </c>
      <c r="CL253" t="str">
        <f>IF(ISNUMBER(CK253),c_min*(Uн_лин*1000/SQRT(3))/CK253,"")</f>
        <v/>
      </c>
      <c r="CM253" t="str">
        <f>IFERROR(IF(OR(D253="",NOT(ISNUMBER(BS253))),"",1.05*(Uн_лин*1000/SQRT(3))/(_xlfn.XLOOKUP(A253,Щиты[Щит],Щиты[Zmax на шинах, Ом])+CJ253)/1000),"")</f>
        <v/>
      </c>
      <c r="CN253" t="str">
        <f>IF(D253="","",IF(BA253&lt;&gt;"","Щит",IF(K253&lt;&gt;"",K253,IF(ISNUMBER(L253),"Сил",IF(IFERROR(_xlfn.XLOOKUP(AT253,Коды_код,Коды_группа)&amp;"","")="","Быт",_xlfn.XLOOKUP(AT253,Коды_код,Коды_группа)&amp;"")))))</f>
        <v>Быт</v>
      </c>
      <c r="CO253">
        <f>IF(CN253="Щит","щит",IF(CN253="","",IF(CN253="Быт",IFERROR(_xlfn.XLOOKUP(A253,Щиты[Щит],Щиты[Кс быт]),1),IF(CN253="Сил",IF(ISNUMBER(L253),L253,IF(Методика="нормы 2026",IFERROR(_xlfn.XLOOKUP(A253,Щиты[Щит],Щиты[Кс силовых (табл. 7.5)]),1),1)),IF(OR(CN253="Пост",CN253="Отоп"),1,IF(CN253="ВНГ",0.7,0))))))</f>
        <v>0.57830000000000004</v>
      </c>
      <c r="CP253">
        <f t="shared" si="283"/>
        <v>1</v>
      </c>
      <c r="CQ253">
        <f t="shared" si="284"/>
        <v>0.12</v>
      </c>
      <c r="CR253">
        <f t="shared" si="285"/>
        <v>0.12</v>
      </c>
      <c r="CS253">
        <f t="shared" si="286"/>
        <v>0</v>
      </c>
      <c r="CT253">
        <f t="shared" si="287"/>
        <v>0</v>
      </c>
      <c r="CU253">
        <f t="shared" si="288"/>
        <v>0</v>
      </c>
      <c r="CV253">
        <f t="shared" si="289"/>
        <v>0</v>
      </c>
      <c r="CW253">
        <f t="shared" si="290"/>
        <v>0.12</v>
      </c>
      <c r="CX253">
        <f t="shared" si="291"/>
        <v>0.11399999999999999</v>
      </c>
      <c r="CY253">
        <f t="shared" si="292"/>
        <v>2</v>
      </c>
      <c r="CZ253" t="str">
        <f t="shared" si="293"/>
        <v>L2</v>
      </c>
      <c r="DA253" cm="1">
        <f t="array" ref="DA253">IFERROR(IF(BL253=2,_xlfn.IFS(BH253=3,VLOOKUP(BF253,Справочная_двигатели,3,FALSE),BH253=1,VLOOKUP(BF253,Справочная_двигатели,5,TRUE)),0),0)</f>
        <v>0</v>
      </c>
      <c r="DB253">
        <f>IFERROR(IF(BL253=3,VLOOKUP(BF253,Справочная_ЛЭД,2,TRUE),0),0)</f>
        <v>0</v>
      </c>
      <c r="DC253">
        <f t="shared" si="294"/>
        <v>0</v>
      </c>
      <c r="DD253" t="str">
        <f t="shared" si="295"/>
        <v>L1</v>
      </c>
      <c r="DE253" t="str" cm="1">
        <f t="array" ref="DE253">IF(D253="","",IFERROR(INDEX({"I особая","I","II","III"},MATCH(TRIM(AA253&amp;""),{"I особая","I","II","III"},0)),"III"))</f>
        <v>II</v>
      </c>
      <c r="DF253" t="str">
        <f>IF(D253="","",IF(TRIM(AB253&amp;"")&lt;&gt;"",IF(LOWER(TRIM(AB253&amp;""))="да","да","нет"),IF(IFERROR(_xlfn.XLOOKUP(AT253,Коды_код,Коды_пожарная),"")="да","да","нет")))</f>
        <v>нет</v>
      </c>
      <c r="DG253" t="str">
        <f t="shared" si="296"/>
        <v/>
      </c>
      <c r="DH253" t="str">
        <f t="shared" si="297"/>
        <v>основная</v>
      </c>
      <c r="DI253">
        <f t="shared" si="298"/>
        <v>1</v>
      </c>
      <c r="DJ253" t="str" cm="1">
        <f t="array" ref="DJ253">IF(D253="","",_xlfn.LET(_xlpm.t,IFERROR(_xlfn.XLOOKUP(1,(Шины[Шина]=DH253)*(((Шины[Щит]=A253)+(Шины[Щит]=""))&gt;0),Шины[Тип]),"")&amp;"",IF(_xlpm.t&lt;&gt;"",_xlpm.t,IF(ISNUMBER(SEARCH("ИБП",DH253)),"ИБП",IF(ISNUMBER(SEARCH("ДГУ",DH253)),"ДГУ","Ввод "&amp;DI253)))))</f>
        <v>Ввод 1</v>
      </c>
      <c r="DK253" t="str">
        <f t="shared" si="299"/>
        <v>Ввод 1</v>
      </c>
      <c r="DL253" t="str">
        <f>IF(D253="","",IF(OR(DJ253="ИБП",DJ253="ДГУ"),"I особая",IF(DJ253="Одиночная","III",_xlfn.XLOOKUP(A253,Щиты[Щит],Щиты[Категория шины «Ввод»],"III"))))</f>
        <v>II</v>
      </c>
      <c r="DM253">
        <f>IF(D253="",0,IFERROR(MATCH(DE253,{"III","II","I","I особая"},0),1))</f>
        <v>2</v>
      </c>
      <c r="DN253">
        <f t="shared" si="300"/>
        <v>2</v>
      </c>
      <c r="DO253" t="str">
        <f>IF(D253="","",IF(DM253&gt;IFERROR(MATCH(DL253,{"III","II","I","I особая"},0),1),"НЕ ОБЕСПЕЧЕНА","ОК"))</f>
        <v>ОК</v>
      </c>
      <c r="DP253" t="str">
        <f>IF(A253="","",_xlfn.XLOOKUP(A253,Щиты[Щит],Щиты[Путь],""))</f>
        <v>|ГРЩ-ЖД|ЩР-1|</v>
      </c>
      <c r="DQ253" t="str">
        <f>IF(D253="","",IF(Z253&lt;&gt;"",Z253,IF(IFERROR(_xlfn.XLOOKUP(AT253,Коды_код,Коды_вид)&amp;"","")="","Прочее",_xlfn.XLOOKUP(AT253,Коды_код,Коды_вид)&amp;"")))</f>
        <v>Розеточная сеть и бытовые приборы</v>
      </c>
      <c r="DR253">
        <f>IF(BD253="","",INT((BD253-1)/Столбцов_на_лист)+1)</f>
        <v>3</v>
      </c>
      <c r="DS253" t="str">
        <f t="shared" si="301"/>
        <v>ВВГнг(А)-LS (3х2,5) L=51-0,21%</v>
      </c>
      <c r="DT253">
        <f t="shared" si="302"/>
        <v>0.12</v>
      </c>
      <c r="DU253">
        <f t="shared" si="303"/>
        <v>0.55000000000000004</v>
      </c>
      <c r="DV253">
        <f t="shared" si="304"/>
        <v>1</v>
      </c>
      <c r="DW253">
        <f>IF(AT253="",0,_xlfn.LET(_xlpm.v,IFERROR(VLOOKUP(D253,УГО_спр,3,FALSE),IFERROR(VLOOKUP(AT253,УГО_спр,3,FALSE),IFERROR(VLOOKUP(LEFT(AT253,2),УГО_спр,3,FALSE),""))),IF(_xlpm.v="да",30,IF(ISNUMBER(_xlpm.v),_xlpm.v,0))))</f>
        <v>30</v>
      </c>
      <c r="DX253">
        <f t="shared" si="305"/>
        <v>0</v>
      </c>
      <c r="DY253">
        <f>IF(BD253="","",IF(AD253&lt;&gt;"",COUNTIFS(A$3:A253,A253,AD$3:AD253,"?*"),IF(OR(OR(AS253=1,A253&lt;&gt;A252),AL253="вручную"),"",IF(AS253=1,"",DZ252))))</f>
        <v>29</v>
      </c>
      <c r="DZ253">
        <f t="shared" si="306"/>
        <v>29</v>
      </c>
      <c r="EA253">
        <f>IF(D253="",0,MAX(IFERROR(--X253,0),IFERROR(--VLOOKUP(D253,УГО_спр,4,FALSE),IFERROR(--VLOOKUP(AT253,УГО_спр,4,FALSE),IFERROR(--VLOOKUP(LEFT(AT253,2),УГО_спр,4,FALSE),0)))))</f>
        <v>16</v>
      </c>
      <c r="EB253">
        <f>IF(D253="","",IFERROR(LOOKUP(INDEX(CHOOSE(BR253,Iдоп_1ж,Iдоп_2ж,Iдоп_3ж),MATCH(BS253,Iдоп_S,0))*BP253*BQ253,{6,10,16,20,25,32,40,50,63,80,100,125,160,200,250,315,400,500,630}),""))</f>
        <v>25</v>
      </c>
      <c r="EC253">
        <f>IF(AD253="","",SUMIFS(Линии[_Ток схемы],Линии[_гр.],DY253,Линии[Щит],A253,Линии[_в кабель выше],0))</f>
        <v>0.55000000000000004</v>
      </c>
      <c r="ED253">
        <f>IF(AD253="","",IFERROR(VLOOKUP(EC253,Автомат_номиналы,2,TRUE),""))</f>
        <v>6</v>
      </c>
      <c r="EE253">
        <f>IF(AD253="","",MAX(N(ED253),_xlfn.MAXIFS(Линии[_мин. по типу],Линии[_гр.],DY253,Линии[Щит],A253)))</f>
        <v>16</v>
      </c>
      <c r="EF253">
        <f>IF(AD253="","",_xlfn.MINIFS(Линии[_макс. автомат по кабелю],Линии[_гр.],DY253,Линии[Щит],A253))</f>
        <v>25</v>
      </c>
      <c r="EG253">
        <f>IF(AD253="","",MAX(1,_xlfn.MAXIFS(Линии[_фаз],Линии[_гр.],DY253,Линии[Щит],A253)))</f>
        <v>1</v>
      </c>
      <c r="EH253">
        <f>IF(AD253="","",IF(AND(AD253&lt;&gt;"авто",AD253&lt;&gt;"+"),IF(ISNUMBER(SEARCH("мА",AD253)),IFERROR(--TRIM(RIGHT(SUBSTITUTE(LEFT(AD253,SEARCH("мА",AD253)-1)," ",REPT(" ",9)),6)),30),0),IF(AE253="нет",0,IF(ISNUMBER(AE253),AE253,IF(AE253="да",30,_xlfn.MINIFS(Линии[_дифзащита по коду, мА],Линии[_гр.],DY253,Линии[Щит],A253,Линии[_дифзащита по коду, мА],"&gt;0"))))))</f>
        <v>30</v>
      </c>
      <c r="EI253">
        <f t="shared" si="307"/>
        <v>1</v>
      </c>
      <c r="EJ253" t="str">
        <f t="shared" si="308"/>
        <v>QFD29</v>
      </c>
      <c r="EK253" t="str">
        <f t="shared" si="309"/>
        <v>QFD29</v>
      </c>
      <c r="EL253" t="str">
        <f t="shared" si="310"/>
        <v/>
      </c>
      <c r="EM253">
        <f t="shared" si="311"/>
        <v>0</v>
      </c>
      <c r="EN253">
        <f>IF(AD253="","",IF(EM253=1,MAX(EE253,Мин_автомат_БП),EE253))</f>
        <v>16</v>
      </c>
      <c r="EO253" t="str">
        <f t="shared" si="312"/>
        <v>2P</v>
      </c>
      <c r="EP253" t="str">
        <f t="shared" si="313"/>
        <v>2P С16А 30мА</v>
      </c>
      <c r="EQ253">
        <f t="shared" si="314"/>
        <v>16</v>
      </c>
      <c r="ER253" t="str">
        <f>IF(OR(AI253="",AI253="-"),"",IFERROR(VLOOKUP(AI253,Модули_спр,2,FALSE),"R"))</f>
        <v/>
      </c>
      <c r="ES253" t="str">
        <f>IF(ER253="","",ER253&amp;"."&amp;COUNTIFS(A$3:A253,A253,ER$3:ER253,ER253))</f>
        <v/>
      </c>
      <c r="ET253" t="str">
        <f t="shared" si="315"/>
        <v/>
      </c>
      <c r="EU253" t="str">
        <f t="shared" si="316"/>
        <v/>
      </c>
      <c r="EV253" t="str">
        <f t="shared" si="317"/>
        <v/>
      </c>
      <c r="EW253" t="str">
        <f t="shared" si="318"/>
        <v/>
      </c>
      <c r="EX253">
        <f t="shared" si="319"/>
        <v>1</v>
      </c>
      <c r="EY253" t="str">
        <f>IF(AK253="нет","",IF(AK253&lt;&gt;"",AK253,IF(EX253=1,"XT"&amp;COUNTIFS(A$3:A253,A253,EX$3:EX253,1),"")))</f>
        <v/>
      </c>
      <c r="EZ253" t="str">
        <f t="shared" si="320"/>
        <v>QFD29</v>
      </c>
      <c r="FA253" t="str">
        <f t="shared" si="321"/>
        <v/>
      </c>
      <c r="FB253" t="str">
        <f t="shared" si="322"/>
        <v>ok</v>
      </c>
      <c r="FC253" t="str">
        <f>IF(OR(EV253="",ET253=""),"",IF(EV253&gt;IFERROR(VLOOKUP(EU253,Модули_спр,3,FALSE),99),"ЛИШНИЙ КАНАЛ",IF(AND(AJ253&lt;&gt;"=",COUNTIFS(Линии[_модуль гр.],ET253,Линии[Канал (итог)],EV253,Линии[Канал],"&lt;&gt;=",Линии[Щит],A253)&gt;1),"ДУБЛЬ КАНАЛА","")))</f>
        <v/>
      </c>
      <c r="FD253">
        <f t="shared" si="323"/>
        <v>16</v>
      </c>
      <c r="FE253" t="str">
        <f t="shared" si="324"/>
        <v>2P С16А 30мА</v>
      </c>
      <c r="FF253">
        <f t="shared" si="325"/>
        <v>1</v>
      </c>
      <c r="FG253">
        <f t="shared" si="326"/>
        <v>30</v>
      </c>
      <c r="FH253" t="str">
        <f t="shared" si="327"/>
        <v/>
      </c>
      <c r="FI253">
        <f t="shared" si="328"/>
        <v>10</v>
      </c>
      <c r="FJ253" t="str">
        <f t="shared" si="329"/>
        <v/>
      </c>
      <c r="FK253" t="str">
        <f>IF(AND(D253="",EZ253=""),"",_xlfn.TEXTJOIN("; ",TRUE,IF(AND(D253&lt;&gt;"",DD253=""),"нет фазы",""),IF(AND(D253&lt;&gt;"",N(DT253)=0,CN253&lt;&gt;"Нет"),"нет мощности",""),IF(AND(EY253&lt;&gt;"",COUNTIFS(Линии[Щит],A253,Линии[Клемма (итог)],EY253)&gt;1),"дубль клеммы "&amp;EY253,""),IF(AND(FB253&lt;&gt;"",FB253&lt;&gt;"ok"),FB253,""),IF(FC253&lt;&gt;"",FC253,""),IF(AND(ISNUMBER(SEARCH("(5х",DS253)),N(DV253)=1),"5 жил на 1 фазе",""),IF(AND(AT253="R",AD253&lt;&gt;"",OR(N(EH253)=0,N(EH253)&gt;30)),"розетка без дифзащиты до 30 мА",""),IFERROR(IF(AND(ISNUMBER(CD253),CD253&gt;CE253),"потери "&amp;FIXED(CD253,1)&amp;" % &gt; "&amp;CE253&amp;" %",""),""),IFERROR(IF(LEFT(FJ253,4)="мало","Iкз мало — отключение &gt; 0,4 с",""),""),IF(AND(D253&lt;&gt;"",BD253=""),"не на схеме","")))</f>
        <v/>
      </c>
      <c r="FL253">
        <f>IF(AD253="","",_xlfn.LET(_xlpm.t,IFERROR(_xlfn.XLOOKUP(EP253,Каталог!$U$4:$U$500,Каталог!$G$4:$G$500),""),_xlpm.k,SEARCH("кА",_xlpm.t),IFERROR(--TRIM(RIGHT(SUBSTITUTE(MID(_xlpm.t,MAX(1,_xlpm.k-4),_xlpm.k-MAX(1,_xlpm.k-4))," ",REPT(" ",9)),5)),"")))</f>
        <v>6</v>
      </c>
      <c r="FM253" t="str">
        <f>IF(OR(FL253="",AD253=""),"",IF(_xlfn.XLOOKUP(A253,Щиты[Щит],Щиты[Iкз max на шинах, кА],"")="","",IF(FL253&lt;_xlfn.XLOOKUP(A253,Щиты[Щит],Щиты[Iкз max на шинах, кА]),"Icu "&amp;FL253&amp;" кА &lt; Iкз max","ok")))</f>
        <v/>
      </c>
      <c r="FN253" t="str">
        <f t="shared" si="330"/>
        <v>QFD29</v>
      </c>
      <c r="FO253" t="str">
        <f t="shared" si="331"/>
        <v>QFD29|кабель ВВГнг(А)-LS (3х2,5) → Розеточная группа Первый этаж Пом. №008A</v>
      </c>
      <c r="FP253" t="str" cm="1">
        <f t="array" ref="FP253">IF(FO253="","",_xlfn.LET(_xlpm.nd,_xlfn.TEXTSPLIT(FO253,"|"),IF(COLUMNS(_xlpm.nd)&gt;1,A253&amp;"¦"&amp;INDEX(_xlpm.nd,1)&amp;"¦"&amp;INDEX(_xlpm.nd,2),"")))</f>
        <v>ЩР-1¦QFD29¦кабель ВВГнг(А)-LS (3х2,5) → Розеточная группа Первый этаж Пом. №008A</v>
      </c>
      <c r="FQ253" t="str">
        <f t="shared" si="332"/>
        <v>R.1.008A.1¦Розеточная группа Первый этаж Пом. №008A</v>
      </c>
      <c r="FR253" t="str" cm="1">
        <f t="array" ref="FR253">IF(FO253="","",_xlfn.LET(_xlpm.nd,_xlfn.TEXTSPLIT(FO253,"|"),IF(COLUMNS(_xlpm.nd)&gt;2,A253&amp;"¦"&amp;INDEX(_xlpm.nd,2)&amp;"¦"&amp;INDEX(_xlpm.nd,3),"")))</f>
        <v/>
      </c>
      <c r="FS253" t="str">
        <f t="shared" si="333"/>
        <v/>
      </c>
      <c r="FT253" t="str" cm="1">
        <f t="array" ref="FT253">IF(FO253="","",_xlfn.LET(_xlpm.nd,_xlfn.TEXTSPLIT(FO253,"|"),IF(COLUMNS(_xlpm.nd)&gt;3,A253&amp;"¦"&amp;INDEX(_xlpm.nd,3)&amp;"¦"&amp;INDEX(_xlpm.nd,4),"")))</f>
        <v/>
      </c>
      <c r="FU253" t="str">
        <f t="shared" si="334"/>
        <v/>
      </c>
      <c r="FV253" t="str" cm="1">
        <f t="array" ref="FV253">IF(FO253="","",_xlfn.LET(_xlpm.nd,_xlfn.TEXTSPLIT(FO253,"|"),IF(COLUMNS(_xlpm.nd)&gt;4,A253&amp;"¦"&amp;INDEX(_xlpm.nd,4)&amp;"¦"&amp;INDEX(_xlpm.nd,5),"")))</f>
        <v/>
      </c>
      <c r="FW253" t="str">
        <f t="shared" si="335"/>
        <v/>
      </c>
      <c r="FX253" t="str" cm="1">
        <f t="array" ref="FX253">IF(FO253="","",_xlfn.LET(_xlpm.nd,_xlfn.TEXTSPLIT(FO253,"|"),IF(COLUMNS(_xlpm.nd)&gt;5,A253&amp;"¦"&amp;INDEX(_xlpm.nd,5)&amp;"¦"&amp;INDEX(_xlpm.nd,6),"")))</f>
        <v/>
      </c>
      <c r="FY253" t="str">
        <f t="shared" si="336"/>
        <v/>
      </c>
      <c r="FZ253" t="str" cm="1">
        <f t="array" ref="FZ253">IF(FO253="","",_xlfn.LET(_xlpm.nd,_xlfn.TEXTSPLIT(FO253,"|"),IF(COLUMNS(_xlpm.nd)&gt;6,A253&amp;"¦"&amp;INDEX(_xlpm.nd,6)&amp;"¦"&amp;INDEX(_xlpm.nd,7),"")))</f>
        <v/>
      </c>
      <c r="GA253" t="str">
        <f t="shared" si="337"/>
        <v/>
      </c>
      <c r="GB253" t="str">
        <f t="shared" si="338"/>
        <v/>
      </c>
      <c r="GC253" t="str">
        <f t="shared" si="339"/>
        <v>QFD29</v>
      </c>
      <c r="GD253">
        <f t="shared" si="340"/>
        <v>1</v>
      </c>
      <c r="GE253">
        <f t="shared" si="341"/>
        <v>0</v>
      </c>
      <c r="GF253">
        <f t="shared" si="342"/>
        <v>1</v>
      </c>
      <c r="GG253" t="str">
        <f t="shared" si="343"/>
        <v/>
      </c>
      <c r="GH253" t="str">
        <f t="shared" si="344"/>
        <v/>
      </c>
      <c r="GI253" t="str">
        <f t="shared" si="345"/>
        <v/>
      </c>
      <c r="GJ253" t="str">
        <f t="shared" si="346"/>
        <v/>
      </c>
      <c r="GK253" t="str">
        <f>IF(D253="","",IFERROR(VLOOKUP(D253,УГО_спр,2,FALSE),IFERROR(VLOOKUP(AT253,УГО_спр,2,FALSE),IFERROR(VLOOKUP(LEFT(AT253,2),УГО_спр,2,FALSE),""))))</f>
        <v>Розетка</v>
      </c>
      <c r="GL253" t="str">
        <f>IF(D253="","",IF(OR(GK253="",GK253=0),"BOX",IFERROR(IF(VLOOKUP(GK253,УГО_блоки,3,FALSE)&amp;""&lt;&gt;"",VLOOKUP(GK253,УГО_блоки,3,FALSE),VLOOKUP(GK253,УГО_блоки,2,FALSE)),GK253)))</f>
        <v>SOCKET</v>
      </c>
      <c r="GM253">
        <f t="shared" si="347"/>
        <v>1</v>
      </c>
      <c r="GN253" t="str">
        <f>IF(EP253="","",IF(COUNTIF(EP$3:EP253,EP253)=1,MAX(GN$2:GN252)+1,""))</f>
        <v/>
      </c>
      <c r="GO253" t="str">
        <f>IF(AF253="","",IF(COUNTIF(AF$3:AF253,AF253)+COUNTIF(AG$2:AG252,AF253)+COUNTIF(AH$2:AH252,AF253)=1,MAX(GO$2:GQ252)+1,""))</f>
        <v/>
      </c>
      <c r="GP253" t="str">
        <f>IF(AG253="","",IF(COUNTIF(AF$3:AF253,AG253)+COUNTIF(AG$3:AG253,AG253)+COUNTIF(AH$2:AH252,AG253)=1,MAX(GO$2:GQ252,GO253)+1,""))</f>
        <v/>
      </c>
      <c r="GQ253" t="str">
        <f>IF(AH253="","",IF(COUNTIF(AF$3:AF253,AH253)+COUNTIF(AG$3:AG253,AH253)+COUNTIF(AH$3:AH253,AH253)=1,MAX(GO$2:GQ252,GO253,GP253)+1,""))</f>
        <v/>
      </c>
      <c r="GR253" t="str">
        <f t="shared" si="348"/>
        <v>3х2,5</v>
      </c>
      <c r="GS253" t="str">
        <f>IF(GR253="","",IF(COUNTIF(GR$3:GR253,GR253)=1,MAX(GS$2:GS252)+1,""))</f>
        <v/>
      </c>
      <c r="GT253" t="str">
        <f>IF(ES253="","",COUNTIF(ES$3:ES253,"?*"))</f>
        <v/>
      </c>
      <c r="GU253" t="str">
        <f>IF(OR(ES253="",EU253=""),"",IF(COUNTIFS(ES$3:ES253,"?*",EU$3:EU253,EU253)=1,MAX(GU$2:GU252)+1,""))</f>
        <v/>
      </c>
      <c r="GV253">
        <f t="shared" si="349"/>
        <v>0</v>
      </c>
      <c r="GW253">
        <f>IF(D253="","",COUNTIF(D$3:D253,"?*"))</f>
        <v>251</v>
      </c>
      <c r="GX253">
        <f>IF(EX253&lt;&gt;1,0,_xlfn.LET(_xlpm.k,MAX(IFERROR(--VLOOKUP(D253,УГО_спр,5,FALSE),0),IFERROR(--VLOOKUP(AT253,УГО_спр,5,FALSE),0),IFERROR(--VLOOKUP(LEFT(AT253,2),УГО_спр,5,FALSE),0)),IF(_xlpm.k&gt;0,_xlpm.k,IF(IFERROR(--LEFT(SUBSTITUTE(GR253,"x","х"),FIND("х",SUBSTITUTE(GR253,"x","х"))-1),3)&gt;3,Каталог!$S$9,1))))</f>
        <v>1</v>
      </c>
      <c r="GY253">
        <f t="shared" si="350"/>
        <v>0</v>
      </c>
    </row>
    <row r="254" spans="1:207" x14ac:dyDescent="0.3">
      <c r="A254" t="s">
        <v>762</v>
      </c>
      <c r="B254">
        <v>42</v>
      </c>
      <c r="C254" t="str">
        <f>IF(BD254="","",IF(BE254="вводной узел","узел ","")&amp;"л."&amp;(INT((BD254-1)/Столбцов_на_лист)+1)&amp;" / "&amp;(MOD(BD254-1,Столбцов_на_лист)+1))</f>
        <v>л.3 / 8</v>
      </c>
      <c r="D254" t="s">
        <v>1576</v>
      </c>
      <c r="E254" s="133" t="str">
        <f t="shared" si="351"/>
        <v>Розеточная группа Первый этаж Пом. №009A</v>
      </c>
      <c r="G254">
        <v>0.18</v>
      </c>
      <c r="H254">
        <v>1</v>
      </c>
      <c r="I254">
        <v>1</v>
      </c>
      <c r="J254">
        <v>230</v>
      </c>
      <c r="K254" t="s">
        <v>566</v>
      </c>
      <c r="O254">
        <v>2</v>
      </c>
      <c r="P254">
        <v>24</v>
      </c>
      <c r="Q254">
        <v>0</v>
      </c>
      <c r="R254">
        <v>0</v>
      </c>
      <c r="S254">
        <v>22</v>
      </c>
      <c r="U254" t="s">
        <v>11</v>
      </c>
      <c r="V254">
        <v>3</v>
      </c>
      <c r="W254">
        <v>2.5</v>
      </c>
      <c r="Z254" t="s">
        <v>565</v>
      </c>
      <c r="AA254" t="s">
        <v>818</v>
      </c>
      <c r="AD254" t="s">
        <v>517</v>
      </c>
      <c r="AK254" t="s">
        <v>488</v>
      </c>
      <c r="AR254" t="str">
        <f t="shared" si="264"/>
        <v/>
      </c>
      <c r="AS254" cm="1">
        <f t="array" ref="AS254">ROW()-ROW(Линии[#Headers])</f>
        <v>252</v>
      </c>
      <c r="AT254" t="str">
        <f t="shared" si="265"/>
        <v>R</v>
      </c>
      <c r="AU254" t="str">
        <f t="shared" si="266"/>
        <v>1.009A.1</v>
      </c>
      <c r="AV254" t="str">
        <f t="shared" si="267"/>
        <v>1</v>
      </c>
      <c r="AW254" t="str">
        <f t="shared" si="268"/>
        <v>009A.1</v>
      </c>
      <c r="AX254" t="str">
        <f t="shared" si="269"/>
        <v>009A</v>
      </c>
      <c r="AY254" t="str">
        <f>IF(D254="","",IF(ISERROR(SEARCH(".",D254)),IFERROR(VLOOKUP(D254,Потребители_обозначение,2,FALSE)&amp;"",""),IFERROR(IF(VLOOKUP(AT254,Потребители_обозначение,4,FALSE)=1,VLOOKUP(AT254,Потребители_обозначение,2,FALSE)&amp;" "&amp;VLOOKUP(AV254,Этаж_обозначение,2,FALSE)&amp;" Пом. №"&amp;AX254,VLOOKUP(AT254,Потребители_обозначение,2,FALSE)&amp;" Шлейф №"&amp;AV254),IFERROR(VLOOKUP(D254,Потребители_обозначение,2,FALSE),""))))</f>
        <v>Розеточная группа Первый этаж Пом. №009A</v>
      </c>
      <c r="AZ254" t="str">
        <f t="shared" si="270"/>
        <v>Розеточная группа Первый этаж Пом. №009A</v>
      </c>
      <c r="BA254" t="str">
        <f>IF(F254&lt;&gt;"",F254,IF(AND(D254&lt;&gt;"",D254&lt;&gt;A254,ISNUMBER(_xlfn.XMATCH(D254,Щиты[Щит]))),D254,""))</f>
        <v/>
      </c>
      <c r="BB254">
        <f>IFERROR(_xlfn.XMATCH(A254,Щиты[Щит]),0)</f>
        <v>10</v>
      </c>
      <c r="BC254">
        <f>IFERROR(N(_xlfn.XLOOKUP(A254,Щиты[Щит],Щиты[Мест под вводной узел])),15)</f>
        <v>8</v>
      </c>
      <c r="BD254">
        <f t="shared" si="271"/>
        <v>42</v>
      </c>
      <c r="BE254" t="str">
        <f t="shared" si="272"/>
        <v>линии</v>
      </c>
      <c r="BF254">
        <f>IF(D254="","",IF(BA254&lt;&gt;"",IFERROR(_xlfn.XLOOKUP(BA254,Щиты[Щит],Щиты[Руст, кВт]),0),N(G254)))</f>
        <v>0.18</v>
      </c>
      <c r="BG254">
        <f>IF(J254&lt;&gt;"",J254,IF(D254="","",IFERROR(IF(VLOOKUP(AT254,Потребители_обозначение,8,FALSE)=0,"",VLOOKUP(AT254,Потребители_обозначение,8,FALSE)),"")))</f>
        <v>230</v>
      </c>
      <c r="BH254">
        <f>IF(I254&lt;&gt;"",I254,IF(D254="","",IFERROR(IF(VLOOKUP(AT254,Потребители_обозначение,9,FALSE)=0,"",VLOOKUP(AT254,Потребители_обозначение,9,FALSE)),"")))</f>
        <v>1</v>
      </c>
      <c r="BI254" t="str">
        <f>IF(U254&lt;&gt;"",U254,IF(D254="","",IFERROR(IF(VLOOKUP(AT254,Потребители_обозначение,6,FALSE)=0,"",VLOOKUP(AT254,Потребители_обозначение,6,FALSE)),"")))</f>
        <v>мс</v>
      </c>
      <c r="BJ254">
        <f>IF(V254&lt;&gt;"",V254,IF(D254="","",IFERROR(IF(VLOOKUP(AT254,Потребители_обозначение,7,FALSE)=0,"",VLOOKUP(AT254,Потребители_обозначение,7,FALSE)),"")))</f>
        <v>3</v>
      </c>
      <c r="BK254">
        <f>IF(W254&lt;&gt;"",W254,IF(D254="","",IFERROR(IF(VLOOKUP(AT254,Потребители_обозначение,10,FALSE)=0,"",VLOOKUP(AT254,Потребители_обозначение,10,FALSE)),"")))</f>
        <v>2.5</v>
      </c>
      <c r="BL254">
        <f>IFERROR(VLOOKUP(AT254,Потребители_обозначение,5,FALSE),0)</f>
        <v>1</v>
      </c>
      <c r="BM254" cm="1">
        <f t="array" ref="BM254">IF(D254="","",IF(BA254&lt;&gt;"",IFERROR(_xlfn.XLOOKUP(BA254,Щиты[Щит],Щиты[cos φ]),0.95),IF(ISNUMBER(M254),M254,IFERROR(IF(BL254=2,_xlfn.IFS(BH254=3,VLOOKUP(BF254,Справочная_двигатели,8,FALSE),BH254=1,VLOOKUP(BF254,Справочная_двигатели,10,TRUE)),IF(AND(Методика="нормы 2026",CN254="Сил"),0.8,0.95)),0.95))))</f>
        <v>0.95</v>
      </c>
      <c r="BN254" cm="1">
        <f t="array" ref="BN254">IF(D254="","",IF(BA254&lt;&gt;"",IFERROR(_xlfn.XLOOKUP(BA254,Щиты[Щит],Щиты[Iр, А]),""),IFERROR(_xlfn.IFS(BH254=1,BF254/((Uн_лин/SQRT(3))*BM254),BH254=3,BF254/(SQRT(3)*Uн_лин*BM254)),"")))</f>
        <v>0.8204451193747313</v>
      </c>
      <c r="BO254">
        <f>IF(D254="","",IF(N(X254)=0,IFERROR(VLOOKUP(BN254,Автомат_номиналы,2,TRUE),""),X254))</f>
        <v>6</v>
      </c>
      <c r="BP254">
        <f t="shared" si="273"/>
        <v>1</v>
      </c>
      <c r="BQ254">
        <f>IF(ISNUMBER(Y254),Y254,К_прокл)</f>
        <v>1</v>
      </c>
      <c r="BR254">
        <f t="shared" si="274"/>
        <v>2</v>
      </c>
      <c r="BS254" cm="1">
        <f t="array" ref="BS254">IF(D254="","",IF(N(BK254)&lt;&gt;0,BK254,IFERROR(_xlfn.LET(_xlpm.need,BO254/(BP254*BQ254),_xlpm.t,CHOOSE(BR254,Iдоп_1ж,Iдоп_2ж,Iдоп_3ж),_xlpm.k,_xlfn.XMATCH(_xlpm.need,_xlpm.t,1),IF(ISNA(_xlpm.k),"Не исп",INDEX(Iдоп_S,_xlpm.k))),"Не исп")))</f>
        <v>2.5</v>
      </c>
      <c r="BT254">
        <f>IFERROR(VLOOKUP(BS254,Кабель_сопротивление,3,FALSE),"")</f>
        <v>2.2499999999999999E-2</v>
      </c>
      <c r="BU254">
        <f>IFERROR(VLOOKUP(BS254,Кабель_сопротивление,2,FALSE),"")</f>
        <v>0.1</v>
      </c>
      <c r="BV254">
        <f t="shared" si="275"/>
        <v>24</v>
      </c>
      <c r="BW254">
        <f>IF(D254="","",IFERROR(IF(VLOOKUP(AT254,Потребители_обозначение,4,FALSE)=1,VLOOKUP(AT254,Потребители_обозначение,3,FALSE)*(H254*2-1)+BV254+VLOOKUP(AV254,Этаж_обозначение,3,FALSE)+VLOOKUP(AV254,Этаж_обозначение,4,FALSE),VLOOKUP(AT254,Потребители_обозначение,3,FALSE)*(H254*2-1)+BV254),BV254))</f>
        <v>27</v>
      </c>
      <c r="BX254">
        <f t="shared" si="276"/>
        <v>0</v>
      </c>
      <c r="BY254">
        <f t="shared" si="277"/>
        <v>22</v>
      </c>
      <c r="BZ254">
        <f t="shared" si="278"/>
        <v>2</v>
      </c>
      <c r="CA254">
        <f t="shared" si="279"/>
        <v>0.31</v>
      </c>
      <c r="CB254">
        <f t="shared" si="280"/>
        <v>0.38017293674514668</v>
      </c>
      <c r="CC254">
        <f>IFERROR(ROUNDUP(CB254/((Uн_лин/SQRT(3))*1000)*100,2),"")</f>
        <v>0.17</v>
      </c>
      <c r="CD254">
        <f>IF(ISNUMBER(CC254),CC254+IFERROR(_xlfn.XLOOKUP(A254,Щиты[Щит],Щиты[ΔU до шин, %]),0),"")</f>
        <v>1.42</v>
      </c>
      <c r="CE254">
        <f>IF(D254="","",IF(IFERROR(VLOOKUP(AT254,УГО_спр,2,FALSE),"")="Светильник",3,4)+IF(Методика="нормы 2026",MIN(0.5,MAX(0,N(BW254)-100)*0.005),0))</f>
        <v>4</v>
      </c>
      <c r="CF254" t="str">
        <f>IFERROR(VLOOKUP(BI254,Кабель_обозначение,2,FALSE),"")</f>
        <v>ВВГнг(А)-LS</v>
      </c>
      <c r="CG254" t="str">
        <f>IFERROR(IF(VLOOKUP(BI254,Кабель_обозначение,3,FALSE)=1,CF254&amp;" ("&amp;BJ254&amp;"х"&amp;BS254&amp;")",CF254),"")</f>
        <v>ВВГнг(А)-LS (3х2,5)</v>
      </c>
      <c r="CH254" t="str">
        <f t="shared" si="281"/>
        <v>ВВГнг(А)-LS (3х2,5)
L=27-0,17%</v>
      </c>
      <c r="CI254">
        <f>IFERROR(2*ρкз_Cu*BW254/BS254,"")</f>
        <v>0.56808000000000003</v>
      </c>
      <c r="CJ254">
        <f t="shared" si="282"/>
        <v>0.189</v>
      </c>
      <c r="CK254" t="str">
        <f>IFERROR(IF(OR(D254="",NOT(ISNUMBER(BS254)),N(BW254)=0),"",_xlfn.XLOOKUP(A254,Щиты[Щит],Щиты[Zпетли на шинах, Ом])+CI254),"")</f>
        <v/>
      </c>
      <c r="CL254" t="str">
        <f>IF(ISNUMBER(CK254),c_min*(Uн_лин*1000/SQRT(3))/CK254,"")</f>
        <v/>
      </c>
      <c r="CM254" t="str">
        <f>IFERROR(IF(OR(D254="",NOT(ISNUMBER(BS254))),"",1.05*(Uн_лин*1000/SQRT(3))/(_xlfn.XLOOKUP(A254,Щиты[Щит],Щиты[Zmax на шинах, Ом])+CJ254)/1000),"")</f>
        <v/>
      </c>
      <c r="CN254" t="str">
        <f>IF(D254="","",IF(BA254&lt;&gt;"","Щит",IF(K254&lt;&gt;"",K254,IF(ISNUMBER(L254),"Сил",IF(IFERROR(_xlfn.XLOOKUP(AT254,Коды_код,Коды_группа)&amp;"","")="","Быт",_xlfn.XLOOKUP(AT254,Коды_код,Коды_группа)&amp;"")))))</f>
        <v>Быт</v>
      </c>
      <c r="CO254">
        <f>IF(CN254="Щит","щит",IF(CN254="","",IF(CN254="Быт",IFERROR(_xlfn.XLOOKUP(A254,Щиты[Щит],Щиты[Кс быт]),1),IF(CN254="Сил",IF(ISNUMBER(L254),L254,IF(Методика="нормы 2026",IFERROR(_xlfn.XLOOKUP(A254,Щиты[Щит],Щиты[Кс силовых (табл. 7.5)]),1),1)),IF(OR(CN254="Пост",CN254="Отоп"),1,IF(CN254="ВНГ",0.7,0))))))</f>
        <v>0.57830000000000004</v>
      </c>
      <c r="CP254">
        <f t="shared" si="283"/>
        <v>1</v>
      </c>
      <c r="CQ254">
        <f t="shared" si="284"/>
        <v>0.18</v>
      </c>
      <c r="CR254">
        <f t="shared" si="285"/>
        <v>0.18</v>
      </c>
      <c r="CS254">
        <f t="shared" si="286"/>
        <v>0</v>
      </c>
      <c r="CT254">
        <f t="shared" si="287"/>
        <v>0</v>
      </c>
      <c r="CU254">
        <f t="shared" si="288"/>
        <v>0</v>
      </c>
      <c r="CV254">
        <f t="shared" si="289"/>
        <v>0</v>
      </c>
      <c r="CW254">
        <f t="shared" si="290"/>
        <v>0.18</v>
      </c>
      <c r="CX254">
        <f t="shared" si="291"/>
        <v>0.17099999999999999</v>
      </c>
      <c r="CY254">
        <f t="shared" si="292"/>
        <v>3</v>
      </c>
      <c r="CZ254" t="str">
        <f t="shared" si="293"/>
        <v>L3</v>
      </c>
      <c r="DA254" cm="1">
        <f t="array" ref="DA254">IFERROR(IF(BL254=2,_xlfn.IFS(BH254=3,VLOOKUP(BF254,Справочная_двигатели,3,FALSE),BH254=1,VLOOKUP(BF254,Справочная_двигатели,5,TRUE)),0),0)</f>
        <v>0</v>
      </c>
      <c r="DB254">
        <f>IFERROR(IF(BL254=3,VLOOKUP(BF254,Справочная_ЛЭД,2,TRUE),0),0)</f>
        <v>0</v>
      </c>
      <c r="DC254">
        <f t="shared" si="294"/>
        <v>0</v>
      </c>
      <c r="DD254" t="str">
        <f t="shared" si="295"/>
        <v>L2</v>
      </c>
      <c r="DE254" t="str" cm="1">
        <f t="array" ref="DE254">IF(D254="","",IFERROR(INDEX({"I особая","I","II","III"},MATCH(TRIM(AA254&amp;""),{"I особая","I","II","III"},0)),"III"))</f>
        <v>II</v>
      </c>
      <c r="DF254" t="str">
        <f>IF(D254="","",IF(TRIM(AB254&amp;"")&lt;&gt;"",IF(LOWER(TRIM(AB254&amp;""))="да","да","нет"),IF(IFERROR(_xlfn.XLOOKUP(AT254,Коды_код,Коды_пожарная),"")="да","да","нет")))</f>
        <v>нет</v>
      </c>
      <c r="DG254" t="str">
        <f t="shared" si="296"/>
        <v/>
      </c>
      <c r="DH254" t="str">
        <f t="shared" si="297"/>
        <v>основная</v>
      </c>
      <c r="DI254">
        <f t="shared" si="298"/>
        <v>1</v>
      </c>
      <c r="DJ254" t="str" cm="1">
        <f t="array" ref="DJ254">IF(D254="","",_xlfn.LET(_xlpm.t,IFERROR(_xlfn.XLOOKUP(1,(Шины[Шина]=DH254)*(((Шины[Щит]=A254)+(Шины[Щит]=""))&gt;0),Шины[Тип]),"")&amp;"",IF(_xlpm.t&lt;&gt;"",_xlpm.t,IF(ISNUMBER(SEARCH("ИБП",DH254)),"ИБП",IF(ISNUMBER(SEARCH("ДГУ",DH254)),"ДГУ","Ввод "&amp;DI254)))))</f>
        <v>Ввод 1</v>
      </c>
      <c r="DK254" t="str">
        <f t="shared" si="299"/>
        <v>Ввод 1</v>
      </c>
      <c r="DL254" t="str">
        <f>IF(D254="","",IF(OR(DJ254="ИБП",DJ254="ДГУ"),"I особая",IF(DJ254="Одиночная","III",_xlfn.XLOOKUP(A254,Щиты[Щит],Щиты[Категория шины «Ввод»],"III"))))</f>
        <v>II</v>
      </c>
      <c r="DM254">
        <f>IF(D254="",0,IFERROR(MATCH(DE254,{"III","II","I","I особая"},0),1))</f>
        <v>2</v>
      </c>
      <c r="DN254">
        <f t="shared" si="300"/>
        <v>2</v>
      </c>
      <c r="DO254" t="str">
        <f>IF(D254="","",IF(DM254&gt;IFERROR(MATCH(DL254,{"III","II","I","I особая"},0),1),"НЕ ОБЕСПЕЧЕНА","ОК"))</f>
        <v>ОК</v>
      </c>
      <c r="DP254" t="str">
        <f>IF(A254="","",_xlfn.XLOOKUP(A254,Щиты[Щит],Щиты[Путь],""))</f>
        <v>|ГРЩ-ЖД|ЩР-1|</v>
      </c>
      <c r="DQ254" t="str">
        <f>IF(D254="","",IF(Z254&lt;&gt;"",Z254,IF(IFERROR(_xlfn.XLOOKUP(AT254,Коды_код,Коды_вид)&amp;"","")="","Прочее",_xlfn.XLOOKUP(AT254,Коды_код,Коды_вид)&amp;"")))</f>
        <v>Розеточная сеть и бытовые приборы</v>
      </c>
      <c r="DR254">
        <f>IF(BD254="","",INT((BD254-1)/Столбцов_на_лист)+1)</f>
        <v>3</v>
      </c>
      <c r="DS254" t="str">
        <f t="shared" si="301"/>
        <v>ВВГнг(А)-LS (3х2,5) L=27-0,17%</v>
      </c>
      <c r="DT254">
        <f t="shared" si="302"/>
        <v>0.18</v>
      </c>
      <c r="DU254">
        <f t="shared" si="303"/>
        <v>0.83</v>
      </c>
      <c r="DV254">
        <f t="shared" si="304"/>
        <v>1</v>
      </c>
      <c r="DW254">
        <f>IF(AT254="",0,_xlfn.LET(_xlpm.v,IFERROR(VLOOKUP(D254,УГО_спр,3,FALSE),IFERROR(VLOOKUP(AT254,УГО_спр,3,FALSE),IFERROR(VLOOKUP(LEFT(AT254,2),УГО_спр,3,FALSE),""))),IF(_xlpm.v="да",30,IF(ISNUMBER(_xlpm.v),_xlpm.v,0))))</f>
        <v>30</v>
      </c>
      <c r="DX254">
        <f t="shared" si="305"/>
        <v>0</v>
      </c>
      <c r="DY254">
        <f>IF(BD254="","",IF(AD254&lt;&gt;"",COUNTIFS(A$3:A254,A254,AD$3:AD254,"?*"),IF(OR(OR(AS254=1,A254&lt;&gt;A253),AL254="вручную"),"",IF(AS254=1,"",DZ253))))</f>
        <v>30</v>
      </c>
      <c r="DZ254">
        <f t="shared" si="306"/>
        <v>30</v>
      </c>
      <c r="EA254">
        <f>IF(D254="",0,MAX(IFERROR(--X254,0),IFERROR(--VLOOKUP(D254,УГО_спр,4,FALSE),IFERROR(--VLOOKUP(AT254,УГО_спр,4,FALSE),IFERROR(--VLOOKUP(LEFT(AT254,2),УГО_спр,4,FALSE),0)))))</f>
        <v>16</v>
      </c>
      <c r="EB254">
        <f>IF(D254="","",IFERROR(LOOKUP(INDEX(CHOOSE(BR254,Iдоп_1ж,Iдоп_2ж,Iдоп_3ж),MATCH(BS254,Iдоп_S,0))*BP254*BQ254,{6,10,16,20,25,32,40,50,63,80,100,125,160,200,250,315,400,500,630}),""))</f>
        <v>25</v>
      </c>
      <c r="EC254">
        <f>IF(AD254="","",SUMIFS(Линии[_Ток схемы],Линии[_гр.],DY254,Линии[Щит],A254,Линии[_в кабель выше],0))</f>
        <v>0.83</v>
      </c>
      <c r="ED254">
        <f>IF(AD254="","",IFERROR(VLOOKUP(EC254,Автомат_номиналы,2,TRUE),""))</f>
        <v>6</v>
      </c>
      <c r="EE254">
        <f>IF(AD254="","",MAX(N(ED254),_xlfn.MAXIFS(Линии[_мин. по типу],Линии[_гр.],DY254,Линии[Щит],A254)))</f>
        <v>16</v>
      </c>
      <c r="EF254">
        <f>IF(AD254="","",_xlfn.MINIFS(Линии[_макс. автомат по кабелю],Линии[_гр.],DY254,Линии[Щит],A254))</f>
        <v>25</v>
      </c>
      <c r="EG254">
        <f>IF(AD254="","",MAX(1,_xlfn.MAXIFS(Линии[_фаз],Линии[_гр.],DY254,Линии[Щит],A254)))</f>
        <v>1</v>
      </c>
      <c r="EH254">
        <f>IF(AD254="","",IF(AND(AD254&lt;&gt;"авто",AD254&lt;&gt;"+"),IF(ISNUMBER(SEARCH("мА",AD254)),IFERROR(--TRIM(RIGHT(SUBSTITUTE(LEFT(AD254,SEARCH("мА",AD254)-1)," ",REPT(" ",9)),6)),30),0),IF(AE254="нет",0,IF(ISNUMBER(AE254),AE254,IF(AE254="да",30,_xlfn.MINIFS(Линии[_дифзащита по коду, мА],Линии[_гр.],DY254,Линии[Щит],A254,Линии[_дифзащита по коду, мА],"&gt;0"))))))</f>
        <v>30</v>
      </c>
      <c r="EI254">
        <f t="shared" si="307"/>
        <v>1</v>
      </c>
      <c r="EJ254" t="str">
        <f t="shared" si="308"/>
        <v>QFD30</v>
      </c>
      <c r="EK254" t="str">
        <f t="shared" si="309"/>
        <v>QFD30</v>
      </c>
      <c r="EL254" t="str">
        <f t="shared" si="310"/>
        <v/>
      </c>
      <c r="EM254">
        <f t="shared" si="311"/>
        <v>0</v>
      </c>
      <c r="EN254">
        <f>IF(AD254="","",IF(EM254=1,MAX(EE254,Мин_автомат_БП),EE254))</f>
        <v>16</v>
      </c>
      <c r="EO254" t="str">
        <f t="shared" si="312"/>
        <v>2P</v>
      </c>
      <c r="EP254" t="str">
        <f t="shared" si="313"/>
        <v>2P С16А 30мА</v>
      </c>
      <c r="EQ254">
        <f t="shared" si="314"/>
        <v>16</v>
      </c>
      <c r="ER254" t="str">
        <f>IF(OR(AI254="",AI254="-"),"",IFERROR(VLOOKUP(AI254,Модули_спр,2,FALSE),"R"))</f>
        <v/>
      </c>
      <c r="ES254" t="str">
        <f>IF(ER254="","",ER254&amp;"."&amp;COUNTIFS(A$3:A254,A254,ER$3:ER254,ER254))</f>
        <v/>
      </c>
      <c r="ET254" t="str">
        <f t="shared" si="315"/>
        <v/>
      </c>
      <c r="EU254" t="str">
        <f t="shared" si="316"/>
        <v/>
      </c>
      <c r="EV254" t="str">
        <f t="shared" si="317"/>
        <v/>
      </c>
      <c r="EW254" t="str">
        <f t="shared" si="318"/>
        <v/>
      </c>
      <c r="EX254">
        <f t="shared" si="319"/>
        <v>1</v>
      </c>
      <c r="EY254" t="str">
        <f>IF(AK254="нет","",IF(AK254&lt;&gt;"",AK254,IF(EX254=1,"XT"&amp;COUNTIFS(A$3:A254,A254,EX$3:EX254,1),"")))</f>
        <v/>
      </c>
      <c r="EZ254" t="str">
        <f t="shared" si="320"/>
        <v>QFD30</v>
      </c>
      <c r="FA254" t="str">
        <f t="shared" si="321"/>
        <v/>
      </c>
      <c r="FB254" t="str">
        <f t="shared" si="322"/>
        <v>ok</v>
      </c>
      <c r="FC254" t="str">
        <f>IF(OR(EV254="",ET254=""),"",IF(EV254&gt;IFERROR(VLOOKUP(EU254,Модули_спр,3,FALSE),99),"ЛИШНИЙ КАНАЛ",IF(AND(AJ254&lt;&gt;"=",COUNTIFS(Линии[_модуль гр.],ET254,Линии[Канал (итог)],EV254,Линии[Канал],"&lt;&gt;=",Линии[Щит],A254)&gt;1),"ДУБЛЬ КАНАЛА","")))</f>
        <v/>
      </c>
      <c r="FD254">
        <f t="shared" si="323"/>
        <v>16</v>
      </c>
      <c r="FE254" t="str">
        <f t="shared" si="324"/>
        <v>2P С16А 30мА</v>
      </c>
      <c r="FF254">
        <f t="shared" si="325"/>
        <v>1</v>
      </c>
      <c r="FG254">
        <f t="shared" si="326"/>
        <v>30</v>
      </c>
      <c r="FH254" t="str">
        <f t="shared" si="327"/>
        <v/>
      </c>
      <c r="FI254">
        <f t="shared" si="328"/>
        <v>10</v>
      </c>
      <c r="FJ254" t="str">
        <f t="shared" si="329"/>
        <v/>
      </c>
      <c r="FK254" t="str">
        <f>IF(AND(D254="",EZ254=""),"",_xlfn.TEXTJOIN("; ",TRUE,IF(AND(D254&lt;&gt;"",DD254=""),"нет фазы",""),IF(AND(D254&lt;&gt;"",N(DT254)=0,CN254&lt;&gt;"Нет"),"нет мощности",""),IF(AND(EY254&lt;&gt;"",COUNTIFS(Линии[Щит],A254,Линии[Клемма (итог)],EY254)&gt;1),"дубль клеммы "&amp;EY254,""),IF(AND(FB254&lt;&gt;"",FB254&lt;&gt;"ok"),FB254,""),IF(FC254&lt;&gt;"",FC254,""),IF(AND(ISNUMBER(SEARCH("(5х",DS254)),N(DV254)=1),"5 жил на 1 фазе",""),IF(AND(AT254="R",AD254&lt;&gt;"",OR(N(EH254)=0,N(EH254)&gt;30)),"розетка без дифзащиты до 30 мА",""),IFERROR(IF(AND(ISNUMBER(CD254),CD254&gt;CE254),"потери "&amp;FIXED(CD254,1)&amp;" % &gt; "&amp;CE254&amp;" %",""),""),IFERROR(IF(LEFT(FJ254,4)="мало","Iкз мало — отключение &gt; 0,4 с",""),""),IF(AND(D254&lt;&gt;"",BD254=""),"не на схеме","")))</f>
        <v/>
      </c>
      <c r="FL254">
        <f>IF(AD254="","",_xlfn.LET(_xlpm.t,IFERROR(_xlfn.XLOOKUP(EP254,Каталог!$U$4:$U$500,Каталог!$G$4:$G$500),""),_xlpm.k,SEARCH("кА",_xlpm.t),IFERROR(--TRIM(RIGHT(SUBSTITUTE(MID(_xlpm.t,MAX(1,_xlpm.k-4),_xlpm.k-MAX(1,_xlpm.k-4))," ",REPT(" ",9)),5)),"")))</f>
        <v>6</v>
      </c>
      <c r="FM254" t="str">
        <f>IF(OR(FL254="",AD254=""),"",IF(_xlfn.XLOOKUP(A254,Щиты[Щит],Щиты[Iкз max на шинах, кА],"")="","",IF(FL254&lt;_xlfn.XLOOKUP(A254,Щиты[Щит],Щиты[Iкз max на шинах, кА]),"Icu "&amp;FL254&amp;" кА &lt; Iкз max","ok")))</f>
        <v/>
      </c>
      <c r="FN254" t="str">
        <f t="shared" si="330"/>
        <v>QFD30</v>
      </c>
      <c r="FO254" t="str">
        <f t="shared" si="331"/>
        <v>QFD30|кабель ВВГнг(А)-LS (3х2,5) → Розеточная группа Первый этаж Пом. №009A</v>
      </c>
      <c r="FP254" t="str" cm="1">
        <f t="array" ref="FP254">IF(FO254="","",_xlfn.LET(_xlpm.nd,_xlfn.TEXTSPLIT(FO254,"|"),IF(COLUMNS(_xlpm.nd)&gt;1,A254&amp;"¦"&amp;INDEX(_xlpm.nd,1)&amp;"¦"&amp;INDEX(_xlpm.nd,2),"")))</f>
        <v>ЩР-1¦QFD30¦кабель ВВГнг(А)-LS (3х2,5) → Розеточная группа Первый этаж Пом. №009A</v>
      </c>
      <c r="FQ254" t="str">
        <f t="shared" si="332"/>
        <v>R.1.009A.1¦Розеточная группа Первый этаж Пом. №009A</v>
      </c>
      <c r="FR254" t="str" cm="1">
        <f t="array" ref="FR254">IF(FO254="","",_xlfn.LET(_xlpm.nd,_xlfn.TEXTSPLIT(FO254,"|"),IF(COLUMNS(_xlpm.nd)&gt;2,A254&amp;"¦"&amp;INDEX(_xlpm.nd,2)&amp;"¦"&amp;INDEX(_xlpm.nd,3),"")))</f>
        <v/>
      </c>
      <c r="FS254" t="str">
        <f t="shared" si="333"/>
        <v/>
      </c>
      <c r="FT254" t="str" cm="1">
        <f t="array" ref="FT254">IF(FO254="","",_xlfn.LET(_xlpm.nd,_xlfn.TEXTSPLIT(FO254,"|"),IF(COLUMNS(_xlpm.nd)&gt;3,A254&amp;"¦"&amp;INDEX(_xlpm.nd,3)&amp;"¦"&amp;INDEX(_xlpm.nd,4),"")))</f>
        <v/>
      </c>
      <c r="FU254" t="str">
        <f t="shared" si="334"/>
        <v/>
      </c>
      <c r="FV254" t="str" cm="1">
        <f t="array" ref="FV254">IF(FO254="","",_xlfn.LET(_xlpm.nd,_xlfn.TEXTSPLIT(FO254,"|"),IF(COLUMNS(_xlpm.nd)&gt;4,A254&amp;"¦"&amp;INDEX(_xlpm.nd,4)&amp;"¦"&amp;INDEX(_xlpm.nd,5),"")))</f>
        <v/>
      </c>
      <c r="FW254" t="str">
        <f t="shared" si="335"/>
        <v/>
      </c>
      <c r="FX254" t="str" cm="1">
        <f t="array" ref="FX254">IF(FO254="","",_xlfn.LET(_xlpm.nd,_xlfn.TEXTSPLIT(FO254,"|"),IF(COLUMNS(_xlpm.nd)&gt;5,A254&amp;"¦"&amp;INDEX(_xlpm.nd,5)&amp;"¦"&amp;INDEX(_xlpm.nd,6),"")))</f>
        <v/>
      </c>
      <c r="FY254" t="str">
        <f t="shared" si="336"/>
        <v/>
      </c>
      <c r="FZ254" t="str" cm="1">
        <f t="array" ref="FZ254">IF(FO254="","",_xlfn.LET(_xlpm.nd,_xlfn.TEXTSPLIT(FO254,"|"),IF(COLUMNS(_xlpm.nd)&gt;6,A254&amp;"¦"&amp;INDEX(_xlpm.nd,6)&amp;"¦"&amp;INDEX(_xlpm.nd,7),"")))</f>
        <v/>
      </c>
      <c r="GA254" t="str">
        <f t="shared" si="337"/>
        <v/>
      </c>
      <c r="GB254" t="str">
        <f t="shared" si="338"/>
        <v/>
      </c>
      <c r="GC254" t="str">
        <f t="shared" si="339"/>
        <v>QFD30</v>
      </c>
      <c r="GD254">
        <f t="shared" si="340"/>
        <v>1</v>
      </c>
      <c r="GE254">
        <f t="shared" si="341"/>
        <v>0</v>
      </c>
      <c r="GF254">
        <f t="shared" si="342"/>
        <v>1</v>
      </c>
      <c r="GG254" t="str">
        <f t="shared" si="343"/>
        <v/>
      </c>
      <c r="GH254" t="str">
        <f t="shared" si="344"/>
        <v/>
      </c>
      <c r="GI254" t="str">
        <f t="shared" si="345"/>
        <v/>
      </c>
      <c r="GJ254" t="str">
        <f t="shared" si="346"/>
        <v/>
      </c>
      <c r="GK254" t="str">
        <f>IF(D254="","",IFERROR(VLOOKUP(D254,УГО_спр,2,FALSE),IFERROR(VLOOKUP(AT254,УГО_спр,2,FALSE),IFERROR(VLOOKUP(LEFT(AT254,2),УГО_спр,2,FALSE),""))))</f>
        <v>Розетка</v>
      </c>
      <c r="GL254" t="str">
        <f>IF(D254="","",IF(OR(GK254="",GK254=0),"BOX",IFERROR(IF(VLOOKUP(GK254,УГО_блоки,3,FALSE)&amp;""&lt;&gt;"",VLOOKUP(GK254,УГО_блоки,3,FALSE),VLOOKUP(GK254,УГО_блоки,2,FALSE)),GK254)))</f>
        <v>SOCKET</v>
      </c>
      <c r="GM254">
        <f t="shared" si="347"/>
        <v>1</v>
      </c>
      <c r="GN254" t="str">
        <f>IF(EP254="","",IF(COUNTIF(EP$3:EP254,EP254)=1,MAX(GN$2:GN253)+1,""))</f>
        <v/>
      </c>
      <c r="GO254" t="str">
        <f>IF(AF254="","",IF(COUNTIF(AF$3:AF254,AF254)+COUNTIF(AG$2:AG253,AF254)+COUNTIF(AH$2:AH253,AF254)=1,MAX(GO$2:GQ253)+1,""))</f>
        <v/>
      </c>
      <c r="GP254" t="str">
        <f>IF(AG254="","",IF(COUNTIF(AF$3:AF254,AG254)+COUNTIF(AG$3:AG254,AG254)+COUNTIF(AH$2:AH253,AG254)=1,MAX(GO$2:GQ253,GO254)+1,""))</f>
        <v/>
      </c>
      <c r="GQ254" t="str">
        <f>IF(AH254="","",IF(COUNTIF(AF$3:AF254,AH254)+COUNTIF(AG$3:AG254,AH254)+COUNTIF(AH$3:AH254,AH254)=1,MAX(GO$2:GQ253,GO254,GP254)+1,""))</f>
        <v/>
      </c>
      <c r="GR254" t="str">
        <f t="shared" si="348"/>
        <v>3х2,5</v>
      </c>
      <c r="GS254" t="str">
        <f>IF(GR254="","",IF(COUNTIF(GR$3:GR254,GR254)=1,MAX(GS$2:GS253)+1,""))</f>
        <v/>
      </c>
      <c r="GT254" t="str">
        <f>IF(ES254="","",COUNTIF(ES$3:ES254,"?*"))</f>
        <v/>
      </c>
      <c r="GU254" t="str">
        <f>IF(OR(ES254="",EU254=""),"",IF(COUNTIFS(ES$3:ES254,"?*",EU$3:EU254,EU254)=1,MAX(GU$2:GU253)+1,""))</f>
        <v/>
      </c>
      <c r="GV254">
        <f t="shared" si="349"/>
        <v>0</v>
      </c>
      <c r="GW254">
        <f>IF(D254="","",COUNTIF(D$3:D254,"?*"))</f>
        <v>252</v>
      </c>
      <c r="GX254">
        <f>IF(EX254&lt;&gt;1,0,_xlfn.LET(_xlpm.k,MAX(IFERROR(--VLOOKUP(D254,УГО_спр,5,FALSE),0),IFERROR(--VLOOKUP(AT254,УГО_спр,5,FALSE),0),IFERROR(--VLOOKUP(LEFT(AT254,2),УГО_спр,5,FALSE),0)),IF(_xlpm.k&gt;0,_xlpm.k,IF(IFERROR(--LEFT(SUBSTITUTE(GR254,"x","х"),FIND("х",SUBSTITUTE(GR254,"x","х"))-1),3)&gt;3,Каталог!$S$9,1))))</f>
        <v>1</v>
      </c>
      <c r="GY254">
        <f t="shared" si="350"/>
        <v>0</v>
      </c>
    </row>
    <row r="255" spans="1:207" x14ac:dyDescent="0.3">
      <c r="A255" t="s">
        <v>762</v>
      </c>
      <c r="B255">
        <v>43</v>
      </c>
      <c r="C255" t="str">
        <f>IF(BD255="","",IF(BE255="вводной узел","узел ","")&amp;"л."&amp;(INT((BD255-1)/Столбцов_на_лист)+1)&amp;" / "&amp;(MOD(BD255-1,Столбцов_на_лист)+1))</f>
        <v>л.3 / 9</v>
      </c>
      <c r="D255" t="s">
        <v>1577</v>
      </c>
      <c r="E255" s="133" t="str">
        <f t="shared" si="351"/>
        <v>Розеточная группа Первый этаж Пом. №010A</v>
      </c>
      <c r="G255">
        <v>0.24</v>
      </c>
      <c r="H255">
        <v>2</v>
      </c>
      <c r="I255">
        <v>1</v>
      </c>
      <c r="J255">
        <v>230</v>
      </c>
      <c r="K255" t="s">
        <v>566</v>
      </c>
      <c r="O255">
        <v>3</v>
      </c>
      <c r="P255">
        <v>36</v>
      </c>
      <c r="Q255">
        <v>0</v>
      </c>
      <c r="R255">
        <v>0</v>
      </c>
      <c r="S255">
        <v>40</v>
      </c>
      <c r="U255" t="s">
        <v>11</v>
      </c>
      <c r="V255">
        <v>3</v>
      </c>
      <c r="W255">
        <v>2.5</v>
      </c>
      <c r="Z255" t="s">
        <v>565</v>
      </c>
      <c r="AA255" t="s">
        <v>818</v>
      </c>
      <c r="AD255" t="s">
        <v>517</v>
      </c>
      <c r="AK255" t="s">
        <v>488</v>
      </c>
      <c r="AR255" t="str">
        <f t="shared" si="264"/>
        <v/>
      </c>
      <c r="AS255" cm="1">
        <f t="array" ref="AS255">ROW()-ROW(Линии[#Headers])</f>
        <v>253</v>
      </c>
      <c r="AT255" t="str">
        <f t="shared" si="265"/>
        <v>R</v>
      </c>
      <c r="AU255" t="str">
        <f t="shared" si="266"/>
        <v>1.010A.1</v>
      </c>
      <c r="AV255" t="str">
        <f t="shared" si="267"/>
        <v>1</v>
      </c>
      <c r="AW255" t="str">
        <f t="shared" si="268"/>
        <v>010A.1</v>
      </c>
      <c r="AX255" t="str">
        <f t="shared" si="269"/>
        <v>010A</v>
      </c>
      <c r="AY255" t="str">
        <f>IF(D255="","",IF(ISERROR(SEARCH(".",D255)),IFERROR(VLOOKUP(D255,Потребители_обозначение,2,FALSE)&amp;"",""),IFERROR(IF(VLOOKUP(AT255,Потребители_обозначение,4,FALSE)=1,VLOOKUP(AT255,Потребители_обозначение,2,FALSE)&amp;" "&amp;VLOOKUP(AV255,Этаж_обозначение,2,FALSE)&amp;" Пом. №"&amp;AX255,VLOOKUP(AT255,Потребители_обозначение,2,FALSE)&amp;" Шлейф №"&amp;AV255),IFERROR(VLOOKUP(D255,Потребители_обозначение,2,FALSE),""))))</f>
        <v>Розеточная группа Первый этаж Пом. №010A</v>
      </c>
      <c r="AZ255" t="str">
        <f t="shared" si="270"/>
        <v>Розеточная группа Первый этаж Пом. №010A</v>
      </c>
      <c r="BA255" t="str">
        <f>IF(F255&lt;&gt;"",F255,IF(AND(D255&lt;&gt;"",D255&lt;&gt;A255,ISNUMBER(_xlfn.XMATCH(D255,Щиты[Щит]))),D255,""))</f>
        <v/>
      </c>
      <c r="BB255">
        <f>IFERROR(_xlfn.XMATCH(A255,Щиты[Щит]),0)</f>
        <v>10</v>
      </c>
      <c r="BC255">
        <f>IFERROR(N(_xlfn.XLOOKUP(A255,Щиты[Щит],Щиты[Мест под вводной узел])),15)</f>
        <v>8</v>
      </c>
      <c r="BD255">
        <f t="shared" si="271"/>
        <v>43</v>
      </c>
      <c r="BE255" t="str">
        <f t="shared" si="272"/>
        <v>линии</v>
      </c>
      <c r="BF255">
        <f>IF(D255="","",IF(BA255&lt;&gt;"",IFERROR(_xlfn.XLOOKUP(BA255,Щиты[Щит],Щиты[Руст, кВт]),0),N(G255)))</f>
        <v>0.24</v>
      </c>
      <c r="BG255">
        <f>IF(J255&lt;&gt;"",J255,IF(D255="","",IFERROR(IF(VLOOKUP(AT255,Потребители_обозначение,8,FALSE)=0,"",VLOOKUP(AT255,Потребители_обозначение,8,FALSE)),"")))</f>
        <v>230</v>
      </c>
      <c r="BH255">
        <f>IF(I255&lt;&gt;"",I255,IF(D255="","",IFERROR(IF(VLOOKUP(AT255,Потребители_обозначение,9,FALSE)=0,"",VLOOKUP(AT255,Потребители_обозначение,9,FALSE)),"")))</f>
        <v>1</v>
      </c>
      <c r="BI255" t="str">
        <f>IF(U255&lt;&gt;"",U255,IF(D255="","",IFERROR(IF(VLOOKUP(AT255,Потребители_обозначение,6,FALSE)=0,"",VLOOKUP(AT255,Потребители_обозначение,6,FALSE)),"")))</f>
        <v>мс</v>
      </c>
      <c r="BJ255">
        <f>IF(V255&lt;&gt;"",V255,IF(D255="","",IFERROR(IF(VLOOKUP(AT255,Потребители_обозначение,7,FALSE)=0,"",VLOOKUP(AT255,Потребители_обозначение,7,FALSE)),"")))</f>
        <v>3</v>
      </c>
      <c r="BK255">
        <f>IF(W255&lt;&gt;"",W255,IF(D255="","",IFERROR(IF(VLOOKUP(AT255,Потребители_обозначение,10,FALSE)=0,"",VLOOKUP(AT255,Потребители_обозначение,10,FALSE)),"")))</f>
        <v>2.5</v>
      </c>
      <c r="BL255">
        <f>IFERROR(VLOOKUP(AT255,Потребители_обозначение,5,FALSE),0)</f>
        <v>1</v>
      </c>
      <c r="BM255" cm="1">
        <f t="array" ref="BM255">IF(D255="","",IF(BA255&lt;&gt;"",IFERROR(_xlfn.XLOOKUP(BA255,Щиты[Щит],Щиты[cos φ]),0.95),IF(ISNUMBER(M255),M255,IFERROR(IF(BL255=2,_xlfn.IFS(BH255=3,VLOOKUP(BF255,Справочная_двигатели,8,FALSE),BH255=1,VLOOKUP(BF255,Справочная_двигатели,10,TRUE)),IF(AND(Методика="нормы 2026",CN255="Сил"),0.8,0.95)),0.95))))</f>
        <v>0.95</v>
      </c>
      <c r="BN255" cm="1">
        <f t="array" ref="BN255">IF(D255="","",IF(BA255&lt;&gt;"",IFERROR(_xlfn.XLOOKUP(BA255,Щиты[Щит],Щиты[Iр, А]),""),IFERROR(_xlfn.IFS(BH255=1,BF255/((Uн_лин/SQRT(3))*BM255),BH255=3,BF255/(SQRT(3)*Uн_лин*BM255)),"")))</f>
        <v>1.0939268258329751</v>
      </c>
      <c r="BO255">
        <f>IF(D255="","",IF(N(X255)=0,IFERROR(VLOOKUP(BN255,Автомат_номиналы,2,TRUE),""),X255))</f>
        <v>6</v>
      </c>
      <c r="BP255">
        <f t="shared" si="273"/>
        <v>1</v>
      </c>
      <c r="BQ255">
        <f>IF(ISNUMBER(Y255),Y255,К_прокл)</f>
        <v>1</v>
      </c>
      <c r="BR255">
        <f t="shared" si="274"/>
        <v>2</v>
      </c>
      <c r="BS255" cm="1">
        <f t="array" ref="BS255">IF(D255="","",IF(N(BK255)&lt;&gt;0,BK255,IFERROR(_xlfn.LET(_xlpm.need,BO255/(BP255*BQ255),_xlpm.t,CHOOSE(BR255,Iдоп_1ж,Iдоп_2ж,Iдоп_3ж),_xlpm.k,_xlfn.XMATCH(_xlpm.need,_xlpm.t,1),IF(ISNA(_xlpm.k),"Не исп",INDEX(Iдоп_S,_xlpm.k))),"Не исп")))</f>
        <v>2.5</v>
      </c>
      <c r="BT255">
        <f>IFERROR(VLOOKUP(BS255,Кабель_сопротивление,3,FALSE),"")</f>
        <v>2.2499999999999999E-2</v>
      </c>
      <c r="BU255">
        <f>IFERROR(VLOOKUP(BS255,Кабель_сопротивление,2,FALSE),"")</f>
        <v>0.1</v>
      </c>
      <c r="BV255">
        <f t="shared" si="275"/>
        <v>36</v>
      </c>
      <c r="BW255">
        <f>IF(D255="","",IFERROR(IF(VLOOKUP(AT255,Потребители_обозначение,4,FALSE)=1,VLOOKUP(AT255,Потребители_обозначение,3,FALSE)*(H255*2-1)+BV255+VLOOKUP(AV255,Этаж_обозначение,3,FALSE)+VLOOKUP(AV255,Этаж_обозначение,4,FALSE),VLOOKUP(AT255,Потребители_обозначение,3,FALSE)*(H255*2-1)+BV255),BV255))</f>
        <v>45</v>
      </c>
      <c r="BX255">
        <f t="shared" si="276"/>
        <v>0</v>
      </c>
      <c r="BY255">
        <f t="shared" si="277"/>
        <v>40</v>
      </c>
      <c r="BZ255">
        <f t="shared" si="278"/>
        <v>2</v>
      </c>
      <c r="CA255">
        <f t="shared" si="279"/>
        <v>0.31</v>
      </c>
      <c r="CB255">
        <f t="shared" si="280"/>
        <v>0.84482874832254828</v>
      </c>
      <c r="CC255">
        <f>IFERROR(ROUNDUP(CB255/((Uн_лин/SQRT(3))*1000)*100,2),"")</f>
        <v>0.37</v>
      </c>
      <c r="CD255">
        <f>IF(ISNUMBER(CC255),CC255+IFERROR(_xlfn.XLOOKUP(A255,Щиты[Щит],Щиты[ΔU до шин, %]),0),"")</f>
        <v>1.62</v>
      </c>
      <c r="CE255">
        <f>IF(D255="","",IF(IFERROR(VLOOKUP(AT255,УГО_спр,2,FALSE),"")="Светильник",3,4)+IF(Методика="нормы 2026",MIN(0.5,MAX(0,N(BW255)-100)*0.005),0))</f>
        <v>4</v>
      </c>
      <c r="CF255" t="str">
        <f>IFERROR(VLOOKUP(BI255,Кабель_обозначение,2,FALSE),"")</f>
        <v>ВВГнг(А)-LS</v>
      </c>
      <c r="CG255" t="str">
        <f>IFERROR(IF(VLOOKUP(BI255,Кабель_обозначение,3,FALSE)=1,CF255&amp;" ("&amp;BJ255&amp;"х"&amp;BS255&amp;")",CF255),"")</f>
        <v>ВВГнг(А)-LS (3х2,5)</v>
      </c>
      <c r="CH255" t="str">
        <f t="shared" si="281"/>
        <v>ВВГнг(А)-LS (3х2,5)
L=45-0,37%</v>
      </c>
      <c r="CI255">
        <f>IFERROR(2*ρкз_Cu*BW255/BS255,"")</f>
        <v>0.94679999999999997</v>
      </c>
      <c r="CJ255">
        <f t="shared" si="282"/>
        <v>0.31500000000000006</v>
      </c>
      <c r="CK255" t="str">
        <f>IFERROR(IF(OR(D255="",NOT(ISNUMBER(BS255)),N(BW255)=0),"",_xlfn.XLOOKUP(A255,Щиты[Щит],Щиты[Zпетли на шинах, Ом])+CI255),"")</f>
        <v/>
      </c>
      <c r="CL255" t="str">
        <f>IF(ISNUMBER(CK255),c_min*(Uн_лин*1000/SQRT(3))/CK255,"")</f>
        <v/>
      </c>
      <c r="CM255" t="str">
        <f>IFERROR(IF(OR(D255="",NOT(ISNUMBER(BS255))),"",1.05*(Uн_лин*1000/SQRT(3))/(_xlfn.XLOOKUP(A255,Щиты[Щит],Щиты[Zmax на шинах, Ом])+CJ255)/1000),"")</f>
        <v/>
      </c>
      <c r="CN255" t="str">
        <f>IF(D255="","",IF(BA255&lt;&gt;"","Щит",IF(K255&lt;&gt;"",K255,IF(ISNUMBER(L255),"Сил",IF(IFERROR(_xlfn.XLOOKUP(AT255,Коды_код,Коды_группа)&amp;"","")="","Быт",_xlfn.XLOOKUP(AT255,Коды_код,Коды_группа)&amp;"")))))</f>
        <v>Быт</v>
      </c>
      <c r="CO255">
        <f>IF(CN255="Щит","щит",IF(CN255="","",IF(CN255="Быт",IFERROR(_xlfn.XLOOKUP(A255,Щиты[Щит],Щиты[Кс быт]),1),IF(CN255="Сил",IF(ISNUMBER(L255),L255,IF(Методика="нормы 2026",IFERROR(_xlfn.XLOOKUP(A255,Щиты[Щит],Щиты[Кс силовых (табл. 7.5)]),1),1)),IF(OR(CN255="Пост",CN255="Отоп"),1,IF(CN255="ВНГ",0.7,0))))))</f>
        <v>0.57830000000000004</v>
      </c>
      <c r="CP255">
        <f t="shared" si="283"/>
        <v>1</v>
      </c>
      <c r="CQ255">
        <f t="shared" si="284"/>
        <v>0.24</v>
      </c>
      <c r="CR255">
        <f t="shared" si="285"/>
        <v>0.24</v>
      </c>
      <c r="CS255">
        <f t="shared" si="286"/>
        <v>0</v>
      </c>
      <c r="CT255">
        <f t="shared" si="287"/>
        <v>0</v>
      </c>
      <c r="CU255">
        <f t="shared" si="288"/>
        <v>0</v>
      </c>
      <c r="CV255">
        <f t="shared" si="289"/>
        <v>0</v>
      </c>
      <c r="CW255">
        <f t="shared" si="290"/>
        <v>0.24</v>
      </c>
      <c r="CX255">
        <f t="shared" si="291"/>
        <v>0.22799999999999998</v>
      </c>
      <c r="CY255">
        <f t="shared" si="292"/>
        <v>1</v>
      </c>
      <c r="CZ255" t="str">
        <f t="shared" si="293"/>
        <v>L1</v>
      </c>
      <c r="DA255" cm="1">
        <f t="array" ref="DA255">IFERROR(IF(BL255=2,_xlfn.IFS(BH255=3,VLOOKUP(BF255,Справочная_двигатели,3,FALSE),BH255=1,VLOOKUP(BF255,Справочная_двигатели,5,TRUE)),0),0)</f>
        <v>0</v>
      </c>
      <c r="DB255">
        <f>IFERROR(IF(BL255=3,VLOOKUP(BF255,Справочная_ЛЭД,2,TRUE),0),0)</f>
        <v>0</v>
      </c>
      <c r="DC255">
        <f t="shared" si="294"/>
        <v>0</v>
      </c>
      <c r="DD255" t="str">
        <f t="shared" si="295"/>
        <v>L3</v>
      </c>
      <c r="DE255" t="str" cm="1">
        <f t="array" ref="DE255">IF(D255="","",IFERROR(INDEX({"I особая","I","II","III"},MATCH(TRIM(AA255&amp;""),{"I особая","I","II","III"},0)),"III"))</f>
        <v>II</v>
      </c>
      <c r="DF255" t="str">
        <f>IF(D255="","",IF(TRIM(AB255&amp;"")&lt;&gt;"",IF(LOWER(TRIM(AB255&amp;""))="да","да","нет"),IF(IFERROR(_xlfn.XLOOKUP(AT255,Коды_код,Коды_пожарная),"")="да","да","нет")))</f>
        <v>нет</v>
      </c>
      <c r="DG255" t="str">
        <f t="shared" si="296"/>
        <v/>
      </c>
      <c r="DH255" t="str">
        <f t="shared" si="297"/>
        <v>основная</v>
      </c>
      <c r="DI255">
        <f t="shared" si="298"/>
        <v>1</v>
      </c>
      <c r="DJ255" t="str" cm="1">
        <f t="array" ref="DJ255">IF(D255="","",_xlfn.LET(_xlpm.t,IFERROR(_xlfn.XLOOKUP(1,(Шины[Шина]=DH255)*(((Шины[Щит]=A255)+(Шины[Щит]=""))&gt;0),Шины[Тип]),"")&amp;"",IF(_xlpm.t&lt;&gt;"",_xlpm.t,IF(ISNUMBER(SEARCH("ИБП",DH255)),"ИБП",IF(ISNUMBER(SEARCH("ДГУ",DH255)),"ДГУ","Ввод "&amp;DI255)))))</f>
        <v>Ввод 1</v>
      </c>
      <c r="DK255" t="str">
        <f t="shared" si="299"/>
        <v>Ввод 1</v>
      </c>
      <c r="DL255" t="str">
        <f>IF(D255="","",IF(OR(DJ255="ИБП",DJ255="ДГУ"),"I особая",IF(DJ255="Одиночная","III",_xlfn.XLOOKUP(A255,Щиты[Щит],Щиты[Категория шины «Ввод»],"III"))))</f>
        <v>II</v>
      </c>
      <c r="DM255">
        <f>IF(D255="",0,IFERROR(MATCH(DE255,{"III","II","I","I особая"},0),1))</f>
        <v>2</v>
      </c>
      <c r="DN255">
        <f t="shared" si="300"/>
        <v>2</v>
      </c>
      <c r="DO255" t="str">
        <f>IF(D255="","",IF(DM255&gt;IFERROR(MATCH(DL255,{"III","II","I","I особая"},0),1),"НЕ ОБЕСПЕЧЕНА","ОК"))</f>
        <v>ОК</v>
      </c>
      <c r="DP255" t="str">
        <f>IF(A255="","",_xlfn.XLOOKUP(A255,Щиты[Щит],Щиты[Путь],""))</f>
        <v>|ГРЩ-ЖД|ЩР-1|</v>
      </c>
      <c r="DQ255" t="str">
        <f>IF(D255="","",IF(Z255&lt;&gt;"",Z255,IF(IFERROR(_xlfn.XLOOKUP(AT255,Коды_код,Коды_вид)&amp;"","")="","Прочее",_xlfn.XLOOKUP(AT255,Коды_код,Коды_вид)&amp;"")))</f>
        <v>Розеточная сеть и бытовые приборы</v>
      </c>
      <c r="DR255">
        <f>IF(BD255="","",INT((BD255-1)/Столбцов_на_лист)+1)</f>
        <v>3</v>
      </c>
      <c r="DS255" t="str">
        <f t="shared" si="301"/>
        <v>ВВГнг(А)-LS (3х2,5) L=45-0,37%</v>
      </c>
      <c r="DT255">
        <f t="shared" si="302"/>
        <v>0.24</v>
      </c>
      <c r="DU255">
        <f t="shared" si="303"/>
        <v>1.1000000000000001</v>
      </c>
      <c r="DV255">
        <f t="shared" si="304"/>
        <v>1</v>
      </c>
      <c r="DW255">
        <f>IF(AT255="",0,_xlfn.LET(_xlpm.v,IFERROR(VLOOKUP(D255,УГО_спр,3,FALSE),IFERROR(VLOOKUP(AT255,УГО_спр,3,FALSE),IFERROR(VLOOKUP(LEFT(AT255,2),УГО_спр,3,FALSE),""))),IF(_xlpm.v="да",30,IF(ISNUMBER(_xlpm.v),_xlpm.v,0))))</f>
        <v>30</v>
      </c>
      <c r="DX255">
        <f t="shared" si="305"/>
        <v>0</v>
      </c>
      <c r="DY255">
        <f>IF(BD255="","",IF(AD255&lt;&gt;"",COUNTIFS(A$3:A255,A255,AD$3:AD255,"?*"),IF(OR(OR(AS255=1,A255&lt;&gt;A254),AL255="вручную"),"",IF(AS255=1,"",DZ254))))</f>
        <v>31</v>
      </c>
      <c r="DZ255">
        <f t="shared" si="306"/>
        <v>31</v>
      </c>
      <c r="EA255">
        <f>IF(D255="",0,MAX(IFERROR(--X255,0),IFERROR(--VLOOKUP(D255,УГО_спр,4,FALSE),IFERROR(--VLOOKUP(AT255,УГО_спр,4,FALSE),IFERROR(--VLOOKUP(LEFT(AT255,2),УГО_спр,4,FALSE),0)))))</f>
        <v>16</v>
      </c>
      <c r="EB255">
        <f>IF(D255="","",IFERROR(LOOKUP(INDEX(CHOOSE(BR255,Iдоп_1ж,Iдоп_2ж,Iдоп_3ж),MATCH(BS255,Iдоп_S,0))*BP255*BQ255,{6,10,16,20,25,32,40,50,63,80,100,125,160,200,250,315,400,500,630}),""))</f>
        <v>25</v>
      </c>
      <c r="EC255">
        <f>IF(AD255="","",SUMIFS(Линии[_Ток схемы],Линии[_гр.],DY255,Линии[Щит],A255,Линии[_в кабель выше],0))</f>
        <v>1.1000000000000001</v>
      </c>
      <c r="ED255">
        <f>IF(AD255="","",IFERROR(VLOOKUP(EC255,Автомат_номиналы,2,TRUE),""))</f>
        <v>6</v>
      </c>
      <c r="EE255">
        <f>IF(AD255="","",MAX(N(ED255),_xlfn.MAXIFS(Линии[_мин. по типу],Линии[_гр.],DY255,Линии[Щит],A255)))</f>
        <v>16</v>
      </c>
      <c r="EF255">
        <f>IF(AD255="","",_xlfn.MINIFS(Линии[_макс. автомат по кабелю],Линии[_гр.],DY255,Линии[Щит],A255))</f>
        <v>25</v>
      </c>
      <c r="EG255">
        <f>IF(AD255="","",MAX(1,_xlfn.MAXIFS(Линии[_фаз],Линии[_гр.],DY255,Линии[Щит],A255)))</f>
        <v>1</v>
      </c>
      <c r="EH255">
        <f>IF(AD255="","",IF(AND(AD255&lt;&gt;"авто",AD255&lt;&gt;"+"),IF(ISNUMBER(SEARCH("мА",AD255)),IFERROR(--TRIM(RIGHT(SUBSTITUTE(LEFT(AD255,SEARCH("мА",AD255)-1)," ",REPT(" ",9)),6)),30),0),IF(AE255="нет",0,IF(ISNUMBER(AE255),AE255,IF(AE255="да",30,_xlfn.MINIFS(Линии[_дифзащита по коду, мА],Линии[_гр.],DY255,Линии[Щит],A255,Линии[_дифзащита по коду, мА],"&gt;0"))))))</f>
        <v>30</v>
      </c>
      <c r="EI255">
        <f t="shared" si="307"/>
        <v>1</v>
      </c>
      <c r="EJ255" t="str">
        <f t="shared" si="308"/>
        <v>QFD31</v>
      </c>
      <c r="EK255" t="str">
        <f t="shared" si="309"/>
        <v>QFD31</v>
      </c>
      <c r="EL255" t="str">
        <f t="shared" si="310"/>
        <v/>
      </c>
      <c r="EM255">
        <f t="shared" si="311"/>
        <v>0</v>
      </c>
      <c r="EN255">
        <f>IF(AD255="","",IF(EM255=1,MAX(EE255,Мин_автомат_БП),EE255))</f>
        <v>16</v>
      </c>
      <c r="EO255" t="str">
        <f t="shared" si="312"/>
        <v>2P</v>
      </c>
      <c r="EP255" t="str">
        <f t="shared" si="313"/>
        <v>2P С16А 30мА</v>
      </c>
      <c r="EQ255">
        <f t="shared" si="314"/>
        <v>16</v>
      </c>
      <c r="ER255" t="str">
        <f>IF(OR(AI255="",AI255="-"),"",IFERROR(VLOOKUP(AI255,Модули_спр,2,FALSE),"R"))</f>
        <v/>
      </c>
      <c r="ES255" t="str">
        <f>IF(ER255="","",ER255&amp;"."&amp;COUNTIFS(A$3:A255,A255,ER$3:ER255,ER255))</f>
        <v/>
      </c>
      <c r="ET255" t="str">
        <f t="shared" si="315"/>
        <v/>
      </c>
      <c r="EU255" t="str">
        <f t="shared" si="316"/>
        <v/>
      </c>
      <c r="EV255" t="str">
        <f t="shared" si="317"/>
        <v/>
      </c>
      <c r="EW255" t="str">
        <f t="shared" si="318"/>
        <v/>
      </c>
      <c r="EX255">
        <f t="shared" si="319"/>
        <v>1</v>
      </c>
      <c r="EY255" t="str">
        <f>IF(AK255="нет","",IF(AK255&lt;&gt;"",AK255,IF(EX255=1,"XT"&amp;COUNTIFS(A$3:A255,A255,EX$3:EX255,1),"")))</f>
        <v/>
      </c>
      <c r="EZ255" t="str">
        <f t="shared" si="320"/>
        <v>QFD31</v>
      </c>
      <c r="FA255" t="str">
        <f t="shared" si="321"/>
        <v/>
      </c>
      <c r="FB255" t="str">
        <f t="shared" si="322"/>
        <v>ok</v>
      </c>
      <c r="FC255" t="str">
        <f>IF(OR(EV255="",ET255=""),"",IF(EV255&gt;IFERROR(VLOOKUP(EU255,Модули_спр,3,FALSE),99),"ЛИШНИЙ КАНАЛ",IF(AND(AJ255&lt;&gt;"=",COUNTIFS(Линии[_модуль гр.],ET255,Линии[Канал (итог)],EV255,Линии[Канал],"&lt;&gt;=",Линии[Щит],A255)&gt;1),"ДУБЛЬ КАНАЛА","")))</f>
        <v/>
      </c>
      <c r="FD255">
        <f t="shared" si="323"/>
        <v>16</v>
      </c>
      <c r="FE255" t="str">
        <f t="shared" si="324"/>
        <v>2P С16А 30мА</v>
      </c>
      <c r="FF255">
        <f t="shared" si="325"/>
        <v>1</v>
      </c>
      <c r="FG255">
        <f t="shared" si="326"/>
        <v>30</v>
      </c>
      <c r="FH255" t="str">
        <f t="shared" si="327"/>
        <v/>
      </c>
      <c r="FI255">
        <f t="shared" si="328"/>
        <v>10</v>
      </c>
      <c r="FJ255" t="str">
        <f t="shared" si="329"/>
        <v/>
      </c>
      <c r="FK255" t="str">
        <f>IF(AND(D255="",EZ255=""),"",_xlfn.TEXTJOIN("; ",TRUE,IF(AND(D255&lt;&gt;"",DD255=""),"нет фазы",""),IF(AND(D255&lt;&gt;"",N(DT255)=0,CN255&lt;&gt;"Нет"),"нет мощности",""),IF(AND(EY255&lt;&gt;"",COUNTIFS(Линии[Щит],A255,Линии[Клемма (итог)],EY255)&gt;1),"дубль клеммы "&amp;EY255,""),IF(AND(FB255&lt;&gt;"",FB255&lt;&gt;"ok"),FB255,""),IF(FC255&lt;&gt;"",FC255,""),IF(AND(ISNUMBER(SEARCH("(5х",DS255)),N(DV255)=1),"5 жил на 1 фазе",""),IF(AND(AT255="R",AD255&lt;&gt;"",OR(N(EH255)=0,N(EH255)&gt;30)),"розетка без дифзащиты до 30 мА",""),IFERROR(IF(AND(ISNUMBER(CD255),CD255&gt;CE255),"потери "&amp;FIXED(CD255,1)&amp;" % &gt; "&amp;CE255&amp;" %",""),""),IFERROR(IF(LEFT(FJ255,4)="мало","Iкз мало — отключение &gt; 0,4 с",""),""),IF(AND(D255&lt;&gt;"",BD255=""),"не на схеме","")))</f>
        <v/>
      </c>
      <c r="FL255">
        <f>IF(AD255="","",_xlfn.LET(_xlpm.t,IFERROR(_xlfn.XLOOKUP(EP255,Каталог!$U$4:$U$500,Каталог!$G$4:$G$500),""),_xlpm.k,SEARCH("кА",_xlpm.t),IFERROR(--TRIM(RIGHT(SUBSTITUTE(MID(_xlpm.t,MAX(1,_xlpm.k-4),_xlpm.k-MAX(1,_xlpm.k-4))," ",REPT(" ",9)),5)),"")))</f>
        <v>6</v>
      </c>
      <c r="FM255" t="str">
        <f>IF(OR(FL255="",AD255=""),"",IF(_xlfn.XLOOKUP(A255,Щиты[Щит],Щиты[Iкз max на шинах, кА],"")="","",IF(FL255&lt;_xlfn.XLOOKUP(A255,Щиты[Щит],Щиты[Iкз max на шинах, кА]),"Icu "&amp;FL255&amp;" кА &lt; Iкз max","ok")))</f>
        <v/>
      </c>
      <c r="FN255" t="str">
        <f t="shared" si="330"/>
        <v>QFD31</v>
      </c>
      <c r="FO255" t="str">
        <f t="shared" si="331"/>
        <v>QFD31|кабель ВВГнг(А)-LS (3х2,5) → Розеточная группа Первый этаж Пом. №010A</v>
      </c>
      <c r="FP255" t="str" cm="1">
        <f t="array" ref="FP255">IF(FO255="","",_xlfn.LET(_xlpm.nd,_xlfn.TEXTSPLIT(FO255,"|"),IF(COLUMNS(_xlpm.nd)&gt;1,A255&amp;"¦"&amp;INDEX(_xlpm.nd,1)&amp;"¦"&amp;INDEX(_xlpm.nd,2),"")))</f>
        <v>ЩР-1¦QFD31¦кабель ВВГнг(А)-LS (3х2,5) → Розеточная группа Первый этаж Пом. №010A</v>
      </c>
      <c r="FQ255" t="str">
        <f t="shared" si="332"/>
        <v>R.1.010A.1¦Розеточная группа Первый этаж Пом. №010A</v>
      </c>
      <c r="FR255" t="str" cm="1">
        <f t="array" ref="FR255">IF(FO255="","",_xlfn.LET(_xlpm.nd,_xlfn.TEXTSPLIT(FO255,"|"),IF(COLUMNS(_xlpm.nd)&gt;2,A255&amp;"¦"&amp;INDEX(_xlpm.nd,2)&amp;"¦"&amp;INDEX(_xlpm.nd,3),"")))</f>
        <v/>
      </c>
      <c r="FS255" t="str">
        <f t="shared" si="333"/>
        <v/>
      </c>
      <c r="FT255" t="str" cm="1">
        <f t="array" ref="FT255">IF(FO255="","",_xlfn.LET(_xlpm.nd,_xlfn.TEXTSPLIT(FO255,"|"),IF(COLUMNS(_xlpm.nd)&gt;3,A255&amp;"¦"&amp;INDEX(_xlpm.nd,3)&amp;"¦"&amp;INDEX(_xlpm.nd,4),"")))</f>
        <v/>
      </c>
      <c r="FU255" t="str">
        <f t="shared" si="334"/>
        <v/>
      </c>
      <c r="FV255" t="str" cm="1">
        <f t="array" ref="FV255">IF(FO255="","",_xlfn.LET(_xlpm.nd,_xlfn.TEXTSPLIT(FO255,"|"),IF(COLUMNS(_xlpm.nd)&gt;4,A255&amp;"¦"&amp;INDEX(_xlpm.nd,4)&amp;"¦"&amp;INDEX(_xlpm.nd,5),"")))</f>
        <v/>
      </c>
      <c r="FW255" t="str">
        <f t="shared" si="335"/>
        <v/>
      </c>
      <c r="FX255" t="str" cm="1">
        <f t="array" ref="FX255">IF(FO255="","",_xlfn.LET(_xlpm.nd,_xlfn.TEXTSPLIT(FO255,"|"),IF(COLUMNS(_xlpm.nd)&gt;5,A255&amp;"¦"&amp;INDEX(_xlpm.nd,5)&amp;"¦"&amp;INDEX(_xlpm.nd,6),"")))</f>
        <v/>
      </c>
      <c r="FY255" t="str">
        <f t="shared" si="336"/>
        <v/>
      </c>
      <c r="FZ255" t="str" cm="1">
        <f t="array" ref="FZ255">IF(FO255="","",_xlfn.LET(_xlpm.nd,_xlfn.TEXTSPLIT(FO255,"|"),IF(COLUMNS(_xlpm.nd)&gt;6,A255&amp;"¦"&amp;INDEX(_xlpm.nd,6)&amp;"¦"&amp;INDEX(_xlpm.nd,7),"")))</f>
        <v/>
      </c>
      <c r="GA255" t="str">
        <f t="shared" si="337"/>
        <v/>
      </c>
      <c r="GB255" t="str">
        <f t="shared" si="338"/>
        <v/>
      </c>
      <c r="GC255" t="str">
        <f t="shared" si="339"/>
        <v>QFD31</v>
      </c>
      <c r="GD255">
        <f t="shared" si="340"/>
        <v>1</v>
      </c>
      <c r="GE255">
        <f t="shared" si="341"/>
        <v>0</v>
      </c>
      <c r="GF255">
        <f t="shared" si="342"/>
        <v>1</v>
      </c>
      <c r="GG255" t="str">
        <f t="shared" si="343"/>
        <v/>
      </c>
      <c r="GH255" t="str">
        <f t="shared" si="344"/>
        <v/>
      </c>
      <c r="GI255" t="str">
        <f t="shared" si="345"/>
        <v/>
      </c>
      <c r="GJ255" t="str">
        <f t="shared" si="346"/>
        <v/>
      </c>
      <c r="GK255" t="str">
        <f>IF(D255="","",IFERROR(VLOOKUP(D255,УГО_спр,2,FALSE),IFERROR(VLOOKUP(AT255,УГО_спр,2,FALSE),IFERROR(VLOOKUP(LEFT(AT255,2),УГО_спр,2,FALSE),""))))</f>
        <v>Розетка</v>
      </c>
      <c r="GL255" t="str">
        <f>IF(D255="","",IF(OR(GK255="",GK255=0),"BOX",IFERROR(IF(VLOOKUP(GK255,УГО_блоки,3,FALSE)&amp;""&lt;&gt;"",VLOOKUP(GK255,УГО_блоки,3,FALSE),VLOOKUP(GK255,УГО_блоки,2,FALSE)),GK255)))</f>
        <v>SOCKET</v>
      </c>
      <c r="GM255">
        <f t="shared" si="347"/>
        <v>1</v>
      </c>
      <c r="GN255" t="str">
        <f>IF(EP255="","",IF(COUNTIF(EP$3:EP255,EP255)=1,MAX(GN$2:GN254)+1,""))</f>
        <v/>
      </c>
      <c r="GO255" t="str">
        <f>IF(AF255="","",IF(COUNTIF(AF$3:AF255,AF255)+COUNTIF(AG$2:AG254,AF255)+COUNTIF(AH$2:AH254,AF255)=1,MAX(GO$2:GQ254)+1,""))</f>
        <v/>
      </c>
      <c r="GP255" t="str">
        <f>IF(AG255="","",IF(COUNTIF(AF$3:AF255,AG255)+COUNTIF(AG$3:AG255,AG255)+COUNTIF(AH$2:AH254,AG255)=1,MAX(GO$2:GQ254,GO255)+1,""))</f>
        <v/>
      </c>
      <c r="GQ255" t="str">
        <f>IF(AH255="","",IF(COUNTIF(AF$3:AF255,AH255)+COUNTIF(AG$3:AG255,AH255)+COUNTIF(AH$3:AH255,AH255)=1,MAX(GO$2:GQ254,GO255,GP255)+1,""))</f>
        <v/>
      </c>
      <c r="GR255" t="str">
        <f t="shared" si="348"/>
        <v>3х2,5</v>
      </c>
      <c r="GS255" t="str">
        <f>IF(GR255="","",IF(COUNTIF(GR$3:GR255,GR255)=1,MAX(GS$2:GS254)+1,""))</f>
        <v/>
      </c>
      <c r="GT255" t="str">
        <f>IF(ES255="","",COUNTIF(ES$3:ES255,"?*"))</f>
        <v/>
      </c>
      <c r="GU255" t="str">
        <f>IF(OR(ES255="",EU255=""),"",IF(COUNTIFS(ES$3:ES255,"?*",EU$3:EU255,EU255)=1,MAX(GU$2:GU254)+1,""))</f>
        <v/>
      </c>
      <c r="GV255">
        <f t="shared" si="349"/>
        <v>0</v>
      </c>
      <c r="GW255">
        <f>IF(D255="","",COUNTIF(D$3:D255,"?*"))</f>
        <v>253</v>
      </c>
      <c r="GX255">
        <f>IF(EX255&lt;&gt;1,0,_xlfn.LET(_xlpm.k,MAX(IFERROR(--VLOOKUP(D255,УГО_спр,5,FALSE),0),IFERROR(--VLOOKUP(AT255,УГО_спр,5,FALSE),0),IFERROR(--VLOOKUP(LEFT(AT255,2),УГО_спр,5,FALSE),0)),IF(_xlpm.k&gt;0,_xlpm.k,IF(IFERROR(--LEFT(SUBSTITUTE(GR255,"x","х"),FIND("х",SUBSTITUTE(GR255,"x","х"))-1),3)&gt;3,Каталог!$S$9,1))))</f>
        <v>1</v>
      </c>
      <c r="GY255">
        <f t="shared" si="350"/>
        <v>0</v>
      </c>
    </row>
    <row r="256" spans="1:207" x14ac:dyDescent="0.3">
      <c r="A256" t="s">
        <v>762</v>
      </c>
      <c r="B256">
        <v>44</v>
      </c>
      <c r="C256" t="str">
        <f>IF(BD256="","",IF(BE256="вводной узел","узел ","")&amp;"л."&amp;(INT((BD256-1)/Столбцов_на_лист)+1)&amp;" / "&amp;(MOD(BD256-1,Столбцов_на_лист)+1))</f>
        <v>л.3 / 10</v>
      </c>
      <c r="D256" t="s">
        <v>1578</v>
      </c>
      <c r="E256" s="133" t="str">
        <f t="shared" si="351"/>
        <v>Розеточная группа Первый этаж Пом. №011A</v>
      </c>
      <c r="G256">
        <v>0.42</v>
      </c>
      <c r="H256">
        <v>4</v>
      </c>
      <c r="I256">
        <v>1</v>
      </c>
      <c r="J256">
        <v>230</v>
      </c>
      <c r="K256" t="s">
        <v>566</v>
      </c>
      <c r="O256">
        <v>1</v>
      </c>
      <c r="P256">
        <v>52</v>
      </c>
      <c r="Q256">
        <v>11</v>
      </c>
      <c r="R256">
        <v>31</v>
      </c>
      <c r="S256">
        <v>36</v>
      </c>
      <c r="U256" t="s">
        <v>11</v>
      </c>
      <c r="V256">
        <v>3</v>
      </c>
      <c r="W256">
        <v>2.5</v>
      </c>
      <c r="Z256" t="s">
        <v>565</v>
      </c>
      <c r="AA256" t="s">
        <v>818</v>
      </c>
      <c r="AD256" t="s">
        <v>517</v>
      </c>
      <c r="AK256" t="s">
        <v>488</v>
      </c>
      <c r="AR256" t="str">
        <f t="shared" si="264"/>
        <v/>
      </c>
      <c r="AS256" cm="1">
        <f t="array" ref="AS256">ROW()-ROW(Линии[#Headers])</f>
        <v>254</v>
      </c>
      <c r="AT256" t="str">
        <f t="shared" si="265"/>
        <v>R</v>
      </c>
      <c r="AU256" t="str">
        <f t="shared" si="266"/>
        <v>1.011A.1</v>
      </c>
      <c r="AV256" t="str">
        <f t="shared" si="267"/>
        <v>1</v>
      </c>
      <c r="AW256" t="str">
        <f t="shared" si="268"/>
        <v>011A.1</v>
      </c>
      <c r="AX256" t="str">
        <f t="shared" si="269"/>
        <v>011A</v>
      </c>
      <c r="AY256" t="str">
        <f>IF(D256="","",IF(ISERROR(SEARCH(".",D256)),IFERROR(VLOOKUP(D256,Потребители_обозначение,2,FALSE)&amp;"",""),IFERROR(IF(VLOOKUP(AT256,Потребители_обозначение,4,FALSE)=1,VLOOKUP(AT256,Потребители_обозначение,2,FALSE)&amp;" "&amp;VLOOKUP(AV256,Этаж_обозначение,2,FALSE)&amp;" Пом. №"&amp;AX256,VLOOKUP(AT256,Потребители_обозначение,2,FALSE)&amp;" Шлейф №"&amp;AV256),IFERROR(VLOOKUP(D256,Потребители_обозначение,2,FALSE),""))))</f>
        <v>Розеточная группа Первый этаж Пом. №011A</v>
      </c>
      <c r="AZ256" t="str">
        <f t="shared" si="270"/>
        <v>Розеточная группа Первый этаж Пом. №011A</v>
      </c>
      <c r="BA256" t="str">
        <f>IF(F256&lt;&gt;"",F256,IF(AND(D256&lt;&gt;"",D256&lt;&gt;A256,ISNUMBER(_xlfn.XMATCH(D256,Щиты[Щит]))),D256,""))</f>
        <v/>
      </c>
      <c r="BB256">
        <f>IFERROR(_xlfn.XMATCH(A256,Щиты[Щит]),0)</f>
        <v>10</v>
      </c>
      <c r="BC256">
        <f>IFERROR(N(_xlfn.XLOOKUP(A256,Щиты[Щит],Щиты[Мест под вводной узел])),15)</f>
        <v>8</v>
      </c>
      <c r="BD256">
        <f t="shared" si="271"/>
        <v>44</v>
      </c>
      <c r="BE256" t="str">
        <f t="shared" si="272"/>
        <v>линии</v>
      </c>
      <c r="BF256">
        <f>IF(D256="","",IF(BA256&lt;&gt;"",IFERROR(_xlfn.XLOOKUP(BA256,Щиты[Щит],Щиты[Руст, кВт]),0),N(G256)))</f>
        <v>0.42</v>
      </c>
      <c r="BG256">
        <f>IF(J256&lt;&gt;"",J256,IF(D256="","",IFERROR(IF(VLOOKUP(AT256,Потребители_обозначение,8,FALSE)=0,"",VLOOKUP(AT256,Потребители_обозначение,8,FALSE)),"")))</f>
        <v>230</v>
      </c>
      <c r="BH256">
        <f>IF(I256&lt;&gt;"",I256,IF(D256="","",IFERROR(IF(VLOOKUP(AT256,Потребители_обозначение,9,FALSE)=0,"",VLOOKUP(AT256,Потребители_обозначение,9,FALSE)),"")))</f>
        <v>1</v>
      </c>
      <c r="BI256" t="str">
        <f>IF(U256&lt;&gt;"",U256,IF(D256="","",IFERROR(IF(VLOOKUP(AT256,Потребители_обозначение,6,FALSE)=0,"",VLOOKUP(AT256,Потребители_обозначение,6,FALSE)),"")))</f>
        <v>мс</v>
      </c>
      <c r="BJ256">
        <f>IF(V256&lt;&gt;"",V256,IF(D256="","",IFERROR(IF(VLOOKUP(AT256,Потребители_обозначение,7,FALSE)=0,"",VLOOKUP(AT256,Потребители_обозначение,7,FALSE)),"")))</f>
        <v>3</v>
      </c>
      <c r="BK256">
        <f>IF(W256&lt;&gt;"",W256,IF(D256="","",IFERROR(IF(VLOOKUP(AT256,Потребители_обозначение,10,FALSE)=0,"",VLOOKUP(AT256,Потребители_обозначение,10,FALSE)),"")))</f>
        <v>2.5</v>
      </c>
      <c r="BL256">
        <f>IFERROR(VLOOKUP(AT256,Потребители_обозначение,5,FALSE),0)</f>
        <v>1</v>
      </c>
      <c r="BM256" cm="1">
        <f t="array" ref="BM256">IF(D256="","",IF(BA256&lt;&gt;"",IFERROR(_xlfn.XLOOKUP(BA256,Щиты[Щит],Щиты[cos φ]),0.95),IF(ISNUMBER(M256),M256,IFERROR(IF(BL256=2,_xlfn.IFS(BH256=3,VLOOKUP(BF256,Справочная_двигатели,8,FALSE),BH256=1,VLOOKUP(BF256,Справочная_двигатели,10,TRUE)),IF(AND(Методика="нормы 2026",CN256="Сил"),0.8,0.95)),0.95))))</f>
        <v>0.95</v>
      </c>
      <c r="BN256" cm="1">
        <f t="array" ref="BN256">IF(D256="","",IF(BA256&lt;&gt;"",IFERROR(_xlfn.XLOOKUP(BA256,Щиты[Щит],Щиты[Iр, А]),""),IFERROR(_xlfn.IFS(BH256=1,BF256/((Uн_лин/SQRT(3))*BM256),BH256=3,BF256/(SQRT(3)*Uн_лин*BM256)),"")))</f>
        <v>1.9143719452077064</v>
      </c>
      <c r="BO256">
        <f>IF(D256="","",IF(N(X256)=0,IFERROR(VLOOKUP(BN256,Автомат_номиналы,2,TRUE),""),X256))</f>
        <v>6</v>
      </c>
      <c r="BP256">
        <f t="shared" si="273"/>
        <v>1</v>
      </c>
      <c r="BQ256">
        <f>IF(ISNUMBER(Y256),Y256,К_прокл)</f>
        <v>1</v>
      </c>
      <c r="BR256">
        <f t="shared" si="274"/>
        <v>2</v>
      </c>
      <c r="BS256" cm="1">
        <f t="array" ref="BS256">IF(D256="","",IF(N(BK256)&lt;&gt;0,BK256,IFERROR(_xlfn.LET(_xlpm.need,BO256/(BP256*BQ256),_xlpm.t,CHOOSE(BR256,Iдоп_1ж,Iдоп_2ж,Iдоп_3ж),_xlpm.k,_xlfn.XMATCH(_xlpm.need,_xlpm.t,1),IF(ISNA(_xlpm.k),"Не исп",INDEX(Iдоп_S,_xlpm.k))),"Не исп")))</f>
        <v>2.5</v>
      </c>
      <c r="BT256">
        <f>IFERROR(VLOOKUP(BS256,Кабель_сопротивление,3,FALSE),"")</f>
        <v>2.2499999999999999E-2</v>
      </c>
      <c r="BU256">
        <f>IFERROR(VLOOKUP(BS256,Кабель_сопротивление,2,FALSE),"")</f>
        <v>0.1</v>
      </c>
      <c r="BV256">
        <f t="shared" si="275"/>
        <v>52</v>
      </c>
      <c r="BW256">
        <f>IF(D256="","",IFERROR(IF(VLOOKUP(AT256,Потребители_обозначение,4,FALSE)=1,VLOOKUP(AT256,Потребители_обозначение,3,FALSE)*(H256*2-1)+BV256+VLOOKUP(AV256,Этаж_обозначение,3,FALSE)+VLOOKUP(AV256,Этаж_обозначение,4,FALSE),VLOOKUP(AT256,Потребители_обозначение,3,FALSE)*(H256*2-1)+BV256),BV256))</f>
        <v>73</v>
      </c>
      <c r="BX256">
        <f t="shared" si="276"/>
        <v>31</v>
      </c>
      <c r="BY256">
        <f t="shared" si="277"/>
        <v>36</v>
      </c>
      <c r="BZ256">
        <f t="shared" si="278"/>
        <v>2</v>
      </c>
      <c r="CA256">
        <f t="shared" si="279"/>
        <v>0.31</v>
      </c>
      <c r="CB256">
        <f t="shared" si="280"/>
        <v>2.3983749466267894</v>
      </c>
      <c r="CC256">
        <f>IFERROR(ROUNDUP(CB256/((Uн_лин/SQRT(3))*1000)*100,2),"")</f>
        <v>1.04</v>
      </c>
      <c r="CD256">
        <f>IF(ISNUMBER(CC256),CC256+IFERROR(_xlfn.XLOOKUP(A256,Щиты[Щит],Щиты[ΔU до шин, %]),0),"")</f>
        <v>2.29</v>
      </c>
      <c r="CE256">
        <f>IF(D256="","",IF(IFERROR(VLOOKUP(AT256,УГО_спр,2,FALSE),"")="Светильник",3,4)+IF(Методика="нормы 2026",MIN(0.5,MAX(0,N(BW256)-100)*0.005),0))</f>
        <v>4</v>
      </c>
      <c r="CF256" t="str">
        <f>IFERROR(VLOOKUP(BI256,Кабель_обозначение,2,FALSE),"")</f>
        <v>ВВГнг(А)-LS</v>
      </c>
      <c r="CG256" t="str">
        <f>IFERROR(IF(VLOOKUP(BI256,Кабель_обозначение,3,FALSE)=1,CF256&amp;" ("&amp;BJ256&amp;"х"&amp;BS256&amp;")",CF256),"")</f>
        <v>ВВГнг(А)-LS (3х2,5)</v>
      </c>
      <c r="CH256" t="str">
        <f t="shared" si="281"/>
        <v>ВВГнг(А)-LS (3х2,5)
L=73-1,04%</v>
      </c>
      <c r="CI256">
        <f>IFERROR(2*ρкз_Cu*BW256/BS256,"")</f>
        <v>1.53592</v>
      </c>
      <c r="CJ256">
        <f t="shared" si="282"/>
        <v>0.51100000000000001</v>
      </c>
      <c r="CK256" t="str">
        <f>IFERROR(IF(OR(D256="",NOT(ISNUMBER(BS256)),N(BW256)=0),"",_xlfn.XLOOKUP(A256,Щиты[Щит],Щиты[Zпетли на шинах, Ом])+CI256),"")</f>
        <v/>
      </c>
      <c r="CL256" t="str">
        <f>IF(ISNUMBER(CK256),c_min*(Uн_лин*1000/SQRT(3))/CK256,"")</f>
        <v/>
      </c>
      <c r="CM256" t="str">
        <f>IFERROR(IF(OR(D256="",NOT(ISNUMBER(BS256))),"",1.05*(Uн_лин*1000/SQRT(3))/(_xlfn.XLOOKUP(A256,Щиты[Щит],Щиты[Zmax на шинах, Ом])+CJ256)/1000),"")</f>
        <v/>
      </c>
      <c r="CN256" t="str">
        <f>IF(D256="","",IF(BA256&lt;&gt;"","Щит",IF(K256&lt;&gt;"",K256,IF(ISNUMBER(L256),"Сил",IF(IFERROR(_xlfn.XLOOKUP(AT256,Коды_код,Коды_группа)&amp;"","")="","Быт",_xlfn.XLOOKUP(AT256,Коды_код,Коды_группа)&amp;"")))))</f>
        <v>Быт</v>
      </c>
      <c r="CO256">
        <f>IF(CN256="Щит","щит",IF(CN256="","",IF(CN256="Быт",IFERROR(_xlfn.XLOOKUP(A256,Щиты[Щит],Щиты[Кс быт]),1),IF(CN256="Сил",IF(ISNUMBER(L256),L256,IF(Методика="нормы 2026",IFERROR(_xlfn.XLOOKUP(A256,Щиты[Щит],Щиты[Кс силовых (табл. 7.5)]),1),1)),IF(OR(CN256="Пост",CN256="Отоп"),1,IF(CN256="ВНГ",0.7,0))))))</f>
        <v>0.57830000000000004</v>
      </c>
      <c r="CP256">
        <f t="shared" si="283"/>
        <v>1</v>
      </c>
      <c r="CQ256">
        <f t="shared" si="284"/>
        <v>0.42</v>
      </c>
      <c r="CR256">
        <f t="shared" si="285"/>
        <v>0.42</v>
      </c>
      <c r="CS256">
        <f t="shared" si="286"/>
        <v>0</v>
      </c>
      <c r="CT256">
        <f t="shared" si="287"/>
        <v>0</v>
      </c>
      <c r="CU256">
        <f t="shared" si="288"/>
        <v>0</v>
      </c>
      <c r="CV256">
        <f t="shared" si="289"/>
        <v>0</v>
      </c>
      <c r="CW256">
        <f t="shared" si="290"/>
        <v>0.42</v>
      </c>
      <c r="CX256">
        <f t="shared" si="291"/>
        <v>0.39899999999999997</v>
      </c>
      <c r="CY256">
        <f t="shared" si="292"/>
        <v>2</v>
      </c>
      <c r="CZ256" t="str">
        <f t="shared" si="293"/>
        <v>L2</v>
      </c>
      <c r="DA256" cm="1">
        <f t="array" ref="DA256">IFERROR(IF(BL256=2,_xlfn.IFS(BH256=3,VLOOKUP(BF256,Справочная_двигатели,3,FALSE),BH256=1,VLOOKUP(BF256,Справочная_двигатели,5,TRUE)),0),0)</f>
        <v>0</v>
      </c>
      <c r="DB256">
        <f>IFERROR(IF(BL256=3,VLOOKUP(BF256,Справочная_ЛЭД,2,TRUE),0),0)</f>
        <v>0</v>
      </c>
      <c r="DC256">
        <f t="shared" si="294"/>
        <v>0</v>
      </c>
      <c r="DD256" t="str">
        <f t="shared" si="295"/>
        <v>L1</v>
      </c>
      <c r="DE256" t="str" cm="1">
        <f t="array" ref="DE256">IF(D256="","",IFERROR(INDEX({"I особая","I","II","III"},MATCH(TRIM(AA256&amp;""),{"I особая","I","II","III"},0)),"III"))</f>
        <v>II</v>
      </c>
      <c r="DF256" t="str">
        <f>IF(D256="","",IF(TRIM(AB256&amp;"")&lt;&gt;"",IF(LOWER(TRIM(AB256&amp;""))="да","да","нет"),IF(IFERROR(_xlfn.XLOOKUP(AT256,Коды_код,Коды_пожарная),"")="да","да","нет")))</f>
        <v>нет</v>
      </c>
      <c r="DG256" t="str">
        <f t="shared" si="296"/>
        <v/>
      </c>
      <c r="DH256" t="str">
        <f t="shared" si="297"/>
        <v>основная</v>
      </c>
      <c r="DI256">
        <f t="shared" si="298"/>
        <v>1</v>
      </c>
      <c r="DJ256" t="str" cm="1">
        <f t="array" ref="DJ256">IF(D256="","",_xlfn.LET(_xlpm.t,IFERROR(_xlfn.XLOOKUP(1,(Шины[Шина]=DH256)*(((Шины[Щит]=A256)+(Шины[Щит]=""))&gt;0),Шины[Тип]),"")&amp;"",IF(_xlpm.t&lt;&gt;"",_xlpm.t,IF(ISNUMBER(SEARCH("ИБП",DH256)),"ИБП",IF(ISNUMBER(SEARCH("ДГУ",DH256)),"ДГУ","Ввод "&amp;DI256)))))</f>
        <v>Ввод 1</v>
      </c>
      <c r="DK256" t="str">
        <f t="shared" si="299"/>
        <v>Ввод 1</v>
      </c>
      <c r="DL256" t="str">
        <f>IF(D256="","",IF(OR(DJ256="ИБП",DJ256="ДГУ"),"I особая",IF(DJ256="Одиночная","III",_xlfn.XLOOKUP(A256,Щиты[Щит],Щиты[Категория шины «Ввод»],"III"))))</f>
        <v>II</v>
      </c>
      <c r="DM256">
        <f>IF(D256="",0,IFERROR(MATCH(DE256,{"III","II","I","I особая"},0),1))</f>
        <v>2</v>
      </c>
      <c r="DN256">
        <f t="shared" si="300"/>
        <v>2</v>
      </c>
      <c r="DO256" t="str">
        <f>IF(D256="","",IF(DM256&gt;IFERROR(MATCH(DL256,{"III","II","I","I особая"},0),1),"НЕ ОБЕСПЕЧЕНА","ОК"))</f>
        <v>ОК</v>
      </c>
      <c r="DP256" t="str">
        <f>IF(A256="","",_xlfn.XLOOKUP(A256,Щиты[Щит],Щиты[Путь],""))</f>
        <v>|ГРЩ-ЖД|ЩР-1|</v>
      </c>
      <c r="DQ256" t="str">
        <f>IF(D256="","",IF(Z256&lt;&gt;"",Z256,IF(IFERROR(_xlfn.XLOOKUP(AT256,Коды_код,Коды_вид)&amp;"","")="","Прочее",_xlfn.XLOOKUP(AT256,Коды_код,Коды_вид)&amp;"")))</f>
        <v>Розеточная сеть и бытовые приборы</v>
      </c>
      <c r="DR256">
        <f>IF(BD256="","",INT((BD256-1)/Столбцов_на_лист)+1)</f>
        <v>3</v>
      </c>
      <c r="DS256" t="str">
        <f t="shared" si="301"/>
        <v>ВВГнг(А)-LS (3х2,5) L=73-1,04%</v>
      </c>
      <c r="DT256">
        <f t="shared" si="302"/>
        <v>0.42</v>
      </c>
      <c r="DU256">
        <f t="shared" si="303"/>
        <v>1.92</v>
      </c>
      <c r="DV256">
        <f t="shared" si="304"/>
        <v>1</v>
      </c>
      <c r="DW256">
        <f>IF(AT256="",0,_xlfn.LET(_xlpm.v,IFERROR(VLOOKUP(D256,УГО_спр,3,FALSE),IFERROR(VLOOKUP(AT256,УГО_спр,3,FALSE),IFERROR(VLOOKUP(LEFT(AT256,2),УГО_спр,3,FALSE),""))),IF(_xlpm.v="да",30,IF(ISNUMBER(_xlpm.v),_xlpm.v,0))))</f>
        <v>30</v>
      </c>
      <c r="DX256">
        <f t="shared" si="305"/>
        <v>0</v>
      </c>
      <c r="DY256">
        <f>IF(BD256="","",IF(AD256&lt;&gt;"",COUNTIFS(A$3:A256,A256,AD$3:AD256,"?*"),IF(OR(OR(AS256=1,A256&lt;&gt;A255),AL256="вручную"),"",IF(AS256=1,"",DZ255))))</f>
        <v>32</v>
      </c>
      <c r="DZ256">
        <f t="shared" si="306"/>
        <v>32</v>
      </c>
      <c r="EA256">
        <f>IF(D256="",0,MAX(IFERROR(--X256,0),IFERROR(--VLOOKUP(D256,УГО_спр,4,FALSE),IFERROR(--VLOOKUP(AT256,УГО_спр,4,FALSE),IFERROR(--VLOOKUP(LEFT(AT256,2),УГО_спр,4,FALSE),0)))))</f>
        <v>16</v>
      </c>
      <c r="EB256">
        <f>IF(D256="","",IFERROR(LOOKUP(INDEX(CHOOSE(BR256,Iдоп_1ж,Iдоп_2ж,Iдоп_3ж),MATCH(BS256,Iдоп_S,0))*BP256*BQ256,{6,10,16,20,25,32,40,50,63,80,100,125,160,200,250,315,400,500,630}),""))</f>
        <v>25</v>
      </c>
      <c r="EC256">
        <f>IF(AD256="","",SUMIFS(Линии[_Ток схемы],Линии[_гр.],DY256,Линии[Щит],A256,Линии[_в кабель выше],0))</f>
        <v>1.92</v>
      </c>
      <c r="ED256">
        <f>IF(AD256="","",IFERROR(VLOOKUP(EC256,Автомат_номиналы,2,TRUE),""))</f>
        <v>6</v>
      </c>
      <c r="EE256">
        <f>IF(AD256="","",MAX(N(ED256),_xlfn.MAXIFS(Линии[_мин. по типу],Линии[_гр.],DY256,Линии[Щит],A256)))</f>
        <v>16</v>
      </c>
      <c r="EF256">
        <f>IF(AD256="","",_xlfn.MINIFS(Линии[_макс. автомат по кабелю],Линии[_гр.],DY256,Линии[Щит],A256))</f>
        <v>25</v>
      </c>
      <c r="EG256">
        <f>IF(AD256="","",MAX(1,_xlfn.MAXIFS(Линии[_фаз],Линии[_гр.],DY256,Линии[Щит],A256)))</f>
        <v>1</v>
      </c>
      <c r="EH256">
        <f>IF(AD256="","",IF(AND(AD256&lt;&gt;"авто",AD256&lt;&gt;"+"),IF(ISNUMBER(SEARCH("мА",AD256)),IFERROR(--TRIM(RIGHT(SUBSTITUTE(LEFT(AD256,SEARCH("мА",AD256)-1)," ",REPT(" ",9)),6)),30),0),IF(AE256="нет",0,IF(ISNUMBER(AE256),AE256,IF(AE256="да",30,_xlfn.MINIFS(Линии[_дифзащита по коду, мА],Линии[_гр.],DY256,Линии[Щит],A256,Линии[_дифзащита по коду, мА],"&gt;0"))))))</f>
        <v>30</v>
      </c>
      <c r="EI256">
        <f t="shared" si="307"/>
        <v>1</v>
      </c>
      <c r="EJ256" t="str">
        <f t="shared" si="308"/>
        <v>QFD32</v>
      </c>
      <c r="EK256" t="str">
        <f t="shared" si="309"/>
        <v>QFD32</v>
      </c>
      <c r="EL256" t="str">
        <f t="shared" si="310"/>
        <v/>
      </c>
      <c r="EM256">
        <f t="shared" si="311"/>
        <v>0</v>
      </c>
      <c r="EN256">
        <f>IF(AD256="","",IF(EM256=1,MAX(EE256,Мин_автомат_БП),EE256))</f>
        <v>16</v>
      </c>
      <c r="EO256" t="str">
        <f t="shared" si="312"/>
        <v>2P</v>
      </c>
      <c r="EP256" t="str">
        <f t="shared" si="313"/>
        <v>2P С16А 30мА</v>
      </c>
      <c r="EQ256">
        <f t="shared" si="314"/>
        <v>16</v>
      </c>
      <c r="ER256" t="str">
        <f>IF(OR(AI256="",AI256="-"),"",IFERROR(VLOOKUP(AI256,Модули_спр,2,FALSE),"R"))</f>
        <v/>
      </c>
      <c r="ES256" t="str">
        <f>IF(ER256="","",ER256&amp;"."&amp;COUNTIFS(A$3:A256,A256,ER$3:ER256,ER256))</f>
        <v/>
      </c>
      <c r="ET256" t="str">
        <f t="shared" si="315"/>
        <v/>
      </c>
      <c r="EU256" t="str">
        <f t="shared" si="316"/>
        <v/>
      </c>
      <c r="EV256" t="str">
        <f t="shared" si="317"/>
        <v/>
      </c>
      <c r="EW256" t="str">
        <f t="shared" si="318"/>
        <v/>
      </c>
      <c r="EX256">
        <f t="shared" si="319"/>
        <v>1</v>
      </c>
      <c r="EY256" t="str">
        <f>IF(AK256="нет","",IF(AK256&lt;&gt;"",AK256,IF(EX256=1,"XT"&amp;COUNTIFS(A$3:A256,A256,EX$3:EX256,1),"")))</f>
        <v/>
      </c>
      <c r="EZ256" t="str">
        <f t="shared" si="320"/>
        <v>QFD32</v>
      </c>
      <c r="FA256" t="str">
        <f t="shared" si="321"/>
        <v/>
      </c>
      <c r="FB256" t="str">
        <f t="shared" si="322"/>
        <v>ok</v>
      </c>
      <c r="FC256" t="str">
        <f>IF(OR(EV256="",ET256=""),"",IF(EV256&gt;IFERROR(VLOOKUP(EU256,Модули_спр,3,FALSE),99),"ЛИШНИЙ КАНАЛ",IF(AND(AJ256&lt;&gt;"=",COUNTIFS(Линии[_модуль гр.],ET256,Линии[Канал (итог)],EV256,Линии[Канал],"&lt;&gt;=",Линии[Щит],A256)&gt;1),"ДУБЛЬ КАНАЛА","")))</f>
        <v/>
      </c>
      <c r="FD256">
        <f t="shared" si="323"/>
        <v>16</v>
      </c>
      <c r="FE256" t="str">
        <f t="shared" si="324"/>
        <v>2P С16А 30мА</v>
      </c>
      <c r="FF256">
        <f t="shared" si="325"/>
        <v>1</v>
      </c>
      <c r="FG256">
        <f t="shared" si="326"/>
        <v>30</v>
      </c>
      <c r="FH256" t="str">
        <f t="shared" si="327"/>
        <v/>
      </c>
      <c r="FI256">
        <f t="shared" si="328"/>
        <v>10</v>
      </c>
      <c r="FJ256" t="str">
        <f t="shared" si="329"/>
        <v/>
      </c>
      <c r="FK256" t="str">
        <f>IF(AND(D256="",EZ256=""),"",_xlfn.TEXTJOIN("; ",TRUE,IF(AND(D256&lt;&gt;"",DD256=""),"нет фазы",""),IF(AND(D256&lt;&gt;"",N(DT256)=0,CN256&lt;&gt;"Нет"),"нет мощности",""),IF(AND(EY256&lt;&gt;"",COUNTIFS(Линии[Щит],A256,Линии[Клемма (итог)],EY256)&gt;1),"дубль клеммы "&amp;EY256,""),IF(AND(FB256&lt;&gt;"",FB256&lt;&gt;"ok"),FB256,""),IF(FC256&lt;&gt;"",FC256,""),IF(AND(ISNUMBER(SEARCH("(5х",DS256)),N(DV256)=1),"5 жил на 1 фазе",""),IF(AND(AT256="R",AD256&lt;&gt;"",OR(N(EH256)=0,N(EH256)&gt;30)),"розетка без дифзащиты до 30 мА",""),IFERROR(IF(AND(ISNUMBER(CD256),CD256&gt;CE256),"потери "&amp;FIXED(CD256,1)&amp;" % &gt; "&amp;CE256&amp;" %",""),""),IFERROR(IF(LEFT(FJ256,4)="мало","Iкз мало — отключение &gt; 0,4 с",""),""),IF(AND(D256&lt;&gt;"",BD256=""),"не на схеме","")))</f>
        <v/>
      </c>
      <c r="FL256">
        <f>IF(AD256="","",_xlfn.LET(_xlpm.t,IFERROR(_xlfn.XLOOKUP(EP256,Каталог!$U$4:$U$500,Каталог!$G$4:$G$500),""),_xlpm.k,SEARCH("кА",_xlpm.t),IFERROR(--TRIM(RIGHT(SUBSTITUTE(MID(_xlpm.t,MAX(1,_xlpm.k-4),_xlpm.k-MAX(1,_xlpm.k-4))," ",REPT(" ",9)),5)),"")))</f>
        <v>6</v>
      </c>
      <c r="FM256" t="str">
        <f>IF(OR(FL256="",AD256=""),"",IF(_xlfn.XLOOKUP(A256,Щиты[Щит],Щиты[Iкз max на шинах, кА],"")="","",IF(FL256&lt;_xlfn.XLOOKUP(A256,Щиты[Щит],Щиты[Iкз max на шинах, кА]),"Icu "&amp;FL256&amp;" кА &lt; Iкз max","ok")))</f>
        <v/>
      </c>
      <c r="FN256" t="str">
        <f t="shared" si="330"/>
        <v>QFD32</v>
      </c>
      <c r="FO256" t="str">
        <f t="shared" si="331"/>
        <v>QFD32|кабель ВВГнг(А)-LS (3х2,5) → Розеточная группа Первый этаж Пом. №011A</v>
      </c>
      <c r="FP256" t="str" cm="1">
        <f t="array" ref="FP256">IF(FO256="","",_xlfn.LET(_xlpm.nd,_xlfn.TEXTSPLIT(FO256,"|"),IF(COLUMNS(_xlpm.nd)&gt;1,A256&amp;"¦"&amp;INDEX(_xlpm.nd,1)&amp;"¦"&amp;INDEX(_xlpm.nd,2),"")))</f>
        <v>ЩР-1¦QFD32¦кабель ВВГнг(А)-LS (3х2,5) → Розеточная группа Первый этаж Пом. №011A</v>
      </c>
      <c r="FQ256" t="str">
        <f t="shared" si="332"/>
        <v>R.1.011A.1¦Розеточная группа Первый этаж Пом. №011A</v>
      </c>
      <c r="FR256" t="str" cm="1">
        <f t="array" ref="FR256">IF(FO256="","",_xlfn.LET(_xlpm.nd,_xlfn.TEXTSPLIT(FO256,"|"),IF(COLUMNS(_xlpm.nd)&gt;2,A256&amp;"¦"&amp;INDEX(_xlpm.nd,2)&amp;"¦"&amp;INDEX(_xlpm.nd,3),"")))</f>
        <v/>
      </c>
      <c r="FS256" t="str">
        <f t="shared" si="333"/>
        <v/>
      </c>
      <c r="FT256" t="str" cm="1">
        <f t="array" ref="FT256">IF(FO256="","",_xlfn.LET(_xlpm.nd,_xlfn.TEXTSPLIT(FO256,"|"),IF(COLUMNS(_xlpm.nd)&gt;3,A256&amp;"¦"&amp;INDEX(_xlpm.nd,3)&amp;"¦"&amp;INDEX(_xlpm.nd,4),"")))</f>
        <v/>
      </c>
      <c r="FU256" t="str">
        <f t="shared" si="334"/>
        <v/>
      </c>
      <c r="FV256" t="str" cm="1">
        <f t="array" ref="FV256">IF(FO256="","",_xlfn.LET(_xlpm.nd,_xlfn.TEXTSPLIT(FO256,"|"),IF(COLUMNS(_xlpm.nd)&gt;4,A256&amp;"¦"&amp;INDEX(_xlpm.nd,4)&amp;"¦"&amp;INDEX(_xlpm.nd,5),"")))</f>
        <v/>
      </c>
      <c r="FW256" t="str">
        <f t="shared" si="335"/>
        <v/>
      </c>
      <c r="FX256" t="str" cm="1">
        <f t="array" ref="FX256">IF(FO256="","",_xlfn.LET(_xlpm.nd,_xlfn.TEXTSPLIT(FO256,"|"),IF(COLUMNS(_xlpm.nd)&gt;5,A256&amp;"¦"&amp;INDEX(_xlpm.nd,5)&amp;"¦"&amp;INDEX(_xlpm.nd,6),"")))</f>
        <v/>
      </c>
      <c r="FY256" t="str">
        <f t="shared" si="336"/>
        <v/>
      </c>
      <c r="FZ256" t="str" cm="1">
        <f t="array" ref="FZ256">IF(FO256="","",_xlfn.LET(_xlpm.nd,_xlfn.TEXTSPLIT(FO256,"|"),IF(COLUMNS(_xlpm.nd)&gt;6,A256&amp;"¦"&amp;INDEX(_xlpm.nd,6)&amp;"¦"&amp;INDEX(_xlpm.nd,7),"")))</f>
        <v/>
      </c>
      <c r="GA256" t="str">
        <f t="shared" si="337"/>
        <v/>
      </c>
      <c r="GB256" t="str">
        <f t="shared" si="338"/>
        <v/>
      </c>
      <c r="GC256" t="str">
        <f t="shared" si="339"/>
        <v>QFD32</v>
      </c>
      <c r="GD256">
        <f t="shared" si="340"/>
        <v>1</v>
      </c>
      <c r="GE256">
        <f t="shared" si="341"/>
        <v>0</v>
      </c>
      <c r="GF256">
        <f t="shared" si="342"/>
        <v>1</v>
      </c>
      <c r="GG256" t="str">
        <f t="shared" si="343"/>
        <v/>
      </c>
      <c r="GH256" t="str">
        <f t="shared" si="344"/>
        <v/>
      </c>
      <c r="GI256" t="str">
        <f t="shared" si="345"/>
        <v/>
      </c>
      <c r="GJ256" t="str">
        <f t="shared" si="346"/>
        <v/>
      </c>
      <c r="GK256" t="str">
        <f>IF(D256="","",IFERROR(VLOOKUP(D256,УГО_спр,2,FALSE),IFERROR(VLOOKUP(AT256,УГО_спр,2,FALSE),IFERROR(VLOOKUP(LEFT(AT256,2),УГО_спр,2,FALSE),""))))</f>
        <v>Розетка</v>
      </c>
      <c r="GL256" t="str">
        <f>IF(D256="","",IF(OR(GK256="",GK256=0),"BOX",IFERROR(IF(VLOOKUP(GK256,УГО_блоки,3,FALSE)&amp;""&lt;&gt;"",VLOOKUP(GK256,УГО_блоки,3,FALSE),VLOOKUP(GK256,УГО_блоки,2,FALSE)),GK256)))</f>
        <v>SOCKET</v>
      </c>
      <c r="GM256">
        <f t="shared" si="347"/>
        <v>1</v>
      </c>
      <c r="GN256" t="str">
        <f>IF(EP256="","",IF(COUNTIF(EP$3:EP256,EP256)=1,MAX(GN$2:GN255)+1,""))</f>
        <v/>
      </c>
      <c r="GO256" t="str">
        <f>IF(AF256="","",IF(COUNTIF(AF$3:AF256,AF256)+COUNTIF(AG$2:AG255,AF256)+COUNTIF(AH$2:AH255,AF256)=1,MAX(GO$2:GQ255)+1,""))</f>
        <v/>
      </c>
      <c r="GP256" t="str">
        <f>IF(AG256="","",IF(COUNTIF(AF$3:AF256,AG256)+COUNTIF(AG$3:AG256,AG256)+COUNTIF(AH$2:AH255,AG256)=1,MAX(GO$2:GQ255,GO256)+1,""))</f>
        <v/>
      </c>
      <c r="GQ256" t="str">
        <f>IF(AH256="","",IF(COUNTIF(AF$3:AF256,AH256)+COUNTIF(AG$3:AG256,AH256)+COUNTIF(AH$3:AH256,AH256)=1,MAX(GO$2:GQ255,GO256,GP256)+1,""))</f>
        <v/>
      </c>
      <c r="GR256" t="str">
        <f t="shared" si="348"/>
        <v>3х2,5</v>
      </c>
      <c r="GS256" t="str">
        <f>IF(GR256="","",IF(COUNTIF(GR$3:GR256,GR256)=1,MAX(GS$2:GS255)+1,""))</f>
        <v/>
      </c>
      <c r="GT256" t="str">
        <f>IF(ES256="","",COUNTIF(ES$3:ES256,"?*"))</f>
        <v/>
      </c>
      <c r="GU256" t="str">
        <f>IF(OR(ES256="",EU256=""),"",IF(COUNTIFS(ES$3:ES256,"?*",EU$3:EU256,EU256)=1,MAX(GU$2:GU255)+1,""))</f>
        <v/>
      </c>
      <c r="GV256">
        <f t="shared" si="349"/>
        <v>0</v>
      </c>
      <c r="GW256">
        <f>IF(D256="","",COUNTIF(D$3:D256,"?*"))</f>
        <v>254</v>
      </c>
      <c r="GX256">
        <f>IF(EX256&lt;&gt;1,0,_xlfn.LET(_xlpm.k,MAX(IFERROR(--VLOOKUP(D256,УГО_спр,5,FALSE),0),IFERROR(--VLOOKUP(AT256,УГО_спр,5,FALSE),0),IFERROR(--VLOOKUP(LEFT(AT256,2),УГО_спр,5,FALSE),0)),IF(_xlpm.k&gt;0,_xlpm.k,IF(IFERROR(--LEFT(SUBSTITUTE(GR256,"x","х"),FIND("х",SUBSTITUTE(GR256,"x","х"))-1),3)&gt;3,Каталог!$S$9,1))))</f>
        <v>1</v>
      </c>
      <c r="GY256">
        <f t="shared" si="350"/>
        <v>0</v>
      </c>
    </row>
    <row r="257" spans="1:207" x14ac:dyDescent="0.3">
      <c r="A257" t="s">
        <v>762</v>
      </c>
      <c r="B257">
        <v>45</v>
      </c>
      <c r="C257" t="str">
        <f>IF(BD257="","",IF(BE257="вводной узел","узел ","")&amp;"л."&amp;(INT((BD257-1)/Столбцов_на_лист)+1)&amp;" / "&amp;(MOD(BD257-1,Столбцов_на_лист)+1))</f>
        <v>л.3 / 11</v>
      </c>
      <c r="D257" t="s">
        <v>1579</v>
      </c>
      <c r="E257" s="133" t="str">
        <f t="shared" si="351"/>
        <v>Розеточная группа Первый этаж Пом. №012</v>
      </c>
      <c r="G257">
        <v>0.06</v>
      </c>
      <c r="H257">
        <v>1</v>
      </c>
      <c r="I257">
        <v>1</v>
      </c>
      <c r="J257">
        <v>230</v>
      </c>
      <c r="K257" t="s">
        <v>566</v>
      </c>
      <c r="O257">
        <v>1</v>
      </c>
      <c r="P257">
        <v>29</v>
      </c>
      <c r="Q257">
        <v>18</v>
      </c>
      <c r="R257">
        <v>14</v>
      </c>
      <c r="S257">
        <v>0</v>
      </c>
      <c r="U257" t="s">
        <v>11</v>
      </c>
      <c r="V257">
        <v>3</v>
      </c>
      <c r="W257">
        <v>2.5</v>
      </c>
      <c r="Z257" t="s">
        <v>565</v>
      </c>
      <c r="AA257" t="s">
        <v>818</v>
      </c>
      <c r="AD257" t="s">
        <v>517</v>
      </c>
      <c r="AK257" t="s">
        <v>488</v>
      </c>
      <c r="AR257" t="str">
        <f t="shared" si="264"/>
        <v/>
      </c>
      <c r="AS257" cm="1">
        <f t="array" ref="AS257">ROW()-ROW(Линии[#Headers])</f>
        <v>255</v>
      </c>
      <c r="AT257" t="str">
        <f t="shared" si="265"/>
        <v>R</v>
      </c>
      <c r="AU257" t="str">
        <f t="shared" si="266"/>
        <v>1.012.1A.1</v>
      </c>
      <c r="AV257" t="str">
        <f t="shared" si="267"/>
        <v>1</v>
      </c>
      <c r="AW257" t="str">
        <f t="shared" si="268"/>
        <v>012.1A.1</v>
      </c>
      <c r="AX257" t="str">
        <f t="shared" si="269"/>
        <v>012</v>
      </c>
      <c r="AY257" t="str">
        <f>IF(D257="","",IF(ISERROR(SEARCH(".",D257)),IFERROR(VLOOKUP(D257,Потребители_обозначение,2,FALSE)&amp;"",""),IFERROR(IF(VLOOKUP(AT257,Потребители_обозначение,4,FALSE)=1,VLOOKUP(AT257,Потребители_обозначение,2,FALSE)&amp;" "&amp;VLOOKUP(AV257,Этаж_обозначение,2,FALSE)&amp;" Пом. №"&amp;AX257,VLOOKUP(AT257,Потребители_обозначение,2,FALSE)&amp;" Шлейф №"&amp;AV257),IFERROR(VLOOKUP(D257,Потребители_обозначение,2,FALSE),""))))</f>
        <v>Розеточная группа Первый этаж Пом. №012</v>
      </c>
      <c r="AZ257" t="str">
        <f t="shared" si="270"/>
        <v>Розеточная группа Первый этаж Пом. №012</v>
      </c>
      <c r="BA257" t="str">
        <f>IF(F257&lt;&gt;"",F257,IF(AND(D257&lt;&gt;"",D257&lt;&gt;A257,ISNUMBER(_xlfn.XMATCH(D257,Щиты[Щит]))),D257,""))</f>
        <v/>
      </c>
      <c r="BB257">
        <f>IFERROR(_xlfn.XMATCH(A257,Щиты[Щит]),0)</f>
        <v>10</v>
      </c>
      <c r="BC257">
        <f>IFERROR(N(_xlfn.XLOOKUP(A257,Щиты[Щит],Щиты[Мест под вводной узел])),15)</f>
        <v>8</v>
      </c>
      <c r="BD257">
        <f t="shared" si="271"/>
        <v>45</v>
      </c>
      <c r="BE257" t="str">
        <f t="shared" si="272"/>
        <v>линии</v>
      </c>
      <c r="BF257">
        <f>IF(D257="","",IF(BA257&lt;&gt;"",IFERROR(_xlfn.XLOOKUP(BA257,Щиты[Щит],Щиты[Руст, кВт]),0),N(G257)))</f>
        <v>0.06</v>
      </c>
      <c r="BG257">
        <f>IF(J257&lt;&gt;"",J257,IF(D257="","",IFERROR(IF(VLOOKUP(AT257,Потребители_обозначение,8,FALSE)=0,"",VLOOKUP(AT257,Потребители_обозначение,8,FALSE)),"")))</f>
        <v>230</v>
      </c>
      <c r="BH257">
        <f>IF(I257&lt;&gt;"",I257,IF(D257="","",IFERROR(IF(VLOOKUP(AT257,Потребители_обозначение,9,FALSE)=0,"",VLOOKUP(AT257,Потребители_обозначение,9,FALSE)),"")))</f>
        <v>1</v>
      </c>
      <c r="BI257" t="str">
        <f>IF(U257&lt;&gt;"",U257,IF(D257="","",IFERROR(IF(VLOOKUP(AT257,Потребители_обозначение,6,FALSE)=0,"",VLOOKUP(AT257,Потребители_обозначение,6,FALSE)),"")))</f>
        <v>мс</v>
      </c>
      <c r="BJ257">
        <f>IF(V257&lt;&gt;"",V257,IF(D257="","",IFERROR(IF(VLOOKUP(AT257,Потребители_обозначение,7,FALSE)=0,"",VLOOKUP(AT257,Потребители_обозначение,7,FALSE)),"")))</f>
        <v>3</v>
      </c>
      <c r="BK257">
        <f>IF(W257&lt;&gt;"",W257,IF(D257="","",IFERROR(IF(VLOOKUP(AT257,Потребители_обозначение,10,FALSE)=0,"",VLOOKUP(AT257,Потребители_обозначение,10,FALSE)),"")))</f>
        <v>2.5</v>
      </c>
      <c r="BL257">
        <f>IFERROR(VLOOKUP(AT257,Потребители_обозначение,5,FALSE),0)</f>
        <v>1</v>
      </c>
      <c r="BM257" cm="1">
        <f t="array" ref="BM257">IF(D257="","",IF(BA257&lt;&gt;"",IFERROR(_xlfn.XLOOKUP(BA257,Щиты[Щит],Щиты[cos φ]),0.95),IF(ISNUMBER(M257),M257,IFERROR(IF(BL257=2,_xlfn.IFS(BH257=3,VLOOKUP(BF257,Справочная_двигатели,8,FALSE),BH257=1,VLOOKUP(BF257,Справочная_двигатели,10,TRUE)),IF(AND(Методика="нормы 2026",CN257="Сил"),0.8,0.95)),0.95))))</f>
        <v>0.95</v>
      </c>
      <c r="BN257" cm="1">
        <f t="array" ref="BN257">IF(D257="","",IF(BA257&lt;&gt;"",IFERROR(_xlfn.XLOOKUP(BA257,Щиты[Щит],Щиты[Iр, А]),""),IFERROR(_xlfn.IFS(BH257=1,BF257/((Uн_лин/SQRT(3))*BM257),BH257=3,BF257/(SQRT(3)*Uн_лин*BM257)),"")))</f>
        <v>0.27348170645824377</v>
      </c>
      <c r="BO257">
        <f>IF(D257="","",IF(N(X257)=0,IFERROR(VLOOKUP(BN257,Автомат_номиналы,2,TRUE),""),X257))</f>
        <v>6</v>
      </c>
      <c r="BP257">
        <f t="shared" si="273"/>
        <v>1</v>
      </c>
      <c r="BQ257">
        <f>IF(ISNUMBER(Y257),Y257,К_прокл)</f>
        <v>1</v>
      </c>
      <c r="BR257">
        <f t="shared" si="274"/>
        <v>2</v>
      </c>
      <c r="BS257" cm="1">
        <f t="array" ref="BS257">IF(D257="","",IF(N(BK257)&lt;&gt;0,BK257,IFERROR(_xlfn.LET(_xlpm.need,BO257/(BP257*BQ257),_xlpm.t,CHOOSE(BR257,Iдоп_1ж,Iдоп_2ж,Iдоп_3ж),_xlpm.k,_xlfn.XMATCH(_xlpm.need,_xlpm.t,1),IF(ISNA(_xlpm.k),"Не исп",INDEX(Iдоп_S,_xlpm.k))),"Не исп")))</f>
        <v>2.5</v>
      </c>
      <c r="BT257">
        <f>IFERROR(VLOOKUP(BS257,Кабель_сопротивление,3,FALSE),"")</f>
        <v>2.2499999999999999E-2</v>
      </c>
      <c r="BU257">
        <f>IFERROR(VLOOKUP(BS257,Кабель_сопротивление,2,FALSE),"")</f>
        <v>0.1</v>
      </c>
      <c r="BV257">
        <f t="shared" si="275"/>
        <v>29</v>
      </c>
      <c r="BW257">
        <f>IF(D257="","",IFERROR(IF(VLOOKUP(AT257,Потребители_обозначение,4,FALSE)=1,VLOOKUP(AT257,Потребители_обозначение,3,FALSE)*(H257*2-1)+BV257+VLOOKUP(AV257,Этаж_обозначение,3,FALSE)+VLOOKUP(AV257,Этаж_обозначение,4,FALSE),VLOOKUP(AT257,Потребители_обозначение,3,FALSE)*(H257*2-1)+BV257),BV257))</f>
        <v>32</v>
      </c>
      <c r="BX257">
        <f t="shared" si="276"/>
        <v>14</v>
      </c>
      <c r="BY257">
        <f t="shared" si="277"/>
        <v>0</v>
      </c>
      <c r="BZ257">
        <f t="shared" si="278"/>
        <v>2</v>
      </c>
      <c r="CA257">
        <f t="shared" si="279"/>
        <v>0.31</v>
      </c>
      <c r="CB257">
        <f t="shared" si="280"/>
        <v>0.15019177747956411</v>
      </c>
      <c r="CC257">
        <f>IFERROR(ROUNDUP(CB257/((Uн_лин/SQRT(3))*1000)*100,2),"")</f>
        <v>6.9999999999999993E-2</v>
      </c>
      <c r="CD257">
        <f>IF(ISNUMBER(CC257),CC257+IFERROR(_xlfn.XLOOKUP(A257,Щиты[Щит],Щиты[ΔU до шин, %]),0),"")</f>
        <v>1.32</v>
      </c>
      <c r="CE257">
        <f>IF(D257="","",IF(IFERROR(VLOOKUP(AT257,УГО_спр,2,FALSE),"")="Светильник",3,4)+IF(Методика="нормы 2026",MIN(0.5,MAX(0,N(BW257)-100)*0.005),0))</f>
        <v>4</v>
      </c>
      <c r="CF257" t="str">
        <f>IFERROR(VLOOKUP(BI257,Кабель_обозначение,2,FALSE),"")</f>
        <v>ВВГнг(А)-LS</v>
      </c>
      <c r="CG257" t="str">
        <f>IFERROR(IF(VLOOKUP(BI257,Кабель_обозначение,3,FALSE)=1,CF257&amp;" ("&amp;BJ257&amp;"х"&amp;BS257&amp;")",CF257),"")</f>
        <v>ВВГнг(А)-LS (3х2,5)</v>
      </c>
      <c r="CH257" t="str">
        <f t="shared" si="281"/>
        <v>ВВГнг(А)-LS (3х2,5)
L=32-0,07%</v>
      </c>
      <c r="CI257">
        <f>IFERROR(2*ρкз_Cu*BW257/BS257,"")</f>
        <v>0.67327999999999999</v>
      </c>
      <c r="CJ257">
        <f t="shared" si="282"/>
        <v>0.22400000000000003</v>
      </c>
      <c r="CK257" t="str">
        <f>IFERROR(IF(OR(D257="",NOT(ISNUMBER(BS257)),N(BW257)=0),"",_xlfn.XLOOKUP(A257,Щиты[Щит],Щиты[Zпетли на шинах, Ом])+CI257),"")</f>
        <v/>
      </c>
      <c r="CL257" t="str">
        <f>IF(ISNUMBER(CK257),c_min*(Uн_лин*1000/SQRT(3))/CK257,"")</f>
        <v/>
      </c>
      <c r="CM257" t="str">
        <f>IFERROR(IF(OR(D257="",NOT(ISNUMBER(BS257))),"",1.05*(Uн_лин*1000/SQRT(3))/(_xlfn.XLOOKUP(A257,Щиты[Щит],Щиты[Zmax на шинах, Ом])+CJ257)/1000),"")</f>
        <v/>
      </c>
      <c r="CN257" t="str">
        <f>IF(D257="","",IF(BA257&lt;&gt;"","Щит",IF(K257&lt;&gt;"",K257,IF(ISNUMBER(L257),"Сил",IF(IFERROR(_xlfn.XLOOKUP(AT257,Коды_код,Коды_группа)&amp;"","")="","Быт",_xlfn.XLOOKUP(AT257,Коды_код,Коды_группа)&amp;"")))))</f>
        <v>Быт</v>
      </c>
      <c r="CO257">
        <f>IF(CN257="Щит","щит",IF(CN257="","",IF(CN257="Быт",IFERROR(_xlfn.XLOOKUP(A257,Щиты[Щит],Щиты[Кс быт]),1),IF(CN257="Сил",IF(ISNUMBER(L257),L257,IF(Методика="нормы 2026",IFERROR(_xlfn.XLOOKUP(A257,Щиты[Щит],Щиты[Кс силовых (табл. 7.5)]),1),1)),IF(OR(CN257="Пост",CN257="Отоп"),1,IF(CN257="ВНГ",0.7,0))))))</f>
        <v>0.57830000000000004</v>
      </c>
      <c r="CP257">
        <f t="shared" si="283"/>
        <v>1</v>
      </c>
      <c r="CQ257">
        <f t="shared" si="284"/>
        <v>0.06</v>
      </c>
      <c r="CR257">
        <f t="shared" si="285"/>
        <v>0.06</v>
      </c>
      <c r="CS257">
        <f t="shared" si="286"/>
        <v>0</v>
      </c>
      <c r="CT257">
        <f t="shared" si="287"/>
        <v>0</v>
      </c>
      <c r="CU257">
        <f t="shared" si="288"/>
        <v>0</v>
      </c>
      <c r="CV257">
        <f t="shared" si="289"/>
        <v>0</v>
      </c>
      <c r="CW257">
        <f t="shared" si="290"/>
        <v>0.06</v>
      </c>
      <c r="CX257">
        <f t="shared" si="291"/>
        <v>5.6999999999999995E-2</v>
      </c>
      <c r="CY257">
        <f t="shared" si="292"/>
        <v>3</v>
      </c>
      <c r="CZ257" t="str">
        <f t="shared" si="293"/>
        <v>L3</v>
      </c>
      <c r="DA257" cm="1">
        <f t="array" ref="DA257">IFERROR(IF(BL257=2,_xlfn.IFS(BH257=3,VLOOKUP(BF257,Справочная_двигатели,3,FALSE),BH257=1,VLOOKUP(BF257,Справочная_двигатели,5,TRUE)),0),0)</f>
        <v>0</v>
      </c>
      <c r="DB257">
        <f>IFERROR(IF(BL257=3,VLOOKUP(BF257,Справочная_ЛЭД,2,TRUE),0),0)</f>
        <v>0</v>
      </c>
      <c r="DC257">
        <f t="shared" si="294"/>
        <v>0</v>
      </c>
      <c r="DD257" t="str">
        <f t="shared" si="295"/>
        <v>L1</v>
      </c>
      <c r="DE257" t="str" cm="1">
        <f t="array" ref="DE257">IF(D257="","",IFERROR(INDEX({"I особая","I","II","III"},MATCH(TRIM(AA257&amp;""),{"I особая","I","II","III"},0)),"III"))</f>
        <v>II</v>
      </c>
      <c r="DF257" t="str">
        <f>IF(D257="","",IF(TRIM(AB257&amp;"")&lt;&gt;"",IF(LOWER(TRIM(AB257&amp;""))="да","да","нет"),IF(IFERROR(_xlfn.XLOOKUP(AT257,Коды_код,Коды_пожарная),"")="да","да","нет")))</f>
        <v>нет</v>
      </c>
      <c r="DG257" t="str">
        <f t="shared" si="296"/>
        <v/>
      </c>
      <c r="DH257" t="str">
        <f t="shared" si="297"/>
        <v>основная</v>
      </c>
      <c r="DI257">
        <f t="shared" si="298"/>
        <v>1</v>
      </c>
      <c r="DJ257" t="str" cm="1">
        <f t="array" ref="DJ257">IF(D257="","",_xlfn.LET(_xlpm.t,IFERROR(_xlfn.XLOOKUP(1,(Шины[Шина]=DH257)*(((Шины[Щит]=A257)+(Шины[Щит]=""))&gt;0),Шины[Тип]),"")&amp;"",IF(_xlpm.t&lt;&gt;"",_xlpm.t,IF(ISNUMBER(SEARCH("ИБП",DH257)),"ИБП",IF(ISNUMBER(SEARCH("ДГУ",DH257)),"ДГУ","Ввод "&amp;DI257)))))</f>
        <v>Ввод 1</v>
      </c>
      <c r="DK257" t="str">
        <f t="shared" si="299"/>
        <v>Ввод 1</v>
      </c>
      <c r="DL257" t="str">
        <f>IF(D257="","",IF(OR(DJ257="ИБП",DJ257="ДГУ"),"I особая",IF(DJ257="Одиночная","III",_xlfn.XLOOKUP(A257,Щиты[Щит],Щиты[Категория шины «Ввод»],"III"))))</f>
        <v>II</v>
      </c>
      <c r="DM257">
        <f>IF(D257="",0,IFERROR(MATCH(DE257,{"III","II","I","I особая"},0),1))</f>
        <v>2</v>
      </c>
      <c r="DN257">
        <f t="shared" si="300"/>
        <v>2</v>
      </c>
      <c r="DO257" t="str">
        <f>IF(D257="","",IF(DM257&gt;IFERROR(MATCH(DL257,{"III","II","I","I особая"},0),1),"НЕ ОБЕСПЕЧЕНА","ОК"))</f>
        <v>ОК</v>
      </c>
      <c r="DP257" t="str">
        <f>IF(A257="","",_xlfn.XLOOKUP(A257,Щиты[Щит],Щиты[Путь],""))</f>
        <v>|ГРЩ-ЖД|ЩР-1|</v>
      </c>
      <c r="DQ257" t="str">
        <f>IF(D257="","",IF(Z257&lt;&gt;"",Z257,IF(IFERROR(_xlfn.XLOOKUP(AT257,Коды_код,Коды_вид)&amp;"","")="","Прочее",_xlfn.XLOOKUP(AT257,Коды_код,Коды_вид)&amp;"")))</f>
        <v>Розеточная сеть и бытовые приборы</v>
      </c>
      <c r="DR257">
        <f>IF(BD257="","",INT((BD257-1)/Столбцов_на_лист)+1)</f>
        <v>3</v>
      </c>
      <c r="DS257" t="str">
        <f t="shared" si="301"/>
        <v>ВВГнг(А)-LS (3х2,5) L=32-0,07%</v>
      </c>
      <c r="DT257">
        <f t="shared" si="302"/>
        <v>0.06</v>
      </c>
      <c r="DU257">
        <f t="shared" si="303"/>
        <v>0.28000000000000003</v>
      </c>
      <c r="DV257">
        <f t="shared" si="304"/>
        <v>1</v>
      </c>
      <c r="DW257">
        <f>IF(AT257="",0,_xlfn.LET(_xlpm.v,IFERROR(VLOOKUP(D257,УГО_спр,3,FALSE),IFERROR(VLOOKUP(AT257,УГО_спр,3,FALSE),IFERROR(VLOOKUP(LEFT(AT257,2),УГО_спр,3,FALSE),""))),IF(_xlpm.v="да",30,IF(ISNUMBER(_xlpm.v),_xlpm.v,0))))</f>
        <v>30</v>
      </c>
      <c r="DX257">
        <f t="shared" si="305"/>
        <v>0</v>
      </c>
      <c r="DY257">
        <f>IF(BD257="","",IF(AD257&lt;&gt;"",COUNTIFS(A$3:A257,A257,AD$3:AD257,"?*"),IF(OR(OR(AS257=1,A257&lt;&gt;A256),AL257="вручную"),"",IF(AS257=1,"",DZ256))))</f>
        <v>33</v>
      </c>
      <c r="DZ257">
        <f t="shared" si="306"/>
        <v>33</v>
      </c>
      <c r="EA257">
        <f>IF(D257="",0,MAX(IFERROR(--X257,0),IFERROR(--VLOOKUP(D257,УГО_спр,4,FALSE),IFERROR(--VLOOKUP(AT257,УГО_спр,4,FALSE),IFERROR(--VLOOKUP(LEFT(AT257,2),УГО_спр,4,FALSE),0)))))</f>
        <v>16</v>
      </c>
      <c r="EB257">
        <f>IF(D257="","",IFERROR(LOOKUP(INDEX(CHOOSE(BR257,Iдоп_1ж,Iдоп_2ж,Iдоп_3ж),MATCH(BS257,Iдоп_S,0))*BP257*BQ257,{6,10,16,20,25,32,40,50,63,80,100,125,160,200,250,315,400,500,630}),""))</f>
        <v>25</v>
      </c>
      <c r="EC257">
        <f>IF(AD257="","",SUMIFS(Линии[_Ток схемы],Линии[_гр.],DY257,Линии[Щит],A257,Линии[_в кабель выше],0))</f>
        <v>0.28000000000000003</v>
      </c>
      <c r="ED257">
        <f>IF(AD257="","",IFERROR(VLOOKUP(EC257,Автомат_номиналы,2,TRUE),""))</f>
        <v>6</v>
      </c>
      <c r="EE257">
        <f>IF(AD257="","",MAX(N(ED257),_xlfn.MAXIFS(Линии[_мин. по типу],Линии[_гр.],DY257,Линии[Щит],A257)))</f>
        <v>16</v>
      </c>
      <c r="EF257">
        <f>IF(AD257="","",_xlfn.MINIFS(Линии[_макс. автомат по кабелю],Линии[_гр.],DY257,Линии[Щит],A257))</f>
        <v>25</v>
      </c>
      <c r="EG257">
        <f>IF(AD257="","",MAX(1,_xlfn.MAXIFS(Линии[_фаз],Линии[_гр.],DY257,Линии[Щит],A257)))</f>
        <v>1</v>
      </c>
      <c r="EH257">
        <f>IF(AD257="","",IF(AND(AD257&lt;&gt;"авто",AD257&lt;&gt;"+"),IF(ISNUMBER(SEARCH("мА",AD257)),IFERROR(--TRIM(RIGHT(SUBSTITUTE(LEFT(AD257,SEARCH("мА",AD257)-1)," ",REPT(" ",9)),6)),30),0),IF(AE257="нет",0,IF(ISNUMBER(AE257),AE257,IF(AE257="да",30,_xlfn.MINIFS(Линии[_дифзащита по коду, мА],Линии[_гр.],DY257,Линии[Щит],A257,Линии[_дифзащита по коду, мА],"&gt;0"))))))</f>
        <v>30</v>
      </c>
      <c r="EI257">
        <f t="shared" si="307"/>
        <v>1</v>
      </c>
      <c r="EJ257" t="str">
        <f t="shared" si="308"/>
        <v>QFD33</v>
      </c>
      <c r="EK257" t="str">
        <f t="shared" si="309"/>
        <v>QFD33</v>
      </c>
      <c r="EL257" t="str">
        <f t="shared" si="310"/>
        <v/>
      </c>
      <c r="EM257">
        <f t="shared" si="311"/>
        <v>0</v>
      </c>
      <c r="EN257">
        <f>IF(AD257="","",IF(EM257=1,MAX(EE257,Мин_автомат_БП),EE257))</f>
        <v>16</v>
      </c>
      <c r="EO257" t="str">
        <f t="shared" si="312"/>
        <v>2P</v>
      </c>
      <c r="EP257" t="str">
        <f t="shared" si="313"/>
        <v>2P С16А 30мА</v>
      </c>
      <c r="EQ257">
        <f t="shared" si="314"/>
        <v>16</v>
      </c>
      <c r="ER257" t="str">
        <f>IF(OR(AI257="",AI257="-"),"",IFERROR(VLOOKUP(AI257,Модули_спр,2,FALSE),"R"))</f>
        <v/>
      </c>
      <c r="ES257" t="str">
        <f>IF(ER257="","",ER257&amp;"."&amp;COUNTIFS(A$3:A257,A257,ER$3:ER257,ER257))</f>
        <v/>
      </c>
      <c r="ET257" t="str">
        <f t="shared" si="315"/>
        <v/>
      </c>
      <c r="EU257" t="str">
        <f t="shared" si="316"/>
        <v/>
      </c>
      <c r="EV257" t="str">
        <f t="shared" si="317"/>
        <v/>
      </c>
      <c r="EW257" t="str">
        <f t="shared" si="318"/>
        <v/>
      </c>
      <c r="EX257">
        <f t="shared" si="319"/>
        <v>1</v>
      </c>
      <c r="EY257" t="str">
        <f>IF(AK257="нет","",IF(AK257&lt;&gt;"",AK257,IF(EX257=1,"XT"&amp;COUNTIFS(A$3:A257,A257,EX$3:EX257,1),"")))</f>
        <v/>
      </c>
      <c r="EZ257" t="str">
        <f t="shared" si="320"/>
        <v>QFD33</v>
      </c>
      <c r="FA257" t="str">
        <f t="shared" si="321"/>
        <v/>
      </c>
      <c r="FB257" t="str">
        <f t="shared" si="322"/>
        <v>ok</v>
      </c>
      <c r="FC257" t="str">
        <f>IF(OR(EV257="",ET257=""),"",IF(EV257&gt;IFERROR(VLOOKUP(EU257,Модули_спр,3,FALSE),99),"ЛИШНИЙ КАНАЛ",IF(AND(AJ257&lt;&gt;"=",COUNTIFS(Линии[_модуль гр.],ET257,Линии[Канал (итог)],EV257,Линии[Канал],"&lt;&gt;=",Линии[Щит],A257)&gt;1),"ДУБЛЬ КАНАЛА","")))</f>
        <v/>
      </c>
      <c r="FD257">
        <f t="shared" si="323"/>
        <v>16</v>
      </c>
      <c r="FE257" t="str">
        <f t="shared" si="324"/>
        <v>2P С16А 30мА</v>
      </c>
      <c r="FF257">
        <f t="shared" si="325"/>
        <v>1</v>
      </c>
      <c r="FG257">
        <f t="shared" si="326"/>
        <v>30</v>
      </c>
      <c r="FH257" t="str">
        <f t="shared" si="327"/>
        <v/>
      </c>
      <c r="FI257">
        <f t="shared" si="328"/>
        <v>10</v>
      </c>
      <c r="FJ257" t="str">
        <f t="shared" si="329"/>
        <v/>
      </c>
      <c r="FK257" t="str">
        <f>IF(AND(D257="",EZ257=""),"",_xlfn.TEXTJOIN("; ",TRUE,IF(AND(D257&lt;&gt;"",DD257=""),"нет фазы",""),IF(AND(D257&lt;&gt;"",N(DT257)=0,CN257&lt;&gt;"Нет"),"нет мощности",""),IF(AND(EY257&lt;&gt;"",COUNTIFS(Линии[Щит],A257,Линии[Клемма (итог)],EY257)&gt;1),"дубль клеммы "&amp;EY257,""),IF(AND(FB257&lt;&gt;"",FB257&lt;&gt;"ok"),FB257,""),IF(FC257&lt;&gt;"",FC257,""),IF(AND(ISNUMBER(SEARCH("(5х",DS257)),N(DV257)=1),"5 жил на 1 фазе",""),IF(AND(AT257="R",AD257&lt;&gt;"",OR(N(EH257)=0,N(EH257)&gt;30)),"розетка без дифзащиты до 30 мА",""),IFERROR(IF(AND(ISNUMBER(CD257),CD257&gt;CE257),"потери "&amp;FIXED(CD257,1)&amp;" % &gt; "&amp;CE257&amp;" %",""),""),IFERROR(IF(LEFT(FJ257,4)="мало","Iкз мало — отключение &gt; 0,4 с",""),""),IF(AND(D257&lt;&gt;"",BD257=""),"не на схеме","")))</f>
        <v/>
      </c>
      <c r="FL257">
        <f>IF(AD257="","",_xlfn.LET(_xlpm.t,IFERROR(_xlfn.XLOOKUP(EP257,Каталог!$U$4:$U$500,Каталог!$G$4:$G$500),""),_xlpm.k,SEARCH("кА",_xlpm.t),IFERROR(--TRIM(RIGHT(SUBSTITUTE(MID(_xlpm.t,MAX(1,_xlpm.k-4),_xlpm.k-MAX(1,_xlpm.k-4))," ",REPT(" ",9)),5)),"")))</f>
        <v>6</v>
      </c>
      <c r="FM257" t="str">
        <f>IF(OR(FL257="",AD257=""),"",IF(_xlfn.XLOOKUP(A257,Щиты[Щит],Щиты[Iкз max на шинах, кА],"")="","",IF(FL257&lt;_xlfn.XLOOKUP(A257,Щиты[Щит],Щиты[Iкз max на шинах, кА]),"Icu "&amp;FL257&amp;" кА &lt; Iкз max","ok")))</f>
        <v/>
      </c>
      <c r="FN257" t="str">
        <f t="shared" si="330"/>
        <v>QFD33</v>
      </c>
      <c r="FO257" t="str">
        <f t="shared" si="331"/>
        <v>QFD33|кабель ВВГнг(А)-LS (3х2,5) → Розеточная группа Первый этаж Пом. №012</v>
      </c>
      <c r="FP257" t="str" cm="1">
        <f t="array" ref="FP257">IF(FO257="","",_xlfn.LET(_xlpm.nd,_xlfn.TEXTSPLIT(FO257,"|"),IF(COLUMNS(_xlpm.nd)&gt;1,A257&amp;"¦"&amp;INDEX(_xlpm.nd,1)&amp;"¦"&amp;INDEX(_xlpm.nd,2),"")))</f>
        <v>ЩР-1¦QFD33¦кабель ВВГнг(А)-LS (3х2,5) → Розеточная группа Первый этаж Пом. №012</v>
      </c>
      <c r="FQ257" t="str">
        <f t="shared" si="332"/>
        <v>R.1.012.1A.1¦Розеточная группа Первый этаж Пом. №012</v>
      </c>
      <c r="FR257" t="str" cm="1">
        <f t="array" ref="FR257">IF(FO257="","",_xlfn.LET(_xlpm.nd,_xlfn.TEXTSPLIT(FO257,"|"),IF(COLUMNS(_xlpm.nd)&gt;2,A257&amp;"¦"&amp;INDEX(_xlpm.nd,2)&amp;"¦"&amp;INDEX(_xlpm.nd,3),"")))</f>
        <v/>
      </c>
      <c r="FS257" t="str">
        <f t="shared" si="333"/>
        <v/>
      </c>
      <c r="FT257" t="str" cm="1">
        <f t="array" ref="FT257">IF(FO257="","",_xlfn.LET(_xlpm.nd,_xlfn.TEXTSPLIT(FO257,"|"),IF(COLUMNS(_xlpm.nd)&gt;3,A257&amp;"¦"&amp;INDEX(_xlpm.nd,3)&amp;"¦"&amp;INDEX(_xlpm.nd,4),"")))</f>
        <v/>
      </c>
      <c r="FU257" t="str">
        <f t="shared" si="334"/>
        <v/>
      </c>
      <c r="FV257" t="str" cm="1">
        <f t="array" ref="FV257">IF(FO257="","",_xlfn.LET(_xlpm.nd,_xlfn.TEXTSPLIT(FO257,"|"),IF(COLUMNS(_xlpm.nd)&gt;4,A257&amp;"¦"&amp;INDEX(_xlpm.nd,4)&amp;"¦"&amp;INDEX(_xlpm.nd,5),"")))</f>
        <v/>
      </c>
      <c r="FW257" t="str">
        <f t="shared" si="335"/>
        <v/>
      </c>
      <c r="FX257" t="str" cm="1">
        <f t="array" ref="FX257">IF(FO257="","",_xlfn.LET(_xlpm.nd,_xlfn.TEXTSPLIT(FO257,"|"),IF(COLUMNS(_xlpm.nd)&gt;5,A257&amp;"¦"&amp;INDEX(_xlpm.nd,5)&amp;"¦"&amp;INDEX(_xlpm.nd,6),"")))</f>
        <v/>
      </c>
      <c r="FY257" t="str">
        <f t="shared" si="336"/>
        <v/>
      </c>
      <c r="FZ257" t="str" cm="1">
        <f t="array" ref="FZ257">IF(FO257="","",_xlfn.LET(_xlpm.nd,_xlfn.TEXTSPLIT(FO257,"|"),IF(COLUMNS(_xlpm.nd)&gt;6,A257&amp;"¦"&amp;INDEX(_xlpm.nd,6)&amp;"¦"&amp;INDEX(_xlpm.nd,7),"")))</f>
        <v/>
      </c>
      <c r="GA257" t="str">
        <f t="shared" si="337"/>
        <v/>
      </c>
      <c r="GB257" t="str">
        <f t="shared" si="338"/>
        <v/>
      </c>
      <c r="GC257" t="str">
        <f t="shared" si="339"/>
        <v>QFD33</v>
      </c>
      <c r="GD257">
        <f t="shared" si="340"/>
        <v>1</v>
      </c>
      <c r="GE257">
        <f t="shared" si="341"/>
        <v>0</v>
      </c>
      <c r="GF257">
        <f t="shared" si="342"/>
        <v>1</v>
      </c>
      <c r="GG257" t="str">
        <f t="shared" si="343"/>
        <v/>
      </c>
      <c r="GH257" t="str">
        <f t="shared" si="344"/>
        <v/>
      </c>
      <c r="GI257" t="str">
        <f t="shared" si="345"/>
        <v/>
      </c>
      <c r="GJ257" t="str">
        <f t="shared" si="346"/>
        <v/>
      </c>
      <c r="GK257" t="str">
        <f>IF(D257="","",IFERROR(VLOOKUP(D257,УГО_спр,2,FALSE),IFERROR(VLOOKUP(AT257,УГО_спр,2,FALSE),IFERROR(VLOOKUP(LEFT(AT257,2),УГО_спр,2,FALSE),""))))</f>
        <v>Розетка</v>
      </c>
      <c r="GL257" t="str">
        <f>IF(D257="","",IF(OR(GK257="",GK257=0),"BOX",IFERROR(IF(VLOOKUP(GK257,УГО_блоки,3,FALSE)&amp;""&lt;&gt;"",VLOOKUP(GK257,УГО_блоки,3,FALSE),VLOOKUP(GK257,УГО_блоки,2,FALSE)),GK257)))</f>
        <v>SOCKET</v>
      </c>
      <c r="GM257">
        <f t="shared" si="347"/>
        <v>1</v>
      </c>
      <c r="GN257" t="str">
        <f>IF(EP257="","",IF(COUNTIF(EP$3:EP257,EP257)=1,MAX(GN$2:GN256)+1,""))</f>
        <v/>
      </c>
      <c r="GO257" t="str">
        <f>IF(AF257="","",IF(COUNTIF(AF$3:AF257,AF257)+COUNTIF(AG$2:AG256,AF257)+COUNTIF(AH$2:AH256,AF257)=1,MAX(GO$2:GQ256)+1,""))</f>
        <v/>
      </c>
      <c r="GP257" t="str">
        <f>IF(AG257="","",IF(COUNTIF(AF$3:AF257,AG257)+COUNTIF(AG$3:AG257,AG257)+COUNTIF(AH$2:AH256,AG257)=1,MAX(GO$2:GQ256,GO257)+1,""))</f>
        <v/>
      </c>
      <c r="GQ257" t="str">
        <f>IF(AH257="","",IF(COUNTIF(AF$3:AF257,AH257)+COUNTIF(AG$3:AG257,AH257)+COUNTIF(AH$3:AH257,AH257)=1,MAX(GO$2:GQ256,GO257,GP257)+1,""))</f>
        <v/>
      </c>
      <c r="GR257" t="str">
        <f t="shared" si="348"/>
        <v>3х2,5</v>
      </c>
      <c r="GS257" t="str">
        <f>IF(GR257="","",IF(COUNTIF(GR$3:GR257,GR257)=1,MAX(GS$2:GS256)+1,""))</f>
        <v/>
      </c>
      <c r="GT257" t="str">
        <f>IF(ES257="","",COUNTIF(ES$3:ES257,"?*"))</f>
        <v/>
      </c>
      <c r="GU257" t="str">
        <f>IF(OR(ES257="",EU257=""),"",IF(COUNTIFS(ES$3:ES257,"?*",EU$3:EU257,EU257)=1,MAX(GU$2:GU256)+1,""))</f>
        <v/>
      </c>
      <c r="GV257">
        <f t="shared" si="349"/>
        <v>0</v>
      </c>
      <c r="GW257">
        <f>IF(D257="","",COUNTIF(D$3:D257,"?*"))</f>
        <v>255</v>
      </c>
      <c r="GX257">
        <f>IF(EX257&lt;&gt;1,0,_xlfn.LET(_xlpm.k,MAX(IFERROR(--VLOOKUP(D257,УГО_спр,5,FALSE),0),IFERROR(--VLOOKUP(AT257,УГО_спр,5,FALSE),0),IFERROR(--VLOOKUP(LEFT(AT257,2),УГО_спр,5,FALSE),0)),IF(_xlpm.k&gt;0,_xlpm.k,IF(IFERROR(--LEFT(SUBSTITUTE(GR257,"x","х"),FIND("х",SUBSTITUTE(GR257,"x","х"))-1),3)&gt;3,Каталог!$S$9,1))))</f>
        <v>1</v>
      </c>
      <c r="GY257">
        <f t="shared" si="350"/>
        <v>0</v>
      </c>
    </row>
    <row r="258" spans="1:207" x14ac:dyDescent="0.3">
      <c r="A258" t="s">
        <v>762</v>
      </c>
      <c r="B258">
        <v>46</v>
      </c>
      <c r="C258" t="str">
        <f>IF(BD258="","",IF(BE258="вводной узел","узел ","")&amp;"л."&amp;(INT((BD258-1)/Столбцов_на_лист)+1)&amp;" / "&amp;(MOD(BD258-1,Столбцов_на_лист)+1))</f>
        <v>л.3 / 12</v>
      </c>
      <c r="D258" t="s">
        <v>1580</v>
      </c>
      <c r="E258" s="133" t="str">
        <f t="shared" si="351"/>
        <v>Розеточная группа Первый этаж Пом. №013A</v>
      </c>
      <c r="G258">
        <v>0.06</v>
      </c>
      <c r="H258">
        <v>1</v>
      </c>
      <c r="I258">
        <v>1</v>
      </c>
      <c r="J258">
        <v>230</v>
      </c>
      <c r="K258" t="s">
        <v>566</v>
      </c>
      <c r="O258">
        <v>1</v>
      </c>
      <c r="P258">
        <v>35</v>
      </c>
      <c r="Q258">
        <v>20</v>
      </c>
      <c r="R258">
        <v>18</v>
      </c>
      <c r="S258">
        <v>0</v>
      </c>
      <c r="U258" t="s">
        <v>11</v>
      </c>
      <c r="V258">
        <v>3</v>
      </c>
      <c r="W258">
        <v>2.5</v>
      </c>
      <c r="Z258" t="s">
        <v>565</v>
      </c>
      <c r="AA258" t="s">
        <v>818</v>
      </c>
      <c r="AD258" t="s">
        <v>517</v>
      </c>
      <c r="AK258" t="s">
        <v>488</v>
      </c>
      <c r="AR258" t="str">
        <f t="shared" si="264"/>
        <v/>
      </c>
      <c r="AS258" cm="1">
        <f t="array" ref="AS258">ROW()-ROW(Линии[#Headers])</f>
        <v>256</v>
      </c>
      <c r="AT258" t="str">
        <f t="shared" si="265"/>
        <v>R</v>
      </c>
      <c r="AU258" t="str">
        <f t="shared" si="266"/>
        <v>1.013A.1</v>
      </c>
      <c r="AV258" t="str">
        <f t="shared" si="267"/>
        <v>1</v>
      </c>
      <c r="AW258" t="str">
        <f t="shared" si="268"/>
        <v>013A.1</v>
      </c>
      <c r="AX258" t="str">
        <f t="shared" si="269"/>
        <v>013A</v>
      </c>
      <c r="AY258" t="str">
        <f>IF(D258="","",IF(ISERROR(SEARCH(".",D258)),IFERROR(VLOOKUP(D258,Потребители_обозначение,2,FALSE)&amp;"",""),IFERROR(IF(VLOOKUP(AT258,Потребители_обозначение,4,FALSE)=1,VLOOKUP(AT258,Потребители_обозначение,2,FALSE)&amp;" "&amp;VLOOKUP(AV258,Этаж_обозначение,2,FALSE)&amp;" Пом. №"&amp;AX258,VLOOKUP(AT258,Потребители_обозначение,2,FALSE)&amp;" Шлейф №"&amp;AV258),IFERROR(VLOOKUP(D258,Потребители_обозначение,2,FALSE),""))))</f>
        <v>Розеточная группа Первый этаж Пом. №013A</v>
      </c>
      <c r="AZ258" t="str">
        <f t="shared" si="270"/>
        <v>Розеточная группа Первый этаж Пом. №013A</v>
      </c>
      <c r="BA258" t="str">
        <f>IF(F258&lt;&gt;"",F258,IF(AND(D258&lt;&gt;"",D258&lt;&gt;A258,ISNUMBER(_xlfn.XMATCH(D258,Щиты[Щит]))),D258,""))</f>
        <v/>
      </c>
      <c r="BB258">
        <f>IFERROR(_xlfn.XMATCH(A258,Щиты[Щит]),0)</f>
        <v>10</v>
      </c>
      <c r="BC258">
        <f>IFERROR(N(_xlfn.XLOOKUP(A258,Щиты[Щит],Щиты[Мест под вводной узел])),15)</f>
        <v>8</v>
      </c>
      <c r="BD258">
        <f t="shared" si="271"/>
        <v>46</v>
      </c>
      <c r="BE258" t="str">
        <f t="shared" si="272"/>
        <v>линии</v>
      </c>
      <c r="BF258">
        <f>IF(D258="","",IF(BA258&lt;&gt;"",IFERROR(_xlfn.XLOOKUP(BA258,Щиты[Щит],Щиты[Руст, кВт]),0),N(G258)))</f>
        <v>0.06</v>
      </c>
      <c r="BG258">
        <f>IF(J258&lt;&gt;"",J258,IF(D258="","",IFERROR(IF(VLOOKUP(AT258,Потребители_обозначение,8,FALSE)=0,"",VLOOKUP(AT258,Потребители_обозначение,8,FALSE)),"")))</f>
        <v>230</v>
      </c>
      <c r="BH258">
        <f>IF(I258&lt;&gt;"",I258,IF(D258="","",IFERROR(IF(VLOOKUP(AT258,Потребители_обозначение,9,FALSE)=0,"",VLOOKUP(AT258,Потребители_обозначение,9,FALSE)),"")))</f>
        <v>1</v>
      </c>
      <c r="BI258" t="str">
        <f>IF(U258&lt;&gt;"",U258,IF(D258="","",IFERROR(IF(VLOOKUP(AT258,Потребители_обозначение,6,FALSE)=0,"",VLOOKUP(AT258,Потребители_обозначение,6,FALSE)),"")))</f>
        <v>мс</v>
      </c>
      <c r="BJ258">
        <f>IF(V258&lt;&gt;"",V258,IF(D258="","",IFERROR(IF(VLOOKUP(AT258,Потребители_обозначение,7,FALSE)=0,"",VLOOKUP(AT258,Потребители_обозначение,7,FALSE)),"")))</f>
        <v>3</v>
      </c>
      <c r="BK258">
        <f>IF(W258&lt;&gt;"",W258,IF(D258="","",IFERROR(IF(VLOOKUP(AT258,Потребители_обозначение,10,FALSE)=0,"",VLOOKUP(AT258,Потребители_обозначение,10,FALSE)),"")))</f>
        <v>2.5</v>
      </c>
      <c r="BL258">
        <f>IFERROR(VLOOKUP(AT258,Потребители_обозначение,5,FALSE),0)</f>
        <v>1</v>
      </c>
      <c r="BM258" cm="1">
        <f t="array" ref="BM258">IF(D258="","",IF(BA258&lt;&gt;"",IFERROR(_xlfn.XLOOKUP(BA258,Щиты[Щит],Щиты[cos φ]),0.95),IF(ISNUMBER(M258),M258,IFERROR(IF(BL258=2,_xlfn.IFS(BH258=3,VLOOKUP(BF258,Справочная_двигатели,8,FALSE),BH258=1,VLOOKUP(BF258,Справочная_двигатели,10,TRUE)),IF(AND(Методика="нормы 2026",CN258="Сил"),0.8,0.95)),0.95))))</f>
        <v>0.95</v>
      </c>
      <c r="BN258" cm="1">
        <f t="array" ref="BN258">IF(D258="","",IF(BA258&lt;&gt;"",IFERROR(_xlfn.XLOOKUP(BA258,Щиты[Щит],Щиты[Iр, А]),""),IFERROR(_xlfn.IFS(BH258=1,BF258/((Uн_лин/SQRT(3))*BM258),BH258=3,BF258/(SQRT(3)*Uн_лин*BM258)),"")))</f>
        <v>0.27348170645824377</v>
      </c>
      <c r="BO258">
        <f>IF(D258="","",IF(N(X258)=0,IFERROR(VLOOKUP(BN258,Автомат_номиналы,2,TRUE),""),X258))</f>
        <v>6</v>
      </c>
      <c r="BP258">
        <f t="shared" si="273"/>
        <v>1</v>
      </c>
      <c r="BQ258">
        <f>IF(ISNUMBER(Y258),Y258,К_прокл)</f>
        <v>1</v>
      </c>
      <c r="BR258">
        <f t="shared" si="274"/>
        <v>2</v>
      </c>
      <c r="BS258" cm="1">
        <f t="array" ref="BS258">IF(D258="","",IF(N(BK258)&lt;&gt;0,BK258,IFERROR(_xlfn.LET(_xlpm.need,BO258/(BP258*BQ258),_xlpm.t,CHOOSE(BR258,Iдоп_1ж,Iдоп_2ж,Iдоп_3ж),_xlpm.k,_xlfn.XMATCH(_xlpm.need,_xlpm.t,1),IF(ISNA(_xlpm.k),"Не исп",INDEX(Iдоп_S,_xlpm.k))),"Не исп")))</f>
        <v>2.5</v>
      </c>
      <c r="BT258">
        <f>IFERROR(VLOOKUP(BS258,Кабель_сопротивление,3,FALSE),"")</f>
        <v>2.2499999999999999E-2</v>
      </c>
      <c r="BU258">
        <f>IFERROR(VLOOKUP(BS258,Кабель_сопротивление,2,FALSE),"")</f>
        <v>0.1</v>
      </c>
      <c r="BV258">
        <f t="shared" si="275"/>
        <v>35</v>
      </c>
      <c r="BW258">
        <f>IF(D258="","",IFERROR(IF(VLOOKUP(AT258,Потребители_обозначение,4,FALSE)=1,VLOOKUP(AT258,Потребители_обозначение,3,FALSE)*(H258*2-1)+BV258+VLOOKUP(AV258,Этаж_обозначение,3,FALSE)+VLOOKUP(AV258,Этаж_обозначение,4,FALSE),VLOOKUP(AT258,Потребители_обозначение,3,FALSE)*(H258*2-1)+BV258),BV258))</f>
        <v>38</v>
      </c>
      <c r="BX258">
        <f t="shared" si="276"/>
        <v>18</v>
      </c>
      <c r="BY258">
        <f t="shared" si="277"/>
        <v>0</v>
      </c>
      <c r="BZ258">
        <f t="shared" si="278"/>
        <v>2</v>
      </c>
      <c r="CA258">
        <f t="shared" si="279"/>
        <v>0.31</v>
      </c>
      <c r="CB258">
        <f t="shared" si="280"/>
        <v>0.17835273575698241</v>
      </c>
      <c r="CC258">
        <f>IFERROR(ROUNDUP(CB258/((Uн_лин/SQRT(3))*1000)*100,2),"")</f>
        <v>0.08</v>
      </c>
      <c r="CD258">
        <f>IF(ISNUMBER(CC258),CC258+IFERROR(_xlfn.XLOOKUP(A258,Щиты[Щит],Щиты[ΔU до шин, %]),0),"")</f>
        <v>1.33</v>
      </c>
      <c r="CE258">
        <f>IF(D258="","",IF(IFERROR(VLOOKUP(AT258,УГО_спр,2,FALSE),"")="Светильник",3,4)+IF(Методика="нормы 2026",MIN(0.5,MAX(0,N(BW258)-100)*0.005),0))</f>
        <v>4</v>
      </c>
      <c r="CF258" t="str">
        <f>IFERROR(VLOOKUP(BI258,Кабель_обозначение,2,FALSE),"")</f>
        <v>ВВГнг(А)-LS</v>
      </c>
      <c r="CG258" t="str">
        <f>IFERROR(IF(VLOOKUP(BI258,Кабель_обозначение,3,FALSE)=1,CF258&amp;" ("&amp;BJ258&amp;"х"&amp;BS258&amp;")",CF258),"")</f>
        <v>ВВГнг(А)-LS (3х2,5)</v>
      </c>
      <c r="CH258" t="str">
        <f t="shared" si="281"/>
        <v>ВВГнг(А)-LS (3х2,5)
L=38-0,08%</v>
      </c>
      <c r="CI258">
        <f>IFERROR(2*ρкз_Cu*BW258/BS258,"")</f>
        <v>0.79952000000000001</v>
      </c>
      <c r="CJ258">
        <f t="shared" si="282"/>
        <v>0.26600000000000001</v>
      </c>
      <c r="CK258" t="str">
        <f>IFERROR(IF(OR(D258="",NOT(ISNUMBER(BS258)),N(BW258)=0),"",_xlfn.XLOOKUP(A258,Щиты[Щит],Щиты[Zпетли на шинах, Ом])+CI258),"")</f>
        <v/>
      </c>
      <c r="CL258" t="str">
        <f>IF(ISNUMBER(CK258),c_min*(Uн_лин*1000/SQRT(3))/CK258,"")</f>
        <v/>
      </c>
      <c r="CM258" t="str">
        <f>IFERROR(IF(OR(D258="",NOT(ISNUMBER(BS258))),"",1.05*(Uн_лин*1000/SQRT(3))/(_xlfn.XLOOKUP(A258,Щиты[Щит],Щиты[Zmax на шинах, Ом])+CJ258)/1000),"")</f>
        <v/>
      </c>
      <c r="CN258" t="str">
        <f>IF(D258="","",IF(BA258&lt;&gt;"","Щит",IF(K258&lt;&gt;"",K258,IF(ISNUMBER(L258),"Сил",IF(IFERROR(_xlfn.XLOOKUP(AT258,Коды_код,Коды_группа)&amp;"","")="","Быт",_xlfn.XLOOKUP(AT258,Коды_код,Коды_группа)&amp;"")))))</f>
        <v>Быт</v>
      </c>
      <c r="CO258">
        <f>IF(CN258="Щит","щит",IF(CN258="","",IF(CN258="Быт",IFERROR(_xlfn.XLOOKUP(A258,Щиты[Щит],Щиты[Кс быт]),1),IF(CN258="Сил",IF(ISNUMBER(L258),L258,IF(Методика="нормы 2026",IFERROR(_xlfn.XLOOKUP(A258,Щиты[Щит],Щиты[Кс силовых (табл. 7.5)]),1),1)),IF(OR(CN258="Пост",CN258="Отоп"),1,IF(CN258="ВНГ",0.7,0))))))</f>
        <v>0.57830000000000004</v>
      </c>
      <c r="CP258">
        <f t="shared" si="283"/>
        <v>1</v>
      </c>
      <c r="CQ258">
        <f t="shared" si="284"/>
        <v>0.06</v>
      </c>
      <c r="CR258">
        <f t="shared" si="285"/>
        <v>0.06</v>
      </c>
      <c r="CS258">
        <f t="shared" si="286"/>
        <v>0</v>
      </c>
      <c r="CT258">
        <f t="shared" si="287"/>
        <v>0</v>
      </c>
      <c r="CU258">
        <f t="shared" si="288"/>
        <v>0</v>
      </c>
      <c r="CV258">
        <f t="shared" si="289"/>
        <v>0</v>
      </c>
      <c r="CW258">
        <f t="shared" si="290"/>
        <v>0.06</v>
      </c>
      <c r="CX258">
        <f t="shared" si="291"/>
        <v>5.6999999999999995E-2</v>
      </c>
      <c r="CY258">
        <f t="shared" si="292"/>
        <v>1</v>
      </c>
      <c r="CZ258" t="str">
        <f t="shared" si="293"/>
        <v>L1</v>
      </c>
      <c r="DA258" cm="1">
        <f t="array" ref="DA258">IFERROR(IF(BL258=2,_xlfn.IFS(BH258=3,VLOOKUP(BF258,Справочная_двигатели,3,FALSE),BH258=1,VLOOKUP(BF258,Справочная_двигатели,5,TRUE)),0),0)</f>
        <v>0</v>
      </c>
      <c r="DB258">
        <f>IFERROR(IF(BL258=3,VLOOKUP(BF258,Справочная_ЛЭД,2,TRUE),0),0)</f>
        <v>0</v>
      </c>
      <c r="DC258">
        <f t="shared" si="294"/>
        <v>0</v>
      </c>
      <c r="DD258" t="str">
        <f t="shared" si="295"/>
        <v>L1</v>
      </c>
      <c r="DE258" t="str" cm="1">
        <f t="array" ref="DE258">IF(D258="","",IFERROR(INDEX({"I особая","I","II","III"},MATCH(TRIM(AA258&amp;""),{"I особая","I","II","III"},0)),"III"))</f>
        <v>II</v>
      </c>
      <c r="DF258" t="str">
        <f>IF(D258="","",IF(TRIM(AB258&amp;"")&lt;&gt;"",IF(LOWER(TRIM(AB258&amp;""))="да","да","нет"),IF(IFERROR(_xlfn.XLOOKUP(AT258,Коды_код,Коды_пожарная),"")="да","да","нет")))</f>
        <v>нет</v>
      </c>
      <c r="DG258" t="str">
        <f t="shared" si="296"/>
        <v/>
      </c>
      <c r="DH258" t="str">
        <f t="shared" si="297"/>
        <v>основная</v>
      </c>
      <c r="DI258">
        <f t="shared" si="298"/>
        <v>1</v>
      </c>
      <c r="DJ258" t="str" cm="1">
        <f t="array" ref="DJ258">IF(D258="","",_xlfn.LET(_xlpm.t,IFERROR(_xlfn.XLOOKUP(1,(Шины[Шина]=DH258)*(((Шины[Щит]=A258)+(Шины[Щит]=""))&gt;0),Шины[Тип]),"")&amp;"",IF(_xlpm.t&lt;&gt;"",_xlpm.t,IF(ISNUMBER(SEARCH("ИБП",DH258)),"ИБП",IF(ISNUMBER(SEARCH("ДГУ",DH258)),"ДГУ","Ввод "&amp;DI258)))))</f>
        <v>Ввод 1</v>
      </c>
      <c r="DK258" t="str">
        <f t="shared" si="299"/>
        <v>Ввод 1</v>
      </c>
      <c r="DL258" t="str">
        <f>IF(D258="","",IF(OR(DJ258="ИБП",DJ258="ДГУ"),"I особая",IF(DJ258="Одиночная","III",_xlfn.XLOOKUP(A258,Щиты[Щит],Щиты[Категория шины «Ввод»],"III"))))</f>
        <v>II</v>
      </c>
      <c r="DM258">
        <f>IF(D258="",0,IFERROR(MATCH(DE258,{"III","II","I","I особая"},0),1))</f>
        <v>2</v>
      </c>
      <c r="DN258">
        <f t="shared" si="300"/>
        <v>2</v>
      </c>
      <c r="DO258" t="str">
        <f>IF(D258="","",IF(DM258&gt;IFERROR(MATCH(DL258,{"III","II","I","I особая"},0),1),"НЕ ОБЕСПЕЧЕНА","ОК"))</f>
        <v>ОК</v>
      </c>
      <c r="DP258" t="str">
        <f>IF(A258="","",_xlfn.XLOOKUP(A258,Щиты[Щит],Щиты[Путь],""))</f>
        <v>|ГРЩ-ЖД|ЩР-1|</v>
      </c>
      <c r="DQ258" t="str">
        <f>IF(D258="","",IF(Z258&lt;&gt;"",Z258,IF(IFERROR(_xlfn.XLOOKUP(AT258,Коды_код,Коды_вид)&amp;"","")="","Прочее",_xlfn.XLOOKUP(AT258,Коды_код,Коды_вид)&amp;"")))</f>
        <v>Розеточная сеть и бытовые приборы</v>
      </c>
      <c r="DR258">
        <f>IF(BD258="","",INT((BD258-1)/Столбцов_на_лист)+1)</f>
        <v>3</v>
      </c>
      <c r="DS258" t="str">
        <f t="shared" si="301"/>
        <v>ВВГнг(А)-LS (3х2,5) L=38-0,08%</v>
      </c>
      <c r="DT258">
        <f t="shared" si="302"/>
        <v>0.06</v>
      </c>
      <c r="DU258">
        <f t="shared" si="303"/>
        <v>0.28000000000000003</v>
      </c>
      <c r="DV258">
        <f t="shared" si="304"/>
        <v>1</v>
      </c>
      <c r="DW258">
        <f>IF(AT258="",0,_xlfn.LET(_xlpm.v,IFERROR(VLOOKUP(D258,УГО_спр,3,FALSE),IFERROR(VLOOKUP(AT258,УГО_спр,3,FALSE),IFERROR(VLOOKUP(LEFT(AT258,2),УГО_спр,3,FALSE),""))),IF(_xlpm.v="да",30,IF(ISNUMBER(_xlpm.v),_xlpm.v,0))))</f>
        <v>30</v>
      </c>
      <c r="DX258">
        <f t="shared" si="305"/>
        <v>0</v>
      </c>
      <c r="DY258">
        <f>IF(BD258="","",IF(AD258&lt;&gt;"",COUNTIFS(A$3:A258,A258,AD$3:AD258,"?*"),IF(OR(OR(AS258=1,A258&lt;&gt;A257),AL258="вручную"),"",IF(AS258=1,"",DZ257))))</f>
        <v>34</v>
      </c>
      <c r="DZ258">
        <f t="shared" si="306"/>
        <v>34</v>
      </c>
      <c r="EA258">
        <f>IF(D258="",0,MAX(IFERROR(--X258,0),IFERROR(--VLOOKUP(D258,УГО_спр,4,FALSE),IFERROR(--VLOOKUP(AT258,УГО_спр,4,FALSE),IFERROR(--VLOOKUP(LEFT(AT258,2),УГО_спр,4,FALSE),0)))))</f>
        <v>16</v>
      </c>
      <c r="EB258">
        <f>IF(D258="","",IFERROR(LOOKUP(INDEX(CHOOSE(BR258,Iдоп_1ж,Iдоп_2ж,Iдоп_3ж),MATCH(BS258,Iдоп_S,0))*BP258*BQ258,{6,10,16,20,25,32,40,50,63,80,100,125,160,200,250,315,400,500,630}),""))</f>
        <v>25</v>
      </c>
      <c r="EC258">
        <f>IF(AD258="","",SUMIFS(Линии[_Ток схемы],Линии[_гр.],DY258,Линии[Щит],A258,Линии[_в кабель выше],0))</f>
        <v>0.28000000000000003</v>
      </c>
      <c r="ED258">
        <f>IF(AD258="","",IFERROR(VLOOKUP(EC258,Автомат_номиналы,2,TRUE),""))</f>
        <v>6</v>
      </c>
      <c r="EE258">
        <f>IF(AD258="","",MAX(N(ED258),_xlfn.MAXIFS(Линии[_мин. по типу],Линии[_гр.],DY258,Линии[Щит],A258)))</f>
        <v>16</v>
      </c>
      <c r="EF258">
        <f>IF(AD258="","",_xlfn.MINIFS(Линии[_макс. автомат по кабелю],Линии[_гр.],DY258,Линии[Щит],A258))</f>
        <v>25</v>
      </c>
      <c r="EG258">
        <f>IF(AD258="","",MAX(1,_xlfn.MAXIFS(Линии[_фаз],Линии[_гр.],DY258,Линии[Щит],A258)))</f>
        <v>1</v>
      </c>
      <c r="EH258">
        <f>IF(AD258="","",IF(AND(AD258&lt;&gt;"авто",AD258&lt;&gt;"+"),IF(ISNUMBER(SEARCH("мА",AD258)),IFERROR(--TRIM(RIGHT(SUBSTITUTE(LEFT(AD258,SEARCH("мА",AD258)-1)," ",REPT(" ",9)),6)),30),0),IF(AE258="нет",0,IF(ISNUMBER(AE258),AE258,IF(AE258="да",30,_xlfn.MINIFS(Линии[_дифзащита по коду, мА],Линии[_гр.],DY258,Линии[Щит],A258,Линии[_дифзащита по коду, мА],"&gt;0"))))))</f>
        <v>30</v>
      </c>
      <c r="EI258">
        <f t="shared" si="307"/>
        <v>1</v>
      </c>
      <c r="EJ258" t="str">
        <f t="shared" si="308"/>
        <v>QFD34</v>
      </c>
      <c r="EK258" t="str">
        <f t="shared" si="309"/>
        <v>QFD34</v>
      </c>
      <c r="EL258" t="str">
        <f t="shared" si="310"/>
        <v/>
      </c>
      <c r="EM258">
        <f t="shared" si="311"/>
        <v>0</v>
      </c>
      <c r="EN258">
        <f>IF(AD258="","",IF(EM258=1,MAX(EE258,Мин_автомат_БП),EE258))</f>
        <v>16</v>
      </c>
      <c r="EO258" t="str">
        <f t="shared" si="312"/>
        <v>2P</v>
      </c>
      <c r="EP258" t="str">
        <f t="shared" si="313"/>
        <v>2P С16А 30мА</v>
      </c>
      <c r="EQ258">
        <f t="shared" si="314"/>
        <v>16</v>
      </c>
      <c r="ER258" t="str">
        <f>IF(OR(AI258="",AI258="-"),"",IFERROR(VLOOKUP(AI258,Модули_спр,2,FALSE),"R"))</f>
        <v/>
      </c>
      <c r="ES258" t="str">
        <f>IF(ER258="","",ER258&amp;"."&amp;COUNTIFS(A$3:A258,A258,ER$3:ER258,ER258))</f>
        <v/>
      </c>
      <c r="ET258" t="str">
        <f t="shared" si="315"/>
        <v/>
      </c>
      <c r="EU258" t="str">
        <f t="shared" si="316"/>
        <v/>
      </c>
      <c r="EV258" t="str">
        <f t="shared" si="317"/>
        <v/>
      </c>
      <c r="EW258" t="str">
        <f t="shared" si="318"/>
        <v/>
      </c>
      <c r="EX258">
        <f t="shared" si="319"/>
        <v>1</v>
      </c>
      <c r="EY258" t="str">
        <f>IF(AK258="нет","",IF(AK258&lt;&gt;"",AK258,IF(EX258=1,"XT"&amp;COUNTIFS(A$3:A258,A258,EX$3:EX258,1),"")))</f>
        <v/>
      </c>
      <c r="EZ258" t="str">
        <f t="shared" si="320"/>
        <v>QFD34</v>
      </c>
      <c r="FA258" t="str">
        <f t="shared" si="321"/>
        <v/>
      </c>
      <c r="FB258" t="str">
        <f t="shared" si="322"/>
        <v>ok</v>
      </c>
      <c r="FC258" t="str">
        <f>IF(OR(EV258="",ET258=""),"",IF(EV258&gt;IFERROR(VLOOKUP(EU258,Модули_спр,3,FALSE),99),"ЛИШНИЙ КАНАЛ",IF(AND(AJ258&lt;&gt;"=",COUNTIFS(Линии[_модуль гр.],ET258,Линии[Канал (итог)],EV258,Линии[Канал],"&lt;&gt;=",Линии[Щит],A258)&gt;1),"ДУБЛЬ КАНАЛА","")))</f>
        <v/>
      </c>
      <c r="FD258">
        <f t="shared" si="323"/>
        <v>16</v>
      </c>
      <c r="FE258" t="str">
        <f t="shared" si="324"/>
        <v>2P С16А 30мА</v>
      </c>
      <c r="FF258">
        <f t="shared" si="325"/>
        <v>1</v>
      </c>
      <c r="FG258">
        <f t="shared" si="326"/>
        <v>30</v>
      </c>
      <c r="FH258" t="str">
        <f t="shared" si="327"/>
        <v/>
      </c>
      <c r="FI258">
        <f t="shared" si="328"/>
        <v>10</v>
      </c>
      <c r="FJ258" t="str">
        <f t="shared" si="329"/>
        <v/>
      </c>
      <c r="FK258" t="str">
        <f>IF(AND(D258="",EZ258=""),"",_xlfn.TEXTJOIN("; ",TRUE,IF(AND(D258&lt;&gt;"",DD258=""),"нет фазы",""),IF(AND(D258&lt;&gt;"",N(DT258)=0,CN258&lt;&gt;"Нет"),"нет мощности",""),IF(AND(EY258&lt;&gt;"",COUNTIFS(Линии[Щит],A258,Линии[Клемма (итог)],EY258)&gt;1),"дубль клеммы "&amp;EY258,""),IF(AND(FB258&lt;&gt;"",FB258&lt;&gt;"ok"),FB258,""),IF(FC258&lt;&gt;"",FC258,""),IF(AND(ISNUMBER(SEARCH("(5х",DS258)),N(DV258)=1),"5 жил на 1 фазе",""),IF(AND(AT258="R",AD258&lt;&gt;"",OR(N(EH258)=0,N(EH258)&gt;30)),"розетка без дифзащиты до 30 мА",""),IFERROR(IF(AND(ISNUMBER(CD258),CD258&gt;CE258),"потери "&amp;FIXED(CD258,1)&amp;" % &gt; "&amp;CE258&amp;" %",""),""),IFERROR(IF(LEFT(FJ258,4)="мало","Iкз мало — отключение &gt; 0,4 с",""),""),IF(AND(D258&lt;&gt;"",BD258=""),"не на схеме","")))</f>
        <v/>
      </c>
      <c r="FL258">
        <f>IF(AD258="","",_xlfn.LET(_xlpm.t,IFERROR(_xlfn.XLOOKUP(EP258,Каталог!$U$4:$U$500,Каталог!$G$4:$G$500),""),_xlpm.k,SEARCH("кА",_xlpm.t),IFERROR(--TRIM(RIGHT(SUBSTITUTE(MID(_xlpm.t,MAX(1,_xlpm.k-4),_xlpm.k-MAX(1,_xlpm.k-4))," ",REPT(" ",9)),5)),"")))</f>
        <v>6</v>
      </c>
      <c r="FM258" t="str">
        <f>IF(OR(FL258="",AD258=""),"",IF(_xlfn.XLOOKUP(A258,Щиты[Щит],Щиты[Iкз max на шинах, кА],"")="","",IF(FL258&lt;_xlfn.XLOOKUP(A258,Щиты[Щит],Щиты[Iкз max на шинах, кА]),"Icu "&amp;FL258&amp;" кА &lt; Iкз max","ok")))</f>
        <v/>
      </c>
      <c r="FN258" t="str">
        <f t="shared" si="330"/>
        <v>QFD34</v>
      </c>
      <c r="FO258" t="str">
        <f t="shared" si="331"/>
        <v>QFD34|кабель ВВГнг(А)-LS (3х2,5) → Розеточная группа Первый этаж Пом. №013A</v>
      </c>
      <c r="FP258" t="str" cm="1">
        <f t="array" ref="FP258">IF(FO258="","",_xlfn.LET(_xlpm.nd,_xlfn.TEXTSPLIT(FO258,"|"),IF(COLUMNS(_xlpm.nd)&gt;1,A258&amp;"¦"&amp;INDEX(_xlpm.nd,1)&amp;"¦"&amp;INDEX(_xlpm.nd,2),"")))</f>
        <v>ЩР-1¦QFD34¦кабель ВВГнг(А)-LS (3х2,5) → Розеточная группа Первый этаж Пом. №013A</v>
      </c>
      <c r="FQ258" t="str">
        <f t="shared" si="332"/>
        <v>R.1.013A.1¦Розеточная группа Первый этаж Пом. №013A</v>
      </c>
      <c r="FR258" t="str" cm="1">
        <f t="array" ref="FR258">IF(FO258="","",_xlfn.LET(_xlpm.nd,_xlfn.TEXTSPLIT(FO258,"|"),IF(COLUMNS(_xlpm.nd)&gt;2,A258&amp;"¦"&amp;INDEX(_xlpm.nd,2)&amp;"¦"&amp;INDEX(_xlpm.nd,3),"")))</f>
        <v/>
      </c>
      <c r="FS258" t="str">
        <f t="shared" si="333"/>
        <v/>
      </c>
      <c r="FT258" t="str" cm="1">
        <f t="array" ref="FT258">IF(FO258="","",_xlfn.LET(_xlpm.nd,_xlfn.TEXTSPLIT(FO258,"|"),IF(COLUMNS(_xlpm.nd)&gt;3,A258&amp;"¦"&amp;INDEX(_xlpm.nd,3)&amp;"¦"&amp;INDEX(_xlpm.nd,4),"")))</f>
        <v/>
      </c>
      <c r="FU258" t="str">
        <f t="shared" si="334"/>
        <v/>
      </c>
      <c r="FV258" t="str" cm="1">
        <f t="array" ref="FV258">IF(FO258="","",_xlfn.LET(_xlpm.nd,_xlfn.TEXTSPLIT(FO258,"|"),IF(COLUMNS(_xlpm.nd)&gt;4,A258&amp;"¦"&amp;INDEX(_xlpm.nd,4)&amp;"¦"&amp;INDEX(_xlpm.nd,5),"")))</f>
        <v/>
      </c>
      <c r="FW258" t="str">
        <f t="shared" si="335"/>
        <v/>
      </c>
      <c r="FX258" t="str" cm="1">
        <f t="array" ref="FX258">IF(FO258="","",_xlfn.LET(_xlpm.nd,_xlfn.TEXTSPLIT(FO258,"|"),IF(COLUMNS(_xlpm.nd)&gt;5,A258&amp;"¦"&amp;INDEX(_xlpm.nd,5)&amp;"¦"&amp;INDEX(_xlpm.nd,6),"")))</f>
        <v/>
      </c>
      <c r="FY258" t="str">
        <f t="shared" si="336"/>
        <v/>
      </c>
      <c r="FZ258" t="str" cm="1">
        <f t="array" ref="FZ258">IF(FO258="","",_xlfn.LET(_xlpm.nd,_xlfn.TEXTSPLIT(FO258,"|"),IF(COLUMNS(_xlpm.nd)&gt;6,A258&amp;"¦"&amp;INDEX(_xlpm.nd,6)&amp;"¦"&amp;INDEX(_xlpm.nd,7),"")))</f>
        <v/>
      </c>
      <c r="GA258" t="str">
        <f t="shared" si="337"/>
        <v/>
      </c>
      <c r="GB258" t="str">
        <f t="shared" si="338"/>
        <v/>
      </c>
      <c r="GC258" t="str">
        <f t="shared" si="339"/>
        <v>QFD34</v>
      </c>
      <c r="GD258">
        <f t="shared" si="340"/>
        <v>1</v>
      </c>
      <c r="GE258">
        <f t="shared" si="341"/>
        <v>0</v>
      </c>
      <c r="GF258">
        <f t="shared" si="342"/>
        <v>1</v>
      </c>
      <c r="GG258" t="str">
        <f t="shared" si="343"/>
        <v/>
      </c>
      <c r="GH258" t="str">
        <f t="shared" si="344"/>
        <v/>
      </c>
      <c r="GI258" t="str">
        <f t="shared" si="345"/>
        <v/>
      </c>
      <c r="GJ258" t="str">
        <f t="shared" si="346"/>
        <v/>
      </c>
      <c r="GK258" t="str">
        <f>IF(D258="","",IFERROR(VLOOKUP(D258,УГО_спр,2,FALSE),IFERROR(VLOOKUP(AT258,УГО_спр,2,FALSE),IFERROR(VLOOKUP(LEFT(AT258,2),УГО_спр,2,FALSE),""))))</f>
        <v>Розетка</v>
      </c>
      <c r="GL258" t="str">
        <f>IF(D258="","",IF(OR(GK258="",GK258=0),"BOX",IFERROR(IF(VLOOKUP(GK258,УГО_блоки,3,FALSE)&amp;""&lt;&gt;"",VLOOKUP(GK258,УГО_блоки,3,FALSE),VLOOKUP(GK258,УГО_блоки,2,FALSE)),GK258)))</f>
        <v>SOCKET</v>
      </c>
      <c r="GM258">
        <f t="shared" si="347"/>
        <v>1</v>
      </c>
      <c r="GN258" t="str">
        <f>IF(EP258="","",IF(COUNTIF(EP$3:EP258,EP258)=1,MAX(GN$2:GN257)+1,""))</f>
        <v/>
      </c>
      <c r="GO258" t="str">
        <f>IF(AF258="","",IF(COUNTIF(AF$3:AF258,AF258)+COUNTIF(AG$2:AG257,AF258)+COUNTIF(AH$2:AH257,AF258)=1,MAX(GO$2:GQ257)+1,""))</f>
        <v/>
      </c>
      <c r="GP258" t="str">
        <f>IF(AG258="","",IF(COUNTIF(AF$3:AF258,AG258)+COUNTIF(AG$3:AG258,AG258)+COUNTIF(AH$2:AH257,AG258)=1,MAX(GO$2:GQ257,GO258)+1,""))</f>
        <v/>
      </c>
      <c r="GQ258" t="str">
        <f>IF(AH258="","",IF(COUNTIF(AF$3:AF258,AH258)+COUNTIF(AG$3:AG258,AH258)+COUNTIF(AH$3:AH258,AH258)=1,MAX(GO$2:GQ257,GO258,GP258)+1,""))</f>
        <v/>
      </c>
      <c r="GR258" t="str">
        <f t="shared" si="348"/>
        <v>3х2,5</v>
      </c>
      <c r="GS258" t="str">
        <f>IF(GR258="","",IF(COUNTIF(GR$3:GR258,GR258)=1,MAX(GS$2:GS257)+1,""))</f>
        <v/>
      </c>
      <c r="GT258" t="str">
        <f>IF(ES258="","",COUNTIF(ES$3:ES258,"?*"))</f>
        <v/>
      </c>
      <c r="GU258" t="str">
        <f>IF(OR(ES258="",EU258=""),"",IF(COUNTIFS(ES$3:ES258,"?*",EU$3:EU258,EU258)=1,MAX(GU$2:GU257)+1,""))</f>
        <v/>
      </c>
      <c r="GV258">
        <f t="shared" si="349"/>
        <v>0</v>
      </c>
      <c r="GW258">
        <f>IF(D258="","",COUNTIF(D$3:D258,"?*"))</f>
        <v>256</v>
      </c>
      <c r="GX258">
        <f>IF(EX258&lt;&gt;1,0,_xlfn.LET(_xlpm.k,MAX(IFERROR(--VLOOKUP(D258,УГО_спр,5,FALSE),0),IFERROR(--VLOOKUP(AT258,УГО_спр,5,FALSE),0),IFERROR(--VLOOKUP(LEFT(AT258,2),УГО_спр,5,FALSE),0)),IF(_xlpm.k&gt;0,_xlpm.k,IF(IFERROR(--LEFT(SUBSTITUTE(GR258,"x","х"),FIND("х",SUBSTITUTE(GR258,"x","х"))-1),3)&gt;3,Каталог!$S$9,1))))</f>
        <v>1</v>
      </c>
      <c r="GY258">
        <f t="shared" si="350"/>
        <v>0</v>
      </c>
    </row>
    <row r="259" spans="1:207" x14ac:dyDescent="0.3">
      <c r="A259" t="s">
        <v>762</v>
      </c>
      <c r="B259">
        <v>47</v>
      </c>
      <c r="C259" t="str">
        <f>IF(BD259="","",IF(BE259="вводной узел","узел ","")&amp;"л."&amp;(INT((BD259-1)/Столбцов_на_лист)+1)&amp;" / "&amp;(MOD(BD259-1,Столбцов_на_лист)+1))</f>
        <v>л.3 / 13</v>
      </c>
      <c r="D259" t="s">
        <v>1581</v>
      </c>
      <c r="E259" s="133" t="str">
        <f t="shared" ref="E259:E322" si="352">AY259</f>
        <v>Розеточная группа Первый этаж Пом. №014A</v>
      </c>
      <c r="G259">
        <v>0.12</v>
      </c>
      <c r="H259">
        <v>1</v>
      </c>
      <c r="I259">
        <v>1</v>
      </c>
      <c r="J259">
        <v>230</v>
      </c>
      <c r="K259" t="s">
        <v>566</v>
      </c>
      <c r="O259">
        <v>1</v>
      </c>
      <c r="P259">
        <v>19</v>
      </c>
      <c r="Q259">
        <v>3</v>
      </c>
      <c r="R259">
        <v>19</v>
      </c>
      <c r="S259">
        <v>0</v>
      </c>
      <c r="U259" t="s">
        <v>11</v>
      </c>
      <c r="V259">
        <v>3</v>
      </c>
      <c r="W259">
        <v>2.5</v>
      </c>
      <c r="Z259" t="s">
        <v>565</v>
      </c>
      <c r="AA259" t="s">
        <v>818</v>
      </c>
      <c r="AD259" t="s">
        <v>517</v>
      </c>
      <c r="AK259" t="s">
        <v>488</v>
      </c>
      <c r="AR259" t="str">
        <f t="shared" ref="AR259:AR322" si="353">_xlfn.TEXTJOIN("; ",TRUE,FK259,IF(DO259="НЕ ОБЕСПЕЧЕНА","категория "&amp;DE259&amp;" не обеспечена (есть "&amp;DL259&amp;")",""),IF(LEFT(FM259,3)="Icu",FM259,""),IF(AND(D259&lt;&gt;"",BS259="Не исп"),"сечение не подобрано",""))</f>
        <v/>
      </c>
      <c r="AS259" cm="1">
        <f t="array" ref="AS259">ROW()-ROW(Линии[#Headers])</f>
        <v>257</v>
      </c>
      <c r="AT259" t="str">
        <f t="shared" ref="AT259:AT322" si="354">IF(D259="","",IFERROR(LEFT(D259,SEARCH(".",D259)-1),D259))</f>
        <v>R</v>
      </c>
      <c r="AU259" t="str">
        <f t="shared" ref="AU259:AU322" si="355">IFERROR(RIGHT(D259,LEN(D259)-SEARCH(".",D259)),"")</f>
        <v>1.014A.1</v>
      </c>
      <c r="AV259" t="str">
        <f t="shared" ref="AV259:AV322" si="356">IFERROR(LEFT(AU259,SEARCH(".",AU259)-1),AU259)</f>
        <v>1</v>
      </c>
      <c r="AW259" t="str">
        <f t="shared" ref="AW259:AW322" si="357">IFERROR(RIGHT(AU259,LEN(AU259)-SEARCH(".",AU259)),"")</f>
        <v>014A.1</v>
      </c>
      <c r="AX259" t="str">
        <f t="shared" ref="AX259:AX322" si="358">IFERROR(LEFT(AW259,SEARCH(".",AW259)-1),AW259)</f>
        <v>014A</v>
      </c>
      <c r="AY259" t="str">
        <f>IF(D259="","",IF(ISERROR(SEARCH(".",D259)),IFERROR(VLOOKUP(D259,Потребители_обозначение,2,FALSE)&amp;"",""),IFERROR(IF(VLOOKUP(AT259,Потребители_обозначение,4,FALSE)=1,VLOOKUP(AT259,Потребители_обозначение,2,FALSE)&amp;" "&amp;VLOOKUP(AV259,Этаж_обозначение,2,FALSE)&amp;" Пом. №"&amp;AX259,VLOOKUP(AT259,Потребители_обозначение,2,FALSE)&amp;" Шлейф №"&amp;AV259),IFERROR(VLOOKUP(D259,Потребители_обозначение,2,FALSE),""))))</f>
        <v>Розеточная группа Первый этаж Пом. №014A</v>
      </c>
      <c r="AZ259" t="str">
        <f t="shared" ref="AZ259:AZ322" si="359">IF(E259&lt;&gt;"",E259,AY259)</f>
        <v>Розеточная группа Первый этаж Пом. №014A</v>
      </c>
      <c r="BA259" t="str">
        <f>IF(F259&lt;&gt;"",F259,IF(AND(D259&lt;&gt;"",D259&lt;&gt;A259,ISNUMBER(_xlfn.XMATCH(D259,Щиты[Щит]))),D259,""))</f>
        <v/>
      </c>
      <c r="BB259">
        <f>IFERROR(_xlfn.XMATCH(A259,Щиты[Щит]),0)</f>
        <v>10</v>
      </c>
      <c r="BC259">
        <f>IFERROR(N(_xlfn.XLOOKUP(A259,Щиты[Щит],Щиты[Мест под вводной узел])),15)</f>
        <v>8</v>
      </c>
      <c r="BD259">
        <f t="shared" ref="BD259:BD322" si="360">IF(B259="-","",IF(ISNUMBER(B259),B259,_xlfn.LET(_xlpm.prev,IF(OR(AS259=1,A259&lt;&gt;A258),0,N(IF(AS259=1,"",BD258))),_xlpm.nx,_xlpm.prev+1,IF(AND(AL259&lt;&gt;"вручную",_xlpm.nx&lt;=BC259),BC259+1,_xlpm.nx))))</f>
        <v>47</v>
      </c>
      <c r="BE259" t="str">
        <f t="shared" ref="BE259:BE322" si="361">IF(BD259="","",IF(BD259&lt;=BC259,"вводной узел","линии"))</f>
        <v>линии</v>
      </c>
      <c r="BF259">
        <f>IF(D259="","",IF(BA259&lt;&gt;"",IFERROR(_xlfn.XLOOKUP(BA259,Щиты[Щит],Щиты[Руст, кВт]),0),N(G259)))</f>
        <v>0.12</v>
      </c>
      <c r="BG259">
        <f>IF(J259&lt;&gt;"",J259,IF(D259="","",IFERROR(IF(VLOOKUP(AT259,Потребители_обозначение,8,FALSE)=0,"",VLOOKUP(AT259,Потребители_обозначение,8,FALSE)),"")))</f>
        <v>230</v>
      </c>
      <c r="BH259">
        <f>IF(I259&lt;&gt;"",I259,IF(D259="","",IFERROR(IF(VLOOKUP(AT259,Потребители_обозначение,9,FALSE)=0,"",VLOOKUP(AT259,Потребители_обозначение,9,FALSE)),"")))</f>
        <v>1</v>
      </c>
      <c r="BI259" t="str">
        <f>IF(U259&lt;&gt;"",U259,IF(D259="","",IFERROR(IF(VLOOKUP(AT259,Потребители_обозначение,6,FALSE)=0,"",VLOOKUP(AT259,Потребители_обозначение,6,FALSE)),"")))</f>
        <v>мс</v>
      </c>
      <c r="BJ259">
        <f>IF(V259&lt;&gt;"",V259,IF(D259="","",IFERROR(IF(VLOOKUP(AT259,Потребители_обозначение,7,FALSE)=0,"",VLOOKUP(AT259,Потребители_обозначение,7,FALSE)),"")))</f>
        <v>3</v>
      </c>
      <c r="BK259">
        <f>IF(W259&lt;&gt;"",W259,IF(D259="","",IFERROR(IF(VLOOKUP(AT259,Потребители_обозначение,10,FALSE)=0,"",VLOOKUP(AT259,Потребители_обозначение,10,FALSE)),"")))</f>
        <v>2.5</v>
      </c>
      <c r="BL259">
        <f>IFERROR(VLOOKUP(AT259,Потребители_обозначение,5,FALSE),0)</f>
        <v>1</v>
      </c>
      <c r="BM259" cm="1">
        <f t="array" ref="BM259">IF(D259="","",IF(BA259&lt;&gt;"",IFERROR(_xlfn.XLOOKUP(BA259,Щиты[Щит],Щиты[cos φ]),0.95),IF(ISNUMBER(M259),M259,IFERROR(IF(BL259=2,_xlfn.IFS(BH259=3,VLOOKUP(BF259,Справочная_двигатели,8,FALSE),BH259=1,VLOOKUP(BF259,Справочная_двигатели,10,TRUE)),IF(AND(Методика="нормы 2026",CN259="Сил"),0.8,0.95)),0.95))))</f>
        <v>0.95</v>
      </c>
      <c r="BN259" cm="1">
        <f t="array" ref="BN259">IF(D259="","",IF(BA259&lt;&gt;"",IFERROR(_xlfn.XLOOKUP(BA259,Щиты[Щит],Щиты[Iр, А]),""),IFERROR(_xlfn.IFS(BH259=1,BF259/((Uн_лин/SQRT(3))*BM259),BH259=3,BF259/(SQRT(3)*Uн_лин*BM259)),"")))</f>
        <v>0.54696341291648753</v>
      </c>
      <c r="BO259">
        <f>IF(D259="","",IF(N(X259)=0,IFERROR(VLOOKUP(BN259,Автомат_номиналы,2,TRUE),""),X259))</f>
        <v>6</v>
      </c>
      <c r="BP259">
        <f t="shared" ref="BP259:BP322" si="362">IF(N(BJ259)=1,1,IF(BH259=1,1,IF(N(BJ259)&gt;=4,0.92,1)))</f>
        <v>1</v>
      </c>
      <c r="BQ259">
        <f>IF(ISNUMBER(Y259),Y259,К_прокл)</f>
        <v>1</v>
      </c>
      <c r="BR259">
        <f t="shared" ref="BR259:BR322" si="363">IF(N(BJ259)=1,1,IF(BH259=1,2,3))</f>
        <v>2</v>
      </c>
      <c r="BS259" cm="1">
        <f t="array" ref="BS259">IF(D259="","",IF(N(BK259)&lt;&gt;0,BK259,IFERROR(_xlfn.LET(_xlpm.need,BO259/(BP259*BQ259),_xlpm.t,CHOOSE(BR259,Iдоп_1ж,Iдоп_2ж,Iдоп_3ж),_xlpm.k,_xlfn.XMATCH(_xlpm.need,_xlpm.t,1),IF(ISNA(_xlpm.k),"Не исп",INDEX(Iдоп_S,_xlpm.k))),"Не исп")))</f>
        <v>2.5</v>
      </c>
      <c r="BT259">
        <f>IFERROR(VLOOKUP(BS259,Кабель_сопротивление,3,FALSE),"")</f>
        <v>2.2499999999999999E-2</v>
      </c>
      <c r="BU259">
        <f>IFERROR(VLOOKUP(BS259,Кабель_сопротивление,2,FALSE),"")</f>
        <v>0.1</v>
      </c>
      <c r="BV259">
        <f t="shared" ref="BV259:BV322" si="364">IF(P259&lt;&gt;"",P259,IF(COUNT(AM259,AN259)=0,"",ROUNDUP(SUM(AM259,AN259),0)))</f>
        <v>19</v>
      </c>
      <c r="BW259">
        <f>IF(D259="","",IFERROR(IF(VLOOKUP(AT259,Потребители_обозначение,4,FALSE)=1,VLOOKUP(AT259,Потребители_обозначение,3,FALSE)*(H259*2-1)+BV259+VLOOKUP(AV259,Этаж_обозначение,3,FALSE)+VLOOKUP(AV259,Этаж_обозначение,4,FALSE),VLOOKUP(AT259,Потребители_обозначение,3,FALSE)*(H259*2-1)+BV259),BV259))</f>
        <v>22</v>
      </c>
      <c r="BX259">
        <f t="shared" ref="BX259:BX322" si="365">IF(R259&lt;&gt;"",R259,IF(OR(BV259="",T259=""),"",IF(T259=1,MAX(0,BW259-ROUNDUP(N(AN259),0)-4),ROUNDUP(N(AM259),0))))</f>
        <v>19</v>
      </c>
      <c r="BY259">
        <f t="shared" ref="BY259:BY322" si="366">IF(S259&lt;&gt;"",S259,IF(OR(BV259="",T259=""),"",IF(T259=2,MAX(0,BW259-ROUNDUP(N(AM259),0)-4),ROUNDUP(N(AN259),0))))</f>
        <v>0</v>
      </c>
      <c r="BZ259">
        <f t="shared" ref="BZ259:BZ322" si="367">IF(BH259=1,2,IF(BH259=3,1,""))</f>
        <v>2</v>
      </c>
      <c r="CA259">
        <f t="shared" ref="CA259:CA322" si="368">IFERROR(ROUND(SIN(ACOS(BM259)),2),"")</f>
        <v>0.31</v>
      </c>
      <c r="CB259">
        <f t="shared" ref="CB259:CB322" si="369">IFERROR(BZ259*(BT259*BW259/BS259*BM259+BU259*BW259*CA259/1000)*BN259,"")</f>
        <v>0.20651369403440067</v>
      </c>
      <c r="CC259">
        <f>IFERROR(ROUNDUP(CB259/((Uн_лин/SQRT(3))*1000)*100,2),"")</f>
        <v>0.09</v>
      </c>
      <c r="CD259">
        <f>IF(ISNUMBER(CC259),CC259+IFERROR(_xlfn.XLOOKUP(A259,Щиты[Щит],Щиты[ΔU до шин, %]),0),"")</f>
        <v>1.34</v>
      </c>
      <c r="CE259">
        <f>IF(D259="","",IF(IFERROR(VLOOKUP(AT259,УГО_спр,2,FALSE),"")="Светильник",3,4)+IF(Методика="нормы 2026",MIN(0.5,MAX(0,N(BW259)-100)*0.005),0))</f>
        <v>4</v>
      </c>
      <c r="CF259" t="str">
        <f>IFERROR(VLOOKUP(BI259,Кабель_обозначение,2,FALSE),"")</f>
        <v>ВВГнг(А)-LS</v>
      </c>
      <c r="CG259" t="str">
        <f>IFERROR(IF(VLOOKUP(BI259,Кабель_обозначение,3,FALSE)=1,CF259&amp;" ("&amp;BJ259&amp;"х"&amp;BS259&amp;")",CF259),"")</f>
        <v>ВВГнг(А)-LS (3х2,5)</v>
      </c>
      <c r="CH259" t="str">
        <f t="shared" ref="CH259:CH322" si="370">IF(OR(D259="",CF259="",AND(G259&lt;&gt;"",NOT(ISNUMBER(G259)))),"",IF(BS259=0,CF259,CG259&amp;CHAR(10)&amp;"L="&amp;BW259&amp;"-"&amp;CC259&amp;"%"))</f>
        <v>ВВГнг(А)-LS (3х2,5)
L=22-0,09%</v>
      </c>
      <c r="CI259">
        <f>IFERROR(2*ρкз_Cu*BW259/BS259,"")</f>
        <v>0.46288000000000001</v>
      </c>
      <c r="CJ259">
        <f t="shared" ref="CJ259:CJ322" si="371">IFERROR(0.0175*N(BW259)/BS259,"")</f>
        <v>0.154</v>
      </c>
      <c r="CK259" t="str">
        <f>IFERROR(IF(OR(D259="",NOT(ISNUMBER(BS259)),N(BW259)=0),"",_xlfn.XLOOKUP(A259,Щиты[Щит],Щиты[Zпетли на шинах, Ом])+CI259),"")</f>
        <v/>
      </c>
      <c r="CL259" t="str">
        <f>IF(ISNUMBER(CK259),c_min*(Uн_лин*1000/SQRT(3))/CK259,"")</f>
        <v/>
      </c>
      <c r="CM259" t="str">
        <f>IFERROR(IF(OR(D259="",NOT(ISNUMBER(BS259))),"",1.05*(Uн_лин*1000/SQRT(3))/(_xlfn.XLOOKUP(A259,Щиты[Щит],Щиты[Zmax на шинах, Ом])+CJ259)/1000),"")</f>
        <v/>
      </c>
      <c r="CN259" t="str">
        <f>IF(D259="","",IF(BA259&lt;&gt;"","Щит",IF(K259&lt;&gt;"",K259,IF(ISNUMBER(L259),"Сил",IF(IFERROR(_xlfn.XLOOKUP(AT259,Коды_код,Коды_группа)&amp;"","")="","Быт",_xlfn.XLOOKUP(AT259,Коды_код,Коды_группа)&amp;"")))))</f>
        <v>Быт</v>
      </c>
      <c r="CO259">
        <f>IF(CN259="Щит","щит",IF(CN259="","",IF(CN259="Быт",IFERROR(_xlfn.XLOOKUP(A259,Щиты[Щит],Щиты[Кс быт]),1),IF(CN259="Сил",IF(ISNUMBER(L259),L259,IF(Методика="нормы 2026",IFERROR(_xlfn.XLOOKUP(A259,Щиты[Щит],Щиты[Кс силовых (табл. 7.5)]),1),1)),IF(OR(CN259="Пост",CN259="Отоп"),1,IF(CN259="ВНГ",0.7,0))))))</f>
        <v>0.57830000000000004</v>
      </c>
      <c r="CP259">
        <f t="shared" ref="CP259:CP322" si="372">IF(CN259="","",IFERROR(MIN(3,MAX(1,INT(--N259))),1))</f>
        <v>1</v>
      </c>
      <c r="CQ259">
        <f t="shared" ref="CQ259:CQ322" si="373">IF(OR(CN259="",CN259="Нет",CN259="Щит"),0,N(BF259))</f>
        <v>0.12</v>
      </c>
      <c r="CR259">
        <f t="shared" ref="CR259:CR322" si="374">IF(CN259="Быт",N(BF259),0)</f>
        <v>0.12</v>
      </c>
      <c r="CS259">
        <f t="shared" ref="CS259:CS322" si="375">IF(CN259="Сил",N(BF259)*N(CO259),0)</f>
        <v>0</v>
      </c>
      <c r="CT259">
        <f t="shared" ref="CT259:CT322" si="376">IF(CN259="Пост",N(BF259),0)</f>
        <v>0</v>
      </c>
      <c r="CU259">
        <f t="shared" ref="CU259:CU322" si="377">IF(CN259="Отоп",N(BF259),0)</f>
        <v>0</v>
      </c>
      <c r="CV259">
        <f t="shared" ref="CV259:CV322" si="378">IF(CN259="ВНГ",N(BF259)*0.7,0)</f>
        <v>0</v>
      </c>
      <c r="CW259">
        <f t="shared" ref="CW259:CW322" si="379">IF(OR(D259="",CN259="Щит"),0,N(BF259))</f>
        <v>0.12</v>
      </c>
      <c r="CX259">
        <f t="shared" ref="CX259:CX322" si="380">IF(OR(D259="",CN259="Щит"),0,N(BF259)*N(BM259))</f>
        <v>0.11399999999999999</v>
      </c>
      <c r="CY259">
        <f t="shared" ref="CY259:CY322" si="381">_xlfn.LET(_xlpm.prev,IF(OR(OR(AS259=1,A259&lt;&gt;A258)),0,N(IF(AS259=1,"",CY258))),IF(OR(D259="",BH259=3),_xlpm.prev,IF(_xlpm.prev&gt;=3,1,_xlpm.prev+1)))</f>
        <v>2</v>
      </c>
      <c r="CZ259" t="str">
        <f t="shared" ref="CZ259:CZ322" si="382">IF(D259="","",IF(BH259=3,"L1,L2,L3","L"&amp;MAX(1,CY259)))</f>
        <v>L2</v>
      </c>
      <c r="DA259" cm="1">
        <f t="array" ref="DA259">IFERROR(IF(BL259=2,_xlfn.IFS(BH259=3,VLOOKUP(BF259,Справочная_двигатели,3,FALSE),BH259=1,VLOOKUP(BF259,Справочная_двигатели,5,TRUE)),0),0)</f>
        <v>0</v>
      </c>
      <c r="DB259">
        <f>IFERROR(IF(BL259=3,VLOOKUP(BF259,Справочная_ЛЭД,2,TRUE),0),0)</f>
        <v>0</v>
      </c>
      <c r="DC259">
        <f t="shared" ref="DC259:DC322" si="383">IF(D259="","",IF(DA259=0,DB259,DA259))</f>
        <v>0</v>
      </c>
      <c r="DD259" t="str">
        <f t="shared" ref="DD259:DD322" si="384">IF(D259="","",IF(O259="упр","",IF(O259="",CZ259,IF(O259&amp;""="1,2,3","L1,L2,L3","L"&amp;O259))))</f>
        <v>L1</v>
      </c>
      <c r="DE259" t="str" cm="1">
        <f t="array" ref="DE259">IF(D259="","",IFERROR(INDEX({"I особая","I","II","III"},MATCH(TRIM(AA259&amp;""),{"I особая","I","II","III"},0)),"III"))</f>
        <v>II</v>
      </c>
      <c r="DF259" t="str">
        <f>IF(D259="","",IF(TRIM(AB259&amp;"")&lt;&gt;"",IF(LOWER(TRIM(AB259&amp;""))="да","да","нет"),IF(IFERROR(_xlfn.XLOOKUP(AT259,Коды_код,Коды_пожарная),"")="да","да","нет")))</f>
        <v>нет</v>
      </c>
      <c r="DG259" t="str">
        <f t="shared" ref="DG259:DG322" si="385">IF(AC259&lt;&gt;"",AC259,IF(AD259&lt;&gt;"","",IF(EK259="","",IF(AS259=1,"",DG258))))</f>
        <v/>
      </c>
      <c r="DH259" t="str">
        <f t="shared" ref="DH259:DH322" si="386">IF(D259="","",IF(DG259="","основная",DG259))</f>
        <v>основная</v>
      </c>
      <c r="DI259">
        <f t="shared" ref="DI259:DI322" si="387">IFERROR(MIN(3,MAX(1,INT(--N259))),1)</f>
        <v>1</v>
      </c>
      <c r="DJ259" t="str" cm="1">
        <f t="array" ref="DJ259">IF(D259="","",_xlfn.LET(_xlpm.t,IFERROR(_xlfn.XLOOKUP(1,(Шины[Шина]=DH259)*(((Шины[Щит]=A259)+(Шины[Щит]=""))&gt;0),Шины[Тип]),"")&amp;"",IF(_xlpm.t&lt;&gt;"",_xlpm.t,IF(ISNUMBER(SEARCH("ИБП",DH259)),"ИБП",IF(ISNUMBER(SEARCH("ДГУ",DH259)),"ДГУ","Ввод "&amp;DI259)))))</f>
        <v>Ввод 1</v>
      </c>
      <c r="DK259" t="str">
        <f t="shared" ref="DK259:DK322" si="388">IF(D259="","",IF(OR(DJ259="ИБП",DJ259="ДГУ"),DJ259,IF(LEFT(DJ259,5)="Ввод ",DJ259,"Ввод "&amp;DI259)))</f>
        <v>Ввод 1</v>
      </c>
      <c r="DL259" t="str">
        <f>IF(D259="","",IF(OR(DJ259="ИБП",DJ259="ДГУ"),"I особая",IF(DJ259="Одиночная","III",_xlfn.XLOOKUP(A259,Щиты[Щит],Щиты[Категория шины «Ввод»],"III"))))</f>
        <v>II</v>
      </c>
      <c r="DM259">
        <f>IF(D259="",0,IFERROR(MATCH(DE259,{"III","II","I","I особая"},0),1))</f>
        <v>2</v>
      </c>
      <c r="DN259">
        <f t="shared" ref="DN259:DN322" si="389">IF(OR(DJ259="ИБП",DJ259="ДГУ"),MIN(DM259,3),DM259)</f>
        <v>2</v>
      </c>
      <c r="DO259" t="str">
        <f>IF(D259="","",IF(DM259&gt;IFERROR(MATCH(DL259,{"III","II","I","I особая"},0),1),"НЕ ОБЕСПЕЧЕНА","ОК"))</f>
        <v>ОК</v>
      </c>
      <c r="DP259" t="str">
        <f>IF(A259="","",_xlfn.XLOOKUP(A259,Щиты[Щит],Щиты[Путь],""))</f>
        <v>|ГРЩ-ЖД|ЩР-1|</v>
      </c>
      <c r="DQ259" t="str">
        <f>IF(D259="","",IF(Z259&lt;&gt;"",Z259,IF(IFERROR(_xlfn.XLOOKUP(AT259,Коды_код,Коды_вид)&amp;"","")="","Прочее",_xlfn.XLOOKUP(AT259,Коды_код,Коды_вид)&amp;"")))</f>
        <v>Розеточная сеть и бытовые приборы</v>
      </c>
      <c r="DR259">
        <f>IF(BD259="","",INT((BD259-1)/Столбцов_на_лист)+1)</f>
        <v>3</v>
      </c>
      <c r="DS259" t="str">
        <f t="shared" ref="DS259:DS322" si="390">IF(D259="","",SUBSTITUTE(CH259,CHAR(10)," "))</f>
        <v>ВВГнг(А)-LS (3х2,5) L=22-0,09%</v>
      </c>
      <c r="DT259">
        <f t="shared" ref="DT259:DT322" si="391">IF(D259="","",IFERROR(--BF259,""))</f>
        <v>0.12</v>
      </c>
      <c r="DU259">
        <f t="shared" ref="DU259:DU322" si="392">IF(D259="","",IFERROR(ROUNDUP(BN259,2),""))</f>
        <v>0.55000000000000004</v>
      </c>
      <c r="DV259">
        <f t="shared" ref="DV259:DV322" si="393">IF(D259="","",IFERROR(--BH259,1))</f>
        <v>1</v>
      </c>
      <c r="DW259">
        <f>IF(AT259="",0,_xlfn.LET(_xlpm.v,IFERROR(VLOOKUP(D259,УГО_спр,3,FALSE),IFERROR(VLOOKUP(AT259,УГО_спр,3,FALSE),IFERROR(VLOOKUP(LEFT(AT259,2),УГО_спр,3,FALSE),""))),IF(_xlpm.v="да",30,IF(ISNUMBER(_xlpm.v),_xlpm.v,0))))</f>
        <v>30</v>
      </c>
      <c r="DX259">
        <f t="shared" ref="DX259:DX322" si="394">IF(OR(AJ259="+",AND(D259&lt;&gt;"",D259=IF(AS259=1,"",D258))),1,0)</f>
        <v>0</v>
      </c>
      <c r="DY259">
        <f>IF(BD259="","",IF(AD259&lt;&gt;"",COUNTIFS(A$3:A259,A259,AD$3:AD259,"?*"),IF(OR(OR(AS259=1,A259&lt;&gt;A258),AL259="вручную"),"",IF(AS259=1,"",DZ258))))</f>
        <v>35</v>
      </c>
      <c r="DZ259">
        <f t="shared" ref="DZ259:DZ322" si="395">IF(BD259="",IF(OR(AS259=1,A259&lt;&gt;A258),"",IF(AS259=1,"",DZ258)),DY259)</f>
        <v>35</v>
      </c>
      <c r="EA259">
        <f>IF(D259="",0,MAX(IFERROR(--X259,0),IFERROR(--VLOOKUP(D259,УГО_спр,4,FALSE),IFERROR(--VLOOKUP(AT259,УГО_спр,4,FALSE),IFERROR(--VLOOKUP(LEFT(AT259,2),УГО_спр,4,FALSE),0)))))</f>
        <v>16</v>
      </c>
      <c r="EB259">
        <f>IF(D259="","",IFERROR(LOOKUP(INDEX(CHOOSE(BR259,Iдоп_1ж,Iдоп_2ж,Iдоп_3ж),MATCH(BS259,Iдоп_S,0))*BP259*BQ259,{6,10,16,20,25,32,40,50,63,80,100,125,160,200,250,315,400,500,630}),""))</f>
        <v>25</v>
      </c>
      <c r="EC259">
        <f>IF(AD259="","",SUMIFS(Линии[_Ток схемы],Линии[_гр.],DY259,Линии[Щит],A259,Линии[_в кабель выше],0))</f>
        <v>0.55000000000000004</v>
      </c>
      <c r="ED259">
        <f>IF(AD259="","",IFERROR(VLOOKUP(EC259,Автомат_номиналы,2,TRUE),""))</f>
        <v>6</v>
      </c>
      <c r="EE259">
        <f>IF(AD259="","",MAX(N(ED259),_xlfn.MAXIFS(Линии[_мин. по типу],Линии[_гр.],DY259,Линии[Щит],A259)))</f>
        <v>16</v>
      </c>
      <c r="EF259">
        <f>IF(AD259="","",_xlfn.MINIFS(Линии[_макс. автомат по кабелю],Линии[_гр.],DY259,Линии[Щит],A259))</f>
        <v>25</v>
      </c>
      <c r="EG259">
        <f>IF(AD259="","",MAX(1,_xlfn.MAXIFS(Линии[_фаз],Линии[_гр.],DY259,Линии[Щит],A259)))</f>
        <v>1</v>
      </c>
      <c r="EH259">
        <f>IF(AD259="","",IF(AND(AD259&lt;&gt;"авто",AD259&lt;&gt;"+"),IF(ISNUMBER(SEARCH("мА",AD259)),IFERROR(--TRIM(RIGHT(SUBSTITUTE(LEFT(AD259,SEARCH("мА",AD259)-1)," ",REPT(" ",9)),6)),30),0),IF(AE259="нет",0,IF(ISNUMBER(AE259),AE259,IF(AE259="да",30,_xlfn.MINIFS(Линии[_дифзащита по коду, мА],Линии[_гр.],DY259,Линии[Щит],A259,Линии[_дифзащита по коду, мА],"&gt;0"))))))</f>
        <v>30</v>
      </c>
      <c r="EI259">
        <f t="shared" ref="EI259:EI322" si="396">IF(AD259="","",IF(N(EH259)&gt;0,1,0))</f>
        <v>1</v>
      </c>
      <c r="EJ259" t="str">
        <f t="shared" ref="EJ259:EJ322" si="397">IF(AD259="","",IF(EI259=1,"QFD","QF")&amp;DY259)</f>
        <v>QFD35</v>
      </c>
      <c r="EK259" t="str">
        <f t="shared" ref="EK259:EK322" si="398">IF(EJ259&lt;&gt;"",EJ259,IF(OR(OR(AS259=1,A259&lt;&gt;A258),AL259="вручную"),"",IF(AS259=1,"",EK258)))</f>
        <v>QFD35</v>
      </c>
      <c r="EL259" t="str">
        <f t="shared" ref="EL259:EL322" si="399">IF(EJ259&lt;&gt;"",_xlfn.TEXTJOIN(" → ",TRUE,AF259,AG259,AH259),IF(EK259="","",IF(AS259=1,"",EL258)))</f>
        <v/>
      </c>
      <c r="EM259">
        <f t="shared" ref="EM259:EM322" si="400">IF(EL259="",0,IF(OR(LEFT(EL259,2)="T ",LEFT(EL259,2)="Т ",ISNUMBER(SEARCH("→ T ",EL259)),ISNUMBER(SEARCH("→ Т ",EL259)),ISNUMBER(SEARCH("БП",EL259))),1,0))</f>
        <v>0</v>
      </c>
      <c r="EN259">
        <f>IF(AD259="","",IF(EM259=1,MAX(EE259,Мин_автомат_БП),EE259))</f>
        <v>16</v>
      </c>
      <c r="EO259" t="str">
        <f t="shared" ref="EO259:EO322" si="401">IF(AD259="","",IF(EG259&gt;=3,IF(EI259=1,"4P","3P"),IF(EI259=1,"2P","1P")))</f>
        <v>2P</v>
      </c>
      <c r="EP259" t="str">
        <f t="shared" ref="EP259:EP322" si="402">IF(AD259="","",IF(AND(AD259&lt;&gt;"авто",AD259&lt;&gt;"+"),AD259,EO259&amp;" С"&amp;EN259&amp;"А"&amp;IF(EI259=1," "&amp;EH259&amp;"мА","")))</f>
        <v>2P С16А 30мА</v>
      </c>
      <c r="EQ259">
        <f t="shared" ref="EQ259:EQ322" si="403">IF(EP259="","",_xlfn.LET(_xlpm.t,SUBSTITUTE(SUBSTITUTE(UPPER(EP259),"С","C"),"А","A"),_xlpm.c,FIND("C",_xlpm.t),IFERROR(--MID(_xlpm.t,_xlpm.c+1,FIND("A",_xlpm.t&amp;"A",_xlpm.c)-_xlpm.c-1),"")))</f>
        <v>16</v>
      </c>
      <c r="ER259" t="str">
        <f>IF(OR(AI259="",AI259="-"),"",IFERROR(VLOOKUP(AI259,Модули_спр,2,FALSE),"R"))</f>
        <v/>
      </c>
      <c r="ES259" t="str">
        <f>IF(ER259="","",ER259&amp;"."&amp;COUNTIFS(A$3:A259,A259,ER$3:ER259,ER259))</f>
        <v/>
      </c>
      <c r="ET259" t="str">
        <f t="shared" ref="ET259:ET322" si="404">IF(AI259="-","",IF(ES259&lt;&gt;"",ES259,IF(OR(AS259=1,A259&lt;&gt;A258),"",IF(AS259=1,"",ET258))))</f>
        <v/>
      </c>
      <c r="EU259" t="str">
        <f t="shared" ref="EU259:EU322" si="405">IF(ET259="","",IF(AND(AI259&lt;&gt;"",AI259&lt;&gt;"-"),AI259,IF(AS259=1,"",EU258)))</f>
        <v/>
      </c>
      <c r="EV259" t="str">
        <f t="shared" ref="EV259:EV322" si="406">IF(AJ259="=",IF(AS259=1,"",EW258),IF(ISNUMBER(AJ259),AJ259,IF(ET259="","",IF(OR(D259&lt;&gt;"",AJ259="+",AJ259="р"),IF(OR(ES259&lt;&gt;"",IF(AS259=1,"",EW258)=""),1,IF(AS259=1,"",EW258)+1),""))))</f>
        <v/>
      </c>
      <c r="EW259" t="str">
        <f t="shared" ref="EW259:EW322" si="407">IF(EV259&lt;&gt;"",EV259,IF(OR(OR(AS259=1,A259&lt;&gt;A258),AI259="-",ES259&lt;&gt;""),"",IF(AS259=1,"",EW258)))</f>
        <v/>
      </c>
      <c r="EX259">
        <f t="shared" ref="EX259:EX322" si="408">IF(AJ259="б/к",0,IF(OR(ISNUMBER(SEARCH("L=",CH259)),AJ259="+",AJ259="="),1,0))</f>
        <v>1</v>
      </c>
      <c r="EY259" t="str">
        <f>IF(AK259="нет","",IF(AK259&lt;&gt;"",AK259,IF(EX259=1,"XT"&amp;COUNTIFS(A$3:A259,A259,EX$3:EX259,1),"")))</f>
        <v/>
      </c>
      <c r="EZ259" t="str">
        <f t="shared" ref="EZ259:EZ322" si="409">IF(OR(D259&lt;&gt;"",EV259&lt;&gt;"",EX259=1),EK259,"")</f>
        <v>QFD35</v>
      </c>
      <c r="FA259" t="str">
        <f t="shared" ref="FA259:FA322" si="410">IF(OR(EV259&lt;&gt;"",AND(AI259&lt;&gt;"",AI259&lt;&gt;"-")),ET259,"")</f>
        <v/>
      </c>
      <c r="FB259" t="str">
        <f t="shared" ref="FB259:FB322" si="411">IF(AD259="","",IF(NOT(ISNUMBER(EQ259)),"",IF(EC259&gt;EQ259,"ПЕРЕГРУЗ",IF(AND(EM259=0,EF259&gt;0,EQ259&gt;EF259),"КАБЕЛЬ НЕ ЗАЩИЩЁН","ok"))))</f>
        <v>ok</v>
      </c>
      <c r="FC259" t="str">
        <f>IF(OR(EV259="",ET259=""),"",IF(EV259&gt;IFERROR(VLOOKUP(EU259,Модули_спр,3,FALSE),99),"ЛИШНИЙ КАНАЛ",IF(AND(AJ259&lt;&gt;"=",COUNTIFS(Линии[_модуль гр.],ET259,Линии[Канал (итог)],EV259,Линии[Канал],"&lt;&gt;=",Линии[Щит],A259)&gt;1),"ДУБЛЬ КАНАЛА","")))</f>
        <v/>
      </c>
      <c r="FD259">
        <f t="shared" ref="FD259:FD322" si="412">IF(AD259&lt;&gt;"",EQ259,IF(EK259="","",IF(AS259=1,"",FD258)))</f>
        <v>16</v>
      </c>
      <c r="FE259" t="str">
        <f t="shared" ref="FE259:FE322" si="413">IF(AD259&lt;&gt;"",EP259,IF(EK259="","",IF(AS259=1,"",FE258)))</f>
        <v>2P С16А 30мА</v>
      </c>
      <c r="FF259">
        <f t="shared" ref="FF259:FF322" si="414">IF(AD259&lt;&gt;"",EI259,IF(EK259="","",IF(AS259=1,"",FF258)))</f>
        <v>1</v>
      </c>
      <c r="FG259">
        <f t="shared" ref="FG259:FG322" si="415">IF(AD259&lt;&gt;"",EH259,IF(EK259="","",IF(AS259=1,"",FG258)))</f>
        <v>30</v>
      </c>
      <c r="FH259" t="str">
        <f t="shared" ref="FH259:FH322" si="416">IFERROR(IF(ISNUMBER(CL259),CL259/IFERROR(--FD259,N(BO259)),""),"")</f>
        <v/>
      </c>
      <c r="FI259">
        <f t="shared" ref="FI259:FI322" si="417">IF(OR(ISNUMBER(SEARCH(" B"," "&amp;FE259)),ISNUMBER(SEARCH(" В"," "&amp;FE259))),5,IF(ISNUMBER(SEARCH(" D"," "&amp;FE259)),20,10))</f>
        <v>10</v>
      </c>
      <c r="FJ259" t="str">
        <f t="shared" ref="FJ259:FJ322" si="418">IF(NOT(ISNUMBER(FH259)),"",IF(FH259&gt;=FI259,"ok",IF(N(FF259)=1,"ok (дифзащита "&amp;FG259&amp;" мА)","мало: Iкз &lt; "&amp;FI259&amp;"·In")))</f>
        <v/>
      </c>
      <c r="FK259" t="str">
        <f>IF(AND(D259="",EZ259=""),"",_xlfn.TEXTJOIN("; ",TRUE,IF(AND(D259&lt;&gt;"",DD259=""),"нет фазы",""),IF(AND(D259&lt;&gt;"",N(DT259)=0,CN259&lt;&gt;"Нет"),"нет мощности",""),IF(AND(EY259&lt;&gt;"",COUNTIFS(Линии[Щит],A259,Линии[Клемма (итог)],EY259)&gt;1),"дубль клеммы "&amp;EY259,""),IF(AND(FB259&lt;&gt;"",FB259&lt;&gt;"ok"),FB259,""),IF(FC259&lt;&gt;"",FC259,""),IF(AND(ISNUMBER(SEARCH("(5х",DS259)),N(DV259)=1),"5 жил на 1 фазе",""),IF(AND(AT259="R",AD259&lt;&gt;"",OR(N(EH259)=0,N(EH259)&gt;30)),"розетка без дифзащиты до 30 мА",""),IFERROR(IF(AND(ISNUMBER(CD259),CD259&gt;CE259),"потери "&amp;FIXED(CD259,1)&amp;" % &gt; "&amp;CE259&amp;" %",""),""),IFERROR(IF(LEFT(FJ259,4)="мало","Iкз мало — отключение &gt; 0,4 с",""),""),IF(AND(D259&lt;&gt;"",BD259=""),"не на схеме","")))</f>
        <v/>
      </c>
      <c r="FL259">
        <f>IF(AD259="","",_xlfn.LET(_xlpm.t,IFERROR(_xlfn.XLOOKUP(EP259,Каталог!$U$4:$U$500,Каталог!$G$4:$G$500),""),_xlpm.k,SEARCH("кА",_xlpm.t),IFERROR(--TRIM(RIGHT(SUBSTITUTE(MID(_xlpm.t,MAX(1,_xlpm.k-4),_xlpm.k-MAX(1,_xlpm.k-4))," ",REPT(" ",9)),5)),"")))</f>
        <v>6</v>
      </c>
      <c r="FM259" t="str">
        <f>IF(OR(FL259="",AD259=""),"",IF(_xlfn.XLOOKUP(A259,Щиты[Щит],Щиты[Iкз max на шинах, кА],"")="","",IF(FL259&lt;_xlfn.XLOOKUP(A259,Щиты[Щит],Щиты[Iкз max на шинах, кА]),"Icu "&amp;FL259&amp;" кА &lt; Iкз max","ok")))</f>
        <v/>
      </c>
      <c r="FN259" t="str">
        <f t="shared" ref="FN259:FN322" si="419">IF(OR(AL259="вручную",BD259="",AND(D259="",EY259="")),"",_xlfn.TEXTJOIN("|",TRUE,EK259,SUBSTITUTE(EL259," → ","|"),IF(ET259&lt;&gt;"",ET259&amp;IF(EV259&lt;&gt;""," к."&amp;EV259,""),""),EY259))</f>
        <v>QFD35</v>
      </c>
      <c r="FO259" t="str">
        <f t="shared" ref="FO259:FO322" si="420">IF(FN259="","",FN259&amp;IF(D259&lt;&gt;"","|кабель "&amp;CG259&amp;" → "&amp;AZ259,""))</f>
        <v>QFD35|кабель ВВГнг(А)-LS (3х2,5) → Розеточная группа Первый этаж Пом. №014A</v>
      </c>
      <c r="FP259" t="str" cm="1">
        <f t="array" ref="FP259">IF(FO259="","",_xlfn.LET(_xlpm.nd,_xlfn.TEXTSPLIT(FO259,"|"),IF(COLUMNS(_xlpm.nd)&gt;1,A259&amp;"¦"&amp;INDEX(_xlpm.nd,1)&amp;"¦"&amp;INDEX(_xlpm.nd,2),"")))</f>
        <v>ЩР-1¦QFD35¦кабель ВВГнг(А)-LS (3х2,5) → Розеточная группа Первый этаж Пом. №014A</v>
      </c>
      <c r="FQ259" t="str">
        <f t="shared" ref="FQ259:FQ322" si="421">IF(FP259="","",D259&amp;"¦"&amp;AZ259)</f>
        <v>R.1.014A.1¦Розеточная группа Первый этаж Пом. №014A</v>
      </c>
      <c r="FR259" t="str" cm="1">
        <f t="array" ref="FR259">IF(FO259="","",_xlfn.LET(_xlpm.nd,_xlfn.TEXTSPLIT(FO259,"|"),IF(COLUMNS(_xlpm.nd)&gt;2,A259&amp;"¦"&amp;INDEX(_xlpm.nd,2)&amp;"¦"&amp;INDEX(_xlpm.nd,3),"")))</f>
        <v/>
      </c>
      <c r="FS259" t="str">
        <f t="shared" ref="FS259:FS322" si="422">IF(FR259="","",D259&amp;"¦"&amp;AZ259)</f>
        <v/>
      </c>
      <c r="FT259" t="str" cm="1">
        <f t="array" ref="FT259">IF(FO259="","",_xlfn.LET(_xlpm.nd,_xlfn.TEXTSPLIT(FO259,"|"),IF(COLUMNS(_xlpm.nd)&gt;3,A259&amp;"¦"&amp;INDEX(_xlpm.nd,3)&amp;"¦"&amp;INDEX(_xlpm.nd,4),"")))</f>
        <v/>
      </c>
      <c r="FU259" t="str">
        <f t="shared" ref="FU259:FU322" si="423">IF(FT259="","",D259&amp;"¦"&amp;AZ259)</f>
        <v/>
      </c>
      <c r="FV259" t="str" cm="1">
        <f t="array" ref="FV259">IF(FO259="","",_xlfn.LET(_xlpm.nd,_xlfn.TEXTSPLIT(FO259,"|"),IF(COLUMNS(_xlpm.nd)&gt;4,A259&amp;"¦"&amp;INDEX(_xlpm.nd,4)&amp;"¦"&amp;INDEX(_xlpm.nd,5),"")))</f>
        <v/>
      </c>
      <c r="FW259" t="str">
        <f t="shared" ref="FW259:FW322" si="424">IF(FV259="","",D259&amp;"¦"&amp;AZ259)</f>
        <v/>
      </c>
      <c r="FX259" t="str" cm="1">
        <f t="array" ref="FX259">IF(FO259="","",_xlfn.LET(_xlpm.nd,_xlfn.TEXTSPLIT(FO259,"|"),IF(COLUMNS(_xlpm.nd)&gt;5,A259&amp;"¦"&amp;INDEX(_xlpm.nd,5)&amp;"¦"&amp;INDEX(_xlpm.nd,6),"")))</f>
        <v/>
      </c>
      <c r="FY259" t="str">
        <f t="shared" ref="FY259:FY322" si="425">IF(FX259="","",D259&amp;"¦"&amp;AZ259)</f>
        <v/>
      </c>
      <c r="FZ259" t="str" cm="1">
        <f t="array" ref="FZ259">IF(FO259="","",_xlfn.LET(_xlpm.nd,_xlfn.TEXTSPLIT(FO259,"|"),IF(COLUMNS(_xlpm.nd)&gt;6,A259&amp;"¦"&amp;INDEX(_xlpm.nd,6)&amp;"¦"&amp;INDEX(_xlpm.nd,7),"")))</f>
        <v/>
      </c>
      <c r="GA259" t="str">
        <f t="shared" ref="GA259:GA322" si="426">IF(FZ259="","",D259&amp;"¦"&amp;AZ259)</f>
        <v/>
      </c>
      <c r="GB259" t="str">
        <f t="shared" ref="GB259:GB322" si="427">IF(FA259="","",EU259)</f>
        <v/>
      </c>
      <c r="GC259" t="str">
        <f t="shared" ref="GC259:GC322" si="428">IF(AND(D259="",EV259="",EY259=""),"",_xlfn.TEXTJOIN(" → ",TRUE,EK259,EL259,IF(ET259&lt;&gt;"",ET259&amp;IF(EV259&lt;&gt;""," к."&amp;EV259,""),IF(EV259&lt;&gt;"","к."&amp;EV259,"")),EY259,IF(DX259=1,"(в кабель выше)","")))</f>
        <v>QFD35</v>
      </c>
      <c r="GD259">
        <f t="shared" ref="GD259:GD322" si="429">IF(OR(BD259="",AL259="вручную",AND(BE259="вводной узел",AL259&lt;&gt;"рисовать")),0,1)</f>
        <v>1</v>
      </c>
      <c r="GE259">
        <f t="shared" ref="GE259:GE322" si="430">IF(AC259="",0,1)</f>
        <v>0</v>
      </c>
      <c r="GF259">
        <f t="shared" ref="GF259:GF322" si="431">IF(EJ259="",0,IF(LEFT(EJ259,3)="QFD",1,0))</f>
        <v>1</v>
      </c>
      <c r="GG259" t="str">
        <f t="shared" ref="GG259:GG322" si="432">IF(AJ259="=","=",IF(AJ259="+","+",IF(AJ259="р","R","")))</f>
        <v/>
      </c>
      <c r="GH259" t="str">
        <f t="shared" ref="GH259:GH322" si="433">IF(AF259="","",IF(OR(LEFT(AF259,1)="T",LEFT(AF259,1)="Т"),"T",IF(LEFT(UPPER(AF259),2)="БП","PS",IF(OR(LEFT(UPPER(AF259),2)="МК",LEFT(UPPER(AF259),2)="MK"),"MK",IF(OR(LEFT(UPPER(AF259),2)="КМ",LEFT(UPPER(AF259),2)="KM"),"KM","X")))))</f>
        <v/>
      </c>
      <c r="GI259" t="str">
        <f t="shared" ref="GI259:GI322" si="434">IF(AG259="","",IF(OR(LEFT(AG259,1)="T",LEFT(AG259,1)="Т"),"T",IF(LEFT(UPPER(AG259),2)="БП","PS",IF(OR(LEFT(UPPER(AG259),2)="МК",LEFT(UPPER(AG259),2)="MK"),"MK",IF(OR(LEFT(UPPER(AG259),2)="КМ",LEFT(UPPER(AG259),2)="KM"),"KM","X")))))</f>
        <v/>
      </c>
      <c r="GJ259" t="str">
        <f t="shared" ref="GJ259:GJ322" si="435">IF(AH259="","",IF(OR(LEFT(AH259,1)="T",LEFT(AH259,1)="Т"),"T",IF(LEFT(UPPER(AH259),2)="БП","PS",IF(OR(LEFT(UPPER(AH259),2)="МК",LEFT(UPPER(AH259),2)="MK"),"MK",IF(OR(LEFT(UPPER(AH259),2)="КМ",LEFT(UPPER(AH259),2)="KM"),"KM","X")))))</f>
        <v/>
      </c>
      <c r="GK259" t="str">
        <f>IF(D259="","",IFERROR(VLOOKUP(D259,УГО_спр,2,FALSE),IFERROR(VLOOKUP(AT259,УГО_спр,2,FALSE),IFERROR(VLOOKUP(LEFT(AT259,2),УГО_спр,2,FALSE),""))))</f>
        <v>Розетка</v>
      </c>
      <c r="GL259" t="str">
        <f>IF(D259="","",IF(OR(GK259="",GK259=0),"BOX",IFERROR(IF(VLOOKUP(GK259,УГО_блоки,3,FALSE)&amp;""&lt;&gt;"",VLOOKUP(GK259,УГО_блоки,3,FALSE),VLOOKUP(GK259,УГО_блоки,2,FALSE)),GK259)))</f>
        <v>SOCKET</v>
      </c>
      <c r="GM259">
        <f t="shared" ref="GM259:GM322" si="436">IF(D259="",0,1)</f>
        <v>1</v>
      </c>
      <c r="GN259" t="str">
        <f>IF(EP259="","",IF(COUNTIF(EP$3:EP259,EP259)=1,MAX(GN$2:GN258)+1,""))</f>
        <v/>
      </c>
      <c r="GO259" t="str">
        <f>IF(AF259="","",IF(COUNTIF(AF$3:AF259,AF259)+COUNTIF(AG$2:AG258,AF259)+COUNTIF(AH$2:AH258,AF259)=1,MAX(GO$2:GQ258)+1,""))</f>
        <v/>
      </c>
      <c r="GP259" t="str">
        <f>IF(AG259="","",IF(COUNTIF(AF$3:AF259,AG259)+COUNTIF(AG$3:AG259,AG259)+COUNTIF(AH$2:AH258,AG259)=1,MAX(GO$2:GQ258,GO259)+1,""))</f>
        <v/>
      </c>
      <c r="GQ259" t="str">
        <f>IF(AH259="","",IF(COUNTIF(AF$3:AF259,AH259)+COUNTIF(AG$3:AG259,AH259)+COUNTIF(AH$3:AH259,AH259)=1,MAX(GO$2:GQ258,GO259,GP259)+1,""))</f>
        <v/>
      </c>
      <c r="GR259" t="str">
        <f t="shared" ref="GR259:GR322" si="437">IF(EX259=1,IFERROR(MID(DS259,FIND(" (",DS259)+2,FIND(")",DS259,FIND(" (",DS259))-FIND(" (",DS259)-2),"?"),"")</f>
        <v>3х2,5</v>
      </c>
      <c r="GS259" t="str">
        <f>IF(GR259="","",IF(COUNTIF(GR$3:GR259,GR259)=1,MAX(GS$2:GS258)+1,""))</f>
        <v/>
      </c>
      <c r="GT259" t="str">
        <f>IF(ES259="","",COUNTIF(ES$3:ES259,"?*"))</f>
        <v/>
      </c>
      <c r="GU259" t="str">
        <f>IF(OR(ES259="",EU259=""),"",IF(COUNTIFS(ES$3:ES259,"?*",EU$3:EU259,EU259)=1,MAX(GU$2:GU258)+1,""))</f>
        <v/>
      </c>
      <c r="GV259">
        <f t="shared" ref="GV259:GV322" si="438">IF(FK259="",0,IF(OR(ISNUMBER(SEARCH("дубль",FK259)),ISNUMBER(SEARCH("ПЕРЕГРУЗ",FK259)),ISNUMBER(SEARCH("ЗАЩИЩ",FK259)),ISNUMBER(SEARCH("КАНАЛ",FK259)),ISNUMBER(SEARCH("без диф",FK259))),2,1))</f>
        <v>0</v>
      </c>
      <c r="GW259">
        <f>IF(D259="","",COUNTIF(D$3:D259,"?*"))</f>
        <v>257</v>
      </c>
      <c r="GX259">
        <f>IF(EX259&lt;&gt;1,0,_xlfn.LET(_xlpm.k,MAX(IFERROR(--VLOOKUP(D259,УГО_спр,5,FALSE),0),IFERROR(--VLOOKUP(AT259,УГО_спр,5,FALSE),0),IFERROR(--VLOOKUP(LEFT(AT259,2),УГО_спр,5,FALSE),0)),IF(_xlpm.k&gt;0,_xlpm.k,IF(IFERROR(--LEFT(SUBSTITUTE(GR259,"x","х"),FIND("х",SUBSTITUTE(GR259,"x","х"))-1),3)&gt;3,Каталог!$S$9,1))))</f>
        <v>1</v>
      </c>
      <c r="GY259">
        <f t="shared" ref="GY259:GY322" si="439">IF(EX259&lt;&gt;1,0,MAX(0,IFERROR(--LEFT(SUBSTITUTE(GR259,"x","х"),FIND("х",SUBSTITUTE(GR259,"x","х"))-1),3)-3*GX259))</f>
        <v>0</v>
      </c>
    </row>
    <row r="260" spans="1:207" x14ac:dyDescent="0.3">
      <c r="A260" t="s">
        <v>762</v>
      </c>
      <c r="B260">
        <v>48</v>
      </c>
      <c r="C260" t="str">
        <f>IF(BD260="","",IF(BE260="вводной узел","узел ","")&amp;"л."&amp;(INT((BD260-1)/Столбцов_на_лист)+1)&amp;" / "&amp;(MOD(BD260-1,Столбцов_на_лист)+1))</f>
        <v>л.3 / 14</v>
      </c>
      <c r="D260" t="s">
        <v>1582</v>
      </c>
      <c r="E260" s="133" t="str">
        <f t="shared" si="352"/>
        <v>Розеточная группа Первый этаж Пом. №015A</v>
      </c>
      <c r="G260">
        <v>0.24</v>
      </c>
      <c r="H260">
        <v>3</v>
      </c>
      <c r="I260">
        <v>1</v>
      </c>
      <c r="J260">
        <v>230</v>
      </c>
      <c r="K260" t="s">
        <v>566</v>
      </c>
      <c r="O260">
        <v>2</v>
      </c>
      <c r="P260">
        <v>27</v>
      </c>
      <c r="Q260">
        <v>6</v>
      </c>
      <c r="R260">
        <v>36</v>
      </c>
      <c r="S260">
        <v>0</v>
      </c>
      <c r="U260" t="s">
        <v>11</v>
      </c>
      <c r="V260">
        <v>3</v>
      </c>
      <c r="W260">
        <v>2.5</v>
      </c>
      <c r="Z260" t="s">
        <v>565</v>
      </c>
      <c r="AA260" t="s">
        <v>818</v>
      </c>
      <c r="AD260" t="s">
        <v>517</v>
      </c>
      <c r="AR260" t="str">
        <f t="shared" si="353"/>
        <v/>
      </c>
      <c r="AS260" cm="1">
        <f t="array" ref="AS260">ROW()-ROW(Линии[#Headers])</f>
        <v>258</v>
      </c>
      <c r="AT260" t="str">
        <f t="shared" si="354"/>
        <v>R</v>
      </c>
      <c r="AU260" t="str">
        <f t="shared" si="355"/>
        <v>1.015A.1</v>
      </c>
      <c r="AV260" t="str">
        <f t="shared" si="356"/>
        <v>1</v>
      </c>
      <c r="AW260" t="str">
        <f t="shared" si="357"/>
        <v>015A.1</v>
      </c>
      <c r="AX260" t="str">
        <f t="shared" si="358"/>
        <v>015A</v>
      </c>
      <c r="AY260" t="str">
        <f>IF(D260="","",IF(ISERROR(SEARCH(".",D260)),IFERROR(VLOOKUP(D260,Потребители_обозначение,2,FALSE)&amp;"",""),IFERROR(IF(VLOOKUP(AT260,Потребители_обозначение,4,FALSE)=1,VLOOKUP(AT260,Потребители_обозначение,2,FALSE)&amp;" "&amp;VLOOKUP(AV260,Этаж_обозначение,2,FALSE)&amp;" Пом. №"&amp;AX260,VLOOKUP(AT260,Потребители_обозначение,2,FALSE)&amp;" Шлейф №"&amp;AV260),IFERROR(VLOOKUP(D260,Потребители_обозначение,2,FALSE),""))))</f>
        <v>Розеточная группа Первый этаж Пом. №015A</v>
      </c>
      <c r="AZ260" t="str">
        <f t="shared" si="359"/>
        <v>Розеточная группа Первый этаж Пом. №015A</v>
      </c>
      <c r="BA260" t="str">
        <f>IF(F260&lt;&gt;"",F260,IF(AND(D260&lt;&gt;"",D260&lt;&gt;A260,ISNUMBER(_xlfn.XMATCH(D260,Щиты[Щит]))),D260,""))</f>
        <v/>
      </c>
      <c r="BB260">
        <f>IFERROR(_xlfn.XMATCH(A260,Щиты[Щит]),0)</f>
        <v>10</v>
      </c>
      <c r="BC260">
        <f>IFERROR(N(_xlfn.XLOOKUP(A260,Щиты[Щит],Щиты[Мест под вводной узел])),15)</f>
        <v>8</v>
      </c>
      <c r="BD260">
        <f t="shared" si="360"/>
        <v>48</v>
      </c>
      <c r="BE260" t="str">
        <f t="shared" si="361"/>
        <v>линии</v>
      </c>
      <c r="BF260">
        <f>IF(D260="","",IF(BA260&lt;&gt;"",IFERROR(_xlfn.XLOOKUP(BA260,Щиты[Щит],Щиты[Руст, кВт]),0),N(G260)))</f>
        <v>0.24</v>
      </c>
      <c r="BG260">
        <f>IF(J260&lt;&gt;"",J260,IF(D260="","",IFERROR(IF(VLOOKUP(AT260,Потребители_обозначение,8,FALSE)=0,"",VLOOKUP(AT260,Потребители_обозначение,8,FALSE)),"")))</f>
        <v>230</v>
      </c>
      <c r="BH260">
        <f>IF(I260&lt;&gt;"",I260,IF(D260="","",IFERROR(IF(VLOOKUP(AT260,Потребители_обозначение,9,FALSE)=0,"",VLOOKUP(AT260,Потребители_обозначение,9,FALSE)),"")))</f>
        <v>1</v>
      </c>
      <c r="BI260" t="str">
        <f>IF(U260&lt;&gt;"",U260,IF(D260="","",IFERROR(IF(VLOOKUP(AT260,Потребители_обозначение,6,FALSE)=0,"",VLOOKUP(AT260,Потребители_обозначение,6,FALSE)),"")))</f>
        <v>мс</v>
      </c>
      <c r="BJ260">
        <f>IF(V260&lt;&gt;"",V260,IF(D260="","",IFERROR(IF(VLOOKUP(AT260,Потребители_обозначение,7,FALSE)=0,"",VLOOKUP(AT260,Потребители_обозначение,7,FALSE)),"")))</f>
        <v>3</v>
      </c>
      <c r="BK260">
        <f>IF(W260&lt;&gt;"",W260,IF(D260="","",IFERROR(IF(VLOOKUP(AT260,Потребители_обозначение,10,FALSE)=0,"",VLOOKUP(AT260,Потребители_обозначение,10,FALSE)),"")))</f>
        <v>2.5</v>
      </c>
      <c r="BL260">
        <f>IFERROR(VLOOKUP(AT260,Потребители_обозначение,5,FALSE),0)</f>
        <v>1</v>
      </c>
      <c r="BM260" cm="1">
        <f t="array" ref="BM260">IF(D260="","",IF(BA260&lt;&gt;"",IFERROR(_xlfn.XLOOKUP(BA260,Щиты[Щит],Щиты[cos φ]),0.95),IF(ISNUMBER(M260),M260,IFERROR(IF(BL260=2,_xlfn.IFS(BH260=3,VLOOKUP(BF260,Справочная_двигатели,8,FALSE),BH260=1,VLOOKUP(BF260,Справочная_двигатели,10,TRUE)),IF(AND(Методика="нормы 2026",CN260="Сил"),0.8,0.95)),0.95))))</f>
        <v>0.95</v>
      </c>
      <c r="BN260" cm="1">
        <f t="array" ref="BN260">IF(D260="","",IF(BA260&lt;&gt;"",IFERROR(_xlfn.XLOOKUP(BA260,Щиты[Щит],Щиты[Iр, А]),""),IFERROR(_xlfn.IFS(BH260=1,BF260/((Uн_лин/SQRT(3))*BM260),BH260=3,BF260/(SQRT(3)*Uн_лин*BM260)),"")))</f>
        <v>1.0939268258329751</v>
      </c>
      <c r="BO260">
        <f>IF(D260="","",IF(N(X260)=0,IFERROR(VLOOKUP(BN260,Автомат_номиналы,2,TRUE),""),X260))</f>
        <v>6</v>
      </c>
      <c r="BP260">
        <f t="shared" si="362"/>
        <v>1</v>
      </c>
      <c r="BQ260">
        <f>IF(ISNUMBER(Y260),Y260,К_прокл)</f>
        <v>1</v>
      </c>
      <c r="BR260">
        <f t="shared" si="363"/>
        <v>2</v>
      </c>
      <c r="BS260" cm="1">
        <f t="array" ref="BS260">IF(D260="","",IF(N(BK260)&lt;&gt;0,BK260,IFERROR(_xlfn.LET(_xlpm.need,BO260/(BP260*BQ260),_xlpm.t,CHOOSE(BR260,Iдоп_1ж,Iдоп_2ж,Iдоп_3ж),_xlpm.k,_xlfn.XMATCH(_xlpm.need,_xlpm.t,1),IF(ISNA(_xlpm.k),"Не исп",INDEX(Iдоп_S,_xlpm.k))),"Не исп")))</f>
        <v>2.5</v>
      </c>
      <c r="BT260">
        <f>IFERROR(VLOOKUP(BS260,Кабель_сопротивление,3,FALSE),"")</f>
        <v>2.2499999999999999E-2</v>
      </c>
      <c r="BU260">
        <f>IFERROR(VLOOKUP(BS260,Кабель_сопротивление,2,FALSE),"")</f>
        <v>0.1</v>
      </c>
      <c r="BV260">
        <f t="shared" si="364"/>
        <v>27</v>
      </c>
      <c r="BW260">
        <f>IF(D260="","",IFERROR(IF(VLOOKUP(AT260,Потребители_обозначение,4,FALSE)=1,VLOOKUP(AT260,Потребители_обозначение,3,FALSE)*(H260*2-1)+BV260+VLOOKUP(AV260,Этаж_обозначение,3,FALSE)+VLOOKUP(AV260,Этаж_обозначение,4,FALSE),VLOOKUP(AT260,Потребители_обозначение,3,FALSE)*(H260*2-1)+BV260),BV260))</f>
        <v>42</v>
      </c>
      <c r="BX260">
        <f t="shared" si="365"/>
        <v>36</v>
      </c>
      <c r="BY260">
        <f t="shared" si="366"/>
        <v>0</v>
      </c>
      <c r="BZ260">
        <f t="shared" si="367"/>
        <v>2</v>
      </c>
      <c r="CA260">
        <f t="shared" si="368"/>
        <v>0.31</v>
      </c>
      <c r="CB260">
        <f t="shared" si="369"/>
        <v>0.78850683176771175</v>
      </c>
      <c r="CC260">
        <f>IFERROR(ROUNDUP(CB260/((Uн_лин/SQRT(3))*1000)*100,2),"")</f>
        <v>0.35000000000000003</v>
      </c>
      <c r="CD260">
        <f>IF(ISNUMBER(CC260),CC260+IFERROR(_xlfn.XLOOKUP(A260,Щиты[Щит],Щиты[ΔU до шин, %]),0),"")</f>
        <v>1.6</v>
      </c>
      <c r="CE260">
        <f>IF(D260="","",IF(IFERROR(VLOOKUP(AT260,УГО_спр,2,FALSE),"")="Светильник",3,4)+IF(Методика="нормы 2026",MIN(0.5,MAX(0,N(BW260)-100)*0.005),0))</f>
        <v>4</v>
      </c>
      <c r="CF260" t="str">
        <f>IFERROR(VLOOKUP(BI260,Кабель_обозначение,2,FALSE),"")</f>
        <v>ВВГнг(А)-LS</v>
      </c>
      <c r="CG260" t="str">
        <f>IFERROR(IF(VLOOKUP(BI260,Кабель_обозначение,3,FALSE)=1,CF260&amp;" ("&amp;BJ260&amp;"х"&amp;BS260&amp;")",CF260),"")</f>
        <v>ВВГнг(А)-LS (3х2,5)</v>
      </c>
      <c r="CH260" t="str">
        <f t="shared" si="370"/>
        <v>ВВГнг(А)-LS (3х2,5)
L=42-0,35%</v>
      </c>
      <c r="CI260">
        <f>IFERROR(2*ρкз_Cu*BW260/BS260,"")</f>
        <v>0.88368000000000002</v>
      </c>
      <c r="CJ260">
        <f t="shared" si="371"/>
        <v>0.29400000000000004</v>
      </c>
      <c r="CK260" t="str">
        <f>IFERROR(IF(OR(D260="",NOT(ISNUMBER(BS260)),N(BW260)=0),"",_xlfn.XLOOKUP(A260,Щиты[Щит],Щиты[Zпетли на шинах, Ом])+CI260),"")</f>
        <v/>
      </c>
      <c r="CL260" t="str">
        <f>IF(ISNUMBER(CK260),c_min*(Uн_лин*1000/SQRT(3))/CK260,"")</f>
        <v/>
      </c>
      <c r="CM260" t="str">
        <f>IFERROR(IF(OR(D260="",NOT(ISNUMBER(BS260))),"",1.05*(Uн_лин*1000/SQRT(3))/(_xlfn.XLOOKUP(A260,Щиты[Щит],Щиты[Zmax на шинах, Ом])+CJ260)/1000),"")</f>
        <v/>
      </c>
      <c r="CN260" t="str">
        <f>IF(D260="","",IF(BA260&lt;&gt;"","Щит",IF(K260&lt;&gt;"",K260,IF(ISNUMBER(L260),"Сил",IF(IFERROR(_xlfn.XLOOKUP(AT260,Коды_код,Коды_группа)&amp;"","")="","Быт",_xlfn.XLOOKUP(AT260,Коды_код,Коды_группа)&amp;"")))))</f>
        <v>Быт</v>
      </c>
      <c r="CO260">
        <f>IF(CN260="Щит","щит",IF(CN260="","",IF(CN260="Быт",IFERROR(_xlfn.XLOOKUP(A260,Щиты[Щит],Щиты[Кс быт]),1),IF(CN260="Сил",IF(ISNUMBER(L260),L260,IF(Методика="нормы 2026",IFERROR(_xlfn.XLOOKUP(A260,Щиты[Щит],Щиты[Кс силовых (табл. 7.5)]),1),1)),IF(OR(CN260="Пост",CN260="Отоп"),1,IF(CN260="ВНГ",0.7,0))))))</f>
        <v>0.57830000000000004</v>
      </c>
      <c r="CP260">
        <f t="shared" si="372"/>
        <v>1</v>
      </c>
      <c r="CQ260">
        <f t="shared" si="373"/>
        <v>0.24</v>
      </c>
      <c r="CR260">
        <f t="shared" si="374"/>
        <v>0.24</v>
      </c>
      <c r="CS260">
        <f t="shared" si="375"/>
        <v>0</v>
      </c>
      <c r="CT260">
        <f t="shared" si="376"/>
        <v>0</v>
      </c>
      <c r="CU260">
        <f t="shared" si="377"/>
        <v>0</v>
      </c>
      <c r="CV260">
        <f t="shared" si="378"/>
        <v>0</v>
      </c>
      <c r="CW260">
        <f t="shared" si="379"/>
        <v>0.24</v>
      </c>
      <c r="CX260">
        <f t="shared" si="380"/>
        <v>0.22799999999999998</v>
      </c>
      <c r="CY260">
        <f t="shared" si="381"/>
        <v>3</v>
      </c>
      <c r="CZ260" t="str">
        <f t="shared" si="382"/>
        <v>L3</v>
      </c>
      <c r="DA260" cm="1">
        <f t="array" ref="DA260">IFERROR(IF(BL260=2,_xlfn.IFS(BH260=3,VLOOKUP(BF260,Справочная_двигатели,3,FALSE),BH260=1,VLOOKUP(BF260,Справочная_двигатели,5,TRUE)),0),0)</f>
        <v>0</v>
      </c>
      <c r="DB260">
        <f>IFERROR(IF(BL260=3,VLOOKUP(BF260,Справочная_ЛЭД,2,TRUE),0),0)</f>
        <v>0</v>
      </c>
      <c r="DC260">
        <f t="shared" si="383"/>
        <v>0</v>
      </c>
      <c r="DD260" t="str">
        <f t="shared" si="384"/>
        <v>L2</v>
      </c>
      <c r="DE260" t="str" cm="1">
        <f t="array" ref="DE260">IF(D260="","",IFERROR(INDEX({"I особая","I","II","III"},MATCH(TRIM(AA260&amp;""),{"I особая","I","II","III"},0)),"III"))</f>
        <v>II</v>
      </c>
      <c r="DF260" t="str">
        <f>IF(D260="","",IF(TRIM(AB260&amp;"")&lt;&gt;"",IF(LOWER(TRIM(AB260&amp;""))="да","да","нет"),IF(IFERROR(_xlfn.XLOOKUP(AT260,Коды_код,Коды_пожарная),"")="да","да","нет")))</f>
        <v>нет</v>
      </c>
      <c r="DG260" t="str">
        <f t="shared" si="385"/>
        <v/>
      </c>
      <c r="DH260" t="str">
        <f t="shared" si="386"/>
        <v>основная</v>
      </c>
      <c r="DI260">
        <f t="shared" si="387"/>
        <v>1</v>
      </c>
      <c r="DJ260" t="str" cm="1">
        <f t="array" ref="DJ260">IF(D260="","",_xlfn.LET(_xlpm.t,IFERROR(_xlfn.XLOOKUP(1,(Шины[Шина]=DH260)*(((Шины[Щит]=A260)+(Шины[Щит]=""))&gt;0),Шины[Тип]),"")&amp;"",IF(_xlpm.t&lt;&gt;"",_xlpm.t,IF(ISNUMBER(SEARCH("ИБП",DH260)),"ИБП",IF(ISNUMBER(SEARCH("ДГУ",DH260)),"ДГУ","Ввод "&amp;DI260)))))</f>
        <v>Ввод 1</v>
      </c>
      <c r="DK260" t="str">
        <f t="shared" si="388"/>
        <v>Ввод 1</v>
      </c>
      <c r="DL260" t="str">
        <f>IF(D260="","",IF(OR(DJ260="ИБП",DJ260="ДГУ"),"I особая",IF(DJ260="Одиночная","III",_xlfn.XLOOKUP(A260,Щиты[Щит],Щиты[Категория шины «Ввод»],"III"))))</f>
        <v>II</v>
      </c>
      <c r="DM260">
        <f>IF(D260="",0,IFERROR(MATCH(DE260,{"III","II","I","I особая"},0),1))</f>
        <v>2</v>
      </c>
      <c r="DN260">
        <f t="shared" si="389"/>
        <v>2</v>
      </c>
      <c r="DO260" t="str">
        <f>IF(D260="","",IF(DM260&gt;IFERROR(MATCH(DL260,{"III","II","I","I особая"},0),1),"НЕ ОБЕСПЕЧЕНА","ОК"))</f>
        <v>ОК</v>
      </c>
      <c r="DP260" t="str">
        <f>IF(A260="","",_xlfn.XLOOKUP(A260,Щиты[Щит],Щиты[Путь],""))</f>
        <v>|ГРЩ-ЖД|ЩР-1|</v>
      </c>
      <c r="DQ260" t="str">
        <f>IF(D260="","",IF(Z260&lt;&gt;"",Z260,IF(IFERROR(_xlfn.XLOOKUP(AT260,Коды_код,Коды_вид)&amp;"","")="","Прочее",_xlfn.XLOOKUP(AT260,Коды_код,Коды_вид)&amp;"")))</f>
        <v>Розеточная сеть и бытовые приборы</v>
      </c>
      <c r="DR260">
        <f>IF(BD260="","",INT((BD260-1)/Столбцов_на_лист)+1)</f>
        <v>3</v>
      </c>
      <c r="DS260" t="str">
        <f t="shared" si="390"/>
        <v>ВВГнг(А)-LS (3х2,5) L=42-0,35%</v>
      </c>
      <c r="DT260">
        <f t="shared" si="391"/>
        <v>0.24</v>
      </c>
      <c r="DU260">
        <f t="shared" si="392"/>
        <v>1.1000000000000001</v>
      </c>
      <c r="DV260">
        <f t="shared" si="393"/>
        <v>1</v>
      </c>
      <c r="DW260">
        <f>IF(AT260="",0,_xlfn.LET(_xlpm.v,IFERROR(VLOOKUP(D260,УГО_спр,3,FALSE),IFERROR(VLOOKUP(AT260,УГО_спр,3,FALSE),IFERROR(VLOOKUP(LEFT(AT260,2),УГО_спр,3,FALSE),""))),IF(_xlpm.v="да",30,IF(ISNUMBER(_xlpm.v),_xlpm.v,0))))</f>
        <v>30</v>
      </c>
      <c r="DX260">
        <f t="shared" si="394"/>
        <v>0</v>
      </c>
      <c r="DY260">
        <f>IF(BD260="","",IF(AD260&lt;&gt;"",COUNTIFS(A$3:A260,A260,AD$3:AD260,"?*"),IF(OR(OR(AS260=1,A260&lt;&gt;A259),AL260="вручную"),"",IF(AS260=1,"",DZ259))))</f>
        <v>36</v>
      </c>
      <c r="DZ260">
        <f t="shared" si="395"/>
        <v>36</v>
      </c>
      <c r="EA260">
        <f>IF(D260="",0,MAX(IFERROR(--X260,0),IFERROR(--VLOOKUP(D260,УГО_спр,4,FALSE),IFERROR(--VLOOKUP(AT260,УГО_спр,4,FALSE),IFERROR(--VLOOKUP(LEFT(AT260,2),УГО_спр,4,FALSE),0)))))</f>
        <v>16</v>
      </c>
      <c r="EB260">
        <f>IF(D260="","",IFERROR(LOOKUP(INDEX(CHOOSE(BR260,Iдоп_1ж,Iдоп_2ж,Iдоп_3ж),MATCH(BS260,Iдоп_S,0))*BP260*BQ260,{6,10,16,20,25,32,40,50,63,80,100,125,160,200,250,315,400,500,630}),""))</f>
        <v>25</v>
      </c>
      <c r="EC260">
        <f>IF(AD260="","",SUMIFS(Линии[_Ток схемы],Линии[_гр.],DY260,Линии[Щит],A260,Линии[_в кабель выше],0))</f>
        <v>1.1000000000000001</v>
      </c>
      <c r="ED260">
        <f>IF(AD260="","",IFERROR(VLOOKUP(EC260,Автомат_номиналы,2,TRUE),""))</f>
        <v>6</v>
      </c>
      <c r="EE260">
        <f>IF(AD260="","",MAX(N(ED260),_xlfn.MAXIFS(Линии[_мин. по типу],Линии[_гр.],DY260,Линии[Щит],A260)))</f>
        <v>16</v>
      </c>
      <c r="EF260">
        <f>IF(AD260="","",_xlfn.MINIFS(Линии[_макс. автомат по кабелю],Линии[_гр.],DY260,Линии[Щит],A260))</f>
        <v>25</v>
      </c>
      <c r="EG260">
        <f>IF(AD260="","",MAX(1,_xlfn.MAXIFS(Линии[_фаз],Линии[_гр.],DY260,Линии[Щит],A260)))</f>
        <v>1</v>
      </c>
      <c r="EH260">
        <f>IF(AD260="","",IF(AND(AD260&lt;&gt;"авто",AD260&lt;&gt;"+"),IF(ISNUMBER(SEARCH("мА",AD260)),IFERROR(--TRIM(RIGHT(SUBSTITUTE(LEFT(AD260,SEARCH("мА",AD260)-1)," ",REPT(" ",9)),6)),30),0),IF(AE260="нет",0,IF(ISNUMBER(AE260),AE260,IF(AE260="да",30,_xlfn.MINIFS(Линии[_дифзащита по коду, мА],Линии[_гр.],DY260,Линии[Щит],A260,Линии[_дифзащита по коду, мА],"&gt;0"))))))</f>
        <v>30</v>
      </c>
      <c r="EI260">
        <f t="shared" si="396"/>
        <v>1</v>
      </c>
      <c r="EJ260" t="str">
        <f t="shared" si="397"/>
        <v>QFD36</v>
      </c>
      <c r="EK260" t="str">
        <f t="shared" si="398"/>
        <v>QFD36</v>
      </c>
      <c r="EL260" t="str">
        <f t="shared" si="399"/>
        <v/>
      </c>
      <c r="EM260">
        <f t="shared" si="400"/>
        <v>0</v>
      </c>
      <c r="EN260">
        <f>IF(AD260="","",IF(EM260=1,MAX(EE260,Мин_автомат_БП),EE260))</f>
        <v>16</v>
      </c>
      <c r="EO260" t="str">
        <f t="shared" si="401"/>
        <v>2P</v>
      </c>
      <c r="EP260" t="str">
        <f t="shared" si="402"/>
        <v>2P С16А 30мА</v>
      </c>
      <c r="EQ260">
        <f t="shared" si="403"/>
        <v>16</v>
      </c>
      <c r="ER260" t="str">
        <f>IF(OR(AI260="",AI260="-"),"",IFERROR(VLOOKUP(AI260,Модули_спр,2,FALSE),"R"))</f>
        <v/>
      </c>
      <c r="ES260" t="str">
        <f>IF(ER260="","",ER260&amp;"."&amp;COUNTIFS(A$3:A260,A260,ER$3:ER260,ER260))</f>
        <v/>
      </c>
      <c r="ET260" t="str">
        <f t="shared" si="404"/>
        <v/>
      </c>
      <c r="EU260" t="str">
        <f t="shared" si="405"/>
        <v/>
      </c>
      <c r="EV260" t="str">
        <f t="shared" si="406"/>
        <v/>
      </c>
      <c r="EW260" t="str">
        <f t="shared" si="407"/>
        <v/>
      </c>
      <c r="EX260">
        <f t="shared" si="408"/>
        <v>1</v>
      </c>
      <c r="EY260" t="str">
        <f>IF(AK260="нет","",IF(AK260&lt;&gt;"",AK260,IF(EX260=1,"XT"&amp;COUNTIFS(A$3:A260,A260,EX$3:EX260,1),"")))</f>
        <v>XT36</v>
      </c>
      <c r="EZ260" t="str">
        <f t="shared" si="409"/>
        <v>QFD36</v>
      </c>
      <c r="FA260" t="str">
        <f t="shared" si="410"/>
        <v/>
      </c>
      <c r="FB260" t="str">
        <f t="shared" si="411"/>
        <v>ok</v>
      </c>
      <c r="FC260" t="str">
        <f>IF(OR(EV260="",ET260=""),"",IF(EV260&gt;IFERROR(VLOOKUP(EU260,Модули_спр,3,FALSE),99),"ЛИШНИЙ КАНАЛ",IF(AND(AJ260&lt;&gt;"=",COUNTIFS(Линии[_модуль гр.],ET260,Линии[Канал (итог)],EV260,Линии[Канал],"&lt;&gt;=",Линии[Щит],A260)&gt;1),"ДУБЛЬ КАНАЛА","")))</f>
        <v/>
      </c>
      <c r="FD260">
        <f t="shared" si="412"/>
        <v>16</v>
      </c>
      <c r="FE260" t="str">
        <f t="shared" si="413"/>
        <v>2P С16А 30мА</v>
      </c>
      <c r="FF260">
        <f t="shared" si="414"/>
        <v>1</v>
      </c>
      <c r="FG260">
        <f t="shared" si="415"/>
        <v>30</v>
      </c>
      <c r="FH260" t="str">
        <f t="shared" si="416"/>
        <v/>
      </c>
      <c r="FI260">
        <f t="shared" si="417"/>
        <v>10</v>
      </c>
      <c r="FJ260" t="str">
        <f t="shared" si="418"/>
        <v/>
      </c>
      <c r="FK260" t="str">
        <f>IF(AND(D260="",EZ260=""),"",_xlfn.TEXTJOIN("; ",TRUE,IF(AND(D260&lt;&gt;"",DD260=""),"нет фазы",""),IF(AND(D260&lt;&gt;"",N(DT260)=0,CN260&lt;&gt;"Нет"),"нет мощности",""),IF(AND(EY260&lt;&gt;"",COUNTIFS(Линии[Щит],A260,Линии[Клемма (итог)],EY260)&gt;1),"дубль клеммы "&amp;EY260,""),IF(AND(FB260&lt;&gt;"",FB260&lt;&gt;"ok"),FB260,""),IF(FC260&lt;&gt;"",FC260,""),IF(AND(ISNUMBER(SEARCH("(5х",DS260)),N(DV260)=1),"5 жил на 1 фазе",""),IF(AND(AT260="R",AD260&lt;&gt;"",OR(N(EH260)=0,N(EH260)&gt;30)),"розетка без дифзащиты до 30 мА",""),IFERROR(IF(AND(ISNUMBER(CD260),CD260&gt;CE260),"потери "&amp;FIXED(CD260,1)&amp;" % &gt; "&amp;CE260&amp;" %",""),""),IFERROR(IF(LEFT(FJ260,4)="мало","Iкз мало — отключение &gt; 0,4 с",""),""),IF(AND(D260&lt;&gt;"",BD260=""),"не на схеме","")))</f>
        <v/>
      </c>
      <c r="FL260">
        <f>IF(AD260="","",_xlfn.LET(_xlpm.t,IFERROR(_xlfn.XLOOKUP(EP260,Каталог!$U$4:$U$500,Каталог!$G$4:$G$500),""),_xlpm.k,SEARCH("кА",_xlpm.t),IFERROR(--TRIM(RIGHT(SUBSTITUTE(MID(_xlpm.t,MAX(1,_xlpm.k-4),_xlpm.k-MAX(1,_xlpm.k-4))," ",REPT(" ",9)),5)),"")))</f>
        <v>6</v>
      </c>
      <c r="FM260" t="str">
        <f>IF(OR(FL260="",AD260=""),"",IF(_xlfn.XLOOKUP(A260,Щиты[Щит],Щиты[Iкз max на шинах, кА],"")="","",IF(FL260&lt;_xlfn.XLOOKUP(A260,Щиты[Щит],Щиты[Iкз max на шинах, кА]),"Icu "&amp;FL260&amp;" кА &lt; Iкз max","ok")))</f>
        <v/>
      </c>
      <c r="FN260" t="str">
        <f t="shared" si="419"/>
        <v>QFD36|XT36</v>
      </c>
      <c r="FO260" t="str">
        <f t="shared" si="420"/>
        <v>QFD36|XT36|кабель ВВГнг(А)-LS (3х2,5) → Розеточная группа Первый этаж Пом. №015A</v>
      </c>
      <c r="FP260" t="str" cm="1">
        <f t="array" ref="FP260">IF(FO260="","",_xlfn.LET(_xlpm.nd,_xlfn.TEXTSPLIT(FO260,"|"),IF(COLUMNS(_xlpm.nd)&gt;1,A260&amp;"¦"&amp;INDEX(_xlpm.nd,1)&amp;"¦"&amp;INDEX(_xlpm.nd,2),"")))</f>
        <v>ЩР-1¦QFD36¦XT36</v>
      </c>
      <c r="FQ260" t="str">
        <f t="shared" si="421"/>
        <v>R.1.015A.1¦Розеточная группа Первый этаж Пом. №015A</v>
      </c>
      <c r="FR260" t="str" cm="1">
        <f t="array" ref="FR260">IF(FO260="","",_xlfn.LET(_xlpm.nd,_xlfn.TEXTSPLIT(FO260,"|"),IF(COLUMNS(_xlpm.nd)&gt;2,A260&amp;"¦"&amp;INDEX(_xlpm.nd,2)&amp;"¦"&amp;INDEX(_xlpm.nd,3),"")))</f>
        <v>ЩР-1¦XT36¦кабель ВВГнг(А)-LS (3х2,5) → Розеточная группа Первый этаж Пом. №015A</v>
      </c>
      <c r="FS260" t="str">
        <f t="shared" si="422"/>
        <v>R.1.015A.1¦Розеточная группа Первый этаж Пом. №015A</v>
      </c>
      <c r="FT260" t="str" cm="1">
        <f t="array" ref="FT260">IF(FO260="","",_xlfn.LET(_xlpm.nd,_xlfn.TEXTSPLIT(FO260,"|"),IF(COLUMNS(_xlpm.nd)&gt;3,A260&amp;"¦"&amp;INDEX(_xlpm.nd,3)&amp;"¦"&amp;INDEX(_xlpm.nd,4),"")))</f>
        <v/>
      </c>
      <c r="FU260" t="str">
        <f t="shared" si="423"/>
        <v/>
      </c>
      <c r="FV260" t="str" cm="1">
        <f t="array" ref="FV260">IF(FO260="","",_xlfn.LET(_xlpm.nd,_xlfn.TEXTSPLIT(FO260,"|"),IF(COLUMNS(_xlpm.nd)&gt;4,A260&amp;"¦"&amp;INDEX(_xlpm.nd,4)&amp;"¦"&amp;INDEX(_xlpm.nd,5),"")))</f>
        <v/>
      </c>
      <c r="FW260" t="str">
        <f t="shared" si="424"/>
        <v/>
      </c>
      <c r="FX260" t="str" cm="1">
        <f t="array" ref="FX260">IF(FO260="","",_xlfn.LET(_xlpm.nd,_xlfn.TEXTSPLIT(FO260,"|"),IF(COLUMNS(_xlpm.nd)&gt;5,A260&amp;"¦"&amp;INDEX(_xlpm.nd,5)&amp;"¦"&amp;INDEX(_xlpm.nd,6),"")))</f>
        <v/>
      </c>
      <c r="FY260" t="str">
        <f t="shared" si="425"/>
        <v/>
      </c>
      <c r="FZ260" t="str" cm="1">
        <f t="array" ref="FZ260">IF(FO260="","",_xlfn.LET(_xlpm.nd,_xlfn.TEXTSPLIT(FO260,"|"),IF(COLUMNS(_xlpm.nd)&gt;6,A260&amp;"¦"&amp;INDEX(_xlpm.nd,6)&amp;"¦"&amp;INDEX(_xlpm.nd,7),"")))</f>
        <v/>
      </c>
      <c r="GA260" t="str">
        <f t="shared" si="426"/>
        <v/>
      </c>
      <c r="GB260" t="str">
        <f t="shared" si="427"/>
        <v/>
      </c>
      <c r="GC260" t="str">
        <f t="shared" si="428"/>
        <v>QFD36 → XT36</v>
      </c>
      <c r="GD260">
        <f t="shared" si="429"/>
        <v>1</v>
      </c>
      <c r="GE260">
        <f t="shared" si="430"/>
        <v>0</v>
      </c>
      <c r="GF260">
        <f t="shared" si="431"/>
        <v>1</v>
      </c>
      <c r="GG260" t="str">
        <f t="shared" si="432"/>
        <v/>
      </c>
      <c r="GH260" t="str">
        <f t="shared" si="433"/>
        <v/>
      </c>
      <c r="GI260" t="str">
        <f t="shared" si="434"/>
        <v/>
      </c>
      <c r="GJ260" t="str">
        <f t="shared" si="435"/>
        <v/>
      </c>
      <c r="GK260" t="str">
        <f>IF(D260="","",IFERROR(VLOOKUP(D260,УГО_спр,2,FALSE),IFERROR(VLOOKUP(AT260,УГО_спр,2,FALSE),IFERROR(VLOOKUP(LEFT(AT260,2),УГО_спр,2,FALSE),""))))</f>
        <v>Розетка</v>
      </c>
      <c r="GL260" t="str">
        <f>IF(D260="","",IF(OR(GK260="",GK260=0),"BOX",IFERROR(IF(VLOOKUP(GK260,УГО_блоки,3,FALSE)&amp;""&lt;&gt;"",VLOOKUP(GK260,УГО_блоки,3,FALSE),VLOOKUP(GK260,УГО_блоки,2,FALSE)),GK260)))</f>
        <v>SOCKET</v>
      </c>
      <c r="GM260">
        <f t="shared" si="436"/>
        <v>1</v>
      </c>
      <c r="GN260" t="str">
        <f>IF(EP260="","",IF(COUNTIF(EP$3:EP260,EP260)=1,MAX(GN$2:GN259)+1,""))</f>
        <v/>
      </c>
      <c r="GO260" t="str">
        <f>IF(AF260="","",IF(COUNTIF(AF$3:AF260,AF260)+COUNTIF(AG$2:AG259,AF260)+COUNTIF(AH$2:AH259,AF260)=1,MAX(GO$2:GQ259)+1,""))</f>
        <v/>
      </c>
      <c r="GP260" t="str">
        <f>IF(AG260="","",IF(COUNTIF(AF$3:AF260,AG260)+COUNTIF(AG$3:AG260,AG260)+COUNTIF(AH$2:AH259,AG260)=1,MAX(GO$2:GQ259,GO260)+1,""))</f>
        <v/>
      </c>
      <c r="GQ260" t="str">
        <f>IF(AH260="","",IF(COUNTIF(AF$3:AF260,AH260)+COUNTIF(AG$3:AG260,AH260)+COUNTIF(AH$3:AH260,AH260)=1,MAX(GO$2:GQ259,GO260,GP260)+1,""))</f>
        <v/>
      </c>
      <c r="GR260" t="str">
        <f t="shared" si="437"/>
        <v>3х2,5</v>
      </c>
      <c r="GS260" t="str">
        <f>IF(GR260="","",IF(COUNTIF(GR$3:GR260,GR260)=1,MAX(GS$2:GS259)+1,""))</f>
        <v/>
      </c>
      <c r="GT260" t="str">
        <f>IF(ES260="","",COUNTIF(ES$3:ES260,"?*"))</f>
        <v/>
      </c>
      <c r="GU260" t="str">
        <f>IF(OR(ES260="",EU260=""),"",IF(COUNTIFS(ES$3:ES260,"?*",EU$3:EU260,EU260)=1,MAX(GU$2:GU259)+1,""))</f>
        <v/>
      </c>
      <c r="GV260">
        <f t="shared" si="438"/>
        <v>0</v>
      </c>
      <c r="GW260">
        <f>IF(D260="","",COUNTIF(D$3:D260,"?*"))</f>
        <v>258</v>
      </c>
      <c r="GX260">
        <f>IF(EX260&lt;&gt;1,0,_xlfn.LET(_xlpm.k,MAX(IFERROR(--VLOOKUP(D260,УГО_спр,5,FALSE),0),IFERROR(--VLOOKUP(AT260,УГО_спр,5,FALSE),0),IFERROR(--VLOOKUP(LEFT(AT260,2),УГО_спр,5,FALSE),0)),IF(_xlpm.k&gt;0,_xlpm.k,IF(IFERROR(--LEFT(SUBSTITUTE(GR260,"x","х"),FIND("х",SUBSTITUTE(GR260,"x","х"))-1),3)&gt;3,Каталог!$S$9,1))))</f>
        <v>1</v>
      </c>
      <c r="GY260">
        <f t="shared" si="439"/>
        <v>0</v>
      </c>
    </row>
    <row r="261" spans="1:207" x14ac:dyDescent="0.3">
      <c r="A261" t="s">
        <v>762</v>
      </c>
      <c r="B261">
        <v>49</v>
      </c>
      <c r="C261" t="str">
        <f>IF(BD261="","",IF(BE261="вводной узел","узел ","")&amp;"л."&amp;(INT((BD261-1)/Столбцов_на_лист)+1)&amp;" / "&amp;(MOD(BD261-1,Столбцов_на_лист)+1))</f>
        <v>л.3 / 15</v>
      </c>
      <c r="D261" t="s">
        <v>1583</v>
      </c>
      <c r="E261" s="133" t="str">
        <f t="shared" si="352"/>
        <v>Розеточная группа Первый этаж Пом. №016A</v>
      </c>
      <c r="G261">
        <v>0.48</v>
      </c>
      <c r="H261">
        <v>3</v>
      </c>
      <c r="I261">
        <v>1</v>
      </c>
      <c r="J261">
        <v>230</v>
      </c>
      <c r="K261" t="s">
        <v>566</v>
      </c>
      <c r="O261">
        <v>2</v>
      </c>
      <c r="P261">
        <v>48</v>
      </c>
      <c r="Q261">
        <v>20</v>
      </c>
      <c r="R261">
        <v>25</v>
      </c>
      <c r="S261">
        <v>18</v>
      </c>
      <c r="U261" t="s">
        <v>11</v>
      </c>
      <c r="V261">
        <v>3</v>
      </c>
      <c r="W261">
        <v>2.5</v>
      </c>
      <c r="Z261" t="s">
        <v>565</v>
      </c>
      <c r="AA261" t="s">
        <v>818</v>
      </c>
      <c r="AD261" t="s">
        <v>517</v>
      </c>
      <c r="AR261" t="str">
        <f t="shared" si="353"/>
        <v/>
      </c>
      <c r="AS261" cm="1">
        <f t="array" ref="AS261">ROW()-ROW(Линии[#Headers])</f>
        <v>259</v>
      </c>
      <c r="AT261" t="str">
        <f t="shared" si="354"/>
        <v>R</v>
      </c>
      <c r="AU261" t="str">
        <f t="shared" si="355"/>
        <v>1.016A.1</v>
      </c>
      <c r="AV261" t="str">
        <f t="shared" si="356"/>
        <v>1</v>
      </c>
      <c r="AW261" t="str">
        <f t="shared" si="357"/>
        <v>016A.1</v>
      </c>
      <c r="AX261" t="str">
        <f t="shared" si="358"/>
        <v>016A</v>
      </c>
      <c r="AY261" t="str">
        <f>IF(D261="","",IF(ISERROR(SEARCH(".",D261)),IFERROR(VLOOKUP(D261,Потребители_обозначение,2,FALSE)&amp;"",""),IFERROR(IF(VLOOKUP(AT261,Потребители_обозначение,4,FALSE)=1,VLOOKUP(AT261,Потребители_обозначение,2,FALSE)&amp;" "&amp;VLOOKUP(AV261,Этаж_обозначение,2,FALSE)&amp;" Пом. №"&amp;AX261,VLOOKUP(AT261,Потребители_обозначение,2,FALSE)&amp;" Шлейф №"&amp;AV261),IFERROR(VLOOKUP(D261,Потребители_обозначение,2,FALSE),""))))</f>
        <v>Розеточная группа Первый этаж Пом. №016A</v>
      </c>
      <c r="AZ261" t="str">
        <f t="shared" si="359"/>
        <v>Розеточная группа Первый этаж Пом. №016A</v>
      </c>
      <c r="BA261" t="str">
        <f>IF(F261&lt;&gt;"",F261,IF(AND(D261&lt;&gt;"",D261&lt;&gt;A261,ISNUMBER(_xlfn.XMATCH(D261,Щиты[Щит]))),D261,""))</f>
        <v/>
      </c>
      <c r="BB261">
        <f>IFERROR(_xlfn.XMATCH(A261,Щиты[Щит]),0)</f>
        <v>10</v>
      </c>
      <c r="BC261">
        <f>IFERROR(N(_xlfn.XLOOKUP(A261,Щиты[Щит],Щиты[Мест под вводной узел])),15)</f>
        <v>8</v>
      </c>
      <c r="BD261">
        <f t="shared" si="360"/>
        <v>49</v>
      </c>
      <c r="BE261" t="str">
        <f t="shared" si="361"/>
        <v>линии</v>
      </c>
      <c r="BF261">
        <f>IF(D261="","",IF(BA261&lt;&gt;"",IFERROR(_xlfn.XLOOKUP(BA261,Щиты[Щит],Щиты[Руст, кВт]),0),N(G261)))</f>
        <v>0.48</v>
      </c>
      <c r="BG261">
        <f>IF(J261&lt;&gt;"",J261,IF(D261="","",IFERROR(IF(VLOOKUP(AT261,Потребители_обозначение,8,FALSE)=0,"",VLOOKUP(AT261,Потребители_обозначение,8,FALSE)),"")))</f>
        <v>230</v>
      </c>
      <c r="BH261">
        <f>IF(I261&lt;&gt;"",I261,IF(D261="","",IFERROR(IF(VLOOKUP(AT261,Потребители_обозначение,9,FALSE)=0,"",VLOOKUP(AT261,Потребители_обозначение,9,FALSE)),"")))</f>
        <v>1</v>
      </c>
      <c r="BI261" t="str">
        <f>IF(U261&lt;&gt;"",U261,IF(D261="","",IFERROR(IF(VLOOKUP(AT261,Потребители_обозначение,6,FALSE)=0,"",VLOOKUP(AT261,Потребители_обозначение,6,FALSE)),"")))</f>
        <v>мс</v>
      </c>
      <c r="BJ261">
        <f>IF(V261&lt;&gt;"",V261,IF(D261="","",IFERROR(IF(VLOOKUP(AT261,Потребители_обозначение,7,FALSE)=0,"",VLOOKUP(AT261,Потребители_обозначение,7,FALSE)),"")))</f>
        <v>3</v>
      </c>
      <c r="BK261">
        <f>IF(W261&lt;&gt;"",W261,IF(D261="","",IFERROR(IF(VLOOKUP(AT261,Потребители_обозначение,10,FALSE)=0,"",VLOOKUP(AT261,Потребители_обозначение,10,FALSE)),"")))</f>
        <v>2.5</v>
      </c>
      <c r="BL261">
        <f>IFERROR(VLOOKUP(AT261,Потребители_обозначение,5,FALSE),0)</f>
        <v>1</v>
      </c>
      <c r="BM261" cm="1">
        <f t="array" ref="BM261">IF(D261="","",IF(BA261&lt;&gt;"",IFERROR(_xlfn.XLOOKUP(BA261,Щиты[Щит],Щиты[cos φ]),0.95),IF(ISNUMBER(M261),M261,IFERROR(IF(BL261=2,_xlfn.IFS(BH261=3,VLOOKUP(BF261,Справочная_двигатели,8,FALSE),BH261=1,VLOOKUP(BF261,Справочная_двигатели,10,TRUE)),IF(AND(Методика="нормы 2026",CN261="Сил"),0.8,0.95)),0.95))))</f>
        <v>0.95</v>
      </c>
      <c r="BN261" cm="1">
        <f t="array" ref="BN261">IF(D261="","",IF(BA261&lt;&gt;"",IFERROR(_xlfn.XLOOKUP(BA261,Щиты[Щит],Щиты[Iр, А]),""),IFERROR(_xlfn.IFS(BH261=1,BF261/((Uн_лин/SQRT(3))*BM261),BH261=3,BF261/(SQRT(3)*Uн_лин*BM261)),"")))</f>
        <v>2.1878536516659501</v>
      </c>
      <c r="BO261">
        <f>IF(D261="","",IF(N(X261)=0,IFERROR(VLOOKUP(BN261,Автомат_номиналы,2,TRUE),""),X261))</f>
        <v>6</v>
      </c>
      <c r="BP261">
        <f t="shared" si="362"/>
        <v>1</v>
      </c>
      <c r="BQ261">
        <f>IF(ISNUMBER(Y261),Y261,К_прокл)</f>
        <v>1</v>
      </c>
      <c r="BR261">
        <f t="shared" si="363"/>
        <v>2</v>
      </c>
      <c r="BS261" cm="1">
        <f t="array" ref="BS261">IF(D261="","",IF(N(BK261)&lt;&gt;0,BK261,IFERROR(_xlfn.LET(_xlpm.need,BO261/(BP261*BQ261),_xlpm.t,CHOOSE(BR261,Iдоп_1ж,Iдоп_2ж,Iдоп_3ж),_xlpm.k,_xlfn.XMATCH(_xlpm.need,_xlpm.t,1),IF(ISNA(_xlpm.k),"Не исп",INDEX(Iдоп_S,_xlpm.k))),"Не исп")))</f>
        <v>2.5</v>
      </c>
      <c r="BT261">
        <f>IFERROR(VLOOKUP(BS261,Кабель_сопротивление,3,FALSE),"")</f>
        <v>2.2499999999999999E-2</v>
      </c>
      <c r="BU261">
        <f>IFERROR(VLOOKUP(BS261,Кабель_сопротивление,2,FALSE),"")</f>
        <v>0.1</v>
      </c>
      <c r="BV261">
        <f t="shared" si="364"/>
        <v>48</v>
      </c>
      <c r="BW261">
        <f>IF(D261="","",IFERROR(IF(VLOOKUP(AT261,Потребители_обозначение,4,FALSE)=1,VLOOKUP(AT261,Потребители_обозначение,3,FALSE)*(H261*2-1)+BV261+VLOOKUP(AV261,Этаж_обозначение,3,FALSE)+VLOOKUP(AV261,Этаж_обозначение,4,FALSE),VLOOKUP(AT261,Потребители_обозначение,3,FALSE)*(H261*2-1)+BV261),BV261))</f>
        <v>63</v>
      </c>
      <c r="BX261">
        <f t="shared" si="365"/>
        <v>25</v>
      </c>
      <c r="BY261">
        <f t="shared" si="366"/>
        <v>18</v>
      </c>
      <c r="BZ261">
        <f t="shared" si="367"/>
        <v>2</v>
      </c>
      <c r="CA261">
        <f t="shared" si="368"/>
        <v>0.31</v>
      </c>
      <c r="CB261">
        <f t="shared" si="369"/>
        <v>2.365520495303135</v>
      </c>
      <c r="CC261">
        <f>IFERROR(ROUNDUP(CB261/((Uн_лин/SQRT(3))*1000)*100,2),"")</f>
        <v>1.03</v>
      </c>
      <c r="CD261">
        <f>IF(ISNUMBER(CC261),CC261+IFERROR(_xlfn.XLOOKUP(A261,Щиты[Щит],Щиты[ΔU до шин, %]),0),"")</f>
        <v>2.2800000000000002</v>
      </c>
      <c r="CE261">
        <f>IF(D261="","",IF(IFERROR(VLOOKUP(AT261,УГО_спр,2,FALSE),"")="Светильник",3,4)+IF(Методика="нормы 2026",MIN(0.5,MAX(0,N(BW261)-100)*0.005),0))</f>
        <v>4</v>
      </c>
      <c r="CF261" t="str">
        <f>IFERROR(VLOOKUP(BI261,Кабель_обозначение,2,FALSE),"")</f>
        <v>ВВГнг(А)-LS</v>
      </c>
      <c r="CG261" t="str">
        <f>IFERROR(IF(VLOOKUP(BI261,Кабель_обозначение,3,FALSE)=1,CF261&amp;" ("&amp;BJ261&amp;"х"&amp;BS261&amp;")",CF261),"")</f>
        <v>ВВГнг(А)-LS (3х2,5)</v>
      </c>
      <c r="CH261" t="str">
        <f t="shared" si="370"/>
        <v>ВВГнг(А)-LS (3х2,5)
L=63-1,03%</v>
      </c>
      <c r="CI261">
        <f>IFERROR(2*ρкз_Cu*BW261/BS261,"")</f>
        <v>1.32552</v>
      </c>
      <c r="CJ261">
        <f t="shared" si="371"/>
        <v>0.441</v>
      </c>
      <c r="CK261" t="str">
        <f>IFERROR(IF(OR(D261="",NOT(ISNUMBER(BS261)),N(BW261)=0),"",_xlfn.XLOOKUP(A261,Щиты[Щит],Щиты[Zпетли на шинах, Ом])+CI261),"")</f>
        <v/>
      </c>
      <c r="CL261" t="str">
        <f>IF(ISNUMBER(CK261),c_min*(Uн_лин*1000/SQRT(3))/CK261,"")</f>
        <v/>
      </c>
      <c r="CM261" t="str">
        <f>IFERROR(IF(OR(D261="",NOT(ISNUMBER(BS261))),"",1.05*(Uн_лин*1000/SQRT(3))/(_xlfn.XLOOKUP(A261,Щиты[Щит],Щиты[Zmax на шинах, Ом])+CJ261)/1000),"")</f>
        <v/>
      </c>
      <c r="CN261" t="str">
        <f>IF(D261="","",IF(BA261&lt;&gt;"","Щит",IF(K261&lt;&gt;"",K261,IF(ISNUMBER(L261),"Сил",IF(IFERROR(_xlfn.XLOOKUP(AT261,Коды_код,Коды_группа)&amp;"","")="","Быт",_xlfn.XLOOKUP(AT261,Коды_код,Коды_группа)&amp;"")))))</f>
        <v>Быт</v>
      </c>
      <c r="CO261">
        <f>IF(CN261="Щит","щит",IF(CN261="","",IF(CN261="Быт",IFERROR(_xlfn.XLOOKUP(A261,Щиты[Щит],Щиты[Кс быт]),1),IF(CN261="Сил",IF(ISNUMBER(L261),L261,IF(Методика="нормы 2026",IFERROR(_xlfn.XLOOKUP(A261,Щиты[Щит],Щиты[Кс силовых (табл. 7.5)]),1),1)),IF(OR(CN261="Пост",CN261="Отоп"),1,IF(CN261="ВНГ",0.7,0))))))</f>
        <v>0.57830000000000004</v>
      </c>
      <c r="CP261">
        <f t="shared" si="372"/>
        <v>1</v>
      </c>
      <c r="CQ261">
        <f t="shared" si="373"/>
        <v>0.48</v>
      </c>
      <c r="CR261">
        <f t="shared" si="374"/>
        <v>0.48</v>
      </c>
      <c r="CS261">
        <f t="shared" si="375"/>
        <v>0</v>
      </c>
      <c r="CT261">
        <f t="shared" si="376"/>
        <v>0</v>
      </c>
      <c r="CU261">
        <f t="shared" si="377"/>
        <v>0</v>
      </c>
      <c r="CV261">
        <f t="shared" si="378"/>
        <v>0</v>
      </c>
      <c r="CW261">
        <f t="shared" si="379"/>
        <v>0.48</v>
      </c>
      <c r="CX261">
        <f t="shared" si="380"/>
        <v>0.45599999999999996</v>
      </c>
      <c r="CY261">
        <f t="shared" si="381"/>
        <v>1</v>
      </c>
      <c r="CZ261" t="str">
        <f t="shared" si="382"/>
        <v>L1</v>
      </c>
      <c r="DA261" cm="1">
        <f t="array" ref="DA261">IFERROR(IF(BL261=2,_xlfn.IFS(BH261=3,VLOOKUP(BF261,Справочная_двигатели,3,FALSE),BH261=1,VLOOKUP(BF261,Справочная_двигатели,5,TRUE)),0),0)</f>
        <v>0</v>
      </c>
      <c r="DB261">
        <f>IFERROR(IF(BL261=3,VLOOKUP(BF261,Справочная_ЛЭД,2,TRUE),0),0)</f>
        <v>0</v>
      </c>
      <c r="DC261">
        <f t="shared" si="383"/>
        <v>0</v>
      </c>
      <c r="DD261" t="str">
        <f t="shared" si="384"/>
        <v>L2</v>
      </c>
      <c r="DE261" t="str" cm="1">
        <f t="array" ref="DE261">IF(D261="","",IFERROR(INDEX({"I особая","I","II","III"},MATCH(TRIM(AA261&amp;""),{"I особая","I","II","III"},0)),"III"))</f>
        <v>II</v>
      </c>
      <c r="DF261" t="str">
        <f>IF(D261="","",IF(TRIM(AB261&amp;"")&lt;&gt;"",IF(LOWER(TRIM(AB261&amp;""))="да","да","нет"),IF(IFERROR(_xlfn.XLOOKUP(AT261,Коды_код,Коды_пожарная),"")="да","да","нет")))</f>
        <v>нет</v>
      </c>
      <c r="DG261" t="str">
        <f t="shared" si="385"/>
        <v/>
      </c>
      <c r="DH261" t="str">
        <f t="shared" si="386"/>
        <v>основная</v>
      </c>
      <c r="DI261">
        <f t="shared" si="387"/>
        <v>1</v>
      </c>
      <c r="DJ261" t="str" cm="1">
        <f t="array" ref="DJ261">IF(D261="","",_xlfn.LET(_xlpm.t,IFERROR(_xlfn.XLOOKUP(1,(Шины[Шина]=DH261)*(((Шины[Щит]=A261)+(Шины[Щит]=""))&gt;0),Шины[Тип]),"")&amp;"",IF(_xlpm.t&lt;&gt;"",_xlpm.t,IF(ISNUMBER(SEARCH("ИБП",DH261)),"ИБП",IF(ISNUMBER(SEARCH("ДГУ",DH261)),"ДГУ","Ввод "&amp;DI261)))))</f>
        <v>Ввод 1</v>
      </c>
      <c r="DK261" t="str">
        <f t="shared" si="388"/>
        <v>Ввод 1</v>
      </c>
      <c r="DL261" t="str">
        <f>IF(D261="","",IF(OR(DJ261="ИБП",DJ261="ДГУ"),"I особая",IF(DJ261="Одиночная","III",_xlfn.XLOOKUP(A261,Щиты[Щит],Щиты[Категория шины «Ввод»],"III"))))</f>
        <v>II</v>
      </c>
      <c r="DM261">
        <f>IF(D261="",0,IFERROR(MATCH(DE261,{"III","II","I","I особая"},0),1))</f>
        <v>2</v>
      </c>
      <c r="DN261">
        <f t="shared" si="389"/>
        <v>2</v>
      </c>
      <c r="DO261" t="str">
        <f>IF(D261="","",IF(DM261&gt;IFERROR(MATCH(DL261,{"III","II","I","I особая"},0),1),"НЕ ОБЕСПЕЧЕНА","ОК"))</f>
        <v>ОК</v>
      </c>
      <c r="DP261" t="str">
        <f>IF(A261="","",_xlfn.XLOOKUP(A261,Щиты[Щит],Щиты[Путь],""))</f>
        <v>|ГРЩ-ЖД|ЩР-1|</v>
      </c>
      <c r="DQ261" t="str">
        <f>IF(D261="","",IF(Z261&lt;&gt;"",Z261,IF(IFERROR(_xlfn.XLOOKUP(AT261,Коды_код,Коды_вид)&amp;"","")="","Прочее",_xlfn.XLOOKUP(AT261,Коды_код,Коды_вид)&amp;"")))</f>
        <v>Розеточная сеть и бытовые приборы</v>
      </c>
      <c r="DR261">
        <f>IF(BD261="","",INT((BD261-1)/Столбцов_на_лист)+1)</f>
        <v>3</v>
      </c>
      <c r="DS261" t="str">
        <f t="shared" si="390"/>
        <v>ВВГнг(А)-LS (3х2,5) L=63-1,03%</v>
      </c>
      <c r="DT261">
        <f t="shared" si="391"/>
        <v>0.48</v>
      </c>
      <c r="DU261">
        <f t="shared" si="392"/>
        <v>2.19</v>
      </c>
      <c r="DV261">
        <f t="shared" si="393"/>
        <v>1</v>
      </c>
      <c r="DW261">
        <f>IF(AT261="",0,_xlfn.LET(_xlpm.v,IFERROR(VLOOKUP(D261,УГО_спр,3,FALSE),IFERROR(VLOOKUP(AT261,УГО_спр,3,FALSE),IFERROR(VLOOKUP(LEFT(AT261,2),УГО_спр,3,FALSE),""))),IF(_xlpm.v="да",30,IF(ISNUMBER(_xlpm.v),_xlpm.v,0))))</f>
        <v>30</v>
      </c>
      <c r="DX261">
        <f t="shared" si="394"/>
        <v>0</v>
      </c>
      <c r="DY261">
        <f>IF(BD261="","",IF(AD261&lt;&gt;"",COUNTIFS(A$3:A261,A261,AD$3:AD261,"?*"),IF(OR(OR(AS261=1,A261&lt;&gt;A260),AL261="вручную"),"",IF(AS261=1,"",DZ260))))</f>
        <v>37</v>
      </c>
      <c r="DZ261">
        <f t="shared" si="395"/>
        <v>37</v>
      </c>
      <c r="EA261">
        <f>IF(D261="",0,MAX(IFERROR(--X261,0),IFERROR(--VLOOKUP(D261,УГО_спр,4,FALSE),IFERROR(--VLOOKUP(AT261,УГО_спр,4,FALSE),IFERROR(--VLOOKUP(LEFT(AT261,2),УГО_спр,4,FALSE),0)))))</f>
        <v>16</v>
      </c>
      <c r="EB261">
        <f>IF(D261="","",IFERROR(LOOKUP(INDEX(CHOOSE(BR261,Iдоп_1ж,Iдоп_2ж,Iдоп_3ж),MATCH(BS261,Iдоп_S,0))*BP261*BQ261,{6,10,16,20,25,32,40,50,63,80,100,125,160,200,250,315,400,500,630}),""))</f>
        <v>25</v>
      </c>
      <c r="EC261">
        <f>IF(AD261="","",SUMIFS(Линии[_Ток схемы],Линии[_гр.],DY261,Линии[Щит],A261,Линии[_в кабель выше],0))</f>
        <v>2.19</v>
      </c>
      <c r="ED261">
        <f>IF(AD261="","",IFERROR(VLOOKUP(EC261,Автомат_номиналы,2,TRUE),""))</f>
        <v>6</v>
      </c>
      <c r="EE261">
        <f>IF(AD261="","",MAX(N(ED261),_xlfn.MAXIFS(Линии[_мин. по типу],Линии[_гр.],DY261,Линии[Щит],A261)))</f>
        <v>16</v>
      </c>
      <c r="EF261">
        <f>IF(AD261="","",_xlfn.MINIFS(Линии[_макс. автомат по кабелю],Линии[_гр.],DY261,Линии[Щит],A261))</f>
        <v>25</v>
      </c>
      <c r="EG261">
        <f>IF(AD261="","",MAX(1,_xlfn.MAXIFS(Линии[_фаз],Линии[_гр.],DY261,Линии[Щит],A261)))</f>
        <v>1</v>
      </c>
      <c r="EH261">
        <f>IF(AD261="","",IF(AND(AD261&lt;&gt;"авто",AD261&lt;&gt;"+"),IF(ISNUMBER(SEARCH("мА",AD261)),IFERROR(--TRIM(RIGHT(SUBSTITUTE(LEFT(AD261,SEARCH("мА",AD261)-1)," ",REPT(" ",9)),6)),30),0),IF(AE261="нет",0,IF(ISNUMBER(AE261),AE261,IF(AE261="да",30,_xlfn.MINIFS(Линии[_дифзащита по коду, мА],Линии[_гр.],DY261,Линии[Щит],A261,Линии[_дифзащита по коду, мА],"&gt;0"))))))</f>
        <v>30</v>
      </c>
      <c r="EI261">
        <f t="shared" si="396"/>
        <v>1</v>
      </c>
      <c r="EJ261" t="str">
        <f t="shared" si="397"/>
        <v>QFD37</v>
      </c>
      <c r="EK261" t="str">
        <f t="shared" si="398"/>
        <v>QFD37</v>
      </c>
      <c r="EL261" t="str">
        <f t="shared" si="399"/>
        <v/>
      </c>
      <c r="EM261">
        <f t="shared" si="400"/>
        <v>0</v>
      </c>
      <c r="EN261">
        <f>IF(AD261="","",IF(EM261=1,MAX(EE261,Мин_автомат_БП),EE261))</f>
        <v>16</v>
      </c>
      <c r="EO261" t="str">
        <f t="shared" si="401"/>
        <v>2P</v>
      </c>
      <c r="EP261" t="str">
        <f t="shared" si="402"/>
        <v>2P С16А 30мА</v>
      </c>
      <c r="EQ261">
        <f t="shared" si="403"/>
        <v>16</v>
      </c>
      <c r="ER261" t="str">
        <f>IF(OR(AI261="",AI261="-"),"",IFERROR(VLOOKUP(AI261,Модули_спр,2,FALSE),"R"))</f>
        <v/>
      </c>
      <c r="ES261" t="str">
        <f>IF(ER261="","",ER261&amp;"."&amp;COUNTIFS(A$3:A261,A261,ER$3:ER261,ER261))</f>
        <v/>
      </c>
      <c r="ET261" t="str">
        <f t="shared" si="404"/>
        <v/>
      </c>
      <c r="EU261" t="str">
        <f t="shared" si="405"/>
        <v/>
      </c>
      <c r="EV261" t="str">
        <f t="shared" si="406"/>
        <v/>
      </c>
      <c r="EW261" t="str">
        <f t="shared" si="407"/>
        <v/>
      </c>
      <c r="EX261">
        <f t="shared" si="408"/>
        <v>1</v>
      </c>
      <c r="EY261" t="str">
        <f>IF(AK261="нет","",IF(AK261&lt;&gt;"",AK261,IF(EX261=1,"XT"&amp;COUNTIFS(A$3:A261,A261,EX$3:EX261,1),"")))</f>
        <v>XT37</v>
      </c>
      <c r="EZ261" t="str">
        <f t="shared" si="409"/>
        <v>QFD37</v>
      </c>
      <c r="FA261" t="str">
        <f t="shared" si="410"/>
        <v/>
      </c>
      <c r="FB261" t="str">
        <f t="shared" si="411"/>
        <v>ok</v>
      </c>
      <c r="FC261" t="str">
        <f>IF(OR(EV261="",ET261=""),"",IF(EV261&gt;IFERROR(VLOOKUP(EU261,Модули_спр,3,FALSE),99),"ЛИШНИЙ КАНАЛ",IF(AND(AJ261&lt;&gt;"=",COUNTIFS(Линии[_модуль гр.],ET261,Линии[Канал (итог)],EV261,Линии[Канал],"&lt;&gt;=",Линии[Щит],A261)&gt;1),"ДУБЛЬ КАНАЛА","")))</f>
        <v/>
      </c>
      <c r="FD261">
        <f t="shared" si="412"/>
        <v>16</v>
      </c>
      <c r="FE261" t="str">
        <f t="shared" si="413"/>
        <v>2P С16А 30мА</v>
      </c>
      <c r="FF261">
        <f t="shared" si="414"/>
        <v>1</v>
      </c>
      <c r="FG261">
        <f t="shared" si="415"/>
        <v>30</v>
      </c>
      <c r="FH261" t="str">
        <f t="shared" si="416"/>
        <v/>
      </c>
      <c r="FI261">
        <f t="shared" si="417"/>
        <v>10</v>
      </c>
      <c r="FJ261" t="str">
        <f t="shared" si="418"/>
        <v/>
      </c>
      <c r="FK261" t="str">
        <f>IF(AND(D261="",EZ261=""),"",_xlfn.TEXTJOIN("; ",TRUE,IF(AND(D261&lt;&gt;"",DD261=""),"нет фазы",""),IF(AND(D261&lt;&gt;"",N(DT261)=0,CN261&lt;&gt;"Нет"),"нет мощности",""),IF(AND(EY261&lt;&gt;"",COUNTIFS(Линии[Щит],A261,Линии[Клемма (итог)],EY261)&gt;1),"дубль клеммы "&amp;EY261,""),IF(AND(FB261&lt;&gt;"",FB261&lt;&gt;"ok"),FB261,""),IF(FC261&lt;&gt;"",FC261,""),IF(AND(ISNUMBER(SEARCH("(5х",DS261)),N(DV261)=1),"5 жил на 1 фазе",""),IF(AND(AT261="R",AD261&lt;&gt;"",OR(N(EH261)=0,N(EH261)&gt;30)),"розетка без дифзащиты до 30 мА",""),IFERROR(IF(AND(ISNUMBER(CD261),CD261&gt;CE261),"потери "&amp;FIXED(CD261,1)&amp;" % &gt; "&amp;CE261&amp;" %",""),""),IFERROR(IF(LEFT(FJ261,4)="мало","Iкз мало — отключение &gt; 0,4 с",""),""),IF(AND(D261&lt;&gt;"",BD261=""),"не на схеме","")))</f>
        <v/>
      </c>
      <c r="FL261">
        <f>IF(AD261="","",_xlfn.LET(_xlpm.t,IFERROR(_xlfn.XLOOKUP(EP261,Каталог!$U$4:$U$500,Каталог!$G$4:$G$500),""),_xlpm.k,SEARCH("кА",_xlpm.t),IFERROR(--TRIM(RIGHT(SUBSTITUTE(MID(_xlpm.t,MAX(1,_xlpm.k-4),_xlpm.k-MAX(1,_xlpm.k-4))," ",REPT(" ",9)),5)),"")))</f>
        <v>6</v>
      </c>
      <c r="FM261" t="str">
        <f>IF(OR(FL261="",AD261=""),"",IF(_xlfn.XLOOKUP(A261,Щиты[Щит],Щиты[Iкз max на шинах, кА],"")="","",IF(FL261&lt;_xlfn.XLOOKUP(A261,Щиты[Щит],Щиты[Iкз max на шинах, кА]),"Icu "&amp;FL261&amp;" кА &lt; Iкз max","ok")))</f>
        <v/>
      </c>
      <c r="FN261" t="str">
        <f t="shared" si="419"/>
        <v>QFD37|XT37</v>
      </c>
      <c r="FO261" t="str">
        <f t="shared" si="420"/>
        <v>QFD37|XT37|кабель ВВГнг(А)-LS (3х2,5) → Розеточная группа Первый этаж Пом. №016A</v>
      </c>
      <c r="FP261" t="str" cm="1">
        <f t="array" ref="FP261">IF(FO261="","",_xlfn.LET(_xlpm.nd,_xlfn.TEXTSPLIT(FO261,"|"),IF(COLUMNS(_xlpm.nd)&gt;1,A261&amp;"¦"&amp;INDEX(_xlpm.nd,1)&amp;"¦"&amp;INDEX(_xlpm.nd,2),"")))</f>
        <v>ЩР-1¦QFD37¦XT37</v>
      </c>
      <c r="FQ261" t="str">
        <f t="shared" si="421"/>
        <v>R.1.016A.1¦Розеточная группа Первый этаж Пом. №016A</v>
      </c>
      <c r="FR261" t="str" cm="1">
        <f t="array" ref="FR261">IF(FO261="","",_xlfn.LET(_xlpm.nd,_xlfn.TEXTSPLIT(FO261,"|"),IF(COLUMNS(_xlpm.nd)&gt;2,A261&amp;"¦"&amp;INDEX(_xlpm.nd,2)&amp;"¦"&amp;INDEX(_xlpm.nd,3),"")))</f>
        <v>ЩР-1¦XT37¦кабель ВВГнг(А)-LS (3х2,5) → Розеточная группа Первый этаж Пом. №016A</v>
      </c>
      <c r="FS261" t="str">
        <f t="shared" si="422"/>
        <v>R.1.016A.1¦Розеточная группа Первый этаж Пом. №016A</v>
      </c>
      <c r="FT261" t="str" cm="1">
        <f t="array" ref="FT261">IF(FO261="","",_xlfn.LET(_xlpm.nd,_xlfn.TEXTSPLIT(FO261,"|"),IF(COLUMNS(_xlpm.nd)&gt;3,A261&amp;"¦"&amp;INDEX(_xlpm.nd,3)&amp;"¦"&amp;INDEX(_xlpm.nd,4),"")))</f>
        <v/>
      </c>
      <c r="FU261" t="str">
        <f t="shared" si="423"/>
        <v/>
      </c>
      <c r="FV261" t="str" cm="1">
        <f t="array" ref="FV261">IF(FO261="","",_xlfn.LET(_xlpm.nd,_xlfn.TEXTSPLIT(FO261,"|"),IF(COLUMNS(_xlpm.nd)&gt;4,A261&amp;"¦"&amp;INDEX(_xlpm.nd,4)&amp;"¦"&amp;INDEX(_xlpm.nd,5),"")))</f>
        <v/>
      </c>
      <c r="FW261" t="str">
        <f t="shared" si="424"/>
        <v/>
      </c>
      <c r="FX261" t="str" cm="1">
        <f t="array" ref="FX261">IF(FO261="","",_xlfn.LET(_xlpm.nd,_xlfn.TEXTSPLIT(FO261,"|"),IF(COLUMNS(_xlpm.nd)&gt;5,A261&amp;"¦"&amp;INDEX(_xlpm.nd,5)&amp;"¦"&amp;INDEX(_xlpm.nd,6),"")))</f>
        <v/>
      </c>
      <c r="FY261" t="str">
        <f t="shared" si="425"/>
        <v/>
      </c>
      <c r="FZ261" t="str" cm="1">
        <f t="array" ref="FZ261">IF(FO261="","",_xlfn.LET(_xlpm.nd,_xlfn.TEXTSPLIT(FO261,"|"),IF(COLUMNS(_xlpm.nd)&gt;6,A261&amp;"¦"&amp;INDEX(_xlpm.nd,6)&amp;"¦"&amp;INDEX(_xlpm.nd,7),"")))</f>
        <v/>
      </c>
      <c r="GA261" t="str">
        <f t="shared" si="426"/>
        <v/>
      </c>
      <c r="GB261" t="str">
        <f t="shared" si="427"/>
        <v/>
      </c>
      <c r="GC261" t="str">
        <f t="shared" si="428"/>
        <v>QFD37 → XT37</v>
      </c>
      <c r="GD261">
        <f t="shared" si="429"/>
        <v>1</v>
      </c>
      <c r="GE261">
        <f t="shared" si="430"/>
        <v>0</v>
      </c>
      <c r="GF261">
        <f t="shared" si="431"/>
        <v>1</v>
      </c>
      <c r="GG261" t="str">
        <f t="shared" si="432"/>
        <v/>
      </c>
      <c r="GH261" t="str">
        <f t="shared" si="433"/>
        <v/>
      </c>
      <c r="GI261" t="str">
        <f t="shared" si="434"/>
        <v/>
      </c>
      <c r="GJ261" t="str">
        <f t="shared" si="435"/>
        <v/>
      </c>
      <c r="GK261" t="str">
        <f>IF(D261="","",IFERROR(VLOOKUP(D261,УГО_спр,2,FALSE),IFERROR(VLOOKUP(AT261,УГО_спр,2,FALSE),IFERROR(VLOOKUP(LEFT(AT261,2),УГО_спр,2,FALSE),""))))</f>
        <v>Розетка</v>
      </c>
      <c r="GL261" t="str">
        <f>IF(D261="","",IF(OR(GK261="",GK261=0),"BOX",IFERROR(IF(VLOOKUP(GK261,УГО_блоки,3,FALSE)&amp;""&lt;&gt;"",VLOOKUP(GK261,УГО_блоки,3,FALSE),VLOOKUP(GK261,УГО_блоки,2,FALSE)),GK261)))</f>
        <v>SOCKET</v>
      </c>
      <c r="GM261">
        <f t="shared" si="436"/>
        <v>1</v>
      </c>
      <c r="GN261" t="str">
        <f>IF(EP261="","",IF(COUNTIF(EP$3:EP261,EP261)=1,MAX(GN$2:GN260)+1,""))</f>
        <v/>
      </c>
      <c r="GO261" t="str">
        <f>IF(AF261="","",IF(COUNTIF(AF$3:AF261,AF261)+COUNTIF(AG$2:AG260,AF261)+COUNTIF(AH$2:AH260,AF261)=1,MAX(GO$2:GQ260)+1,""))</f>
        <v/>
      </c>
      <c r="GP261" t="str">
        <f>IF(AG261="","",IF(COUNTIF(AF$3:AF261,AG261)+COUNTIF(AG$3:AG261,AG261)+COUNTIF(AH$2:AH260,AG261)=1,MAX(GO$2:GQ260,GO261)+1,""))</f>
        <v/>
      </c>
      <c r="GQ261" t="str">
        <f>IF(AH261="","",IF(COUNTIF(AF$3:AF261,AH261)+COUNTIF(AG$3:AG261,AH261)+COUNTIF(AH$3:AH261,AH261)=1,MAX(GO$2:GQ260,GO261,GP261)+1,""))</f>
        <v/>
      </c>
      <c r="GR261" t="str">
        <f t="shared" si="437"/>
        <v>3х2,5</v>
      </c>
      <c r="GS261" t="str">
        <f>IF(GR261="","",IF(COUNTIF(GR$3:GR261,GR261)=1,MAX(GS$2:GS260)+1,""))</f>
        <v/>
      </c>
      <c r="GT261" t="str">
        <f>IF(ES261="","",COUNTIF(ES$3:ES261,"?*"))</f>
        <v/>
      </c>
      <c r="GU261" t="str">
        <f>IF(OR(ES261="",EU261=""),"",IF(COUNTIFS(ES$3:ES261,"?*",EU$3:EU261,EU261)=1,MAX(GU$2:GU260)+1,""))</f>
        <v/>
      </c>
      <c r="GV261">
        <f t="shared" si="438"/>
        <v>0</v>
      </c>
      <c r="GW261">
        <f>IF(D261="","",COUNTIF(D$3:D261,"?*"))</f>
        <v>259</v>
      </c>
      <c r="GX261">
        <f>IF(EX261&lt;&gt;1,0,_xlfn.LET(_xlpm.k,MAX(IFERROR(--VLOOKUP(D261,УГО_спр,5,FALSE),0),IFERROR(--VLOOKUP(AT261,УГО_спр,5,FALSE),0),IFERROR(--VLOOKUP(LEFT(AT261,2),УГО_спр,5,FALSE),0)),IF(_xlpm.k&gt;0,_xlpm.k,IF(IFERROR(--LEFT(SUBSTITUTE(GR261,"x","х"),FIND("х",SUBSTITUTE(GR261,"x","х"))-1),3)&gt;3,Каталог!$S$9,1))))</f>
        <v>1</v>
      </c>
      <c r="GY261">
        <f t="shared" si="439"/>
        <v>0</v>
      </c>
    </row>
    <row r="262" spans="1:207" x14ac:dyDescent="0.3">
      <c r="A262" t="s">
        <v>762</v>
      </c>
      <c r="B262">
        <v>50</v>
      </c>
      <c r="C262" t="str">
        <f>IF(BD262="","",IF(BE262="вводной узел","узел ","")&amp;"л."&amp;(INT((BD262-1)/Столбцов_на_лист)+1)&amp;" / "&amp;(MOD(BD262-1,Столбцов_на_лист)+1))</f>
        <v>л.3 / 16</v>
      </c>
      <c r="D262" t="s">
        <v>1584</v>
      </c>
      <c r="E262" s="133" t="str">
        <f t="shared" si="352"/>
        <v>Розеточная группа Первый этаж Пом. №017A</v>
      </c>
      <c r="G262">
        <v>0.24</v>
      </c>
      <c r="H262">
        <v>2</v>
      </c>
      <c r="I262">
        <v>1</v>
      </c>
      <c r="J262">
        <v>230</v>
      </c>
      <c r="K262" t="s">
        <v>566</v>
      </c>
      <c r="O262">
        <v>1</v>
      </c>
      <c r="P262">
        <v>50</v>
      </c>
      <c r="Q262">
        <v>20</v>
      </c>
      <c r="R262">
        <v>31</v>
      </c>
      <c r="S262">
        <v>8</v>
      </c>
      <c r="U262" t="s">
        <v>11</v>
      </c>
      <c r="V262">
        <v>3</v>
      </c>
      <c r="W262">
        <v>2.5</v>
      </c>
      <c r="Z262" t="s">
        <v>565</v>
      </c>
      <c r="AA262" t="s">
        <v>818</v>
      </c>
      <c r="AD262" t="s">
        <v>517</v>
      </c>
      <c r="AR262" t="str">
        <f t="shared" si="353"/>
        <v/>
      </c>
      <c r="AS262" cm="1">
        <f t="array" ref="AS262">ROW()-ROW(Линии[#Headers])</f>
        <v>260</v>
      </c>
      <c r="AT262" t="str">
        <f t="shared" si="354"/>
        <v>R</v>
      </c>
      <c r="AU262" t="str">
        <f t="shared" si="355"/>
        <v>1.017A.1</v>
      </c>
      <c r="AV262" t="str">
        <f t="shared" si="356"/>
        <v>1</v>
      </c>
      <c r="AW262" t="str">
        <f t="shared" si="357"/>
        <v>017A.1</v>
      </c>
      <c r="AX262" t="str">
        <f t="shared" si="358"/>
        <v>017A</v>
      </c>
      <c r="AY262" t="str">
        <f>IF(D262="","",IF(ISERROR(SEARCH(".",D262)),IFERROR(VLOOKUP(D262,Потребители_обозначение,2,FALSE)&amp;"",""),IFERROR(IF(VLOOKUP(AT262,Потребители_обозначение,4,FALSE)=1,VLOOKUP(AT262,Потребители_обозначение,2,FALSE)&amp;" "&amp;VLOOKUP(AV262,Этаж_обозначение,2,FALSE)&amp;" Пом. №"&amp;AX262,VLOOKUP(AT262,Потребители_обозначение,2,FALSE)&amp;" Шлейф №"&amp;AV262),IFERROR(VLOOKUP(D262,Потребители_обозначение,2,FALSE),""))))</f>
        <v>Розеточная группа Первый этаж Пом. №017A</v>
      </c>
      <c r="AZ262" t="str">
        <f t="shared" si="359"/>
        <v>Розеточная группа Первый этаж Пом. №017A</v>
      </c>
      <c r="BA262" t="str">
        <f>IF(F262&lt;&gt;"",F262,IF(AND(D262&lt;&gt;"",D262&lt;&gt;A262,ISNUMBER(_xlfn.XMATCH(D262,Щиты[Щит]))),D262,""))</f>
        <v/>
      </c>
      <c r="BB262">
        <f>IFERROR(_xlfn.XMATCH(A262,Щиты[Щит]),0)</f>
        <v>10</v>
      </c>
      <c r="BC262">
        <f>IFERROR(N(_xlfn.XLOOKUP(A262,Щиты[Щит],Щиты[Мест под вводной узел])),15)</f>
        <v>8</v>
      </c>
      <c r="BD262">
        <f t="shared" si="360"/>
        <v>50</v>
      </c>
      <c r="BE262" t="str">
        <f t="shared" si="361"/>
        <v>линии</v>
      </c>
      <c r="BF262">
        <f>IF(D262="","",IF(BA262&lt;&gt;"",IFERROR(_xlfn.XLOOKUP(BA262,Щиты[Щит],Щиты[Руст, кВт]),0),N(G262)))</f>
        <v>0.24</v>
      </c>
      <c r="BG262">
        <f>IF(J262&lt;&gt;"",J262,IF(D262="","",IFERROR(IF(VLOOKUP(AT262,Потребители_обозначение,8,FALSE)=0,"",VLOOKUP(AT262,Потребители_обозначение,8,FALSE)),"")))</f>
        <v>230</v>
      </c>
      <c r="BH262">
        <f>IF(I262&lt;&gt;"",I262,IF(D262="","",IFERROR(IF(VLOOKUP(AT262,Потребители_обозначение,9,FALSE)=0,"",VLOOKUP(AT262,Потребители_обозначение,9,FALSE)),"")))</f>
        <v>1</v>
      </c>
      <c r="BI262" t="str">
        <f>IF(U262&lt;&gt;"",U262,IF(D262="","",IFERROR(IF(VLOOKUP(AT262,Потребители_обозначение,6,FALSE)=0,"",VLOOKUP(AT262,Потребители_обозначение,6,FALSE)),"")))</f>
        <v>мс</v>
      </c>
      <c r="BJ262">
        <f>IF(V262&lt;&gt;"",V262,IF(D262="","",IFERROR(IF(VLOOKUP(AT262,Потребители_обозначение,7,FALSE)=0,"",VLOOKUP(AT262,Потребители_обозначение,7,FALSE)),"")))</f>
        <v>3</v>
      </c>
      <c r="BK262">
        <f>IF(W262&lt;&gt;"",W262,IF(D262="","",IFERROR(IF(VLOOKUP(AT262,Потребители_обозначение,10,FALSE)=0,"",VLOOKUP(AT262,Потребители_обозначение,10,FALSE)),"")))</f>
        <v>2.5</v>
      </c>
      <c r="BL262">
        <f>IFERROR(VLOOKUP(AT262,Потребители_обозначение,5,FALSE),0)</f>
        <v>1</v>
      </c>
      <c r="BM262" cm="1">
        <f t="array" ref="BM262">IF(D262="","",IF(BA262&lt;&gt;"",IFERROR(_xlfn.XLOOKUP(BA262,Щиты[Щит],Щиты[cos φ]),0.95),IF(ISNUMBER(M262),M262,IFERROR(IF(BL262=2,_xlfn.IFS(BH262=3,VLOOKUP(BF262,Справочная_двигатели,8,FALSE),BH262=1,VLOOKUP(BF262,Справочная_двигатели,10,TRUE)),IF(AND(Методика="нормы 2026",CN262="Сил"),0.8,0.95)),0.95))))</f>
        <v>0.95</v>
      </c>
      <c r="BN262" cm="1">
        <f t="array" ref="BN262">IF(D262="","",IF(BA262&lt;&gt;"",IFERROR(_xlfn.XLOOKUP(BA262,Щиты[Щит],Щиты[Iр, А]),""),IFERROR(_xlfn.IFS(BH262=1,BF262/((Uн_лин/SQRT(3))*BM262),BH262=3,BF262/(SQRT(3)*Uн_лин*BM262)),"")))</f>
        <v>1.0939268258329751</v>
      </c>
      <c r="BO262">
        <f>IF(D262="","",IF(N(X262)=0,IFERROR(VLOOKUP(BN262,Автомат_номиналы,2,TRUE),""),X262))</f>
        <v>6</v>
      </c>
      <c r="BP262">
        <f t="shared" si="362"/>
        <v>1</v>
      </c>
      <c r="BQ262">
        <f>IF(ISNUMBER(Y262),Y262,К_прокл)</f>
        <v>1</v>
      </c>
      <c r="BR262">
        <f t="shared" si="363"/>
        <v>2</v>
      </c>
      <c r="BS262" cm="1">
        <f t="array" ref="BS262">IF(D262="","",IF(N(BK262)&lt;&gt;0,BK262,IFERROR(_xlfn.LET(_xlpm.need,BO262/(BP262*BQ262),_xlpm.t,CHOOSE(BR262,Iдоп_1ж,Iдоп_2ж,Iдоп_3ж),_xlpm.k,_xlfn.XMATCH(_xlpm.need,_xlpm.t,1),IF(ISNA(_xlpm.k),"Не исп",INDEX(Iдоп_S,_xlpm.k))),"Не исп")))</f>
        <v>2.5</v>
      </c>
      <c r="BT262">
        <f>IFERROR(VLOOKUP(BS262,Кабель_сопротивление,3,FALSE),"")</f>
        <v>2.2499999999999999E-2</v>
      </c>
      <c r="BU262">
        <f>IFERROR(VLOOKUP(BS262,Кабель_сопротивление,2,FALSE),"")</f>
        <v>0.1</v>
      </c>
      <c r="BV262">
        <f t="shared" si="364"/>
        <v>50</v>
      </c>
      <c r="BW262">
        <f>IF(D262="","",IFERROR(IF(VLOOKUP(AT262,Потребители_обозначение,4,FALSE)=1,VLOOKUP(AT262,Потребители_обозначение,3,FALSE)*(H262*2-1)+BV262+VLOOKUP(AV262,Этаж_обозначение,3,FALSE)+VLOOKUP(AV262,Этаж_обозначение,4,FALSE),VLOOKUP(AT262,Потребители_обозначение,3,FALSE)*(H262*2-1)+BV262),BV262))</f>
        <v>59</v>
      </c>
      <c r="BX262">
        <f t="shared" si="365"/>
        <v>31</v>
      </c>
      <c r="BY262">
        <f t="shared" si="366"/>
        <v>8</v>
      </c>
      <c r="BZ262">
        <f t="shared" si="367"/>
        <v>2</v>
      </c>
      <c r="CA262">
        <f t="shared" si="368"/>
        <v>0.31</v>
      </c>
      <c r="CB262">
        <f t="shared" si="369"/>
        <v>1.1076643589117852</v>
      </c>
      <c r="CC262">
        <f>IFERROR(ROUNDUP(CB262/((Uн_лин/SQRT(3))*1000)*100,2),"")</f>
        <v>0.48</v>
      </c>
      <c r="CD262">
        <f>IF(ISNUMBER(CC262),CC262+IFERROR(_xlfn.XLOOKUP(A262,Щиты[Щит],Щиты[ΔU до шин, %]),0),"")</f>
        <v>1.73</v>
      </c>
      <c r="CE262">
        <f>IF(D262="","",IF(IFERROR(VLOOKUP(AT262,УГО_спр,2,FALSE),"")="Светильник",3,4)+IF(Методика="нормы 2026",MIN(0.5,MAX(0,N(BW262)-100)*0.005),0))</f>
        <v>4</v>
      </c>
      <c r="CF262" t="str">
        <f>IFERROR(VLOOKUP(BI262,Кабель_обозначение,2,FALSE),"")</f>
        <v>ВВГнг(А)-LS</v>
      </c>
      <c r="CG262" t="str">
        <f>IFERROR(IF(VLOOKUP(BI262,Кабель_обозначение,3,FALSE)=1,CF262&amp;" ("&amp;BJ262&amp;"х"&amp;BS262&amp;")",CF262),"")</f>
        <v>ВВГнг(А)-LS (3х2,5)</v>
      </c>
      <c r="CH262" t="str">
        <f t="shared" si="370"/>
        <v>ВВГнг(А)-LS (3х2,5)
L=59-0,48%</v>
      </c>
      <c r="CI262">
        <f>IFERROR(2*ρкз_Cu*BW262/BS262,"")</f>
        <v>1.24136</v>
      </c>
      <c r="CJ262">
        <f t="shared" si="371"/>
        <v>0.41300000000000009</v>
      </c>
      <c r="CK262" t="str">
        <f>IFERROR(IF(OR(D262="",NOT(ISNUMBER(BS262)),N(BW262)=0),"",_xlfn.XLOOKUP(A262,Щиты[Щит],Щиты[Zпетли на шинах, Ом])+CI262),"")</f>
        <v/>
      </c>
      <c r="CL262" t="str">
        <f>IF(ISNUMBER(CK262),c_min*(Uн_лин*1000/SQRT(3))/CK262,"")</f>
        <v/>
      </c>
      <c r="CM262" t="str">
        <f>IFERROR(IF(OR(D262="",NOT(ISNUMBER(BS262))),"",1.05*(Uн_лин*1000/SQRT(3))/(_xlfn.XLOOKUP(A262,Щиты[Щит],Щиты[Zmax на шинах, Ом])+CJ262)/1000),"")</f>
        <v/>
      </c>
      <c r="CN262" t="str">
        <f>IF(D262="","",IF(BA262&lt;&gt;"","Щит",IF(K262&lt;&gt;"",K262,IF(ISNUMBER(L262),"Сил",IF(IFERROR(_xlfn.XLOOKUP(AT262,Коды_код,Коды_группа)&amp;"","")="","Быт",_xlfn.XLOOKUP(AT262,Коды_код,Коды_группа)&amp;"")))))</f>
        <v>Быт</v>
      </c>
      <c r="CO262">
        <f>IF(CN262="Щит","щит",IF(CN262="","",IF(CN262="Быт",IFERROR(_xlfn.XLOOKUP(A262,Щиты[Щит],Щиты[Кс быт]),1),IF(CN262="Сил",IF(ISNUMBER(L262),L262,IF(Методика="нормы 2026",IFERROR(_xlfn.XLOOKUP(A262,Щиты[Щит],Щиты[Кс силовых (табл. 7.5)]),1),1)),IF(OR(CN262="Пост",CN262="Отоп"),1,IF(CN262="ВНГ",0.7,0))))))</f>
        <v>0.57830000000000004</v>
      </c>
      <c r="CP262">
        <f t="shared" si="372"/>
        <v>1</v>
      </c>
      <c r="CQ262">
        <f t="shared" si="373"/>
        <v>0.24</v>
      </c>
      <c r="CR262">
        <f t="shared" si="374"/>
        <v>0.24</v>
      </c>
      <c r="CS262">
        <f t="shared" si="375"/>
        <v>0</v>
      </c>
      <c r="CT262">
        <f t="shared" si="376"/>
        <v>0</v>
      </c>
      <c r="CU262">
        <f t="shared" si="377"/>
        <v>0</v>
      </c>
      <c r="CV262">
        <f t="shared" si="378"/>
        <v>0</v>
      </c>
      <c r="CW262">
        <f t="shared" si="379"/>
        <v>0.24</v>
      </c>
      <c r="CX262">
        <f t="shared" si="380"/>
        <v>0.22799999999999998</v>
      </c>
      <c r="CY262">
        <f t="shared" si="381"/>
        <v>2</v>
      </c>
      <c r="CZ262" t="str">
        <f t="shared" si="382"/>
        <v>L2</v>
      </c>
      <c r="DA262" cm="1">
        <f t="array" ref="DA262">IFERROR(IF(BL262=2,_xlfn.IFS(BH262=3,VLOOKUP(BF262,Справочная_двигатели,3,FALSE),BH262=1,VLOOKUP(BF262,Справочная_двигатели,5,TRUE)),0),0)</f>
        <v>0</v>
      </c>
      <c r="DB262">
        <f>IFERROR(IF(BL262=3,VLOOKUP(BF262,Справочная_ЛЭД,2,TRUE),0),0)</f>
        <v>0</v>
      </c>
      <c r="DC262">
        <f t="shared" si="383"/>
        <v>0</v>
      </c>
      <c r="DD262" t="str">
        <f t="shared" si="384"/>
        <v>L1</v>
      </c>
      <c r="DE262" t="str" cm="1">
        <f t="array" ref="DE262">IF(D262="","",IFERROR(INDEX({"I особая","I","II","III"},MATCH(TRIM(AA262&amp;""),{"I особая","I","II","III"},0)),"III"))</f>
        <v>II</v>
      </c>
      <c r="DF262" t="str">
        <f>IF(D262="","",IF(TRIM(AB262&amp;"")&lt;&gt;"",IF(LOWER(TRIM(AB262&amp;""))="да","да","нет"),IF(IFERROR(_xlfn.XLOOKUP(AT262,Коды_код,Коды_пожарная),"")="да","да","нет")))</f>
        <v>нет</v>
      </c>
      <c r="DG262" t="str">
        <f t="shared" si="385"/>
        <v/>
      </c>
      <c r="DH262" t="str">
        <f t="shared" si="386"/>
        <v>основная</v>
      </c>
      <c r="DI262">
        <f t="shared" si="387"/>
        <v>1</v>
      </c>
      <c r="DJ262" t="str" cm="1">
        <f t="array" ref="DJ262">IF(D262="","",_xlfn.LET(_xlpm.t,IFERROR(_xlfn.XLOOKUP(1,(Шины[Шина]=DH262)*(((Шины[Щит]=A262)+(Шины[Щит]=""))&gt;0),Шины[Тип]),"")&amp;"",IF(_xlpm.t&lt;&gt;"",_xlpm.t,IF(ISNUMBER(SEARCH("ИБП",DH262)),"ИБП",IF(ISNUMBER(SEARCH("ДГУ",DH262)),"ДГУ","Ввод "&amp;DI262)))))</f>
        <v>Ввод 1</v>
      </c>
      <c r="DK262" t="str">
        <f t="shared" si="388"/>
        <v>Ввод 1</v>
      </c>
      <c r="DL262" t="str">
        <f>IF(D262="","",IF(OR(DJ262="ИБП",DJ262="ДГУ"),"I особая",IF(DJ262="Одиночная","III",_xlfn.XLOOKUP(A262,Щиты[Щит],Щиты[Категория шины «Ввод»],"III"))))</f>
        <v>II</v>
      </c>
      <c r="DM262">
        <f>IF(D262="",0,IFERROR(MATCH(DE262,{"III","II","I","I особая"},0),1))</f>
        <v>2</v>
      </c>
      <c r="DN262">
        <f t="shared" si="389"/>
        <v>2</v>
      </c>
      <c r="DO262" t="str">
        <f>IF(D262="","",IF(DM262&gt;IFERROR(MATCH(DL262,{"III","II","I","I особая"},0),1),"НЕ ОБЕСПЕЧЕНА","ОК"))</f>
        <v>ОК</v>
      </c>
      <c r="DP262" t="str">
        <f>IF(A262="","",_xlfn.XLOOKUP(A262,Щиты[Щит],Щиты[Путь],""))</f>
        <v>|ГРЩ-ЖД|ЩР-1|</v>
      </c>
      <c r="DQ262" t="str">
        <f>IF(D262="","",IF(Z262&lt;&gt;"",Z262,IF(IFERROR(_xlfn.XLOOKUP(AT262,Коды_код,Коды_вид)&amp;"","")="","Прочее",_xlfn.XLOOKUP(AT262,Коды_код,Коды_вид)&amp;"")))</f>
        <v>Розеточная сеть и бытовые приборы</v>
      </c>
      <c r="DR262">
        <f>IF(BD262="","",INT((BD262-1)/Столбцов_на_лист)+1)</f>
        <v>3</v>
      </c>
      <c r="DS262" t="str">
        <f t="shared" si="390"/>
        <v>ВВГнг(А)-LS (3х2,5) L=59-0,48%</v>
      </c>
      <c r="DT262">
        <f t="shared" si="391"/>
        <v>0.24</v>
      </c>
      <c r="DU262">
        <f t="shared" si="392"/>
        <v>1.1000000000000001</v>
      </c>
      <c r="DV262">
        <f t="shared" si="393"/>
        <v>1</v>
      </c>
      <c r="DW262">
        <f>IF(AT262="",0,_xlfn.LET(_xlpm.v,IFERROR(VLOOKUP(D262,УГО_спр,3,FALSE),IFERROR(VLOOKUP(AT262,УГО_спр,3,FALSE),IFERROR(VLOOKUP(LEFT(AT262,2),УГО_спр,3,FALSE),""))),IF(_xlpm.v="да",30,IF(ISNUMBER(_xlpm.v),_xlpm.v,0))))</f>
        <v>30</v>
      </c>
      <c r="DX262">
        <f t="shared" si="394"/>
        <v>0</v>
      </c>
      <c r="DY262">
        <f>IF(BD262="","",IF(AD262&lt;&gt;"",COUNTIFS(A$3:A262,A262,AD$3:AD262,"?*"),IF(OR(OR(AS262=1,A262&lt;&gt;A261),AL262="вручную"),"",IF(AS262=1,"",DZ261))))</f>
        <v>38</v>
      </c>
      <c r="DZ262">
        <f t="shared" si="395"/>
        <v>38</v>
      </c>
      <c r="EA262">
        <f>IF(D262="",0,MAX(IFERROR(--X262,0),IFERROR(--VLOOKUP(D262,УГО_спр,4,FALSE),IFERROR(--VLOOKUP(AT262,УГО_спр,4,FALSE),IFERROR(--VLOOKUP(LEFT(AT262,2),УГО_спр,4,FALSE),0)))))</f>
        <v>16</v>
      </c>
      <c r="EB262">
        <f>IF(D262="","",IFERROR(LOOKUP(INDEX(CHOOSE(BR262,Iдоп_1ж,Iдоп_2ж,Iдоп_3ж),MATCH(BS262,Iдоп_S,0))*BP262*BQ262,{6,10,16,20,25,32,40,50,63,80,100,125,160,200,250,315,400,500,630}),""))</f>
        <v>25</v>
      </c>
      <c r="EC262">
        <f>IF(AD262="","",SUMIFS(Линии[_Ток схемы],Линии[_гр.],DY262,Линии[Щит],A262,Линии[_в кабель выше],0))</f>
        <v>1.1000000000000001</v>
      </c>
      <c r="ED262">
        <f>IF(AD262="","",IFERROR(VLOOKUP(EC262,Автомат_номиналы,2,TRUE),""))</f>
        <v>6</v>
      </c>
      <c r="EE262">
        <f>IF(AD262="","",MAX(N(ED262),_xlfn.MAXIFS(Линии[_мин. по типу],Линии[_гр.],DY262,Линии[Щит],A262)))</f>
        <v>16</v>
      </c>
      <c r="EF262">
        <f>IF(AD262="","",_xlfn.MINIFS(Линии[_макс. автомат по кабелю],Линии[_гр.],DY262,Линии[Щит],A262))</f>
        <v>25</v>
      </c>
      <c r="EG262">
        <f>IF(AD262="","",MAX(1,_xlfn.MAXIFS(Линии[_фаз],Линии[_гр.],DY262,Линии[Щит],A262)))</f>
        <v>1</v>
      </c>
      <c r="EH262">
        <f>IF(AD262="","",IF(AND(AD262&lt;&gt;"авто",AD262&lt;&gt;"+"),IF(ISNUMBER(SEARCH("мА",AD262)),IFERROR(--TRIM(RIGHT(SUBSTITUTE(LEFT(AD262,SEARCH("мА",AD262)-1)," ",REPT(" ",9)),6)),30),0),IF(AE262="нет",0,IF(ISNUMBER(AE262),AE262,IF(AE262="да",30,_xlfn.MINIFS(Линии[_дифзащита по коду, мА],Линии[_гр.],DY262,Линии[Щит],A262,Линии[_дифзащита по коду, мА],"&gt;0"))))))</f>
        <v>30</v>
      </c>
      <c r="EI262">
        <f t="shared" si="396"/>
        <v>1</v>
      </c>
      <c r="EJ262" t="str">
        <f t="shared" si="397"/>
        <v>QFD38</v>
      </c>
      <c r="EK262" t="str">
        <f t="shared" si="398"/>
        <v>QFD38</v>
      </c>
      <c r="EL262" t="str">
        <f t="shared" si="399"/>
        <v/>
      </c>
      <c r="EM262">
        <f t="shared" si="400"/>
        <v>0</v>
      </c>
      <c r="EN262">
        <f>IF(AD262="","",IF(EM262=1,MAX(EE262,Мин_автомат_БП),EE262))</f>
        <v>16</v>
      </c>
      <c r="EO262" t="str">
        <f t="shared" si="401"/>
        <v>2P</v>
      </c>
      <c r="EP262" t="str">
        <f t="shared" si="402"/>
        <v>2P С16А 30мА</v>
      </c>
      <c r="EQ262">
        <f t="shared" si="403"/>
        <v>16</v>
      </c>
      <c r="ER262" t="str">
        <f>IF(OR(AI262="",AI262="-"),"",IFERROR(VLOOKUP(AI262,Модули_спр,2,FALSE),"R"))</f>
        <v/>
      </c>
      <c r="ES262" t="str">
        <f>IF(ER262="","",ER262&amp;"."&amp;COUNTIFS(A$3:A262,A262,ER$3:ER262,ER262))</f>
        <v/>
      </c>
      <c r="ET262" t="str">
        <f t="shared" si="404"/>
        <v/>
      </c>
      <c r="EU262" t="str">
        <f t="shared" si="405"/>
        <v/>
      </c>
      <c r="EV262" t="str">
        <f t="shared" si="406"/>
        <v/>
      </c>
      <c r="EW262" t="str">
        <f t="shared" si="407"/>
        <v/>
      </c>
      <c r="EX262">
        <f t="shared" si="408"/>
        <v>1</v>
      </c>
      <c r="EY262" t="str">
        <f>IF(AK262="нет","",IF(AK262&lt;&gt;"",AK262,IF(EX262=1,"XT"&amp;COUNTIFS(A$3:A262,A262,EX$3:EX262,1),"")))</f>
        <v>XT38</v>
      </c>
      <c r="EZ262" t="str">
        <f t="shared" si="409"/>
        <v>QFD38</v>
      </c>
      <c r="FA262" t="str">
        <f t="shared" si="410"/>
        <v/>
      </c>
      <c r="FB262" t="str">
        <f t="shared" si="411"/>
        <v>ok</v>
      </c>
      <c r="FC262" t="str">
        <f>IF(OR(EV262="",ET262=""),"",IF(EV262&gt;IFERROR(VLOOKUP(EU262,Модули_спр,3,FALSE),99),"ЛИШНИЙ КАНАЛ",IF(AND(AJ262&lt;&gt;"=",COUNTIFS(Линии[_модуль гр.],ET262,Линии[Канал (итог)],EV262,Линии[Канал],"&lt;&gt;=",Линии[Щит],A262)&gt;1),"ДУБЛЬ КАНАЛА","")))</f>
        <v/>
      </c>
      <c r="FD262">
        <f t="shared" si="412"/>
        <v>16</v>
      </c>
      <c r="FE262" t="str">
        <f t="shared" si="413"/>
        <v>2P С16А 30мА</v>
      </c>
      <c r="FF262">
        <f t="shared" si="414"/>
        <v>1</v>
      </c>
      <c r="FG262">
        <f t="shared" si="415"/>
        <v>30</v>
      </c>
      <c r="FH262" t="str">
        <f t="shared" si="416"/>
        <v/>
      </c>
      <c r="FI262">
        <f t="shared" si="417"/>
        <v>10</v>
      </c>
      <c r="FJ262" t="str">
        <f t="shared" si="418"/>
        <v/>
      </c>
      <c r="FK262" t="str">
        <f>IF(AND(D262="",EZ262=""),"",_xlfn.TEXTJOIN("; ",TRUE,IF(AND(D262&lt;&gt;"",DD262=""),"нет фазы",""),IF(AND(D262&lt;&gt;"",N(DT262)=0,CN262&lt;&gt;"Нет"),"нет мощности",""),IF(AND(EY262&lt;&gt;"",COUNTIFS(Линии[Щит],A262,Линии[Клемма (итог)],EY262)&gt;1),"дубль клеммы "&amp;EY262,""),IF(AND(FB262&lt;&gt;"",FB262&lt;&gt;"ok"),FB262,""),IF(FC262&lt;&gt;"",FC262,""),IF(AND(ISNUMBER(SEARCH("(5х",DS262)),N(DV262)=1),"5 жил на 1 фазе",""),IF(AND(AT262="R",AD262&lt;&gt;"",OR(N(EH262)=0,N(EH262)&gt;30)),"розетка без дифзащиты до 30 мА",""),IFERROR(IF(AND(ISNUMBER(CD262),CD262&gt;CE262),"потери "&amp;FIXED(CD262,1)&amp;" % &gt; "&amp;CE262&amp;" %",""),""),IFERROR(IF(LEFT(FJ262,4)="мало","Iкз мало — отключение &gt; 0,4 с",""),""),IF(AND(D262&lt;&gt;"",BD262=""),"не на схеме","")))</f>
        <v/>
      </c>
      <c r="FL262">
        <f>IF(AD262="","",_xlfn.LET(_xlpm.t,IFERROR(_xlfn.XLOOKUP(EP262,Каталог!$U$4:$U$500,Каталог!$G$4:$G$500),""),_xlpm.k,SEARCH("кА",_xlpm.t),IFERROR(--TRIM(RIGHT(SUBSTITUTE(MID(_xlpm.t,MAX(1,_xlpm.k-4),_xlpm.k-MAX(1,_xlpm.k-4))," ",REPT(" ",9)),5)),"")))</f>
        <v>6</v>
      </c>
      <c r="FM262" t="str">
        <f>IF(OR(FL262="",AD262=""),"",IF(_xlfn.XLOOKUP(A262,Щиты[Щит],Щиты[Iкз max на шинах, кА],"")="","",IF(FL262&lt;_xlfn.XLOOKUP(A262,Щиты[Щит],Щиты[Iкз max на шинах, кА]),"Icu "&amp;FL262&amp;" кА &lt; Iкз max","ok")))</f>
        <v/>
      </c>
      <c r="FN262" t="str">
        <f t="shared" si="419"/>
        <v>QFD38|XT38</v>
      </c>
      <c r="FO262" t="str">
        <f t="shared" si="420"/>
        <v>QFD38|XT38|кабель ВВГнг(А)-LS (3х2,5) → Розеточная группа Первый этаж Пом. №017A</v>
      </c>
      <c r="FP262" t="str" cm="1">
        <f t="array" ref="FP262">IF(FO262="","",_xlfn.LET(_xlpm.nd,_xlfn.TEXTSPLIT(FO262,"|"),IF(COLUMNS(_xlpm.nd)&gt;1,A262&amp;"¦"&amp;INDEX(_xlpm.nd,1)&amp;"¦"&amp;INDEX(_xlpm.nd,2),"")))</f>
        <v>ЩР-1¦QFD38¦XT38</v>
      </c>
      <c r="FQ262" t="str">
        <f t="shared" si="421"/>
        <v>R.1.017A.1¦Розеточная группа Первый этаж Пом. №017A</v>
      </c>
      <c r="FR262" t="str" cm="1">
        <f t="array" ref="FR262">IF(FO262="","",_xlfn.LET(_xlpm.nd,_xlfn.TEXTSPLIT(FO262,"|"),IF(COLUMNS(_xlpm.nd)&gt;2,A262&amp;"¦"&amp;INDEX(_xlpm.nd,2)&amp;"¦"&amp;INDEX(_xlpm.nd,3),"")))</f>
        <v>ЩР-1¦XT38¦кабель ВВГнг(А)-LS (3х2,5) → Розеточная группа Первый этаж Пом. №017A</v>
      </c>
      <c r="FS262" t="str">
        <f t="shared" si="422"/>
        <v>R.1.017A.1¦Розеточная группа Первый этаж Пом. №017A</v>
      </c>
      <c r="FT262" t="str" cm="1">
        <f t="array" ref="FT262">IF(FO262="","",_xlfn.LET(_xlpm.nd,_xlfn.TEXTSPLIT(FO262,"|"),IF(COLUMNS(_xlpm.nd)&gt;3,A262&amp;"¦"&amp;INDEX(_xlpm.nd,3)&amp;"¦"&amp;INDEX(_xlpm.nd,4),"")))</f>
        <v/>
      </c>
      <c r="FU262" t="str">
        <f t="shared" si="423"/>
        <v/>
      </c>
      <c r="FV262" t="str" cm="1">
        <f t="array" ref="FV262">IF(FO262="","",_xlfn.LET(_xlpm.nd,_xlfn.TEXTSPLIT(FO262,"|"),IF(COLUMNS(_xlpm.nd)&gt;4,A262&amp;"¦"&amp;INDEX(_xlpm.nd,4)&amp;"¦"&amp;INDEX(_xlpm.nd,5),"")))</f>
        <v/>
      </c>
      <c r="FW262" t="str">
        <f t="shared" si="424"/>
        <v/>
      </c>
      <c r="FX262" t="str" cm="1">
        <f t="array" ref="FX262">IF(FO262="","",_xlfn.LET(_xlpm.nd,_xlfn.TEXTSPLIT(FO262,"|"),IF(COLUMNS(_xlpm.nd)&gt;5,A262&amp;"¦"&amp;INDEX(_xlpm.nd,5)&amp;"¦"&amp;INDEX(_xlpm.nd,6),"")))</f>
        <v/>
      </c>
      <c r="FY262" t="str">
        <f t="shared" si="425"/>
        <v/>
      </c>
      <c r="FZ262" t="str" cm="1">
        <f t="array" ref="FZ262">IF(FO262="","",_xlfn.LET(_xlpm.nd,_xlfn.TEXTSPLIT(FO262,"|"),IF(COLUMNS(_xlpm.nd)&gt;6,A262&amp;"¦"&amp;INDEX(_xlpm.nd,6)&amp;"¦"&amp;INDEX(_xlpm.nd,7),"")))</f>
        <v/>
      </c>
      <c r="GA262" t="str">
        <f t="shared" si="426"/>
        <v/>
      </c>
      <c r="GB262" t="str">
        <f t="shared" si="427"/>
        <v/>
      </c>
      <c r="GC262" t="str">
        <f t="shared" si="428"/>
        <v>QFD38 → XT38</v>
      </c>
      <c r="GD262">
        <f t="shared" si="429"/>
        <v>1</v>
      </c>
      <c r="GE262">
        <f t="shared" si="430"/>
        <v>0</v>
      </c>
      <c r="GF262">
        <f t="shared" si="431"/>
        <v>1</v>
      </c>
      <c r="GG262" t="str">
        <f t="shared" si="432"/>
        <v/>
      </c>
      <c r="GH262" t="str">
        <f t="shared" si="433"/>
        <v/>
      </c>
      <c r="GI262" t="str">
        <f t="shared" si="434"/>
        <v/>
      </c>
      <c r="GJ262" t="str">
        <f t="shared" si="435"/>
        <v/>
      </c>
      <c r="GK262" t="str">
        <f>IF(D262="","",IFERROR(VLOOKUP(D262,УГО_спр,2,FALSE),IFERROR(VLOOKUP(AT262,УГО_спр,2,FALSE),IFERROR(VLOOKUP(LEFT(AT262,2),УГО_спр,2,FALSE),""))))</f>
        <v>Розетка</v>
      </c>
      <c r="GL262" t="str">
        <f>IF(D262="","",IF(OR(GK262="",GK262=0),"BOX",IFERROR(IF(VLOOKUP(GK262,УГО_блоки,3,FALSE)&amp;""&lt;&gt;"",VLOOKUP(GK262,УГО_блоки,3,FALSE),VLOOKUP(GK262,УГО_блоки,2,FALSE)),GK262)))</f>
        <v>SOCKET</v>
      </c>
      <c r="GM262">
        <f t="shared" si="436"/>
        <v>1</v>
      </c>
      <c r="GN262" t="str">
        <f>IF(EP262="","",IF(COUNTIF(EP$3:EP262,EP262)=1,MAX(GN$2:GN261)+1,""))</f>
        <v/>
      </c>
      <c r="GO262" t="str">
        <f>IF(AF262="","",IF(COUNTIF(AF$3:AF262,AF262)+COUNTIF(AG$2:AG261,AF262)+COUNTIF(AH$2:AH261,AF262)=1,MAX(GO$2:GQ261)+1,""))</f>
        <v/>
      </c>
      <c r="GP262" t="str">
        <f>IF(AG262="","",IF(COUNTIF(AF$3:AF262,AG262)+COUNTIF(AG$3:AG262,AG262)+COUNTIF(AH$2:AH261,AG262)=1,MAX(GO$2:GQ261,GO262)+1,""))</f>
        <v/>
      </c>
      <c r="GQ262" t="str">
        <f>IF(AH262="","",IF(COUNTIF(AF$3:AF262,AH262)+COUNTIF(AG$3:AG262,AH262)+COUNTIF(AH$3:AH262,AH262)=1,MAX(GO$2:GQ261,GO262,GP262)+1,""))</f>
        <v/>
      </c>
      <c r="GR262" t="str">
        <f t="shared" si="437"/>
        <v>3х2,5</v>
      </c>
      <c r="GS262" t="str">
        <f>IF(GR262="","",IF(COUNTIF(GR$3:GR262,GR262)=1,MAX(GS$2:GS261)+1,""))</f>
        <v/>
      </c>
      <c r="GT262" t="str">
        <f>IF(ES262="","",COUNTIF(ES$3:ES262,"?*"))</f>
        <v/>
      </c>
      <c r="GU262" t="str">
        <f>IF(OR(ES262="",EU262=""),"",IF(COUNTIFS(ES$3:ES262,"?*",EU$3:EU262,EU262)=1,MAX(GU$2:GU261)+1,""))</f>
        <v/>
      </c>
      <c r="GV262">
        <f t="shared" si="438"/>
        <v>0</v>
      </c>
      <c r="GW262">
        <f>IF(D262="","",COUNTIF(D$3:D262,"?*"))</f>
        <v>260</v>
      </c>
      <c r="GX262">
        <f>IF(EX262&lt;&gt;1,0,_xlfn.LET(_xlpm.k,MAX(IFERROR(--VLOOKUP(D262,УГО_спр,5,FALSE),0),IFERROR(--VLOOKUP(AT262,УГО_спр,5,FALSE),0),IFERROR(--VLOOKUP(LEFT(AT262,2),УГО_спр,5,FALSE),0)),IF(_xlpm.k&gt;0,_xlpm.k,IF(IFERROR(--LEFT(SUBSTITUTE(GR262,"x","х"),FIND("х",SUBSTITUTE(GR262,"x","х"))-1),3)&gt;3,Каталог!$S$9,1))))</f>
        <v>1</v>
      </c>
      <c r="GY262">
        <f t="shared" si="439"/>
        <v>0</v>
      </c>
    </row>
    <row r="263" spans="1:207" x14ac:dyDescent="0.3">
      <c r="A263" t="s">
        <v>762</v>
      </c>
      <c r="B263">
        <v>53</v>
      </c>
      <c r="C263" t="str">
        <f>IF(BD263="","",IF(BE263="вводной узел","узел ","")&amp;"л."&amp;(INT((BD263-1)/Столбцов_на_лист)+1)&amp;" / "&amp;(MOD(BD263-1,Столбцов_на_лист)+1))</f>
        <v>л.4 / 2</v>
      </c>
      <c r="D263" t="s">
        <v>1585</v>
      </c>
      <c r="E263" s="133" t="str">
        <f t="shared" si="352"/>
        <v>Розеточная группа Первый этаж Пом. №017A</v>
      </c>
      <c r="G263">
        <v>0.24</v>
      </c>
      <c r="H263">
        <v>2</v>
      </c>
      <c r="I263">
        <v>1</v>
      </c>
      <c r="J263">
        <v>230</v>
      </c>
      <c r="K263" t="s">
        <v>566</v>
      </c>
      <c r="O263">
        <v>1</v>
      </c>
      <c r="P263">
        <v>48</v>
      </c>
      <c r="Q263">
        <v>20</v>
      </c>
      <c r="R263">
        <v>23</v>
      </c>
      <c r="S263">
        <v>14</v>
      </c>
      <c r="U263" t="s">
        <v>11</v>
      </c>
      <c r="V263">
        <v>3</v>
      </c>
      <c r="W263">
        <v>2.5</v>
      </c>
      <c r="Z263" t="s">
        <v>565</v>
      </c>
      <c r="AA263" t="s">
        <v>818</v>
      </c>
      <c r="AD263" t="s">
        <v>517</v>
      </c>
      <c r="AR263" t="str">
        <f t="shared" si="353"/>
        <v/>
      </c>
      <c r="AS263" cm="1">
        <f t="array" ref="AS263">ROW()-ROW(Линии[#Headers])</f>
        <v>261</v>
      </c>
      <c r="AT263" t="str">
        <f t="shared" si="354"/>
        <v>R</v>
      </c>
      <c r="AU263" t="str">
        <f t="shared" si="355"/>
        <v>1.017A.2</v>
      </c>
      <c r="AV263" t="str">
        <f t="shared" si="356"/>
        <v>1</v>
      </c>
      <c r="AW263" t="str">
        <f t="shared" si="357"/>
        <v>017A.2</v>
      </c>
      <c r="AX263" t="str">
        <f t="shared" si="358"/>
        <v>017A</v>
      </c>
      <c r="AY263" t="str">
        <f>IF(D263="","",IF(ISERROR(SEARCH(".",D263)),IFERROR(VLOOKUP(D263,Потребители_обозначение,2,FALSE)&amp;"",""),IFERROR(IF(VLOOKUP(AT263,Потребители_обозначение,4,FALSE)=1,VLOOKUP(AT263,Потребители_обозначение,2,FALSE)&amp;" "&amp;VLOOKUP(AV263,Этаж_обозначение,2,FALSE)&amp;" Пом. №"&amp;AX263,VLOOKUP(AT263,Потребители_обозначение,2,FALSE)&amp;" Шлейф №"&amp;AV263),IFERROR(VLOOKUP(D263,Потребители_обозначение,2,FALSE),""))))</f>
        <v>Розеточная группа Первый этаж Пом. №017A</v>
      </c>
      <c r="AZ263" t="str">
        <f t="shared" si="359"/>
        <v>Розеточная группа Первый этаж Пом. №017A</v>
      </c>
      <c r="BA263" t="str">
        <f>IF(F263&lt;&gt;"",F263,IF(AND(D263&lt;&gt;"",D263&lt;&gt;A263,ISNUMBER(_xlfn.XMATCH(D263,Щиты[Щит]))),D263,""))</f>
        <v/>
      </c>
      <c r="BB263">
        <f>IFERROR(_xlfn.XMATCH(A263,Щиты[Щит]),0)</f>
        <v>10</v>
      </c>
      <c r="BC263">
        <f>IFERROR(N(_xlfn.XLOOKUP(A263,Щиты[Щит],Щиты[Мест под вводной узел])),15)</f>
        <v>8</v>
      </c>
      <c r="BD263">
        <f t="shared" si="360"/>
        <v>53</v>
      </c>
      <c r="BE263" t="str">
        <f t="shared" si="361"/>
        <v>линии</v>
      </c>
      <c r="BF263">
        <f>IF(D263="","",IF(BA263&lt;&gt;"",IFERROR(_xlfn.XLOOKUP(BA263,Щиты[Щит],Щиты[Руст, кВт]),0),N(G263)))</f>
        <v>0.24</v>
      </c>
      <c r="BG263">
        <f>IF(J263&lt;&gt;"",J263,IF(D263="","",IFERROR(IF(VLOOKUP(AT263,Потребители_обозначение,8,FALSE)=0,"",VLOOKUP(AT263,Потребители_обозначение,8,FALSE)),"")))</f>
        <v>230</v>
      </c>
      <c r="BH263">
        <f>IF(I263&lt;&gt;"",I263,IF(D263="","",IFERROR(IF(VLOOKUP(AT263,Потребители_обозначение,9,FALSE)=0,"",VLOOKUP(AT263,Потребители_обозначение,9,FALSE)),"")))</f>
        <v>1</v>
      </c>
      <c r="BI263" t="str">
        <f>IF(U263&lt;&gt;"",U263,IF(D263="","",IFERROR(IF(VLOOKUP(AT263,Потребители_обозначение,6,FALSE)=0,"",VLOOKUP(AT263,Потребители_обозначение,6,FALSE)),"")))</f>
        <v>мс</v>
      </c>
      <c r="BJ263">
        <f>IF(V263&lt;&gt;"",V263,IF(D263="","",IFERROR(IF(VLOOKUP(AT263,Потребители_обозначение,7,FALSE)=0,"",VLOOKUP(AT263,Потребители_обозначение,7,FALSE)),"")))</f>
        <v>3</v>
      </c>
      <c r="BK263">
        <f>IF(W263&lt;&gt;"",W263,IF(D263="","",IFERROR(IF(VLOOKUP(AT263,Потребители_обозначение,10,FALSE)=0,"",VLOOKUP(AT263,Потребители_обозначение,10,FALSE)),"")))</f>
        <v>2.5</v>
      </c>
      <c r="BL263">
        <f>IFERROR(VLOOKUP(AT263,Потребители_обозначение,5,FALSE),0)</f>
        <v>1</v>
      </c>
      <c r="BM263" cm="1">
        <f t="array" ref="BM263">IF(D263="","",IF(BA263&lt;&gt;"",IFERROR(_xlfn.XLOOKUP(BA263,Щиты[Щит],Щиты[cos φ]),0.95),IF(ISNUMBER(M263),M263,IFERROR(IF(BL263=2,_xlfn.IFS(BH263=3,VLOOKUP(BF263,Справочная_двигатели,8,FALSE),BH263=1,VLOOKUP(BF263,Справочная_двигатели,10,TRUE)),IF(AND(Методика="нормы 2026",CN263="Сил"),0.8,0.95)),0.95))))</f>
        <v>0.95</v>
      </c>
      <c r="BN263" cm="1">
        <f t="array" ref="BN263">IF(D263="","",IF(BA263&lt;&gt;"",IFERROR(_xlfn.XLOOKUP(BA263,Щиты[Щит],Щиты[Iр, А]),""),IFERROR(_xlfn.IFS(BH263=1,BF263/((Uн_лин/SQRT(3))*BM263),BH263=3,BF263/(SQRT(3)*Uн_лин*BM263)),"")))</f>
        <v>1.0939268258329751</v>
      </c>
      <c r="BO263">
        <f>IF(D263="","",IF(N(X263)=0,IFERROR(VLOOKUP(BN263,Автомат_номиналы,2,TRUE),""),X263))</f>
        <v>6</v>
      </c>
      <c r="BP263">
        <f t="shared" si="362"/>
        <v>1</v>
      </c>
      <c r="BQ263">
        <f>IF(ISNUMBER(Y263),Y263,К_прокл)</f>
        <v>1</v>
      </c>
      <c r="BR263">
        <f t="shared" si="363"/>
        <v>2</v>
      </c>
      <c r="BS263" cm="1">
        <f t="array" ref="BS263">IF(D263="","",IF(N(BK263)&lt;&gt;0,BK263,IFERROR(_xlfn.LET(_xlpm.need,BO263/(BP263*BQ263),_xlpm.t,CHOOSE(BR263,Iдоп_1ж,Iдоп_2ж,Iдоп_3ж),_xlpm.k,_xlfn.XMATCH(_xlpm.need,_xlpm.t,1),IF(ISNA(_xlpm.k),"Не исп",INDEX(Iдоп_S,_xlpm.k))),"Не исп")))</f>
        <v>2.5</v>
      </c>
      <c r="BT263">
        <f>IFERROR(VLOOKUP(BS263,Кабель_сопротивление,3,FALSE),"")</f>
        <v>2.2499999999999999E-2</v>
      </c>
      <c r="BU263">
        <f>IFERROR(VLOOKUP(BS263,Кабель_сопротивление,2,FALSE),"")</f>
        <v>0.1</v>
      </c>
      <c r="BV263">
        <f t="shared" si="364"/>
        <v>48</v>
      </c>
      <c r="BW263">
        <f>IF(D263="","",IFERROR(IF(VLOOKUP(AT263,Потребители_обозначение,4,FALSE)=1,VLOOKUP(AT263,Потребители_обозначение,3,FALSE)*(H263*2-1)+BV263+VLOOKUP(AV263,Этаж_обозначение,3,FALSE)+VLOOKUP(AV263,Этаж_обозначение,4,FALSE),VLOOKUP(AT263,Потребители_обозначение,3,FALSE)*(H263*2-1)+BV263),BV263))</f>
        <v>57</v>
      </c>
      <c r="BX263">
        <f t="shared" si="365"/>
        <v>23</v>
      </c>
      <c r="BY263">
        <f t="shared" si="366"/>
        <v>14</v>
      </c>
      <c r="BZ263">
        <f t="shared" si="367"/>
        <v>2</v>
      </c>
      <c r="CA263">
        <f t="shared" si="368"/>
        <v>0.31</v>
      </c>
      <c r="CB263">
        <f t="shared" si="369"/>
        <v>1.0701164145418947</v>
      </c>
      <c r="CC263">
        <f>IFERROR(ROUNDUP(CB263/((Uн_лин/SQRT(3))*1000)*100,2),"")</f>
        <v>0.47000000000000003</v>
      </c>
      <c r="CD263">
        <f>IF(ISNUMBER(CC263),CC263+IFERROR(_xlfn.XLOOKUP(A263,Щиты[Щит],Щиты[ΔU до шин, %]),0),"")</f>
        <v>1.72</v>
      </c>
      <c r="CE263">
        <f>IF(D263="","",IF(IFERROR(VLOOKUP(AT263,УГО_спр,2,FALSE),"")="Светильник",3,4)+IF(Методика="нормы 2026",MIN(0.5,MAX(0,N(BW263)-100)*0.005),0))</f>
        <v>4</v>
      </c>
      <c r="CF263" t="str">
        <f>IFERROR(VLOOKUP(BI263,Кабель_обозначение,2,FALSE),"")</f>
        <v>ВВГнг(А)-LS</v>
      </c>
      <c r="CG263" t="str">
        <f>IFERROR(IF(VLOOKUP(BI263,Кабель_обозначение,3,FALSE)=1,CF263&amp;" ("&amp;BJ263&amp;"х"&amp;BS263&amp;")",CF263),"")</f>
        <v>ВВГнг(А)-LS (3х2,5)</v>
      </c>
      <c r="CH263" t="str">
        <f t="shared" si="370"/>
        <v>ВВГнг(А)-LS (3х2,5)
L=57-0,47%</v>
      </c>
      <c r="CI263">
        <f>IFERROR(2*ρкз_Cu*BW263/BS263,"")</f>
        <v>1.1992800000000001</v>
      </c>
      <c r="CJ263">
        <f t="shared" si="371"/>
        <v>0.39900000000000002</v>
      </c>
      <c r="CK263" t="str">
        <f>IFERROR(IF(OR(D263="",NOT(ISNUMBER(BS263)),N(BW263)=0),"",_xlfn.XLOOKUP(A263,Щиты[Щит],Щиты[Zпетли на шинах, Ом])+CI263),"")</f>
        <v/>
      </c>
      <c r="CL263" t="str">
        <f>IF(ISNUMBER(CK263),c_min*(Uн_лин*1000/SQRT(3))/CK263,"")</f>
        <v/>
      </c>
      <c r="CM263" t="str">
        <f>IFERROR(IF(OR(D263="",NOT(ISNUMBER(BS263))),"",1.05*(Uн_лин*1000/SQRT(3))/(_xlfn.XLOOKUP(A263,Щиты[Щит],Щиты[Zmax на шинах, Ом])+CJ263)/1000),"")</f>
        <v/>
      </c>
      <c r="CN263" t="str">
        <f>IF(D263="","",IF(BA263&lt;&gt;"","Щит",IF(K263&lt;&gt;"",K263,IF(ISNUMBER(L263),"Сил",IF(IFERROR(_xlfn.XLOOKUP(AT263,Коды_код,Коды_группа)&amp;"","")="","Быт",_xlfn.XLOOKUP(AT263,Коды_код,Коды_группа)&amp;"")))))</f>
        <v>Быт</v>
      </c>
      <c r="CO263">
        <f>IF(CN263="Щит","щит",IF(CN263="","",IF(CN263="Быт",IFERROR(_xlfn.XLOOKUP(A263,Щиты[Щит],Щиты[Кс быт]),1),IF(CN263="Сил",IF(ISNUMBER(L263),L263,IF(Методика="нормы 2026",IFERROR(_xlfn.XLOOKUP(A263,Щиты[Щит],Щиты[Кс силовых (табл. 7.5)]),1),1)),IF(OR(CN263="Пост",CN263="Отоп"),1,IF(CN263="ВНГ",0.7,0))))))</f>
        <v>0.57830000000000004</v>
      </c>
      <c r="CP263">
        <f t="shared" si="372"/>
        <v>1</v>
      </c>
      <c r="CQ263">
        <f t="shared" si="373"/>
        <v>0.24</v>
      </c>
      <c r="CR263">
        <f t="shared" si="374"/>
        <v>0.24</v>
      </c>
      <c r="CS263">
        <f t="shared" si="375"/>
        <v>0</v>
      </c>
      <c r="CT263">
        <f t="shared" si="376"/>
        <v>0</v>
      </c>
      <c r="CU263">
        <f t="shared" si="377"/>
        <v>0</v>
      </c>
      <c r="CV263">
        <f t="shared" si="378"/>
        <v>0</v>
      </c>
      <c r="CW263">
        <f t="shared" si="379"/>
        <v>0.24</v>
      </c>
      <c r="CX263">
        <f t="shared" si="380"/>
        <v>0.22799999999999998</v>
      </c>
      <c r="CY263">
        <f t="shared" si="381"/>
        <v>3</v>
      </c>
      <c r="CZ263" t="str">
        <f t="shared" si="382"/>
        <v>L3</v>
      </c>
      <c r="DA263" cm="1">
        <f t="array" ref="DA263">IFERROR(IF(BL263=2,_xlfn.IFS(BH263=3,VLOOKUP(BF263,Справочная_двигатели,3,FALSE),BH263=1,VLOOKUP(BF263,Справочная_двигатели,5,TRUE)),0),0)</f>
        <v>0</v>
      </c>
      <c r="DB263">
        <f>IFERROR(IF(BL263=3,VLOOKUP(BF263,Справочная_ЛЭД,2,TRUE),0),0)</f>
        <v>0</v>
      </c>
      <c r="DC263">
        <f t="shared" si="383"/>
        <v>0</v>
      </c>
      <c r="DD263" t="str">
        <f t="shared" si="384"/>
        <v>L1</v>
      </c>
      <c r="DE263" t="str" cm="1">
        <f t="array" ref="DE263">IF(D263="","",IFERROR(INDEX({"I особая","I","II","III"},MATCH(TRIM(AA263&amp;""),{"I особая","I","II","III"},0)),"III"))</f>
        <v>II</v>
      </c>
      <c r="DF263" t="str">
        <f>IF(D263="","",IF(TRIM(AB263&amp;"")&lt;&gt;"",IF(LOWER(TRIM(AB263&amp;""))="да","да","нет"),IF(IFERROR(_xlfn.XLOOKUP(AT263,Коды_код,Коды_пожарная),"")="да","да","нет")))</f>
        <v>нет</v>
      </c>
      <c r="DG263" t="str">
        <f t="shared" si="385"/>
        <v/>
      </c>
      <c r="DH263" t="str">
        <f t="shared" si="386"/>
        <v>основная</v>
      </c>
      <c r="DI263">
        <f t="shared" si="387"/>
        <v>1</v>
      </c>
      <c r="DJ263" t="str" cm="1">
        <f t="array" ref="DJ263">IF(D263="","",_xlfn.LET(_xlpm.t,IFERROR(_xlfn.XLOOKUP(1,(Шины[Шина]=DH263)*(((Шины[Щит]=A263)+(Шины[Щит]=""))&gt;0),Шины[Тип]),"")&amp;"",IF(_xlpm.t&lt;&gt;"",_xlpm.t,IF(ISNUMBER(SEARCH("ИБП",DH263)),"ИБП",IF(ISNUMBER(SEARCH("ДГУ",DH263)),"ДГУ","Ввод "&amp;DI263)))))</f>
        <v>Ввод 1</v>
      </c>
      <c r="DK263" t="str">
        <f t="shared" si="388"/>
        <v>Ввод 1</v>
      </c>
      <c r="DL263" t="str">
        <f>IF(D263="","",IF(OR(DJ263="ИБП",DJ263="ДГУ"),"I особая",IF(DJ263="Одиночная","III",_xlfn.XLOOKUP(A263,Щиты[Щит],Щиты[Категория шины «Ввод»],"III"))))</f>
        <v>II</v>
      </c>
      <c r="DM263">
        <f>IF(D263="",0,IFERROR(MATCH(DE263,{"III","II","I","I особая"},0),1))</f>
        <v>2</v>
      </c>
      <c r="DN263">
        <f t="shared" si="389"/>
        <v>2</v>
      </c>
      <c r="DO263" t="str">
        <f>IF(D263="","",IF(DM263&gt;IFERROR(MATCH(DL263,{"III","II","I","I особая"},0),1),"НЕ ОБЕСПЕЧЕНА","ОК"))</f>
        <v>ОК</v>
      </c>
      <c r="DP263" t="str">
        <f>IF(A263="","",_xlfn.XLOOKUP(A263,Щиты[Щит],Щиты[Путь],""))</f>
        <v>|ГРЩ-ЖД|ЩР-1|</v>
      </c>
      <c r="DQ263" t="str">
        <f>IF(D263="","",IF(Z263&lt;&gt;"",Z263,IF(IFERROR(_xlfn.XLOOKUP(AT263,Коды_код,Коды_вид)&amp;"","")="","Прочее",_xlfn.XLOOKUP(AT263,Коды_код,Коды_вид)&amp;"")))</f>
        <v>Розеточная сеть и бытовые приборы</v>
      </c>
      <c r="DR263">
        <f>IF(BD263="","",INT((BD263-1)/Столбцов_на_лист)+1)</f>
        <v>4</v>
      </c>
      <c r="DS263" t="str">
        <f t="shared" si="390"/>
        <v>ВВГнг(А)-LS (3х2,5) L=57-0,47%</v>
      </c>
      <c r="DT263">
        <f t="shared" si="391"/>
        <v>0.24</v>
      </c>
      <c r="DU263">
        <f t="shared" si="392"/>
        <v>1.1000000000000001</v>
      </c>
      <c r="DV263">
        <f t="shared" si="393"/>
        <v>1</v>
      </c>
      <c r="DW263">
        <f>IF(AT263="",0,_xlfn.LET(_xlpm.v,IFERROR(VLOOKUP(D263,УГО_спр,3,FALSE),IFERROR(VLOOKUP(AT263,УГО_спр,3,FALSE),IFERROR(VLOOKUP(LEFT(AT263,2),УГО_спр,3,FALSE),""))),IF(_xlpm.v="да",30,IF(ISNUMBER(_xlpm.v),_xlpm.v,0))))</f>
        <v>30</v>
      </c>
      <c r="DX263">
        <f t="shared" si="394"/>
        <v>0</v>
      </c>
      <c r="DY263">
        <f>IF(BD263="","",IF(AD263&lt;&gt;"",COUNTIFS(A$3:A263,A263,AD$3:AD263,"?*"),IF(OR(OR(AS263=1,A263&lt;&gt;A262),AL263="вручную"),"",IF(AS263=1,"",DZ262))))</f>
        <v>39</v>
      </c>
      <c r="DZ263">
        <f t="shared" si="395"/>
        <v>39</v>
      </c>
      <c r="EA263">
        <f>IF(D263="",0,MAX(IFERROR(--X263,0),IFERROR(--VLOOKUP(D263,УГО_спр,4,FALSE),IFERROR(--VLOOKUP(AT263,УГО_спр,4,FALSE),IFERROR(--VLOOKUP(LEFT(AT263,2),УГО_спр,4,FALSE),0)))))</f>
        <v>16</v>
      </c>
      <c r="EB263">
        <f>IF(D263="","",IFERROR(LOOKUP(INDEX(CHOOSE(BR263,Iдоп_1ж,Iдоп_2ж,Iдоп_3ж),MATCH(BS263,Iдоп_S,0))*BP263*BQ263,{6,10,16,20,25,32,40,50,63,80,100,125,160,200,250,315,400,500,630}),""))</f>
        <v>25</v>
      </c>
      <c r="EC263">
        <f>IF(AD263="","",SUMIFS(Линии[_Ток схемы],Линии[_гр.],DY263,Линии[Щит],A263,Линии[_в кабель выше],0))</f>
        <v>1.1000000000000001</v>
      </c>
      <c r="ED263">
        <f>IF(AD263="","",IFERROR(VLOOKUP(EC263,Автомат_номиналы,2,TRUE),""))</f>
        <v>6</v>
      </c>
      <c r="EE263">
        <f>IF(AD263="","",MAX(N(ED263),_xlfn.MAXIFS(Линии[_мин. по типу],Линии[_гр.],DY263,Линии[Щит],A263)))</f>
        <v>16</v>
      </c>
      <c r="EF263">
        <f>IF(AD263="","",_xlfn.MINIFS(Линии[_макс. автомат по кабелю],Линии[_гр.],DY263,Линии[Щит],A263))</f>
        <v>25</v>
      </c>
      <c r="EG263">
        <f>IF(AD263="","",MAX(1,_xlfn.MAXIFS(Линии[_фаз],Линии[_гр.],DY263,Линии[Щит],A263)))</f>
        <v>1</v>
      </c>
      <c r="EH263">
        <f>IF(AD263="","",IF(AND(AD263&lt;&gt;"авто",AD263&lt;&gt;"+"),IF(ISNUMBER(SEARCH("мА",AD263)),IFERROR(--TRIM(RIGHT(SUBSTITUTE(LEFT(AD263,SEARCH("мА",AD263)-1)," ",REPT(" ",9)),6)),30),0),IF(AE263="нет",0,IF(ISNUMBER(AE263),AE263,IF(AE263="да",30,_xlfn.MINIFS(Линии[_дифзащита по коду, мА],Линии[_гр.],DY263,Линии[Щит],A263,Линии[_дифзащита по коду, мА],"&gt;0"))))))</f>
        <v>30</v>
      </c>
      <c r="EI263">
        <f t="shared" si="396"/>
        <v>1</v>
      </c>
      <c r="EJ263" t="str">
        <f t="shared" si="397"/>
        <v>QFD39</v>
      </c>
      <c r="EK263" t="str">
        <f t="shared" si="398"/>
        <v>QFD39</v>
      </c>
      <c r="EL263" t="str">
        <f t="shared" si="399"/>
        <v/>
      </c>
      <c r="EM263">
        <f t="shared" si="400"/>
        <v>0</v>
      </c>
      <c r="EN263">
        <f>IF(AD263="","",IF(EM263=1,MAX(EE263,Мин_автомат_БП),EE263))</f>
        <v>16</v>
      </c>
      <c r="EO263" t="str">
        <f t="shared" si="401"/>
        <v>2P</v>
      </c>
      <c r="EP263" t="str">
        <f t="shared" si="402"/>
        <v>2P С16А 30мА</v>
      </c>
      <c r="EQ263">
        <f t="shared" si="403"/>
        <v>16</v>
      </c>
      <c r="ER263" t="str">
        <f>IF(OR(AI263="",AI263="-"),"",IFERROR(VLOOKUP(AI263,Модули_спр,2,FALSE),"R"))</f>
        <v/>
      </c>
      <c r="ES263" t="str">
        <f>IF(ER263="","",ER263&amp;"."&amp;COUNTIFS(A$3:A263,A263,ER$3:ER263,ER263))</f>
        <v/>
      </c>
      <c r="ET263" t="str">
        <f t="shared" si="404"/>
        <v/>
      </c>
      <c r="EU263" t="str">
        <f t="shared" si="405"/>
        <v/>
      </c>
      <c r="EV263" t="str">
        <f t="shared" si="406"/>
        <v/>
      </c>
      <c r="EW263" t="str">
        <f t="shared" si="407"/>
        <v/>
      </c>
      <c r="EX263">
        <f t="shared" si="408"/>
        <v>1</v>
      </c>
      <c r="EY263" t="str">
        <f>IF(AK263="нет","",IF(AK263&lt;&gt;"",AK263,IF(EX263=1,"XT"&amp;COUNTIFS(A$3:A263,A263,EX$3:EX263,1),"")))</f>
        <v>XT39</v>
      </c>
      <c r="EZ263" t="str">
        <f t="shared" si="409"/>
        <v>QFD39</v>
      </c>
      <c r="FA263" t="str">
        <f t="shared" si="410"/>
        <v/>
      </c>
      <c r="FB263" t="str">
        <f t="shared" si="411"/>
        <v>ok</v>
      </c>
      <c r="FC263" t="str">
        <f>IF(OR(EV263="",ET263=""),"",IF(EV263&gt;IFERROR(VLOOKUP(EU263,Модули_спр,3,FALSE),99),"ЛИШНИЙ КАНАЛ",IF(AND(AJ263&lt;&gt;"=",COUNTIFS(Линии[_модуль гр.],ET263,Линии[Канал (итог)],EV263,Линии[Канал],"&lt;&gt;=",Линии[Щит],A263)&gt;1),"ДУБЛЬ КАНАЛА","")))</f>
        <v/>
      </c>
      <c r="FD263">
        <f t="shared" si="412"/>
        <v>16</v>
      </c>
      <c r="FE263" t="str">
        <f t="shared" si="413"/>
        <v>2P С16А 30мА</v>
      </c>
      <c r="FF263">
        <f t="shared" si="414"/>
        <v>1</v>
      </c>
      <c r="FG263">
        <f t="shared" si="415"/>
        <v>30</v>
      </c>
      <c r="FH263" t="str">
        <f t="shared" si="416"/>
        <v/>
      </c>
      <c r="FI263">
        <f t="shared" si="417"/>
        <v>10</v>
      </c>
      <c r="FJ263" t="str">
        <f t="shared" si="418"/>
        <v/>
      </c>
      <c r="FK263" t="str">
        <f>IF(AND(D263="",EZ263=""),"",_xlfn.TEXTJOIN("; ",TRUE,IF(AND(D263&lt;&gt;"",DD263=""),"нет фазы",""),IF(AND(D263&lt;&gt;"",N(DT263)=0,CN263&lt;&gt;"Нет"),"нет мощности",""),IF(AND(EY263&lt;&gt;"",COUNTIFS(Линии[Щит],A263,Линии[Клемма (итог)],EY263)&gt;1),"дубль клеммы "&amp;EY263,""),IF(AND(FB263&lt;&gt;"",FB263&lt;&gt;"ok"),FB263,""),IF(FC263&lt;&gt;"",FC263,""),IF(AND(ISNUMBER(SEARCH("(5х",DS263)),N(DV263)=1),"5 жил на 1 фазе",""),IF(AND(AT263="R",AD263&lt;&gt;"",OR(N(EH263)=0,N(EH263)&gt;30)),"розетка без дифзащиты до 30 мА",""),IFERROR(IF(AND(ISNUMBER(CD263),CD263&gt;CE263),"потери "&amp;FIXED(CD263,1)&amp;" % &gt; "&amp;CE263&amp;" %",""),""),IFERROR(IF(LEFT(FJ263,4)="мало","Iкз мало — отключение &gt; 0,4 с",""),""),IF(AND(D263&lt;&gt;"",BD263=""),"не на схеме","")))</f>
        <v/>
      </c>
      <c r="FL263">
        <f>IF(AD263="","",_xlfn.LET(_xlpm.t,IFERROR(_xlfn.XLOOKUP(EP263,Каталог!$U$4:$U$500,Каталог!$G$4:$G$500),""),_xlpm.k,SEARCH("кА",_xlpm.t),IFERROR(--TRIM(RIGHT(SUBSTITUTE(MID(_xlpm.t,MAX(1,_xlpm.k-4),_xlpm.k-MAX(1,_xlpm.k-4))," ",REPT(" ",9)),5)),"")))</f>
        <v>6</v>
      </c>
      <c r="FM263" t="str">
        <f>IF(OR(FL263="",AD263=""),"",IF(_xlfn.XLOOKUP(A263,Щиты[Щит],Щиты[Iкз max на шинах, кА],"")="","",IF(FL263&lt;_xlfn.XLOOKUP(A263,Щиты[Щит],Щиты[Iкз max на шинах, кА]),"Icu "&amp;FL263&amp;" кА &lt; Iкз max","ok")))</f>
        <v/>
      </c>
      <c r="FN263" t="str">
        <f t="shared" si="419"/>
        <v>QFD39|XT39</v>
      </c>
      <c r="FO263" t="str">
        <f t="shared" si="420"/>
        <v>QFD39|XT39|кабель ВВГнг(А)-LS (3х2,5) → Розеточная группа Первый этаж Пом. №017A</v>
      </c>
      <c r="FP263" t="str" cm="1">
        <f t="array" ref="FP263">IF(FO263="","",_xlfn.LET(_xlpm.nd,_xlfn.TEXTSPLIT(FO263,"|"),IF(COLUMNS(_xlpm.nd)&gt;1,A263&amp;"¦"&amp;INDEX(_xlpm.nd,1)&amp;"¦"&amp;INDEX(_xlpm.nd,2),"")))</f>
        <v>ЩР-1¦QFD39¦XT39</v>
      </c>
      <c r="FQ263" t="str">
        <f t="shared" si="421"/>
        <v>R.1.017A.2¦Розеточная группа Первый этаж Пом. №017A</v>
      </c>
      <c r="FR263" t="str" cm="1">
        <f t="array" ref="FR263">IF(FO263="","",_xlfn.LET(_xlpm.nd,_xlfn.TEXTSPLIT(FO263,"|"),IF(COLUMNS(_xlpm.nd)&gt;2,A263&amp;"¦"&amp;INDEX(_xlpm.nd,2)&amp;"¦"&amp;INDEX(_xlpm.nd,3),"")))</f>
        <v>ЩР-1¦XT39¦кабель ВВГнг(А)-LS (3х2,5) → Розеточная группа Первый этаж Пом. №017A</v>
      </c>
      <c r="FS263" t="str">
        <f t="shared" si="422"/>
        <v>R.1.017A.2¦Розеточная группа Первый этаж Пом. №017A</v>
      </c>
      <c r="FT263" t="str" cm="1">
        <f t="array" ref="FT263">IF(FO263="","",_xlfn.LET(_xlpm.nd,_xlfn.TEXTSPLIT(FO263,"|"),IF(COLUMNS(_xlpm.nd)&gt;3,A263&amp;"¦"&amp;INDEX(_xlpm.nd,3)&amp;"¦"&amp;INDEX(_xlpm.nd,4),"")))</f>
        <v/>
      </c>
      <c r="FU263" t="str">
        <f t="shared" si="423"/>
        <v/>
      </c>
      <c r="FV263" t="str" cm="1">
        <f t="array" ref="FV263">IF(FO263="","",_xlfn.LET(_xlpm.nd,_xlfn.TEXTSPLIT(FO263,"|"),IF(COLUMNS(_xlpm.nd)&gt;4,A263&amp;"¦"&amp;INDEX(_xlpm.nd,4)&amp;"¦"&amp;INDEX(_xlpm.nd,5),"")))</f>
        <v/>
      </c>
      <c r="FW263" t="str">
        <f t="shared" si="424"/>
        <v/>
      </c>
      <c r="FX263" t="str" cm="1">
        <f t="array" ref="FX263">IF(FO263="","",_xlfn.LET(_xlpm.nd,_xlfn.TEXTSPLIT(FO263,"|"),IF(COLUMNS(_xlpm.nd)&gt;5,A263&amp;"¦"&amp;INDEX(_xlpm.nd,5)&amp;"¦"&amp;INDEX(_xlpm.nd,6),"")))</f>
        <v/>
      </c>
      <c r="FY263" t="str">
        <f t="shared" si="425"/>
        <v/>
      </c>
      <c r="FZ263" t="str" cm="1">
        <f t="array" ref="FZ263">IF(FO263="","",_xlfn.LET(_xlpm.nd,_xlfn.TEXTSPLIT(FO263,"|"),IF(COLUMNS(_xlpm.nd)&gt;6,A263&amp;"¦"&amp;INDEX(_xlpm.nd,6)&amp;"¦"&amp;INDEX(_xlpm.nd,7),"")))</f>
        <v/>
      </c>
      <c r="GA263" t="str">
        <f t="shared" si="426"/>
        <v/>
      </c>
      <c r="GB263" t="str">
        <f t="shared" si="427"/>
        <v/>
      </c>
      <c r="GC263" t="str">
        <f t="shared" si="428"/>
        <v>QFD39 → XT39</v>
      </c>
      <c r="GD263">
        <f t="shared" si="429"/>
        <v>1</v>
      </c>
      <c r="GE263">
        <f t="shared" si="430"/>
        <v>0</v>
      </c>
      <c r="GF263">
        <f t="shared" si="431"/>
        <v>1</v>
      </c>
      <c r="GG263" t="str">
        <f t="shared" si="432"/>
        <v/>
      </c>
      <c r="GH263" t="str">
        <f t="shared" si="433"/>
        <v/>
      </c>
      <c r="GI263" t="str">
        <f t="shared" si="434"/>
        <v/>
      </c>
      <c r="GJ263" t="str">
        <f t="shared" si="435"/>
        <v/>
      </c>
      <c r="GK263" t="str">
        <f>IF(D263="","",IFERROR(VLOOKUP(D263,УГО_спр,2,FALSE),IFERROR(VLOOKUP(AT263,УГО_спр,2,FALSE),IFERROR(VLOOKUP(LEFT(AT263,2),УГО_спр,2,FALSE),""))))</f>
        <v>Розетка</v>
      </c>
      <c r="GL263" t="str">
        <f>IF(D263="","",IF(OR(GK263="",GK263=0),"BOX",IFERROR(IF(VLOOKUP(GK263,УГО_блоки,3,FALSE)&amp;""&lt;&gt;"",VLOOKUP(GK263,УГО_блоки,3,FALSE),VLOOKUP(GK263,УГО_блоки,2,FALSE)),GK263)))</f>
        <v>SOCKET</v>
      </c>
      <c r="GM263">
        <f t="shared" si="436"/>
        <v>1</v>
      </c>
      <c r="GN263" t="str">
        <f>IF(EP263="","",IF(COUNTIF(EP$3:EP263,EP263)=1,MAX(GN$2:GN262)+1,""))</f>
        <v/>
      </c>
      <c r="GO263" t="str">
        <f>IF(AF263="","",IF(COUNTIF(AF$3:AF263,AF263)+COUNTIF(AG$2:AG262,AF263)+COUNTIF(AH$2:AH262,AF263)=1,MAX(GO$2:GQ262)+1,""))</f>
        <v/>
      </c>
      <c r="GP263" t="str">
        <f>IF(AG263="","",IF(COUNTIF(AF$3:AF263,AG263)+COUNTIF(AG$3:AG263,AG263)+COUNTIF(AH$2:AH262,AG263)=1,MAX(GO$2:GQ262,GO263)+1,""))</f>
        <v/>
      </c>
      <c r="GQ263" t="str">
        <f>IF(AH263="","",IF(COUNTIF(AF$3:AF263,AH263)+COUNTIF(AG$3:AG263,AH263)+COUNTIF(AH$3:AH263,AH263)=1,MAX(GO$2:GQ262,GO263,GP263)+1,""))</f>
        <v/>
      </c>
      <c r="GR263" t="str">
        <f t="shared" si="437"/>
        <v>3х2,5</v>
      </c>
      <c r="GS263" t="str">
        <f>IF(GR263="","",IF(COUNTIF(GR$3:GR263,GR263)=1,MAX(GS$2:GS262)+1,""))</f>
        <v/>
      </c>
      <c r="GT263" t="str">
        <f>IF(ES263="","",COUNTIF(ES$3:ES263,"?*"))</f>
        <v/>
      </c>
      <c r="GU263" t="str">
        <f>IF(OR(ES263="",EU263=""),"",IF(COUNTIFS(ES$3:ES263,"?*",EU$3:EU263,EU263)=1,MAX(GU$2:GU262)+1,""))</f>
        <v/>
      </c>
      <c r="GV263">
        <f t="shared" si="438"/>
        <v>0</v>
      </c>
      <c r="GW263">
        <f>IF(D263="","",COUNTIF(D$3:D263,"?*"))</f>
        <v>261</v>
      </c>
      <c r="GX263">
        <f>IF(EX263&lt;&gt;1,0,_xlfn.LET(_xlpm.k,MAX(IFERROR(--VLOOKUP(D263,УГО_спр,5,FALSE),0),IFERROR(--VLOOKUP(AT263,УГО_спр,5,FALSE),0),IFERROR(--VLOOKUP(LEFT(AT263,2),УГО_спр,5,FALSE),0)),IF(_xlpm.k&gt;0,_xlpm.k,IF(IFERROR(--LEFT(SUBSTITUTE(GR263,"x","х"),FIND("х",SUBSTITUTE(GR263,"x","х"))-1),3)&gt;3,Каталог!$S$9,1))))</f>
        <v>1</v>
      </c>
      <c r="GY263">
        <f t="shared" si="439"/>
        <v>0</v>
      </c>
    </row>
    <row r="264" spans="1:207" x14ac:dyDescent="0.3">
      <c r="A264" t="s">
        <v>762</v>
      </c>
      <c r="B264">
        <v>54</v>
      </c>
      <c r="C264" t="str">
        <f>IF(BD264="","",IF(BE264="вводной узел","узел ","")&amp;"л."&amp;(INT((BD264-1)/Столбцов_на_лист)+1)&amp;" / "&amp;(MOD(BD264-1,Столбцов_на_лист)+1))</f>
        <v>л.4 / 3</v>
      </c>
      <c r="D264" t="s">
        <v>1586</v>
      </c>
      <c r="E264" s="133" t="str">
        <f t="shared" si="352"/>
        <v>Розеточная группа Первый этаж Пом. №018A</v>
      </c>
      <c r="G264">
        <v>0.12</v>
      </c>
      <c r="H264">
        <v>1</v>
      </c>
      <c r="I264">
        <v>1</v>
      </c>
      <c r="J264">
        <v>230</v>
      </c>
      <c r="K264" t="s">
        <v>566</v>
      </c>
      <c r="O264">
        <v>2</v>
      </c>
      <c r="P264">
        <v>39</v>
      </c>
      <c r="Q264">
        <v>20</v>
      </c>
      <c r="R264">
        <v>18</v>
      </c>
      <c r="S264">
        <v>4</v>
      </c>
      <c r="U264" t="s">
        <v>11</v>
      </c>
      <c r="V264">
        <v>3</v>
      </c>
      <c r="W264">
        <v>2.5</v>
      </c>
      <c r="Z264" t="s">
        <v>565</v>
      </c>
      <c r="AA264" t="s">
        <v>818</v>
      </c>
      <c r="AD264" t="s">
        <v>517</v>
      </c>
      <c r="AR264" t="str">
        <f t="shared" si="353"/>
        <v/>
      </c>
      <c r="AS264" cm="1">
        <f t="array" ref="AS264">ROW()-ROW(Линии[#Headers])</f>
        <v>262</v>
      </c>
      <c r="AT264" t="str">
        <f t="shared" si="354"/>
        <v>R</v>
      </c>
      <c r="AU264" t="str">
        <f t="shared" si="355"/>
        <v>1.018A.1</v>
      </c>
      <c r="AV264" t="str">
        <f t="shared" si="356"/>
        <v>1</v>
      </c>
      <c r="AW264" t="str">
        <f t="shared" si="357"/>
        <v>018A.1</v>
      </c>
      <c r="AX264" t="str">
        <f t="shared" si="358"/>
        <v>018A</v>
      </c>
      <c r="AY264" t="str">
        <f>IF(D264="","",IF(ISERROR(SEARCH(".",D264)),IFERROR(VLOOKUP(D264,Потребители_обозначение,2,FALSE)&amp;"",""),IFERROR(IF(VLOOKUP(AT264,Потребители_обозначение,4,FALSE)=1,VLOOKUP(AT264,Потребители_обозначение,2,FALSE)&amp;" "&amp;VLOOKUP(AV264,Этаж_обозначение,2,FALSE)&amp;" Пом. №"&amp;AX264,VLOOKUP(AT264,Потребители_обозначение,2,FALSE)&amp;" Шлейф №"&amp;AV264),IFERROR(VLOOKUP(D264,Потребители_обозначение,2,FALSE),""))))</f>
        <v>Розеточная группа Первый этаж Пом. №018A</v>
      </c>
      <c r="AZ264" t="str">
        <f t="shared" si="359"/>
        <v>Розеточная группа Первый этаж Пом. №018A</v>
      </c>
      <c r="BA264" t="str">
        <f>IF(F264&lt;&gt;"",F264,IF(AND(D264&lt;&gt;"",D264&lt;&gt;A264,ISNUMBER(_xlfn.XMATCH(D264,Щиты[Щит]))),D264,""))</f>
        <v/>
      </c>
      <c r="BB264">
        <f>IFERROR(_xlfn.XMATCH(A264,Щиты[Щит]),0)</f>
        <v>10</v>
      </c>
      <c r="BC264">
        <f>IFERROR(N(_xlfn.XLOOKUP(A264,Щиты[Щит],Щиты[Мест под вводной узел])),15)</f>
        <v>8</v>
      </c>
      <c r="BD264">
        <f t="shared" si="360"/>
        <v>54</v>
      </c>
      <c r="BE264" t="str">
        <f t="shared" si="361"/>
        <v>линии</v>
      </c>
      <c r="BF264">
        <f>IF(D264="","",IF(BA264&lt;&gt;"",IFERROR(_xlfn.XLOOKUP(BA264,Щиты[Щит],Щиты[Руст, кВт]),0),N(G264)))</f>
        <v>0.12</v>
      </c>
      <c r="BG264">
        <f>IF(J264&lt;&gt;"",J264,IF(D264="","",IFERROR(IF(VLOOKUP(AT264,Потребители_обозначение,8,FALSE)=0,"",VLOOKUP(AT264,Потребители_обозначение,8,FALSE)),"")))</f>
        <v>230</v>
      </c>
      <c r="BH264">
        <f>IF(I264&lt;&gt;"",I264,IF(D264="","",IFERROR(IF(VLOOKUP(AT264,Потребители_обозначение,9,FALSE)=0,"",VLOOKUP(AT264,Потребители_обозначение,9,FALSE)),"")))</f>
        <v>1</v>
      </c>
      <c r="BI264" t="str">
        <f>IF(U264&lt;&gt;"",U264,IF(D264="","",IFERROR(IF(VLOOKUP(AT264,Потребители_обозначение,6,FALSE)=0,"",VLOOKUP(AT264,Потребители_обозначение,6,FALSE)),"")))</f>
        <v>мс</v>
      </c>
      <c r="BJ264">
        <f>IF(V264&lt;&gt;"",V264,IF(D264="","",IFERROR(IF(VLOOKUP(AT264,Потребители_обозначение,7,FALSE)=0,"",VLOOKUP(AT264,Потребители_обозначение,7,FALSE)),"")))</f>
        <v>3</v>
      </c>
      <c r="BK264">
        <f>IF(W264&lt;&gt;"",W264,IF(D264="","",IFERROR(IF(VLOOKUP(AT264,Потребители_обозначение,10,FALSE)=0,"",VLOOKUP(AT264,Потребители_обозначение,10,FALSE)),"")))</f>
        <v>2.5</v>
      </c>
      <c r="BL264">
        <f>IFERROR(VLOOKUP(AT264,Потребители_обозначение,5,FALSE),0)</f>
        <v>1</v>
      </c>
      <c r="BM264" cm="1">
        <f t="array" ref="BM264">IF(D264="","",IF(BA264&lt;&gt;"",IFERROR(_xlfn.XLOOKUP(BA264,Щиты[Щит],Щиты[cos φ]),0.95),IF(ISNUMBER(M264),M264,IFERROR(IF(BL264=2,_xlfn.IFS(BH264=3,VLOOKUP(BF264,Справочная_двигатели,8,FALSE),BH264=1,VLOOKUP(BF264,Справочная_двигатели,10,TRUE)),IF(AND(Методика="нормы 2026",CN264="Сил"),0.8,0.95)),0.95))))</f>
        <v>0.95</v>
      </c>
      <c r="BN264" cm="1">
        <f t="array" ref="BN264">IF(D264="","",IF(BA264&lt;&gt;"",IFERROR(_xlfn.XLOOKUP(BA264,Щиты[Щит],Щиты[Iр, А]),""),IFERROR(_xlfn.IFS(BH264=1,BF264/((Uн_лин/SQRT(3))*BM264),BH264=3,BF264/(SQRT(3)*Uн_лин*BM264)),"")))</f>
        <v>0.54696341291648753</v>
      </c>
      <c r="BO264">
        <f>IF(D264="","",IF(N(X264)=0,IFERROR(VLOOKUP(BN264,Автомат_номиналы,2,TRUE),""),X264))</f>
        <v>6</v>
      </c>
      <c r="BP264">
        <f t="shared" si="362"/>
        <v>1</v>
      </c>
      <c r="BQ264">
        <f>IF(ISNUMBER(Y264),Y264,К_прокл)</f>
        <v>1</v>
      </c>
      <c r="BR264">
        <f t="shared" si="363"/>
        <v>2</v>
      </c>
      <c r="BS264" cm="1">
        <f t="array" ref="BS264">IF(D264="","",IF(N(BK264)&lt;&gt;0,BK264,IFERROR(_xlfn.LET(_xlpm.need,BO264/(BP264*BQ264),_xlpm.t,CHOOSE(BR264,Iдоп_1ж,Iдоп_2ж,Iдоп_3ж),_xlpm.k,_xlfn.XMATCH(_xlpm.need,_xlpm.t,1),IF(ISNA(_xlpm.k),"Не исп",INDEX(Iдоп_S,_xlpm.k))),"Не исп")))</f>
        <v>2.5</v>
      </c>
      <c r="BT264">
        <f>IFERROR(VLOOKUP(BS264,Кабель_сопротивление,3,FALSE),"")</f>
        <v>2.2499999999999999E-2</v>
      </c>
      <c r="BU264">
        <f>IFERROR(VLOOKUP(BS264,Кабель_сопротивление,2,FALSE),"")</f>
        <v>0.1</v>
      </c>
      <c r="BV264">
        <f t="shared" si="364"/>
        <v>39</v>
      </c>
      <c r="BW264">
        <f>IF(D264="","",IFERROR(IF(VLOOKUP(AT264,Потребители_обозначение,4,FALSE)=1,VLOOKUP(AT264,Потребители_обозначение,3,FALSE)*(H264*2-1)+BV264+VLOOKUP(AV264,Этаж_обозначение,3,FALSE)+VLOOKUP(AV264,Этаж_обозначение,4,FALSE),VLOOKUP(AT264,Потребители_обозначение,3,FALSE)*(H264*2-1)+BV264),BV264))</f>
        <v>42</v>
      </c>
      <c r="BX264">
        <f t="shared" si="365"/>
        <v>18</v>
      </c>
      <c r="BY264">
        <f t="shared" si="366"/>
        <v>4</v>
      </c>
      <c r="BZ264">
        <f t="shared" si="367"/>
        <v>2</v>
      </c>
      <c r="CA264">
        <f t="shared" si="368"/>
        <v>0.31</v>
      </c>
      <c r="CB264">
        <f t="shared" si="369"/>
        <v>0.39425341588385587</v>
      </c>
      <c r="CC264">
        <f>IFERROR(ROUNDUP(CB264/((Uн_лин/SQRT(3))*1000)*100,2),"")</f>
        <v>0.18000000000000002</v>
      </c>
      <c r="CD264">
        <f>IF(ISNUMBER(CC264),CC264+IFERROR(_xlfn.XLOOKUP(A264,Щиты[Щит],Щиты[ΔU до шин, %]),0),"")</f>
        <v>1.43</v>
      </c>
      <c r="CE264">
        <f>IF(D264="","",IF(IFERROR(VLOOKUP(AT264,УГО_спр,2,FALSE),"")="Светильник",3,4)+IF(Методика="нормы 2026",MIN(0.5,MAX(0,N(BW264)-100)*0.005),0))</f>
        <v>4</v>
      </c>
      <c r="CF264" t="str">
        <f>IFERROR(VLOOKUP(BI264,Кабель_обозначение,2,FALSE),"")</f>
        <v>ВВГнг(А)-LS</v>
      </c>
      <c r="CG264" t="str">
        <f>IFERROR(IF(VLOOKUP(BI264,Кабель_обозначение,3,FALSE)=1,CF264&amp;" ("&amp;BJ264&amp;"х"&amp;BS264&amp;")",CF264),"")</f>
        <v>ВВГнг(А)-LS (3х2,5)</v>
      </c>
      <c r="CH264" t="str">
        <f t="shared" si="370"/>
        <v>ВВГнг(А)-LS (3х2,5)
L=42-0,18%</v>
      </c>
      <c r="CI264">
        <f>IFERROR(2*ρкз_Cu*BW264/BS264,"")</f>
        <v>0.88368000000000002</v>
      </c>
      <c r="CJ264">
        <f t="shared" si="371"/>
        <v>0.29400000000000004</v>
      </c>
      <c r="CK264" t="str">
        <f>IFERROR(IF(OR(D264="",NOT(ISNUMBER(BS264)),N(BW264)=0),"",_xlfn.XLOOKUP(A264,Щиты[Щит],Щиты[Zпетли на шинах, Ом])+CI264),"")</f>
        <v/>
      </c>
      <c r="CL264" t="str">
        <f>IF(ISNUMBER(CK264),c_min*(Uн_лин*1000/SQRT(3))/CK264,"")</f>
        <v/>
      </c>
      <c r="CM264" t="str">
        <f>IFERROR(IF(OR(D264="",NOT(ISNUMBER(BS264))),"",1.05*(Uн_лин*1000/SQRT(3))/(_xlfn.XLOOKUP(A264,Щиты[Щит],Щиты[Zmax на шинах, Ом])+CJ264)/1000),"")</f>
        <v/>
      </c>
      <c r="CN264" t="str">
        <f>IF(D264="","",IF(BA264&lt;&gt;"","Щит",IF(K264&lt;&gt;"",K264,IF(ISNUMBER(L264),"Сил",IF(IFERROR(_xlfn.XLOOKUP(AT264,Коды_код,Коды_группа)&amp;"","")="","Быт",_xlfn.XLOOKUP(AT264,Коды_код,Коды_группа)&amp;"")))))</f>
        <v>Быт</v>
      </c>
      <c r="CO264">
        <f>IF(CN264="Щит","щит",IF(CN264="","",IF(CN264="Быт",IFERROR(_xlfn.XLOOKUP(A264,Щиты[Щит],Щиты[Кс быт]),1),IF(CN264="Сил",IF(ISNUMBER(L264),L264,IF(Методика="нормы 2026",IFERROR(_xlfn.XLOOKUP(A264,Щиты[Щит],Щиты[Кс силовых (табл. 7.5)]),1),1)),IF(OR(CN264="Пост",CN264="Отоп"),1,IF(CN264="ВНГ",0.7,0))))))</f>
        <v>0.57830000000000004</v>
      </c>
      <c r="CP264">
        <f t="shared" si="372"/>
        <v>1</v>
      </c>
      <c r="CQ264">
        <f t="shared" si="373"/>
        <v>0.12</v>
      </c>
      <c r="CR264">
        <f t="shared" si="374"/>
        <v>0.12</v>
      </c>
      <c r="CS264">
        <f t="shared" si="375"/>
        <v>0</v>
      </c>
      <c r="CT264">
        <f t="shared" si="376"/>
        <v>0</v>
      </c>
      <c r="CU264">
        <f t="shared" si="377"/>
        <v>0</v>
      </c>
      <c r="CV264">
        <f t="shared" si="378"/>
        <v>0</v>
      </c>
      <c r="CW264">
        <f t="shared" si="379"/>
        <v>0.12</v>
      </c>
      <c r="CX264">
        <f t="shared" si="380"/>
        <v>0.11399999999999999</v>
      </c>
      <c r="CY264">
        <f t="shared" si="381"/>
        <v>1</v>
      </c>
      <c r="CZ264" t="str">
        <f t="shared" si="382"/>
        <v>L1</v>
      </c>
      <c r="DA264" cm="1">
        <f t="array" ref="DA264">IFERROR(IF(BL264=2,_xlfn.IFS(BH264=3,VLOOKUP(BF264,Справочная_двигатели,3,FALSE),BH264=1,VLOOKUP(BF264,Справочная_двигатели,5,TRUE)),0),0)</f>
        <v>0</v>
      </c>
      <c r="DB264">
        <f>IFERROR(IF(BL264=3,VLOOKUP(BF264,Справочная_ЛЭД,2,TRUE),0),0)</f>
        <v>0</v>
      </c>
      <c r="DC264">
        <f t="shared" si="383"/>
        <v>0</v>
      </c>
      <c r="DD264" t="str">
        <f t="shared" si="384"/>
        <v>L2</v>
      </c>
      <c r="DE264" t="str" cm="1">
        <f t="array" ref="DE264">IF(D264="","",IFERROR(INDEX({"I особая","I","II","III"},MATCH(TRIM(AA264&amp;""),{"I особая","I","II","III"},0)),"III"))</f>
        <v>II</v>
      </c>
      <c r="DF264" t="str">
        <f>IF(D264="","",IF(TRIM(AB264&amp;"")&lt;&gt;"",IF(LOWER(TRIM(AB264&amp;""))="да","да","нет"),IF(IFERROR(_xlfn.XLOOKUP(AT264,Коды_код,Коды_пожарная),"")="да","да","нет")))</f>
        <v>нет</v>
      </c>
      <c r="DG264" t="str">
        <f t="shared" si="385"/>
        <v/>
      </c>
      <c r="DH264" t="str">
        <f t="shared" si="386"/>
        <v>основная</v>
      </c>
      <c r="DI264">
        <f t="shared" si="387"/>
        <v>1</v>
      </c>
      <c r="DJ264" t="str" cm="1">
        <f t="array" ref="DJ264">IF(D264="","",_xlfn.LET(_xlpm.t,IFERROR(_xlfn.XLOOKUP(1,(Шины[Шина]=DH264)*(((Шины[Щит]=A264)+(Шины[Щит]=""))&gt;0),Шины[Тип]),"")&amp;"",IF(_xlpm.t&lt;&gt;"",_xlpm.t,IF(ISNUMBER(SEARCH("ИБП",DH264)),"ИБП",IF(ISNUMBER(SEARCH("ДГУ",DH264)),"ДГУ","Ввод "&amp;DI264)))))</f>
        <v>Ввод 1</v>
      </c>
      <c r="DK264" t="str">
        <f t="shared" si="388"/>
        <v>Ввод 1</v>
      </c>
      <c r="DL264" t="str">
        <f>IF(D264="","",IF(OR(DJ264="ИБП",DJ264="ДГУ"),"I особая",IF(DJ264="Одиночная","III",_xlfn.XLOOKUP(A264,Щиты[Щит],Щиты[Категория шины «Ввод»],"III"))))</f>
        <v>II</v>
      </c>
      <c r="DM264">
        <f>IF(D264="",0,IFERROR(MATCH(DE264,{"III","II","I","I особая"},0),1))</f>
        <v>2</v>
      </c>
      <c r="DN264">
        <f t="shared" si="389"/>
        <v>2</v>
      </c>
      <c r="DO264" t="str">
        <f>IF(D264="","",IF(DM264&gt;IFERROR(MATCH(DL264,{"III","II","I","I особая"},0),1),"НЕ ОБЕСПЕЧЕНА","ОК"))</f>
        <v>ОК</v>
      </c>
      <c r="DP264" t="str">
        <f>IF(A264="","",_xlfn.XLOOKUP(A264,Щиты[Щит],Щиты[Путь],""))</f>
        <v>|ГРЩ-ЖД|ЩР-1|</v>
      </c>
      <c r="DQ264" t="str">
        <f>IF(D264="","",IF(Z264&lt;&gt;"",Z264,IF(IFERROR(_xlfn.XLOOKUP(AT264,Коды_код,Коды_вид)&amp;"","")="","Прочее",_xlfn.XLOOKUP(AT264,Коды_код,Коды_вид)&amp;"")))</f>
        <v>Розеточная сеть и бытовые приборы</v>
      </c>
      <c r="DR264">
        <f>IF(BD264="","",INT((BD264-1)/Столбцов_на_лист)+1)</f>
        <v>4</v>
      </c>
      <c r="DS264" t="str">
        <f t="shared" si="390"/>
        <v>ВВГнг(А)-LS (3х2,5) L=42-0,18%</v>
      </c>
      <c r="DT264">
        <f t="shared" si="391"/>
        <v>0.12</v>
      </c>
      <c r="DU264">
        <f t="shared" si="392"/>
        <v>0.55000000000000004</v>
      </c>
      <c r="DV264">
        <f t="shared" si="393"/>
        <v>1</v>
      </c>
      <c r="DW264">
        <f>IF(AT264="",0,_xlfn.LET(_xlpm.v,IFERROR(VLOOKUP(D264,УГО_спр,3,FALSE),IFERROR(VLOOKUP(AT264,УГО_спр,3,FALSE),IFERROR(VLOOKUP(LEFT(AT264,2),УГО_спр,3,FALSE),""))),IF(_xlpm.v="да",30,IF(ISNUMBER(_xlpm.v),_xlpm.v,0))))</f>
        <v>30</v>
      </c>
      <c r="DX264">
        <f t="shared" si="394"/>
        <v>0</v>
      </c>
      <c r="DY264">
        <f>IF(BD264="","",IF(AD264&lt;&gt;"",COUNTIFS(A$3:A264,A264,AD$3:AD264,"?*"),IF(OR(OR(AS264=1,A264&lt;&gt;A263),AL264="вручную"),"",IF(AS264=1,"",DZ263))))</f>
        <v>40</v>
      </c>
      <c r="DZ264">
        <f t="shared" si="395"/>
        <v>40</v>
      </c>
      <c r="EA264">
        <f>IF(D264="",0,MAX(IFERROR(--X264,0),IFERROR(--VLOOKUP(D264,УГО_спр,4,FALSE),IFERROR(--VLOOKUP(AT264,УГО_спр,4,FALSE),IFERROR(--VLOOKUP(LEFT(AT264,2),УГО_спр,4,FALSE),0)))))</f>
        <v>16</v>
      </c>
      <c r="EB264">
        <f>IF(D264="","",IFERROR(LOOKUP(INDEX(CHOOSE(BR264,Iдоп_1ж,Iдоп_2ж,Iдоп_3ж),MATCH(BS264,Iдоп_S,0))*BP264*BQ264,{6,10,16,20,25,32,40,50,63,80,100,125,160,200,250,315,400,500,630}),""))</f>
        <v>25</v>
      </c>
      <c r="EC264">
        <f>IF(AD264="","",SUMIFS(Линии[_Ток схемы],Линии[_гр.],DY264,Линии[Щит],A264,Линии[_в кабель выше],0))</f>
        <v>0.55000000000000004</v>
      </c>
      <c r="ED264">
        <f>IF(AD264="","",IFERROR(VLOOKUP(EC264,Автомат_номиналы,2,TRUE),""))</f>
        <v>6</v>
      </c>
      <c r="EE264">
        <f>IF(AD264="","",MAX(N(ED264),_xlfn.MAXIFS(Линии[_мин. по типу],Линии[_гр.],DY264,Линии[Щит],A264)))</f>
        <v>16</v>
      </c>
      <c r="EF264">
        <f>IF(AD264="","",_xlfn.MINIFS(Линии[_макс. автомат по кабелю],Линии[_гр.],DY264,Линии[Щит],A264))</f>
        <v>25</v>
      </c>
      <c r="EG264">
        <f>IF(AD264="","",MAX(1,_xlfn.MAXIFS(Линии[_фаз],Линии[_гр.],DY264,Линии[Щит],A264)))</f>
        <v>1</v>
      </c>
      <c r="EH264">
        <f>IF(AD264="","",IF(AND(AD264&lt;&gt;"авто",AD264&lt;&gt;"+"),IF(ISNUMBER(SEARCH("мА",AD264)),IFERROR(--TRIM(RIGHT(SUBSTITUTE(LEFT(AD264,SEARCH("мА",AD264)-1)," ",REPT(" ",9)),6)),30),0),IF(AE264="нет",0,IF(ISNUMBER(AE264),AE264,IF(AE264="да",30,_xlfn.MINIFS(Линии[_дифзащита по коду, мА],Линии[_гр.],DY264,Линии[Щит],A264,Линии[_дифзащита по коду, мА],"&gt;0"))))))</f>
        <v>30</v>
      </c>
      <c r="EI264">
        <f t="shared" si="396"/>
        <v>1</v>
      </c>
      <c r="EJ264" t="str">
        <f t="shared" si="397"/>
        <v>QFD40</v>
      </c>
      <c r="EK264" t="str">
        <f t="shared" si="398"/>
        <v>QFD40</v>
      </c>
      <c r="EL264" t="str">
        <f t="shared" si="399"/>
        <v/>
      </c>
      <c r="EM264">
        <f t="shared" si="400"/>
        <v>0</v>
      </c>
      <c r="EN264">
        <f>IF(AD264="","",IF(EM264=1,MAX(EE264,Мин_автомат_БП),EE264))</f>
        <v>16</v>
      </c>
      <c r="EO264" t="str">
        <f t="shared" si="401"/>
        <v>2P</v>
      </c>
      <c r="EP264" t="str">
        <f t="shared" si="402"/>
        <v>2P С16А 30мА</v>
      </c>
      <c r="EQ264">
        <f t="shared" si="403"/>
        <v>16</v>
      </c>
      <c r="ER264" t="str">
        <f>IF(OR(AI264="",AI264="-"),"",IFERROR(VLOOKUP(AI264,Модули_спр,2,FALSE),"R"))</f>
        <v/>
      </c>
      <c r="ES264" t="str">
        <f>IF(ER264="","",ER264&amp;"."&amp;COUNTIFS(A$3:A264,A264,ER$3:ER264,ER264))</f>
        <v/>
      </c>
      <c r="ET264" t="str">
        <f t="shared" si="404"/>
        <v/>
      </c>
      <c r="EU264" t="str">
        <f t="shared" si="405"/>
        <v/>
      </c>
      <c r="EV264" t="str">
        <f t="shared" si="406"/>
        <v/>
      </c>
      <c r="EW264" t="str">
        <f t="shared" si="407"/>
        <v/>
      </c>
      <c r="EX264">
        <f t="shared" si="408"/>
        <v>1</v>
      </c>
      <c r="EY264" t="str">
        <f>IF(AK264="нет","",IF(AK264&lt;&gt;"",AK264,IF(EX264=1,"XT"&amp;COUNTIFS(A$3:A264,A264,EX$3:EX264,1),"")))</f>
        <v>XT40</v>
      </c>
      <c r="EZ264" t="str">
        <f t="shared" si="409"/>
        <v>QFD40</v>
      </c>
      <c r="FA264" t="str">
        <f t="shared" si="410"/>
        <v/>
      </c>
      <c r="FB264" t="str">
        <f t="shared" si="411"/>
        <v>ok</v>
      </c>
      <c r="FC264" t="str">
        <f>IF(OR(EV264="",ET264=""),"",IF(EV264&gt;IFERROR(VLOOKUP(EU264,Модули_спр,3,FALSE),99),"ЛИШНИЙ КАНАЛ",IF(AND(AJ264&lt;&gt;"=",COUNTIFS(Линии[_модуль гр.],ET264,Линии[Канал (итог)],EV264,Линии[Канал],"&lt;&gt;=",Линии[Щит],A264)&gt;1),"ДУБЛЬ КАНАЛА","")))</f>
        <v/>
      </c>
      <c r="FD264">
        <f t="shared" si="412"/>
        <v>16</v>
      </c>
      <c r="FE264" t="str">
        <f t="shared" si="413"/>
        <v>2P С16А 30мА</v>
      </c>
      <c r="FF264">
        <f t="shared" si="414"/>
        <v>1</v>
      </c>
      <c r="FG264">
        <f t="shared" si="415"/>
        <v>30</v>
      </c>
      <c r="FH264" t="str">
        <f t="shared" si="416"/>
        <v/>
      </c>
      <c r="FI264">
        <f t="shared" si="417"/>
        <v>10</v>
      </c>
      <c r="FJ264" t="str">
        <f t="shared" si="418"/>
        <v/>
      </c>
      <c r="FK264" t="str">
        <f>IF(AND(D264="",EZ264=""),"",_xlfn.TEXTJOIN("; ",TRUE,IF(AND(D264&lt;&gt;"",DD264=""),"нет фазы",""),IF(AND(D264&lt;&gt;"",N(DT264)=0,CN264&lt;&gt;"Нет"),"нет мощности",""),IF(AND(EY264&lt;&gt;"",COUNTIFS(Линии[Щит],A264,Линии[Клемма (итог)],EY264)&gt;1),"дубль клеммы "&amp;EY264,""),IF(AND(FB264&lt;&gt;"",FB264&lt;&gt;"ok"),FB264,""),IF(FC264&lt;&gt;"",FC264,""),IF(AND(ISNUMBER(SEARCH("(5х",DS264)),N(DV264)=1),"5 жил на 1 фазе",""),IF(AND(AT264="R",AD264&lt;&gt;"",OR(N(EH264)=0,N(EH264)&gt;30)),"розетка без дифзащиты до 30 мА",""),IFERROR(IF(AND(ISNUMBER(CD264),CD264&gt;CE264),"потери "&amp;FIXED(CD264,1)&amp;" % &gt; "&amp;CE264&amp;" %",""),""),IFERROR(IF(LEFT(FJ264,4)="мало","Iкз мало — отключение &gt; 0,4 с",""),""),IF(AND(D264&lt;&gt;"",BD264=""),"не на схеме","")))</f>
        <v/>
      </c>
      <c r="FL264">
        <f>IF(AD264="","",_xlfn.LET(_xlpm.t,IFERROR(_xlfn.XLOOKUP(EP264,Каталог!$U$4:$U$500,Каталог!$G$4:$G$500),""),_xlpm.k,SEARCH("кА",_xlpm.t),IFERROR(--TRIM(RIGHT(SUBSTITUTE(MID(_xlpm.t,MAX(1,_xlpm.k-4),_xlpm.k-MAX(1,_xlpm.k-4))," ",REPT(" ",9)),5)),"")))</f>
        <v>6</v>
      </c>
      <c r="FM264" t="str">
        <f>IF(OR(FL264="",AD264=""),"",IF(_xlfn.XLOOKUP(A264,Щиты[Щит],Щиты[Iкз max на шинах, кА],"")="","",IF(FL264&lt;_xlfn.XLOOKUP(A264,Щиты[Щит],Щиты[Iкз max на шинах, кА]),"Icu "&amp;FL264&amp;" кА &lt; Iкз max","ok")))</f>
        <v/>
      </c>
      <c r="FN264" t="str">
        <f t="shared" si="419"/>
        <v>QFD40|XT40</v>
      </c>
      <c r="FO264" t="str">
        <f t="shared" si="420"/>
        <v>QFD40|XT40|кабель ВВГнг(А)-LS (3х2,5) → Розеточная группа Первый этаж Пом. №018A</v>
      </c>
      <c r="FP264" t="str" cm="1">
        <f t="array" ref="FP264">IF(FO264="","",_xlfn.LET(_xlpm.nd,_xlfn.TEXTSPLIT(FO264,"|"),IF(COLUMNS(_xlpm.nd)&gt;1,A264&amp;"¦"&amp;INDEX(_xlpm.nd,1)&amp;"¦"&amp;INDEX(_xlpm.nd,2),"")))</f>
        <v>ЩР-1¦QFD40¦XT40</v>
      </c>
      <c r="FQ264" t="str">
        <f t="shared" si="421"/>
        <v>R.1.018A.1¦Розеточная группа Первый этаж Пом. №018A</v>
      </c>
      <c r="FR264" t="str" cm="1">
        <f t="array" ref="FR264">IF(FO264="","",_xlfn.LET(_xlpm.nd,_xlfn.TEXTSPLIT(FO264,"|"),IF(COLUMNS(_xlpm.nd)&gt;2,A264&amp;"¦"&amp;INDEX(_xlpm.nd,2)&amp;"¦"&amp;INDEX(_xlpm.nd,3),"")))</f>
        <v>ЩР-1¦XT40¦кабель ВВГнг(А)-LS (3х2,5) → Розеточная группа Первый этаж Пом. №018A</v>
      </c>
      <c r="FS264" t="str">
        <f t="shared" si="422"/>
        <v>R.1.018A.1¦Розеточная группа Первый этаж Пом. №018A</v>
      </c>
      <c r="FT264" t="str" cm="1">
        <f t="array" ref="FT264">IF(FO264="","",_xlfn.LET(_xlpm.nd,_xlfn.TEXTSPLIT(FO264,"|"),IF(COLUMNS(_xlpm.nd)&gt;3,A264&amp;"¦"&amp;INDEX(_xlpm.nd,3)&amp;"¦"&amp;INDEX(_xlpm.nd,4),"")))</f>
        <v/>
      </c>
      <c r="FU264" t="str">
        <f t="shared" si="423"/>
        <v/>
      </c>
      <c r="FV264" t="str" cm="1">
        <f t="array" ref="FV264">IF(FO264="","",_xlfn.LET(_xlpm.nd,_xlfn.TEXTSPLIT(FO264,"|"),IF(COLUMNS(_xlpm.nd)&gt;4,A264&amp;"¦"&amp;INDEX(_xlpm.nd,4)&amp;"¦"&amp;INDEX(_xlpm.nd,5),"")))</f>
        <v/>
      </c>
      <c r="FW264" t="str">
        <f t="shared" si="424"/>
        <v/>
      </c>
      <c r="FX264" t="str" cm="1">
        <f t="array" ref="FX264">IF(FO264="","",_xlfn.LET(_xlpm.nd,_xlfn.TEXTSPLIT(FO264,"|"),IF(COLUMNS(_xlpm.nd)&gt;5,A264&amp;"¦"&amp;INDEX(_xlpm.nd,5)&amp;"¦"&amp;INDEX(_xlpm.nd,6),"")))</f>
        <v/>
      </c>
      <c r="FY264" t="str">
        <f t="shared" si="425"/>
        <v/>
      </c>
      <c r="FZ264" t="str" cm="1">
        <f t="array" ref="FZ264">IF(FO264="","",_xlfn.LET(_xlpm.nd,_xlfn.TEXTSPLIT(FO264,"|"),IF(COLUMNS(_xlpm.nd)&gt;6,A264&amp;"¦"&amp;INDEX(_xlpm.nd,6)&amp;"¦"&amp;INDEX(_xlpm.nd,7),"")))</f>
        <v/>
      </c>
      <c r="GA264" t="str">
        <f t="shared" si="426"/>
        <v/>
      </c>
      <c r="GB264" t="str">
        <f t="shared" si="427"/>
        <v/>
      </c>
      <c r="GC264" t="str">
        <f t="shared" si="428"/>
        <v>QFD40 → XT40</v>
      </c>
      <c r="GD264">
        <f t="shared" si="429"/>
        <v>1</v>
      </c>
      <c r="GE264">
        <f t="shared" si="430"/>
        <v>0</v>
      </c>
      <c r="GF264">
        <f t="shared" si="431"/>
        <v>1</v>
      </c>
      <c r="GG264" t="str">
        <f t="shared" si="432"/>
        <v/>
      </c>
      <c r="GH264" t="str">
        <f t="shared" si="433"/>
        <v/>
      </c>
      <c r="GI264" t="str">
        <f t="shared" si="434"/>
        <v/>
      </c>
      <c r="GJ264" t="str">
        <f t="shared" si="435"/>
        <v/>
      </c>
      <c r="GK264" t="str">
        <f>IF(D264="","",IFERROR(VLOOKUP(D264,УГО_спр,2,FALSE),IFERROR(VLOOKUP(AT264,УГО_спр,2,FALSE),IFERROR(VLOOKUP(LEFT(AT264,2),УГО_спр,2,FALSE),""))))</f>
        <v>Розетка</v>
      </c>
      <c r="GL264" t="str">
        <f>IF(D264="","",IF(OR(GK264="",GK264=0),"BOX",IFERROR(IF(VLOOKUP(GK264,УГО_блоки,3,FALSE)&amp;""&lt;&gt;"",VLOOKUP(GK264,УГО_блоки,3,FALSE),VLOOKUP(GK264,УГО_блоки,2,FALSE)),GK264)))</f>
        <v>SOCKET</v>
      </c>
      <c r="GM264">
        <f t="shared" si="436"/>
        <v>1</v>
      </c>
      <c r="GN264" t="str">
        <f>IF(EP264="","",IF(COUNTIF(EP$3:EP264,EP264)=1,MAX(GN$2:GN263)+1,""))</f>
        <v/>
      </c>
      <c r="GO264" t="str">
        <f>IF(AF264="","",IF(COUNTIF(AF$3:AF264,AF264)+COUNTIF(AG$2:AG263,AF264)+COUNTIF(AH$2:AH263,AF264)=1,MAX(GO$2:GQ263)+1,""))</f>
        <v/>
      </c>
      <c r="GP264" t="str">
        <f>IF(AG264="","",IF(COUNTIF(AF$3:AF264,AG264)+COUNTIF(AG$3:AG264,AG264)+COUNTIF(AH$2:AH263,AG264)=1,MAX(GO$2:GQ263,GO264)+1,""))</f>
        <v/>
      </c>
      <c r="GQ264" t="str">
        <f>IF(AH264="","",IF(COUNTIF(AF$3:AF264,AH264)+COUNTIF(AG$3:AG264,AH264)+COUNTIF(AH$3:AH264,AH264)=1,MAX(GO$2:GQ263,GO264,GP264)+1,""))</f>
        <v/>
      </c>
      <c r="GR264" t="str">
        <f t="shared" si="437"/>
        <v>3х2,5</v>
      </c>
      <c r="GS264" t="str">
        <f>IF(GR264="","",IF(COUNTIF(GR$3:GR264,GR264)=1,MAX(GS$2:GS263)+1,""))</f>
        <v/>
      </c>
      <c r="GT264" t="str">
        <f>IF(ES264="","",COUNTIF(ES$3:ES264,"?*"))</f>
        <v/>
      </c>
      <c r="GU264" t="str">
        <f>IF(OR(ES264="",EU264=""),"",IF(COUNTIFS(ES$3:ES264,"?*",EU$3:EU264,EU264)=1,MAX(GU$2:GU263)+1,""))</f>
        <v/>
      </c>
      <c r="GV264">
        <f t="shared" si="438"/>
        <v>0</v>
      </c>
      <c r="GW264">
        <f>IF(D264="","",COUNTIF(D$3:D264,"?*"))</f>
        <v>262</v>
      </c>
      <c r="GX264">
        <f>IF(EX264&lt;&gt;1,0,_xlfn.LET(_xlpm.k,MAX(IFERROR(--VLOOKUP(D264,УГО_спр,5,FALSE),0),IFERROR(--VLOOKUP(AT264,УГО_спр,5,FALSE),0),IFERROR(--VLOOKUP(LEFT(AT264,2),УГО_спр,5,FALSE),0)),IF(_xlpm.k&gt;0,_xlpm.k,IF(IFERROR(--LEFT(SUBSTITUTE(GR264,"x","х"),FIND("х",SUBSTITUTE(GR264,"x","х"))-1),3)&gt;3,Каталог!$S$9,1))))</f>
        <v>1</v>
      </c>
      <c r="GY264">
        <f t="shared" si="439"/>
        <v>0</v>
      </c>
    </row>
    <row r="265" spans="1:207" x14ac:dyDescent="0.3">
      <c r="A265" t="s">
        <v>762</v>
      </c>
      <c r="B265">
        <v>55</v>
      </c>
      <c r="C265" t="str">
        <f>IF(BD265="","",IF(BE265="вводной узел","узел ","")&amp;"л."&amp;(INT((BD265-1)/Столбцов_на_лист)+1)&amp;" / "&amp;(MOD(BD265-1,Столбцов_на_лист)+1))</f>
        <v>л.4 / 4</v>
      </c>
      <c r="D265" t="s">
        <v>1587</v>
      </c>
      <c r="E265" s="133" t="s">
        <v>1588</v>
      </c>
      <c r="G265">
        <v>0.03</v>
      </c>
      <c r="H265">
        <v>1</v>
      </c>
      <c r="I265">
        <v>1</v>
      </c>
      <c r="J265">
        <v>230</v>
      </c>
      <c r="K265" t="s">
        <v>566</v>
      </c>
      <c r="O265">
        <v>3</v>
      </c>
      <c r="P265">
        <v>37</v>
      </c>
      <c r="Q265">
        <v>20</v>
      </c>
      <c r="S265">
        <v>0</v>
      </c>
      <c r="U265" t="s">
        <v>11</v>
      </c>
      <c r="V265">
        <v>3</v>
      </c>
      <c r="W265">
        <v>2.5</v>
      </c>
      <c r="Z265" t="s">
        <v>565</v>
      </c>
      <c r="AA265" t="s">
        <v>818</v>
      </c>
      <c r="AD265" t="s">
        <v>517</v>
      </c>
      <c r="AR265" t="str">
        <f t="shared" si="353"/>
        <v/>
      </c>
      <c r="AS265" cm="1">
        <f t="array" ref="AS265">ROW()-ROW(Линии[#Headers])</f>
        <v>263</v>
      </c>
      <c r="AT265" t="str">
        <f t="shared" si="354"/>
        <v>R</v>
      </c>
      <c r="AU265" t="str">
        <f t="shared" si="355"/>
        <v>1.019A.1</v>
      </c>
      <c r="AV265" t="str">
        <f t="shared" si="356"/>
        <v>1</v>
      </c>
      <c r="AW265" t="str">
        <f t="shared" si="357"/>
        <v>019A.1</v>
      </c>
      <c r="AX265" t="str">
        <f t="shared" si="358"/>
        <v>019A</v>
      </c>
      <c r="AY265" t="str">
        <f>IF(D265="","",IF(ISERROR(SEARCH(".",D265)),IFERROR(VLOOKUP(D265,Потребители_обозначение,2,FALSE)&amp;"",""),IFERROR(IF(VLOOKUP(AT265,Потребители_обозначение,4,FALSE)=1,VLOOKUP(AT265,Потребители_обозначение,2,FALSE)&amp;" "&amp;VLOOKUP(AV265,Этаж_обозначение,2,FALSE)&amp;" Пом. №"&amp;AX265,VLOOKUP(AT265,Потребители_обозначение,2,FALSE)&amp;" Шлейф №"&amp;AV265),IFERROR(VLOOKUP(D265,Потребители_обозначение,2,FALSE),""))))</f>
        <v>Розеточная группа Первый этаж Пом. №019A</v>
      </c>
      <c r="AZ265" t="str">
        <f t="shared" si="359"/>
        <v>Розеточная группа Первый этаж Пом. №019A Полотенцесушитель</v>
      </c>
      <c r="BA265" t="str">
        <f>IF(F265&lt;&gt;"",F265,IF(AND(D265&lt;&gt;"",D265&lt;&gt;A265,ISNUMBER(_xlfn.XMATCH(D265,Щиты[Щит]))),D265,""))</f>
        <v/>
      </c>
      <c r="BB265">
        <f>IFERROR(_xlfn.XMATCH(A265,Щиты[Щит]),0)</f>
        <v>10</v>
      </c>
      <c r="BC265">
        <f>IFERROR(N(_xlfn.XLOOKUP(A265,Щиты[Щит],Щиты[Мест под вводной узел])),15)</f>
        <v>8</v>
      </c>
      <c r="BD265">
        <f t="shared" si="360"/>
        <v>55</v>
      </c>
      <c r="BE265" t="str">
        <f t="shared" si="361"/>
        <v>линии</v>
      </c>
      <c r="BF265">
        <f>IF(D265="","",IF(BA265&lt;&gt;"",IFERROR(_xlfn.XLOOKUP(BA265,Щиты[Щит],Щиты[Руст, кВт]),0),N(G265)))</f>
        <v>0.03</v>
      </c>
      <c r="BG265">
        <f>IF(J265&lt;&gt;"",J265,IF(D265="","",IFERROR(IF(VLOOKUP(AT265,Потребители_обозначение,8,FALSE)=0,"",VLOOKUP(AT265,Потребители_обозначение,8,FALSE)),"")))</f>
        <v>230</v>
      </c>
      <c r="BH265">
        <f>IF(I265&lt;&gt;"",I265,IF(D265="","",IFERROR(IF(VLOOKUP(AT265,Потребители_обозначение,9,FALSE)=0,"",VLOOKUP(AT265,Потребители_обозначение,9,FALSE)),"")))</f>
        <v>1</v>
      </c>
      <c r="BI265" t="str">
        <f>IF(U265&lt;&gt;"",U265,IF(D265="","",IFERROR(IF(VLOOKUP(AT265,Потребители_обозначение,6,FALSE)=0,"",VLOOKUP(AT265,Потребители_обозначение,6,FALSE)),"")))</f>
        <v>мс</v>
      </c>
      <c r="BJ265">
        <f>IF(V265&lt;&gt;"",V265,IF(D265="","",IFERROR(IF(VLOOKUP(AT265,Потребители_обозначение,7,FALSE)=0,"",VLOOKUP(AT265,Потребители_обозначение,7,FALSE)),"")))</f>
        <v>3</v>
      </c>
      <c r="BK265">
        <f>IF(W265&lt;&gt;"",W265,IF(D265="","",IFERROR(IF(VLOOKUP(AT265,Потребители_обозначение,10,FALSE)=0,"",VLOOKUP(AT265,Потребители_обозначение,10,FALSE)),"")))</f>
        <v>2.5</v>
      </c>
      <c r="BL265">
        <f>IFERROR(VLOOKUP(AT265,Потребители_обозначение,5,FALSE),0)</f>
        <v>1</v>
      </c>
      <c r="BM265" cm="1">
        <f t="array" ref="BM265">IF(D265="","",IF(BA265&lt;&gt;"",IFERROR(_xlfn.XLOOKUP(BA265,Щиты[Щит],Щиты[cos φ]),0.95),IF(ISNUMBER(M265),M265,IFERROR(IF(BL265=2,_xlfn.IFS(BH265=3,VLOOKUP(BF265,Справочная_двигатели,8,FALSE),BH265=1,VLOOKUP(BF265,Справочная_двигатели,10,TRUE)),IF(AND(Методика="нормы 2026",CN265="Сил"),0.8,0.95)),0.95))))</f>
        <v>0.95</v>
      </c>
      <c r="BN265" cm="1">
        <f t="array" ref="BN265">IF(D265="","",IF(BA265&lt;&gt;"",IFERROR(_xlfn.XLOOKUP(BA265,Щиты[Щит],Щиты[Iр, А]),""),IFERROR(_xlfn.IFS(BH265=1,BF265/((Uн_лин/SQRT(3))*BM265),BH265=3,BF265/(SQRT(3)*Uн_лин*BM265)),"")))</f>
        <v>0.13674085322912188</v>
      </c>
      <c r="BO265">
        <f>IF(D265="","",IF(N(X265)=0,IFERROR(VLOOKUP(BN265,Автомат_номиналы,2,TRUE),""),X265))</f>
        <v>6</v>
      </c>
      <c r="BP265">
        <f t="shared" si="362"/>
        <v>1</v>
      </c>
      <c r="BQ265">
        <f>IF(ISNUMBER(Y265),Y265,К_прокл)</f>
        <v>1</v>
      </c>
      <c r="BR265">
        <f t="shared" si="363"/>
        <v>2</v>
      </c>
      <c r="BS265" cm="1">
        <f t="array" ref="BS265">IF(D265="","",IF(N(BK265)&lt;&gt;0,BK265,IFERROR(_xlfn.LET(_xlpm.need,BO265/(BP265*BQ265),_xlpm.t,CHOOSE(BR265,Iдоп_1ж,Iдоп_2ж,Iдоп_3ж),_xlpm.k,_xlfn.XMATCH(_xlpm.need,_xlpm.t,1),IF(ISNA(_xlpm.k),"Не исп",INDEX(Iдоп_S,_xlpm.k))),"Не исп")))</f>
        <v>2.5</v>
      </c>
      <c r="BT265">
        <f>IFERROR(VLOOKUP(BS265,Кабель_сопротивление,3,FALSE),"")</f>
        <v>2.2499999999999999E-2</v>
      </c>
      <c r="BU265">
        <f>IFERROR(VLOOKUP(BS265,Кабель_сопротивление,2,FALSE),"")</f>
        <v>0.1</v>
      </c>
      <c r="BV265">
        <f t="shared" si="364"/>
        <v>37</v>
      </c>
      <c r="BW265">
        <f>IF(D265="","",IFERROR(IF(VLOOKUP(AT265,Потребители_обозначение,4,FALSE)=1,VLOOKUP(AT265,Потребители_обозначение,3,FALSE)*(H265*2-1)+BV265+VLOOKUP(AV265,Этаж_обозначение,3,FALSE)+VLOOKUP(AV265,Этаж_обозначение,4,FALSE),VLOOKUP(AT265,Потребители_обозначение,3,FALSE)*(H265*2-1)+BV265),BV265))</f>
        <v>40</v>
      </c>
      <c r="BX265" t="str">
        <f t="shared" si="365"/>
        <v/>
      </c>
      <c r="BY265">
        <f t="shared" si="366"/>
        <v>0</v>
      </c>
      <c r="BZ265">
        <f t="shared" si="367"/>
        <v>2</v>
      </c>
      <c r="CA265">
        <f t="shared" si="368"/>
        <v>0.31</v>
      </c>
      <c r="CB265">
        <f t="shared" si="369"/>
        <v>9.3869860924727586E-2</v>
      </c>
      <c r="CC265">
        <f>IFERROR(ROUNDUP(CB265/((Uн_лин/SQRT(3))*1000)*100,2),"")</f>
        <v>0.05</v>
      </c>
      <c r="CD265">
        <f>IF(ISNUMBER(CC265),CC265+IFERROR(_xlfn.XLOOKUP(A265,Щиты[Щит],Щиты[ΔU до шин, %]),0),"")</f>
        <v>1.3</v>
      </c>
      <c r="CE265">
        <f>IF(D265="","",IF(IFERROR(VLOOKUP(AT265,УГО_спр,2,FALSE),"")="Светильник",3,4)+IF(Методика="нормы 2026",MIN(0.5,MAX(0,N(BW265)-100)*0.005),0))</f>
        <v>4</v>
      </c>
      <c r="CF265" t="str">
        <f>IFERROR(VLOOKUP(BI265,Кабель_обозначение,2,FALSE),"")</f>
        <v>ВВГнг(А)-LS</v>
      </c>
      <c r="CG265" t="str">
        <f>IFERROR(IF(VLOOKUP(BI265,Кабель_обозначение,3,FALSE)=1,CF265&amp;" ("&amp;BJ265&amp;"х"&amp;BS265&amp;")",CF265),"")</f>
        <v>ВВГнг(А)-LS (3х2,5)</v>
      </c>
      <c r="CH265" t="str">
        <f t="shared" si="370"/>
        <v>ВВГнг(А)-LS (3х2,5)
L=40-0,05%</v>
      </c>
      <c r="CI265">
        <f>IFERROR(2*ρкз_Cu*BW265/BS265,"")</f>
        <v>0.84160000000000001</v>
      </c>
      <c r="CJ265">
        <f t="shared" si="371"/>
        <v>0.28000000000000003</v>
      </c>
      <c r="CK265" t="str">
        <f>IFERROR(IF(OR(D265="",NOT(ISNUMBER(BS265)),N(BW265)=0),"",_xlfn.XLOOKUP(A265,Щиты[Щит],Щиты[Zпетли на шинах, Ом])+CI265),"")</f>
        <v/>
      </c>
      <c r="CL265" t="str">
        <f>IF(ISNUMBER(CK265),c_min*(Uн_лин*1000/SQRT(3))/CK265,"")</f>
        <v/>
      </c>
      <c r="CM265" t="str">
        <f>IFERROR(IF(OR(D265="",NOT(ISNUMBER(BS265))),"",1.05*(Uн_лин*1000/SQRT(3))/(_xlfn.XLOOKUP(A265,Щиты[Щит],Щиты[Zmax на шинах, Ом])+CJ265)/1000),"")</f>
        <v/>
      </c>
      <c r="CN265" t="str">
        <f>IF(D265="","",IF(BA265&lt;&gt;"","Щит",IF(K265&lt;&gt;"",K265,IF(ISNUMBER(L265),"Сил",IF(IFERROR(_xlfn.XLOOKUP(AT265,Коды_код,Коды_группа)&amp;"","")="","Быт",_xlfn.XLOOKUP(AT265,Коды_код,Коды_группа)&amp;"")))))</f>
        <v>Быт</v>
      </c>
      <c r="CO265">
        <f>IF(CN265="Щит","щит",IF(CN265="","",IF(CN265="Быт",IFERROR(_xlfn.XLOOKUP(A265,Щиты[Щит],Щиты[Кс быт]),1),IF(CN265="Сил",IF(ISNUMBER(L265),L265,IF(Методика="нормы 2026",IFERROR(_xlfn.XLOOKUP(A265,Щиты[Щит],Щиты[Кс силовых (табл. 7.5)]),1),1)),IF(OR(CN265="Пост",CN265="Отоп"),1,IF(CN265="ВНГ",0.7,0))))))</f>
        <v>0.57830000000000004</v>
      </c>
      <c r="CP265">
        <f t="shared" si="372"/>
        <v>1</v>
      </c>
      <c r="CQ265">
        <f t="shared" si="373"/>
        <v>0.03</v>
      </c>
      <c r="CR265">
        <f t="shared" si="374"/>
        <v>0.03</v>
      </c>
      <c r="CS265">
        <f t="shared" si="375"/>
        <v>0</v>
      </c>
      <c r="CT265">
        <f t="shared" si="376"/>
        <v>0</v>
      </c>
      <c r="CU265">
        <f t="shared" si="377"/>
        <v>0</v>
      </c>
      <c r="CV265">
        <f t="shared" si="378"/>
        <v>0</v>
      </c>
      <c r="CW265">
        <f t="shared" si="379"/>
        <v>0.03</v>
      </c>
      <c r="CX265">
        <f t="shared" si="380"/>
        <v>2.8499999999999998E-2</v>
      </c>
      <c r="CY265">
        <f t="shared" si="381"/>
        <v>2</v>
      </c>
      <c r="CZ265" t="str">
        <f t="shared" si="382"/>
        <v>L2</v>
      </c>
      <c r="DA265" cm="1">
        <f t="array" ref="DA265">IFERROR(IF(BL265=2,_xlfn.IFS(BH265=3,VLOOKUP(BF265,Справочная_двигатели,3,FALSE),BH265=1,VLOOKUP(BF265,Справочная_двигатели,5,TRUE)),0),0)</f>
        <v>0</v>
      </c>
      <c r="DB265">
        <f>IFERROR(IF(BL265=3,VLOOKUP(BF265,Справочная_ЛЭД,2,TRUE),0),0)</f>
        <v>0</v>
      </c>
      <c r="DC265">
        <f t="shared" si="383"/>
        <v>0</v>
      </c>
      <c r="DD265" t="str">
        <f t="shared" si="384"/>
        <v>L3</v>
      </c>
      <c r="DE265" t="str" cm="1">
        <f t="array" ref="DE265">IF(D265="","",IFERROR(INDEX({"I особая","I","II","III"},MATCH(TRIM(AA265&amp;""),{"I особая","I","II","III"},0)),"III"))</f>
        <v>II</v>
      </c>
      <c r="DF265" t="str">
        <f>IF(D265="","",IF(TRIM(AB265&amp;"")&lt;&gt;"",IF(LOWER(TRIM(AB265&amp;""))="да","да","нет"),IF(IFERROR(_xlfn.XLOOKUP(AT265,Коды_код,Коды_пожарная),"")="да","да","нет")))</f>
        <v>нет</v>
      </c>
      <c r="DG265" t="str">
        <f t="shared" si="385"/>
        <v/>
      </c>
      <c r="DH265" t="str">
        <f t="shared" si="386"/>
        <v>основная</v>
      </c>
      <c r="DI265">
        <f t="shared" si="387"/>
        <v>1</v>
      </c>
      <c r="DJ265" t="str" cm="1">
        <f t="array" ref="DJ265">IF(D265="","",_xlfn.LET(_xlpm.t,IFERROR(_xlfn.XLOOKUP(1,(Шины[Шина]=DH265)*(((Шины[Щит]=A265)+(Шины[Щит]=""))&gt;0),Шины[Тип]),"")&amp;"",IF(_xlpm.t&lt;&gt;"",_xlpm.t,IF(ISNUMBER(SEARCH("ИБП",DH265)),"ИБП",IF(ISNUMBER(SEARCH("ДГУ",DH265)),"ДГУ","Ввод "&amp;DI265)))))</f>
        <v>Ввод 1</v>
      </c>
      <c r="DK265" t="str">
        <f t="shared" si="388"/>
        <v>Ввод 1</v>
      </c>
      <c r="DL265" t="str">
        <f>IF(D265="","",IF(OR(DJ265="ИБП",DJ265="ДГУ"),"I особая",IF(DJ265="Одиночная","III",_xlfn.XLOOKUP(A265,Щиты[Щит],Щиты[Категория шины «Ввод»],"III"))))</f>
        <v>II</v>
      </c>
      <c r="DM265">
        <f>IF(D265="",0,IFERROR(MATCH(DE265,{"III","II","I","I особая"},0),1))</f>
        <v>2</v>
      </c>
      <c r="DN265">
        <f t="shared" si="389"/>
        <v>2</v>
      </c>
      <c r="DO265" t="str">
        <f>IF(D265="","",IF(DM265&gt;IFERROR(MATCH(DL265,{"III","II","I","I особая"},0),1),"НЕ ОБЕСПЕЧЕНА","ОК"))</f>
        <v>ОК</v>
      </c>
      <c r="DP265" t="str">
        <f>IF(A265="","",_xlfn.XLOOKUP(A265,Щиты[Щит],Щиты[Путь],""))</f>
        <v>|ГРЩ-ЖД|ЩР-1|</v>
      </c>
      <c r="DQ265" t="str">
        <f>IF(D265="","",IF(Z265&lt;&gt;"",Z265,IF(IFERROR(_xlfn.XLOOKUP(AT265,Коды_код,Коды_вид)&amp;"","")="","Прочее",_xlfn.XLOOKUP(AT265,Коды_код,Коды_вид)&amp;"")))</f>
        <v>Розеточная сеть и бытовые приборы</v>
      </c>
      <c r="DR265">
        <f>IF(BD265="","",INT((BD265-1)/Столбцов_на_лист)+1)</f>
        <v>4</v>
      </c>
      <c r="DS265" t="str">
        <f t="shared" si="390"/>
        <v>ВВГнг(А)-LS (3х2,5) L=40-0,05%</v>
      </c>
      <c r="DT265">
        <f t="shared" si="391"/>
        <v>0.03</v>
      </c>
      <c r="DU265">
        <f t="shared" si="392"/>
        <v>0.14000000000000001</v>
      </c>
      <c r="DV265">
        <f t="shared" si="393"/>
        <v>1</v>
      </c>
      <c r="DW265">
        <f>IF(AT265="",0,_xlfn.LET(_xlpm.v,IFERROR(VLOOKUP(D265,УГО_спр,3,FALSE),IFERROR(VLOOKUP(AT265,УГО_спр,3,FALSE),IFERROR(VLOOKUP(LEFT(AT265,2),УГО_спр,3,FALSE),""))),IF(_xlpm.v="да",30,IF(ISNUMBER(_xlpm.v),_xlpm.v,0))))</f>
        <v>30</v>
      </c>
      <c r="DX265">
        <f t="shared" si="394"/>
        <v>0</v>
      </c>
      <c r="DY265">
        <f>IF(BD265="","",IF(AD265&lt;&gt;"",COUNTIFS(A$3:A265,A265,AD$3:AD265,"?*"),IF(OR(OR(AS265=1,A265&lt;&gt;A264),AL265="вручную"),"",IF(AS265=1,"",DZ264))))</f>
        <v>41</v>
      </c>
      <c r="DZ265">
        <f t="shared" si="395"/>
        <v>41</v>
      </c>
      <c r="EA265">
        <f>IF(D265="",0,MAX(IFERROR(--X265,0),IFERROR(--VLOOKUP(D265,УГО_спр,4,FALSE),IFERROR(--VLOOKUP(AT265,УГО_спр,4,FALSE),IFERROR(--VLOOKUP(LEFT(AT265,2),УГО_спр,4,FALSE),0)))))</f>
        <v>16</v>
      </c>
      <c r="EB265">
        <f>IF(D265="","",IFERROR(LOOKUP(INDEX(CHOOSE(BR265,Iдоп_1ж,Iдоп_2ж,Iдоп_3ж),MATCH(BS265,Iдоп_S,0))*BP265*BQ265,{6,10,16,20,25,32,40,50,63,80,100,125,160,200,250,315,400,500,630}),""))</f>
        <v>25</v>
      </c>
      <c r="EC265">
        <f>IF(AD265="","",SUMIFS(Линии[_Ток схемы],Линии[_гр.],DY265,Линии[Щит],A265,Линии[_в кабель выше],0))</f>
        <v>0.14000000000000001</v>
      </c>
      <c r="ED265">
        <f>IF(AD265="","",IFERROR(VLOOKUP(EC265,Автомат_номиналы,2,TRUE),""))</f>
        <v>6</v>
      </c>
      <c r="EE265">
        <f>IF(AD265="","",MAX(N(ED265),_xlfn.MAXIFS(Линии[_мин. по типу],Линии[_гр.],DY265,Линии[Щит],A265)))</f>
        <v>16</v>
      </c>
      <c r="EF265">
        <f>IF(AD265="","",_xlfn.MINIFS(Линии[_макс. автомат по кабелю],Линии[_гр.],DY265,Линии[Щит],A265))</f>
        <v>25</v>
      </c>
      <c r="EG265">
        <f>IF(AD265="","",MAX(1,_xlfn.MAXIFS(Линии[_фаз],Линии[_гр.],DY265,Линии[Щит],A265)))</f>
        <v>1</v>
      </c>
      <c r="EH265">
        <f>IF(AD265="","",IF(AND(AD265&lt;&gt;"авто",AD265&lt;&gt;"+"),IF(ISNUMBER(SEARCH("мА",AD265)),IFERROR(--TRIM(RIGHT(SUBSTITUTE(LEFT(AD265,SEARCH("мА",AD265)-1)," ",REPT(" ",9)),6)),30),0),IF(AE265="нет",0,IF(ISNUMBER(AE265),AE265,IF(AE265="да",30,_xlfn.MINIFS(Линии[_дифзащита по коду, мА],Линии[_гр.],DY265,Линии[Щит],A265,Линии[_дифзащита по коду, мА],"&gt;0"))))))</f>
        <v>30</v>
      </c>
      <c r="EI265">
        <f t="shared" si="396"/>
        <v>1</v>
      </c>
      <c r="EJ265" t="str">
        <f t="shared" si="397"/>
        <v>QFD41</v>
      </c>
      <c r="EK265" t="str">
        <f t="shared" si="398"/>
        <v>QFD41</v>
      </c>
      <c r="EL265" t="str">
        <f t="shared" si="399"/>
        <v/>
      </c>
      <c r="EM265">
        <f t="shared" si="400"/>
        <v>0</v>
      </c>
      <c r="EN265">
        <f>IF(AD265="","",IF(EM265=1,MAX(EE265,Мин_автомат_БП),EE265))</f>
        <v>16</v>
      </c>
      <c r="EO265" t="str">
        <f t="shared" si="401"/>
        <v>2P</v>
      </c>
      <c r="EP265" t="str">
        <f t="shared" si="402"/>
        <v>2P С16А 30мА</v>
      </c>
      <c r="EQ265">
        <f t="shared" si="403"/>
        <v>16</v>
      </c>
      <c r="ER265" t="str">
        <f>IF(OR(AI265="",AI265="-"),"",IFERROR(VLOOKUP(AI265,Модули_спр,2,FALSE),"R"))</f>
        <v/>
      </c>
      <c r="ES265" t="str">
        <f>IF(ER265="","",ER265&amp;"."&amp;COUNTIFS(A$3:A265,A265,ER$3:ER265,ER265))</f>
        <v/>
      </c>
      <c r="ET265" t="str">
        <f t="shared" si="404"/>
        <v/>
      </c>
      <c r="EU265" t="str">
        <f t="shared" si="405"/>
        <v/>
      </c>
      <c r="EV265" t="str">
        <f t="shared" si="406"/>
        <v/>
      </c>
      <c r="EW265" t="str">
        <f t="shared" si="407"/>
        <v/>
      </c>
      <c r="EX265">
        <f t="shared" si="408"/>
        <v>1</v>
      </c>
      <c r="EY265" t="str">
        <f>IF(AK265="нет","",IF(AK265&lt;&gt;"",AK265,IF(EX265=1,"XT"&amp;COUNTIFS(A$3:A265,A265,EX$3:EX265,1),"")))</f>
        <v>XT41</v>
      </c>
      <c r="EZ265" t="str">
        <f t="shared" si="409"/>
        <v>QFD41</v>
      </c>
      <c r="FA265" t="str">
        <f t="shared" si="410"/>
        <v/>
      </c>
      <c r="FB265" t="str">
        <f t="shared" si="411"/>
        <v>ok</v>
      </c>
      <c r="FC265" t="str">
        <f>IF(OR(EV265="",ET265=""),"",IF(EV265&gt;IFERROR(VLOOKUP(EU265,Модули_спр,3,FALSE),99),"ЛИШНИЙ КАНАЛ",IF(AND(AJ265&lt;&gt;"=",COUNTIFS(Линии[_модуль гр.],ET265,Линии[Канал (итог)],EV265,Линии[Канал],"&lt;&gt;=",Линии[Щит],A265)&gt;1),"ДУБЛЬ КАНАЛА","")))</f>
        <v/>
      </c>
      <c r="FD265">
        <f t="shared" si="412"/>
        <v>16</v>
      </c>
      <c r="FE265" t="str">
        <f t="shared" si="413"/>
        <v>2P С16А 30мА</v>
      </c>
      <c r="FF265">
        <f t="shared" si="414"/>
        <v>1</v>
      </c>
      <c r="FG265">
        <f t="shared" si="415"/>
        <v>30</v>
      </c>
      <c r="FH265" t="str">
        <f t="shared" si="416"/>
        <v/>
      </c>
      <c r="FI265">
        <f t="shared" si="417"/>
        <v>10</v>
      </c>
      <c r="FJ265" t="str">
        <f t="shared" si="418"/>
        <v/>
      </c>
      <c r="FK265" t="str">
        <f>IF(AND(D265="",EZ265=""),"",_xlfn.TEXTJOIN("; ",TRUE,IF(AND(D265&lt;&gt;"",DD265=""),"нет фазы",""),IF(AND(D265&lt;&gt;"",N(DT265)=0,CN265&lt;&gt;"Нет"),"нет мощности",""),IF(AND(EY265&lt;&gt;"",COUNTIFS(Линии[Щит],A265,Линии[Клемма (итог)],EY265)&gt;1),"дубль клеммы "&amp;EY265,""),IF(AND(FB265&lt;&gt;"",FB265&lt;&gt;"ok"),FB265,""),IF(FC265&lt;&gt;"",FC265,""),IF(AND(ISNUMBER(SEARCH("(5х",DS265)),N(DV265)=1),"5 жил на 1 фазе",""),IF(AND(AT265="R",AD265&lt;&gt;"",OR(N(EH265)=0,N(EH265)&gt;30)),"розетка без дифзащиты до 30 мА",""),IFERROR(IF(AND(ISNUMBER(CD265),CD265&gt;CE265),"потери "&amp;FIXED(CD265,1)&amp;" % &gt; "&amp;CE265&amp;" %",""),""),IFERROR(IF(LEFT(FJ265,4)="мало","Iкз мало — отключение &gt; 0,4 с",""),""),IF(AND(D265&lt;&gt;"",BD265=""),"не на схеме","")))</f>
        <v/>
      </c>
      <c r="FL265">
        <f>IF(AD265="","",_xlfn.LET(_xlpm.t,IFERROR(_xlfn.XLOOKUP(EP265,Каталог!$U$4:$U$500,Каталог!$G$4:$G$500),""),_xlpm.k,SEARCH("кА",_xlpm.t),IFERROR(--TRIM(RIGHT(SUBSTITUTE(MID(_xlpm.t,MAX(1,_xlpm.k-4),_xlpm.k-MAX(1,_xlpm.k-4))," ",REPT(" ",9)),5)),"")))</f>
        <v>6</v>
      </c>
      <c r="FM265" t="str">
        <f>IF(OR(FL265="",AD265=""),"",IF(_xlfn.XLOOKUP(A265,Щиты[Щит],Щиты[Iкз max на шинах, кА],"")="","",IF(FL265&lt;_xlfn.XLOOKUP(A265,Щиты[Щит],Щиты[Iкз max на шинах, кА]),"Icu "&amp;FL265&amp;" кА &lt; Iкз max","ok")))</f>
        <v/>
      </c>
      <c r="FN265" t="str">
        <f t="shared" si="419"/>
        <v>QFD41|XT41</v>
      </c>
      <c r="FO265" t="str">
        <f t="shared" si="420"/>
        <v>QFD41|XT41|кабель ВВГнг(А)-LS (3х2,5) → Розеточная группа Первый этаж Пом. №019A Полотенцесушитель</v>
      </c>
      <c r="FP265" t="str" cm="1">
        <f t="array" ref="FP265">IF(FO265="","",_xlfn.LET(_xlpm.nd,_xlfn.TEXTSPLIT(FO265,"|"),IF(COLUMNS(_xlpm.nd)&gt;1,A265&amp;"¦"&amp;INDEX(_xlpm.nd,1)&amp;"¦"&amp;INDEX(_xlpm.nd,2),"")))</f>
        <v>ЩР-1¦QFD41¦XT41</v>
      </c>
      <c r="FQ265" t="str">
        <f t="shared" si="421"/>
        <v>R.1.019A.1¦Розеточная группа Первый этаж Пом. №019A Полотенцесушитель</v>
      </c>
      <c r="FR265" t="str" cm="1">
        <f t="array" ref="FR265">IF(FO265="","",_xlfn.LET(_xlpm.nd,_xlfn.TEXTSPLIT(FO265,"|"),IF(COLUMNS(_xlpm.nd)&gt;2,A265&amp;"¦"&amp;INDEX(_xlpm.nd,2)&amp;"¦"&amp;INDEX(_xlpm.nd,3),"")))</f>
        <v>ЩР-1¦XT41¦кабель ВВГнг(А)-LS (3х2,5) → Розеточная группа Первый этаж Пом. №019A Полотенцесушитель</v>
      </c>
      <c r="FS265" t="str">
        <f t="shared" si="422"/>
        <v>R.1.019A.1¦Розеточная группа Первый этаж Пом. №019A Полотенцесушитель</v>
      </c>
      <c r="FT265" t="str" cm="1">
        <f t="array" ref="FT265">IF(FO265="","",_xlfn.LET(_xlpm.nd,_xlfn.TEXTSPLIT(FO265,"|"),IF(COLUMNS(_xlpm.nd)&gt;3,A265&amp;"¦"&amp;INDEX(_xlpm.nd,3)&amp;"¦"&amp;INDEX(_xlpm.nd,4),"")))</f>
        <v/>
      </c>
      <c r="FU265" t="str">
        <f t="shared" si="423"/>
        <v/>
      </c>
      <c r="FV265" t="str" cm="1">
        <f t="array" ref="FV265">IF(FO265="","",_xlfn.LET(_xlpm.nd,_xlfn.TEXTSPLIT(FO265,"|"),IF(COLUMNS(_xlpm.nd)&gt;4,A265&amp;"¦"&amp;INDEX(_xlpm.nd,4)&amp;"¦"&amp;INDEX(_xlpm.nd,5),"")))</f>
        <v/>
      </c>
      <c r="FW265" t="str">
        <f t="shared" si="424"/>
        <v/>
      </c>
      <c r="FX265" t="str" cm="1">
        <f t="array" ref="FX265">IF(FO265="","",_xlfn.LET(_xlpm.nd,_xlfn.TEXTSPLIT(FO265,"|"),IF(COLUMNS(_xlpm.nd)&gt;5,A265&amp;"¦"&amp;INDEX(_xlpm.nd,5)&amp;"¦"&amp;INDEX(_xlpm.nd,6),"")))</f>
        <v/>
      </c>
      <c r="FY265" t="str">
        <f t="shared" si="425"/>
        <v/>
      </c>
      <c r="FZ265" t="str" cm="1">
        <f t="array" ref="FZ265">IF(FO265="","",_xlfn.LET(_xlpm.nd,_xlfn.TEXTSPLIT(FO265,"|"),IF(COLUMNS(_xlpm.nd)&gt;6,A265&amp;"¦"&amp;INDEX(_xlpm.nd,6)&amp;"¦"&amp;INDEX(_xlpm.nd,7),"")))</f>
        <v/>
      </c>
      <c r="GA265" t="str">
        <f t="shared" si="426"/>
        <v/>
      </c>
      <c r="GB265" t="str">
        <f t="shared" si="427"/>
        <v/>
      </c>
      <c r="GC265" t="str">
        <f t="shared" si="428"/>
        <v>QFD41 → XT41</v>
      </c>
      <c r="GD265">
        <f t="shared" si="429"/>
        <v>1</v>
      </c>
      <c r="GE265">
        <f t="shared" si="430"/>
        <v>0</v>
      </c>
      <c r="GF265">
        <f t="shared" si="431"/>
        <v>1</v>
      </c>
      <c r="GG265" t="str">
        <f t="shared" si="432"/>
        <v/>
      </c>
      <c r="GH265" t="str">
        <f t="shared" si="433"/>
        <v/>
      </c>
      <c r="GI265" t="str">
        <f t="shared" si="434"/>
        <v/>
      </c>
      <c r="GJ265" t="str">
        <f t="shared" si="435"/>
        <v/>
      </c>
      <c r="GK265" t="str">
        <f>IF(D265="","",IFERROR(VLOOKUP(D265,УГО_спр,2,FALSE),IFERROR(VLOOKUP(AT265,УГО_спр,2,FALSE),IFERROR(VLOOKUP(LEFT(AT265,2),УГО_спр,2,FALSE),""))))</f>
        <v>Розетка</v>
      </c>
      <c r="GL265" t="str">
        <f>IF(D265="","",IF(OR(GK265="",GK265=0),"BOX",IFERROR(IF(VLOOKUP(GK265,УГО_блоки,3,FALSE)&amp;""&lt;&gt;"",VLOOKUP(GK265,УГО_блоки,3,FALSE),VLOOKUP(GK265,УГО_блоки,2,FALSE)),GK265)))</f>
        <v>SOCKET</v>
      </c>
      <c r="GM265">
        <f t="shared" si="436"/>
        <v>1</v>
      </c>
      <c r="GN265" t="str">
        <f>IF(EP265="","",IF(COUNTIF(EP$3:EP265,EP265)=1,MAX(GN$2:GN264)+1,""))</f>
        <v/>
      </c>
      <c r="GO265" t="str">
        <f>IF(AF265="","",IF(COUNTIF(AF$3:AF265,AF265)+COUNTIF(AG$2:AG264,AF265)+COUNTIF(AH$2:AH264,AF265)=1,MAX(GO$2:GQ264)+1,""))</f>
        <v/>
      </c>
      <c r="GP265" t="str">
        <f>IF(AG265="","",IF(COUNTIF(AF$3:AF265,AG265)+COUNTIF(AG$3:AG265,AG265)+COUNTIF(AH$2:AH264,AG265)=1,MAX(GO$2:GQ264,GO265)+1,""))</f>
        <v/>
      </c>
      <c r="GQ265" t="str">
        <f>IF(AH265="","",IF(COUNTIF(AF$3:AF265,AH265)+COUNTIF(AG$3:AG265,AH265)+COUNTIF(AH$3:AH265,AH265)=1,MAX(GO$2:GQ264,GO265,GP265)+1,""))</f>
        <v/>
      </c>
      <c r="GR265" t="str">
        <f t="shared" si="437"/>
        <v>3х2,5</v>
      </c>
      <c r="GS265" t="str">
        <f>IF(GR265="","",IF(COUNTIF(GR$3:GR265,GR265)=1,MAX(GS$2:GS264)+1,""))</f>
        <v/>
      </c>
      <c r="GT265" t="str">
        <f>IF(ES265="","",COUNTIF(ES$3:ES265,"?*"))</f>
        <v/>
      </c>
      <c r="GU265" t="str">
        <f>IF(OR(ES265="",EU265=""),"",IF(COUNTIFS(ES$3:ES265,"?*",EU$3:EU265,EU265)=1,MAX(GU$2:GU264)+1,""))</f>
        <v/>
      </c>
      <c r="GV265">
        <f t="shared" si="438"/>
        <v>0</v>
      </c>
      <c r="GW265">
        <f>IF(D265="","",COUNTIF(D$3:D265,"?*"))</f>
        <v>263</v>
      </c>
      <c r="GX265">
        <f>IF(EX265&lt;&gt;1,0,_xlfn.LET(_xlpm.k,MAX(IFERROR(--VLOOKUP(D265,УГО_спр,5,FALSE),0),IFERROR(--VLOOKUP(AT265,УГО_спр,5,FALSE),0),IFERROR(--VLOOKUP(LEFT(AT265,2),УГО_спр,5,FALSE),0)),IF(_xlpm.k&gt;0,_xlpm.k,IF(IFERROR(--LEFT(SUBSTITUTE(GR265,"x","х"),FIND("х",SUBSTITUTE(GR265,"x","х"))-1),3)&gt;3,Каталог!$S$9,1))))</f>
        <v>1</v>
      </c>
      <c r="GY265">
        <f t="shared" si="439"/>
        <v>0</v>
      </c>
    </row>
    <row r="266" spans="1:207" x14ac:dyDescent="0.3">
      <c r="A266" t="s">
        <v>762</v>
      </c>
      <c r="B266">
        <v>56</v>
      </c>
      <c r="C266" t="str">
        <f>IF(BD266="","",IF(BE266="вводной узел","узел ","")&amp;"л."&amp;(INT((BD266-1)/Столбцов_на_лист)+1)&amp;" / "&amp;(MOD(BD266-1,Столбцов_на_лист)+1))</f>
        <v>л.4 / 5</v>
      </c>
      <c r="D266" t="s">
        <v>1589</v>
      </c>
      <c r="E266" s="133" t="str">
        <f t="shared" si="352"/>
        <v>Розеточная группа Первый этаж Пом. №020A</v>
      </c>
      <c r="G266">
        <v>0.12</v>
      </c>
      <c r="H266">
        <v>2</v>
      </c>
      <c r="I266">
        <v>1</v>
      </c>
      <c r="J266">
        <v>230</v>
      </c>
      <c r="K266" t="s">
        <v>566</v>
      </c>
      <c r="O266">
        <v>1</v>
      </c>
      <c r="P266">
        <v>45</v>
      </c>
      <c r="Q266">
        <v>20</v>
      </c>
      <c r="R266">
        <v>34</v>
      </c>
      <c r="S266">
        <v>0</v>
      </c>
      <c r="U266" t="s">
        <v>11</v>
      </c>
      <c r="V266">
        <v>3</v>
      </c>
      <c r="W266">
        <v>2.5</v>
      </c>
      <c r="Z266" t="s">
        <v>565</v>
      </c>
      <c r="AA266" t="s">
        <v>818</v>
      </c>
      <c r="AD266" t="s">
        <v>517</v>
      </c>
      <c r="AR266" t="str">
        <f t="shared" si="353"/>
        <v/>
      </c>
      <c r="AS266" cm="1">
        <f t="array" ref="AS266">ROW()-ROW(Линии[#Headers])</f>
        <v>264</v>
      </c>
      <c r="AT266" t="str">
        <f t="shared" si="354"/>
        <v>R</v>
      </c>
      <c r="AU266" t="str">
        <f t="shared" si="355"/>
        <v>1.020A.2</v>
      </c>
      <c r="AV266" t="str">
        <f t="shared" si="356"/>
        <v>1</v>
      </c>
      <c r="AW266" t="str">
        <f t="shared" si="357"/>
        <v>020A.2</v>
      </c>
      <c r="AX266" t="str">
        <f t="shared" si="358"/>
        <v>020A</v>
      </c>
      <c r="AY266" t="str">
        <f>IF(D266="","",IF(ISERROR(SEARCH(".",D266)),IFERROR(VLOOKUP(D266,Потребители_обозначение,2,FALSE)&amp;"",""),IFERROR(IF(VLOOKUP(AT266,Потребители_обозначение,4,FALSE)=1,VLOOKUP(AT266,Потребители_обозначение,2,FALSE)&amp;" "&amp;VLOOKUP(AV266,Этаж_обозначение,2,FALSE)&amp;" Пом. №"&amp;AX266,VLOOKUP(AT266,Потребители_обозначение,2,FALSE)&amp;" Шлейф №"&amp;AV266),IFERROR(VLOOKUP(D266,Потребители_обозначение,2,FALSE),""))))</f>
        <v>Розеточная группа Первый этаж Пом. №020A</v>
      </c>
      <c r="AZ266" t="str">
        <f t="shared" si="359"/>
        <v>Розеточная группа Первый этаж Пом. №020A</v>
      </c>
      <c r="BA266" t="str">
        <f>IF(F266&lt;&gt;"",F266,IF(AND(D266&lt;&gt;"",D266&lt;&gt;A266,ISNUMBER(_xlfn.XMATCH(D266,Щиты[Щит]))),D266,""))</f>
        <v/>
      </c>
      <c r="BB266">
        <f>IFERROR(_xlfn.XMATCH(A266,Щиты[Щит]),0)</f>
        <v>10</v>
      </c>
      <c r="BC266">
        <f>IFERROR(N(_xlfn.XLOOKUP(A266,Щиты[Щит],Щиты[Мест под вводной узел])),15)</f>
        <v>8</v>
      </c>
      <c r="BD266">
        <f t="shared" si="360"/>
        <v>56</v>
      </c>
      <c r="BE266" t="str">
        <f t="shared" si="361"/>
        <v>линии</v>
      </c>
      <c r="BF266">
        <f>IF(D266="","",IF(BA266&lt;&gt;"",IFERROR(_xlfn.XLOOKUP(BA266,Щиты[Щит],Щиты[Руст, кВт]),0),N(G266)))</f>
        <v>0.12</v>
      </c>
      <c r="BG266">
        <f>IF(J266&lt;&gt;"",J266,IF(D266="","",IFERROR(IF(VLOOKUP(AT266,Потребители_обозначение,8,FALSE)=0,"",VLOOKUP(AT266,Потребители_обозначение,8,FALSE)),"")))</f>
        <v>230</v>
      </c>
      <c r="BH266">
        <f>IF(I266&lt;&gt;"",I266,IF(D266="","",IFERROR(IF(VLOOKUP(AT266,Потребители_обозначение,9,FALSE)=0,"",VLOOKUP(AT266,Потребители_обозначение,9,FALSE)),"")))</f>
        <v>1</v>
      </c>
      <c r="BI266" t="str">
        <f>IF(U266&lt;&gt;"",U266,IF(D266="","",IFERROR(IF(VLOOKUP(AT266,Потребители_обозначение,6,FALSE)=0,"",VLOOKUP(AT266,Потребители_обозначение,6,FALSE)),"")))</f>
        <v>мс</v>
      </c>
      <c r="BJ266">
        <f>IF(V266&lt;&gt;"",V266,IF(D266="","",IFERROR(IF(VLOOKUP(AT266,Потребители_обозначение,7,FALSE)=0,"",VLOOKUP(AT266,Потребители_обозначение,7,FALSE)),"")))</f>
        <v>3</v>
      </c>
      <c r="BK266">
        <f>IF(W266&lt;&gt;"",W266,IF(D266="","",IFERROR(IF(VLOOKUP(AT266,Потребители_обозначение,10,FALSE)=0,"",VLOOKUP(AT266,Потребители_обозначение,10,FALSE)),"")))</f>
        <v>2.5</v>
      </c>
      <c r="BL266">
        <f>IFERROR(VLOOKUP(AT266,Потребители_обозначение,5,FALSE),0)</f>
        <v>1</v>
      </c>
      <c r="BM266" cm="1">
        <f t="array" ref="BM266">IF(D266="","",IF(BA266&lt;&gt;"",IFERROR(_xlfn.XLOOKUP(BA266,Щиты[Щит],Щиты[cos φ]),0.95),IF(ISNUMBER(M266),M266,IFERROR(IF(BL266=2,_xlfn.IFS(BH266=3,VLOOKUP(BF266,Справочная_двигатели,8,FALSE),BH266=1,VLOOKUP(BF266,Справочная_двигатели,10,TRUE)),IF(AND(Методика="нормы 2026",CN266="Сил"),0.8,0.95)),0.95))))</f>
        <v>0.95</v>
      </c>
      <c r="BN266" cm="1">
        <f t="array" ref="BN266">IF(D266="","",IF(BA266&lt;&gt;"",IFERROR(_xlfn.XLOOKUP(BA266,Щиты[Щит],Щиты[Iр, А]),""),IFERROR(_xlfn.IFS(BH266=1,BF266/((Uн_лин/SQRT(3))*BM266),BH266=3,BF266/(SQRT(3)*Uн_лин*BM266)),"")))</f>
        <v>0.54696341291648753</v>
      </c>
      <c r="BO266">
        <f>IF(D266="","",IF(N(X266)=0,IFERROR(VLOOKUP(BN266,Автомат_номиналы,2,TRUE),""),X266))</f>
        <v>6</v>
      </c>
      <c r="BP266">
        <f t="shared" si="362"/>
        <v>1</v>
      </c>
      <c r="BQ266">
        <f>IF(ISNUMBER(Y266),Y266,К_прокл)</f>
        <v>1</v>
      </c>
      <c r="BR266">
        <f t="shared" si="363"/>
        <v>2</v>
      </c>
      <c r="BS266" cm="1">
        <f t="array" ref="BS266">IF(D266="","",IF(N(BK266)&lt;&gt;0,BK266,IFERROR(_xlfn.LET(_xlpm.need,BO266/(BP266*BQ266),_xlpm.t,CHOOSE(BR266,Iдоп_1ж,Iдоп_2ж,Iдоп_3ж),_xlpm.k,_xlfn.XMATCH(_xlpm.need,_xlpm.t,1),IF(ISNA(_xlpm.k),"Не исп",INDEX(Iдоп_S,_xlpm.k))),"Не исп")))</f>
        <v>2.5</v>
      </c>
      <c r="BT266">
        <f>IFERROR(VLOOKUP(BS266,Кабель_сопротивление,3,FALSE),"")</f>
        <v>2.2499999999999999E-2</v>
      </c>
      <c r="BU266">
        <f>IFERROR(VLOOKUP(BS266,Кабель_сопротивление,2,FALSE),"")</f>
        <v>0.1</v>
      </c>
      <c r="BV266">
        <f t="shared" si="364"/>
        <v>45</v>
      </c>
      <c r="BW266">
        <f>IF(D266="","",IFERROR(IF(VLOOKUP(AT266,Потребители_обозначение,4,FALSE)=1,VLOOKUP(AT266,Потребители_обозначение,3,FALSE)*(H266*2-1)+BV266+VLOOKUP(AV266,Этаж_обозначение,3,FALSE)+VLOOKUP(AV266,Этаж_обозначение,4,FALSE),VLOOKUP(AT266,Потребители_обозначение,3,FALSE)*(H266*2-1)+BV266),BV266))</f>
        <v>54</v>
      </c>
      <c r="BX266">
        <f t="shared" si="365"/>
        <v>34</v>
      </c>
      <c r="BY266">
        <f t="shared" si="366"/>
        <v>0</v>
      </c>
      <c r="BZ266">
        <f t="shared" si="367"/>
        <v>2</v>
      </c>
      <c r="CA266">
        <f t="shared" si="368"/>
        <v>0.31</v>
      </c>
      <c r="CB266">
        <f t="shared" si="369"/>
        <v>0.50689724899352884</v>
      </c>
      <c r="CC266">
        <f>IFERROR(ROUNDUP(CB266/((Uн_лин/SQRT(3))*1000)*100,2),"")</f>
        <v>0.22</v>
      </c>
      <c r="CD266">
        <f>IF(ISNUMBER(CC266),CC266+IFERROR(_xlfn.XLOOKUP(A266,Щиты[Щит],Щиты[ΔU до шин, %]),0),"")</f>
        <v>1.47</v>
      </c>
      <c r="CE266">
        <f>IF(D266="","",IF(IFERROR(VLOOKUP(AT266,УГО_спр,2,FALSE),"")="Светильник",3,4)+IF(Методика="нормы 2026",MIN(0.5,MAX(0,N(BW266)-100)*0.005),0))</f>
        <v>4</v>
      </c>
      <c r="CF266" t="str">
        <f>IFERROR(VLOOKUP(BI266,Кабель_обозначение,2,FALSE),"")</f>
        <v>ВВГнг(А)-LS</v>
      </c>
      <c r="CG266" t="str">
        <f>IFERROR(IF(VLOOKUP(BI266,Кабель_обозначение,3,FALSE)=1,CF266&amp;" ("&amp;BJ266&amp;"х"&amp;BS266&amp;")",CF266),"")</f>
        <v>ВВГнг(А)-LS (3х2,5)</v>
      </c>
      <c r="CH266" t="str">
        <f t="shared" si="370"/>
        <v>ВВГнг(А)-LS (3х2,5)
L=54-0,22%</v>
      </c>
      <c r="CI266">
        <f>IFERROR(2*ρкз_Cu*BW266/BS266,"")</f>
        <v>1.1361600000000001</v>
      </c>
      <c r="CJ266">
        <f t="shared" si="371"/>
        <v>0.378</v>
      </c>
      <c r="CK266" t="str">
        <f>IFERROR(IF(OR(D266="",NOT(ISNUMBER(BS266)),N(BW266)=0),"",_xlfn.XLOOKUP(A266,Щиты[Щит],Щиты[Zпетли на шинах, Ом])+CI266),"")</f>
        <v/>
      </c>
      <c r="CL266" t="str">
        <f>IF(ISNUMBER(CK266),c_min*(Uн_лин*1000/SQRT(3))/CK266,"")</f>
        <v/>
      </c>
      <c r="CM266" t="str">
        <f>IFERROR(IF(OR(D266="",NOT(ISNUMBER(BS266))),"",1.05*(Uн_лин*1000/SQRT(3))/(_xlfn.XLOOKUP(A266,Щиты[Щит],Щиты[Zmax на шинах, Ом])+CJ266)/1000),"")</f>
        <v/>
      </c>
      <c r="CN266" t="str">
        <f>IF(D266="","",IF(BA266&lt;&gt;"","Щит",IF(K266&lt;&gt;"",K266,IF(ISNUMBER(L266),"Сил",IF(IFERROR(_xlfn.XLOOKUP(AT266,Коды_код,Коды_группа)&amp;"","")="","Быт",_xlfn.XLOOKUP(AT266,Коды_код,Коды_группа)&amp;"")))))</f>
        <v>Быт</v>
      </c>
      <c r="CO266">
        <f>IF(CN266="Щит","щит",IF(CN266="","",IF(CN266="Быт",IFERROR(_xlfn.XLOOKUP(A266,Щиты[Щит],Щиты[Кс быт]),1),IF(CN266="Сил",IF(ISNUMBER(L266),L266,IF(Методика="нормы 2026",IFERROR(_xlfn.XLOOKUP(A266,Щиты[Щит],Щиты[Кс силовых (табл. 7.5)]),1),1)),IF(OR(CN266="Пост",CN266="Отоп"),1,IF(CN266="ВНГ",0.7,0))))))</f>
        <v>0.57830000000000004</v>
      </c>
      <c r="CP266">
        <f t="shared" si="372"/>
        <v>1</v>
      </c>
      <c r="CQ266">
        <f t="shared" si="373"/>
        <v>0.12</v>
      </c>
      <c r="CR266">
        <f t="shared" si="374"/>
        <v>0.12</v>
      </c>
      <c r="CS266">
        <f t="shared" si="375"/>
        <v>0</v>
      </c>
      <c r="CT266">
        <f t="shared" si="376"/>
        <v>0</v>
      </c>
      <c r="CU266">
        <f t="shared" si="377"/>
        <v>0</v>
      </c>
      <c r="CV266">
        <f t="shared" si="378"/>
        <v>0</v>
      </c>
      <c r="CW266">
        <f t="shared" si="379"/>
        <v>0.12</v>
      </c>
      <c r="CX266">
        <f t="shared" si="380"/>
        <v>0.11399999999999999</v>
      </c>
      <c r="CY266">
        <f t="shared" si="381"/>
        <v>3</v>
      </c>
      <c r="CZ266" t="str">
        <f t="shared" si="382"/>
        <v>L3</v>
      </c>
      <c r="DA266" cm="1">
        <f t="array" ref="DA266">IFERROR(IF(BL266=2,_xlfn.IFS(BH266=3,VLOOKUP(BF266,Справочная_двигатели,3,FALSE),BH266=1,VLOOKUP(BF266,Справочная_двигатели,5,TRUE)),0),0)</f>
        <v>0</v>
      </c>
      <c r="DB266">
        <f>IFERROR(IF(BL266=3,VLOOKUP(BF266,Справочная_ЛЭД,2,TRUE),0),0)</f>
        <v>0</v>
      </c>
      <c r="DC266">
        <f t="shared" si="383"/>
        <v>0</v>
      </c>
      <c r="DD266" t="str">
        <f t="shared" si="384"/>
        <v>L1</v>
      </c>
      <c r="DE266" t="str" cm="1">
        <f t="array" ref="DE266">IF(D266="","",IFERROR(INDEX({"I особая","I","II","III"},MATCH(TRIM(AA266&amp;""),{"I особая","I","II","III"},0)),"III"))</f>
        <v>II</v>
      </c>
      <c r="DF266" t="str">
        <f>IF(D266="","",IF(TRIM(AB266&amp;"")&lt;&gt;"",IF(LOWER(TRIM(AB266&amp;""))="да","да","нет"),IF(IFERROR(_xlfn.XLOOKUP(AT266,Коды_код,Коды_пожарная),"")="да","да","нет")))</f>
        <v>нет</v>
      </c>
      <c r="DG266" t="str">
        <f t="shared" si="385"/>
        <v/>
      </c>
      <c r="DH266" t="str">
        <f t="shared" si="386"/>
        <v>основная</v>
      </c>
      <c r="DI266">
        <f t="shared" si="387"/>
        <v>1</v>
      </c>
      <c r="DJ266" t="str" cm="1">
        <f t="array" ref="DJ266">IF(D266="","",_xlfn.LET(_xlpm.t,IFERROR(_xlfn.XLOOKUP(1,(Шины[Шина]=DH266)*(((Шины[Щит]=A266)+(Шины[Щит]=""))&gt;0),Шины[Тип]),"")&amp;"",IF(_xlpm.t&lt;&gt;"",_xlpm.t,IF(ISNUMBER(SEARCH("ИБП",DH266)),"ИБП",IF(ISNUMBER(SEARCH("ДГУ",DH266)),"ДГУ","Ввод "&amp;DI266)))))</f>
        <v>Ввод 1</v>
      </c>
      <c r="DK266" t="str">
        <f t="shared" si="388"/>
        <v>Ввод 1</v>
      </c>
      <c r="DL266" t="str">
        <f>IF(D266="","",IF(OR(DJ266="ИБП",DJ266="ДГУ"),"I особая",IF(DJ266="Одиночная","III",_xlfn.XLOOKUP(A266,Щиты[Щит],Щиты[Категория шины «Ввод»],"III"))))</f>
        <v>II</v>
      </c>
      <c r="DM266">
        <f>IF(D266="",0,IFERROR(MATCH(DE266,{"III","II","I","I особая"},0),1))</f>
        <v>2</v>
      </c>
      <c r="DN266">
        <f t="shared" si="389"/>
        <v>2</v>
      </c>
      <c r="DO266" t="str">
        <f>IF(D266="","",IF(DM266&gt;IFERROR(MATCH(DL266,{"III","II","I","I особая"},0),1),"НЕ ОБЕСПЕЧЕНА","ОК"))</f>
        <v>ОК</v>
      </c>
      <c r="DP266" t="str">
        <f>IF(A266="","",_xlfn.XLOOKUP(A266,Щиты[Щит],Щиты[Путь],""))</f>
        <v>|ГРЩ-ЖД|ЩР-1|</v>
      </c>
      <c r="DQ266" t="str">
        <f>IF(D266="","",IF(Z266&lt;&gt;"",Z266,IF(IFERROR(_xlfn.XLOOKUP(AT266,Коды_код,Коды_вид)&amp;"","")="","Прочее",_xlfn.XLOOKUP(AT266,Коды_код,Коды_вид)&amp;"")))</f>
        <v>Розеточная сеть и бытовые приборы</v>
      </c>
      <c r="DR266">
        <f>IF(BD266="","",INT((BD266-1)/Столбцов_на_лист)+1)</f>
        <v>4</v>
      </c>
      <c r="DS266" t="str">
        <f t="shared" si="390"/>
        <v>ВВГнг(А)-LS (3х2,5) L=54-0,22%</v>
      </c>
      <c r="DT266">
        <f t="shared" si="391"/>
        <v>0.12</v>
      </c>
      <c r="DU266">
        <f t="shared" si="392"/>
        <v>0.55000000000000004</v>
      </c>
      <c r="DV266">
        <f t="shared" si="393"/>
        <v>1</v>
      </c>
      <c r="DW266">
        <f>IF(AT266="",0,_xlfn.LET(_xlpm.v,IFERROR(VLOOKUP(D266,УГО_спр,3,FALSE),IFERROR(VLOOKUP(AT266,УГО_спр,3,FALSE),IFERROR(VLOOKUP(LEFT(AT266,2),УГО_спр,3,FALSE),""))),IF(_xlpm.v="да",30,IF(ISNUMBER(_xlpm.v),_xlpm.v,0))))</f>
        <v>30</v>
      </c>
      <c r="DX266">
        <f t="shared" si="394"/>
        <v>0</v>
      </c>
      <c r="DY266">
        <f>IF(BD266="","",IF(AD266&lt;&gt;"",COUNTIFS(A$3:A266,A266,AD$3:AD266,"?*"),IF(OR(OR(AS266=1,A266&lt;&gt;A265),AL266="вручную"),"",IF(AS266=1,"",DZ265))))</f>
        <v>42</v>
      </c>
      <c r="DZ266">
        <f t="shared" si="395"/>
        <v>42</v>
      </c>
      <c r="EA266">
        <f>IF(D266="",0,MAX(IFERROR(--X266,0),IFERROR(--VLOOKUP(D266,УГО_спр,4,FALSE),IFERROR(--VLOOKUP(AT266,УГО_спр,4,FALSE),IFERROR(--VLOOKUP(LEFT(AT266,2),УГО_спр,4,FALSE),0)))))</f>
        <v>16</v>
      </c>
      <c r="EB266">
        <f>IF(D266="","",IFERROR(LOOKUP(INDEX(CHOOSE(BR266,Iдоп_1ж,Iдоп_2ж,Iдоп_3ж),MATCH(BS266,Iдоп_S,0))*BP266*BQ266,{6,10,16,20,25,32,40,50,63,80,100,125,160,200,250,315,400,500,630}),""))</f>
        <v>25</v>
      </c>
      <c r="EC266">
        <f>IF(AD266="","",SUMIFS(Линии[_Ток схемы],Линии[_гр.],DY266,Линии[Щит],A266,Линии[_в кабель выше],0))</f>
        <v>0.55000000000000004</v>
      </c>
      <c r="ED266">
        <f>IF(AD266="","",IFERROR(VLOOKUP(EC266,Автомат_номиналы,2,TRUE),""))</f>
        <v>6</v>
      </c>
      <c r="EE266">
        <f>IF(AD266="","",MAX(N(ED266),_xlfn.MAXIFS(Линии[_мин. по типу],Линии[_гр.],DY266,Линии[Щит],A266)))</f>
        <v>16</v>
      </c>
      <c r="EF266">
        <f>IF(AD266="","",_xlfn.MINIFS(Линии[_макс. автомат по кабелю],Линии[_гр.],DY266,Линии[Щит],A266))</f>
        <v>25</v>
      </c>
      <c r="EG266">
        <f>IF(AD266="","",MAX(1,_xlfn.MAXIFS(Линии[_фаз],Линии[_гр.],DY266,Линии[Щит],A266)))</f>
        <v>1</v>
      </c>
      <c r="EH266">
        <f>IF(AD266="","",IF(AND(AD266&lt;&gt;"авто",AD266&lt;&gt;"+"),IF(ISNUMBER(SEARCH("мА",AD266)),IFERROR(--TRIM(RIGHT(SUBSTITUTE(LEFT(AD266,SEARCH("мА",AD266)-1)," ",REPT(" ",9)),6)),30),0),IF(AE266="нет",0,IF(ISNUMBER(AE266),AE266,IF(AE266="да",30,_xlfn.MINIFS(Линии[_дифзащита по коду, мА],Линии[_гр.],DY266,Линии[Щит],A266,Линии[_дифзащита по коду, мА],"&gt;0"))))))</f>
        <v>30</v>
      </c>
      <c r="EI266">
        <f t="shared" si="396"/>
        <v>1</v>
      </c>
      <c r="EJ266" t="str">
        <f t="shared" si="397"/>
        <v>QFD42</v>
      </c>
      <c r="EK266" t="str">
        <f t="shared" si="398"/>
        <v>QFD42</v>
      </c>
      <c r="EL266" t="str">
        <f t="shared" si="399"/>
        <v/>
      </c>
      <c r="EM266">
        <f t="shared" si="400"/>
        <v>0</v>
      </c>
      <c r="EN266">
        <f>IF(AD266="","",IF(EM266=1,MAX(EE266,Мин_автомат_БП),EE266))</f>
        <v>16</v>
      </c>
      <c r="EO266" t="str">
        <f t="shared" si="401"/>
        <v>2P</v>
      </c>
      <c r="EP266" t="str">
        <f t="shared" si="402"/>
        <v>2P С16А 30мА</v>
      </c>
      <c r="EQ266">
        <f t="shared" si="403"/>
        <v>16</v>
      </c>
      <c r="ER266" t="str">
        <f>IF(OR(AI266="",AI266="-"),"",IFERROR(VLOOKUP(AI266,Модули_спр,2,FALSE),"R"))</f>
        <v/>
      </c>
      <c r="ES266" t="str">
        <f>IF(ER266="","",ER266&amp;"."&amp;COUNTIFS(A$3:A266,A266,ER$3:ER266,ER266))</f>
        <v/>
      </c>
      <c r="ET266" t="str">
        <f t="shared" si="404"/>
        <v/>
      </c>
      <c r="EU266" t="str">
        <f t="shared" si="405"/>
        <v/>
      </c>
      <c r="EV266" t="str">
        <f t="shared" si="406"/>
        <v/>
      </c>
      <c r="EW266" t="str">
        <f t="shared" si="407"/>
        <v/>
      </c>
      <c r="EX266">
        <f t="shared" si="408"/>
        <v>1</v>
      </c>
      <c r="EY266" t="str">
        <f>IF(AK266="нет","",IF(AK266&lt;&gt;"",AK266,IF(EX266=1,"XT"&amp;COUNTIFS(A$3:A266,A266,EX$3:EX266,1),"")))</f>
        <v>XT42</v>
      </c>
      <c r="EZ266" t="str">
        <f t="shared" si="409"/>
        <v>QFD42</v>
      </c>
      <c r="FA266" t="str">
        <f t="shared" si="410"/>
        <v/>
      </c>
      <c r="FB266" t="str">
        <f t="shared" si="411"/>
        <v>ok</v>
      </c>
      <c r="FC266" t="str">
        <f>IF(OR(EV266="",ET266=""),"",IF(EV266&gt;IFERROR(VLOOKUP(EU266,Модули_спр,3,FALSE),99),"ЛИШНИЙ КАНАЛ",IF(AND(AJ266&lt;&gt;"=",COUNTIFS(Линии[_модуль гр.],ET266,Линии[Канал (итог)],EV266,Линии[Канал],"&lt;&gt;=",Линии[Щит],A266)&gt;1),"ДУБЛЬ КАНАЛА","")))</f>
        <v/>
      </c>
      <c r="FD266">
        <f t="shared" si="412"/>
        <v>16</v>
      </c>
      <c r="FE266" t="str">
        <f t="shared" si="413"/>
        <v>2P С16А 30мА</v>
      </c>
      <c r="FF266">
        <f t="shared" si="414"/>
        <v>1</v>
      </c>
      <c r="FG266">
        <f t="shared" si="415"/>
        <v>30</v>
      </c>
      <c r="FH266" t="str">
        <f t="shared" si="416"/>
        <v/>
      </c>
      <c r="FI266">
        <f t="shared" si="417"/>
        <v>10</v>
      </c>
      <c r="FJ266" t="str">
        <f t="shared" si="418"/>
        <v/>
      </c>
      <c r="FK266" t="str">
        <f>IF(AND(D266="",EZ266=""),"",_xlfn.TEXTJOIN("; ",TRUE,IF(AND(D266&lt;&gt;"",DD266=""),"нет фазы",""),IF(AND(D266&lt;&gt;"",N(DT266)=0,CN266&lt;&gt;"Нет"),"нет мощности",""),IF(AND(EY266&lt;&gt;"",COUNTIFS(Линии[Щит],A266,Линии[Клемма (итог)],EY266)&gt;1),"дубль клеммы "&amp;EY266,""),IF(AND(FB266&lt;&gt;"",FB266&lt;&gt;"ok"),FB266,""),IF(FC266&lt;&gt;"",FC266,""),IF(AND(ISNUMBER(SEARCH("(5х",DS266)),N(DV266)=1),"5 жил на 1 фазе",""),IF(AND(AT266="R",AD266&lt;&gt;"",OR(N(EH266)=0,N(EH266)&gt;30)),"розетка без дифзащиты до 30 мА",""),IFERROR(IF(AND(ISNUMBER(CD266),CD266&gt;CE266),"потери "&amp;FIXED(CD266,1)&amp;" % &gt; "&amp;CE266&amp;" %",""),""),IFERROR(IF(LEFT(FJ266,4)="мало","Iкз мало — отключение &gt; 0,4 с",""),""),IF(AND(D266&lt;&gt;"",BD266=""),"не на схеме","")))</f>
        <v/>
      </c>
      <c r="FL266">
        <f>IF(AD266="","",_xlfn.LET(_xlpm.t,IFERROR(_xlfn.XLOOKUP(EP266,Каталог!$U$4:$U$500,Каталог!$G$4:$G$500),""),_xlpm.k,SEARCH("кА",_xlpm.t),IFERROR(--TRIM(RIGHT(SUBSTITUTE(MID(_xlpm.t,MAX(1,_xlpm.k-4),_xlpm.k-MAX(1,_xlpm.k-4))," ",REPT(" ",9)),5)),"")))</f>
        <v>6</v>
      </c>
      <c r="FM266" t="str">
        <f>IF(OR(FL266="",AD266=""),"",IF(_xlfn.XLOOKUP(A266,Щиты[Щит],Щиты[Iкз max на шинах, кА],"")="","",IF(FL266&lt;_xlfn.XLOOKUP(A266,Щиты[Щит],Щиты[Iкз max на шинах, кА]),"Icu "&amp;FL266&amp;" кА &lt; Iкз max","ok")))</f>
        <v/>
      </c>
      <c r="FN266" t="str">
        <f t="shared" si="419"/>
        <v>QFD42|XT42</v>
      </c>
      <c r="FO266" t="str">
        <f t="shared" si="420"/>
        <v>QFD42|XT42|кабель ВВГнг(А)-LS (3х2,5) → Розеточная группа Первый этаж Пом. №020A</v>
      </c>
      <c r="FP266" t="str" cm="1">
        <f t="array" ref="FP266">IF(FO266="","",_xlfn.LET(_xlpm.nd,_xlfn.TEXTSPLIT(FO266,"|"),IF(COLUMNS(_xlpm.nd)&gt;1,A266&amp;"¦"&amp;INDEX(_xlpm.nd,1)&amp;"¦"&amp;INDEX(_xlpm.nd,2),"")))</f>
        <v>ЩР-1¦QFD42¦XT42</v>
      </c>
      <c r="FQ266" t="str">
        <f t="shared" si="421"/>
        <v>R.1.020A.2¦Розеточная группа Первый этаж Пом. №020A</v>
      </c>
      <c r="FR266" t="str" cm="1">
        <f t="array" ref="FR266">IF(FO266="","",_xlfn.LET(_xlpm.nd,_xlfn.TEXTSPLIT(FO266,"|"),IF(COLUMNS(_xlpm.nd)&gt;2,A266&amp;"¦"&amp;INDEX(_xlpm.nd,2)&amp;"¦"&amp;INDEX(_xlpm.nd,3),"")))</f>
        <v>ЩР-1¦XT42¦кабель ВВГнг(А)-LS (3х2,5) → Розеточная группа Первый этаж Пом. №020A</v>
      </c>
      <c r="FS266" t="str">
        <f t="shared" si="422"/>
        <v>R.1.020A.2¦Розеточная группа Первый этаж Пом. №020A</v>
      </c>
      <c r="FT266" t="str" cm="1">
        <f t="array" ref="FT266">IF(FO266="","",_xlfn.LET(_xlpm.nd,_xlfn.TEXTSPLIT(FO266,"|"),IF(COLUMNS(_xlpm.nd)&gt;3,A266&amp;"¦"&amp;INDEX(_xlpm.nd,3)&amp;"¦"&amp;INDEX(_xlpm.nd,4),"")))</f>
        <v/>
      </c>
      <c r="FU266" t="str">
        <f t="shared" si="423"/>
        <v/>
      </c>
      <c r="FV266" t="str" cm="1">
        <f t="array" ref="FV266">IF(FO266="","",_xlfn.LET(_xlpm.nd,_xlfn.TEXTSPLIT(FO266,"|"),IF(COLUMNS(_xlpm.nd)&gt;4,A266&amp;"¦"&amp;INDEX(_xlpm.nd,4)&amp;"¦"&amp;INDEX(_xlpm.nd,5),"")))</f>
        <v/>
      </c>
      <c r="FW266" t="str">
        <f t="shared" si="424"/>
        <v/>
      </c>
      <c r="FX266" t="str" cm="1">
        <f t="array" ref="FX266">IF(FO266="","",_xlfn.LET(_xlpm.nd,_xlfn.TEXTSPLIT(FO266,"|"),IF(COLUMNS(_xlpm.nd)&gt;5,A266&amp;"¦"&amp;INDEX(_xlpm.nd,5)&amp;"¦"&amp;INDEX(_xlpm.nd,6),"")))</f>
        <v/>
      </c>
      <c r="FY266" t="str">
        <f t="shared" si="425"/>
        <v/>
      </c>
      <c r="FZ266" t="str" cm="1">
        <f t="array" ref="FZ266">IF(FO266="","",_xlfn.LET(_xlpm.nd,_xlfn.TEXTSPLIT(FO266,"|"),IF(COLUMNS(_xlpm.nd)&gt;6,A266&amp;"¦"&amp;INDEX(_xlpm.nd,6)&amp;"¦"&amp;INDEX(_xlpm.nd,7),"")))</f>
        <v/>
      </c>
      <c r="GA266" t="str">
        <f t="shared" si="426"/>
        <v/>
      </c>
      <c r="GB266" t="str">
        <f t="shared" si="427"/>
        <v/>
      </c>
      <c r="GC266" t="str">
        <f t="shared" si="428"/>
        <v>QFD42 → XT42</v>
      </c>
      <c r="GD266">
        <f t="shared" si="429"/>
        <v>1</v>
      </c>
      <c r="GE266">
        <f t="shared" si="430"/>
        <v>0</v>
      </c>
      <c r="GF266">
        <f t="shared" si="431"/>
        <v>1</v>
      </c>
      <c r="GG266" t="str">
        <f t="shared" si="432"/>
        <v/>
      </c>
      <c r="GH266" t="str">
        <f t="shared" si="433"/>
        <v/>
      </c>
      <c r="GI266" t="str">
        <f t="shared" si="434"/>
        <v/>
      </c>
      <c r="GJ266" t="str">
        <f t="shared" si="435"/>
        <v/>
      </c>
      <c r="GK266" t="str">
        <f>IF(D266="","",IFERROR(VLOOKUP(D266,УГО_спр,2,FALSE),IFERROR(VLOOKUP(AT266,УГО_спр,2,FALSE),IFERROR(VLOOKUP(LEFT(AT266,2),УГО_спр,2,FALSE),""))))</f>
        <v>Розетка</v>
      </c>
      <c r="GL266" t="str">
        <f>IF(D266="","",IF(OR(GK266="",GK266=0),"BOX",IFERROR(IF(VLOOKUP(GK266,УГО_блоки,3,FALSE)&amp;""&lt;&gt;"",VLOOKUP(GK266,УГО_блоки,3,FALSE),VLOOKUP(GK266,УГО_блоки,2,FALSE)),GK266)))</f>
        <v>SOCKET</v>
      </c>
      <c r="GM266">
        <f t="shared" si="436"/>
        <v>1</v>
      </c>
      <c r="GN266" t="str">
        <f>IF(EP266="","",IF(COUNTIF(EP$3:EP266,EP266)=1,MAX(GN$2:GN265)+1,""))</f>
        <v/>
      </c>
      <c r="GO266" t="str">
        <f>IF(AF266="","",IF(COUNTIF(AF$3:AF266,AF266)+COUNTIF(AG$2:AG265,AF266)+COUNTIF(AH$2:AH265,AF266)=1,MAX(GO$2:GQ265)+1,""))</f>
        <v/>
      </c>
      <c r="GP266" t="str">
        <f>IF(AG266="","",IF(COUNTIF(AF$3:AF266,AG266)+COUNTIF(AG$3:AG266,AG266)+COUNTIF(AH$2:AH265,AG266)=1,MAX(GO$2:GQ265,GO266)+1,""))</f>
        <v/>
      </c>
      <c r="GQ266" t="str">
        <f>IF(AH266="","",IF(COUNTIF(AF$3:AF266,AH266)+COUNTIF(AG$3:AG266,AH266)+COUNTIF(AH$3:AH266,AH266)=1,MAX(GO$2:GQ265,GO266,GP266)+1,""))</f>
        <v/>
      </c>
      <c r="GR266" t="str">
        <f t="shared" si="437"/>
        <v>3х2,5</v>
      </c>
      <c r="GS266" t="str">
        <f>IF(GR266="","",IF(COUNTIF(GR$3:GR266,GR266)=1,MAX(GS$2:GS265)+1,""))</f>
        <v/>
      </c>
      <c r="GT266" t="str">
        <f>IF(ES266="","",COUNTIF(ES$3:ES266,"?*"))</f>
        <v/>
      </c>
      <c r="GU266" t="str">
        <f>IF(OR(ES266="",EU266=""),"",IF(COUNTIFS(ES$3:ES266,"?*",EU$3:EU266,EU266)=1,MAX(GU$2:GU265)+1,""))</f>
        <v/>
      </c>
      <c r="GV266">
        <f t="shared" si="438"/>
        <v>0</v>
      </c>
      <c r="GW266">
        <f>IF(D266="","",COUNTIF(D$3:D266,"?*"))</f>
        <v>264</v>
      </c>
      <c r="GX266">
        <f>IF(EX266&lt;&gt;1,0,_xlfn.LET(_xlpm.k,MAX(IFERROR(--VLOOKUP(D266,УГО_спр,5,FALSE),0),IFERROR(--VLOOKUP(AT266,УГО_спр,5,FALSE),0),IFERROR(--VLOOKUP(LEFT(AT266,2),УГО_спр,5,FALSE),0)),IF(_xlpm.k&gt;0,_xlpm.k,IF(IFERROR(--LEFT(SUBSTITUTE(GR266,"x","х"),FIND("х",SUBSTITUTE(GR266,"x","х"))-1),3)&gt;3,Каталог!$S$9,1))))</f>
        <v>1</v>
      </c>
      <c r="GY266">
        <f t="shared" si="439"/>
        <v>0</v>
      </c>
    </row>
    <row r="267" spans="1:207" x14ac:dyDescent="0.3">
      <c r="A267" t="s">
        <v>762</v>
      </c>
      <c r="B267">
        <v>57</v>
      </c>
      <c r="C267" t="str">
        <f>IF(BD267="","",IF(BE267="вводной узел","узел ","")&amp;"л."&amp;(INT((BD267-1)/Столбцов_на_лист)+1)&amp;" / "&amp;(MOD(BD267-1,Столбцов_на_лист)+1))</f>
        <v>л.4 / 6</v>
      </c>
      <c r="D267" t="s">
        <v>1590</v>
      </c>
      <c r="E267" s="133" t="s">
        <v>1591</v>
      </c>
      <c r="G267">
        <v>1.5</v>
      </c>
      <c r="H267">
        <v>1</v>
      </c>
      <c r="I267">
        <v>1</v>
      </c>
      <c r="J267">
        <v>230</v>
      </c>
      <c r="K267" t="s">
        <v>566</v>
      </c>
      <c r="O267">
        <v>2</v>
      </c>
      <c r="P267">
        <v>36</v>
      </c>
      <c r="Q267">
        <v>20</v>
      </c>
      <c r="R267">
        <v>19</v>
      </c>
      <c r="S267">
        <v>0</v>
      </c>
      <c r="U267" t="s">
        <v>11</v>
      </c>
      <c r="V267">
        <v>3</v>
      </c>
      <c r="W267">
        <v>2.5</v>
      </c>
      <c r="Z267" t="s">
        <v>565</v>
      </c>
      <c r="AA267" t="s">
        <v>818</v>
      </c>
      <c r="AD267" t="s">
        <v>517</v>
      </c>
      <c r="AR267" t="str">
        <f t="shared" si="353"/>
        <v/>
      </c>
      <c r="AS267" cm="1">
        <f t="array" ref="AS267">ROW()-ROW(Линии[#Headers])</f>
        <v>265</v>
      </c>
      <c r="AT267" t="str">
        <f t="shared" si="354"/>
        <v>R</v>
      </c>
      <c r="AU267" t="str">
        <f t="shared" si="355"/>
        <v>1.021A.1</v>
      </c>
      <c r="AV267" t="str">
        <f t="shared" si="356"/>
        <v>1</v>
      </c>
      <c r="AW267" t="str">
        <f t="shared" si="357"/>
        <v>021A.1</v>
      </c>
      <c r="AX267" t="str">
        <f t="shared" si="358"/>
        <v>021A</v>
      </c>
      <c r="AY267" t="str">
        <f>IF(D267="","",IF(ISERROR(SEARCH(".",D267)),IFERROR(VLOOKUP(D267,Потребители_обозначение,2,FALSE)&amp;"",""),IFERROR(IF(VLOOKUP(AT267,Потребители_обозначение,4,FALSE)=1,VLOOKUP(AT267,Потребители_обозначение,2,FALSE)&amp;" "&amp;VLOOKUP(AV267,Этаж_обозначение,2,FALSE)&amp;" Пом. №"&amp;AX267,VLOOKUP(AT267,Потребители_обозначение,2,FALSE)&amp;" Шлейф №"&amp;AV267),IFERROR(VLOOKUP(D267,Потребители_обозначение,2,FALSE),""))))</f>
        <v>Розеточная группа Первый этаж Пом. №021A</v>
      </c>
      <c r="AZ267" t="str">
        <f t="shared" si="359"/>
        <v>Розеточная группа Первый этаж Пом. №021A Кофемашина</v>
      </c>
      <c r="BA267" t="str">
        <f>IF(F267&lt;&gt;"",F267,IF(AND(D267&lt;&gt;"",D267&lt;&gt;A267,ISNUMBER(_xlfn.XMATCH(D267,Щиты[Щит]))),D267,""))</f>
        <v/>
      </c>
      <c r="BB267">
        <f>IFERROR(_xlfn.XMATCH(A267,Щиты[Щит]),0)</f>
        <v>10</v>
      </c>
      <c r="BC267">
        <f>IFERROR(N(_xlfn.XLOOKUP(A267,Щиты[Щит],Щиты[Мест под вводной узел])),15)</f>
        <v>8</v>
      </c>
      <c r="BD267">
        <f t="shared" si="360"/>
        <v>57</v>
      </c>
      <c r="BE267" t="str">
        <f t="shared" si="361"/>
        <v>линии</v>
      </c>
      <c r="BF267">
        <f>IF(D267="","",IF(BA267&lt;&gt;"",IFERROR(_xlfn.XLOOKUP(BA267,Щиты[Щит],Щиты[Руст, кВт]),0),N(G267)))</f>
        <v>1.5</v>
      </c>
      <c r="BG267">
        <f>IF(J267&lt;&gt;"",J267,IF(D267="","",IFERROR(IF(VLOOKUP(AT267,Потребители_обозначение,8,FALSE)=0,"",VLOOKUP(AT267,Потребители_обозначение,8,FALSE)),"")))</f>
        <v>230</v>
      </c>
      <c r="BH267">
        <f>IF(I267&lt;&gt;"",I267,IF(D267="","",IFERROR(IF(VLOOKUP(AT267,Потребители_обозначение,9,FALSE)=0,"",VLOOKUP(AT267,Потребители_обозначение,9,FALSE)),"")))</f>
        <v>1</v>
      </c>
      <c r="BI267" t="str">
        <f>IF(U267&lt;&gt;"",U267,IF(D267="","",IFERROR(IF(VLOOKUP(AT267,Потребители_обозначение,6,FALSE)=0,"",VLOOKUP(AT267,Потребители_обозначение,6,FALSE)),"")))</f>
        <v>мс</v>
      </c>
      <c r="BJ267">
        <f>IF(V267&lt;&gt;"",V267,IF(D267="","",IFERROR(IF(VLOOKUP(AT267,Потребители_обозначение,7,FALSE)=0,"",VLOOKUP(AT267,Потребители_обозначение,7,FALSE)),"")))</f>
        <v>3</v>
      </c>
      <c r="BK267">
        <f>IF(W267&lt;&gt;"",W267,IF(D267="","",IFERROR(IF(VLOOKUP(AT267,Потребители_обозначение,10,FALSE)=0,"",VLOOKUP(AT267,Потребители_обозначение,10,FALSE)),"")))</f>
        <v>2.5</v>
      </c>
      <c r="BL267">
        <f>IFERROR(VLOOKUP(AT267,Потребители_обозначение,5,FALSE),0)</f>
        <v>1</v>
      </c>
      <c r="BM267" cm="1">
        <f t="array" ref="BM267">IF(D267="","",IF(BA267&lt;&gt;"",IFERROR(_xlfn.XLOOKUP(BA267,Щиты[Щит],Щиты[cos φ]),0.95),IF(ISNUMBER(M267),M267,IFERROR(IF(BL267=2,_xlfn.IFS(BH267=3,VLOOKUP(BF267,Справочная_двигатели,8,FALSE),BH267=1,VLOOKUP(BF267,Справочная_двигатели,10,TRUE)),IF(AND(Методика="нормы 2026",CN267="Сил"),0.8,0.95)),0.95))))</f>
        <v>0.95</v>
      </c>
      <c r="BN267" cm="1">
        <f t="array" ref="BN267">IF(D267="","",IF(BA267&lt;&gt;"",IFERROR(_xlfn.XLOOKUP(BA267,Щиты[Щит],Щиты[Iр, А]),""),IFERROR(_xlfn.IFS(BH267=1,BF267/((Uн_лин/SQRT(3))*BM267),BH267=3,BF267/(SQRT(3)*Uн_лин*BM267)),"")))</f>
        <v>6.8370426614560946</v>
      </c>
      <c r="BO267">
        <f>IF(D267="","",IF(N(X267)=0,IFERROR(VLOOKUP(BN267,Автомат_номиналы,2,TRUE),""),X267))</f>
        <v>10</v>
      </c>
      <c r="BP267">
        <f t="shared" si="362"/>
        <v>1</v>
      </c>
      <c r="BQ267">
        <f>IF(ISNUMBER(Y267),Y267,К_прокл)</f>
        <v>1</v>
      </c>
      <c r="BR267">
        <f t="shared" si="363"/>
        <v>2</v>
      </c>
      <c r="BS267" cm="1">
        <f t="array" ref="BS267">IF(D267="","",IF(N(BK267)&lt;&gt;0,BK267,IFERROR(_xlfn.LET(_xlpm.need,BO267/(BP267*BQ267),_xlpm.t,CHOOSE(BR267,Iдоп_1ж,Iдоп_2ж,Iдоп_3ж),_xlpm.k,_xlfn.XMATCH(_xlpm.need,_xlpm.t,1),IF(ISNA(_xlpm.k),"Не исп",INDEX(Iдоп_S,_xlpm.k))),"Не исп")))</f>
        <v>2.5</v>
      </c>
      <c r="BT267">
        <f>IFERROR(VLOOKUP(BS267,Кабель_сопротивление,3,FALSE),"")</f>
        <v>2.2499999999999999E-2</v>
      </c>
      <c r="BU267">
        <f>IFERROR(VLOOKUP(BS267,Кабель_сопротивление,2,FALSE),"")</f>
        <v>0.1</v>
      </c>
      <c r="BV267">
        <f t="shared" si="364"/>
        <v>36</v>
      </c>
      <c r="BW267">
        <f>IF(D267="","",IFERROR(IF(VLOOKUP(AT267,Потребители_обозначение,4,FALSE)=1,VLOOKUP(AT267,Потребители_обозначение,3,FALSE)*(H267*2-1)+BV267+VLOOKUP(AV267,Этаж_обозначение,3,FALSE)+VLOOKUP(AV267,Этаж_обозначение,4,FALSE),VLOOKUP(AT267,Потребители_обозначение,3,FALSE)*(H267*2-1)+BV267),BV267))</f>
        <v>39</v>
      </c>
      <c r="BX267">
        <f t="shared" si="365"/>
        <v>19</v>
      </c>
      <c r="BY267">
        <f t="shared" si="366"/>
        <v>0</v>
      </c>
      <c r="BZ267">
        <f t="shared" si="367"/>
        <v>2</v>
      </c>
      <c r="CA267">
        <f t="shared" si="368"/>
        <v>0.31</v>
      </c>
      <c r="CB267">
        <f t="shared" si="369"/>
        <v>4.5761557200804699</v>
      </c>
      <c r="CC267">
        <f>IFERROR(ROUNDUP(CB267/((Uн_лин/SQRT(3))*1000)*100,2),"")</f>
        <v>1.99</v>
      </c>
      <c r="CD267">
        <f>IF(ISNUMBER(CC267),CC267+IFERROR(_xlfn.XLOOKUP(A267,Щиты[Щит],Щиты[ΔU до шин, %]),0),"")</f>
        <v>3.24</v>
      </c>
      <c r="CE267">
        <f>IF(D267="","",IF(IFERROR(VLOOKUP(AT267,УГО_спр,2,FALSE),"")="Светильник",3,4)+IF(Методика="нормы 2026",MIN(0.5,MAX(0,N(BW267)-100)*0.005),0))</f>
        <v>4</v>
      </c>
      <c r="CF267" t="str">
        <f>IFERROR(VLOOKUP(BI267,Кабель_обозначение,2,FALSE),"")</f>
        <v>ВВГнг(А)-LS</v>
      </c>
      <c r="CG267" t="str">
        <f>IFERROR(IF(VLOOKUP(BI267,Кабель_обозначение,3,FALSE)=1,CF267&amp;" ("&amp;BJ267&amp;"х"&amp;BS267&amp;")",CF267),"")</f>
        <v>ВВГнг(А)-LS (3х2,5)</v>
      </c>
      <c r="CH267" t="str">
        <f t="shared" si="370"/>
        <v>ВВГнг(А)-LS (3х2,5)
L=39-1,99%</v>
      </c>
      <c r="CI267">
        <f>IFERROR(2*ρкз_Cu*BW267/BS267,"")</f>
        <v>0.82056000000000007</v>
      </c>
      <c r="CJ267">
        <f t="shared" si="371"/>
        <v>0.27300000000000002</v>
      </c>
      <c r="CK267" t="str">
        <f>IFERROR(IF(OR(D267="",NOT(ISNUMBER(BS267)),N(BW267)=0),"",_xlfn.XLOOKUP(A267,Щиты[Щит],Щиты[Zпетли на шинах, Ом])+CI267),"")</f>
        <v/>
      </c>
      <c r="CL267" t="str">
        <f>IF(ISNUMBER(CK267),c_min*(Uн_лин*1000/SQRT(3))/CK267,"")</f>
        <v/>
      </c>
      <c r="CM267" t="str">
        <f>IFERROR(IF(OR(D267="",NOT(ISNUMBER(BS267))),"",1.05*(Uн_лин*1000/SQRT(3))/(_xlfn.XLOOKUP(A267,Щиты[Щит],Щиты[Zmax на шинах, Ом])+CJ267)/1000),"")</f>
        <v/>
      </c>
      <c r="CN267" t="str">
        <f>IF(D267="","",IF(BA267&lt;&gt;"","Щит",IF(K267&lt;&gt;"",K267,IF(ISNUMBER(L267),"Сил",IF(IFERROR(_xlfn.XLOOKUP(AT267,Коды_код,Коды_группа)&amp;"","")="","Быт",_xlfn.XLOOKUP(AT267,Коды_код,Коды_группа)&amp;"")))))</f>
        <v>Быт</v>
      </c>
      <c r="CO267">
        <f>IF(CN267="Щит","щит",IF(CN267="","",IF(CN267="Быт",IFERROR(_xlfn.XLOOKUP(A267,Щиты[Щит],Щиты[Кс быт]),1),IF(CN267="Сил",IF(ISNUMBER(L267),L267,IF(Методика="нормы 2026",IFERROR(_xlfn.XLOOKUP(A267,Щиты[Щит],Щиты[Кс силовых (табл. 7.5)]),1),1)),IF(OR(CN267="Пост",CN267="Отоп"),1,IF(CN267="ВНГ",0.7,0))))))</f>
        <v>0.57830000000000004</v>
      </c>
      <c r="CP267">
        <f t="shared" si="372"/>
        <v>1</v>
      </c>
      <c r="CQ267">
        <f t="shared" si="373"/>
        <v>1.5</v>
      </c>
      <c r="CR267">
        <f t="shared" si="374"/>
        <v>1.5</v>
      </c>
      <c r="CS267">
        <f t="shared" si="375"/>
        <v>0</v>
      </c>
      <c r="CT267">
        <f t="shared" si="376"/>
        <v>0</v>
      </c>
      <c r="CU267">
        <f t="shared" si="377"/>
        <v>0</v>
      </c>
      <c r="CV267">
        <f t="shared" si="378"/>
        <v>0</v>
      </c>
      <c r="CW267">
        <f t="shared" si="379"/>
        <v>1.5</v>
      </c>
      <c r="CX267">
        <f t="shared" si="380"/>
        <v>1.4249999999999998</v>
      </c>
      <c r="CY267">
        <f t="shared" si="381"/>
        <v>1</v>
      </c>
      <c r="CZ267" t="str">
        <f t="shared" si="382"/>
        <v>L1</v>
      </c>
      <c r="DA267" cm="1">
        <f t="array" ref="DA267">IFERROR(IF(BL267=2,_xlfn.IFS(BH267=3,VLOOKUP(BF267,Справочная_двигатели,3,FALSE),BH267=1,VLOOKUP(BF267,Справочная_двигатели,5,TRUE)),0),0)</f>
        <v>0</v>
      </c>
      <c r="DB267">
        <f>IFERROR(IF(BL267=3,VLOOKUP(BF267,Справочная_ЛЭД,2,TRUE),0),0)</f>
        <v>0</v>
      </c>
      <c r="DC267">
        <f t="shared" si="383"/>
        <v>0</v>
      </c>
      <c r="DD267" t="str">
        <f t="shared" si="384"/>
        <v>L2</v>
      </c>
      <c r="DE267" t="str" cm="1">
        <f t="array" ref="DE267">IF(D267="","",IFERROR(INDEX({"I особая","I","II","III"},MATCH(TRIM(AA267&amp;""),{"I особая","I","II","III"},0)),"III"))</f>
        <v>II</v>
      </c>
      <c r="DF267" t="str">
        <f>IF(D267="","",IF(TRIM(AB267&amp;"")&lt;&gt;"",IF(LOWER(TRIM(AB267&amp;""))="да","да","нет"),IF(IFERROR(_xlfn.XLOOKUP(AT267,Коды_код,Коды_пожарная),"")="да","да","нет")))</f>
        <v>нет</v>
      </c>
      <c r="DG267" t="str">
        <f t="shared" si="385"/>
        <v/>
      </c>
      <c r="DH267" t="str">
        <f t="shared" si="386"/>
        <v>основная</v>
      </c>
      <c r="DI267">
        <f t="shared" si="387"/>
        <v>1</v>
      </c>
      <c r="DJ267" t="str" cm="1">
        <f t="array" ref="DJ267">IF(D267="","",_xlfn.LET(_xlpm.t,IFERROR(_xlfn.XLOOKUP(1,(Шины[Шина]=DH267)*(((Шины[Щит]=A267)+(Шины[Щит]=""))&gt;0),Шины[Тип]),"")&amp;"",IF(_xlpm.t&lt;&gt;"",_xlpm.t,IF(ISNUMBER(SEARCH("ИБП",DH267)),"ИБП",IF(ISNUMBER(SEARCH("ДГУ",DH267)),"ДГУ","Ввод "&amp;DI267)))))</f>
        <v>Ввод 1</v>
      </c>
      <c r="DK267" t="str">
        <f t="shared" si="388"/>
        <v>Ввод 1</v>
      </c>
      <c r="DL267" t="str">
        <f>IF(D267="","",IF(OR(DJ267="ИБП",DJ267="ДГУ"),"I особая",IF(DJ267="Одиночная","III",_xlfn.XLOOKUP(A267,Щиты[Щит],Щиты[Категория шины «Ввод»],"III"))))</f>
        <v>II</v>
      </c>
      <c r="DM267">
        <f>IF(D267="",0,IFERROR(MATCH(DE267,{"III","II","I","I особая"},0),1))</f>
        <v>2</v>
      </c>
      <c r="DN267">
        <f t="shared" si="389"/>
        <v>2</v>
      </c>
      <c r="DO267" t="str">
        <f>IF(D267="","",IF(DM267&gt;IFERROR(MATCH(DL267,{"III","II","I","I особая"},0),1),"НЕ ОБЕСПЕЧЕНА","ОК"))</f>
        <v>ОК</v>
      </c>
      <c r="DP267" t="str">
        <f>IF(A267="","",_xlfn.XLOOKUP(A267,Щиты[Щит],Щиты[Путь],""))</f>
        <v>|ГРЩ-ЖД|ЩР-1|</v>
      </c>
      <c r="DQ267" t="str">
        <f>IF(D267="","",IF(Z267&lt;&gt;"",Z267,IF(IFERROR(_xlfn.XLOOKUP(AT267,Коды_код,Коды_вид)&amp;"","")="","Прочее",_xlfn.XLOOKUP(AT267,Коды_код,Коды_вид)&amp;"")))</f>
        <v>Розеточная сеть и бытовые приборы</v>
      </c>
      <c r="DR267">
        <f>IF(BD267="","",INT((BD267-1)/Столбцов_на_лист)+1)</f>
        <v>4</v>
      </c>
      <c r="DS267" t="str">
        <f t="shared" si="390"/>
        <v>ВВГнг(А)-LS (3х2,5) L=39-1,99%</v>
      </c>
      <c r="DT267">
        <f t="shared" si="391"/>
        <v>1.5</v>
      </c>
      <c r="DU267">
        <f t="shared" si="392"/>
        <v>6.84</v>
      </c>
      <c r="DV267">
        <f t="shared" si="393"/>
        <v>1</v>
      </c>
      <c r="DW267">
        <f>IF(AT267="",0,_xlfn.LET(_xlpm.v,IFERROR(VLOOKUP(D267,УГО_спр,3,FALSE),IFERROR(VLOOKUP(AT267,УГО_спр,3,FALSE),IFERROR(VLOOKUP(LEFT(AT267,2),УГО_спр,3,FALSE),""))),IF(_xlpm.v="да",30,IF(ISNUMBER(_xlpm.v),_xlpm.v,0))))</f>
        <v>30</v>
      </c>
      <c r="DX267">
        <f t="shared" si="394"/>
        <v>0</v>
      </c>
      <c r="DY267">
        <f>IF(BD267="","",IF(AD267&lt;&gt;"",COUNTIFS(A$3:A267,A267,AD$3:AD267,"?*"),IF(OR(OR(AS267=1,A267&lt;&gt;A266),AL267="вручную"),"",IF(AS267=1,"",DZ266))))</f>
        <v>43</v>
      </c>
      <c r="DZ267">
        <f t="shared" si="395"/>
        <v>43</v>
      </c>
      <c r="EA267">
        <f>IF(D267="",0,MAX(IFERROR(--X267,0),IFERROR(--VLOOKUP(D267,УГО_спр,4,FALSE),IFERROR(--VLOOKUP(AT267,УГО_спр,4,FALSE),IFERROR(--VLOOKUP(LEFT(AT267,2),УГО_спр,4,FALSE),0)))))</f>
        <v>16</v>
      </c>
      <c r="EB267">
        <f>IF(D267="","",IFERROR(LOOKUP(INDEX(CHOOSE(BR267,Iдоп_1ж,Iдоп_2ж,Iдоп_3ж),MATCH(BS267,Iдоп_S,0))*BP267*BQ267,{6,10,16,20,25,32,40,50,63,80,100,125,160,200,250,315,400,500,630}),""))</f>
        <v>25</v>
      </c>
      <c r="EC267">
        <f>IF(AD267="","",SUMIFS(Линии[_Ток схемы],Линии[_гр.],DY267,Линии[Щит],A267,Линии[_в кабель выше],0))</f>
        <v>6.84</v>
      </c>
      <c r="ED267">
        <f>IF(AD267="","",IFERROR(VLOOKUP(EC267,Автомат_номиналы,2,TRUE),""))</f>
        <v>10</v>
      </c>
      <c r="EE267">
        <f>IF(AD267="","",MAX(N(ED267),_xlfn.MAXIFS(Линии[_мин. по типу],Линии[_гр.],DY267,Линии[Щит],A267)))</f>
        <v>16</v>
      </c>
      <c r="EF267">
        <f>IF(AD267="","",_xlfn.MINIFS(Линии[_макс. автомат по кабелю],Линии[_гр.],DY267,Линии[Щит],A267))</f>
        <v>25</v>
      </c>
      <c r="EG267">
        <f>IF(AD267="","",MAX(1,_xlfn.MAXIFS(Линии[_фаз],Линии[_гр.],DY267,Линии[Щит],A267)))</f>
        <v>1</v>
      </c>
      <c r="EH267">
        <f>IF(AD267="","",IF(AND(AD267&lt;&gt;"авто",AD267&lt;&gt;"+"),IF(ISNUMBER(SEARCH("мА",AD267)),IFERROR(--TRIM(RIGHT(SUBSTITUTE(LEFT(AD267,SEARCH("мА",AD267)-1)," ",REPT(" ",9)),6)),30),0),IF(AE267="нет",0,IF(ISNUMBER(AE267),AE267,IF(AE267="да",30,_xlfn.MINIFS(Линии[_дифзащита по коду, мА],Линии[_гр.],DY267,Линии[Щит],A267,Линии[_дифзащита по коду, мА],"&gt;0"))))))</f>
        <v>30</v>
      </c>
      <c r="EI267">
        <f t="shared" si="396"/>
        <v>1</v>
      </c>
      <c r="EJ267" t="str">
        <f t="shared" si="397"/>
        <v>QFD43</v>
      </c>
      <c r="EK267" t="str">
        <f t="shared" si="398"/>
        <v>QFD43</v>
      </c>
      <c r="EL267" t="str">
        <f t="shared" si="399"/>
        <v/>
      </c>
      <c r="EM267">
        <f t="shared" si="400"/>
        <v>0</v>
      </c>
      <c r="EN267">
        <f>IF(AD267="","",IF(EM267=1,MAX(EE267,Мин_автомат_БП),EE267))</f>
        <v>16</v>
      </c>
      <c r="EO267" t="str">
        <f t="shared" si="401"/>
        <v>2P</v>
      </c>
      <c r="EP267" t="str">
        <f t="shared" si="402"/>
        <v>2P С16А 30мА</v>
      </c>
      <c r="EQ267">
        <f t="shared" si="403"/>
        <v>16</v>
      </c>
      <c r="ER267" t="str">
        <f>IF(OR(AI267="",AI267="-"),"",IFERROR(VLOOKUP(AI267,Модули_спр,2,FALSE),"R"))</f>
        <v/>
      </c>
      <c r="ES267" t="str">
        <f>IF(ER267="","",ER267&amp;"."&amp;COUNTIFS(A$3:A267,A267,ER$3:ER267,ER267))</f>
        <v/>
      </c>
      <c r="ET267" t="str">
        <f t="shared" si="404"/>
        <v/>
      </c>
      <c r="EU267" t="str">
        <f t="shared" si="405"/>
        <v/>
      </c>
      <c r="EV267" t="str">
        <f t="shared" si="406"/>
        <v/>
      </c>
      <c r="EW267" t="str">
        <f t="shared" si="407"/>
        <v/>
      </c>
      <c r="EX267">
        <f t="shared" si="408"/>
        <v>1</v>
      </c>
      <c r="EY267" t="str">
        <f>IF(AK267="нет","",IF(AK267&lt;&gt;"",AK267,IF(EX267=1,"XT"&amp;COUNTIFS(A$3:A267,A267,EX$3:EX267,1),"")))</f>
        <v>XT43</v>
      </c>
      <c r="EZ267" t="str">
        <f t="shared" si="409"/>
        <v>QFD43</v>
      </c>
      <c r="FA267" t="str">
        <f t="shared" si="410"/>
        <v/>
      </c>
      <c r="FB267" t="str">
        <f t="shared" si="411"/>
        <v>ok</v>
      </c>
      <c r="FC267" t="str">
        <f>IF(OR(EV267="",ET267=""),"",IF(EV267&gt;IFERROR(VLOOKUP(EU267,Модули_спр,3,FALSE),99),"ЛИШНИЙ КАНАЛ",IF(AND(AJ267&lt;&gt;"=",COUNTIFS(Линии[_модуль гр.],ET267,Линии[Канал (итог)],EV267,Линии[Канал],"&lt;&gt;=",Линии[Щит],A267)&gt;1),"ДУБЛЬ КАНАЛА","")))</f>
        <v/>
      </c>
      <c r="FD267">
        <f t="shared" si="412"/>
        <v>16</v>
      </c>
      <c r="FE267" t="str">
        <f t="shared" si="413"/>
        <v>2P С16А 30мА</v>
      </c>
      <c r="FF267">
        <f t="shared" si="414"/>
        <v>1</v>
      </c>
      <c r="FG267">
        <f t="shared" si="415"/>
        <v>30</v>
      </c>
      <c r="FH267" t="str">
        <f t="shared" si="416"/>
        <v/>
      </c>
      <c r="FI267">
        <f t="shared" si="417"/>
        <v>10</v>
      </c>
      <c r="FJ267" t="str">
        <f t="shared" si="418"/>
        <v/>
      </c>
      <c r="FK267" t="str">
        <f>IF(AND(D267="",EZ267=""),"",_xlfn.TEXTJOIN("; ",TRUE,IF(AND(D267&lt;&gt;"",DD267=""),"нет фазы",""),IF(AND(D267&lt;&gt;"",N(DT267)=0,CN267&lt;&gt;"Нет"),"нет мощности",""),IF(AND(EY267&lt;&gt;"",COUNTIFS(Линии[Щит],A267,Линии[Клемма (итог)],EY267)&gt;1),"дубль клеммы "&amp;EY267,""),IF(AND(FB267&lt;&gt;"",FB267&lt;&gt;"ok"),FB267,""),IF(FC267&lt;&gt;"",FC267,""),IF(AND(ISNUMBER(SEARCH("(5х",DS267)),N(DV267)=1),"5 жил на 1 фазе",""),IF(AND(AT267="R",AD267&lt;&gt;"",OR(N(EH267)=0,N(EH267)&gt;30)),"розетка без дифзащиты до 30 мА",""),IFERROR(IF(AND(ISNUMBER(CD267),CD267&gt;CE267),"потери "&amp;FIXED(CD267,1)&amp;" % &gt; "&amp;CE267&amp;" %",""),""),IFERROR(IF(LEFT(FJ267,4)="мало","Iкз мало — отключение &gt; 0,4 с",""),""),IF(AND(D267&lt;&gt;"",BD267=""),"не на схеме","")))</f>
        <v/>
      </c>
      <c r="FL267">
        <f>IF(AD267="","",_xlfn.LET(_xlpm.t,IFERROR(_xlfn.XLOOKUP(EP267,Каталог!$U$4:$U$500,Каталог!$G$4:$G$500),""),_xlpm.k,SEARCH("кА",_xlpm.t),IFERROR(--TRIM(RIGHT(SUBSTITUTE(MID(_xlpm.t,MAX(1,_xlpm.k-4),_xlpm.k-MAX(1,_xlpm.k-4))," ",REPT(" ",9)),5)),"")))</f>
        <v>6</v>
      </c>
      <c r="FM267" t="str">
        <f>IF(OR(FL267="",AD267=""),"",IF(_xlfn.XLOOKUP(A267,Щиты[Щит],Щиты[Iкз max на шинах, кА],"")="","",IF(FL267&lt;_xlfn.XLOOKUP(A267,Щиты[Щит],Щиты[Iкз max на шинах, кА]),"Icu "&amp;FL267&amp;" кА &lt; Iкз max","ok")))</f>
        <v/>
      </c>
      <c r="FN267" t="str">
        <f t="shared" si="419"/>
        <v>QFD43|XT43</v>
      </c>
      <c r="FO267" t="str">
        <f t="shared" si="420"/>
        <v>QFD43|XT43|кабель ВВГнг(А)-LS (3х2,5) → Розеточная группа Первый этаж Пом. №021A Кофемашина</v>
      </c>
      <c r="FP267" t="str" cm="1">
        <f t="array" ref="FP267">IF(FO267="","",_xlfn.LET(_xlpm.nd,_xlfn.TEXTSPLIT(FO267,"|"),IF(COLUMNS(_xlpm.nd)&gt;1,A267&amp;"¦"&amp;INDEX(_xlpm.nd,1)&amp;"¦"&amp;INDEX(_xlpm.nd,2),"")))</f>
        <v>ЩР-1¦QFD43¦XT43</v>
      </c>
      <c r="FQ267" t="str">
        <f t="shared" si="421"/>
        <v>R.1.021A.1¦Розеточная группа Первый этаж Пом. №021A Кофемашина</v>
      </c>
      <c r="FR267" t="str" cm="1">
        <f t="array" ref="FR267">IF(FO267="","",_xlfn.LET(_xlpm.nd,_xlfn.TEXTSPLIT(FO267,"|"),IF(COLUMNS(_xlpm.nd)&gt;2,A267&amp;"¦"&amp;INDEX(_xlpm.nd,2)&amp;"¦"&amp;INDEX(_xlpm.nd,3),"")))</f>
        <v>ЩР-1¦XT43¦кабель ВВГнг(А)-LS (3х2,5) → Розеточная группа Первый этаж Пом. №021A Кофемашина</v>
      </c>
      <c r="FS267" t="str">
        <f t="shared" si="422"/>
        <v>R.1.021A.1¦Розеточная группа Первый этаж Пом. №021A Кофемашина</v>
      </c>
      <c r="FT267" t="str" cm="1">
        <f t="array" ref="FT267">IF(FO267="","",_xlfn.LET(_xlpm.nd,_xlfn.TEXTSPLIT(FO267,"|"),IF(COLUMNS(_xlpm.nd)&gt;3,A267&amp;"¦"&amp;INDEX(_xlpm.nd,3)&amp;"¦"&amp;INDEX(_xlpm.nd,4),"")))</f>
        <v/>
      </c>
      <c r="FU267" t="str">
        <f t="shared" si="423"/>
        <v/>
      </c>
      <c r="FV267" t="str" cm="1">
        <f t="array" ref="FV267">IF(FO267="","",_xlfn.LET(_xlpm.nd,_xlfn.TEXTSPLIT(FO267,"|"),IF(COLUMNS(_xlpm.nd)&gt;4,A267&amp;"¦"&amp;INDEX(_xlpm.nd,4)&amp;"¦"&amp;INDEX(_xlpm.nd,5),"")))</f>
        <v/>
      </c>
      <c r="FW267" t="str">
        <f t="shared" si="424"/>
        <v/>
      </c>
      <c r="FX267" t="str" cm="1">
        <f t="array" ref="FX267">IF(FO267="","",_xlfn.LET(_xlpm.nd,_xlfn.TEXTSPLIT(FO267,"|"),IF(COLUMNS(_xlpm.nd)&gt;5,A267&amp;"¦"&amp;INDEX(_xlpm.nd,5)&amp;"¦"&amp;INDEX(_xlpm.nd,6),"")))</f>
        <v/>
      </c>
      <c r="FY267" t="str">
        <f t="shared" si="425"/>
        <v/>
      </c>
      <c r="FZ267" t="str" cm="1">
        <f t="array" ref="FZ267">IF(FO267="","",_xlfn.LET(_xlpm.nd,_xlfn.TEXTSPLIT(FO267,"|"),IF(COLUMNS(_xlpm.nd)&gt;6,A267&amp;"¦"&amp;INDEX(_xlpm.nd,6)&amp;"¦"&amp;INDEX(_xlpm.nd,7),"")))</f>
        <v/>
      </c>
      <c r="GA267" t="str">
        <f t="shared" si="426"/>
        <v/>
      </c>
      <c r="GB267" t="str">
        <f t="shared" si="427"/>
        <v/>
      </c>
      <c r="GC267" t="str">
        <f t="shared" si="428"/>
        <v>QFD43 → XT43</v>
      </c>
      <c r="GD267">
        <f t="shared" si="429"/>
        <v>1</v>
      </c>
      <c r="GE267">
        <f t="shared" si="430"/>
        <v>0</v>
      </c>
      <c r="GF267">
        <f t="shared" si="431"/>
        <v>1</v>
      </c>
      <c r="GG267" t="str">
        <f t="shared" si="432"/>
        <v/>
      </c>
      <c r="GH267" t="str">
        <f t="shared" si="433"/>
        <v/>
      </c>
      <c r="GI267" t="str">
        <f t="shared" si="434"/>
        <v/>
      </c>
      <c r="GJ267" t="str">
        <f t="shared" si="435"/>
        <v/>
      </c>
      <c r="GK267" t="str">
        <f>IF(D267="","",IFERROR(VLOOKUP(D267,УГО_спр,2,FALSE),IFERROR(VLOOKUP(AT267,УГО_спр,2,FALSE),IFERROR(VLOOKUP(LEFT(AT267,2),УГО_спр,2,FALSE),""))))</f>
        <v>Розетка</v>
      </c>
      <c r="GL267" t="str">
        <f>IF(D267="","",IF(OR(GK267="",GK267=0),"BOX",IFERROR(IF(VLOOKUP(GK267,УГО_блоки,3,FALSE)&amp;""&lt;&gt;"",VLOOKUP(GK267,УГО_блоки,3,FALSE),VLOOKUP(GK267,УГО_блоки,2,FALSE)),GK267)))</f>
        <v>SOCKET</v>
      </c>
      <c r="GM267">
        <f t="shared" si="436"/>
        <v>1</v>
      </c>
      <c r="GN267" t="str">
        <f>IF(EP267="","",IF(COUNTIF(EP$3:EP267,EP267)=1,MAX(GN$2:GN266)+1,""))</f>
        <v/>
      </c>
      <c r="GO267" t="str">
        <f>IF(AF267="","",IF(COUNTIF(AF$3:AF267,AF267)+COUNTIF(AG$2:AG266,AF267)+COUNTIF(AH$2:AH266,AF267)=1,MAX(GO$2:GQ266)+1,""))</f>
        <v/>
      </c>
      <c r="GP267" t="str">
        <f>IF(AG267="","",IF(COUNTIF(AF$3:AF267,AG267)+COUNTIF(AG$3:AG267,AG267)+COUNTIF(AH$2:AH266,AG267)=1,MAX(GO$2:GQ266,GO267)+1,""))</f>
        <v/>
      </c>
      <c r="GQ267" t="str">
        <f>IF(AH267="","",IF(COUNTIF(AF$3:AF267,AH267)+COUNTIF(AG$3:AG267,AH267)+COUNTIF(AH$3:AH267,AH267)=1,MAX(GO$2:GQ266,GO267,GP267)+1,""))</f>
        <v/>
      </c>
      <c r="GR267" t="str">
        <f t="shared" si="437"/>
        <v>3х2,5</v>
      </c>
      <c r="GS267" t="str">
        <f>IF(GR267="","",IF(COUNTIF(GR$3:GR267,GR267)=1,MAX(GS$2:GS266)+1,""))</f>
        <v/>
      </c>
      <c r="GT267" t="str">
        <f>IF(ES267="","",COUNTIF(ES$3:ES267,"?*"))</f>
        <v/>
      </c>
      <c r="GU267" t="str">
        <f>IF(OR(ES267="",EU267=""),"",IF(COUNTIFS(ES$3:ES267,"?*",EU$3:EU267,EU267)=1,MAX(GU$2:GU266)+1,""))</f>
        <v/>
      </c>
      <c r="GV267">
        <f t="shared" si="438"/>
        <v>0</v>
      </c>
      <c r="GW267">
        <f>IF(D267="","",COUNTIF(D$3:D267,"?*"))</f>
        <v>265</v>
      </c>
      <c r="GX267">
        <f>IF(EX267&lt;&gt;1,0,_xlfn.LET(_xlpm.k,MAX(IFERROR(--VLOOKUP(D267,УГО_спр,5,FALSE),0),IFERROR(--VLOOKUP(AT267,УГО_спр,5,FALSE),0),IFERROR(--VLOOKUP(LEFT(AT267,2),УГО_спр,5,FALSE),0)),IF(_xlpm.k&gt;0,_xlpm.k,IF(IFERROR(--LEFT(SUBSTITUTE(GR267,"x","х"),FIND("х",SUBSTITUTE(GR267,"x","х"))-1),3)&gt;3,Каталог!$S$9,1))))</f>
        <v>1</v>
      </c>
      <c r="GY267">
        <f t="shared" si="439"/>
        <v>0</v>
      </c>
    </row>
    <row r="268" spans="1:207" x14ac:dyDescent="0.3">
      <c r="A268" t="s">
        <v>762</v>
      </c>
      <c r="B268">
        <v>58</v>
      </c>
      <c r="C268" t="str">
        <f>IF(BD268="","",IF(BE268="вводной узел","узел ","")&amp;"л."&amp;(INT((BD268-1)/Столбцов_на_лист)+1)&amp;" / "&amp;(MOD(BD268-1,Столбцов_на_лист)+1))</f>
        <v>л.4 / 7</v>
      </c>
      <c r="D268" t="s">
        <v>1592</v>
      </c>
      <c r="E268" s="133" t="s">
        <v>1593</v>
      </c>
      <c r="G268">
        <v>2</v>
      </c>
      <c r="H268">
        <v>1</v>
      </c>
      <c r="I268">
        <v>1</v>
      </c>
      <c r="J268">
        <v>230</v>
      </c>
      <c r="K268" t="s">
        <v>566</v>
      </c>
      <c r="O268">
        <v>3</v>
      </c>
      <c r="P268">
        <v>39</v>
      </c>
      <c r="Q268">
        <v>20</v>
      </c>
      <c r="R268">
        <v>22</v>
      </c>
      <c r="S268">
        <v>0</v>
      </c>
      <c r="U268" t="s">
        <v>11</v>
      </c>
      <c r="V268">
        <v>3</v>
      </c>
      <c r="W268">
        <v>2.5</v>
      </c>
      <c r="Z268" t="s">
        <v>565</v>
      </c>
      <c r="AA268" t="s">
        <v>818</v>
      </c>
      <c r="AD268" t="s">
        <v>517</v>
      </c>
      <c r="AR268" t="str">
        <f t="shared" si="353"/>
        <v>потери 4,1 % &gt; 4 %</v>
      </c>
      <c r="AS268" cm="1">
        <f t="array" ref="AS268">ROW()-ROW(Линии[#Headers])</f>
        <v>266</v>
      </c>
      <c r="AT268" t="str">
        <f t="shared" si="354"/>
        <v>R</v>
      </c>
      <c r="AU268" t="str">
        <f t="shared" si="355"/>
        <v>1.021A.10</v>
      </c>
      <c r="AV268" t="str">
        <f t="shared" si="356"/>
        <v>1</v>
      </c>
      <c r="AW268" t="str">
        <f t="shared" si="357"/>
        <v>021A.10</v>
      </c>
      <c r="AX268" t="str">
        <f t="shared" si="358"/>
        <v>021A</v>
      </c>
      <c r="AY268" t="str">
        <f>IF(D268="","",IF(ISERROR(SEARCH(".",D268)),IFERROR(VLOOKUP(D268,Потребители_обозначение,2,FALSE)&amp;"",""),IFERROR(IF(VLOOKUP(AT268,Потребители_обозначение,4,FALSE)=1,VLOOKUP(AT268,Потребители_обозначение,2,FALSE)&amp;" "&amp;VLOOKUP(AV268,Этаж_обозначение,2,FALSE)&amp;" Пом. №"&amp;AX268,VLOOKUP(AT268,Потребители_обозначение,2,FALSE)&amp;" Шлейф №"&amp;AV268),IFERROR(VLOOKUP(D268,Потребители_обозначение,2,FALSE),""))))</f>
        <v>Розеточная группа Первый этаж Пом. №021A</v>
      </c>
      <c r="AZ268" t="str">
        <f t="shared" si="359"/>
        <v>Розеточная группа Первый этаж Пом. №021A ПММ</v>
      </c>
      <c r="BA268" t="str">
        <f>IF(F268&lt;&gt;"",F268,IF(AND(D268&lt;&gt;"",D268&lt;&gt;A268,ISNUMBER(_xlfn.XMATCH(D268,Щиты[Щит]))),D268,""))</f>
        <v/>
      </c>
      <c r="BB268">
        <f>IFERROR(_xlfn.XMATCH(A268,Щиты[Щит]),0)</f>
        <v>10</v>
      </c>
      <c r="BC268">
        <f>IFERROR(N(_xlfn.XLOOKUP(A268,Щиты[Щит],Щиты[Мест под вводной узел])),15)</f>
        <v>8</v>
      </c>
      <c r="BD268">
        <f t="shared" si="360"/>
        <v>58</v>
      </c>
      <c r="BE268" t="str">
        <f t="shared" si="361"/>
        <v>линии</v>
      </c>
      <c r="BF268">
        <f>IF(D268="","",IF(BA268&lt;&gt;"",IFERROR(_xlfn.XLOOKUP(BA268,Щиты[Щит],Щиты[Руст, кВт]),0),N(G268)))</f>
        <v>2</v>
      </c>
      <c r="BG268">
        <f>IF(J268&lt;&gt;"",J268,IF(D268="","",IFERROR(IF(VLOOKUP(AT268,Потребители_обозначение,8,FALSE)=0,"",VLOOKUP(AT268,Потребители_обозначение,8,FALSE)),"")))</f>
        <v>230</v>
      </c>
      <c r="BH268">
        <f>IF(I268&lt;&gt;"",I268,IF(D268="","",IFERROR(IF(VLOOKUP(AT268,Потребители_обозначение,9,FALSE)=0,"",VLOOKUP(AT268,Потребители_обозначение,9,FALSE)),"")))</f>
        <v>1</v>
      </c>
      <c r="BI268" t="str">
        <f>IF(U268&lt;&gt;"",U268,IF(D268="","",IFERROR(IF(VLOOKUP(AT268,Потребители_обозначение,6,FALSE)=0,"",VLOOKUP(AT268,Потребители_обозначение,6,FALSE)),"")))</f>
        <v>мс</v>
      </c>
      <c r="BJ268">
        <f>IF(V268&lt;&gt;"",V268,IF(D268="","",IFERROR(IF(VLOOKUP(AT268,Потребители_обозначение,7,FALSE)=0,"",VLOOKUP(AT268,Потребители_обозначение,7,FALSE)),"")))</f>
        <v>3</v>
      </c>
      <c r="BK268">
        <f>IF(W268&lt;&gt;"",W268,IF(D268="","",IFERROR(IF(VLOOKUP(AT268,Потребители_обозначение,10,FALSE)=0,"",VLOOKUP(AT268,Потребители_обозначение,10,FALSE)),"")))</f>
        <v>2.5</v>
      </c>
      <c r="BL268">
        <f>IFERROR(VLOOKUP(AT268,Потребители_обозначение,5,FALSE),0)</f>
        <v>1</v>
      </c>
      <c r="BM268" cm="1">
        <f t="array" ref="BM268">IF(D268="","",IF(BA268&lt;&gt;"",IFERROR(_xlfn.XLOOKUP(BA268,Щиты[Щит],Щиты[cos φ]),0.95),IF(ISNUMBER(M268),M268,IFERROR(IF(BL268=2,_xlfn.IFS(BH268=3,VLOOKUP(BF268,Справочная_двигатели,8,FALSE),BH268=1,VLOOKUP(BF268,Справочная_двигатели,10,TRUE)),IF(AND(Методика="нормы 2026",CN268="Сил"),0.8,0.95)),0.95))))</f>
        <v>0.95</v>
      </c>
      <c r="BN268" cm="1">
        <f t="array" ref="BN268">IF(D268="","",IF(BA268&lt;&gt;"",IFERROR(_xlfn.XLOOKUP(BA268,Щиты[Щит],Щиты[Iр, А]),""),IFERROR(_xlfn.IFS(BH268=1,BF268/((Uн_лин/SQRT(3))*BM268),BH268=3,BF268/(SQRT(3)*Uн_лин*BM268)),"")))</f>
        <v>9.1160568819414589</v>
      </c>
      <c r="BO268">
        <f>IF(D268="","",IF(N(X268)=0,IFERROR(VLOOKUP(BN268,Автомат_номиналы,2,TRUE),""),X268))</f>
        <v>16</v>
      </c>
      <c r="BP268">
        <f t="shared" si="362"/>
        <v>1</v>
      </c>
      <c r="BQ268">
        <f>IF(ISNUMBER(Y268),Y268,К_прокл)</f>
        <v>1</v>
      </c>
      <c r="BR268">
        <f t="shared" si="363"/>
        <v>2</v>
      </c>
      <c r="BS268" cm="1">
        <f t="array" ref="BS268">IF(D268="","",IF(N(BK268)&lt;&gt;0,BK268,IFERROR(_xlfn.LET(_xlpm.need,BO268/(BP268*BQ268),_xlpm.t,CHOOSE(BR268,Iдоп_1ж,Iдоп_2ж,Iдоп_3ж),_xlpm.k,_xlfn.XMATCH(_xlpm.need,_xlpm.t,1),IF(ISNA(_xlpm.k),"Не исп",INDEX(Iдоп_S,_xlpm.k))),"Не исп")))</f>
        <v>2.5</v>
      </c>
      <c r="BT268">
        <f>IFERROR(VLOOKUP(BS268,Кабель_сопротивление,3,FALSE),"")</f>
        <v>2.2499999999999999E-2</v>
      </c>
      <c r="BU268">
        <f>IFERROR(VLOOKUP(BS268,Кабель_сопротивление,2,FALSE),"")</f>
        <v>0.1</v>
      </c>
      <c r="BV268">
        <f t="shared" si="364"/>
        <v>39</v>
      </c>
      <c r="BW268">
        <f>IF(D268="","",IFERROR(IF(VLOOKUP(AT268,Потребители_обозначение,4,FALSE)=1,VLOOKUP(AT268,Потребители_обозначение,3,FALSE)*(H268*2-1)+BV268+VLOOKUP(AV268,Этаж_обозначение,3,FALSE)+VLOOKUP(AV268,Этаж_обозначение,4,FALSE),VLOOKUP(AT268,Потребители_обозначение,3,FALSE)*(H268*2-1)+BV268),BV268))</f>
        <v>42</v>
      </c>
      <c r="BX268">
        <f t="shared" si="365"/>
        <v>22</v>
      </c>
      <c r="BY268">
        <f t="shared" si="366"/>
        <v>0</v>
      </c>
      <c r="BZ268">
        <f t="shared" si="367"/>
        <v>2</v>
      </c>
      <c r="CA268">
        <f t="shared" si="368"/>
        <v>0.31</v>
      </c>
      <c r="CB268">
        <f t="shared" si="369"/>
        <v>6.5708902647309317</v>
      </c>
      <c r="CC268">
        <f>IFERROR(ROUNDUP(CB268/((Uн_лин/SQRT(3))*1000)*100,2),"")</f>
        <v>2.8499999999999996</v>
      </c>
      <c r="CD268">
        <f>IF(ISNUMBER(CC268),CC268+IFERROR(_xlfn.XLOOKUP(A268,Щиты[Щит],Щиты[ΔU до шин, %]),0),"")</f>
        <v>4.0999999999999996</v>
      </c>
      <c r="CE268">
        <f>IF(D268="","",IF(IFERROR(VLOOKUP(AT268,УГО_спр,2,FALSE),"")="Светильник",3,4)+IF(Методика="нормы 2026",MIN(0.5,MAX(0,N(BW268)-100)*0.005),0))</f>
        <v>4</v>
      </c>
      <c r="CF268" t="str">
        <f>IFERROR(VLOOKUP(BI268,Кабель_обозначение,2,FALSE),"")</f>
        <v>ВВГнг(А)-LS</v>
      </c>
      <c r="CG268" t="str">
        <f>IFERROR(IF(VLOOKUP(BI268,Кабель_обозначение,3,FALSE)=1,CF268&amp;" ("&amp;BJ268&amp;"х"&amp;BS268&amp;")",CF268),"")</f>
        <v>ВВГнг(А)-LS (3х2,5)</v>
      </c>
      <c r="CH268" t="str">
        <f t="shared" si="370"/>
        <v>ВВГнг(А)-LS (3х2,5)
L=42-2,85%</v>
      </c>
      <c r="CI268">
        <f>IFERROR(2*ρкз_Cu*BW268/BS268,"")</f>
        <v>0.88368000000000002</v>
      </c>
      <c r="CJ268">
        <f t="shared" si="371"/>
        <v>0.29400000000000004</v>
      </c>
      <c r="CK268" t="str">
        <f>IFERROR(IF(OR(D268="",NOT(ISNUMBER(BS268)),N(BW268)=0),"",_xlfn.XLOOKUP(A268,Щиты[Щит],Щиты[Zпетли на шинах, Ом])+CI268),"")</f>
        <v/>
      </c>
      <c r="CL268" t="str">
        <f>IF(ISNUMBER(CK268),c_min*(Uн_лин*1000/SQRT(3))/CK268,"")</f>
        <v/>
      </c>
      <c r="CM268" t="str">
        <f>IFERROR(IF(OR(D268="",NOT(ISNUMBER(BS268))),"",1.05*(Uн_лин*1000/SQRT(3))/(_xlfn.XLOOKUP(A268,Щиты[Щит],Щиты[Zmax на шинах, Ом])+CJ268)/1000),"")</f>
        <v/>
      </c>
      <c r="CN268" t="str">
        <f>IF(D268="","",IF(BA268&lt;&gt;"","Щит",IF(K268&lt;&gt;"",K268,IF(ISNUMBER(L268),"Сил",IF(IFERROR(_xlfn.XLOOKUP(AT268,Коды_код,Коды_группа)&amp;"","")="","Быт",_xlfn.XLOOKUP(AT268,Коды_код,Коды_группа)&amp;"")))))</f>
        <v>Быт</v>
      </c>
      <c r="CO268">
        <f>IF(CN268="Щит","щит",IF(CN268="","",IF(CN268="Быт",IFERROR(_xlfn.XLOOKUP(A268,Щиты[Щит],Щиты[Кс быт]),1),IF(CN268="Сил",IF(ISNUMBER(L268),L268,IF(Методика="нормы 2026",IFERROR(_xlfn.XLOOKUP(A268,Щиты[Щит],Щиты[Кс силовых (табл. 7.5)]),1),1)),IF(OR(CN268="Пост",CN268="Отоп"),1,IF(CN268="ВНГ",0.7,0))))))</f>
        <v>0.57830000000000004</v>
      </c>
      <c r="CP268">
        <f t="shared" si="372"/>
        <v>1</v>
      </c>
      <c r="CQ268">
        <f t="shared" si="373"/>
        <v>2</v>
      </c>
      <c r="CR268">
        <f t="shared" si="374"/>
        <v>2</v>
      </c>
      <c r="CS268">
        <f t="shared" si="375"/>
        <v>0</v>
      </c>
      <c r="CT268">
        <f t="shared" si="376"/>
        <v>0</v>
      </c>
      <c r="CU268">
        <f t="shared" si="377"/>
        <v>0</v>
      </c>
      <c r="CV268">
        <f t="shared" si="378"/>
        <v>0</v>
      </c>
      <c r="CW268">
        <f t="shared" si="379"/>
        <v>2</v>
      </c>
      <c r="CX268">
        <f t="shared" si="380"/>
        <v>1.9</v>
      </c>
      <c r="CY268">
        <f t="shared" si="381"/>
        <v>2</v>
      </c>
      <c r="CZ268" t="str">
        <f t="shared" si="382"/>
        <v>L2</v>
      </c>
      <c r="DA268" cm="1">
        <f t="array" ref="DA268">IFERROR(IF(BL268=2,_xlfn.IFS(BH268=3,VLOOKUP(BF268,Справочная_двигатели,3,FALSE),BH268=1,VLOOKUP(BF268,Справочная_двигатели,5,TRUE)),0),0)</f>
        <v>0</v>
      </c>
      <c r="DB268">
        <f>IFERROR(IF(BL268=3,VLOOKUP(BF268,Справочная_ЛЭД,2,TRUE),0),0)</f>
        <v>0</v>
      </c>
      <c r="DC268">
        <f t="shared" si="383"/>
        <v>0</v>
      </c>
      <c r="DD268" t="str">
        <f t="shared" si="384"/>
        <v>L3</v>
      </c>
      <c r="DE268" t="str" cm="1">
        <f t="array" ref="DE268">IF(D268="","",IFERROR(INDEX({"I особая","I","II","III"},MATCH(TRIM(AA268&amp;""),{"I особая","I","II","III"},0)),"III"))</f>
        <v>II</v>
      </c>
      <c r="DF268" t="str">
        <f>IF(D268="","",IF(TRIM(AB268&amp;"")&lt;&gt;"",IF(LOWER(TRIM(AB268&amp;""))="да","да","нет"),IF(IFERROR(_xlfn.XLOOKUP(AT268,Коды_код,Коды_пожарная),"")="да","да","нет")))</f>
        <v>нет</v>
      </c>
      <c r="DG268" t="str">
        <f t="shared" si="385"/>
        <v/>
      </c>
      <c r="DH268" t="str">
        <f t="shared" si="386"/>
        <v>основная</v>
      </c>
      <c r="DI268">
        <f t="shared" si="387"/>
        <v>1</v>
      </c>
      <c r="DJ268" t="str" cm="1">
        <f t="array" ref="DJ268">IF(D268="","",_xlfn.LET(_xlpm.t,IFERROR(_xlfn.XLOOKUP(1,(Шины[Шина]=DH268)*(((Шины[Щит]=A268)+(Шины[Щит]=""))&gt;0),Шины[Тип]),"")&amp;"",IF(_xlpm.t&lt;&gt;"",_xlpm.t,IF(ISNUMBER(SEARCH("ИБП",DH268)),"ИБП",IF(ISNUMBER(SEARCH("ДГУ",DH268)),"ДГУ","Ввод "&amp;DI268)))))</f>
        <v>Ввод 1</v>
      </c>
      <c r="DK268" t="str">
        <f t="shared" si="388"/>
        <v>Ввод 1</v>
      </c>
      <c r="DL268" t="str">
        <f>IF(D268="","",IF(OR(DJ268="ИБП",DJ268="ДГУ"),"I особая",IF(DJ268="Одиночная","III",_xlfn.XLOOKUP(A268,Щиты[Щит],Щиты[Категория шины «Ввод»],"III"))))</f>
        <v>II</v>
      </c>
      <c r="DM268">
        <f>IF(D268="",0,IFERROR(MATCH(DE268,{"III","II","I","I особая"},0),1))</f>
        <v>2</v>
      </c>
      <c r="DN268">
        <f t="shared" si="389"/>
        <v>2</v>
      </c>
      <c r="DO268" t="str">
        <f>IF(D268="","",IF(DM268&gt;IFERROR(MATCH(DL268,{"III","II","I","I особая"},0),1),"НЕ ОБЕСПЕЧЕНА","ОК"))</f>
        <v>ОК</v>
      </c>
      <c r="DP268" t="str">
        <f>IF(A268="","",_xlfn.XLOOKUP(A268,Щиты[Щит],Щиты[Путь],""))</f>
        <v>|ГРЩ-ЖД|ЩР-1|</v>
      </c>
      <c r="DQ268" t="str">
        <f>IF(D268="","",IF(Z268&lt;&gt;"",Z268,IF(IFERROR(_xlfn.XLOOKUP(AT268,Коды_код,Коды_вид)&amp;"","")="","Прочее",_xlfn.XLOOKUP(AT268,Коды_код,Коды_вид)&amp;"")))</f>
        <v>Розеточная сеть и бытовые приборы</v>
      </c>
      <c r="DR268">
        <f>IF(BD268="","",INT((BD268-1)/Столбцов_на_лист)+1)</f>
        <v>4</v>
      </c>
      <c r="DS268" t="str">
        <f t="shared" si="390"/>
        <v>ВВГнг(А)-LS (3х2,5) L=42-2,85%</v>
      </c>
      <c r="DT268">
        <f t="shared" si="391"/>
        <v>2</v>
      </c>
      <c r="DU268">
        <f t="shared" si="392"/>
        <v>9.1199999999999992</v>
      </c>
      <c r="DV268">
        <f t="shared" si="393"/>
        <v>1</v>
      </c>
      <c r="DW268">
        <f>IF(AT268="",0,_xlfn.LET(_xlpm.v,IFERROR(VLOOKUP(D268,УГО_спр,3,FALSE),IFERROR(VLOOKUP(AT268,УГО_спр,3,FALSE),IFERROR(VLOOKUP(LEFT(AT268,2),УГО_спр,3,FALSE),""))),IF(_xlpm.v="да",30,IF(ISNUMBER(_xlpm.v),_xlpm.v,0))))</f>
        <v>30</v>
      </c>
      <c r="DX268">
        <f t="shared" si="394"/>
        <v>0</v>
      </c>
      <c r="DY268">
        <f>IF(BD268="","",IF(AD268&lt;&gt;"",COUNTIFS(A$3:A268,A268,AD$3:AD268,"?*"),IF(OR(OR(AS268=1,A268&lt;&gt;A267),AL268="вручную"),"",IF(AS268=1,"",DZ267))))</f>
        <v>44</v>
      </c>
      <c r="DZ268">
        <f t="shared" si="395"/>
        <v>44</v>
      </c>
      <c r="EA268">
        <f>IF(D268="",0,MAX(IFERROR(--X268,0),IFERROR(--VLOOKUP(D268,УГО_спр,4,FALSE),IFERROR(--VLOOKUP(AT268,УГО_спр,4,FALSE),IFERROR(--VLOOKUP(LEFT(AT268,2),УГО_спр,4,FALSE),0)))))</f>
        <v>16</v>
      </c>
      <c r="EB268">
        <f>IF(D268="","",IFERROR(LOOKUP(INDEX(CHOOSE(BR268,Iдоп_1ж,Iдоп_2ж,Iдоп_3ж),MATCH(BS268,Iдоп_S,0))*BP268*BQ268,{6,10,16,20,25,32,40,50,63,80,100,125,160,200,250,315,400,500,630}),""))</f>
        <v>25</v>
      </c>
      <c r="EC268">
        <f>IF(AD268="","",SUMIFS(Линии[_Ток схемы],Линии[_гр.],DY268,Линии[Щит],A268,Линии[_в кабель выше],0))</f>
        <v>9.1199999999999992</v>
      </c>
      <c r="ED268">
        <f>IF(AD268="","",IFERROR(VLOOKUP(EC268,Автомат_номиналы,2,TRUE),""))</f>
        <v>16</v>
      </c>
      <c r="EE268">
        <f>IF(AD268="","",MAX(N(ED268),_xlfn.MAXIFS(Линии[_мин. по типу],Линии[_гр.],DY268,Линии[Щит],A268)))</f>
        <v>16</v>
      </c>
      <c r="EF268">
        <f>IF(AD268="","",_xlfn.MINIFS(Линии[_макс. автомат по кабелю],Линии[_гр.],DY268,Линии[Щит],A268))</f>
        <v>25</v>
      </c>
      <c r="EG268">
        <f>IF(AD268="","",MAX(1,_xlfn.MAXIFS(Линии[_фаз],Линии[_гр.],DY268,Линии[Щит],A268)))</f>
        <v>1</v>
      </c>
      <c r="EH268">
        <f>IF(AD268="","",IF(AND(AD268&lt;&gt;"авто",AD268&lt;&gt;"+"),IF(ISNUMBER(SEARCH("мА",AD268)),IFERROR(--TRIM(RIGHT(SUBSTITUTE(LEFT(AD268,SEARCH("мА",AD268)-1)," ",REPT(" ",9)),6)),30),0),IF(AE268="нет",0,IF(ISNUMBER(AE268),AE268,IF(AE268="да",30,_xlfn.MINIFS(Линии[_дифзащита по коду, мА],Линии[_гр.],DY268,Линии[Щит],A268,Линии[_дифзащита по коду, мА],"&gt;0"))))))</f>
        <v>30</v>
      </c>
      <c r="EI268">
        <f t="shared" si="396"/>
        <v>1</v>
      </c>
      <c r="EJ268" t="str">
        <f t="shared" si="397"/>
        <v>QFD44</v>
      </c>
      <c r="EK268" t="str">
        <f t="shared" si="398"/>
        <v>QFD44</v>
      </c>
      <c r="EL268" t="str">
        <f t="shared" si="399"/>
        <v/>
      </c>
      <c r="EM268">
        <f t="shared" si="400"/>
        <v>0</v>
      </c>
      <c r="EN268">
        <f>IF(AD268="","",IF(EM268=1,MAX(EE268,Мин_автомат_БП),EE268))</f>
        <v>16</v>
      </c>
      <c r="EO268" t="str">
        <f t="shared" si="401"/>
        <v>2P</v>
      </c>
      <c r="EP268" t="str">
        <f t="shared" si="402"/>
        <v>2P С16А 30мА</v>
      </c>
      <c r="EQ268">
        <f t="shared" si="403"/>
        <v>16</v>
      </c>
      <c r="ER268" t="str">
        <f>IF(OR(AI268="",AI268="-"),"",IFERROR(VLOOKUP(AI268,Модули_спр,2,FALSE),"R"))</f>
        <v/>
      </c>
      <c r="ES268" t="str">
        <f>IF(ER268="","",ER268&amp;"."&amp;COUNTIFS(A$3:A268,A268,ER$3:ER268,ER268))</f>
        <v/>
      </c>
      <c r="ET268" t="str">
        <f t="shared" si="404"/>
        <v/>
      </c>
      <c r="EU268" t="str">
        <f t="shared" si="405"/>
        <v/>
      </c>
      <c r="EV268" t="str">
        <f t="shared" si="406"/>
        <v/>
      </c>
      <c r="EW268" t="str">
        <f t="shared" si="407"/>
        <v/>
      </c>
      <c r="EX268">
        <f t="shared" si="408"/>
        <v>1</v>
      </c>
      <c r="EY268" t="str">
        <f>IF(AK268="нет","",IF(AK268&lt;&gt;"",AK268,IF(EX268=1,"XT"&amp;COUNTIFS(A$3:A268,A268,EX$3:EX268,1),"")))</f>
        <v>XT44</v>
      </c>
      <c r="EZ268" t="str">
        <f t="shared" si="409"/>
        <v>QFD44</v>
      </c>
      <c r="FA268" t="str">
        <f t="shared" si="410"/>
        <v/>
      </c>
      <c r="FB268" t="str">
        <f t="shared" si="411"/>
        <v>ok</v>
      </c>
      <c r="FC268" t="str">
        <f>IF(OR(EV268="",ET268=""),"",IF(EV268&gt;IFERROR(VLOOKUP(EU268,Модули_спр,3,FALSE),99),"ЛИШНИЙ КАНАЛ",IF(AND(AJ268&lt;&gt;"=",COUNTIFS(Линии[_модуль гр.],ET268,Линии[Канал (итог)],EV268,Линии[Канал],"&lt;&gt;=",Линии[Щит],A268)&gt;1),"ДУБЛЬ КАНАЛА","")))</f>
        <v/>
      </c>
      <c r="FD268">
        <f t="shared" si="412"/>
        <v>16</v>
      </c>
      <c r="FE268" t="str">
        <f t="shared" si="413"/>
        <v>2P С16А 30мА</v>
      </c>
      <c r="FF268">
        <f t="shared" si="414"/>
        <v>1</v>
      </c>
      <c r="FG268">
        <f t="shared" si="415"/>
        <v>30</v>
      </c>
      <c r="FH268" t="str">
        <f t="shared" si="416"/>
        <v/>
      </c>
      <c r="FI268">
        <f t="shared" si="417"/>
        <v>10</v>
      </c>
      <c r="FJ268" t="str">
        <f t="shared" si="418"/>
        <v/>
      </c>
      <c r="FK268" t="str">
        <f>IF(AND(D268="",EZ268=""),"",_xlfn.TEXTJOIN("; ",TRUE,IF(AND(D268&lt;&gt;"",DD268=""),"нет фазы",""),IF(AND(D268&lt;&gt;"",N(DT268)=0,CN268&lt;&gt;"Нет"),"нет мощности",""),IF(AND(EY268&lt;&gt;"",COUNTIFS(Линии[Щит],A268,Линии[Клемма (итог)],EY268)&gt;1),"дубль клеммы "&amp;EY268,""),IF(AND(FB268&lt;&gt;"",FB268&lt;&gt;"ok"),FB268,""),IF(FC268&lt;&gt;"",FC268,""),IF(AND(ISNUMBER(SEARCH("(5х",DS268)),N(DV268)=1),"5 жил на 1 фазе",""),IF(AND(AT268="R",AD268&lt;&gt;"",OR(N(EH268)=0,N(EH268)&gt;30)),"розетка без дифзащиты до 30 мА",""),IFERROR(IF(AND(ISNUMBER(CD268),CD268&gt;CE268),"потери "&amp;FIXED(CD268,1)&amp;" % &gt; "&amp;CE268&amp;" %",""),""),IFERROR(IF(LEFT(FJ268,4)="мало","Iкз мало — отключение &gt; 0,4 с",""),""),IF(AND(D268&lt;&gt;"",BD268=""),"не на схеме","")))</f>
        <v>потери 4,1 % &gt; 4 %</v>
      </c>
      <c r="FL268">
        <f>IF(AD268="","",_xlfn.LET(_xlpm.t,IFERROR(_xlfn.XLOOKUP(EP268,Каталог!$U$4:$U$500,Каталог!$G$4:$G$500),""),_xlpm.k,SEARCH("кА",_xlpm.t),IFERROR(--TRIM(RIGHT(SUBSTITUTE(MID(_xlpm.t,MAX(1,_xlpm.k-4),_xlpm.k-MAX(1,_xlpm.k-4))," ",REPT(" ",9)),5)),"")))</f>
        <v>6</v>
      </c>
      <c r="FM268" t="str">
        <f>IF(OR(FL268="",AD268=""),"",IF(_xlfn.XLOOKUP(A268,Щиты[Щит],Щиты[Iкз max на шинах, кА],"")="","",IF(FL268&lt;_xlfn.XLOOKUP(A268,Щиты[Щит],Щиты[Iкз max на шинах, кА]),"Icu "&amp;FL268&amp;" кА &lt; Iкз max","ok")))</f>
        <v/>
      </c>
      <c r="FN268" t="str">
        <f t="shared" si="419"/>
        <v>QFD44|XT44</v>
      </c>
      <c r="FO268" t="str">
        <f t="shared" si="420"/>
        <v>QFD44|XT44|кабель ВВГнг(А)-LS (3х2,5) → Розеточная группа Первый этаж Пом. №021A ПММ</v>
      </c>
      <c r="FP268" t="str" cm="1">
        <f t="array" ref="FP268">IF(FO268="","",_xlfn.LET(_xlpm.nd,_xlfn.TEXTSPLIT(FO268,"|"),IF(COLUMNS(_xlpm.nd)&gt;1,A268&amp;"¦"&amp;INDEX(_xlpm.nd,1)&amp;"¦"&amp;INDEX(_xlpm.nd,2),"")))</f>
        <v>ЩР-1¦QFD44¦XT44</v>
      </c>
      <c r="FQ268" t="str">
        <f t="shared" si="421"/>
        <v>R.1.021A.10¦Розеточная группа Первый этаж Пом. №021A ПММ</v>
      </c>
      <c r="FR268" t="str" cm="1">
        <f t="array" ref="FR268">IF(FO268="","",_xlfn.LET(_xlpm.nd,_xlfn.TEXTSPLIT(FO268,"|"),IF(COLUMNS(_xlpm.nd)&gt;2,A268&amp;"¦"&amp;INDEX(_xlpm.nd,2)&amp;"¦"&amp;INDEX(_xlpm.nd,3),"")))</f>
        <v>ЩР-1¦XT44¦кабель ВВГнг(А)-LS (3х2,5) → Розеточная группа Первый этаж Пом. №021A ПММ</v>
      </c>
      <c r="FS268" t="str">
        <f t="shared" si="422"/>
        <v>R.1.021A.10¦Розеточная группа Первый этаж Пом. №021A ПММ</v>
      </c>
      <c r="FT268" t="str" cm="1">
        <f t="array" ref="FT268">IF(FO268="","",_xlfn.LET(_xlpm.nd,_xlfn.TEXTSPLIT(FO268,"|"),IF(COLUMNS(_xlpm.nd)&gt;3,A268&amp;"¦"&amp;INDEX(_xlpm.nd,3)&amp;"¦"&amp;INDEX(_xlpm.nd,4),"")))</f>
        <v/>
      </c>
      <c r="FU268" t="str">
        <f t="shared" si="423"/>
        <v/>
      </c>
      <c r="FV268" t="str" cm="1">
        <f t="array" ref="FV268">IF(FO268="","",_xlfn.LET(_xlpm.nd,_xlfn.TEXTSPLIT(FO268,"|"),IF(COLUMNS(_xlpm.nd)&gt;4,A268&amp;"¦"&amp;INDEX(_xlpm.nd,4)&amp;"¦"&amp;INDEX(_xlpm.nd,5),"")))</f>
        <v/>
      </c>
      <c r="FW268" t="str">
        <f t="shared" si="424"/>
        <v/>
      </c>
      <c r="FX268" t="str" cm="1">
        <f t="array" ref="FX268">IF(FO268="","",_xlfn.LET(_xlpm.nd,_xlfn.TEXTSPLIT(FO268,"|"),IF(COLUMNS(_xlpm.nd)&gt;5,A268&amp;"¦"&amp;INDEX(_xlpm.nd,5)&amp;"¦"&amp;INDEX(_xlpm.nd,6),"")))</f>
        <v/>
      </c>
      <c r="FY268" t="str">
        <f t="shared" si="425"/>
        <v/>
      </c>
      <c r="FZ268" t="str" cm="1">
        <f t="array" ref="FZ268">IF(FO268="","",_xlfn.LET(_xlpm.nd,_xlfn.TEXTSPLIT(FO268,"|"),IF(COLUMNS(_xlpm.nd)&gt;6,A268&amp;"¦"&amp;INDEX(_xlpm.nd,6)&amp;"¦"&amp;INDEX(_xlpm.nd,7),"")))</f>
        <v/>
      </c>
      <c r="GA268" t="str">
        <f t="shared" si="426"/>
        <v/>
      </c>
      <c r="GB268" t="str">
        <f t="shared" si="427"/>
        <v/>
      </c>
      <c r="GC268" t="str">
        <f t="shared" si="428"/>
        <v>QFD44 → XT44</v>
      </c>
      <c r="GD268">
        <f t="shared" si="429"/>
        <v>1</v>
      </c>
      <c r="GE268">
        <f t="shared" si="430"/>
        <v>0</v>
      </c>
      <c r="GF268">
        <f t="shared" si="431"/>
        <v>1</v>
      </c>
      <c r="GG268" t="str">
        <f t="shared" si="432"/>
        <v/>
      </c>
      <c r="GH268" t="str">
        <f t="shared" si="433"/>
        <v/>
      </c>
      <c r="GI268" t="str">
        <f t="shared" si="434"/>
        <v/>
      </c>
      <c r="GJ268" t="str">
        <f t="shared" si="435"/>
        <v/>
      </c>
      <c r="GK268" t="str">
        <f>IF(D268="","",IFERROR(VLOOKUP(D268,УГО_спр,2,FALSE),IFERROR(VLOOKUP(AT268,УГО_спр,2,FALSE),IFERROR(VLOOKUP(LEFT(AT268,2),УГО_спр,2,FALSE),""))))</f>
        <v>Розетка</v>
      </c>
      <c r="GL268" t="str">
        <f>IF(D268="","",IF(OR(GK268="",GK268=0),"BOX",IFERROR(IF(VLOOKUP(GK268,УГО_блоки,3,FALSE)&amp;""&lt;&gt;"",VLOOKUP(GK268,УГО_блоки,3,FALSE),VLOOKUP(GK268,УГО_блоки,2,FALSE)),GK268)))</f>
        <v>SOCKET</v>
      </c>
      <c r="GM268">
        <f t="shared" si="436"/>
        <v>1</v>
      </c>
      <c r="GN268" t="str">
        <f>IF(EP268="","",IF(COUNTIF(EP$3:EP268,EP268)=1,MAX(GN$2:GN267)+1,""))</f>
        <v/>
      </c>
      <c r="GO268" t="str">
        <f>IF(AF268="","",IF(COUNTIF(AF$3:AF268,AF268)+COUNTIF(AG$2:AG267,AF268)+COUNTIF(AH$2:AH267,AF268)=1,MAX(GO$2:GQ267)+1,""))</f>
        <v/>
      </c>
      <c r="GP268" t="str">
        <f>IF(AG268="","",IF(COUNTIF(AF$3:AF268,AG268)+COUNTIF(AG$3:AG268,AG268)+COUNTIF(AH$2:AH267,AG268)=1,MAX(GO$2:GQ267,GO268)+1,""))</f>
        <v/>
      </c>
      <c r="GQ268" t="str">
        <f>IF(AH268="","",IF(COUNTIF(AF$3:AF268,AH268)+COUNTIF(AG$3:AG268,AH268)+COUNTIF(AH$3:AH268,AH268)=1,MAX(GO$2:GQ267,GO268,GP268)+1,""))</f>
        <v/>
      </c>
      <c r="GR268" t="str">
        <f t="shared" si="437"/>
        <v>3х2,5</v>
      </c>
      <c r="GS268" t="str">
        <f>IF(GR268="","",IF(COUNTIF(GR$3:GR268,GR268)=1,MAX(GS$2:GS267)+1,""))</f>
        <v/>
      </c>
      <c r="GT268" t="str">
        <f>IF(ES268="","",COUNTIF(ES$3:ES268,"?*"))</f>
        <v/>
      </c>
      <c r="GU268" t="str">
        <f>IF(OR(ES268="",EU268=""),"",IF(COUNTIFS(ES$3:ES268,"?*",EU$3:EU268,EU268)=1,MAX(GU$2:GU267)+1,""))</f>
        <v/>
      </c>
      <c r="GV268">
        <f t="shared" si="438"/>
        <v>1</v>
      </c>
      <c r="GW268">
        <f>IF(D268="","",COUNTIF(D$3:D268,"?*"))</f>
        <v>266</v>
      </c>
      <c r="GX268">
        <f>IF(EX268&lt;&gt;1,0,_xlfn.LET(_xlpm.k,MAX(IFERROR(--VLOOKUP(D268,УГО_спр,5,FALSE),0),IFERROR(--VLOOKUP(AT268,УГО_спр,5,FALSE),0),IFERROR(--VLOOKUP(LEFT(AT268,2),УГО_спр,5,FALSE),0)),IF(_xlpm.k&gt;0,_xlpm.k,IF(IFERROR(--LEFT(SUBSTITUTE(GR268,"x","х"),FIND("х",SUBSTITUTE(GR268,"x","х"))-1),3)&gt;3,Каталог!$S$9,1))))</f>
        <v>1</v>
      </c>
      <c r="GY268">
        <f t="shared" si="439"/>
        <v>0</v>
      </c>
    </row>
    <row r="269" spans="1:207" x14ac:dyDescent="0.3">
      <c r="A269" t="s">
        <v>762</v>
      </c>
      <c r="B269">
        <v>59</v>
      </c>
      <c r="C269" t="str">
        <f>IF(BD269="","",IF(BE269="вводной узел","узел ","")&amp;"л."&amp;(INT((BD269-1)/Столбцов_на_лист)+1)&amp;" / "&amp;(MOD(BD269-1,Столбцов_на_лист)+1))</f>
        <v>л.4 / 8</v>
      </c>
      <c r="D269" t="s">
        <v>1594</v>
      </c>
      <c r="E269" s="133" t="str">
        <f t="shared" si="352"/>
        <v>Розеточная группа Первый этаж Пом. №021A</v>
      </c>
      <c r="G269">
        <v>0.18</v>
      </c>
      <c r="H269">
        <v>1</v>
      </c>
      <c r="I269">
        <v>1</v>
      </c>
      <c r="J269">
        <v>230</v>
      </c>
      <c r="K269" t="s">
        <v>566</v>
      </c>
      <c r="O269">
        <v>1</v>
      </c>
      <c r="P269">
        <v>3</v>
      </c>
      <c r="Q269">
        <v>0</v>
      </c>
      <c r="R269">
        <v>3</v>
      </c>
      <c r="S269">
        <v>0</v>
      </c>
      <c r="U269" t="s">
        <v>11</v>
      </c>
      <c r="V269">
        <v>3</v>
      </c>
      <c r="W269">
        <v>2.5</v>
      </c>
      <c r="Z269" t="s">
        <v>565</v>
      </c>
      <c r="AA269" t="s">
        <v>818</v>
      </c>
      <c r="AD269" t="s">
        <v>517</v>
      </c>
      <c r="AR269" t="str">
        <f t="shared" si="353"/>
        <v/>
      </c>
      <c r="AS269" cm="1">
        <f t="array" ref="AS269">ROW()-ROW(Линии[#Headers])</f>
        <v>267</v>
      </c>
      <c r="AT269" t="str">
        <f t="shared" si="354"/>
        <v>R</v>
      </c>
      <c r="AU269" t="str">
        <f t="shared" si="355"/>
        <v>1.021A.11</v>
      </c>
      <c r="AV269" t="str">
        <f t="shared" si="356"/>
        <v>1</v>
      </c>
      <c r="AW269" t="str">
        <f t="shared" si="357"/>
        <v>021A.11</v>
      </c>
      <c r="AX269" t="str">
        <f t="shared" si="358"/>
        <v>021A</v>
      </c>
      <c r="AY269" t="str">
        <f>IF(D269="","",IF(ISERROR(SEARCH(".",D269)),IFERROR(VLOOKUP(D269,Потребители_обозначение,2,FALSE)&amp;"",""),IFERROR(IF(VLOOKUP(AT269,Потребители_обозначение,4,FALSE)=1,VLOOKUP(AT269,Потребители_обозначение,2,FALSE)&amp;" "&amp;VLOOKUP(AV269,Этаж_обозначение,2,FALSE)&amp;" Пом. №"&amp;AX269,VLOOKUP(AT269,Потребители_обозначение,2,FALSE)&amp;" Шлейф №"&amp;AV269),IFERROR(VLOOKUP(D269,Потребители_обозначение,2,FALSE),""))))</f>
        <v>Розеточная группа Первый этаж Пом. №021A</v>
      </c>
      <c r="AZ269" t="str">
        <f t="shared" si="359"/>
        <v>Розеточная группа Первый этаж Пом. №021A</v>
      </c>
      <c r="BA269" t="str">
        <f>IF(F269&lt;&gt;"",F269,IF(AND(D269&lt;&gt;"",D269&lt;&gt;A269,ISNUMBER(_xlfn.XMATCH(D269,Щиты[Щит]))),D269,""))</f>
        <v/>
      </c>
      <c r="BB269">
        <f>IFERROR(_xlfn.XMATCH(A269,Щиты[Щит]),0)</f>
        <v>10</v>
      </c>
      <c r="BC269">
        <f>IFERROR(N(_xlfn.XLOOKUP(A269,Щиты[Щит],Щиты[Мест под вводной узел])),15)</f>
        <v>8</v>
      </c>
      <c r="BD269">
        <f t="shared" si="360"/>
        <v>59</v>
      </c>
      <c r="BE269" t="str">
        <f t="shared" si="361"/>
        <v>линии</v>
      </c>
      <c r="BF269">
        <f>IF(D269="","",IF(BA269&lt;&gt;"",IFERROR(_xlfn.XLOOKUP(BA269,Щиты[Щит],Щиты[Руст, кВт]),0),N(G269)))</f>
        <v>0.18</v>
      </c>
      <c r="BG269">
        <f>IF(J269&lt;&gt;"",J269,IF(D269="","",IFERROR(IF(VLOOKUP(AT269,Потребители_обозначение,8,FALSE)=0,"",VLOOKUP(AT269,Потребители_обозначение,8,FALSE)),"")))</f>
        <v>230</v>
      </c>
      <c r="BH269">
        <f>IF(I269&lt;&gt;"",I269,IF(D269="","",IFERROR(IF(VLOOKUP(AT269,Потребители_обозначение,9,FALSE)=0,"",VLOOKUP(AT269,Потребители_обозначение,9,FALSE)),"")))</f>
        <v>1</v>
      </c>
      <c r="BI269" t="str">
        <f>IF(U269&lt;&gt;"",U269,IF(D269="","",IFERROR(IF(VLOOKUP(AT269,Потребители_обозначение,6,FALSE)=0,"",VLOOKUP(AT269,Потребители_обозначение,6,FALSE)),"")))</f>
        <v>мс</v>
      </c>
      <c r="BJ269">
        <f>IF(V269&lt;&gt;"",V269,IF(D269="","",IFERROR(IF(VLOOKUP(AT269,Потребители_обозначение,7,FALSE)=0,"",VLOOKUP(AT269,Потребители_обозначение,7,FALSE)),"")))</f>
        <v>3</v>
      </c>
      <c r="BK269">
        <f>IF(W269&lt;&gt;"",W269,IF(D269="","",IFERROR(IF(VLOOKUP(AT269,Потребители_обозначение,10,FALSE)=0,"",VLOOKUP(AT269,Потребители_обозначение,10,FALSE)),"")))</f>
        <v>2.5</v>
      </c>
      <c r="BL269">
        <f>IFERROR(VLOOKUP(AT269,Потребители_обозначение,5,FALSE),0)</f>
        <v>1</v>
      </c>
      <c r="BM269" cm="1">
        <f t="array" ref="BM269">IF(D269="","",IF(BA269&lt;&gt;"",IFERROR(_xlfn.XLOOKUP(BA269,Щиты[Щит],Щиты[cos φ]),0.95),IF(ISNUMBER(M269),M269,IFERROR(IF(BL269=2,_xlfn.IFS(BH269=3,VLOOKUP(BF269,Справочная_двигатели,8,FALSE),BH269=1,VLOOKUP(BF269,Справочная_двигатели,10,TRUE)),IF(AND(Методика="нормы 2026",CN269="Сил"),0.8,0.95)),0.95))))</f>
        <v>0.95</v>
      </c>
      <c r="BN269" cm="1">
        <f t="array" ref="BN269">IF(D269="","",IF(BA269&lt;&gt;"",IFERROR(_xlfn.XLOOKUP(BA269,Щиты[Щит],Щиты[Iр, А]),""),IFERROR(_xlfn.IFS(BH269=1,BF269/((Uн_лин/SQRT(3))*BM269),BH269=3,BF269/(SQRT(3)*Uн_лин*BM269)),"")))</f>
        <v>0.8204451193747313</v>
      </c>
      <c r="BO269">
        <f>IF(D269="","",IF(N(X269)=0,IFERROR(VLOOKUP(BN269,Автомат_номиналы,2,TRUE),""),X269))</f>
        <v>6</v>
      </c>
      <c r="BP269">
        <f t="shared" si="362"/>
        <v>1</v>
      </c>
      <c r="BQ269">
        <f>IF(ISNUMBER(Y269),Y269,К_прокл)</f>
        <v>1</v>
      </c>
      <c r="BR269">
        <f t="shared" si="363"/>
        <v>2</v>
      </c>
      <c r="BS269" cm="1">
        <f t="array" ref="BS269">IF(D269="","",IF(N(BK269)&lt;&gt;0,BK269,IFERROR(_xlfn.LET(_xlpm.need,BO269/(BP269*BQ269),_xlpm.t,CHOOSE(BR269,Iдоп_1ж,Iдоп_2ж,Iдоп_3ж),_xlpm.k,_xlfn.XMATCH(_xlpm.need,_xlpm.t,1),IF(ISNA(_xlpm.k),"Не исп",INDEX(Iдоп_S,_xlpm.k))),"Не исп")))</f>
        <v>2.5</v>
      </c>
      <c r="BT269">
        <f>IFERROR(VLOOKUP(BS269,Кабель_сопротивление,3,FALSE),"")</f>
        <v>2.2499999999999999E-2</v>
      </c>
      <c r="BU269">
        <f>IFERROR(VLOOKUP(BS269,Кабель_сопротивление,2,FALSE),"")</f>
        <v>0.1</v>
      </c>
      <c r="BV269">
        <f t="shared" si="364"/>
        <v>3</v>
      </c>
      <c r="BW269">
        <f>IF(D269="","",IFERROR(IF(VLOOKUP(AT269,Потребители_обозначение,4,FALSE)=1,VLOOKUP(AT269,Потребители_обозначение,3,FALSE)*(H269*2-1)+BV269+VLOOKUP(AV269,Этаж_обозначение,3,FALSE)+VLOOKUP(AV269,Этаж_обозначение,4,FALSE),VLOOKUP(AT269,Потребители_обозначение,3,FALSE)*(H269*2-1)+BV269),BV269))</f>
        <v>6</v>
      </c>
      <c r="BX269">
        <f t="shared" si="365"/>
        <v>3</v>
      </c>
      <c r="BY269">
        <f t="shared" si="366"/>
        <v>0</v>
      </c>
      <c r="BZ269">
        <f t="shared" si="367"/>
        <v>2</v>
      </c>
      <c r="CA269">
        <f t="shared" si="368"/>
        <v>0.31</v>
      </c>
      <c r="CB269">
        <f t="shared" si="369"/>
        <v>8.4482874832254834E-2</v>
      </c>
      <c r="CC269">
        <f>IFERROR(ROUNDUP(CB269/((Uн_лин/SQRT(3))*1000)*100,2),"")</f>
        <v>0.04</v>
      </c>
      <c r="CD269">
        <f>IF(ISNUMBER(CC269),CC269+IFERROR(_xlfn.XLOOKUP(A269,Щиты[Щит],Щиты[ΔU до шин, %]),0),"")</f>
        <v>1.29</v>
      </c>
      <c r="CE269">
        <f>IF(D269="","",IF(IFERROR(VLOOKUP(AT269,УГО_спр,2,FALSE),"")="Светильник",3,4)+IF(Методика="нормы 2026",MIN(0.5,MAX(0,N(BW269)-100)*0.005),0))</f>
        <v>4</v>
      </c>
      <c r="CF269" t="str">
        <f>IFERROR(VLOOKUP(BI269,Кабель_обозначение,2,FALSE),"")</f>
        <v>ВВГнг(А)-LS</v>
      </c>
      <c r="CG269" t="str">
        <f>IFERROR(IF(VLOOKUP(BI269,Кабель_обозначение,3,FALSE)=1,CF269&amp;" ("&amp;BJ269&amp;"х"&amp;BS269&amp;")",CF269),"")</f>
        <v>ВВГнг(А)-LS (3х2,5)</v>
      </c>
      <c r="CH269" t="str">
        <f t="shared" si="370"/>
        <v>ВВГнг(А)-LS (3х2,5)
L=6-0,04%</v>
      </c>
      <c r="CI269">
        <f>IFERROR(2*ρкз_Cu*BW269/BS269,"")</f>
        <v>0.12623999999999999</v>
      </c>
      <c r="CJ269">
        <f t="shared" si="371"/>
        <v>4.2000000000000003E-2</v>
      </c>
      <c r="CK269" t="str">
        <f>IFERROR(IF(OR(D269="",NOT(ISNUMBER(BS269)),N(BW269)=0),"",_xlfn.XLOOKUP(A269,Щиты[Щит],Щиты[Zпетли на шинах, Ом])+CI269),"")</f>
        <v/>
      </c>
      <c r="CL269" t="str">
        <f>IF(ISNUMBER(CK269),c_min*(Uн_лин*1000/SQRT(3))/CK269,"")</f>
        <v/>
      </c>
      <c r="CM269" t="str">
        <f>IFERROR(IF(OR(D269="",NOT(ISNUMBER(BS269))),"",1.05*(Uн_лин*1000/SQRT(3))/(_xlfn.XLOOKUP(A269,Щиты[Щит],Щиты[Zmax на шинах, Ом])+CJ269)/1000),"")</f>
        <v/>
      </c>
      <c r="CN269" t="str">
        <f>IF(D269="","",IF(BA269&lt;&gt;"","Щит",IF(K269&lt;&gt;"",K269,IF(ISNUMBER(L269),"Сил",IF(IFERROR(_xlfn.XLOOKUP(AT269,Коды_код,Коды_группа)&amp;"","")="","Быт",_xlfn.XLOOKUP(AT269,Коды_код,Коды_группа)&amp;"")))))</f>
        <v>Быт</v>
      </c>
      <c r="CO269">
        <f>IF(CN269="Щит","щит",IF(CN269="","",IF(CN269="Быт",IFERROR(_xlfn.XLOOKUP(A269,Щиты[Щит],Щиты[Кс быт]),1),IF(CN269="Сил",IF(ISNUMBER(L269),L269,IF(Методика="нормы 2026",IFERROR(_xlfn.XLOOKUP(A269,Щиты[Щит],Щиты[Кс силовых (табл. 7.5)]),1),1)),IF(OR(CN269="Пост",CN269="Отоп"),1,IF(CN269="ВНГ",0.7,0))))))</f>
        <v>0.57830000000000004</v>
      </c>
      <c r="CP269">
        <f t="shared" si="372"/>
        <v>1</v>
      </c>
      <c r="CQ269">
        <f t="shared" si="373"/>
        <v>0.18</v>
      </c>
      <c r="CR269">
        <f t="shared" si="374"/>
        <v>0.18</v>
      </c>
      <c r="CS269">
        <f t="shared" si="375"/>
        <v>0</v>
      </c>
      <c r="CT269">
        <f t="shared" si="376"/>
        <v>0</v>
      </c>
      <c r="CU269">
        <f t="shared" si="377"/>
        <v>0</v>
      </c>
      <c r="CV269">
        <f t="shared" si="378"/>
        <v>0</v>
      </c>
      <c r="CW269">
        <f t="shared" si="379"/>
        <v>0.18</v>
      </c>
      <c r="CX269">
        <f t="shared" si="380"/>
        <v>0.17099999999999999</v>
      </c>
      <c r="CY269">
        <f t="shared" si="381"/>
        <v>3</v>
      </c>
      <c r="CZ269" t="str">
        <f t="shared" si="382"/>
        <v>L3</v>
      </c>
      <c r="DA269" cm="1">
        <f t="array" ref="DA269">IFERROR(IF(BL269=2,_xlfn.IFS(BH269=3,VLOOKUP(BF269,Справочная_двигатели,3,FALSE),BH269=1,VLOOKUP(BF269,Справочная_двигатели,5,TRUE)),0),0)</f>
        <v>0</v>
      </c>
      <c r="DB269">
        <f>IFERROR(IF(BL269=3,VLOOKUP(BF269,Справочная_ЛЭД,2,TRUE),0),0)</f>
        <v>0</v>
      </c>
      <c r="DC269">
        <f t="shared" si="383"/>
        <v>0</v>
      </c>
      <c r="DD269" t="str">
        <f t="shared" si="384"/>
        <v>L1</v>
      </c>
      <c r="DE269" t="str" cm="1">
        <f t="array" ref="DE269">IF(D269="","",IFERROR(INDEX({"I особая","I","II","III"},MATCH(TRIM(AA269&amp;""),{"I особая","I","II","III"},0)),"III"))</f>
        <v>II</v>
      </c>
      <c r="DF269" t="str">
        <f>IF(D269="","",IF(TRIM(AB269&amp;"")&lt;&gt;"",IF(LOWER(TRIM(AB269&amp;""))="да","да","нет"),IF(IFERROR(_xlfn.XLOOKUP(AT269,Коды_код,Коды_пожарная),"")="да","да","нет")))</f>
        <v>нет</v>
      </c>
      <c r="DG269" t="str">
        <f t="shared" si="385"/>
        <v/>
      </c>
      <c r="DH269" t="str">
        <f t="shared" si="386"/>
        <v>основная</v>
      </c>
      <c r="DI269">
        <f t="shared" si="387"/>
        <v>1</v>
      </c>
      <c r="DJ269" t="str" cm="1">
        <f t="array" ref="DJ269">IF(D269="","",_xlfn.LET(_xlpm.t,IFERROR(_xlfn.XLOOKUP(1,(Шины[Шина]=DH269)*(((Шины[Щит]=A269)+(Шины[Щит]=""))&gt;0),Шины[Тип]),"")&amp;"",IF(_xlpm.t&lt;&gt;"",_xlpm.t,IF(ISNUMBER(SEARCH("ИБП",DH269)),"ИБП",IF(ISNUMBER(SEARCH("ДГУ",DH269)),"ДГУ","Ввод "&amp;DI269)))))</f>
        <v>Ввод 1</v>
      </c>
      <c r="DK269" t="str">
        <f t="shared" si="388"/>
        <v>Ввод 1</v>
      </c>
      <c r="DL269" t="str">
        <f>IF(D269="","",IF(OR(DJ269="ИБП",DJ269="ДГУ"),"I особая",IF(DJ269="Одиночная","III",_xlfn.XLOOKUP(A269,Щиты[Щит],Щиты[Категория шины «Ввод»],"III"))))</f>
        <v>II</v>
      </c>
      <c r="DM269">
        <f>IF(D269="",0,IFERROR(MATCH(DE269,{"III","II","I","I особая"},0),1))</f>
        <v>2</v>
      </c>
      <c r="DN269">
        <f t="shared" si="389"/>
        <v>2</v>
      </c>
      <c r="DO269" t="str">
        <f>IF(D269="","",IF(DM269&gt;IFERROR(MATCH(DL269,{"III","II","I","I особая"},0),1),"НЕ ОБЕСПЕЧЕНА","ОК"))</f>
        <v>ОК</v>
      </c>
      <c r="DP269" t="str">
        <f>IF(A269="","",_xlfn.XLOOKUP(A269,Щиты[Щит],Щиты[Путь],""))</f>
        <v>|ГРЩ-ЖД|ЩР-1|</v>
      </c>
      <c r="DQ269" t="str">
        <f>IF(D269="","",IF(Z269&lt;&gt;"",Z269,IF(IFERROR(_xlfn.XLOOKUP(AT269,Коды_код,Коды_вид)&amp;"","")="","Прочее",_xlfn.XLOOKUP(AT269,Коды_код,Коды_вид)&amp;"")))</f>
        <v>Розеточная сеть и бытовые приборы</v>
      </c>
      <c r="DR269">
        <f>IF(BD269="","",INT((BD269-1)/Столбцов_на_лист)+1)</f>
        <v>4</v>
      </c>
      <c r="DS269" t="str">
        <f t="shared" si="390"/>
        <v>ВВГнг(А)-LS (3х2,5) L=6-0,04%</v>
      </c>
      <c r="DT269">
        <f t="shared" si="391"/>
        <v>0.18</v>
      </c>
      <c r="DU269">
        <f t="shared" si="392"/>
        <v>0.83</v>
      </c>
      <c r="DV269">
        <f t="shared" si="393"/>
        <v>1</v>
      </c>
      <c r="DW269">
        <f>IF(AT269="",0,_xlfn.LET(_xlpm.v,IFERROR(VLOOKUP(D269,УГО_спр,3,FALSE),IFERROR(VLOOKUP(AT269,УГО_спр,3,FALSE),IFERROR(VLOOKUP(LEFT(AT269,2),УГО_спр,3,FALSE),""))),IF(_xlpm.v="да",30,IF(ISNUMBER(_xlpm.v),_xlpm.v,0))))</f>
        <v>30</v>
      </c>
      <c r="DX269">
        <f t="shared" si="394"/>
        <v>0</v>
      </c>
      <c r="DY269">
        <f>IF(BD269="","",IF(AD269&lt;&gt;"",COUNTIFS(A$3:A269,A269,AD$3:AD269,"?*"),IF(OR(OR(AS269=1,A269&lt;&gt;A268),AL269="вручную"),"",IF(AS269=1,"",DZ268))))</f>
        <v>45</v>
      </c>
      <c r="DZ269">
        <f t="shared" si="395"/>
        <v>45</v>
      </c>
      <c r="EA269">
        <f>IF(D269="",0,MAX(IFERROR(--X269,0),IFERROR(--VLOOKUP(D269,УГО_спр,4,FALSE),IFERROR(--VLOOKUP(AT269,УГО_спр,4,FALSE),IFERROR(--VLOOKUP(LEFT(AT269,2),УГО_спр,4,FALSE),0)))))</f>
        <v>16</v>
      </c>
      <c r="EB269">
        <f>IF(D269="","",IFERROR(LOOKUP(INDEX(CHOOSE(BR269,Iдоп_1ж,Iдоп_2ж,Iдоп_3ж),MATCH(BS269,Iдоп_S,0))*BP269*BQ269,{6,10,16,20,25,32,40,50,63,80,100,125,160,200,250,315,400,500,630}),""))</f>
        <v>25</v>
      </c>
      <c r="EC269">
        <f>IF(AD269="","",SUMIFS(Линии[_Ток схемы],Линии[_гр.],DY269,Линии[Щит],A269,Линии[_в кабель выше],0))</f>
        <v>0.83</v>
      </c>
      <c r="ED269">
        <f>IF(AD269="","",IFERROR(VLOOKUP(EC269,Автомат_номиналы,2,TRUE),""))</f>
        <v>6</v>
      </c>
      <c r="EE269">
        <f>IF(AD269="","",MAX(N(ED269),_xlfn.MAXIFS(Линии[_мин. по типу],Линии[_гр.],DY269,Линии[Щит],A269)))</f>
        <v>16</v>
      </c>
      <c r="EF269">
        <f>IF(AD269="","",_xlfn.MINIFS(Линии[_макс. автомат по кабелю],Линии[_гр.],DY269,Линии[Щит],A269))</f>
        <v>25</v>
      </c>
      <c r="EG269">
        <f>IF(AD269="","",MAX(1,_xlfn.MAXIFS(Линии[_фаз],Линии[_гр.],DY269,Линии[Щит],A269)))</f>
        <v>1</v>
      </c>
      <c r="EH269">
        <f>IF(AD269="","",IF(AND(AD269&lt;&gt;"авто",AD269&lt;&gt;"+"),IF(ISNUMBER(SEARCH("мА",AD269)),IFERROR(--TRIM(RIGHT(SUBSTITUTE(LEFT(AD269,SEARCH("мА",AD269)-1)," ",REPT(" ",9)),6)),30),0),IF(AE269="нет",0,IF(ISNUMBER(AE269),AE269,IF(AE269="да",30,_xlfn.MINIFS(Линии[_дифзащита по коду, мА],Линии[_гр.],DY269,Линии[Щит],A269,Линии[_дифзащита по коду, мА],"&gt;0"))))))</f>
        <v>30</v>
      </c>
      <c r="EI269">
        <f t="shared" si="396"/>
        <v>1</v>
      </c>
      <c r="EJ269" t="str">
        <f t="shared" si="397"/>
        <v>QFD45</v>
      </c>
      <c r="EK269" t="str">
        <f t="shared" si="398"/>
        <v>QFD45</v>
      </c>
      <c r="EL269" t="str">
        <f t="shared" si="399"/>
        <v/>
      </c>
      <c r="EM269">
        <f t="shared" si="400"/>
        <v>0</v>
      </c>
      <c r="EN269">
        <f>IF(AD269="","",IF(EM269=1,MAX(EE269,Мин_автомат_БП),EE269))</f>
        <v>16</v>
      </c>
      <c r="EO269" t="str">
        <f t="shared" si="401"/>
        <v>2P</v>
      </c>
      <c r="EP269" t="str">
        <f t="shared" si="402"/>
        <v>2P С16А 30мА</v>
      </c>
      <c r="EQ269">
        <f t="shared" si="403"/>
        <v>16</v>
      </c>
      <c r="ER269" t="str">
        <f>IF(OR(AI269="",AI269="-"),"",IFERROR(VLOOKUP(AI269,Модули_спр,2,FALSE),"R"))</f>
        <v/>
      </c>
      <c r="ES269" t="str">
        <f>IF(ER269="","",ER269&amp;"."&amp;COUNTIFS(A$3:A269,A269,ER$3:ER269,ER269))</f>
        <v/>
      </c>
      <c r="ET269" t="str">
        <f t="shared" si="404"/>
        <v/>
      </c>
      <c r="EU269" t="str">
        <f t="shared" si="405"/>
        <v/>
      </c>
      <c r="EV269" t="str">
        <f t="shared" si="406"/>
        <v/>
      </c>
      <c r="EW269" t="str">
        <f t="shared" si="407"/>
        <v/>
      </c>
      <c r="EX269">
        <f t="shared" si="408"/>
        <v>1</v>
      </c>
      <c r="EY269" t="str">
        <f>IF(AK269="нет","",IF(AK269&lt;&gt;"",AK269,IF(EX269=1,"XT"&amp;COUNTIFS(A$3:A269,A269,EX$3:EX269,1),"")))</f>
        <v>XT45</v>
      </c>
      <c r="EZ269" t="str">
        <f t="shared" si="409"/>
        <v>QFD45</v>
      </c>
      <c r="FA269" t="str">
        <f t="shared" si="410"/>
        <v/>
      </c>
      <c r="FB269" t="str">
        <f t="shared" si="411"/>
        <v>ok</v>
      </c>
      <c r="FC269" t="str">
        <f>IF(OR(EV269="",ET269=""),"",IF(EV269&gt;IFERROR(VLOOKUP(EU269,Модули_спр,3,FALSE),99),"ЛИШНИЙ КАНАЛ",IF(AND(AJ269&lt;&gt;"=",COUNTIFS(Линии[_модуль гр.],ET269,Линии[Канал (итог)],EV269,Линии[Канал],"&lt;&gt;=",Линии[Щит],A269)&gt;1),"ДУБЛЬ КАНАЛА","")))</f>
        <v/>
      </c>
      <c r="FD269">
        <f t="shared" si="412"/>
        <v>16</v>
      </c>
      <c r="FE269" t="str">
        <f t="shared" si="413"/>
        <v>2P С16А 30мА</v>
      </c>
      <c r="FF269">
        <f t="shared" si="414"/>
        <v>1</v>
      </c>
      <c r="FG269">
        <f t="shared" si="415"/>
        <v>30</v>
      </c>
      <c r="FH269" t="str">
        <f t="shared" si="416"/>
        <v/>
      </c>
      <c r="FI269">
        <f t="shared" si="417"/>
        <v>10</v>
      </c>
      <c r="FJ269" t="str">
        <f t="shared" si="418"/>
        <v/>
      </c>
      <c r="FK269" t="str">
        <f>IF(AND(D269="",EZ269=""),"",_xlfn.TEXTJOIN("; ",TRUE,IF(AND(D269&lt;&gt;"",DD269=""),"нет фазы",""),IF(AND(D269&lt;&gt;"",N(DT269)=0,CN269&lt;&gt;"Нет"),"нет мощности",""),IF(AND(EY269&lt;&gt;"",COUNTIFS(Линии[Щит],A269,Линии[Клемма (итог)],EY269)&gt;1),"дубль клеммы "&amp;EY269,""),IF(AND(FB269&lt;&gt;"",FB269&lt;&gt;"ok"),FB269,""),IF(FC269&lt;&gt;"",FC269,""),IF(AND(ISNUMBER(SEARCH("(5х",DS269)),N(DV269)=1),"5 жил на 1 фазе",""),IF(AND(AT269="R",AD269&lt;&gt;"",OR(N(EH269)=0,N(EH269)&gt;30)),"розетка без дифзащиты до 30 мА",""),IFERROR(IF(AND(ISNUMBER(CD269),CD269&gt;CE269),"потери "&amp;FIXED(CD269,1)&amp;" % &gt; "&amp;CE269&amp;" %",""),""),IFERROR(IF(LEFT(FJ269,4)="мало","Iкз мало — отключение &gt; 0,4 с",""),""),IF(AND(D269&lt;&gt;"",BD269=""),"не на схеме","")))</f>
        <v/>
      </c>
      <c r="FL269">
        <f>IF(AD269="","",_xlfn.LET(_xlpm.t,IFERROR(_xlfn.XLOOKUP(EP269,Каталог!$U$4:$U$500,Каталог!$G$4:$G$500),""),_xlpm.k,SEARCH("кА",_xlpm.t),IFERROR(--TRIM(RIGHT(SUBSTITUTE(MID(_xlpm.t,MAX(1,_xlpm.k-4),_xlpm.k-MAX(1,_xlpm.k-4))," ",REPT(" ",9)),5)),"")))</f>
        <v>6</v>
      </c>
      <c r="FM269" t="str">
        <f>IF(OR(FL269="",AD269=""),"",IF(_xlfn.XLOOKUP(A269,Щиты[Щит],Щиты[Iкз max на шинах, кА],"")="","",IF(FL269&lt;_xlfn.XLOOKUP(A269,Щиты[Щит],Щиты[Iкз max на шинах, кА]),"Icu "&amp;FL269&amp;" кА &lt; Iкз max","ok")))</f>
        <v/>
      </c>
      <c r="FN269" t="str">
        <f t="shared" si="419"/>
        <v>QFD45|XT45</v>
      </c>
      <c r="FO269" t="str">
        <f t="shared" si="420"/>
        <v>QFD45|XT45|кабель ВВГнг(А)-LS (3х2,5) → Розеточная группа Первый этаж Пом. №021A</v>
      </c>
      <c r="FP269" t="str" cm="1">
        <f t="array" ref="FP269">IF(FO269="","",_xlfn.LET(_xlpm.nd,_xlfn.TEXTSPLIT(FO269,"|"),IF(COLUMNS(_xlpm.nd)&gt;1,A269&amp;"¦"&amp;INDEX(_xlpm.nd,1)&amp;"¦"&amp;INDEX(_xlpm.nd,2),"")))</f>
        <v>ЩР-1¦QFD45¦XT45</v>
      </c>
      <c r="FQ269" t="str">
        <f t="shared" si="421"/>
        <v>R.1.021A.11¦Розеточная группа Первый этаж Пом. №021A</v>
      </c>
      <c r="FR269" t="str" cm="1">
        <f t="array" ref="FR269">IF(FO269="","",_xlfn.LET(_xlpm.nd,_xlfn.TEXTSPLIT(FO269,"|"),IF(COLUMNS(_xlpm.nd)&gt;2,A269&amp;"¦"&amp;INDEX(_xlpm.nd,2)&amp;"¦"&amp;INDEX(_xlpm.nd,3),"")))</f>
        <v>ЩР-1¦XT45¦кабель ВВГнг(А)-LS (3х2,5) → Розеточная группа Первый этаж Пом. №021A</v>
      </c>
      <c r="FS269" t="str">
        <f t="shared" si="422"/>
        <v>R.1.021A.11¦Розеточная группа Первый этаж Пом. №021A</v>
      </c>
      <c r="FT269" t="str" cm="1">
        <f t="array" ref="FT269">IF(FO269="","",_xlfn.LET(_xlpm.nd,_xlfn.TEXTSPLIT(FO269,"|"),IF(COLUMNS(_xlpm.nd)&gt;3,A269&amp;"¦"&amp;INDEX(_xlpm.nd,3)&amp;"¦"&amp;INDEX(_xlpm.nd,4),"")))</f>
        <v/>
      </c>
      <c r="FU269" t="str">
        <f t="shared" si="423"/>
        <v/>
      </c>
      <c r="FV269" t="str" cm="1">
        <f t="array" ref="FV269">IF(FO269="","",_xlfn.LET(_xlpm.nd,_xlfn.TEXTSPLIT(FO269,"|"),IF(COLUMNS(_xlpm.nd)&gt;4,A269&amp;"¦"&amp;INDEX(_xlpm.nd,4)&amp;"¦"&amp;INDEX(_xlpm.nd,5),"")))</f>
        <v/>
      </c>
      <c r="FW269" t="str">
        <f t="shared" si="424"/>
        <v/>
      </c>
      <c r="FX269" t="str" cm="1">
        <f t="array" ref="FX269">IF(FO269="","",_xlfn.LET(_xlpm.nd,_xlfn.TEXTSPLIT(FO269,"|"),IF(COLUMNS(_xlpm.nd)&gt;5,A269&amp;"¦"&amp;INDEX(_xlpm.nd,5)&amp;"¦"&amp;INDEX(_xlpm.nd,6),"")))</f>
        <v/>
      </c>
      <c r="FY269" t="str">
        <f t="shared" si="425"/>
        <v/>
      </c>
      <c r="FZ269" t="str" cm="1">
        <f t="array" ref="FZ269">IF(FO269="","",_xlfn.LET(_xlpm.nd,_xlfn.TEXTSPLIT(FO269,"|"),IF(COLUMNS(_xlpm.nd)&gt;6,A269&amp;"¦"&amp;INDEX(_xlpm.nd,6)&amp;"¦"&amp;INDEX(_xlpm.nd,7),"")))</f>
        <v/>
      </c>
      <c r="GA269" t="str">
        <f t="shared" si="426"/>
        <v/>
      </c>
      <c r="GB269" t="str">
        <f t="shared" si="427"/>
        <v/>
      </c>
      <c r="GC269" t="str">
        <f t="shared" si="428"/>
        <v>QFD45 → XT45</v>
      </c>
      <c r="GD269">
        <f t="shared" si="429"/>
        <v>1</v>
      </c>
      <c r="GE269">
        <f t="shared" si="430"/>
        <v>0</v>
      </c>
      <c r="GF269">
        <f t="shared" si="431"/>
        <v>1</v>
      </c>
      <c r="GG269" t="str">
        <f t="shared" si="432"/>
        <v/>
      </c>
      <c r="GH269" t="str">
        <f t="shared" si="433"/>
        <v/>
      </c>
      <c r="GI269" t="str">
        <f t="shared" si="434"/>
        <v/>
      </c>
      <c r="GJ269" t="str">
        <f t="shared" si="435"/>
        <v/>
      </c>
      <c r="GK269" t="str">
        <f>IF(D269="","",IFERROR(VLOOKUP(D269,УГО_спр,2,FALSE),IFERROR(VLOOKUP(AT269,УГО_спр,2,FALSE),IFERROR(VLOOKUP(LEFT(AT269,2),УГО_спр,2,FALSE),""))))</f>
        <v>Розетка</v>
      </c>
      <c r="GL269" t="str">
        <f>IF(D269="","",IF(OR(GK269="",GK269=0),"BOX",IFERROR(IF(VLOOKUP(GK269,УГО_блоки,3,FALSE)&amp;""&lt;&gt;"",VLOOKUP(GK269,УГО_блоки,3,FALSE),VLOOKUP(GK269,УГО_блоки,2,FALSE)),GK269)))</f>
        <v>SOCKET</v>
      </c>
      <c r="GM269">
        <f t="shared" si="436"/>
        <v>1</v>
      </c>
      <c r="GN269" t="str">
        <f>IF(EP269="","",IF(COUNTIF(EP$3:EP269,EP269)=1,MAX(GN$2:GN268)+1,""))</f>
        <v/>
      </c>
      <c r="GO269" t="str">
        <f>IF(AF269="","",IF(COUNTIF(AF$3:AF269,AF269)+COUNTIF(AG$2:AG268,AF269)+COUNTIF(AH$2:AH268,AF269)=1,MAX(GO$2:GQ268)+1,""))</f>
        <v/>
      </c>
      <c r="GP269" t="str">
        <f>IF(AG269="","",IF(COUNTIF(AF$3:AF269,AG269)+COUNTIF(AG$3:AG269,AG269)+COUNTIF(AH$2:AH268,AG269)=1,MAX(GO$2:GQ268,GO269)+1,""))</f>
        <v/>
      </c>
      <c r="GQ269" t="str">
        <f>IF(AH269="","",IF(COUNTIF(AF$3:AF269,AH269)+COUNTIF(AG$3:AG269,AH269)+COUNTIF(AH$3:AH269,AH269)=1,MAX(GO$2:GQ268,GO269,GP269)+1,""))</f>
        <v/>
      </c>
      <c r="GR269" t="str">
        <f t="shared" si="437"/>
        <v>3х2,5</v>
      </c>
      <c r="GS269" t="str">
        <f>IF(GR269="","",IF(COUNTIF(GR$3:GR269,GR269)=1,MAX(GS$2:GS268)+1,""))</f>
        <v/>
      </c>
      <c r="GT269" t="str">
        <f>IF(ES269="","",COUNTIF(ES$3:ES269,"?*"))</f>
        <v/>
      </c>
      <c r="GU269" t="str">
        <f>IF(OR(ES269="",EU269=""),"",IF(COUNTIFS(ES$3:ES269,"?*",EU$3:EU269,EU269)=1,MAX(GU$2:GU268)+1,""))</f>
        <v/>
      </c>
      <c r="GV269">
        <f t="shared" si="438"/>
        <v>0</v>
      </c>
      <c r="GW269">
        <f>IF(D269="","",COUNTIF(D$3:D269,"?*"))</f>
        <v>267</v>
      </c>
      <c r="GX269">
        <f>IF(EX269&lt;&gt;1,0,_xlfn.LET(_xlpm.k,MAX(IFERROR(--VLOOKUP(D269,УГО_спр,5,FALSE),0),IFERROR(--VLOOKUP(AT269,УГО_спр,5,FALSE),0),IFERROR(--VLOOKUP(LEFT(AT269,2),УГО_спр,5,FALSE),0)),IF(_xlpm.k&gt;0,_xlpm.k,IF(IFERROR(--LEFT(SUBSTITUTE(GR269,"x","х"),FIND("х",SUBSTITUTE(GR269,"x","х"))-1),3)&gt;3,Каталог!$S$9,1))))</f>
        <v>1</v>
      </c>
      <c r="GY269">
        <f t="shared" si="439"/>
        <v>0</v>
      </c>
    </row>
    <row r="270" spans="1:207" x14ac:dyDescent="0.3">
      <c r="A270" t="s">
        <v>762</v>
      </c>
      <c r="B270">
        <v>60</v>
      </c>
      <c r="C270" t="str">
        <f>IF(BD270="","",IF(BE270="вводной узел","узел ","")&amp;"л."&amp;(INT((BD270-1)/Столбцов_на_лист)+1)&amp;" / "&amp;(MOD(BD270-1,Столбцов_на_лист)+1))</f>
        <v>л.4 / 9</v>
      </c>
      <c r="D270" t="s">
        <v>1595</v>
      </c>
      <c r="E270" s="133" t="s">
        <v>1596</v>
      </c>
      <c r="G270">
        <v>3.7</v>
      </c>
      <c r="H270">
        <v>1</v>
      </c>
      <c r="I270">
        <v>1</v>
      </c>
      <c r="J270">
        <v>230</v>
      </c>
      <c r="K270" t="s">
        <v>566</v>
      </c>
      <c r="O270">
        <v>2</v>
      </c>
      <c r="P270">
        <v>36</v>
      </c>
      <c r="Q270">
        <v>20</v>
      </c>
      <c r="R270">
        <v>19</v>
      </c>
      <c r="S270">
        <v>0</v>
      </c>
      <c r="U270" t="s">
        <v>11</v>
      </c>
      <c r="V270">
        <v>3</v>
      </c>
      <c r="W270">
        <v>4</v>
      </c>
      <c r="Z270" t="s">
        <v>565</v>
      </c>
      <c r="AA270" t="s">
        <v>818</v>
      </c>
      <c r="AD270" t="s">
        <v>517</v>
      </c>
      <c r="AR270" t="str">
        <f t="shared" si="353"/>
        <v>потери 4,3 % &gt; 4 %</v>
      </c>
      <c r="AS270" cm="1">
        <f t="array" ref="AS270">ROW()-ROW(Линии[#Headers])</f>
        <v>268</v>
      </c>
      <c r="AT270" t="str">
        <f t="shared" si="354"/>
        <v>R</v>
      </c>
      <c r="AU270" t="str">
        <f t="shared" si="355"/>
        <v>1.021A.2</v>
      </c>
      <c r="AV270" t="str">
        <f t="shared" si="356"/>
        <v>1</v>
      </c>
      <c r="AW270" t="str">
        <f t="shared" si="357"/>
        <v>021A.2</v>
      </c>
      <c r="AX270" t="str">
        <f t="shared" si="358"/>
        <v>021A</v>
      </c>
      <c r="AY270" t="str">
        <f>IF(D270="","",IF(ISERROR(SEARCH(".",D270)),IFERROR(VLOOKUP(D270,Потребители_обозначение,2,FALSE)&amp;"",""),IFERROR(IF(VLOOKUP(AT270,Потребители_обозначение,4,FALSE)=1,VLOOKUP(AT270,Потребители_обозначение,2,FALSE)&amp;" "&amp;VLOOKUP(AV270,Этаж_обозначение,2,FALSE)&amp;" Пом. №"&amp;AX270,VLOOKUP(AT270,Потребители_обозначение,2,FALSE)&amp;" Шлейф №"&amp;AV270),IFERROR(VLOOKUP(D270,Потребители_обозначение,2,FALSE),""))))</f>
        <v>Розеточная группа Первый этаж Пом. №021A</v>
      </c>
      <c r="AZ270" t="str">
        <f t="shared" si="359"/>
        <v>Розеточная группа Первый этаж Пом. №021A Духовой шкаф</v>
      </c>
      <c r="BA270" t="str">
        <f>IF(F270&lt;&gt;"",F270,IF(AND(D270&lt;&gt;"",D270&lt;&gt;A270,ISNUMBER(_xlfn.XMATCH(D270,Щиты[Щит]))),D270,""))</f>
        <v/>
      </c>
      <c r="BB270">
        <f>IFERROR(_xlfn.XMATCH(A270,Щиты[Щит]),0)</f>
        <v>10</v>
      </c>
      <c r="BC270">
        <f>IFERROR(N(_xlfn.XLOOKUP(A270,Щиты[Щит],Щиты[Мест под вводной узел])),15)</f>
        <v>8</v>
      </c>
      <c r="BD270">
        <f t="shared" si="360"/>
        <v>60</v>
      </c>
      <c r="BE270" t="str">
        <f t="shared" si="361"/>
        <v>линии</v>
      </c>
      <c r="BF270">
        <f>IF(D270="","",IF(BA270&lt;&gt;"",IFERROR(_xlfn.XLOOKUP(BA270,Щиты[Щит],Щиты[Руст, кВт]),0),N(G270)))</f>
        <v>3.7</v>
      </c>
      <c r="BG270">
        <f>IF(J270&lt;&gt;"",J270,IF(D270="","",IFERROR(IF(VLOOKUP(AT270,Потребители_обозначение,8,FALSE)=0,"",VLOOKUP(AT270,Потребители_обозначение,8,FALSE)),"")))</f>
        <v>230</v>
      </c>
      <c r="BH270">
        <f>IF(I270&lt;&gt;"",I270,IF(D270="","",IFERROR(IF(VLOOKUP(AT270,Потребители_обозначение,9,FALSE)=0,"",VLOOKUP(AT270,Потребители_обозначение,9,FALSE)),"")))</f>
        <v>1</v>
      </c>
      <c r="BI270" t="str">
        <f>IF(U270&lt;&gt;"",U270,IF(D270="","",IFERROR(IF(VLOOKUP(AT270,Потребители_обозначение,6,FALSE)=0,"",VLOOKUP(AT270,Потребители_обозначение,6,FALSE)),"")))</f>
        <v>мс</v>
      </c>
      <c r="BJ270">
        <f>IF(V270&lt;&gt;"",V270,IF(D270="","",IFERROR(IF(VLOOKUP(AT270,Потребители_обозначение,7,FALSE)=0,"",VLOOKUP(AT270,Потребители_обозначение,7,FALSE)),"")))</f>
        <v>3</v>
      </c>
      <c r="BK270">
        <f>IF(W270&lt;&gt;"",W270,IF(D270="","",IFERROR(IF(VLOOKUP(AT270,Потребители_обозначение,10,FALSE)=0,"",VLOOKUP(AT270,Потребители_обозначение,10,FALSE)),"")))</f>
        <v>4</v>
      </c>
      <c r="BL270">
        <f>IFERROR(VLOOKUP(AT270,Потребители_обозначение,5,FALSE),0)</f>
        <v>1</v>
      </c>
      <c r="BM270" cm="1">
        <f t="array" ref="BM270">IF(D270="","",IF(BA270&lt;&gt;"",IFERROR(_xlfn.XLOOKUP(BA270,Щиты[Щит],Щиты[cos φ]),0.95),IF(ISNUMBER(M270),M270,IFERROR(IF(BL270=2,_xlfn.IFS(BH270=3,VLOOKUP(BF270,Справочная_двигатели,8,FALSE),BH270=1,VLOOKUP(BF270,Справочная_двигатели,10,TRUE)),IF(AND(Методика="нормы 2026",CN270="Сил"),0.8,0.95)),0.95))))</f>
        <v>0.95</v>
      </c>
      <c r="BN270" cm="1">
        <f t="array" ref="BN270">IF(D270="","",IF(BA270&lt;&gt;"",IFERROR(_xlfn.XLOOKUP(BA270,Щиты[Щит],Щиты[Iр, А]),""),IFERROR(_xlfn.IFS(BH270=1,BF270/((Uн_лин/SQRT(3))*BM270),BH270=3,BF270/(SQRT(3)*Uн_лин*BM270)),"")))</f>
        <v>16.864705231591699</v>
      </c>
      <c r="BO270">
        <f>IF(D270="","",IF(N(X270)=0,IFERROR(VLOOKUP(BN270,Автомат_номиналы,2,TRUE),""),X270))</f>
        <v>20</v>
      </c>
      <c r="BP270">
        <f t="shared" si="362"/>
        <v>1</v>
      </c>
      <c r="BQ270">
        <f>IF(ISNUMBER(Y270),Y270,К_прокл)</f>
        <v>1</v>
      </c>
      <c r="BR270">
        <f t="shared" si="363"/>
        <v>2</v>
      </c>
      <c r="BS270" cm="1">
        <f t="array" ref="BS270">IF(D270="","",IF(N(BK270)&lt;&gt;0,BK270,IFERROR(_xlfn.LET(_xlpm.need,BO270/(BP270*BQ270),_xlpm.t,CHOOSE(BR270,Iдоп_1ж,Iдоп_2ж,Iдоп_3ж),_xlpm.k,_xlfn.XMATCH(_xlpm.need,_xlpm.t,1),IF(ISNA(_xlpm.k),"Не исп",INDEX(Iдоп_S,_xlpm.k))),"Не исп")))</f>
        <v>4</v>
      </c>
      <c r="BT270">
        <f>IFERROR(VLOOKUP(BS270,Кабель_сопротивление,3,FALSE),"")</f>
        <v>2.2499999999999999E-2</v>
      </c>
      <c r="BU270">
        <f>IFERROR(VLOOKUP(BS270,Кабель_сопротивление,2,FALSE),"")</f>
        <v>9.5000000000000001E-2</v>
      </c>
      <c r="BV270">
        <f t="shared" si="364"/>
        <v>36</v>
      </c>
      <c r="BW270">
        <f>IF(D270="","",IFERROR(IF(VLOOKUP(AT270,Потребители_обозначение,4,FALSE)=1,VLOOKUP(AT270,Потребители_обозначение,3,FALSE)*(H270*2-1)+BV270+VLOOKUP(AV270,Этаж_обозначение,3,FALSE)+VLOOKUP(AV270,Этаж_обозначение,4,FALSE),VLOOKUP(AT270,Потребители_обозначение,3,FALSE)*(H270*2-1)+BV270),BV270))</f>
        <v>39</v>
      </c>
      <c r="BX270">
        <f t="shared" si="365"/>
        <v>19</v>
      </c>
      <c r="BY270">
        <f t="shared" si="366"/>
        <v>0</v>
      </c>
      <c r="BZ270">
        <f t="shared" si="367"/>
        <v>2</v>
      </c>
      <c r="CA270">
        <f t="shared" si="368"/>
        <v>0.31</v>
      </c>
      <c r="CB270">
        <f t="shared" si="369"/>
        <v>7.0681598637303038</v>
      </c>
      <c r="CC270">
        <f>IFERROR(ROUNDUP(CB270/((Uн_лин/SQRT(3))*1000)*100,2),"")</f>
        <v>3.07</v>
      </c>
      <c r="CD270">
        <f>IF(ISNUMBER(CC270),CC270+IFERROR(_xlfn.XLOOKUP(A270,Щиты[Щит],Щиты[ΔU до шин, %]),0),"")</f>
        <v>4.32</v>
      </c>
      <c r="CE270">
        <f>IF(D270="","",IF(IFERROR(VLOOKUP(AT270,УГО_спр,2,FALSE),"")="Светильник",3,4)+IF(Методика="нормы 2026",MIN(0.5,MAX(0,N(BW270)-100)*0.005),0))</f>
        <v>4</v>
      </c>
      <c r="CF270" t="str">
        <f>IFERROR(VLOOKUP(BI270,Кабель_обозначение,2,FALSE),"")</f>
        <v>ВВГнг(А)-LS</v>
      </c>
      <c r="CG270" t="str">
        <f>IFERROR(IF(VLOOKUP(BI270,Кабель_обозначение,3,FALSE)=1,CF270&amp;" ("&amp;BJ270&amp;"х"&amp;BS270&amp;")",CF270),"")</f>
        <v>ВВГнг(А)-LS (3х4)</v>
      </c>
      <c r="CH270" t="str">
        <f t="shared" si="370"/>
        <v>ВВГнг(А)-LS (3х4)
L=39-3,07%</v>
      </c>
      <c r="CI270">
        <f>IFERROR(2*ρкз_Cu*BW270/BS270,"")</f>
        <v>0.51285000000000003</v>
      </c>
      <c r="CJ270">
        <f t="shared" si="371"/>
        <v>0.17062500000000003</v>
      </c>
      <c r="CK270" t="str">
        <f>IFERROR(IF(OR(D270="",NOT(ISNUMBER(BS270)),N(BW270)=0),"",_xlfn.XLOOKUP(A270,Щиты[Щит],Щиты[Zпетли на шинах, Ом])+CI270),"")</f>
        <v/>
      </c>
      <c r="CL270" t="str">
        <f>IF(ISNUMBER(CK270),c_min*(Uн_лин*1000/SQRT(3))/CK270,"")</f>
        <v/>
      </c>
      <c r="CM270" t="str">
        <f>IFERROR(IF(OR(D270="",NOT(ISNUMBER(BS270))),"",1.05*(Uн_лин*1000/SQRT(3))/(_xlfn.XLOOKUP(A270,Щиты[Щит],Щиты[Zmax на шинах, Ом])+CJ270)/1000),"")</f>
        <v/>
      </c>
      <c r="CN270" t="str">
        <f>IF(D270="","",IF(BA270&lt;&gt;"","Щит",IF(K270&lt;&gt;"",K270,IF(ISNUMBER(L270),"Сил",IF(IFERROR(_xlfn.XLOOKUP(AT270,Коды_код,Коды_группа)&amp;"","")="","Быт",_xlfn.XLOOKUP(AT270,Коды_код,Коды_группа)&amp;"")))))</f>
        <v>Быт</v>
      </c>
      <c r="CO270">
        <f>IF(CN270="Щит","щит",IF(CN270="","",IF(CN270="Быт",IFERROR(_xlfn.XLOOKUP(A270,Щиты[Щит],Щиты[Кс быт]),1),IF(CN270="Сил",IF(ISNUMBER(L270),L270,IF(Методика="нормы 2026",IFERROR(_xlfn.XLOOKUP(A270,Щиты[Щит],Щиты[Кс силовых (табл. 7.5)]),1),1)),IF(OR(CN270="Пост",CN270="Отоп"),1,IF(CN270="ВНГ",0.7,0))))))</f>
        <v>0.57830000000000004</v>
      </c>
      <c r="CP270">
        <f t="shared" si="372"/>
        <v>1</v>
      </c>
      <c r="CQ270">
        <f t="shared" si="373"/>
        <v>3.7</v>
      </c>
      <c r="CR270">
        <f t="shared" si="374"/>
        <v>3.7</v>
      </c>
      <c r="CS270">
        <f t="shared" si="375"/>
        <v>0</v>
      </c>
      <c r="CT270">
        <f t="shared" si="376"/>
        <v>0</v>
      </c>
      <c r="CU270">
        <f t="shared" si="377"/>
        <v>0</v>
      </c>
      <c r="CV270">
        <f t="shared" si="378"/>
        <v>0</v>
      </c>
      <c r="CW270">
        <f t="shared" si="379"/>
        <v>3.7</v>
      </c>
      <c r="CX270">
        <f t="shared" si="380"/>
        <v>3.5150000000000001</v>
      </c>
      <c r="CY270">
        <f t="shared" si="381"/>
        <v>1</v>
      </c>
      <c r="CZ270" t="str">
        <f t="shared" si="382"/>
        <v>L1</v>
      </c>
      <c r="DA270" cm="1">
        <f t="array" ref="DA270">IFERROR(IF(BL270=2,_xlfn.IFS(BH270=3,VLOOKUP(BF270,Справочная_двигатели,3,FALSE),BH270=1,VLOOKUP(BF270,Справочная_двигатели,5,TRUE)),0),0)</f>
        <v>0</v>
      </c>
      <c r="DB270">
        <f>IFERROR(IF(BL270=3,VLOOKUP(BF270,Справочная_ЛЭД,2,TRUE),0),0)</f>
        <v>0</v>
      </c>
      <c r="DC270">
        <f t="shared" si="383"/>
        <v>0</v>
      </c>
      <c r="DD270" t="str">
        <f t="shared" si="384"/>
        <v>L2</v>
      </c>
      <c r="DE270" t="str" cm="1">
        <f t="array" ref="DE270">IF(D270="","",IFERROR(INDEX({"I особая","I","II","III"},MATCH(TRIM(AA270&amp;""),{"I особая","I","II","III"},0)),"III"))</f>
        <v>II</v>
      </c>
      <c r="DF270" t="str">
        <f>IF(D270="","",IF(TRIM(AB270&amp;"")&lt;&gt;"",IF(LOWER(TRIM(AB270&amp;""))="да","да","нет"),IF(IFERROR(_xlfn.XLOOKUP(AT270,Коды_код,Коды_пожарная),"")="да","да","нет")))</f>
        <v>нет</v>
      </c>
      <c r="DG270" t="str">
        <f t="shared" si="385"/>
        <v/>
      </c>
      <c r="DH270" t="str">
        <f t="shared" si="386"/>
        <v>основная</v>
      </c>
      <c r="DI270">
        <f t="shared" si="387"/>
        <v>1</v>
      </c>
      <c r="DJ270" t="str" cm="1">
        <f t="array" ref="DJ270">IF(D270="","",_xlfn.LET(_xlpm.t,IFERROR(_xlfn.XLOOKUP(1,(Шины[Шина]=DH270)*(((Шины[Щит]=A270)+(Шины[Щит]=""))&gt;0),Шины[Тип]),"")&amp;"",IF(_xlpm.t&lt;&gt;"",_xlpm.t,IF(ISNUMBER(SEARCH("ИБП",DH270)),"ИБП",IF(ISNUMBER(SEARCH("ДГУ",DH270)),"ДГУ","Ввод "&amp;DI270)))))</f>
        <v>Ввод 1</v>
      </c>
      <c r="DK270" t="str">
        <f t="shared" si="388"/>
        <v>Ввод 1</v>
      </c>
      <c r="DL270" t="str">
        <f>IF(D270="","",IF(OR(DJ270="ИБП",DJ270="ДГУ"),"I особая",IF(DJ270="Одиночная","III",_xlfn.XLOOKUP(A270,Щиты[Щит],Щиты[Категория шины «Ввод»],"III"))))</f>
        <v>II</v>
      </c>
      <c r="DM270">
        <f>IF(D270="",0,IFERROR(MATCH(DE270,{"III","II","I","I особая"},0),1))</f>
        <v>2</v>
      </c>
      <c r="DN270">
        <f t="shared" si="389"/>
        <v>2</v>
      </c>
      <c r="DO270" t="str">
        <f>IF(D270="","",IF(DM270&gt;IFERROR(MATCH(DL270,{"III","II","I","I особая"},0),1),"НЕ ОБЕСПЕЧЕНА","ОК"))</f>
        <v>ОК</v>
      </c>
      <c r="DP270" t="str">
        <f>IF(A270="","",_xlfn.XLOOKUP(A270,Щиты[Щит],Щиты[Путь],""))</f>
        <v>|ГРЩ-ЖД|ЩР-1|</v>
      </c>
      <c r="DQ270" t="str">
        <f>IF(D270="","",IF(Z270&lt;&gt;"",Z270,IF(IFERROR(_xlfn.XLOOKUP(AT270,Коды_код,Коды_вид)&amp;"","")="","Прочее",_xlfn.XLOOKUP(AT270,Коды_код,Коды_вид)&amp;"")))</f>
        <v>Розеточная сеть и бытовые приборы</v>
      </c>
      <c r="DR270">
        <f>IF(BD270="","",INT((BD270-1)/Столбцов_на_лист)+1)</f>
        <v>4</v>
      </c>
      <c r="DS270" t="str">
        <f t="shared" si="390"/>
        <v>ВВГнг(А)-LS (3х4) L=39-3,07%</v>
      </c>
      <c r="DT270">
        <f t="shared" si="391"/>
        <v>3.7</v>
      </c>
      <c r="DU270">
        <f t="shared" si="392"/>
        <v>16.87</v>
      </c>
      <c r="DV270">
        <f t="shared" si="393"/>
        <v>1</v>
      </c>
      <c r="DW270">
        <f>IF(AT270="",0,_xlfn.LET(_xlpm.v,IFERROR(VLOOKUP(D270,УГО_спр,3,FALSE),IFERROR(VLOOKUP(AT270,УГО_спр,3,FALSE),IFERROR(VLOOKUP(LEFT(AT270,2),УГО_спр,3,FALSE),""))),IF(_xlpm.v="да",30,IF(ISNUMBER(_xlpm.v),_xlpm.v,0))))</f>
        <v>30</v>
      </c>
      <c r="DX270">
        <f t="shared" si="394"/>
        <v>0</v>
      </c>
      <c r="DY270">
        <f>IF(BD270="","",IF(AD270&lt;&gt;"",COUNTIFS(A$3:A270,A270,AD$3:AD270,"?*"),IF(OR(OR(AS270=1,A270&lt;&gt;A269),AL270="вручную"),"",IF(AS270=1,"",DZ269))))</f>
        <v>46</v>
      </c>
      <c r="DZ270">
        <f t="shared" si="395"/>
        <v>46</v>
      </c>
      <c r="EA270">
        <f>IF(D270="",0,MAX(IFERROR(--X270,0),IFERROR(--VLOOKUP(D270,УГО_спр,4,FALSE),IFERROR(--VLOOKUP(AT270,УГО_спр,4,FALSE),IFERROR(--VLOOKUP(LEFT(AT270,2),УГО_спр,4,FALSE),0)))))</f>
        <v>16</v>
      </c>
      <c r="EB270">
        <f>IF(D270="","",IFERROR(LOOKUP(INDEX(CHOOSE(BR270,Iдоп_1ж,Iдоп_2ж,Iдоп_3ж),MATCH(BS270,Iдоп_S,0))*BP270*BQ270,{6,10,16,20,25,32,40,50,63,80,100,125,160,200,250,315,400,500,630}),""))</f>
        <v>32</v>
      </c>
      <c r="EC270">
        <f>IF(AD270="","",SUMIFS(Линии[_Ток схемы],Линии[_гр.],DY270,Линии[Щит],A270,Линии[_в кабель выше],0))</f>
        <v>16.87</v>
      </c>
      <c r="ED270">
        <f>IF(AD270="","",IFERROR(VLOOKUP(EC270,Автомат_номиналы,2,TRUE),""))</f>
        <v>20</v>
      </c>
      <c r="EE270">
        <f>IF(AD270="","",MAX(N(ED270),_xlfn.MAXIFS(Линии[_мин. по типу],Линии[_гр.],DY270,Линии[Щит],A270)))</f>
        <v>20</v>
      </c>
      <c r="EF270">
        <f>IF(AD270="","",_xlfn.MINIFS(Линии[_макс. автомат по кабелю],Линии[_гр.],DY270,Линии[Щит],A270))</f>
        <v>32</v>
      </c>
      <c r="EG270">
        <f>IF(AD270="","",MAX(1,_xlfn.MAXIFS(Линии[_фаз],Линии[_гр.],DY270,Линии[Щит],A270)))</f>
        <v>1</v>
      </c>
      <c r="EH270">
        <f>IF(AD270="","",IF(AND(AD270&lt;&gt;"авто",AD270&lt;&gt;"+"),IF(ISNUMBER(SEARCH("мА",AD270)),IFERROR(--TRIM(RIGHT(SUBSTITUTE(LEFT(AD270,SEARCH("мА",AD270)-1)," ",REPT(" ",9)),6)),30),0),IF(AE270="нет",0,IF(ISNUMBER(AE270),AE270,IF(AE270="да",30,_xlfn.MINIFS(Линии[_дифзащита по коду, мА],Линии[_гр.],DY270,Линии[Щит],A270,Линии[_дифзащита по коду, мА],"&gt;0"))))))</f>
        <v>30</v>
      </c>
      <c r="EI270">
        <f t="shared" si="396"/>
        <v>1</v>
      </c>
      <c r="EJ270" t="str">
        <f t="shared" si="397"/>
        <v>QFD46</v>
      </c>
      <c r="EK270" t="str">
        <f t="shared" si="398"/>
        <v>QFD46</v>
      </c>
      <c r="EL270" t="str">
        <f t="shared" si="399"/>
        <v/>
      </c>
      <c r="EM270">
        <f t="shared" si="400"/>
        <v>0</v>
      </c>
      <c r="EN270">
        <f>IF(AD270="","",IF(EM270=1,MAX(EE270,Мин_автомат_БП),EE270))</f>
        <v>20</v>
      </c>
      <c r="EO270" t="str">
        <f t="shared" si="401"/>
        <v>2P</v>
      </c>
      <c r="EP270" t="str">
        <f t="shared" si="402"/>
        <v>2P С20А 30мА</v>
      </c>
      <c r="EQ270">
        <f t="shared" si="403"/>
        <v>20</v>
      </c>
      <c r="ER270" t="str">
        <f>IF(OR(AI270="",AI270="-"),"",IFERROR(VLOOKUP(AI270,Модули_спр,2,FALSE),"R"))</f>
        <v/>
      </c>
      <c r="ES270" t="str">
        <f>IF(ER270="","",ER270&amp;"."&amp;COUNTIFS(A$3:A270,A270,ER$3:ER270,ER270))</f>
        <v/>
      </c>
      <c r="ET270" t="str">
        <f t="shared" si="404"/>
        <v/>
      </c>
      <c r="EU270" t="str">
        <f t="shared" si="405"/>
        <v/>
      </c>
      <c r="EV270" t="str">
        <f t="shared" si="406"/>
        <v/>
      </c>
      <c r="EW270" t="str">
        <f t="shared" si="407"/>
        <v/>
      </c>
      <c r="EX270">
        <f t="shared" si="408"/>
        <v>1</v>
      </c>
      <c r="EY270" t="str">
        <f>IF(AK270="нет","",IF(AK270&lt;&gt;"",AK270,IF(EX270=1,"XT"&amp;COUNTIFS(A$3:A270,A270,EX$3:EX270,1),"")))</f>
        <v>XT46</v>
      </c>
      <c r="EZ270" t="str">
        <f t="shared" si="409"/>
        <v>QFD46</v>
      </c>
      <c r="FA270" t="str">
        <f t="shared" si="410"/>
        <v/>
      </c>
      <c r="FB270" t="str">
        <f t="shared" si="411"/>
        <v>ok</v>
      </c>
      <c r="FC270" t="str">
        <f>IF(OR(EV270="",ET270=""),"",IF(EV270&gt;IFERROR(VLOOKUP(EU270,Модули_спр,3,FALSE),99),"ЛИШНИЙ КАНАЛ",IF(AND(AJ270&lt;&gt;"=",COUNTIFS(Линии[_модуль гр.],ET270,Линии[Канал (итог)],EV270,Линии[Канал],"&lt;&gt;=",Линии[Щит],A270)&gt;1),"ДУБЛЬ КАНАЛА","")))</f>
        <v/>
      </c>
      <c r="FD270">
        <f t="shared" si="412"/>
        <v>20</v>
      </c>
      <c r="FE270" t="str">
        <f t="shared" si="413"/>
        <v>2P С20А 30мА</v>
      </c>
      <c r="FF270">
        <f t="shared" si="414"/>
        <v>1</v>
      </c>
      <c r="FG270">
        <f t="shared" si="415"/>
        <v>30</v>
      </c>
      <c r="FH270" t="str">
        <f t="shared" si="416"/>
        <v/>
      </c>
      <c r="FI270">
        <f t="shared" si="417"/>
        <v>10</v>
      </c>
      <c r="FJ270" t="str">
        <f t="shared" si="418"/>
        <v/>
      </c>
      <c r="FK270" t="str">
        <f>IF(AND(D270="",EZ270=""),"",_xlfn.TEXTJOIN("; ",TRUE,IF(AND(D270&lt;&gt;"",DD270=""),"нет фазы",""),IF(AND(D270&lt;&gt;"",N(DT270)=0,CN270&lt;&gt;"Нет"),"нет мощности",""),IF(AND(EY270&lt;&gt;"",COUNTIFS(Линии[Щит],A270,Линии[Клемма (итог)],EY270)&gt;1),"дубль клеммы "&amp;EY270,""),IF(AND(FB270&lt;&gt;"",FB270&lt;&gt;"ok"),FB270,""),IF(FC270&lt;&gt;"",FC270,""),IF(AND(ISNUMBER(SEARCH("(5х",DS270)),N(DV270)=1),"5 жил на 1 фазе",""),IF(AND(AT270="R",AD270&lt;&gt;"",OR(N(EH270)=0,N(EH270)&gt;30)),"розетка без дифзащиты до 30 мА",""),IFERROR(IF(AND(ISNUMBER(CD270),CD270&gt;CE270),"потери "&amp;FIXED(CD270,1)&amp;" % &gt; "&amp;CE270&amp;" %",""),""),IFERROR(IF(LEFT(FJ270,4)="мало","Iкз мало — отключение &gt; 0,4 с",""),""),IF(AND(D270&lt;&gt;"",BD270=""),"не на схеме","")))</f>
        <v>потери 4,3 % &gt; 4 %</v>
      </c>
      <c r="FL270">
        <f>IF(AD270="","",_xlfn.LET(_xlpm.t,IFERROR(_xlfn.XLOOKUP(EP270,Каталог!$U$4:$U$500,Каталог!$G$4:$G$500),""),_xlpm.k,SEARCH("кА",_xlpm.t),IFERROR(--TRIM(RIGHT(SUBSTITUTE(MID(_xlpm.t,MAX(1,_xlpm.k-4),_xlpm.k-MAX(1,_xlpm.k-4))," ",REPT(" ",9)),5)),"")))</f>
        <v>6</v>
      </c>
      <c r="FM270" t="str">
        <f>IF(OR(FL270="",AD270=""),"",IF(_xlfn.XLOOKUP(A270,Щиты[Щит],Щиты[Iкз max на шинах, кА],"")="","",IF(FL270&lt;_xlfn.XLOOKUP(A270,Щиты[Щит],Щиты[Iкз max на шинах, кА]),"Icu "&amp;FL270&amp;" кА &lt; Iкз max","ok")))</f>
        <v/>
      </c>
      <c r="FN270" t="str">
        <f t="shared" si="419"/>
        <v>QFD46|XT46</v>
      </c>
      <c r="FO270" t="str">
        <f t="shared" si="420"/>
        <v>QFD46|XT46|кабель ВВГнг(А)-LS (3х4) → Розеточная группа Первый этаж Пом. №021A Духовой шкаф</v>
      </c>
      <c r="FP270" t="str" cm="1">
        <f t="array" ref="FP270">IF(FO270="","",_xlfn.LET(_xlpm.nd,_xlfn.TEXTSPLIT(FO270,"|"),IF(COLUMNS(_xlpm.nd)&gt;1,A270&amp;"¦"&amp;INDEX(_xlpm.nd,1)&amp;"¦"&amp;INDEX(_xlpm.nd,2),"")))</f>
        <v>ЩР-1¦QFD46¦XT46</v>
      </c>
      <c r="FQ270" t="str">
        <f t="shared" si="421"/>
        <v>R.1.021A.2¦Розеточная группа Первый этаж Пом. №021A Духовой шкаф</v>
      </c>
      <c r="FR270" t="str" cm="1">
        <f t="array" ref="FR270">IF(FO270="","",_xlfn.LET(_xlpm.nd,_xlfn.TEXTSPLIT(FO270,"|"),IF(COLUMNS(_xlpm.nd)&gt;2,A270&amp;"¦"&amp;INDEX(_xlpm.nd,2)&amp;"¦"&amp;INDEX(_xlpm.nd,3),"")))</f>
        <v>ЩР-1¦XT46¦кабель ВВГнг(А)-LS (3х4) → Розеточная группа Первый этаж Пом. №021A Духовой шкаф</v>
      </c>
      <c r="FS270" t="str">
        <f t="shared" si="422"/>
        <v>R.1.021A.2¦Розеточная группа Первый этаж Пом. №021A Духовой шкаф</v>
      </c>
      <c r="FT270" t="str" cm="1">
        <f t="array" ref="FT270">IF(FO270="","",_xlfn.LET(_xlpm.nd,_xlfn.TEXTSPLIT(FO270,"|"),IF(COLUMNS(_xlpm.nd)&gt;3,A270&amp;"¦"&amp;INDEX(_xlpm.nd,3)&amp;"¦"&amp;INDEX(_xlpm.nd,4),"")))</f>
        <v/>
      </c>
      <c r="FU270" t="str">
        <f t="shared" si="423"/>
        <v/>
      </c>
      <c r="FV270" t="str" cm="1">
        <f t="array" ref="FV270">IF(FO270="","",_xlfn.LET(_xlpm.nd,_xlfn.TEXTSPLIT(FO270,"|"),IF(COLUMNS(_xlpm.nd)&gt;4,A270&amp;"¦"&amp;INDEX(_xlpm.nd,4)&amp;"¦"&amp;INDEX(_xlpm.nd,5),"")))</f>
        <v/>
      </c>
      <c r="FW270" t="str">
        <f t="shared" si="424"/>
        <v/>
      </c>
      <c r="FX270" t="str" cm="1">
        <f t="array" ref="FX270">IF(FO270="","",_xlfn.LET(_xlpm.nd,_xlfn.TEXTSPLIT(FO270,"|"),IF(COLUMNS(_xlpm.nd)&gt;5,A270&amp;"¦"&amp;INDEX(_xlpm.nd,5)&amp;"¦"&amp;INDEX(_xlpm.nd,6),"")))</f>
        <v/>
      </c>
      <c r="FY270" t="str">
        <f t="shared" si="425"/>
        <v/>
      </c>
      <c r="FZ270" t="str" cm="1">
        <f t="array" ref="FZ270">IF(FO270="","",_xlfn.LET(_xlpm.nd,_xlfn.TEXTSPLIT(FO270,"|"),IF(COLUMNS(_xlpm.nd)&gt;6,A270&amp;"¦"&amp;INDEX(_xlpm.nd,6)&amp;"¦"&amp;INDEX(_xlpm.nd,7),"")))</f>
        <v/>
      </c>
      <c r="GA270" t="str">
        <f t="shared" si="426"/>
        <v/>
      </c>
      <c r="GB270" t="str">
        <f t="shared" si="427"/>
        <v/>
      </c>
      <c r="GC270" t="str">
        <f t="shared" si="428"/>
        <v>QFD46 → XT46</v>
      </c>
      <c r="GD270">
        <f t="shared" si="429"/>
        <v>1</v>
      </c>
      <c r="GE270">
        <f t="shared" si="430"/>
        <v>0</v>
      </c>
      <c r="GF270">
        <f t="shared" si="431"/>
        <v>1</v>
      </c>
      <c r="GG270" t="str">
        <f t="shared" si="432"/>
        <v/>
      </c>
      <c r="GH270" t="str">
        <f t="shared" si="433"/>
        <v/>
      </c>
      <c r="GI270" t="str">
        <f t="shared" si="434"/>
        <v/>
      </c>
      <c r="GJ270" t="str">
        <f t="shared" si="435"/>
        <v/>
      </c>
      <c r="GK270" t="str">
        <f>IF(D270="","",IFERROR(VLOOKUP(D270,УГО_спр,2,FALSE),IFERROR(VLOOKUP(AT270,УГО_спр,2,FALSE),IFERROR(VLOOKUP(LEFT(AT270,2),УГО_спр,2,FALSE),""))))</f>
        <v>Розетка</v>
      </c>
      <c r="GL270" t="str">
        <f>IF(D270="","",IF(OR(GK270="",GK270=0),"BOX",IFERROR(IF(VLOOKUP(GK270,УГО_блоки,3,FALSE)&amp;""&lt;&gt;"",VLOOKUP(GK270,УГО_блоки,3,FALSE),VLOOKUP(GK270,УГО_блоки,2,FALSE)),GK270)))</f>
        <v>SOCKET</v>
      </c>
      <c r="GM270">
        <f t="shared" si="436"/>
        <v>1</v>
      </c>
      <c r="GN270" t="str">
        <f>IF(EP270="","",IF(COUNTIF(EP$3:EP270,EP270)=1,MAX(GN$2:GN269)+1,""))</f>
        <v/>
      </c>
      <c r="GO270" t="str">
        <f>IF(AF270="","",IF(COUNTIF(AF$3:AF270,AF270)+COUNTIF(AG$2:AG269,AF270)+COUNTIF(AH$2:AH269,AF270)=1,MAX(GO$2:GQ269)+1,""))</f>
        <v/>
      </c>
      <c r="GP270" t="str">
        <f>IF(AG270="","",IF(COUNTIF(AF$3:AF270,AG270)+COUNTIF(AG$3:AG270,AG270)+COUNTIF(AH$2:AH269,AG270)=1,MAX(GO$2:GQ269,GO270)+1,""))</f>
        <v/>
      </c>
      <c r="GQ270" t="str">
        <f>IF(AH270="","",IF(COUNTIF(AF$3:AF270,AH270)+COUNTIF(AG$3:AG270,AH270)+COUNTIF(AH$3:AH270,AH270)=1,MAX(GO$2:GQ269,GO270,GP270)+1,""))</f>
        <v/>
      </c>
      <c r="GR270" t="str">
        <f t="shared" si="437"/>
        <v>3х4</v>
      </c>
      <c r="GS270" t="str">
        <f>IF(GR270="","",IF(COUNTIF(GR$3:GR270,GR270)=1,MAX(GS$2:GS269)+1,""))</f>
        <v/>
      </c>
      <c r="GT270" t="str">
        <f>IF(ES270="","",COUNTIF(ES$3:ES270,"?*"))</f>
        <v/>
      </c>
      <c r="GU270" t="str">
        <f>IF(OR(ES270="",EU270=""),"",IF(COUNTIFS(ES$3:ES270,"?*",EU$3:EU270,EU270)=1,MAX(GU$2:GU269)+1,""))</f>
        <v/>
      </c>
      <c r="GV270">
        <f t="shared" si="438"/>
        <v>1</v>
      </c>
      <c r="GW270">
        <f>IF(D270="","",COUNTIF(D$3:D270,"?*"))</f>
        <v>268</v>
      </c>
      <c r="GX270">
        <f>IF(EX270&lt;&gt;1,0,_xlfn.LET(_xlpm.k,MAX(IFERROR(--VLOOKUP(D270,УГО_спр,5,FALSE),0),IFERROR(--VLOOKUP(AT270,УГО_спр,5,FALSE),0),IFERROR(--VLOOKUP(LEFT(AT270,2),УГО_спр,5,FALSE),0)),IF(_xlpm.k&gt;0,_xlpm.k,IF(IFERROR(--LEFT(SUBSTITUTE(GR270,"x","х"),FIND("х",SUBSTITUTE(GR270,"x","х"))-1),3)&gt;3,Каталог!$S$9,1))))</f>
        <v>1</v>
      </c>
      <c r="GY270">
        <f t="shared" si="439"/>
        <v>0</v>
      </c>
    </row>
    <row r="271" spans="1:207" x14ac:dyDescent="0.3">
      <c r="A271" t="s">
        <v>762</v>
      </c>
      <c r="B271">
        <v>61</v>
      </c>
      <c r="C271" t="str">
        <f>IF(BD271="","",IF(BE271="вводной узел","узел ","")&amp;"л."&amp;(INT((BD271-1)/Столбцов_на_лист)+1)&amp;" / "&amp;(MOD(BD271-1,Столбцов_на_лист)+1))</f>
        <v>л.4 / 10</v>
      </c>
      <c r="D271" t="s">
        <v>1597</v>
      </c>
      <c r="E271" s="133" t="s">
        <v>1598</v>
      </c>
      <c r="G271">
        <v>1.6</v>
      </c>
      <c r="H271">
        <v>1</v>
      </c>
      <c r="I271">
        <v>1</v>
      </c>
      <c r="J271">
        <v>230</v>
      </c>
      <c r="K271" t="s">
        <v>566</v>
      </c>
      <c r="O271">
        <v>3</v>
      </c>
      <c r="P271">
        <v>36</v>
      </c>
      <c r="Q271">
        <v>20</v>
      </c>
      <c r="R271">
        <v>19</v>
      </c>
      <c r="S271">
        <v>0</v>
      </c>
      <c r="U271" t="s">
        <v>11</v>
      </c>
      <c r="V271">
        <v>3</v>
      </c>
      <c r="W271">
        <v>2.5</v>
      </c>
      <c r="Z271" t="s">
        <v>565</v>
      </c>
      <c r="AA271" t="s">
        <v>818</v>
      </c>
      <c r="AD271" t="s">
        <v>517</v>
      </c>
      <c r="AR271" t="str">
        <f t="shared" si="353"/>
        <v/>
      </c>
      <c r="AS271" cm="1">
        <f t="array" ref="AS271">ROW()-ROW(Линии[#Headers])</f>
        <v>269</v>
      </c>
      <c r="AT271" t="str">
        <f t="shared" si="354"/>
        <v>R</v>
      </c>
      <c r="AU271" t="str">
        <f t="shared" si="355"/>
        <v>1.021A.3</v>
      </c>
      <c r="AV271" t="str">
        <f t="shared" si="356"/>
        <v>1</v>
      </c>
      <c r="AW271" t="str">
        <f t="shared" si="357"/>
        <v>021A.3</v>
      </c>
      <c r="AX271" t="str">
        <f t="shared" si="358"/>
        <v>021A</v>
      </c>
      <c r="AY271" t="str">
        <f>IF(D271="","",IF(ISERROR(SEARCH(".",D271)),IFERROR(VLOOKUP(D271,Потребители_обозначение,2,FALSE)&amp;"",""),IFERROR(IF(VLOOKUP(AT271,Потребители_обозначение,4,FALSE)=1,VLOOKUP(AT271,Потребители_обозначение,2,FALSE)&amp;" "&amp;VLOOKUP(AV271,Этаж_обозначение,2,FALSE)&amp;" Пом. №"&amp;AX271,VLOOKUP(AT271,Потребители_обозначение,2,FALSE)&amp;" Шлейф №"&amp;AV271),IFERROR(VLOOKUP(D271,Потребители_обозначение,2,FALSE),""))))</f>
        <v>Розеточная группа Первый этаж Пом. №021A</v>
      </c>
      <c r="AZ271" t="str">
        <f t="shared" si="359"/>
        <v>Розеточная группа Первый этаж Пом. №021A Микроволновая печь</v>
      </c>
      <c r="BA271" t="str">
        <f>IF(F271&lt;&gt;"",F271,IF(AND(D271&lt;&gt;"",D271&lt;&gt;A271,ISNUMBER(_xlfn.XMATCH(D271,Щиты[Щит]))),D271,""))</f>
        <v/>
      </c>
      <c r="BB271">
        <f>IFERROR(_xlfn.XMATCH(A271,Щиты[Щит]),0)</f>
        <v>10</v>
      </c>
      <c r="BC271">
        <f>IFERROR(N(_xlfn.XLOOKUP(A271,Щиты[Щит],Щиты[Мест под вводной узел])),15)</f>
        <v>8</v>
      </c>
      <c r="BD271">
        <f t="shared" si="360"/>
        <v>61</v>
      </c>
      <c r="BE271" t="str">
        <f t="shared" si="361"/>
        <v>линии</v>
      </c>
      <c r="BF271">
        <f>IF(D271="","",IF(BA271&lt;&gt;"",IFERROR(_xlfn.XLOOKUP(BA271,Щиты[Щит],Щиты[Руст, кВт]),0),N(G271)))</f>
        <v>1.6</v>
      </c>
      <c r="BG271">
        <f>IF(J271&lt;&gt;"",J271,IF(D271="","",IFERROR(IF(VLOOKUP(AT271,Потребители_обозначение,8,FALSE)=0,"",VLOOKUP(AT271,Потребители_обозначение,8,FALSE)),"")))</f>
        <v>230</v>
      </c>
      <c r="BH271">
        <f>IF(I271&lt;&gt;"",I271,IF(D271="","",IFERROR(IF(VLOOKUP(AT271,Потребители_обозначение,9,FALSE)=0,"",VLOOKUP(AT271,Потребители_обозначение,9,FALSE)),"")))</f>
        <v>1</v>
      </c>
      <c r="BI271" t="str">
        <f>IF(U271&lt;&gt;"",U271,IF(D271="","",IFERROR(IF(VLOOKUP(AT271,Потребители_обозначение,6,FALSE)=0,"",VLOOKUP(AT271,Потребители_обозначение,6,FALSE)),"")))</f>
        <v>мс</v>
      </c>
      <c r="BJ271">
        <f>IF(V271&lt;&gt;"",V271,IF(D271="","",IFERROR(IF(VLOOKUP(AT271,Потребители_обозначение,7,FALSE)=0,"",VLOOKUP(AT271,Потребители_обозначение,7,FALSE)),"")))</f>
        <v>3</v>
      </c>
      <c r="BK271">
        <f>IF(W271&lt;&gt;"",W271,IF(D271="","",IFERROR(IF(VLOOKUP(AT271,Потребители_обозначение,10,FALSE)=0,"",VLOOKUP(AT271,Потребители_обозначение,10,FALSE)),"")))</f>
        <v>2.5</v>
      </c>
      <c r="BL271">
        <f>IFERROR(VLOOKUP(AT271,Потребители_обозначение,5,FALSE),0)</f>
        <v>1</v>
      </c>
      <c r="BM271" cm="1">
        <f t="array" ref="BM271">IF(D271="","",IF(BA271&lt;&gt;"",IFERROR(_xlfn.XLOOKUP(BA271,Щиты[Щит],Щиты[cos φ]),0.95),IF(ISNUMBER(M271),M271,IFERROR(IF(BL271=2,_xlfn.IFS(BH271=3,VLOOKUP(BF271,Справочная_двигатели,8,FALSE),BH271=1,VLOOKUP(BF271,Справочная_двигатели,10,TRUE)),IF(AND(Методика="нормы 2026",CN271="Сил"),0.8,0.95)),0.95))))</f>
        <v>0.95</v>
      </c>
      <c r="BN271" cm="1">
        <f t="array" ref="BN271">IF(D271="","",IF(BA271&lt;&gt;"",IFERROR(_xlfn.XLOOKUP(BA271,Щиты[Щит],Щиты[Iр, А]),""),IFERROR(_xlfn.IFS(BH271=1,BF271/((Uн_лин/SQRT(3))*BM271),BH271=3,BF271/(SQRT(3)*Uн_лин*BM271)),"")))</f>
        <v>7.292845505553168</v>
      </c>
      <c r="BO271">
        <f>IF(D271="","",IF(N(X271)=0,IFERROR(VLOOKUP(BN271,Автомат_номиналы,2,TRUE),""),X271))</f>
        <v>10</v>
      </c>
      <c r="BP271">
        <f t="shared" si="362"/>
        <v>1</v>
      </c>
      <c r="BQ271">
        <f>IF(ISNUMBER(Y271),Y271,К_прокл)</f>
        <v>1</v>
      </c>
      <c r="BR271">
        <f t="shared" si="363"/>
        <v>2</v>
      </c>
      <c r="BS271" cm="1">
        <f t="array" ref="BS271">IF(D271="","",IF(N(BK271)&lt;&gt;0,BK271,IFERROR(_xlfn.LET(_xlpm.need,BO271/(BP271*BQ271),_xlpm.t,CHOOSE(BR271,Iдоп_1ж,Iдоп_2ж,Iдоп_3ж),_xlpm.k,_xlfn.XMATCH(_xlpm.need,_xlpm.t,1),IF(ISNA(_xlpm.k),"Не исп",INDEX(Iдоп_S,_xlpm.k))),"Не исп")))</f>
        <v>2.5</v>
      </c>
      <c r="BT271">
        <f>IFERROR(VLOOKUP(BS271,Кабель_сопротивление,3,FALSE),"")</f>
        <v>2.2499999999999999E-2</v>
      </c>
      <c r="BU271">
        <f>IFERROR(VLOOKUP(BS271,Кабель_сопротивление,2,FALSE),"")</f>
        <v>0.1</v>
      </c>
      <c r="BV271">
        <f t="shared" si="364"/>
        <v>36</v>
      </c>
      <c r="BW271">
        <f>IF(D271="","",IFERROR(IF(VLOOKUP(AT271,Потребители_обозначение,4,FALSE)=1,VLOOKUP(AT271,Потребители_обозначение,3,FALSE)*(H271*2-1)+BV271+VLOOKUP(AV271,Этаж_обозначение,3,FALSE)+VLOOKUP(AV271,Этаж_обозначение,4,FALSE),VLOOKUP(AT271,Потребители_обозначение,3,FALSE)*(H271*2-1)+BV271),BV271))</f>
        <v>39</v>
      </c>
      <c r="BX271">
        <f t="shared" si="365"/>
        <v>19</v>
      </c>
      <c r="BY271">
        <f t="shared" si="366"/>
        <v>0</v>
      </c>
      <c r="BZ271">
        <f t="shared" si="367"/>
        <v>2</v>
      </c>
      <c r="CA271">
        <f t="shared" si="368"/>
        <v>0.31</v>
      </c>
      <c r="CB271">
        <f t="shared" si="369"/>
        <v>4.8812327680858347</v>
      </c>
      <c r="CC271">
        <f>IFERROR(ROUNDUP(CB271/((Uн_лин/SQRT(3))*1000)*100,2),"")</f>
        <v>2.1199999999999997</v>
      </c>
      <c r="CD271">
        <f>IF(ISNUMBER(CC271),CC271+IFERROR(_xlfn.XLOOKUP(A271,Щиты[Щит],Щиты[ΔU до шин, %]),0),"")</f>
        <v>3.3699999999999997</v>
      </c>
      <c r="CE271">
        <f>IF(D271="","",IF(IFERROR(VLOOKUP(AT271,УГО_спр,2,FALSE),"")="Светильник",3,4)+IF(Методика="нормы 2026",MIN(0.5,MAX(0,N(BW271)-100)*0.005),0))</f>
        <v>4</v>
      </c>
      <c r="CF271" t="str">
        <f>IFERROR(VLOOKUP(BI271,Кабель_обозначение,2,FALSE),"")</f>
        <v>ВВГнг(А)-LS</v>
      </c>
      <c r="CG271" t="str">
        <f>IFERROR(IF(VLOOKUP(BI271,Кабель_обозначение,3,FALSE)=1,CF271&amp;" ("&amp;BJ271&amp;"х"&amp;BS271&amp;")",CF271),"")</f>
        <v>ВВГнг(А)-LS (3х2,5)</v>
      </c>
      <c r="CH271" t="str">
        <f t="shared" si="370"/>
        <v>ВВГнг(А)-LS (3х2,5)
L=39-2,12%</v>
      </c>
      <c r="CI271">
        <f>IFERROR(2*ρкз_Cu*BW271/BS271,"")</f>
        <v>0.82056000000000007</v>
      </c>
      <c r="CJ271">
        <f t="shared" si="371"/>
        <v>0.27300000000000002</v>
      </c>
      <c r="CK271" t="str">
        <f>IFERROR(IF(OR(D271="",NOT(ISNUMBER(BS271)),N(BW271)=0),"",_xlfn.XLOOKUP(A271,Щиты[Щит],Щиты[Zпетли на шинах, Ом])+CI271),"")</f>
        <v/>
      </c>
      <c r="CL271" t="str">
        <f>IF(ISNUMBER(CK271),c_min*(Uн_лин*1000/SQRT(3))/CK271,"")</f>
        <v/>
      </c>
      <c r="CM271" t="str">
        <f>IFERROR(IF(OR(D271="",NOT(ISNUMBER(BS271))),"",1.05*(Uн_лин*1000/SQRT(3))/(_xlfn.XLOOKUP(A271,Щиты[Щит],Щиты[Zmax на шинах, Ом])+CJ271)/1000),"")</f>
        <v/>
      </c>
      <c r="CN271" t="str">
        <f>IF(D271="","",IF(BA271&lt;&gt;"","Щит",IF(K271&lt;&gt;"",K271,IF(ISNUMBER(L271),"Сил",IF(IFERROR(_xlfn.XLOOKUP(AT271,Коды_код,Коды_группа)&amp;"","")="","Быт",_xlfn.XLOOKUP(AT271,Коды_код,Коды_группа)&amp;"")))))</f>
        <v>Быт</v>
      </c>
      <c r="CO271">
        <f>IF(CN271="Щит","щит",IF(CN271="","",IF(CN271="Быт",IFERROR(_xlfn.XLOOKUP(A271,Щиты[Щит],Щиты[Кс быт]),1),IF(CN271="Сил",IF(ISNUMBER(L271),L271,IF(Методика="нормы 2026",IFERROR(_xlfn.XLOOKUP(A271,Щиты[Щит],Щиты[Кс силовых (табл. 7.5)]),1),1)),IF(OR(CN271="Пост",CN271="Отоп"),1,IF(CN271="ВНГ",0.7,0))))))</f>
        <v>0.57830000000000004</v>
      </c>
      <c r="CP271">
        <f t="shared" si="372"/>
        <v>1</v>
      </c>
      <c r="CQ271">
        <f t="shared" si="373"/>
        <v>1.6</v>
      </c>
      <c r="CR271">
        <f t="shared" si="374"/>
        <v>1.6</v>
      </c>
      <c r="CS271">
        <f t="shared" si="375"/>
        <v>0</v>
      </c>
      <c r="CT271">
        <f t="shared" si="376"/>
        <v>0</v>
      </c>
      <c r="CU271">
        <f t="shared" si="377"/>
        <v>0</v>
      </c>
      <c r="CV271">
        <f t="shared" si="378"/>
        <v>0</v>
      </c>
      <c r="CW271">
        <f t="shared" si="379"/>
        <v>1.6</v>
      </c>
      <c r="CX271">
        <f t="shared" si="380"/>
        <v>1.52</v>
      </c>
      <c r="CY271">
        <f t="shared" si="381"/>
        <v>2</v>
      </c>
      <c r="CZ271" t="str">
        <f t="shared" si="382"/>
        <v>L2</v>
      </c>
      <c r="DA271" cm="1">
        <f t="array" ref="DA271">IFERROR(IF(BL271=2,_xlfn.IFS(BH271=3,VLOOKUP(BF271,Справочная_двигатели,3,FALSE),BH271=1,VLOOKUP(BF271,Справочная_двигатели,5,TRUE)),0),0)</f>
        <v>0</v>
      </c>
      <c r="DB271">
        <f>IFERROR(IF(BL271=3,VLOOKUP(BF271,Справочная_ЛЭД,2,TRUE),0),0)</f>
        <v>0</v>
      </c>
      <c r="DC271">
        <f t="shared" si="383"/>
        <v>0</v>
      </c>
      <c r="DD271" t="str">
        <f t="shared" si="384"/>
        <v>L3</v>
      </c>
      <c r="DE271" t="str" cm="1">
        <f t="array" ref="DE271">IF(D271="","",IFERROR(INDEX({"I особая","I","II","III"},MATCH(TRIM(AA271&amp;""),{"I особая","I","II","III"},0)),"III"))</f>
        <v>II</v>
      </c>
      <c r="DF271" t="str">
        <f>IF(D271="","",IF(TRIM(AB271&amp;"")&lt;&gt;"",IF(LOWER(TRIM(AB271&amp;""))="да","да","нет"),IF(IFERROR(_xlfn.XLOOKUP(AT271,Коды_код,Коды_пожарная),"")="да","да","нет")))</f>
        <v>нет</v>
      </c>
      <c r="DG271" t="str">
        <f t="shared" si="385"/>
        <v/>
      </c>
      <c r="DH271" t="str">
        <f t="shared" si="386"/>
        <v>основная</v>
      </c>
      <c r="DI271">
        <f t="shared" si="387"/>
        <v>1</v>
      </c>
      <c r="DJ271" t="str" cm="1">
        <f t="array" ref="DJ271">IF(D271="","",_xlfn.LET(_xlpm.t,IFERROR(_xlfn.XLOOKUP(1,(Шины[Шина]=DH271)*(((Шины[Щит]=A271)+(Шины[Щит]=""))&gt;0),Шины[Тип]),"")&amp;"",IF(_xlpm.t&lt;&gt;"",_xlpm.t,IF(ISNUMBER(SEARCH("ИБП",DH271)),"ИБП",IF(ISNUMBER(SEARCH("ДГУ",DH271)),"ДГУ","Ввод "&amp;DI271)))))</f>
        <v>Ввод 1</v>
      </c>
      <c r="DK271" t="str">
        <f t="shared" si="388"/>
        <v>Ввод 1</v>
      </c>
      <c r="DL271" t="str">
        <f>IF(D271="","",IF(OR(DJ271="ИБП",DJ271="ДГУ"),"I особая",IF(DJ271="Одиночная","III",_xlfn.XLOOKUP(A271,Щиты[Щит],Щиты[Категория шины «Ввод»],"III"))))</f>
        <v>II</v>
      </c>
      <c r="DM271">
        <f>IF(D271="",0,IFERROR(MATCH(DE271,{"III","II","I","I особая"},0),1))</f>
        <v>2</v>
      </c>
      <c r="DN271">
        <f t="shared" si="389"/>
        <v>2</v>
      </c>
      <c r="DO271" t="str">
        <f>IF(D271="","",IF(DM271&gt;IFERROR(MATCH(DL271,{"III","II","I","I особая"},0),1),"НЕ ОБЕСПЕЧЕНА","ОК"))</f>
        <v>ОК</v>
      </c>
      <c r="DP271" t="str">
        <f>IF(A271="","",_xlfn.XLOOKUP(A271,Щиты[Щит],Щиты[Путь],""))</f>
        <v>|ГРЩ-ЖД|ЩР-1|</v>
      </c>
      <c r="DQ271" t="str">
        <f>IF(D271="","",IF(Z271&lt;&gt;"",Z271,IF(IFERROR(_xlfn.XLOOKUP(AT271,Коды_код,Коды_вид)&amp;"","")="","Прочее",_xlfn.XLOOKUP(AT271,Коды_код,Коды_вид)&amp;"")))</f>
        <v>Розеточная сеть и бытовые приборы</v>
      </c>
      <c r="DR271">
        <f>IF(BD271="","",INT((BD271-1)/Столбцов_на_лист)+1)</f>
        <v>4</v>
      </c>
      <c r="DS271" t="str">
        <f t="shared" si="390"/>
        <v>ВВГнг(А)-LS (3х2,5) L=39-2,12%</v>
      </c>
      <c r="DT271">
        <f t="shared" si="391"/>
        <v>1.6</v>
      </c>
      <c r="DU271">
        <f t="shared" si="392"/>
        <v>7.3</v>
      </c>
      <c r="DV271">
        <f t="shared" si="393"/>
        <v>1</v>
      </c>
      <c r="DW271">
        <f>IF(AT271="",0,_xlfn.LET(_xlpm.v,IFERROR(VLOOKUP(D271,УГО_спр,3,FALSE),IFERROR(VLOOKUP(AT271,УГО_спр,3,FALSE),IFERROR(VLOOKUP(LEFT(AT271,2),УГО_спр,3,FALSE),""))),IF(_xlpm.v="да",30,IF(ISNUMBER(_xlpm.v),_xlpm.v,0))))</f>
        <v>30</v>
      </c>
      <c r="DX271">
        <f t="shared" si="394"/>
        <v>0</v>
      </c>
      <c r="DY271">
        <f>IF(BD271="","",IF(AD271&lt;&gt;"",COUNTIFS(A$3:A271,A271,AD$3:AD271,"?*"),IF(OR(OR(AS271=1,A271&lt;&gt;A270),AL271="вручную"),"",IF(AS271=1,"",DZ270))))</f>
        <v>47</v>
      </c>
      <c r="DZ271">
        <f t="shared" si="395"/>
        <v>47</v>
      </c>
      <c r="EA271">
        <f>IF(D271="",0,MAX(IFERROR(--X271,0),IFERROR(--VLOOKUP(D271,УГО_спр,4,FALSE),IFERROR(--VLOOKUP(AT271,УГО_спр,4,FALSE),IFERROR(--VLOOKUP(LEFT(AT271,2),УГО_спр,4,FALSE),0)))))</f>
        <v>16</v>
      </c>
      <c r="EB271">
        <f>IF(D271="","",IFERROR(LOOKUP(INDEX(CHOOSE(BR271,Iдоп_1ж,Iдоп_2ж,Iдоп_3ж),MATCH(BS271,Iдоп_S,0))*BP271*BQ271,{6,10,16,20,25,32,40,50,63,80,100,125,160,200,250,315,400,500,630}),""))</f>
        <v>25</v>
      </c>
      <c r="EC271">
        <f>IF(AD271="","",SUMIFS(Линии[_Ток схемы],Линии[_гр.],DY271,Линии[Щит],A271,Линии[_в кабель выше],0))</f>
        <v>7.3</v>
      </c>
      <c r="ED271">
        <f>IF(AD271="","",IFERROR(VLOOKUP(EC271,Автомат_номиналы,2,TRUE),""))</f>
        <v>10</v>
      </c>
      <c r="EE271">
        <f>IF(AD271="","",MAX(N(ED271),_xlfn.MAXIFS(Линии[_мин. по типу],Линии[_гр.],DY271,Линии[Щит],A271)))</f>
        <v>16</v>
      </c>
      <c r="EF271">
        <f>IF(AD271="","",_xlfn.MINIFS(Линии[_макс. автомат по кабелю],Линии[_гр.],DY271,Линии[Щит],A271))</f>
        <v>25</v>
      </c>
      <c r="EG271">
        <f>IF(AD271="","",MAX(1,_xlfn.MAXIFS(Линии[_фаз],Линии[_гр.],DY271,Линии[Щит],A271)))</f>
        <v>1</v>
      </c>
      <c r="EH271">
        <f>IF(AD271="","",IF(AND(AD271&lt;&gt;"авто",AD271&lt;&gt;"+"),IF(ISNUMBER(SEARCH("мА",AD271)),IFERROR(--TRIM(RIGHT(SUBSTITUTE(LEFT(AD271,SEARCH("мА",AD271)-1)," ",REPT(" ",9)),6)),30),0),IF(AE271="нет",0,IF(ISNUMBER(AE271),AE271,IF(AE271="да",30,_xlfn.MINIFS(Линии[_дифзащита по коду, мА],Линии[_гр.],DY271,Линии[Щит],A271,Линии[_дифзащита по коду, мА],"&gt;0"))))))</f>
        <v>30</v>
      </c>
      <c r="EI271">
        <f t="shared" si="396"/>
        <v>1</v>
      </c>
      <c r="EJ271" t="str">
        <f t="shared" si="397"/>
        <v>QFD47</v>
      </c>
      <c r="EK271" t="str">
        <f t="shared" si="398"/>
        <v>QFD47</v>
      </c>
      <c r="EL271" t="str">
        <f t="shared" si="399"/>
        <v/>
      </c>
      <c r="EM271">
        <f t="shared" si="400"/>
        <v>0</v>
      </c>
      <c r="EN271">
        <f>IF(AD271="","",IF(EM271=1,MAX(EE271,Мин_автомат_БП),EE271))</f>
        <v>16</v>
      </c>
      <c r="EO271" t="str">
        <f t="shared" si="401"/>
        <v>2P</v>
      </c>
      <c r="EP271" t="str">
        <f t="shared" si="402"/>
        <v>2P С16А 30мА</v>
      </c>
      <c r="EQ271">
        <f t="shared" si="403"/>
        <v>16</v>
      </c>
      <c r="ER271" t="str">
        <f>IF(OR(AI271="",AI271="-"),"",IFERROR(VLOOKUP(AI271,Модули_спр,2,FALSE),"R"))</f>
        <v/>
      </c>
      <c r="ES271" t="str">
        <f>IF(ER271="","",ER271&amp;"."&amp;COUNTIFS(A$3:A271,A271,ER$3:ER271,ER271))</f>
        <v/>
      </c>
      <c r="ET271" t="str">
        <f t="shared" si="404"/>
        <v/>
      </c>
      <c r="EU271" t="str">
        <f t="shared" si="405"/>
        <v/>
      </c>
      <c r="EV271" t="str">
        <f t="shared" si="406"/>
        <v/>
      </c>
      <c r="EW271" t="str">
        <f t="shared" si="407"/>
        <v/>
      </c>
      <c r="EX271">
        <f t="shared" si="408"/>
        <v>1</v>
      </c>
      <c r="EY271" t="str">
        <f>IF(AK271="нет","",IF(AK271&lt;&gt;"",AK271,IF(EX271=1,"XT"&amp;COUNTIFS(A$3:A271,A271,EX$3:EX271,1),"")))</f>
        <v>XT47</v>
      </c>
      <c r="EZ271" t="str">
        <f t="shared" si="409"/>
        <v>QFD47</v>
      </c>
      <c r="FA271" t="str">
        <f t="shared" si="410"/>
        <v/>
      </c>
      <c r="FB271" t="str">
        <f t="shared" si="411"/>
        <v>ok</v>
      </c>
      <c r="FC271" t="str">
        <f>IF(OR(EV271="",ET271=""),"",IF(EV271&gt;IFERROR(VLOOKUP(EU271,Модули_спр,3,FALSE),99),"ЛИШНИЙ КАНАЛ",IF(AND(AJ271&lt;&gt;"=",COUNTIFS(Линии[_модуль гр.],ET271,Линии[Канал (итог)],EV271,Линии[Канал],"&lt;&gt;=",Линии[Щит],A271)&gt;1),"ДУБЛЬ КАНАЛА","")))</f>
        <v/>
      </c>
      <c r="FD271">
        <f t="shared" si="412"/>
        <v>16</v>
      </c>
      <c r="FE271" t="str">
        <f t="shared" si="413"/>
        <v>2P С16А 30мА</v>
      </c>
      <c r="FF271">
        <f t="shared" si="414"/>
        <v>1</v>
      </c>
      <c r="FG271">
        <f t="shared" si="415"/>
        <v>30</v>
      </c>
      <c r="FH271" t="str">
        <f t="shared" si="416"/>
        <v/>
      </c>
      <c r="FI271">
        <f t="shared" si="417"/>
        <v>10</v>
      </c>
      <c r="FJ271" t="str">
        <f t="shared" si="418"/>
        <v/>
      </c>
      <c r="FK271" t="str">
        <f>IF(AND(D271="",EZ271=""),"",_xlfn.TEXTJOIN("; ",TRUE,IF(AND(D271&lt;&gt;"",DD271=""),"нет фазы",""),IF(AND(D271&lt;&gt;"",N(DT271)=0,CN271&lt;&gt;"Нет"),"нет мощности",""),IF(AND(EY271&lt;&gt;"",COUNTIFS(Линии[Щит],A271,Линии[Клемма (итог)],EY271)&gt;1),"дубль клеммы "&amp;EY271,""),IF(AND(FB271&lt;&gt;"",FB271&lt;&gt;"ok"),FB271,""),IF(FC271&lt;&gt;"",FC271,""),IF(AND(ISNUMBER(SEARCH("(5х",DS271)),N(DV271)=1),"5 жил на 1 фазе",""),IF(AND(AT271="R",AD271&lt;&gt;"",OR(N(EH271)=0,N(EH271)&gt;30)),"розетка без дифзащиты до 30 мА",""),IFERROR(IF(AND(ISNUMBER(CD271),CD271&gt;CE271),"потери "&amp;FIXED(CD271,1)&amp;" % &gt; "&amp;CE271&amp;" %",""),""),IFERROR(IF(LEFT(FJ271,4)="мало","Iкз мало — отключение &gt; 0,4 с",""),""),IF(AND(D271&lt;&gt;"",BD271=""),"не на схеме","")))</f>
        <v/>
      </c>
      <c r="FL271">
        <f>IF(AD271="","",_xlfn.LET(_xlpm.t,IFERROR(_xlfn.XLOOKUP(EP271,Каталог!$U$4:$U$500,Каталог!$G$4:$G$500),""),_xlpm.k,SEARCH("кА",_xlpm.t),IFERROR(--TRIM(RIGHT(SUBSTITUTE(MID(_xlpm.t,MAX(1,_xlpm.k-4),_xlpm.k-MAX(1,_xlpm.k-4))," ",REPT(" ",9)),5)),"")))</f>
        <v>6</v>
      </c>
      <c r="FM271" t="str">
        <f>IF(OR(FL271="",AD271=""),"",IF(_xlfn.XLOOKUP(A271,Щиты[Щит],Щиты[Iкз max на шинах, кА],"")="","",IF(FL271&lt;_xlfn.XLOOKUP(A271,Щиты[Щит],Щиты[Iкз max на шинах, кА]),"Icu "&amp;FL271&amp;" кА &lt; Iкз max","ok")))</f>
        <v/>
      </c>
      <c r="FN271" t="str">
        <f t="shared" si="419"/>
        <v>QFD47|XT47</v>
      </c>
      <c r="FO271" t="str">
        <f t="shared" si="420"/>
        <v>QFD47|XT47|кабель ВВГнг(А)-LS (3х2,5) → Розеточная группа Первый этаж Пом. №021A Микроволновая печь</v>
      </c>
      <c r="FP271" t="str" cm="1">
        <f t="array" ref="FP271">IF(FO271="","",_xlfn.LET(_xlpm.nd,_xlfn.TEXTSPLIT(FO271,"|"),IF(COLUMNS(_xlpm.nd)&gt;1,A271&amp;"¦"&amp;INDEX(_xlpm.nd,1)&amp;"¦"&amp;INDEX(_xlpm.nd,2),"")))</f>
        <v>ЩР-1¦QFD47¦XT47</v>
      </c>
      <c r="FQ271" t="str">
        <f t="shared" si="421"/>
        <v>R.1.021A.3¦Розеточная группа Первый этаж Пом. №021A Микроволновая печь</v>
      </c>
      <c r="FR271" t="str" cm="1">
        <f t="array" ref="FR271">IF(FO271="","",_xlfn.LET(_xlpm.nd,_xlfn.TEXTSPLIT(FO271,"|"),IF(COLUMNS(_xlpm.nd)&gt;2,A271&amp;"¦"&amp;INDEX(_xlpm.nd,2)&amp;"¦"&amp;INDEX(_xlpm.nd,3),"")))</f>
        <v>ЩР-1¦XT47¦кабель ВВГнг(А)-LS (3х2,5) → Розеточная группа Первый этаж Пом. №021A Микроволновая печь</v>
      </c>
      <c r="FS271" t="str">
        <f t="shared" si="422"/>
        <v>R.1.021A.3¦Розеточная группа Первый этаж Пом. №021A Микроволновая печь</v>
      </c>
      <c r="FT271" t="str" cm="1">
        <f t="array" ref="FT271">IF(FO271="","",_xlfn.LET(_xlpm.nd,_xlfn.TEXTSPLIT(FO271,"|"),IF(COLUMNS(_xlpm.nd)&gt;3,A271&amp;"¦"&amp;INDEX(_xlpm.nd,3)&amp;"¦"&amp;INDEX(_xlpm.nd,4),"")))</f>
        <v/>
      </c>
      <c r="FU271" t="str">
        <f t="shared" si="423"/>
        <v/>
      </c>
      <c r="FV271" t="str" cm="1">
        <f t="array" ref="FV271">IF(FO271="","",_xlfn.LET(_xlpm.nd,_xlfn.TEXTSPLIT(FO271,"|"),IF(COLUMNS(_xlpm.nd)&gt;4,A271&amp;"¦"&amp;INDEX(_xlpm.nd,4)&amp;"¦"&amp;INDEX(_xlpm.nd,5),"")))</f>
        <v/>
      </c>
      <c r="FW271" t="str">
        <f t="shared" si="424"/>
        <v/>
      </c>
      <c r="FX271" t="str" cm="1">
        <f t="array" ref="FX271">IF(FO271="","",_xlfn.LET(_xlpm.nd,_xlfn.TEXTSPLIT(FO271,"|"),IF(COLUMNS(_xlpm.nd)&gt;5,A271&amp;"¦"&amp;INDEX(_xlpm.nd,5)&amp;"¦"&amp;INDEX(_xlpm.nd,6),"")))</f>
        <v/>
      </c>
      <c r="FY271" t="str">
        <f t="shared" si="425"/>
        <v/>
      </c>
      <c r="FZ271" t="str" cm="1">
        <f t="array" ref="FZ271">IF(FO271="","",_xlfn.LET(_xlpm.nd,_xlfn.TEXTSPLIT(FO271,"|"),IF(COLUMNS(_xlpm.nd)&gt;6,A271&amp;"¦"&amp;INDEX(_xlpm.nd,6)&amp;"¦"&amp;INDEX(_xlpm.nd,7),"")))</f>
        <v/>
      </c>
      <c r="GA271" t="str">
        <f t="shared" si="426"/>
        <v/>
      </c>
      <c r="GB271" t="str">
        <f t="shared" si="427"/>
        <v/>
      </c>
      <c r="GC271" t="str">
        <f t="shared" si="428"/>
        <v>QFD47 → XT47</v>
      </c>
      <c r="GD271">
        <f t="shared" si="429"/>
        <v>1</v>
      </c>
      <c r="GE271">
        <f t="shared" si="430"/>
        <v>0</v>
      </c>
      <c r="GF271">
        <f t="shared" si="431"/>
        <v>1</v>
      </c>
      <c r="GG271" t="str">
        <f t="shared" si="432"/>
        <v/>
      </c>
      <c r="GH271" t="str">
        <f t="shared" si="433"/>
        <v/>
      </c>
      <c r="GI271" t="str">
        <f t="shared" si="434"/>
        <v/>
      </c>
      <c r="GJ271" t="str">
        <f t="shared" si="435"/>
        <v/>
      </c>
      <c r="GK271" t="str">
        <f>IF(D271="","",IFERROR(VLOOKUP(D271,УГО_спр,2,FALSE),IFERROR(VLOOKUP(AT271,УГО_спр,2,FALSE),IFERROR(VLOOKUP(LEFT(AT271,2),УГО_спр,2,FALSE),""))))</f>
        <v>Розетка</v>
      </c>
      <c r="GL271" t="str">
        <f>IF(D271="","",IF(OR(GK271="",GK271=0),"BOX",IFERROR(IF(VLOOKUP(GK271,УГО_блоки,3,FALSE)&amp;""&lt;&gt;"",VLOOKUP(GK271,УГО_блоки,3,FALSE),VLOOKUP(GK271,УГО_блоки,2,FALSE)),GK271)))</f>
        <v>SOCKET</v>
      </c>
      <c r="GM271">
        <f t="shared" si="436"/>
        <v>1</v>
      </c>
      <c r="GN271" t="str">
        <f>IF(EP271="","",IF(COUNTIF(EP$3:EP271,EP271)=1,MAX(GN$2:GN270)+1,""))</f>
        <v/>
      </c>
      <c r="GO271" t="str">
        <f>IF(AF271="","",IF(COUNTIF(AF$3:AF271,AF271)+COUNTIF(AG$2:AG270,AF271)+COUNTIF(AH$2:AH270,AF271)=1,MAX(GO$2:GQ270)+1,""))</f>
        <v/>
      </c>
      <c r="GP271" t="str">
        <f>IF(AG271="","",IF(COUNTIF(AF$3:AF271,AG271)+COUNTIF(AG$3:AG271,AG271)+COUNTIF(AH$2:AH270,AG271)=1,MAX(GO$2:GQ270,GO271)+1,""))</f>
        <v/>
      </c>
      <c r="GQ271" t="str">
        <f>IF(AH271="","",IF(COUNTIF(AF$3:AF271,AH271)+COUNTIF(AG$3:AG271,AH271)+COUNTIF(AH$3:AH271,AH271)=1,MAX(GO$2:GQ270,GO271,GP271)+1,""))</f>
        <v/>
      </c>
      <c r="GR271" t="str">
        <f t="shared" si="437"/>
        <v>3х2,5</v>
      </c>
      <c r="GS271" t="str">
        <f>IF(GR271="","",IF(COUNTIF(GR$3:GR271,GR271)=1,MAX(GS$2:GS270)+1,""))</f>
        <v/>
      </c>
      <c r="GT271" t="str">
        <f>IF(ES271="","",COUNTIF(ES$3:ES271,"?*"))</f>
        <v/>
      </c>
      <c r="GU271" t="str">
        <f>IF(OR(ES271="",EU271=""),"",IF(COUNTIFS(ES$3:ES271,"?*",EU$3:EU271,EU271)=1,MAX(GU$2:GU270)+1,""))</f>
        <v/>
      </c>
      <c r="GV271">
        <f t="shared" si="438"/>
        <v>0</v>
      </c>
      <c r="GW271">
        <f>IF(D271="","",COUNTIF(D$3:D271,"?*"))</f>
        <v>269</v>
      </c>
      <c r="GX271">
        <f>IF(EX271&lt;&gt;1,0,_xlfn.LET(_xlpm.k,MAX(IFERROR(--VLOOKUP(D271,УГО_спр,5,FALSE),0),IFERROR(--VLOOKUP(AT271,УГО_спр,5,FALSE),0),IFERROR(--VLOOKUP(LEFT(AT271,2),УГО_спр,5,FALSE),0)),IF(_xlpm.k&gt;0,_xlpm.k,IF(IFERROR(--LEFT(SUBSTITUTE(GR271,"x","х"),FIND("х",SUBSTITUTE(GR271,"x","х"))-1),3)&gt;3,Каталог!$S$9,1))))</f>
        <v>1</v>
      </c>
      <c r="GY271">
        <f t="shared" si="439"/>
        <v>0</v>
      </c>
    </row>
    <row r="272" spans="1:207" x14ac:dyDescent="0.3">
      <c r="A272" t="s">
        <v>762</v>
      </c>
      <c r="B272">
        <v>62</v>
      </c>
      <c r="C272" t="str">
        <f>IF(BD272="","",IF(BE272="вводной узел","узел ","")&amp;"л."&amp;(INT((BD272-1)/Столбцов_на_лист)+1)&amp;" / "&amp;(MOD(BD272-1,Столбцов_на_лист)+1))</f>
        <v>л.4 / 11</v>
      </c>
      <c r="D272" t="s">
        <v>1599</v>
      </c>
      <c r="E272" s="133" t="s">
        <v>1600</v>
      </c>
      <c r="G272">
        <v>0.62</v>
      </c>
      <c r="H272">
        <v>1</v>
      </c>
      <c r="I272">
        <v>1</v>
      </c>
      <c r="J272">
        <v>230</v>
      </c>
      <c r="K272" t="s">
        <v>566</v>
      </c>
      <c r="O272">
        <v>1</v>
      </c>
      <c r="P272">
        <v>39</v>
      </c>
      <c r="Q272">
        <v>20</v>
      </c>
      <c r="R272">
        <v>22</v>
      </c>
      <c r="S272">
        <v>0</v>
      </c>
      <c r="U272" t="s">
        <v>11</v>
      </c>
      <c r="V272">
        <v>3</v>
      </c>
      <c r="W272">
        <v>2.5</v>
      </c>
      <c r="Z272" t="s">
        <v>565</v>
      </c>
      <c r="AA272" t="s">
        <v>818</v>
      </c>
      <c r="AD272" t="s">
        <v>517</v>
      </c>
      <c r="AR272" t="str">
        <f t="shared" si="353"/>
        <v/>
      </c>
      <c r="AS272" cm="1">
        <f t="array" ref="AS272">ROW()-ROW(Линии[#Headers])</f>
        <v>270</v>
      </c>
      <c r="AT272" t="str">
        <f t="shared" si="354"/>
        <v>R</v>
      </c>
      <c r="AU272" t="str">
        <f t="shared" si="355"/>
        <v>1.021A.4</v>
      </c>
      <c r="AV272" t="str">
        <f t="shared" si="356"/>
        <v>1</v>
      </c>
      <c r="AW272" t="str">
        <f t="shared" si="357"/>
        <v>021A.4</v>
      </c>
      <c r="AX272" t="str">
        <f t="shared" si="358"/>
        <v>021A</v>
      </c>
      <c r="AY272" t="str">
        <f>IF(D272="","",IF(ISERROR(SEARCH(".",D272)),IFERROR(VLOOKUP(D272,Потребители_обозначение,2,FALSE)&amp;"",""),IFERROR(IF(VLOOKUP(AT272,Потребители_обозначение,4,FALSE)=1,VLOOKUP(AT272,Потребители_обозначение,2,FALSE)&amp;" "&amp;VLOOKUP(AV272,Этаж_обозначение,2,FALSE)&amp;" Пом. №"&amp;AX272,VLOOKUP(AT272,Потребители_обозначение,2,FALSE)&amp;" Шлейф №"&amp;AV272),IFERROR(VLOOKUP(D272,Потребители_обозначение,2,FALSE),""))))</f>
        <v>Розеточная группа Первый этаж Пом. №021A</v>
      </c>
      <c r="AZ272" t="str">
        <f t="shared" si="359"/>
        <v>Розеточная группа Первый этаж Пом. №021A Холодильник, морозильная камера</v>
      </c>
      <c r="BA272" t="str">
        <f>IF(F272&lt;&gt;"",F272,IF(AND(D272&lt;&gt;"",D272&lt;&gt;A272,ISNUMBER(_xlfn.XMATCH(D272,Щиты[Щит]))),D272,""))</f>
        <v/>
      </c>
      <c r="BB272">
        <f>IFERROR(_xlfn.XMATCH(A272,Щиты[Щит]),0)</f>
        <v>10</v>
      </c>
      <c r="BC272">
        <f>IFERROR(N(_xlfn.XLOOKUP(A272,Щиты[Щит],Щиты[Мест под вводной узел])),15)</f>
        <v>8</v>
      </c>
      <c r="BD272">
        <f t="shared" si="360"/>
        <v>62</v>
      </c>
      <c r="BE272" t="str">
        <f t="shared" si="361"/>
        <v>линии</v>
      </c>
      <c r="BF272">
        <f>IF(D272="","",IF(BA272&lt;&gt;"",IFERROR(_xlfn.XLOOKUP(BA272,Щиты[Щит],Щиты[Руст, кВт]),0),N(G272)))</f>
        <v>0.62</v>
      </c>
      <c r="BG272">
        <f>IF(J272&lt;&gt;"",J272,IF(D272="","",IFERROR(IF(VLOOKUP(AT272,Потребители_обозначение,8,FALSE)=0,"",VLOOKUP(AT272,Потребители_обозначение,8,FALSE)),"")))</f>
        <v>230</v>
      </c>
      <c r="BH272">
        <f>IF(I272&lt;&gt;"",I272,IF(D272="","",IFERROR(IF(VLOOKUP(AT272,Потребители_обозначение,9,FALSE)=0,"",VLOOKUP(AT272,Потребители_обозначение,9,FALSE)),"")))</f>
        <v>1</v>
      </c>
      <c r="BI272" t="str">
        <f>IF(U272&lt;&gt;"",U272,IF(D272="","",IFERROR(IF(VLOOKUP(AT272,Потребители_обозначение,6,FALSE)=0,"",VLOOKUP(AT272,Потребители_обозначение,6,FALSE)),"")))</f>
        <v>мс</v>
      </c>
      <c r="BJ272">
        <f>IF(V272&lt;&gt;"",V272,IF(D272="","",IFERROR(IF(VLOOKUP(AT272,Потребители_обозначение,7,FALSE)=0,"",VLOOKUP(AT272,Потребители_обозначение,7,FALSE)),"")))</f>
        <v>3</v>
      </c>
      <c r="BK272">
        <f>IF(W272&lt;&gt;"",W272,IF(D272="","",IFERROR(IF(VLOOKUP(AT272,Потребители_обозначение,10,FALSE)=0,"",VLOOKUP(AT272,Потребители_обозначение,10,FALSE)),"")))</f>
        <v>2.5</v>
      </c>
      <c r="BL272">
        <f>IFERROR(VLOOKUP(AT272,Потребители_обозначение,5,FALSE),0)</f>
        <v>1</v>
      </c>
      <c r="BM272" cm="1">
        <f t="array" ref="BM272">IF(D272="","",IF(BA272&lt;&gt;"",IFERROR(_xlfn.XLOOKUP(BA272,Щиты[Щит],Щиты[cos φ]),0.95),IF(ISNUMBER(M272),M272,IFERROR(IF(BL272=2,_xlfn.IFS(BH272=3,VLOOKUP(BF272,Справочная_двигатели,8,FALSE),BH272=1,VLOOKUP(BF272,Справочная_двигатели,10,TRUE)),IF(AND(Методика="нормы 2026",CN272="Сил"),0.8,0.95)),0.95))))</f>
        <v>0.95</v>
      </c>
      <c r="BN272" cm="1">
        <f t="array" ref="BN272">IF(D272="","",IF(BA272&lt;&gt;"",IFERROR(_xlfn.XLOOKUP(BA272,Щиты[Щит],Щиты[Iр, А]),""),IFERROR(_xlfn.IFS(BH272=1,BF272/((Uн_лин/SQRT(3))*BM272),BH272=3,BF272/(SQRT(3)*Uн_лин*BM272)),"")))</f>
        <v>2.8259776334018523</v>
      </c>
      <c r="BO272">
        <f>IF(D272="","",IF(N(X272)=0,IFERROR(VLOOKUP(BN272,Автомат_номиналы,2,TRUE),""),X272))</f>
        <v>6</v>
      </c>
      <c r="BP272">
        <f t="shared" si="362"/>
        <v>1</v>
      </c>
      <c r="BQ272">
        <f>IF(ISNUMBER(Y272),Y272,К_прокл)</f>
        <v>1</v>
      </c>
      <c r="BR272">
        <f t="shared" si="363"/>
        <v>2</v>
      </c>
      <c r="BS272" cm="1">
        <f t="array" ref="BS272">IF(D272="","",IF(N(BK272)&lt;&gt;0,BK272,IFERROR(_xlfn.LET(_xlpm.need,BO272/(BP272*BQ272),_xlpm.t,CHOOSE(BR272,Iдоп_1ж,Iдоп_2ж,Iдоп_3ж),_xlpm.k,_xlfn.XMATCH(_xlpm.need,_xlpm.t,1),IF(ISNA(_xlpm.k),"Не исп",INDEX(Iдоп_S,_xlpm.k))),"Не исп")))</f>
        <v>2.5</v>
      </c>
      <c r="BT272">
        <f>IFERROR(VLOOKUP(BS272,Кабель_сопротивление,3,FALSE),"")</f>
        <v>2.2499999999999999E-2</v>
      </c>
      <c r="BU272">
        <f>IFERROR(VLOOKUP(BS272,Кабель_сопротивление,2,FALSE),"")</f>
        <v>0.1</v>
      </c>
      <c r="BV272">
        <f t="shared" si="364"/>
        <v>39</v>
      </c>
      <c r="BW272">
        <f>IF(D272="","",IFERROR(IF(VLOOKUP(AT272,Потребители_обозначение,4,FALSE)=1,VLOOKUP(AT272,Потребители_обозначение,3,FALSE)*(H272*2-1)+BV272+VLOOKUP(AV272,Этаж_обозначение,3,FALSE)+VLOOKUP(AV272,Этаж_обозначение,4,FALSE),VLOOKUP(AT272,Потребители_обозначение,3,FALSE)*(H272*2-1)+BV272),BV272))</f>
        <v>42</v>
      </c>
      <c r="BX272">
        <f t="shared" si="365"/>
        <v>22</v>
      </c>
      <c r="BY272">
        <f t="shared" si="366"/>
        <v>0</v>
      </c>
      <c r="BZ272">
        <f t="shared" si="367"/>
        <v>2</v>
      </c>
      <c r="CA272">
        <f t="shared" si="368"/>
        <v>0.31</v>
      </c>
      <c r="CB272">
        <f t="shared" si="369"/>
        <v>2.0369759820665889</v>
      </c>
      <c r="CC272">
        <f>IFERROR(ROUNDUP(CB272/((Uн_лин/SQRT(3))*1000)*100,2),"")</f>
        <v>0.89</v>
      </c>
      <c r="CD272">
        <f>IF(ISNUMBER(CC272),CC272+IFERROR(_xlfn.XLOOKUP(A272,Щиты[Щит],Щиты[ΔU до шин, %]),0),"")</f>
        <v>2.14</v>
      </c>
      <c r="CE272">
        <f>IF(D272="","",IF(IFERROR(VLOOKUP(AT272,УГО_спр,2,FALSE),"")="Светильник",3,4)+IF(Методика="нормы 2026",MIN(0.5,MAX(0,N(BW272)-100)*0.005),0))</f>
        <v>4</v>
      </c>
      <c r="CF272" t="str">
        <f>IFERROR(VLOOKUP(BI272,Кабель_обозначение,2,FALSE),"")</f>
        <v>ВВГнг(А)-LS</v>
      </c>
      <c r="CG272" t="str">
        <f>IFERROR(IF(VLOOKUP(BI272,Кабель_обозначение,3,FALSE)=1,CF272&amp;" ("&amp;BJ272&amp;"х"&amp;BS272&amp;")",CF272),"")</f>
        <v>ВВГнг(А)-LS (3х2,5)</v>
      </c>
      <c r="CH272" t="str">
        <f t="shared" si="370"/>
        <v>ВВГнг(А)-LS (3х2,5)
L=42-0,89%</v>
      </c>
      <c r="CI272">
        <f>IFERROR(2*ρкз_Cu*BW272/BS272,"")</f>
        <v>0.88368000000000002</v>
      </c>
      <c r="CJ272">
        <f t="shared" si="371"/>
        <v>0.29400000000000004</v>
      </c>
      <c r="CK272" t="str">
        <f>IFERROR(IF(OR(D272="",NOT(ISNUMBER(BS272)),N(BW272)=0),"",_xlfn.XLOOKUP(A272,Щиты[Щит],Щиты[Zпетли на шинах, Ом])+CI272),"")</f>
        <v/>
      </c>
      <c r="CL272" t="str">
        <f>IF(ISNUMBER(CK272),c_min*(Uн_лин*1000/SQRT(3))/CK272,"")</f>
        <v/>
      </c>
      <c r="CM272" t="str">
        <f>IFERROR(IF(OR(D272="",NOT(ISNUMBER(BS272))),"",1.05*(Uн_лин*1000/SQRT(3))/(_xlfn.XLOOKUP(A272,Щиты[Щит],Щиты[Zmax на шинах, Ом])+CJ272)/1000),"")</f>
        <v/>
      </c>
      <c r="CN272" t="str">
        <f>IF(D272="","",IF(BA272&lt;&gt;"","Щит",IF(K272&lt;&gt;"",K272,IF(ISNUMBER(L272),"Сил",IF(IFERROR(_xlfn.XLOOKUP(AT272,Коды_код,Коды_группа)&amp;"","")="","Быт",_xlfn.XLOOKUP(AT272,Коды_код,Коды_группа)&amp;"")))))</f>
        <v>Быт</v>
      </c>
      <c r="CO272">
        <f>IF(CN272="Щит","щит",IF(CN272="","",IF(CN272="Быт",IFERROR(_xlfn.XLOOKUP(A272,Щиты[Щит],Щиты[Кс быт]),1),IF(CN272="Сил",IF(ISNUMBER(L272),L272,IF(Методика="нормы 2026",IFERROR(_xlfn.XLOOKUP(A272,Щиты[Щит],Щиты[Кс силовых (табл. 7.5)]),1),1)),IF(OR(CN272="Пост",CN272="Отоп"),1,IF(CN272="ВНГ",0.7,0))))))</f>
        <v>0.57830000000000004</v>
      </c>
      <c r="CP272">
        <f t="shared" si="372"/>
        <v>1</v>
      </c>
      <c r="CQ272">
        <f t="shared" si="373"/>
        <v>0.62</v>
      </c>
      <c r="CR272">
        <f t="shared" si="374"/>
        <v>0.62</v>
      </c>
      <c r="CS272">
        <f t="shared" si="375"/>
        <v>0</v>
      </c>
      <c r="CT272">
        <f t="shared" si="376"/>
        <v>0</v>
      </c>
      <c r="CU272">
        <f t="shared" si="377"/>
        <v>0</v>
      </c>
      <c r="CV272">
        <f t="shared" si="378"/>
        <v>0</v>
      </c>
      <c r="CW272">
        <f t="shared" si="379"/>
        <v>0.62</v>
      </c>
      <c r="CX272">
        <f t="shared" si="380"/>
        <v>0.58899999999999997</v>
      </c>
      <c r="CY272">
        <f t="shared" si="381"/>
        <v>3</v>
      </c>
      <c r="CZ272" t="str">
        <f t="shared" si="382"/>
        <v>L3</v>
      </c>
      <c r="DA272" cm="1">
        <f t="array" ref="DA272">IFERROR(IF(BL272=2,_xlfn.IFS(BH272=3,VLOOKUP(BF272,Справочная_двигатели,3,FALSE),BH272=1,VLOOKUP(BF272,Справочная_двигатели,5,TRUE)),0),0)</f>
        <v>0</v>
      </c>
      <c r="DB272">
        <f>IFERROR(IF(BL272=3,VLOOKUP(BF272,Справочная_ЛЭД,2,TRUE),0),0)</f>
        <v>0</v>
      </c>
      <c r="DC272">
        <f t="shared" si="383"/>
        <v>0</v>
      </c>
      <c r="DD272" t="str">
        <f t="shared" si="384"/>
        <v>L1</v>
      </c>
      <c r="DE272" t="str" cm="1">
        <f t="array" ref="DE272">IF(D272="","",IFERROR(INDEX({"I особая","I","II","III"},MATCH(TRIM(AA272&amp;""),{"I особая","I","II","III"},0)),"III"))</f>
        <v>II</v>
      </c>
      <c r="DF272" t="str">
        <f>IF(D272="","",IF(TRIM(AB272&amp;"")&lt;&gt;"",IF(LOWER(TRIM(AB272&amp;""))="да","да","нет"),IF(IFERROR(_xlfn.XLOOKUP(AT272,Коды_код,Коды_пожарная),"")="да","да","нет")))</f>
        <v>нет</v>
      </c>
      <c r="DG272" t="str">
        <f t="shared" si="385"/>
        <v/>
      </c>
      <c r="DH272" t="str">
        <f t="shared" si="386"/>
        <v>основная</v>
      </c>
      <c r="DI272">
        <f t="shared" si="387"/>
        <v>1</v>
      </c>
      <c r="DJ272" t="str" cm="1">
        <f t="array" ref="DJ272">IF(D272="","",_xlfn.LET(_xlpm.t,IFERROR(_xlfn.XLOOKUP(1,(Шины[Шина]=DH272)*(((Шины[Щит]=A272)+(Шины[Щит]=""))&gt;0),Шины[Тип]),"")&amp;"",IF(_xlpm.t&lt;&gt;"",_xlpm.t,IF(ISNUMBER(SEARCH("ИБП",DH272)),"ИБП",IF(ISNUMBER(SEARCH("ДГУ",DH272)),"ДГУ","Ввод "&amp;DI272)))))</f>
        <v>Ввод 1</v>
      </c>
      <c r="DK272" t="str">
        <f t="shared" si="388"/>
        <v>Ввод 1</v>
      </c>
      <c r="DL272" t="str">
        <f>IF(D272="","",IF(OR(DJ272="ИБП",DJ272="ДГУ"),"I особая",IF(DJ272="Одиночная","III",_xlfn.XLOOKUP(A272,Щиты[Щит],Щиты[Категория шины «Ввод»],"III"))))</f>
        <v>II</v>
      </c>
      <c r="DM272">
        <f>IF(D272="",0,IFERROR(MATCH(DE272,{"III","II","I","I особая"},0),1))</f>
        <v>2</v>
      </c>
      <c r="DN272">
        <f t="shared" si="389"/>
        <v>2</v>
      </c>
      <c r="DO272" t="str">
        <f>IF(D272="","",IF(DM272&gt;IFERROR(MATCH(DL272,{"III","II","I","I особая"},0),1),"НЕ ОБЕСПЕЧЕНА","ОК"))</f>
        <v>ОК</v>
      </c>
      <c r="DP272" t="str">
        <f>IF(A272="","",_xlfn.XLOOKUP(A272,Щиты[Щит],Щиты[Путь],""))</f>
        <v>|ГРЩ-ЖД|ЩР-1|</v>
      </c>
      <c r="DQ272" t="str">
        <f>IF(D272="","",IF(Z272&lt;&gt;"",Z272,IF(IFERROR(_xlfn.XLOOKUP(AT272,Коды_код,Коды_вид)&amp;"","")="","Прочее",_xlfn.XLOOKUP(AT272,Коды_код,Коды_вид)&amp;"")))</f>
        <v>Розеточная сеть и бытовые приборы</v>
      </c>
      <c r="DR272">
        <f>IF(BD272="","",INT((BD272-1)/Столбцов_на_лист)+1)</f>
        <v>4</v>
      </c>
      <c r="DS272" t="str">
        <f t="shared" si="390"/>
        <v>ВВГнг(А)-LS (3х2,5) L=42-0,89%</v>
      </c>
      <c r="DT272">
        <f t="shared" si="391"/>
        <v>0.62</v>
      </c>
      <c r="DU272">
        <f t="shared" si="392"/>
        <v>2.8299999999999996</v>
      </c>
      <c r="DV272">
        <f t="shared" si="393"/>
        <v>1</v>
      </c>
      <c r="DW272">
        <f>IF(AT272="",0,_xlfn.LET(_xlpm.v,IFERROR(VLOOKUP(D272,УГО_спр,3,FALSE),IFERROR(VLOOKUP(AT272,УГО_спр,3,FALSE),IFERROR(VLOOKUP(LEFT(AT272,2),УГО_спр,3,FALSE),""))),IF(_xlpm.v="да",30,IF(ISNUMBER(_xlpm.v),_xlpm.v,0))))</f>
        <v>30</v>
      </c>
      <c r="DX272">
        <f t="shared" si="394"/>
        <v>0</v>
      </c>
      <c r="DY272">
        <f>IF(BD272="","",IF(AD272&lt;&gt;"",COUNTIFS(A$3:A272,A272,AD$3:AD272,"?*"),IF(OR(OR(AS272=1,A272&lt;&gt;A271),AL272="вручную"),"",IF(AS272=1,"",DZ271))))</f>
        <v>48</v>
      </c>
      <c r="DZ272">
        <f t="shared" si="395"/>
        <v>48</v>
      </c>
      <c r="EA272">
        <f>IF(D272="",0,MAX(IFERROR(--X272,0),IFERROR(--VLOOKUP(D272,УГО_спр,4,FALSE),IFERROR(--VLOOKUP(AT272,УГО_спр,4,FALSE),IFERROR(--VLOOKUP(LEFT(AT272,2),УГО_спр,4,FALSE),0)))))</f>
        <v>16</v>
      </c>
      <c r="EB272">
        <f>IF(D272="","",IFERROR(LOOKUP(INDEX(CHOOSE(BR272,Iдоп_1ж,Iдоп_2ж,Iдоп_3ж),MATCH(BS272,Iдоп_S,0))*BP272*BQ272,{6,10,16,20,25,32,40,50,63,80,100,125,160,200,250,315,400,500,630}),""))</f>
        <v>25</v>
      </c>
      <c r="EC272">
        <f>IF(AD272="","",SUMIFS(Линии[_Ток схемы],Линии[_гр.],DY272,Линии[Щит],A272,Линии[_в кабель выше],0))</f>
        <v>2.8299999999999996</v>
      </c>
      <c r="ED272">
        <f>IF(AD272="","",IFERROR(VLOOKUP(EC272,Автомат_номиналы,2,TRUE),""))</f>
        <v>6</v>
      </c>
      <c r="EE272">
        <f>IF(AD272="","",MAX(N(ED272),_xlfn.MAXIFS(Линии[_мин. по типу],Линии[_гр.],DY272,Линии[Щит],A272)))</f>
        <v>16</v>
      </c>
      <c r="EF272">
        <f>IF(AD272="","",_xlfn.MINIFS(Линии[_макс. автомат по кабелю],Линии[_гр.],DY272,Линии[Щит],A272))</f>
        <v>25</v>
      </c>
      <c r="EG272">
        <f>IF(AD272="","",MAX(1,_xlfn.MAXIFS(Линии[_фаз],Линии[_гр.],DY272,Линии[Щит],A272)))</f>
        <v>1</v>
      </c>
      <c r="EH272">
        <f>IF(AD272="","",IF(AND(AD272&lt;&gt;"авто",AD272&lt;&gt;"+"),IF(ISNUMBER(SEARCH("мА",AD272)),IFERROR(--TRIM(RIGHT(SUBSTITUTE(LEFT(AD272,SEARCH("мА",AD272)-1)," ",REPT(" ",9)),6)),30),0),IF(AE272="нет",0,IF(ISNUMBER(AE272),AE272,IF(AE272="да",30,_xlfn.MINIFS(Линии[_дифзащита по коду, мА],Линии[_гр.],DY272,Линии[Щит],A272,Линии[_дифзащита по коду, мА],"&gt;0"))))))</f>
        <v>30</v>
      </c>
      <c r="EI272">
        <f t="shared" si="396"/>
        <v>1</v>
      </c>
      <c r="EJ272" t="str">
        <f t="shared" si="397"/>
        <v>QFD48</v>
      </c>
      <c r="EK272" t="str">
        <f t="shared" si="398"/>
        <v>QFD48</v>
      </c>
      <c r="EL272" t="str">
        <f t="shared" si="399"/>
        <v/>
      </c>
      <c r="EM272">
        <f t="shared" si="400"/>
        <v>0</v>
      </c>
      <c r="EN272">
        <f>IF(AD272="","",IF(EM272=1,MAX(EE272,Мин_автомат_БП),EE272))</f>
        <v>16</v>
      </c>
      <c r="EO272" t="str">
        <f t="shared" si="401"/>
        <v>2P</v>
      </c>
      <c r="EP272" t="str">
        <f t="shared" si="402"/>
        <v>2P С16А 30мА</v>
      </c>
      <c r="EQ272">
        <f t="shared" si="403"/>
        <v>16</v>
      </c>
      <c r="ER272" t="str">
        <f>IF(OR(AI272="",AI272="-"),"",IFERROR(VLOOKUP(AI272,Модули_спр,2,FALSE),"R"))</f>
        <v/>
      </c>
      <c r="ES272" t="str">
        <f>IF(ER272="","",ER272&amp;"."&amp;COUNTIFS(A$3:A272,A272,ER$3:ER272,ER272))</f>
        <v/>
      </c>
      <c r="ET272" t="str">
        <f t="shared" si="404"/>
        <v/>
      </c>
      <c r="EU272" t="str">
        <f t="shared" si="405"/>
        <v/>
      </c>
      <c r="EV272" t="str">
        <f t="shared" si="406"/>
        <v/>
      </c>
      <c r="EW272" t="str">
        <f t="shared" si="407"/>
        <v/>
      </c>
      <c r="EX272">
        <f t="shared" si="408"/>
        <v>1</v>
      </c>
      <c r="EY272" t="str">
        <f>IF(AK272="нет","",IF(AK272&lt;&gt;"",AK272,IF(EX272=1,"XT"&amp;COUNTIFS(A$3:A272,A272,EX$3:EX272,1),"")))</f>
        <v>XT48</v>
      </c>
      <c r="EZ272" t="str">
        <f t="shared" si="409"/>
        <v>QFD48</v>
      </c>
      <c r="FA272" t="str">
        <f t="shared" si="410"/>
        <v/>
      </c>
      <c r="FB272" t="str">
        <f t="shared" si="411"/>
        <v>ok</v>
      </c>
      <c r="FC272" t="str">
        <f>IF(OR(EV272="",ET272=""),"",IF(EV272&gt;IFERROR(VLOOKUP(EU272,Модули_спр,3,FALSE),99),"ЛИШНИЙ КАНАЛ",IF(AND(AJ272&lt;&gt;"=",COUNTIFS(Линии[_модуль гр.],ET272,Линии[Канал (итог)],EV272,Линии[Канал],"&lt;&gt;=",Линии[Щит],A272)&gt;1),"ДУБЛЬ КАНАЛА","")))</f>
        <v/>
      </c>
      <c r="FD272">
        <f t="shared" si="412"/>
        <v>16</v>
      </c>
      <c r="FE272" t="str">
        <f t="shared" si="413"/>
        <v>2P С16А 30мА</v>
      </c>
      <c r="FF272">
        <f t="shared" si="414"/>
        <v>1</v>
      </c>
      <c r="FG272">
        <f t="shared" si="415"/>
        <v>30</v>
      </c>
      <c r="FH272" t="str">
        <f t="shared" si="416"/>
        <v/>
      </c>
      <c r="FI272">
        <f t="shared" si="417"/>
        <v>10</v>
      </c>
      <c r="FJ272" t="str">
        <f t="shared" si="418"/>
        <v/>
      </c>
      <c r="FK272" t="str">
        <f>IF(AND(D272="",EZ272=""),"",_xlfn.TEXTJOIN("; ",TRUE,IF(AND(D272&lt;&gt;"",DD272=""),"нет фазы",""),IF(AND(D272&lt;&gt;"",N(DT272)=0,CN272&lt;&gt;"Нет"),"нет мощности",""),IF(AND(EY272&lt;&gt;"",COUNTIFS(Линии[Щит],A272,Линии[Клемма (итог)],EY272)&gt;1),"дубль клеммы "&amp;EY272,""),IF(AND(FB272&lt;&gt;"",FB272&lt;&gt;"ok"),FB272,""),IF(FC272&lt;&gt;"",FC272,""),IF(AND(ISNUMBER(SEARCH("(5х",DS272)),N(DV272)=1),"5 жил на 1 фазе",""),IF(AND(AT272="R",AD272&lt;&gt;"",OR(N(EH272)=0,N(EH272)&gt;30)),"розетка без дифзащиты до 30 мА",""),IFERROR(IF(AND(ISNUMBER(CD272),CD272&gt;CE272),"потери "&amp;FIXED(CD272,1)&amp;" % &gt; "&amp;CE272&amp;" %",""),""),IFERROR(IF(LEFT(FJ272,4)="мало","Iкз мало — отключение &gt; 0,4 с",""),""),IF(AND(D272&lt;&gt;"",BD272=""),"не на схеме","")))</f>
        <v/>
      </c>
      <c r="FL272">
        <f>IF(AD272="","",_xlfn.LET(_xlpm.t,IFERROR(_xlfn.XLOOKUP(EP272,Каталог!$U$4:$U$500,Каталог!$G$4:$G$500),""),_xlpm.k,SEARCH("кА",_xlpm.t),IFERROR(--TRIM(RIGHT(SUBSTITUTE(MID(_xlpm.t,MAX(1,_xlpm.k-4),_xlpm.k-MAX(1,_xlpm.k-4))," ",REPT(" ",9)),5)),"")))</f>
        <v>6</v>
      </c>
      <c r="FM272" t="str">
        <f>IF(OR(FL272="",AD272=""),"",IF(_xlfn.XLOOKUP(A272,Щиты[Щит],Щиты[Iкз max на шинах, кА],"")="","",IF(FL272&lt;_xlfn.XLOOKUP(A272,Щиты[Щит],Щиты[Iкз max на шинах, кА]),"Icu "&amp;FL272&amp;" кА &lt; Iкз max","ok")))</f>
        <v/>
      </c>
      <c r="FN272" t="str">
        <f t="shared" si="419"/>
        <v>QFD48|XT48</v>
      </c>
      <c r="FO272" t="str">
        <f t="shared" si="420"/>
        <v>QFD48|XT48|кабель ВВГнг(А)-LS (3х2,5) → Розеточная группа Первый этаж Пом. №021A Холодильник, морозильная камера</v>
      </c>
      <c r="FP272" t="str" cm="1">
        <f t="array" ref="FP272">IF(FO272="","",_xlfn.LET(_xlpm.nd,_xlfn.TEXTSPLIT(FO272,"|"),IF(COLUMNS(_xlpm.nd)&gt;1,A272&amp;"¦"&amp;INDEX(_xlpm.nd,1)&amp;"¦"&amp;INDEX(_xlpm.nd,2),"")))</f>
        <v>ЩР-1¦QFD48¦XT48</v>
      </c>
      <c r="FQ272" t="str">
        <f t="shared" si="421"/>
        <v>R.1.021A.4¦Розеточная группа Первый этаж Пом. №021A Холодильник, морозильная камера</v>
      </c>
      <c r="FR272" t="str" cm="1">
        <f t="array" ref="FR272">IF(FO272="","",_xlfn.LET(_xlpm.nd,_xlfn.TEXTSPLIT(FO272,"|"),IF(COLUMNS(_xlpm.nd)&gt;2,A272&amp;"¦"&amp;INDEX(_xlpm.nd,2)&amp;"¦"&amp;INDEX(_xlpm.nd,3),"")))</f>
        <v>ЩР-1¦XT48¦кабель ВВГнг(А)-LS (3х2,5) → Розеточная группа Первый этаж Пом. №021A Холодильник, морозильная камера</v>
      </c>
      <c r="FS272" t="str">
        <f t="shared" si="422"/>
        <v>R.1.021A.4¦Розеточная группа Первый этаж Пом. №021A Холодильник, морозильная камера</v>
      </c>
      <c r="FT272" t="str" cm="1">
        <f t="array" ref="FT272">IF(FO272="","",_xlfn.LET(_xlpm.nd,_xlfn.TEXTSPLIT(FO272,"|"),IF(COLUMNS(_xlpm.nd)&gt;3,A272&amp;"¦"&amp;INDEX(_xlpm.nd,3)&amp;"¦"&amp;INDEX(_xlpm.nd,4),"")))</f>
        <v/>
      </c>
      <c r="FU272" t="str">
        <f t="shared" si="423"/>
        <v/>
      </c>
      <c r="FV272" t="str" cm="1">
        <f t="array" ref="FV272">IF(FO272="","",_xlfn.LET(_xlpm.nd,_xlfn.TEXTSPLIT(FO272,"|"),IF(COLUMNS(_xlpm.nd)&gt;4,A272&amp;"¦"&amp;INDEX(_xlpm.nd,4)&amp;"¦"&amp;INDEX(_xlpm.nd,5),"")))</f>
        <v/>
      </c>
      <c r="FW272" t="str">
        <f t="shared" si="424"/>
        <v/>
      </c>
      <c r="FX272" t="str" cm="1">
        <f t="array" ref="FX272">IF(FO272="","",_xlfn.LET(_xlpm.nd,_xlfn.TEXTSPLIT(FO272,"|"),IF(COLUMNS(_xlpm.nd)&gt;5,A272&amp;"¦"&amp;INDEX(_xlpm.nd,5)&amp;"¦"&amp;INDEX(_xlpm.nd,6),"")))</f>
        <v/>
      </c>
      <c r="FY272" t="str">
        <f t="shared" si="425"/>
        <v/>
      </c>
      <c r="FZ272" t="str" cm="1">
        <f t="array" ref="FZ272">IF(FO272="","",_xlfn.LET(_xlpm.nd,_xlfn.TEXTSPLIT(FO272,"|"),IF(COLUMNS(_xlpm.nd)&gt;6,A272&amp;"¦"&amp;INDEX(_xlpm.nd,6)&amp;"¦"&amp;INDEX(_xlpm.nd,7),"")))</f>
        <v/>
      </c>
      <c r="GA272" t="str">
        <f t="shared" si="426"/>
        <v/>
      </c>
      <c r="GB272" t="str">
        <f t="shared" si="427"/>
        <v/>
      </c>
      <c r="GC272" t="str">
        <f t="shared" si="428"/>
        <v>QFD48 → XT48</v>
      </c>
      <c r="GD272">
        <f t="shared" si="429"/>
        <v>1</v>
      </c>
      <c r="GE272">
        <f t="shared" si="430"/>
        <v>0</v>
      </c>
      <c r="GF272">
        <f t="shared" si="431"/>
        <v>1</v>
      </c>
      <c r="GG272" t="str">
        <f t="shared" si="432"/>
        <v/>
      </c>
      <c r="GH272" t="str">
        <f t="shared" si="433"/>
        <v/>
      </c>
      <c r="GI272" t="str">
        <f t="shared" si="434"/>
        <v/>
      </c>
      <c r="GJ272" t="str">
        <f t="shared" si="435"/>
        <v/>
      </c>
      <c r="GK272" t="str">
        <f>IF(D272="","",IFERROR(VLOOKUP(D272,УГО_спр,2,FALSE),IFERROR(VLOOKUP(AT272,УГО_спр,2,FALSE),IFERROR(VLOOKUP(LEFT(AT272,2),УГО_спр,2,FALSE),""))))</f>
        <v>Розетка</v>
      </c>
      <c r="GL272" t="str">
        <f>IF(D272="","",IF(OR(GK272="",GK272=0),"BOX",IFERROR(IF(VLOOKUP(GK272,УГО_блоки,3,FALSE)&amp;""&lt;&gt;"",VLOOKUP(GK272,УГО_блоки,3,FALSE),VLOOKUP(GK272,УГО_блоки,2,FALSE)),GK272)))</f>
        <v>SOCKET</v>
      </c>
      <c r="GM272">
        <f t="shared" si="436"/>
        <v>1</v>
      </c>
      <c r="GN272" t="str">
        <f>IF(EP272="","",IF(COUNTIF(EP$3:EP272,EP272)=1,MAX(GN$2:GN271)+1,""))</f>
        <v/>
      </c>
      <c r="GO272" t="str">
        <f>IF(AF272="","",IF(COUNTIF(AF$3:AF272,AF272)+COUNTIF(AG$2:AG271,AF272)+COUNTIF(AH$2:AH271,AF272)=1,MAX(GO$2:GQ271)+1,""))</f>
        <v/>
      </c>
      <c r="GP272" t="str">
        <f>IF(AG272="","",IF(COUNTIF(AF$3:AF272,AG272)+COUNTIF(AG$3:AG272,AG272)+COUNTIF(AH$2:AH271,AG272)=1,MAX(GO$2:GQ271,GO272)+1,""))</f>
        <v/>
      </c>
      <c r="GQ272" t="str">
        <f>IF(AH272="","",IF(COUNTIF(AF$3:AF272,AH272)+COUNTIF(AG$3:AG272,AH272)+COUNTIF(AH$3:AH272,AH272)=1,MAX(GO$2:GQ271,GO272,GP272)+1,""))</f>
        <v/>
      </c>
      <c r="GR272" t="str">
        <f t="shared" si="437"/>
        <v>3х2,5</v>
      </c>
      <c r="GS272" t="str">
        <f>IF(GR272="","",IF(COUNTIF(GR$3:GR272,GR272)=1,MAX(GS$2:GS271)+1,""))</f>
        <v/>
      </c>
      <c r="GT272" t="str">
        <f>IF(ES272="","",COUNTIF(ES$3:ES272,"?*"))</f>
        <v/>
      </c>
      <c r="GU272" t="str">
        <f>IF(OR(ES272="",EU272=""),"",IF(COUNTIFS(ES$3:ES272,"?*",EU$3:EU272,EU272)=1,MAX(GU$2:GU271)+1,""))</f>
        <v/>
      </c>
      <c r="GV272">
        <f t="shared" si="438"/>
        <v>0</v>
      </c>
      <c r="GW272">
        <f>IF(D272="","",COUNTIF(D$3:D272,"?*"))</f>
        <v>270</v>
      </c>
      <c r="GX272">
        <f>IF(EX272&lt;&gt;1,0,_xlfn.LET(_xlpm.k,MAX(IFERROR(--VLOOKUP(D272,УГО_спр,5,FALSE),0),IFERROR(--VLOOKUP(AT272,УГО_спр,5,FALSE),0),IFERROR(--VLOOKUP(LEFT(AT272,2),УГО_спр,5,FALSE),0)),IF(_xlpm.k&gt;0,_xlpm.k,IF(IFERROR(--LEFT(SUBSTITUTE(GR272,"x","х"),FIND("х",SUBSTITUTE(GR272,"x","х"))-1),3)&gt;3,Каталог!$S$9,1))))</f>
        <v>1</v>
      </c>
      <c r="GY272">
        <f t="shared" si="439"/>
        <v>0</v>
      </c>
    </row>
    <row r="273" spans="1:207" x14ac:dyDescent="0.3">
      <c r="A273" t="s">
        <v>762</v>
      </c>
      <c r="B273">
        <v>63</v>
      </c>
      <c r="C273" t="str">
        <f>IF(BD273="","",IF(BE273="вводной узел","узел ","")&amp;"л."&amp;(INT((BD273-1)/Столбцов_на_лист)+1)&amp;" / "&amp;(MOD(BD273-1,Столбцов_на_лист)+1))</f>
        <v>л.4 / 12</v>
      </c>
      <c r="D273" t="s">
        <v>1601</v>
      </c>
      <c r="E273" s="133" t="s">
        <v>1602</v>
      </c>
      <c r="G273">
        <v>0.09</v>
      </c>
      <c r="H273">
        <v>1</v>
      </c>
      <c r="I273">
        <v>1</v>
      </c>
      <c r="J273">
        <v>230</v>
      </c>
      <c r="K273" t="s">
        <v>566</v>
      </c>
      <c r="O273">
        <v>2</v>
      </c>
      <c r="P273">
        <v>39</v>
      </c>
      <c r="Q273">
        <v>20</v>
      </c>
      <c r="R273">
        <v>22</v>
      </c>
      <c r="S273">
        <v>0</v>
      </c>
      <c r="U273" t="s">
        <v>11</v>
      </c>
      <c r="V273">
        <v>3</v>
      </c>
      <c r="W273">
        <v>2.5</v>
      </c>
      <c r="Z273" t="s">
        <v>565</v>
      </c>
      <c r="AA273" t="s">
        <v>818</v>
      </c>
      <c r="AD273" t="s">
        <v>517</v>
      </c>
      <c r="AR273" t="str">
        <f t="shared" si="353"/>
        <v/>
      </c>
      <c r="AS273" cm="1">
        <f t="array" ref="AS273">ROW()-ROW(Линии[#Headers])</f>
        <v>271</v>
      </c>
      <c r="AT273" t="str">
        <f t="shared" si="354"/>
        <v>R</v>
      </c>
      <c r="AU273" t="str">
        <f t="shared" si="355"/>
        <v>1.021A.6</v>
      </c>
      <c r="AV273" t="str">
        <f t="shared" si="356"/>
        <v>1</v>
      </c>
      <c r="AW273" t="str">
        <f t="shared" si="357"/>
        <v>021A.6</v>
      </c>
      <c r="AX273" t="str">
        <f t="shared" si="358"/>
        <v>021A</v>
      </c>
      <c r="AY273" t="str">
        <f>IF(D273="","",IF(ISERROR(SEARCH(".",D273)),IFERROR(VLOOKUP(D273,Потребители_обозначение,2,FALSE)&amp;"",""),IFERROR(IF(VLOOKUP(AT273,Потребители_обозначение,4,FALSE)=1,VLOOKUP(AT273,Потребители_обозначение,2,FALSE)&amp;" "&amp;VLOOKUP(AV273,Этаж_обозначение,2,FALSE)&amp;" Пом. №"&amp;AX273,VLOOKUP(AT273,Потребители_обозначение,2,FALSE)&amp;" Шлейф №"&amp;AV273),IFERROR(VLOOKUP(D273,Потребители_обозначение,2,FALSE),""))))</f>
        <v>Розеточная группа Первый этаж Пом. №021A</v>
      </c>
      <c r="AZ273" t="str">
        <f t="shared" si="359"/>
        <v>Розеточная группа Первый этаж Пом. №021A Вывод для вытяжки</v>
      </c>
      <c r="BA273" t="str">
        <f>IF(F273&lt;&gt;"",F273,IF(AND(D273&lt;&gt;"",D273&lt;&gt;A273,ISNUMBER(_xlfn.XMATCH(D273,Щиты[Щит]))),D273,""))</f>
        <v/>
      </c>
      <c r="BB273">
        <f>IFERROR(_xlfn.XMATCH(A273,Щиты[Щит]),0)</f>
        <v>10</v>
      </c>
      <c r="BC273">
        <f>IFERROR(N(_xlfn.XLOOKUP(A273,Щиты[Щит],Щиты[Мест под вводной узел])),15)</f>
        <v>8</v>
      </c>
      <c r="BD273">
        <f t="shared" si="360"/>
        <v>63</v>
      </c>
      <c r="BE273" t="str">
        <f t="shared" si="361"/>
        <v>линии</v>
      </c>
      <c r="BF273">
        <f>IF(D273="","",IF(BA273&lt;&gt;"",IFERROR(_xlfn.XLOOKUP(BA273,Щиты[Щит],Щиты[Руст, кВт]),0),N(G273)))</f>
        <v>0.09</v>
      </c>
      <c r="BG273">
        <f>IF(J273&lt;&gt;"",J273,IF(D273="","",IFERROR(IF(VLOOKUP(AT273,Потребители_обозначение,8,FALSE)=0,"",VLOOKUP(AT273,Потребители_обозначение,8,FALSE)),"")))</f>
        <v>230</v>
      </c>
      <c r="BH273">
        <f>IF(I273&lt;&gt;"",I273,IF(D273="","",IFERROR(IF(VLOOKUP(AT273,Потребители_обозначение,9,FALSE)=0,"",VLOOKUP(AT273,Потребители_обозначение,9,FALSE)),"")))</f>
        <v>1</v>
      </c>
      <c r="BI273" t="str">
        <f>IF(U273&lt;&gt;"",U273,IF(D273="","",IFERROR(IF(VLOOKUP(AT273,Потребители_обозначение,6,FALSE)=0,"",VLOOKUP(AT273,Потребители_обозначение,6,FALSE)),"")))</f>
        <v>мс</v>
      </c>
      <c r="BJ273">
        <f>IF(V273&lt;&gt;"",V273,IF(D273="","",IFERROR(IF(VLOOKUP(AT273,Потребители_обозначение,7,FALSE)=0,"",VLOOKUP(AT273,Потребители_обозначение,7,FALSE)),"")))</f>
        <v>3</v>
      </c>
      <c r="BK273">
        <f>IF(W273&lt;&gt;"",W273,IF(D273="","",IFERROR(IF(VLOOKUP(AT273,Потребители_обозначение,10,FALSE)=0,"",VLOOKUP(AT273,Потребители_обозначение,10,FALSE)),"")))</f>
        <v>2.5</v>
      </c>
      <c r="BL273">
        <f>IFERROR(VLOOKUP(AT273,Потребители_обозначение,5,FALSE),0)</f>
        <v>1</v>
      </c>
      <c r="BM273" cm="1">
        <f t="array" ref="BM273">IF(D273="","",IF(BA273&lt;&gt;"",IFERROR(_xlfn.XLOOKUP(BA273,Щиты[Щит],Щиты[cos φ]),0.95),IF(ISNUMBER(M273),M273,IFERROR(IF(BL273=2,_xlfn.IFS(BH273=3,VLOOKUP(BF273,Справочная_двигатели,8,FALSE),BH273=1,VLOOKUP(BF273,Справочная_двигатели,10,TRUE)),IF(AND(Методика="нормы 2026",CN273="Сил"),0.8,0.95)),0.95))))</f>
        <v>0.95</v>
      </c>
      <c r="BN273" cm="1">
        <f t="array" ref="BN273">IF(D273="","",IF(BA273&lt;&gt;"",IFERROR(_xlfn.XLOOKUP(BA273,Щиты[Щит],Щиты[Iр, А]),""),IFERROR(_xlfn.IFS(BH273=1,BF273/((Uн_лин/SQRT(3))*BM273),BH273=3,BF273/(SQRT(3)*Uн_лин*BM273)),"")))</f>
        <v>0.41022255968736565</v>
      </c>
      <c r="BO273">
        <f>IF(D273="","",IF(N(X273)=0,IFERROR(VLOOKUP(BN273,Автомат_номиналы,2,TRUE),""),X273))</f>
        <v>6</v>
      </c>
      <c r="BP273">
        <f t="shared" si="362"/>
        <v>1</v>
      </c>
      <c r="BQ273">
        <f>IF(ISNUMBER(Y273),Y273,К_прокл)</f>
        <v>1</v>
      </c>
      <c r="BR273">
        <f t="shared" si="363"/>
        <v>2</v>
      </c>
      <c r="BS273" cm="1">
        <f t="array" ref="BS273">IF(D273="","",IF(N(BK273)&lt;&gt;0,BK273,IFERROR(_xlfn.LET(_xlpm.need,BO273/(BP273*BQ273),_xlpm.t,CHOOSE(BR273,Iдоп_1ж,Iдоп_2ж,Iдоп_3ж),_xlpm.k,_xlfn.XMATCH(_xlpm.need,_xlpm.t,1),IF(ISNA(_xlpm.k),"Не исп",INDEX(Iдоп_S,_xlpm.k))),"Не исп")))</f>
        <v>2.5</v>
      </c>
      <c r="BT273">
        <f>IFERROR(VLOOKUP(BS273,Кабель_сопротивление,3,FALSE),"")</f>
        <v>2.2499999999999999E-2</v>
      </c>
      <c r="BU273">
        <f>IFERROR(VLOOKUP(BS273,Кабель_сопротивление,2,FALSE),"")</f>
        <v>0.1</v>
      </c>
      <c r="BV273">
        <f t="shared" si="364"/>
        <v>39</v>
      </c>
      <c r="BW273">
        <f>IF(D273="","",IFERROR(IF(VLOOKUP(AT273,Потребители_обозначение,4,FALSE)=1,VLOOKUP(AT273,Потребители_обозначение,3,FALSE)*(H273*2-1)+BV273+VLOOKUP(AV273,Этаж_обозначение,3,FALSE)+VLOOKUP(AV273,Этаж_обозначение,4,FALSE),VLOOKUP(AT273,Потребители_обозначение,3,FALSE)*(H273*2-1)+BV273),BV273))</f>
        <v>42</v>
      </c>
      <c r="BX273">
        <f t="shared" si="365"/>
        <v>22</v>
      </c>
      <c r="BY273">
        <f t="shared" si="366"/>
        <v>0</v>
      </c>
      <c r="BZ273">
        <f t="shared" si="367"/>
        <v>2</v>
      </c>
      <c r="CA273">
        <f t="shared" si="368"/>
        <v>0.31</v>
      </c>
      <c r="CB273">
        <f t="shared" si="369"/>
        <v>0.29569006191289193</v>
      </c>
      <c r="CC273">
        <f>IFERROR(ROUNDUP(CB273/((Uн_лин/SQRT(3))*1000)*100,2),"")</f>
        <v>0.13</v>
      </c>
      <c r="CD273">
        <f>IF(ISNUMBER(CC273),CC273+IFERROR(_xlfn.XLOOKUP(A273,Щиты[Щит],Щиты[ΔU до шин, %]),0),"")</f>
        <v>1.38</v>
      </c>
      <c r="CE273">
        <f>IF(D273="","",IF(IFERROR(VLOOKUP(AT273,УГО_спр,2,FALSE),"")="Светильник",3,4)+IF(Методика="нормы 2026",MIN(0.5,MAX(0,N(BW273)-100)*0.005),0))</f>
        <v>4</v>
      </c>
      <c r="CF273" t="str">
        <f>IFERROR(VLOOKUP(BI273,Кабель_обозначение,2,FALSE),"")</f>
        <v>ВВГнг(А)-LS</v>
      </c>
      <c r="CG273" t="str">
        <f>IFERROR(IF(VLOOKUP(BI273,Кабель_обозначение,3,FALSE)=1,CF273&amp;" ("&amp;BJ273&amp;"х"&amp;BS273&amp;")",CF273),"")</f>
        <v>ВВГнг(А)-LS (3х2,5)</v>
      </c>
      <c r="CH273" t="str">
        <f t="shared" si="370"/>
        <v>ВВГнг(А)-LS (3х2,5)
L=42-0,13%</v>
      </c>
      <c r="CI273">
        <f>IFERROR(2*ρкз_Cu*BW273/BS273,"")</f>
        <v>0.88368000000000002</v>
      </c>
      <c r="CJ273">
        <f t="shared" si="371"/>
        <v>0.29400000000000004</v>
      </c>
      <c r="CK273" t="str">
        <f>IFERROR(IF(OR(D273="",NOT(ISNUMBER(BS273)),N(BW273)=0),"",_xlfn.XLOOKUP(A273,Щиты[Щит],Щиты[Zпетли на шинах, Ом])+CI273),"")</f>
        <v/>
      </c>
      <c r="CL273" t="str">
        <f>IF(ISNUMBER(CK273),c_min*(Uн_лин*1000/SQRT(3))/CK273,"")</f>
        <v/>
      </c>
      <c r="CM273" t="str">
        <f>IFERROR(IF(OR(D273="",NOT(ISNUMBER(BS273))),"",1.05*(Uн_лин*1000/SQRT(3))/(_xlfn.XLOOKUP(A273,Щиты[Щит],Щиты[Zmax на шинах, Ом])+CJ273)/1000),"")</f>
        <v/>
      </c>
      <c r="CN273" t="str">
        <f>IF(D273="","",IF(BA273&lt;&gt;"","Щит",IF(K273&lt;&gt;"",K273,IF(ISNUMBER(L273),"Сил",IF(IFERROR(_xlfn.XLOOKUP(AT273,Коды_код,Коды_группа)&amp;"","")="","Быт",_xlfn.XLOOKUP(AT273,Коды_код,Коды_группа)&amp;"")))))</f>
        <v>Быт</v>
      </c>
      <c r="CO273">
        <f>IF(CN273="Щит","щит",IF(CN273="","",IF(CN273="Быт",IFERROR(_xlfn.XLOOKUP(A273,Щиты[Щит],Щиты[Кс быт]),1),IF(CN273="Сил",IF(ISNUMBER(L273),L273,IF(Методика="нормы 2026",IFERROR(_xlfn.XLOOKUP(A273,Щиты[Щит],Щиты[Кс силовых (табл. 7.5)]),1),1)),IF(OR(CN273="Пост",CN273="Отоп"),1,IF(CN273="ВНГ",0.7,0))))))</f>
        <v>0.57830000000000004</v>
      </c>
      <c r="CP273">
        <f t="shared" si="372"/>
        <v>1</v>
      </c>
      <c r="CQ273">
        <f t="shared" si="373"/>
        <v>0.09</v>
      </c>
      <c r="CR273">
        <f t="shared" si="374"/>
        <v>0.09</v>
      </c>
      <c r="CS273">
        <f t="shared" si="375"/>
        <v>0</v>
      </c>
      <c r="CT273">
        <f t="shared" si="376"/>
        <v>0</v>
      </c>
      <c r="CU273">
        <f t="shared" si="377"/>
        <v>0</v>
      </c>
      <c r="CV273">
        <f t="shared" si="378"/>
        <v>0</v>
      </c>
      <c r="CW273">
        <f t="shared" si="379"/>
        <v>0.09</v>
      </c>
      <c r="CX273">
        <f t="shared" si="380"/>
        <v>8.5499999999999993E-2</v>
      </c>
      <c r="CY273">
        <f t="shared" si="381"/>
        <v>1</v>
      </c>
      <c r="CZ273" t="str">
        <f t="shared" si="382"/>
        <v>L1</v>
      </c>
      <c r="DA273" cm="1">
        <f t="array" ref="DA273">IFERROR(IF(BL273=2,_xlfn.IFS(BH273=3,VLOOKUP(BF273,Справочная_двигатели,3,FALSE),BH273=1,VLOOKUP(BF273,Справочная_двигатели,5,TRUE)),0),0)</f>
        <v>0</v>
      </c>
      <c r="DB273">
        <f>IFERROR(IF(BL273=3,VLOOKUP(BF273,Справочная_ЛЭД,2,TRUE),0),0)</f>
        <v>0</v>
      </c>
      <c r="DC273">
        <f t="shared" si="383"/>
        <v>0</v>
      </c>
      <c r="DD273" t="str">
        <f t="shared" si="384"/>
        <v>L2</v>
      </c>
      <c r="DE273" t="str" cm="1">
        <f t="array" ref="DE273">IF(D273="","",IFERROR(INDEX({"I особая","I","II","III"},MATCH(TRIM(AA273&amp;""),{"I особая","I","II","III"},0)),"III"))</f>
        <v>II</v>
      </c>
      <c r="DF273" t="str">
        <f>IF(D273="","",IF(TRIM(AB273&amp;"")&lt;&gt;"",IF(LOWER(TRIM(AB273&amp;""))="да","да","нет"),IF(IFERROR(_xlfn.XLOOKUP(AT273,Коды_код,Коды_пожарная),"")="да","да","нет")))</f>
        <v>нет</v>
      </c>
      <c r="DG273" t="str">
        <f t="shared" si="385"/>
        <v/>
      </c>
      <c r="DH273" t="str">
        <f t="shared" si="386"/>
        <v>основная</v>
      </c>
      <c r="DI273">
        <f t="shared" si="387"/>
        <v>1</v>
      </c>
      <c r="DJ273" t="str" cm="1">
        <f t="array" ref="DJ273">IF(D273="","",_xlfn.LET(_xlpm.t,IFERROR(_xlfn.XLOOKUP(1,(Шины[Шина]=DH273)*(((Шины[Щит]=A273)+(Шины[Щит]=""))&gt;0),Шины[Тип]),"")&amp;"",IF(_xlpm.t&lt;&gt;"",_xlpm.t,IF(ISNUMBER(SEARCH("ИБП",DH273)),"ИБП",IF(ISNUMBER(SEARCH("ДГУ",DH273)),"ДГУ","Ввод "&amp;DI273)))))</f>
        <v>Ввод 1</v>
      </c>
      <c r="DK273" t="str">
        <f t="shared" si="388"/>
        <v>Ввод 1</v>
      </c>
      <c r="DL273" t="str">
        <f>IF(D273="","",IF(OR(DJ273="ИБП",DJ273="ДГУ"),"I особая",IF(DJ273="Одиночная","III",_xlfn.XLOOKUP(A273,Щиты[Щит],Щиты[Категория шины «Ввод»],"III"))))</f>
        <v>II</v>
      </c>
      <c r="DM273">
        <f>IF(D273="",0,IFERROR(MATCH(DE273,{"III","II","I","I особая"},0),1))</f>
        <v>2</v>
      </c>
      <c r="DN273">
        <f t="shared" si="389"/>
        <v>2</v>
      </c>
      <c r="DO273" t="str">
        <f>IF(D273="","",IF(DM273&gt;IFERROR(MATCH(DL273,{"III","II","I","I особая"},0),1),"НЕ ОБЕСПЕЧЕНА","ОК"))</f>
        <v>ОК</v>
      </c>
      <c r="DP273" t="str">
        <f>IF(A273="","",_xlfn.XLOOKUP(A273,Щиты[Щит],Щиты[Путь],""))</f>
        <v>|ГРЩ-ЖД|ЩР-1|</v>
      </c>
      <c r="DQ273" t="str">
        <f>IF(D273="","",IF(Z273&lt;&gt;"",Z273,IF(IFERROR(_xlfn.XLOOKUP(AT273,Коды_код,Коды_вид)&amp;"","")="","Прочее",_xlfn.XLOOKUP(AT273,Коды_код,Коды_вид)&amp;"")))</f>
        <v>Розеточная сеть и бытовые приборы</v>
      </c>
      <c r="DR273">
        <f>IF(BD273="","",INT((BD273-1)/Столбцов_на_лист)+1)</f>
        <v>4</v>
      </c>
      <c r="DS273" t="str">
        <f t="shared" si="390"/>
        <v>ВВГнг(А)-LS (3х2,5) L=42-0,13%</v>
      </c>
      <c r="DT273">
        <f t="shared" si="391"/>
        <v>0.09</v>
      </c>
      <c r="DU273">
        <f t="shared" si="392"/>
        <v>0.42</v>
      </c>
      <c r="DV273">
        <f t="shared" si="393"/>
        <v>1</v>
      </c>
      <c r="DW273">
        <f>IF(AT273="",0,_xlfn.LET(_xlpm.v,IFERROR(VLOOKUP(D273,УГО_спр,3,FALSE),IFERROR(VLOOKUP(AT273,УГО_спр,3,FALSE),IFERROR(VLOOKUP(LEFT(AT273,2),УГО_спр,3,FALSE),""))),IF(_xlpm.v="да",30,IF(ISNUMBER(_xlpm.v),_xlpm.v,0))))</f>
        <v>30</v>
      </c>
      <c r="DX273">
        <f t="shared" si="394"/>
        <v>0</v>
      </c>
      <c r="DY273">
        <f>IF(BD273="","",IF(AD273&lt;&gt;"",COUNTIFS(A$3:A273,A273,AD$3:AD273,"?*"),IF(OR(OR(AS273=1,A273&lt;&gt;A272),AL273="вручную"),"",IF(AS273=1,"",DZ272))))</f>
        <v>49</v>
      </c>
      <c r="DZ273">
        <f t="shared" si="395"/>
        <v>49</v>
      </c>
      <c r="EA273">
        <f>IF(D273="",0,MAX(IFERROR(--X273,0),IFERROR(--VLOOKUP(D273,УГО_спр,4,FALSE),IFERROR(--VLOOKUP(AT273,УГО_спр,4,FALSE),IFERROR(--VLOOKUP(LEFT(AT273,2),УГО_спр,4,FALSE),0)))))</f>
        <v>16</v>
      </c>
      <c r="EB273">
        <f>IF(D273="","",IFERROR(LOOKUP(INDEX(CHOOSE(BR273,Iдоп_1ж,Iдоп_2ж,Iдоп_3ж),MATCH(BS273,Iдоп_S,0))*BP273*BQ273,{6,10,16,20,25,32,40,50,63,80,100,125,160,200,250,315,400,500,630}),""))</f>
        <v>25</v>
      </c>
      <c r="EC273">
        <f>IF(AD273="","",SUMIFS(Линии[_Ток схемы],Линии[_гр.],DY273,Линии[Щит],A273,Линии[_в кабель выше],0))</f>
        <v>0.42</v>
      </c>
      <c r="ED273">
        <f>IF(AD273="","",IFERROR(VLOOKUP(EC273,Автомат_номиналы,2,TRUE),""))</f>
        <v>6</v>
      </c>
      <c r="EE273">
        <f>IF(AD273="","",MAX(N(ED273),_xlfn.MAXIFS(Линии[_мин. по типу],Линии[_гр.],DY273,Линии[Щит],A273)))</f>
        <v>16</v>
      </c>
      <c r="EF273">
        <f>IF(AD273="","",_xlfn.MINIFS(Линии[_макс. автомат по кабелю],Линии[_гр.],DY273,Линии[Щит],A273))</f>
        <v>25</v>
      </c>
      <c r="EG273">
        <f>IF(AD273="","",MAX(1,_xlfn.MAXIFS(Линии[_фаз],Линии[_гр.],DY273,Линии[Щит],A273)))</f>
        <v>1</v>
      </c>
      <c r="EH273">
        <f>IF(AD273="","",IF(AND(AD273&lt;&gt;"авто",AD273&lt;&gt;"+"),IF(ISNUMBER(SEARCH("мА",AD273)),IFERROR(--TRIM(RIGHT(SUBSTITUTE(LEFT(AD273,SEARCH("мА",AD273)-1)," ",REPT(" ",9)),6)),30),0),IF(AE273="нет",0,IF(ISNUMBER(AE273),AE273,IF(AE273="да",30,_xlfn.MINIFS(Линии[_дифзащита по коду, мА],Линии[_гр.],DY273,Линии[Щит],A273,Линии[_дифзащита по коду, мА],"&gt;0"))))))</f>
        <v>30</v>
      </c>
      <c r="EI273">
        <f t="shared" si="396"/>
        <v>1</v>
      </c>
      <c r="EJ273" t="str">
        <f t="shared" si="397"/>
        <v>QFD49</v>
      </c>
      <c r="EK273" t="str">
        <f t="shared" si="398"/>
        <v>QFD49</v>
      </c>
      <c r="EL273" t="str">
        <f t="shared" si="399"/>
        <v/>
      </c>
      <c r="EM273">
        <f t="shared" si="400"/>
        <v>0</v>
      </c>
      <c r="EN273">
        <f>IF(AD273="","",IF(EM273=1,MAX(EE273,Мин_автомат_БП),EE273))</f>
        <v>16</v>
      </c>
      <c r="EO273" t="str">
        <f t="shared" si="401"/>
        <v>2P</v>
      </c>
      <c r="EP273" t="str">
        <f t="shared" si="402"/>
        <v>2P С16А 30мА</v>
      </c>
      <c r="EQ273">
        <f t="shared" si="403"/>
        <v>16</v>
      </c>
      <c r="ER273" t="str">
        <f>IF(OR(AI273="",AI273="-"),"",IFERROR(VLOOKUP(AI273,Модули_спр,2,FALSE),"R"))</f>
        <v/>
      </c>
      <c r="ES273" t="str">
        <f>IF(ER273="","",ER273&amp;"."&amp;COUNTIFS(A$3:A273,A273,ER$3:ER273,ER273))</f>
        <v/>
      </c>
      <c r="ET273" t="str">
        <f t="shared" si="404"/>
        <v/>
      </c>
      <c r="EU273" t="str">
        <f t="shared" si="405"/>
        <v/>
      </c>
      <c r="EV273" t="str">
        <f t="shared" si="406"/>
        <v/>
      </c>
      <c r="EW273" t="str">
        <f t="shared" si="407"/>
        <v/>
      </c>
      <c r="EX273">
        <f t="shared" si="408"/>
        <v>1</v>
      </c>
      <c r="EY273" t="str">
        <f>IF(AK273="нет","",IF(AK273&lt;&gt;"",AK273,IF(EX273=1,"XT"&amp;COUNTIFS(A$3:A273,A273,EX$3:EX273,1),"")))</f>
        <v>XT49</v>
      </c>
      <c r="EZ273" t="str">
        <f t="shared" si="409"/>
        <v>QFD49</v>
      </c>
      <c r="FA273" t="str">
        <f t="shared" si="410"/>
        <v/>
      </c>
      <c r="FB273" t="str">
        <f t="shared" si="411"/>
        <v>ok</v>
      </c>
      <c r="FC273" t="str">
        <f>IF(OR(EV273="",ET273=""),"",IF(EV273&gt;IFERROR(VLOOKUP(EU273,Модули_спр,3,FALSE),99),"ЛИШНИЙ КАНАЛ",IF(AND(AJ273&lt;&gt;"=",COUNTIFS(Линии[_модуль гр.],ET273,Линии[Канал (итог)],EV273,Линии[Канал],"&lt;&gt;=",Линии[Щит],A273)&gt;1),"ДУБЛЬ КАНАЛА","")))</f>
        <v/>
      </c>
      <c r="FD273">
        <f t="shared" si="412"/>
        <v>16</v>
      </c>
      <c r="FE273" t="str">
        <f t="shared" si="413"/>
        <v>2P С16А 30мА</v>
      </c>
      <c r="FF273">
        <f t="shared" si="414"/>
        <v>1</v>
      </c>
      <c r="FG273">
        <f t="shared" si="415"/>
        <v>30</v>
      </c>
      <c r="FH273" t="str">
        <f t="shared" si="416"/>
        <v/>
      </c>
      <c r="FI273">
        <f t="shared" si="417"/>
        <v>10</v>
      </c>
      <c r="FJ273" t="str">
        <f t="shared" si="418"/>
        <v/>
      </c>
      <c r="FK273" t="str">
        <f>IF(AND(D273="",EZ273=""),"",_xlfn.TEXTJOIN("; ",TRUE,IF(AND(D273&lt;&gt;"",DD273=""),"нет фазы",""),IF(AND(D273&lt;&gt;"",N(DT273)=0,CN273&lt;&gt;"Нет"),"нет мощности",""),IF(AND(EY273&lt;&gt;"",COUNTIFS(Линии[Щит],A273,Линии[Клемма (итог)],EY273)&gt;1),"дубль клеммы "&amp;EY273,""),IF(AND(FB273&lt;&gt;"",FB273&lt;&gt;"ok"),FB273,""),IF(FC273&lt;&gt;"",FC273,""),IF(AND(ISNUMBER(SEARCH("(5х",DS273)),N(DV273)=1),"5 жил на 1 фазе",""),IF(AND(AT273="R",AD273&lt;&gt;"",OR(N(EH273)=0,N(EH273)&gt;30)),"розетка без дифзащиты до 30 мА",""),IFERROR(IF(AND(ISNUMBER(CD273),CD273&gt;CE273),"потери "&amp;FIXED(CD273,1)&amp;" % &gt; "&amp;CE273&amp;" %",""),""),IFERROR(IF(LEFT(FJ273,4)="мало","Iкз мало — отключение &gt; 0,4 с",""),""),IF(AND(D273&lt;&gt;"",BD273=""),"не на схеме","")))</f>
        <v/>
      </c>
      <c r="FL273">
        <f>IF(AD273="","",_xlfn.LET(_xlpm.t,IFERROR(_xlfn.XLOOKUP(EP273,Каталог!$U$4:$U$500,Каталог!$G$4:$G$500),""),_xlpm.k,SEARCH("кА",_xlpm.t),IFERROR(--TRIM(RIGHT(SUBSTITUTE(MID(_xlpm.t,MAX(1,_xlpm.k-4),_xlpm.k-MAX(1,_xlpm.k-4))," ",REPT(" ",9)),5)),"")))</f>
        <v>6</v>
      </c>
      <c r="FM273" t="str">
        <f>IF(OR(FL273="",AD273=""),"",IF(_xlfn.XLOOKUP(A273,Щиты[Щит],Щиты[Iкз max на шинах, кА],"")="","",IF(FL273&lt;_xlfn.XLOOKUP(A273,Щиты[Щит],Щиты[Iкз max на шинах, кА]),"Icu "&amp;FL273&amp;" кА &lt; Iкз max","ok")))</f>
        <v/>
      </c>
      <c r="FN273" t="str">
        <f t="shared" si="419"/>
        <v>QFD49|XT49</v>
      </c>
      <c r="FO273" t="str">
        <f t="shared" si="420"/>
        <v>QFD49|XT49|кабель ВВГнг(А)-LS (3х2,5) → Розеточная группа Первый этаж Пом. №021A Вывод для вытяжки</v>
      </c>
      <c r="FP273" t="str" cm="1">
        <f t="array" ref="FP273">IF(FO273="","",_xlfn.LET(_xlpm.nd,_xlfn.TEXTSPLIT(FO273,"|"),IF(COLUMNS(_xlpm.nd)&gt;1,A273&amp;"¦"&amp;INDEX(_xlpm.nd,1)&amp;"¦"&amp;INDEX(_xlpm.nd,2),"")))</f>
        <v>ЩР-1¦QFD49¦XT49</v>
      </c>
      <c r="FQ273" t="str">
        <f t="shared" si="421"/>
        <v>R.1.021A.6¦Розеточная группа Первый этаж Пом. №021A Вывод для вытяжки</v>
      </c>
      <c r="FR273" t="str" cm="1">
        <f t="array" ref="FR273">IF(FO273="","",_xlfn.LET(_xlpm.nd,_xlfn.TEXTSPLIT(FO273,"|"),IF(COLUMNS(_xlpm.nd)&gt;2,A273&amp;"¦"&amp;INDEX(_xlpm.nd,2)&amp;"¦"&amp;INDEX(_xlpm.nd,3),"")))</f>
        <v>ЩР-1¦XT49¦кабель ВВГнг(А)-LS (3х2,5) → Розеточная группа Первый этаж Пом. №021A Вывод для вытяжки</v>
      </c>
      <c r="FS273" t="str">
        <f t="shared" si="422"/>
        <v>R.1.021A.6¦Розеточная группа Первый этаж Пом. №021A Вывод для вытяжки</v>
      </c>
      <c r="FT273" t="str" cm="1">
        <f t="array" ref="FT273">IF(FO273="","",_xlfn.LET(_xlpm.nd,_xlfn.TEXTSPLIT(FO273,"|"),IF(COLUMNS(_xlpm.nd)&gt;3,A273&amp;"¦"&amp;INDEX(_xlpm.nd,3)&amp;"¦"&amp;INDEX(_xlpm.nd,4),"")))</f>
        <v/>
      </c>
      <c r="FU273" t="str">
        <f t="shared" si="423"/>
        <v/>
      </c>
      <c r="FV273" t="str" cm="1">
        <f t="array" ref="FV273">IF(FO273="","",_xlfn.LET(_xlpm.nd,_xlfn.TEXTSPLIT(FO273,"|"),IF(COLUMNS(_xlpm.nd)&gt;4,A273&amp;"¦"&amp;INDEX(_xlpm.nd,4)&amp;"¦"&amp;INDEX(_xlpm.nd,5),"")))</f>
        <v/>
      </c>
      <c r="FW273" t="str">
        <f t="shared" si="424"/>
        <v/>
      </c>
      <c r="FX273" t="str" cm="1">
        <f t="array" ref="FX273">IF(FO273="","",_xlfn.LET(_xlpm.nd,_xlfn.TEXTSPLIT(FO273,"|"),IF(COLUMNS(_xlpm.nd)&gt;5,A273&amp;"¦"&amp;INDEX(_xlpm.nd,5)&amp;"¦"&amp;INDEX(_xlpm.nd,6),"")))</f>
        <v/>
      </c>
      <c r="FY273" t="str">
        <f t="shared" si="425"/>
        <v/>
      </c>
      <c r="FZ273" t="str" cm="1">
        <f t="array" ref="FZ273">IF(FO273="","",_xlfn.LET(_xlpm.nd,_xlfn.TEXTSPLIT(FO273,"|"),IF(COLUMNS(_xlpm.nd)&gt;6,A273&amp;"¦"&amp;INDEX(_xlpm.nd,6)&amp;"¦"&amp;INDEX(_xlpm.nd,7),"")))</f>
        <v/>
      </c>
      <c r="GA273" t="str">
        <f t="shared" si="426"/>
        <v/>
      </c>
      <c r="GB273" t="str">
        <f t="shared" si="427"/>
        <v/>
      </c>
      <c r="GC273" t="str">
        <f t="shared" si="428"/>
        <v>QFD49 → XT49</v>
      </c>
      <c r="GD273">
        <f t="shared" si="429"/>
        <v>1</v>
      </c>
      <c r="GE273">
        <f t="shared" si="430"/>
        <v>0</v>
      </c>
      <c r="GF273">
        <f t="shared" si="431"/>
        <v>1</v>
      </c>
      <c r="GG273" t="str">
        <f t="shared" si="432"/>
        <v/>
      </c>
      <c r="GH273" t="str">
        <f t="shared" si="433"/>
        <v/>
      </c>
      <c r="GI273" t="str">
        <f t="shared" si="434"/>
        <v/>
      </c>
      <c r="GJ273" t="str">
        <f t="shared" si="435"/>
        <v/>
      </c>
      <c r="GK273" t="str">
        <f>IF(D273="","",IFERROR(VLOOKUP(D273,УГО_спр,2,FALSE),IFERROR(VLOOKUP(AT273,УГО_спр,2,FALSE),IFERROR(VLOOKUP(LEFT(AT273,2),УГО_спр,2,FALSE),""))))</f>
        <v>Розетка</v>
      </c>
      <c r="GL273" t="str">
        <f>IF(D273="","",IF(OR(GK273="",GK273=0),"BOX",IFERROR(IF(VLOOKUP(GK273,УГО_блоки,3,FALSE)&amp;""&lt;&gt;"",VLOOKUP(GK273,УГО_блоки,3,FALSE),VLOOKUP(GK273,УГО_блоки,2,FALSE)),GK273)))</f>
        <v>SOCKET</v>
      </c>
      <c r="GM273">
        <f t="shared" si="436"/>
        <v>1</v>
      </c>
      <c r="GN273" t="str">
        <f>IF(EP273="","",IF(COUNTIF(EP$3:EP273,EP273)=1,MAX(GN$2:GN272)+1,""))</f>
        <v/>
      </c>
      <c r="GO273" t="str">
        <f>IF(AF273="","",IF(COUNTIF(AF$3:AF273,AF273)+COUNTIF(AG$2:AG272,AF273)+COUNTIF(AH$2:AH272,AF273)=1,MAX(GO$2:GQ272)+1,""))</f>
        <v/>
      </c>
      <c r="GP273" t="str">
        <f>IF(AG273="","",IF(COUNTIF(AF$3:AF273,AG273)+COUNTIF(AG$3:AG273,AG273)+COUNTIF(AH$2:AH272,AG273)=1,MAX(GO$2:GQ272,GO273)+1,""))</f>
        <v/>
      </c>
      <c r="GQ273" t="str">
        <f>IF(AH273="","",IF(COUNTIF(AF$3:AF273,AH273)+COUNTIF(AG$3:AG273,AH273)+COUNTIF(AH$3:AH273,AH273)=1,MAX(GO$2:GQ272,GO273,GP273)+1,""))</f>
        <v/>
      </c>
      <c r="GR273" t="str">
        <f t="shared" si="437"/>
        <v>3х2,5</v>
      </c>
      <c r="GS273" t="str">
        <f>IF(GR273="","",IF(COUNTIF(GR$3:GR273,GR273)=1,MAX(GS$2:GS272)+1,""))</f>
        <v/>
      </c>
      <c r="GT273" t="str">
        <f>IF(ES273="","",COUNTIF(ES$3:ES273,"?*"))</f>
        <v/>
      </c>
      <c r="GU273" t="str">
        <f>IF(OR(ES273="",EU273=""),"",IF(COUNTIFS(ES$3:ES273,"?*",EU$3:EU273,EU273)=1,MAX(GU$2:GU272)+1,""))</f>
        <v/>
      </c>
      <c r="GV273">
        <f t="shared" si="438"/>
        <v>0</v>
      </c>
      <c r="GW273">
        <f>IF(D273="","",COUNTIF(D$3:D273,"?*"))</f>
        <v>271</v>
      </c>
      <c r="GX273">
        <f>IF(EX273&lt;&gt;1,0,_xlfn.LET(_xlpm.k,MAX(IFERROR(--VLOOKUP(D273,УГО_спр,5,FALSE),0),IFERROR(--VLOOKUP(AT273,УГО_спр,5,FALSE),0),IFERROR(--VLOOKUP(LEFT(AT273,2),УГО_спр,5,FALSE),0)),IF(_xlpm.k&gt;0,_xlpm.k,IF(IFERROR(--LEFT(SUBSTITUTE(GR273,"x","х"),FIND("х",SUBSTITUTE(GR273,"x","х"))-1),3)&gt;3,Каталог!$S$9,1))))</f>
        <v>1</v>
      </c>
      <c r="GY273">
        <f t="shared" si="439"/>
        <v>0</v>
      </c>
    </row>
    <row r="274" spans="1:207" x14ac:dyDescent="0.3">
      <c r="A274" t="s">
        <v>762</v>
      </c>
      <c r="B274">
        <v>64</v>
      </c>
      <c r="C274" t="str">
        <f>IF(BD274="","",IF(BE274="вводной узел","узел ","")&amp;"л."&amp;(INT((BD274-1)/Столбцов_на_лист)+1)&amp;" / "&amp;(MOD(BD274-1,Столбцов_на_лист)+1))</f>
        <v>л.4 / 13</v>
      </c>
      <c r="D274" t="s">
        <v>1603</v>
      </c>
      <c r="E274" s="133" t="s">
        <v>1604</v>
      </c>
      <c r="G274">
        <v>7.36</v>
      </c>
      <c r="H274">
        <v>1</v>
      </c>
      <c r="I274">
        <v>3</v>
      </c>
      <c r="J274">
        <v>400</v>
      </c>
      <c r="K274" t="s">
        <v>566</v>
      </c>
      <c r="O274" t="s">
        <v>1298</v>
      </c>
      <c r="P274">
        <v>39</v>
      </c>
      <c r="Q274">
        <v>20</v>
      </c>
      <c r="R274">
        <v>22</v>
      </c>
      <c r="S274">
        <v>0</v>
      </c>
      <c r="U274" t="s">
        <v>11</v>
      </c>
      <c r="V274">
        <v>5</v>
      </c>
      <c r="W274">
        <v>4</v>
      </c>
      <c r="Z274" t="s">
        <v>565</v>
      </c>
      <c r="AA274" t="s">
        <v>818</v>
      </c>
      <c r="AD274" t="s">
        <v>517</v>
      </c>
      <c r="AR274" t="str">
        <f t="shared" si="353"/>
        <v/>
      </c>
      <c r="AS274" cm="1">
        <f t="array" ref="AS274">ROW()-ROW(Линии[#Headers])</f>
        <v>272</v>
      </c>
      <c r="AT274" t="str">
        <f t="shared" si="354"/>
        <v>R</v>
      </c>
      <c r="AU274" t="str">
        <f t="shared" si="355"/>
        <v>1.021A.7</v>
      </c>
      <c r="AV274" t="str">
        <f t="shared" si="356"/>
        <v>1</v>
      </c>
      <c r="AW274" t="str">
        <f t="shared" si="357"/>
        <v>021A.7</v>
      </c>
      <c r="AX274" t="str">
        <f t="shared" si="358"/>
        <v>021A</v>
      </c>
      <c r="AY274" t="str">
        <f>IF(D274="","",IF(ISERROR(SEARCH(".",D274)),IFERROR(VLOOKUP(D274,Потребители_обозначение,2,FALSE)&amp;"",""),IFERROR(IF(VLOOKUP(AT274,Потребители_обозначение,4,FALSE)=1,VLOOKUP(AT274,Потребители_обозначение,2,FALSE)&amp;" "&amp;VLOOKUP(AV274,Этаж_обозначение,2,FALSE)&amp;" Пом. №"&amp;AX274,VLOOKUP(AT274,Потребители_обозначение,2,FALSE)&amp;" Шлейф №"&amp;AV274),IFERROR(VLOOKUP(D274,Потребители_обозначение,2,FALSE),""))))</f>
        <v>Розеточная группа Первый этаж Пом. №021A</v>
      </c>
      <c r="AZ274" t="str">
        <f t="shared" si="359"/>
        <v>Розеточная группа Первый этаж Пом. №021A Вывод на варочную панель</v>
      </c>
      <c r="BA274" t="str">
        <f>IF(F274&lt;&gt;"",F274,IF(AND(D274&lt;&gt;"",D274&lt;&gt;A274,ISNUMBER(_xlfn.XMATCH(D274,Щиты[Щит]))),D274,""))</f>
        <v/>
      </c>
      <c r="BB274">
        <f>IFERROR(_xlfn.XMATCH(A274,Щиты[Щит]),0)</f>
        <v>10</v>
      </c>
      <c r="BC274">
        <f>IFERROR(N(_xlfn.XLOOKUP(A274,Щиты[Щит],Щиты[Мест под вводной узел])),15)</f>
        <v>8</v>
      </c>
      <c r="BD274">
        <f t="shared" si="360"/>
        <v>64</v>
      </c>
      <c r="BE274" t="str">
        <f t="shared" si="361"/>
        <v>линии</v>
      </c>
      <c r="BF274">
        <f>IF(D274="","",IF(BA274&lt;&gt;"",IFERROR(_xlfn.XLOOKUP(BA274,Щиты[Щит],Щиты[Руст, кВт]),0),N(G274)))</f>
        <v>7.36</v>
      </c>
      <c r="BG274">
        <f>IF(J274&lt;&gt;"",J274,IF(D274="","",IFERROR(IF(VLOOKUP(AT274,Потребители_обозначение,8,FALSE)=0,"",VLOOKUP(AT274,Потребители_обозначение,8,FALSE)),"")))</f>
        <v>400</v>
      </c>
      <c r="BH274">
        <f>IF(I274&lt;&gt;"",I274,IF(D274="","",IFERROR(IF(VLOOKUP(AT274,Потребители_обозначение,9,FALSE)=0,"",VLOOKUP(AT274,Потребители_обозначение,9,FALSE)),"")))</f>
        <v>3</v>
      </c>
      <c r="BI274" t="str">
        <f>IF(U274&lt;&gt;"",U274,IF(D274="","",IFERROR(IF(VLOOKUP(AT274,Потребители_обозначение,6,FALSE)=0,"",VLOOKUP(AT274,Потребители_обозначение,6,FALSE)),"")))</f>
        <v>мс</v>
      </c>
      <c r="BJ274">
        <f>IF(V274&lt;&gt;"",V274,IF(D274="","",IFERROR(IF(VLOOKUP(AT274,Потребители_обозначение,7,FALSE)=0,"",VLOOKUP(AT274,Потребители_обозначение,7,FALSE)),"")))</f>
        <v>5</v>
      </c>
      <c r="BK274">
        <f>IF(W274&lt;&gt;"",W274,IF(D274="","",IFERROR(IF(VLOOKUP(AT274,Потребители_обозначение,10,FALSE)=0,"",VLOOKUP(AT274,Потребители_обозначение,10,FALSE)),"")))</f>
        <v>4</v>
      </c>
      <c r="BL274">
        <f>IFERROR(VLOOKUP(AT274,Потребители_обозначение,5,FALSE),0)</f>
        <v>1</v>
      </c>
      <c r="BM274" cm="1">
        <f t="array" ref="BM274">IF(D274="","",IF(BA274&lt;&gt;"",IFERROR(_xlfn.XLOOKUP(BA274,Щиты[Щит],Щиты[cos φ]),0.95),IF(ISNUMBER(M274),M274,IFERROR(IF(BL274=2,_xlfn.IFS(BH274=3,VLOOKUP(BF274,Справочная_двигатели,8,FALSE),BH274=1,VLOOKUP(BF274,Справочная_двигатели,10,TRUE)),IF(AND(Методика="нормы 2026",CN274="Сил"),0.8,0.95)),0.95))))</f>
        <v>0.95</v>
      </c>
      <c r="BN274" cm="1">
        <f t="array" ref="BN274">IF(D274="","",IF(BA274&lt;&gt;"",IFERROR(_xlfn.XLOOKUP(BA274,Щиты[Щит],Щиты[Iр, А]),""),IFERROR(_xlfn.IFS(BH274=1,BF274/((Uн_лин/SQRT(3))*BM274),BH274=3,BF274/(SQRT(3)*Uн_лин*BM274)),"")))</f>
        <v>11.182363108514858</v>
      </c>
      <c r="BO274">
        <f>IF(D274="","",IF(N(X274)=0,IFERROR(VLOOKUP(BN274,Автомат_номиналы,2,TRUE),""),X274))</f>
        <v>16</v>
      </c>
      <c r="BP274">
        <f t="shared" si="362"/>
        <v>0.92</v>
      </c>
      <c r="BQ274">
        <f>IF(ISNUMBER(Y274),Y274,К_прокл)</f>
        <v>1</v>
      </c>
      <c r="BR274">
        <f t="shared" si="363"/>
        <v>3</v>
      </c>
      <c r="BS274" cm="1">
        <f t="array" ref="BS274">IF(D274="","",IF(N(BK274)&lt;&gt;0,BK274,IFERROR(_xlfn.LET(_xlpm.need,BO274/(BP274*BQ274),_xlpm.t,CHOOSE(BR274,Iдоп_1ж,Iдоп_2ж,Iдоп_3ж),_xlpm.k,_xlfn.XMATCH(_xlpm.need,_xlpm.t,1),IF(ISNA(_xlpm.k),"Не исп",INDEX(Iдоп_S,_xlpm.k))),"Не исп")))</f>
        <v>4</v>
      </c>
      <c r="BT274">
        <f>IFERROR(VLOOKUP(BS274,Кабель_сопротивление,3,FALSE),"")</f>
        <v>2.2499999999999999E-2</v>
      </c>
      <c r="BU274">
        <f>IFERROR(VLOOKUP(BS274,Кабель_сопротивление,2,FALSE),"")</f>
        <v>9.5000000000000001E-2</v>
      </c>
      <c r="BV274">
        <f t="shared" si="364"/>
        <v>39</v>
      </c>
      <c r="BW274">
        <f>IF(D274="","",IFERROR(IF(VLOOKUP(AT274,Потребители_обозначение,4,FALSE)=1,VLOOKUP(AT274,Потребители_обозначение,3,FALSE)*(H274*2-1)+BV274+VLOOKUP(AV274,Этаж_обозначение,3,FALSE)+VLOOKUP(AV274,Этаж_обозначение,4,FALSE),VLOOKUP(AT274,Потребители_обозначение,3,FALSE)*(H274*2-1)+BV274),BV274))</f>
        <v>42</v>
      </c>
      <c r="BX274">
        <f t="shared" si="365"/>
        <v>22</v>
      </c>
      <c r="BY274">
        <f t="shared" si="366"/>
        <v>0</v>
      </c>
      <c r="BZ274">
        <f t="shared" si="367"/>
        <v>1</v>
      </c>
      <c r="CA274">
        <f t="shared" si="368"/>
        <v>0.31</v>
      </c>
      <c r="CB274">
        <f t="shared" si="369"/>
        <v>2.5235730850962255</v>
      </c>
      <c r="CC274">
        <f>IFERROR(ROUNDUP(CB274/((Uн_лин/SQRT(3))*1000)*100,2),"")</f>
        <v>1.1000000000000001</v>
      </c>
      <c r="CD274">
        <f>IF(ISNUMBER(CC274),CC274+IFERROR(_xlfn.XLOOKUP(A274,Щиты[Щит],Щиты[ΔU до шин, %]),0),"")</f>
        <v>2.35</v>
      </c>
      <c r="CE274">
        <f>IF(D274="","",IF(IFERROR(VLOOKUP(AT274,УГО_спр,2,FALSE),"")="Светильник",3,4)+IF(Методика="нормы 2026",MIN(0.5,MAX(0,N(BW274)-100)*0.005),0))</f>
        <v>4</v>
      </c>
      <c r="CF274" t="str">
        <f>IFERROR(VLOOKUP(BI274,Кабель_обозначение,2,FALSE),"")</f>
        <v>ВВГнг(А)-LS</v>
      </c>
      <c r="CG274" t="str">
        <f>IFERROR(IF(VLOOKUP(BI274,Кабель_обозначение,3,FALSE)=1,CF274&amp;" ("&amp;BJ274&amp;"х"&amp;BS274&amp;")",CF274),"")</f>
        <v>ВВГнг(А)-LS (5х4)</v>
      </c>
      <c r="CH274" t="str">
        <f t="shared" si="370"/>
        <v>ВВГнг(А)-LS (5х4)
L=42-1,1%</v>
      </c>
      <c r="CI274">
        <f>IFERROR(2*ρкз_Cu*BW274/BS274,"")</f>
        <v>0.55230000000000001</v>
      </c>
      <c r="CJ274">
        <f t="shared" si="371"/>
        <v>0.18375000000000002</v>
      </c>
      <c r="CK274" t="str">
        <f>IFERROR(IF(OR(D274="",NOT(ISNUMBER(BS274)),N(BW274)=0),"",_xlfn.XLOOKUP(A274,Щиты[Щит],Щиты[Zпетли на шинах, Ом])+CI274),"")</f>
        <v/>
      </c>
      <c r="CL274" t="str">
        <f>IF(ISNUMBER(CK274),c_min*(Uн_лин*1000/SQRT(3))/CK274,"")</f>
        <v/>
      </c>
      <c r="CM274" t="str">
        <f>IFERROR(IF(OR(D274="",NOT(ISNUMBER(BS274))),"",1.05*(Uн_лин*1000/SQRT(3))/(_xlfn.XLOOKUP(A274,Щиты[Щит],Щиты[Zmax на шинах, Ом])+CJ274)/1000),"")</f>
        <v/>
      </c>
      <c r="CN274" t="str">
        <f>IF(D274="","",IF(BA274&lt;&gt;"","Щит",IF(K274&lt;&gt;"",K274,IF(ISNUMBER(L274),"Сил",IF(IFERROR(_xlfn.XLOOKUP(AT274,Коды_код,Коды_группа)&amp;"","")="","Быт",_xlfn.XLOOKUP(AT274,Коды_код,Коды_группа)&amp;"")))))</f>
        <v>Быт</v>
      </c>
      <c r="CO274">
        <f>IF(CN274="Щит","щит",IF(CN274="","",IF(CN274="Быт",IFERROR(_xlfn.XLOOKUP(A274,Щиты[Щит],Щиты[Кс быт]),1),IF(CN274="Сил",IF(ISNUMBER(L274),L274,IF(Методика="нормы 2026",IFERROR(_xlfn.XLOOKUP(A274,Щиты[Щит],Щиты[Кс силовых (табл. 7.5)]),1),1)),IF(OR(CN274="Пост",CN274="Отоп"),1,IF(CN274="ВНГ",0.7,0))))))</f>
        <v>0.57830000000000004</v>
      </c>
      <c r="CP274">
        <f t="shared" si="372"/>
        <v>1</v>
      </c>
      <c r="CQ274">
        <f t="shared" si="373"/>
        <v>7.36</v>
      </c>
      <c r="CR274">
        <f t="shared" si="374"/>
        <v>7.36</v>
      </c>
      <c r="CS274">
        <f t="shared" si="375"/>
        <v>0</v>
      </c>
      <c r="CT274">
        <f t="shared" si="376"/>
        <v>0</v>
      </c>
      <c r="CU274">
        <f t="shared" si="377"/>
        <v>0</v>
      </c>
      <c r="CV274">
        <f t="shared" si="378"/>
        <v>0</v>
      </c>
      <c r="CW274">
        <f t="shared" si="379"/>
        <v>7.36</v>
      </c>
      <c r="CX274">
        <f t="shared" si="380"/>
        <v>6.992</v>
      </c>
      <c r="CY274">
        <f t="shared" si="381"/>
        <v>1</v>
      </c>
      <c r="CZ274" t="str">
        <f t="shared" si="382"/>
        <v>L1,L2,L3</v>
      </c>
      <c r="DA274" cm="1">
        <f t="array" ref="DA274">IFERROR(IF(BL274=2,_xlfn.IFS(BH274=3,VLOOKUP(BF274,Справочная_двигатели,3,FALSE),BH274=1,VLOOKUP(BF274,Справочная_двигатели,5,TRUE)),0),0)</f>
        <v>0</v>
      </c>
      <c r="DB274">
        <f>IFERROR(IF(BL274=3,VLOOKUP(BF274,Справочная_ЛЭД,2,TRUE),0),0)</f>
        <v>0</v>
      </c>
      <c r="DC274">
        <f t="shared" si="383"/>
        <v>0</v>
      </c>
      <c r="DD274" t="str">
        <f t="shared" si="384"/>
        <v>L1,L2,L3</v>
      </c>
      <c r="DE274" t="str" cm="1">
        <f t="array" ref="DE274">IF(D274="","",IFERROR(INDEX({"I особая","I","II","III"},MATCH(TRIM(AA274&amp;""),{"I особая","I","II","III"},0)),"III"))</f>
        <v>II</v>
      </c>
      <c r="DF274" t="str">
        <f>IF(D274="","",IF(TRIM(AB274&amp;"")&lt;&gt;"",IF(LOWER(TRIM(AB274&amp;""))="да","да","нет"),IF(IFERROR(_xlfn.XLOOKUP(AT274,Коды_код,Коды_пожарная),"")="да","да","нет")))</f>
        <v>нет</v>
      </c>
      <c r="DG274" t="str">
        <f t="shared" si="385"/>
        <v/>
      </c>
      <c r="DH274" t="str">
        <f t="shared" si="386"/>
        <v>основная</v>
      </c>
      <c r="DI274">
        <f t="shared" si="387"/>
        <v>1</v>
      </c>
      <c r="DJ274" t="str" cm="1">
        <f t="array" ref="DJ274">IF(D274="","",_xlfn.LET(_xlpm.t,IFERROR(_xlfn.XLOOKUP(1,(Шины[Шина]=DH274)*(((Шины[Щит]=A274)+(Шины[Щит]=""))&gt;0),Шины[Тип]),"")&amp;"",IF(_xlpm.t&lt;&gt;"",_xlpm.t,IF(ISNUMBER(SEARCH("ИБП",DH274)),"ИБП",IF(ISNUMBER(SEARCH("ДГУ",DH274)),"ДГУ","Ввод "&amp;DI274)))))</f>
        <v>Ввод 1</v>
      </c>
      <c r="DK274" t="str">
        <f t="shared" si="388"/>
        <v>Ввод 1</v>
      </c>
      <c r="DL274" t="str">
        <f>IF(D274="","",IF(OR(DJ274="ИБП",DJ274="ДГУ"),"I особая",IF(DJ274="Одиночная","III",_xlfn.XLOOKUP(A274,Щиты[Щит],Щиты[Категория шины «Ввод»],"III"))))</f>
        <v>II</v>
      </c>
      <c r="DM274">
        <f>IF(D274="",0,IFERROR(MATCH(DE274,{"III","II","I","I особая"},0),1))</f>
        <v>2</v>
      </c>
      <c r="DN274">
        <f t="shared" si="389"/>
        <v>2</v>
      </c>
      <c r="DO274" t="str">
        <f>IF(D274="","",IF(DM274&gt;IFERROR(MATCH(DL274,{"III","II","I","I особая"},0),1),"НЕ ОБЕСПЕЧЕНА","ОК"))</f>
        <v>ОК</v>
      </c>
      <c r="DP274" t="str">
        <f>IF(A274="","",_xlfn.XLOOKUP(A274,Щиты[Щит],Щиты[Путь],""))</f>
        <v>|ГРЩ-ЖД|ЩР-1|</v>
      </c>
      <c r="DQ274" t="str">
        <f>IF(D274="","",IF(Z274&lt;&gt;"",Z274,IF(IFERROR(_xlfn.XLOOKUP(AT274,Коды_код,Коды_вид)&amp;"","")="","Прочее",_xlfn.XLOOKUP(AT274,Коды_код,Коды_вид)&amp;"")))</f>
        <v>Розеточная сеть и бытовые приборы</v>
      </c>
      <c r="DR274">
        <f>IF(BD274="","",INT((BD274-1)/Столбцов_на_лист)+1)</f>
        <v>4</v>
      </c>
      <c r="DS274" t="str">
        <f t="shared" si="390"/>
        <v>ВВГнг(А)-LS (5х4) L=42-1,1%</v>
      </c>
      <c r="DT274">
        <f t="shared" si="391"/>
        <v>7.36</v>
      </c>
      <c r="DU274">
        <f t="shared" si="392"/>
        <v>11.19</v>
      </c>
      <c r="DV274">
        <f t="shared" si="393"/>
        <v>3</v>
      </c>
      <c r="DW274">
        <f>IF(AT274="",0,_xlfn.LET(_xlpm.v,IFERROR(VLOOKUP(D274,УГО_спр,3,FALSE),IFERROR(VLOOKUP(AT274,УГО_спр,3,FALSE),IFERROR(VLOOKUP(LEFT(AT274,2),УГО_спр,3,FALSE),""))),IF(_xlpm.v="да",30,IF(ISNUMBER(_xlpm.v),_xlpm.v,0))))</f>
        <v>30</v>
      </c>
      <c r="DX274">
        <f t="shared" si="394"/>
        <v>0</v>
      </c>
      <c r="DY274">
        <f>IF(BD274="","",IF(AD274&lt;&gt;"",COUNTIFS(A$3:A274,A274,AD$3:AD274,"?*"),IF(OR(OR(AS274=1,A274&lt;&gt;A273),AL274="вручную"),"",IF(AS274=1,"",DZ273))))</f>
        <v>50</v>
      </c>
      <c r="DZ274">
        <f t="shared" si="395"/>
        <v>50</v>
      </c>
      <c r="EA274">
        <f>IF(D274="",0,MAX(IFERROR(--X274,0),IFERROR(--VLOOKUP(D274,УГО_спр,4,FALSE),IFERROR(--VLOOKUP(AT274,УГО_спр,4,FALSE),IFERROR(--VLOOKUP(LEFT(AT274,2),УГО_спр,4,FALSE),0)))))</f>
        <v>16</v>
      </c>
      <c r="EB274">
        <f>IF(D274="","",IFERROR(LOOKUP(INDEX(CHOOSE(BR274,Iдоп_1ж,Iдоп_2ж,Iдоп_3ж),MATCH(BS274,Iдоп_S,0))*BP274*BQ274,{6,10,16,20,25,32,40,50,63,80,100,125,160,200,250,315,400,500,630}),""))</f>
        <v>32</v>
      </c>
      <c r="EC274">
        <f>IF(AD274="","",SUMIFS(Линии[_Ток схемы],Линии[_гр.],DY274,Линии[Щит],A274,Линии[_в кабель выше],0))</f>
        <v>11.19</v>
      </c>
      <c r="ED274">
        <f>IF(AD274="","",IFERROR(VLOOKUP(EC274,Автомат_номиналы,2,TRUE),""))</f>
        <v>16</v>
      </c>
      <c r="EE274">
        <f>IF(AD274="","",MAX(N(ED274),_xlfn.MAXIFS(Линии[_мин. по типу],Линии[_гр.],DY274,Линии[Щит],A274)))</f>
        <v>16</v>
      </c>
      <c r="EF274">
        <f>IF(AD274="","",_xlfn.MINIFS(Линии[_макс. автомат по кабелю],Линии[_гр.],DY274,Линии[Щит],A274))</f>
        <v>32</v>
      </c>
      <c r="EG274">
        <f>IF(AD274="","",MAX(1,_xlfn.MAXIFS(Линии[_фаз],Линии[_гр.],DY274,Линии[Щит],A274)))</f>
        <v>3</v>
      </c>
      <c r="EH274">
        <f>IF(AD274="","",IF(AND(AD274&lt;&gt;"авто",AD274&lt;&gt;"+"),IF(ISNUMBER(SEARCH("мА",AD274)),IFERROR(--TRIM(RIGHT(SUBSTITUTE(LEFT(AD274,SEARCH("мА",AD274)-1)," ",REPT(" ",9)),6)),30),0),IF(AE274="нет",0,IF(ISNUMBER(AE274),AE274,IF(AE274="да",30,_xlfn.MINIFS(Линии[_дифзащита по коду, мА],Линии[_гр.],DY274,Линии[Щит],A274,Линии[_дифзащита по коду, мА],"&gt;0"))))))</f>
        <v>30</v>
      </c>
      <c r="EI274">
        <f t="shared" si="396"/>
        <v>1</v>
      </c>
      <c r="EJ274" t="str">
        <f t="shared" si="397"/>
        <v>QFD50</v>
      </c>
      <c r="EK274" t="str">
        <f t="shared" si="398"/>
        <v>QFD50</v>
      </c>
      <c r="EL274" t="str">
        <f t="shared" si="399"/>
        <v/>
      </c>
      <c r="EM274">
        <f t="shared" si="400"/>
        <v>0</v>
      </c>
      <c r="EN274">
        <f>IF(AD274="","",IF(EM274=1,MAX(EE274,Мин_автомат_БП),EE274))</f>
        <v>16</v>
      </c>
      <c r="EO274" t="str">
        <f t="shared" si="401"/>
        <v>4P</v>
      </c>
      <c r="EP274" t="str">
        <f t="shared" si="402"/>
        <v>4P С16А 30мА</v>
      </c>
      <c r="EQ274">
        <f t="shared" si="403"/>
        <v>16</v>
      </c>
      <c r="ER274" t="str">
        <f>IF(OR(AI274="",AI274="-"),"",IFERROR(VLOOKUP(AI274,Модули_спр,2,FALSE),"R"))</f>
        <v/>
      </c>
      <c r="ES274" t="str">
        <f>IF(ER274="","",ER274&amp;"."&amp;COUNTIFS(A$3:A274,A274,ER$3:ER274,ER274))</f>
        <v/>
      </c>
      <c r="ET274" t="str">
        <f t="shared" si="404"/>
        <v/>
      </c>
      <c r="EU274" t="str">
        <f t="shared" si="405"/>
        <v/>
      </c>
      <c r="EV274" t="str">
        <f t="shared" si="406"/>
        <v/>
      </c>
      <c r="EW274" t="str">
        <f t="shared" si="407"/>
        <v/>
      </c>
      <c r="EX274">
        <f t="shared" si="408"/>
        <v>1</v>
      </c>
      <c r="EY274" t="str">
        <f>IF(AK274="нет","",IF(AK274&lt;&gt;"",AK274,IF(EX274=1,"XT"&amp;COUNTIFS(A$3:A274,A274,EX$3:EX274,1),"")))</f>
        <v>XT50</v>
      </c>
      <c r="EZ274" t="str">
        <f t="shared" si="409"/>
        <v>QFD50</v>
      </c>
      <c r="FA274" t="str">
        <f t="shared" si="410"/>
        <v/>
      </c>
      <c r="FB274" t="str">
        <f t="shared" si="411"/>
        <v>ok</v>
      </c>
      <c r="FC274" t="str">
        <f>IF(OR(EV274="",ET274=""),"",IF(EV274&gt;IFERROR(VLOOKUP(EU274,Модули_спр,3,FALSE),99),"ЛИШНИЙ КАНАЛ",IF(AND(AJ274&lt;&gt;"=",COUNTIFS(Линии[_модуль гр.],ET274,Линии[Канал (итог)],EV274,Линии[Канал],"&lt;&gt;=",Линии[Щит],A274)&gt;1),"ДУБЛЬ КАНАЛА","")))</f>
        <v/>
      </c>
      <c r="FD274">
        <f t="shared" si="412"/>
        <v>16</v>
      </c>
      <c r="FE274" t="str">
        <f t="shared" si="413"/>
        <v>4P С16А 30мА</v>
      </c>
      <c r="FF274">
        <f t="shared" si="414"/>
        <v>1</v>
      </c>
      <c r="FG274">
        <f t="shared" si="415"/>
        <v>30</v>
      </c>
      <c r="FH274" t="str">
        <f t="shared" si="416"/>
        <v/>
      </c>
      <c r="FI274">
        <f t="shared" si="417"/>
        <v>10</v>
      </c>
      <c r="FJ274" t="str">
        <f t="shared" si="418"/>
        <v/>
      </c>
      <c r="FK274" t="str">
        <f>IF(AND(D274="",EZ274=""),"",_xlfn.TEXTJOIN("; ",TRUE,IF(AND(D274&lt;&gt;"",DD274=""),"нет фазы",""),IF(AND(D274&lt;&gt;"",N(DT274)=0,CN274&lt;&gt;"Нет"),"нет мощности",""),IF(AND(EY274&lt;&gt;"",COUNTIFS(Линии[Щит],A274,Линии[Клемма (итог)],EY274)&gt;1),"дубль клеммы "&amp;EY274,""),IF(AND(FB274&lt;&gt;"",FB274&lt;&gt;"ok"),FB274,""),IF(FC274&lt;&gt;"",FC274,""),IF(AND(ISNUMBER(SEARCH("(5х",DS274)),N(DV274)=1),"5 жил на 1 фазе",""),IF(AND(AT274="R",AD274&lt;&gt;"",OR(N(EH274)=0,N(EH274)&gt;30)),"розетка без дифзащиты до 30 мА",""),IFERROR(IF(AND(ISNUMBER(CD274),CD274&gt;CE274),"потери "&amp;FIXED(CD274,1)&amp;" % &gt; "&amp;CE274&amp;" %",""),""),IFERROR(IF(LEFT(FJ274,4)="мало","Iкз мало — отключение &gt; 0,4 с",""),""),IF(AND(D274&lt;&gt;"",BD274=""),"не на схеме","")))</f>
        <v/>
      </c>
      <c r="FL274" t="str">
        <f>IF(AD274="","",_xlfn.LET(_xlpm.t,IFERROR(_xlfn.XLOOKUP(EP274,Каталог!$U$4:$U$500,Каталог!$G$4:$G$500),""),_xlpm.k,SEARCH("кА",_xlpm.t),IFERROR(--TRIM(RIGHT(SUBSTITUTE(MID(_xlpm.t,MAX(1,_xlpm.k-4),_xlpm.k-MAX(1,_xlpm.k-4))," ",REPT(" ",9)),5)),"")))</f>
        <v/>
      </c>
      <c r="FM274" t="str">
        <f>IF(OR(FL274="",AD274=""),"",IF(_xlfn.XLOOKUP(A274,Щиты[Щит],Щиты[Iкз max на шинах, кА],"")="","",IF(FL274&lt;_xlfn.XLOOKUP(A274,Щиты[Щит],Щиты[Iкз max на шинах, кА]),"Icu "&amp;FL274&amp;" кА &lt; Iкз max","ok")))</f>
        <v/>
      </c>
      <c r="FN274" t="str">
        <f t="shared" si="419"/>
        <v>QFD50|XT50</v>
      </c>
      <c r="FO274" t="str">
        <f t="shared" si="420"/>
        <v>QFD50|XT50|кабель ВВГнг(А)-LS (5х4) → Розеточная группа Первый этаж Пом. №021A Вывод на варочную панель</v>
      </c>
      <c r="FP274" t="str" cm="1">
        <f t="array" ref="FP274">IF(FO274="","",_xlfn.LET(_xlpm.nd,_xlfn.TEXTSPLIT(FO274,"|"),IF(COLUMNS(_xlpm.nd)&gt;1,A274&amp;"¦"&amp;INDEX(_xlpm.nd,1)&amp;"¦"&amp;INDEX(_xlpm.nd,2),"")))</f>
        <v>ЩР-1¦QFD50¦XT50</v>
      </c>
      <c r="FQ274" t="str">
        <f t="shared" si="421"/>
        <v>R.1.021A.7¦Розеточная группа Первый этаж Пом. №021A Вывод на варочную панель</v>
      </c>
      <c r="FR274" t="str" cm="1">
        <f t="array" ref="FR274">IF(FO274="","",_xlfn.LET(_xlpm.nd,_xlfn.TEXTSPLIT(FO274,"|"),IF(COLUMNS(_xlpm.nd)&gt;2,A274&amp;"¦"&amp;INDEX(_xlpm.nd,2)&amp;"¦"&amp;INDEX(_xlpm.nd,3),"")))</f>
        <v>ЩР-1¦XT50¦кабель ВВГнг(А)-LS (5х4) → Розеточная группа Первый этаж Пом. №021A Вывод на варочную панель</v>
      </c>
      <c r="FS274" t="str">
        <f t="shared" si="422"/>
        <v>R.1.021A.7¦Розеточная группа Первый этаж Пом. №021A Вывод на варочную панель</v>
      </c>
      <c r="FT274" t="str" cm="1">
        <f t="array" ref="FT274">IF(FO274="","",_xlfn.LET(_xlpm.nd,_xlfn.TEXTSPLIT(FO274,"|"),IF(COLUMNS(_xlpm.nd)&gt;3,A274&amp;"¦"&amp;INDEX(_xlpm.nd,3)&amp;"¦"&amp;INDEX(_xlpm.nd,4),"")))</f>
        <v/>
      </c>
      <c r="FU274" t="str">
        <f t="shared" si="423"/>
        <v/>
      </c>
      <c r="FV274" t="str" cm="1">
        <f t="array" ref="FV274">IF(FO274="","",_xlfn.LET(_xlpm.nd,_xlfn.TEXTSPLIT(FO274,"|"),IF(COLUMNS(_xlpm.nd)&gt;4,A274&amp;"¦"&amp;INDEX(_xlpm.nd,4)&amp;"¦"&amp;INDEX(_xlpm.nd,5),"")))</f>
        <v/>
      </c>
      <c r="FW274" t="str">
        <f t="shared" si="424"/>
        <v/>
      </c>
      <c r="FX274" t="str" cm="1">
        <f t="array" ref="FX274">IF(FO274="","",_xlfn.LET(_xlpm.nd,_xlfn.TEXTSPLIT(FO274,"|"),IF(COLUMNS(_xlpm.nd)&gt;5,A274&amp;"¦"&amp;INDEX(_xlpm.nd,5)&amp;"¦"&amp;INDEX(_xlpm.nd,6),"")))</f>
        <v/>
      </c>
      <c r="FY274" t="str">
        <f t="shared" si="425"/>
        <v/>
      </c>
      <c r="FZ274" t="str" cm="1">
        <f t="array" ref="FZ274">IF(FO274="","",_xlfn.LET(_xlpm.nd,_xlfn.TEXTSPLIT(FO274,"|"),IF(COLUMNS(_xlpm.nd)&gt;6,A274&amp;"¦"&amp;INDEX(_xlpm.nd,6)&amp;"¦"&amp;INDEX(_xlpm.nd,7),"")))</f>
        <v/>
      </c>
      <c r="GA274" t="str">
        <f t="shared" si="426"/>
        <v/>
      </c>
      <c r="GB274" t="str">
        <f t="shared" si="427"/>
        <v/>
      </c>
      <c r="GC274" t="str">
        <f t="shared" si="428"/>
        <v>QFD50 → XT50</v>
      </c>
      <c r="GD274">
        <f t="shared" si="429"/>
        <v>1</v>
      </c>
      <c r="GE274">
        <f t="shared" si="430"/>
        <v>0</v>
      </c>
      <c r="GF274">
        <f t="shared" si="431"/>
        <v>1</v>
      </c>
      <c r="GG274" t="str">
        <f t="shared" si="432"/>
        <v/>
      </c>
      <c r="GH274" t="str">
        <f t="shared" si="433"/>
        <v/>
      </c>
      <c r="GI274" t="str">
        <f t="shared" si="434"/>
        <v/>
      </c>
      <c r="GJ274" t="str">
        <f t="shared" si="435"/>
        <v/>
      </c>
      <c r="GK274" t="str">
        <f>IF(D274="","",IFERROR(VLOOKUP(D274,УГО_спр,2,FALSE),IFERROR(VLOOKUP(AT274,УГО_спр,2,FALSE),IFERROR(VLOOKUP(LEFT(AT274,2),УГО_спр,2,FALSE),""))))</f>
        <v>Розетка</v>
      </c>
      <c r="GL274" t="str">
        <f>IF(D274="","",IF(OR(GK274="",GK274=0),"BOX",IFERROR(IF(VLOOKUP(GK274,УГО_блоки,3,FALSE)&amp;""&lt;&gt;"",VLOOKUP(GK274,УГО_блоки,3,FALSE),VLOOKUP(GK274,УГО_блоки,2,FALSE)),GK274)))</f>
        <v>SOCKET</v>
      </c>
      <c r="GM274">
        <f t="shared" si="436"/>
        <v>1</v>
      </c>
      <c r="GN274">
        <f>IF(EP274="","",IF(COUNTIF(EP$3:EP274,EP274)=1,MAX(GN$2:GN273)+1,""))</f>
        <v>12</v>
      </c>
      <c r="GO274" t="str">
        <f>IF(AF274="","",IF(COUNTIF(AF$3:AF274,AF274)+COUNTIF(AG$2:AG273,AF274)+COUNTIF(AH$2:AH273,AF274)=1,MAX(GO$2:GQ273)+1,""))</f>
        <v/>
      </c>
      <c r="GP274" t="str">
        <f>IF(AG274="","",IF(COUNTIF(AF$3:AF274,AG274)+COUNTIF(AG$3:AG274,AG274)+COUNTIF(AH$2:AH273,AG274)=1,MAX(GO$2:GQ273,GO274)+1,""))</f>
        <v/>
      </c>
      <c r="GQ274" t="str">
        <f>IF(AH274="","",IF(COUNTIF(AF$3:AF274,AH274)+COUNTIF(AG$3:AG274,AH274)+COUNTIF(AH$3:AH274,AH274)=1,MAX(GO$2:GQ273,GO274,GP274)+1,""))</f>
        <v/>
      </c>
      <c r="GR274" t="str">
        <f t="shared" si="437"/>
        <v>5х4</v>
      </c>
      <c r="GS274" t="str">
        <f>IF(GR274="","",IF(COUNTIF(GR$3:GR274,GR274)=1,MAX(GS$2:GS273)+1,""))</f>
        <v/>
      </c>
      <c r="GT274" t="str">
        <f>IF(ES274="","",COUNTIF(ES$3:ES274,"?*"))</f>
        <v/>
      </c>
      <c r="GU274" t="str">
        <f>IF(OR(ES274="",EU274=""),"",IF(COUNTIFS(ES$3:ES274,"?*",EU$3:EU274,EU274)=1,MAX(GU$2:GU273)+1,""))</f>
        <v/>
      </c>
      <c r="GV274">
        <f t="shared" si="438"/>
        <v>0</v>
      </c>
      <c r="GW274">
        <f>IF(D274="","",COUNTIF(D$3:D274,"?*"))</f>
        <v>272</v>
      </c>
      <c r="GX274">
        <f>IF(EX274&lt;&gt;1,0,_xlfn.LET(_xlpm.k,MAX(IFERROR(--VLOOKUP(D274,УГО_спр,5,FALSE),0),IFERROR(--VLOOKUP(AT274,УГО_спр,5,FALSE),0),IFERROR(--VLOOKUP(LEFT(AT274,2),УГО_спр,5,FALSE),0)),IF(_xlpm.k&gt;0,_xlpm.k,IF(IFERROR(--LEFT(SUBSTITUTE(GR274,"x","х"),FIND("х",SUBSTITUTE(GR274,"x","х"))-1),3)&gt;3,Каталог!$S$9,1))))</f>
        <v>1</v>
      </c>
      <c r="GY274">
        <f t="shared" si="439"/>
        <v>2</v>
      </c>
    </row>
    <row r="275" spans="1:207" x14ac:dyDescent="0.3">
      <c r="A275" t="s">
        <v>762</v>
      </c>
      <c r="B275">
        <v>65</v>
      </c>
      <c r="C275" t="str">
        <f>IF(BD275="","",IF(BE275="вводной узел","узел ","")&amp;"л."&amp;(INT((BD275-1)/Столбцов_на_лист)+1)&amp;" / "&amp;(MOD(BD275-1,Столбцов_на_лист)+1))</f>
        <v>л.4 / 14</v>
      </c>
      <c r="D275" t="s">
        <v>1605</v>
      </c>
      <c r="E275" s="133" t="str">
        <f t="shared" si="352"/>
        <v>Розеточная группа Первый этаж Пом. №021A</v>
      </c>
      <c r="G275">
        <v>0.18</v>
      </c>
      <c r="H275">
        <v>2</v>
      </c>
      <c r="I275">
        <v>1</v>
      </c>
      <c r="J275">
        <v>230</v>
      </c>
      <c r="K275" t="s">
        <v>566</v>
      </c>
      <c r="O275">
        <v>3</v>
      </c>
      <c r="P275">
        <v>54</v>
      </c>
      <c r="Q275">
        <v>20</v>
      </c>
      <c r="R275">
        <v>29</v>
      </c>
      <c r="S275">
        <v>14</v>
      </c>
      <c r="U275" t="s">
        <v>11</v>
      </c>
      <c r="V275">
        <v>3</v>
      </c>
      <c r="W275">
        <v>2.5</v>
      </c>
      <c r="Z275" t="s">
        <v>565</v>
      </c>
      <c r="AA275" t="s">
        <v>818</v>
      </c>
      <c r="AD275" t="s">
        <v>517</v>
      </c>
      <c r="AR275" t="str">
        <f t="shared" si="353"/>
        <v/>
      </c>
      <c r="AS275" cm="1">
        <f t="array" ref="AS275">ROW()-ROW(Линии[#Headers])</f>
        <v>273</v>
      </c>
      <c r="AT275" t="str">
        <f t="shared" si="354"/>
        <v>R</v>
      </c>
      <c r="AU275" t="str">
        <f t="shared" si="355"/>
        <v>1.021A.8</v>
      </c>
      <c r="AV275" t="str">
        <f t="shared" si="356"/>
        <v>1</v>
      </c>
      <c r="AW275" t="str">
        <f t="shared" si="357"/>
        <v>021A.8</v>
      </c>
      <c r="AX275" t="str">
        <f t="shared" si="358"/>
        <v>021A</v>
      </c>
      <c r="AY275" t="str">
        <f>IF(D275="","",IF(ISERROR(SEARCH(".",D275)),IFERROR(VLOOKUP(D275,Потребители_обозначение,2,FALSE)&amp;"",""),IFERROR(IF(VLOOKUP(AT275,Потребители_обозначение,4,FALSE)=1,VLOOKUP(AT275,Потребители_обозначение,2,FALSE)&amp;" "&amp;VLOOKUP(AV275,Этаж_обозначение,2,FALSE)&amp;" Пом. №"&amp;AX275,VLOOKUP(AT275,Потребители_обозначение,2,FALSE)&amp;" Шлейф №"&amp;AV275),IFERROR(VLOOKUP(D275,Потребители_обозначение,2,FALSE),""))))</f>
        <v>Розеточная группа Первый этаж Пом. №021A</v>
      </c>
      <c r="AZ275" t="str">
        <f t="shared" si="359"/>
        <v>Розеточная группа Первый этаж Пом. №021A</v>
      </c>
      <c r="BA275" t="str">
        <f>IF(F275&lt;&gt;"",F275,IF(AND(D275&lt;&gt;"",D275&lt;&gt;A275,ISNUMBER(_xlfn.XMATCH(D275,Щиты[Щит]))),D275,""))</f>
        <v/>
      </c>
      <c r="BB275">
        <f>IFERROR(_xlfn.XMATCH(A275,Щиты[Щит]),0)</f>
        <v>10</v>
      </c>
      <c r="BC275">
        <f>IFERROR(N(_xlfn.XLOOKUP(A275,Щиты[Щит],Щиты[Мест под вводной узел])),15)</f>
        <v>8</v>
      </c>
      <c r="BD275">
        <f t="shared" si="360"/>
        <v>65</v>
      </c>
      <c r="BE275" t="str">
        <f t="shared" si="361"/>
        <v>линии</v>
      </c>
      <c r="BF275">
        <f>IF(D275="","",IF(BA275&lt;&gt;"",IFERROR(_xlfn.XLOOKUP(BA275,Щиты[Щит],Щиты[Руст, кВт]),0),N(G275)))</f>
        <v>0.18</v>
      </c>
      <c r="BG275">
        <f>IF(J275&lt;&gt;"",J275,IF(D275="","",IFERROR(IF(VLOOKUP(AT275,Потребители_обозначение,8,FALSE)=0,"",VLOOKUP(AT275,Потребители_обозначение,8,FALSE)),"")))</f>
        <v>230</v>
      </c>
      <c r="BH275">
        <f>IF(I275&lt;&gt;"",I275,IF(D275="","",IFERROR(IF(VLOOKUP(AT275,Потребители_обозначение,9,FALSE)=0,"",VLOOKUP(AT275,Потребители_обозначение,9,FALSE)),"")))</f>
        <v>1</v>
      </c>
      <c r="BI275" t="str">
        <f>IF(U275&lt;&gt;"",U275,IF(D275="","",IFERROR(IF(VLOOKUP(AT275,Потребители_обозначение,6,FALSE)=0,"",VLOOKUP(AT275,Потребители_обозначение,6,FALSE)),"")))</f>
        <v>мс</v>
      </c>
      <c r="BJ275">
        <f>IF(V275&lt;&gt;"",V275,IF(D275="","",IFERROR(IF(VLOOKUP(AT275,Потребители_обозначение,7,FALSE)=0,"",VLOOKUP(AT275,Потребители_обозначение,7,FALSE)),"")))</f>
        <v>3</v>
      </c>
      <c r="BK275">
        <f>IF(W275&lt;&gt;"",W275,IF(D275="","",IFERROR(IF(VLOOKUP(AT275,Потребители_обозначение,10,FALSE)=0,"",VLOOKUP(AT275,Потребители_обозначение,10,FALSE)),"")))</f>
        <v>2.5</v>
      </c>
      <c r="BL275">
        <f>IFERROR(VLOOKUP(AT275,Потребители_обозначение,5,FALSE),0)</f>
        <v>1</v>
      </c>
      <c r="BM275" cm="1">
        <f t="array" ref="BM275">IF(D275="","",IF(BA275&lt;&gt;"",IFERROR(_xlfn.XLOOKUP(BA275,Щиты[Щит],Щиты[cos φ]),0.95),IF(ISNUMBER(M275),M275,IFERROR(IF(BL275=2,_xlfn.IFS(BH275=3,VLOOKUP(BF275,Справочная_двигатели,8,FALSE),BH275=1,VLOOKUP(BF275,Справочная_двигатели,10,TRUE)),IF(AND(Методика="нормы 2026",CN275="Сил"),0.8,0.95)),0.95))))</f>
        <v>0.95</v>
      </c>
      <c r="BN275" cm="1">
        <f t="array" ref="BN275">IF(D275="","",IF(BA275&lt;&gt;"",IFERROR(_xlfn.XLOOKUP(BA275,Щиты[Щит],Щиты[Iр, А]),""),IFERROR(_xlfn.IFS(BH275=1,BF275/((Uн_лин/SQRT(3))*BM275),BH275=3,BF275/(SQRT(3)*Uн_лин*BM275)),"")))</f>
        <v>0.8204451193747313</v>
      </c>
      <c r="BO275">
        <f>IF(D275="","",IF(N(X275)=0,IFERROR(VLOOKUP(BN275,Автомат_номиналы,2,TRUE),""),X275))</f>
        <v>6</v>
      </c>
      <c r="BP275">
        <f t="shared" si="362"/>
        <v>1</v>
      </c>
      <c r="BQ275">
        <f>IF(ISNUMBER(Y275),Y275,К_прокл)</f>
        <v>1</v>
      </c>
      <c r="BR275">
        <f t="shared" si="363"/>
        <v>2</v>
      </c>
      <c r="BS275" cm="1">
        <f t="array" ref="BS275">IF(D275="","",IF(N(BK275)&lt;&gt;0,BK275,IFERROR(_xlfn.LET(_xlpm.need,BO275/(BP275*BQ275),_xlpm.t,CHOOSE(BR275,Iдоп_1ж,Iдоп_2ж,Iдоп_3ж),_xlpm.k,_xlfn.XMATCH(_xlpm.need,_xlpm.t,1),IF(ISNA(_xlpm.k),"Не исп",INDEX(Iдоп_S,_xlpm.k))),"Не исп")))</f>
        <v>2.5</v>
      </c>
      <c r="BT275">
        <f>IFERROR(VLOOKUP(BS275,Кабель_сопротивление,3,FALSE),"")</f>
        <v>2.2499999999999999E-2</v>
      </c>
      <c r="BU275">
        <f>IFERROR(VLOOKUP(BS275,Кабель_сопротивление,2,FALSE),"")</f>
        <v>0.1</v>
      </c>
      <c r="BV275">
        <f t="shared" si="364"/>
        <v>54</v>
      </c>
      <c r="BW275">
        <f>IF(D275="","",IFERROR(IF(VLOOKUP(AT275,Потребители_обозначение,4,FALSE)=1,VLOOKUP(AT275,Потребители_обозначение,3,FALSE)*(H275*2-1)+BV275+VLOOKUP(AV275,Этаж_обозначение,3,FALSE)+VLOOKUP(AV275,Этаж_обозначение,4,FALSE),VLOOKUP(AT275,Потребители_обозначение,3,FALSE)*(H275*2-1)+BV275),BV275))</f>
        <v>63</v>
      </c>
      <c r="BX275">
        <f t="shared" si="365"/>
        <v>29</v>
      </c>
      <c r="BY275">
        <f t="shared" si="366"/>
        <v>14</v>
      </c>
      <c r="BZ275">
        <f t="shared" si="367"/>
        <v>2</v>
      </c>
      <c r="CA275">
        <f t="shared" si="368"/>
        <v>0.31</v>
      </c>
      <c r="CB275">
        <f t="shared" si="369"/>
        <v>0.88707018573867569</v>
      </c>
      <c r="CC275">
        <f>IFERROR(ROUNDUP(CB275/((Uн_лин/SQRT(3))*1000)*100,2),"")</f>
        <v>0.39</v>
      </c>
      <c r="CD275">
        <f>IF(ISNUMBER(CC275),CC275+IFERROR(_xlfn.XLOOKUP(A275,Щиты[Щит],Щиты[ΔU до шин, %]),0),"")</f>
        <v>1.6400000000000001</v>
      </c>
      <c r="CE275">
        <f>IF(D275="","",IF(IFERROR(VLOOKUP(AT275,УГО_спр,2,FALSE),"")="Светильник",3,4)+IF(Методика="нормы 2026",MIN(0.5,MAX(0,N(BW275)-100)*0.005),0))</f>
        <v>4</v>
      </c>
      <c r="CF275" t="str">
        <f>IFERROR(VLOOKUP(BI275,Кабель_обозначение,2,FALSE),"")</f>
        <v>ВВГнг(А)-LS</v>
      </c>
      <c r="CG275" t="str">
        <f>IFERROR(IF(VLOOKUP(BI275,Кабель_обозначение,3,FALSE)=1,CF275&amp;" ("&amp;BJ275&amp;"х"&amp;BS275&amp;")",CF275),"")</f>
        <v>ВВГнг(А)-LS (3х2,5)</v>
      </c>
      <c r="CH275" t="str">
        <f t="shared" si="370"/>
        <v>ВВГнг(А)-LS (3х2,5)
L=63-0,39%</v>
      </c>
      <c r="CI275">
        <f>IFERROR(2*ρкз_Cu*BW275/BS275,"")</f>
        <v>1.32552</v>
      </c>
      <c r="CJ275">
        <f t="shared" si="371"/>
        <v>0.441</v>
      </c>
      <c r="CK275" t="str">
        <f>IFERROR(IF(OR(D275="",NOT(ISNUMBER(BS275)),N(BW275)=0),"",_xlfn.XLOOKUP(A275,Щиты[Щит],Щиты[Zпетли на шинах, Ом])+CI275),"")</f>
        <v/>
      </c>
      <c r="CL275" t="str">
        <f>IF(ISNUMBER(CK275),c_min*(Uн_лин*1000/SQRT(3))/CK275,"")</f>
        <v/>
      </c>
      <c r="CM275" t="str">
        <f>IFERROR(IF(OR(D275="",NOT(ISNUMBER(BS275))),"",1.05*(Uн_лин*1000/SQRT(3))/(_xlfn.XLOOKUP(A275,Щиты[Щит],Щиты[Zmax на шинах, Ом])+CJ275)/1000),"")</f>
        <v/>
      </c>
      <c r="CN275" t="str">
        <f>IF(D275="","",IF(BA275&lt;&gt;"","Щит",IF(K275&lt;&gt;"",K275,IF(ISNUMBER(L275),"Сил",IF(IFERROR(_xlfn.XLOOKUP(AT275,Коды_код,Коды_группа)&amp;"","")="","Быт",_xlfn.XLOOKUP(AT275,Коды_код,Коды_группа)&amp;"")))))</f>
        <v>Быт</v>
      </c>
      <c r="CO275">
        <f>IF(CN275="Щит","щит",IF(CN275="","",IF(CN275="Быт",IFERROR(_xlfn.XLOOKUP(A275,Щиты[Щит],Щиты[Кс быт]),1),IF(CN275="Сил",IF(ISNUMBER(L275),L275,IF(Методика="нормы 2026",IFERROR(_xlfn.XLOOKUP(A275,Щиты[Щит],Щиты[Кс силовых (табл. 7.5)]),1),1)),IF(OR(CN275="Пост",CN275="Отоп"),1,IF(CN275="ВНГ",0.7,0))))))</f>
        <v>0.57830000000000004</v>
      </c>
      <c r="CP275">
        <f t="shared" si="372"/>
        <v>1</v>
      </c>
      <c r="CQ275">
        <f t="shared" si="373"/>
        <v>0.18</v>
      </c>
      <c r="CR275">
        <f t="shared" si="374"/>
        <v>0.18</v>
      </c>
      <c r="CS275">
        <f t="shared" si="375"/>
        <v>0</v>
      </c>
      <c r="CT275">
        <f t="shared" si="376"/>
        <v>0</v>
      </c>
      <c r="CU275">
        <f t="shared" si="377"/>
        <v>0</v>
      </c>
      <c r="CV275">
        <f t="shared" si="378"/>
        <v>0</v>
      </c>
      <c r="CW275">
        <f t="shared" si="379"/>
        <v>0.18</v>
      </c>
      <c r="CX275">
        <f t="shared" si="380"/>
        <v>0.17099999999999999</v>
      </c>
      <c r="CY275">
        <f t="shared" si="381"/>
        <v>2</v>
      </c>
      <c r="CZ275" t="str">
        <f t="shared" si="382"/>
        <v>L2</v>
      </c>
      <c r="DA275" cm="1">
        <f t="array" ref="DA275">IFERROR(IF(BL275=2,_xlfn.IFS(BH275=3,VLOOKUP(BF275,Справочная_двигатели,3,FALSE),BH275=1,VLOOKUP(BF275,Справочная_двигатели,5,TRUE)),0),0)</f>
        <v>0</v>
      </c>
      <c r="DB275">
        <f>IFERROR(IF(BL275=3,VLOOKUP(BF275,Справочная_ЛЭД,2,TRUE),0),0)</f>
        <v>0</v>
      </c>
      <c r="DC275">
        <f t="shared" si="383"/>
        <v>0</v>
      </c>
      <c r="DD275" t="str">
        <f t="shared" si="384"/>
        <v>L3</v>
      </c>
      <c r="DE275" t="str" cm="1">
        <f t="array" ref="DE275">IF(D275="","",IFERROR(INDEX({"I особая","I","II","III"},MATCH(TRIM(AA275&amp;""),{"I особая","I","II","III"},0)),"III"))</f>
        <v>II</v>
      </c>
      <c r="DF275" t="str">
        <f>IF(D275="","",IF(TRIM(AB275&amp;"")&lt;&gt;"",IF(LOWER(TRIM(AB275&amp;""))="да","да","нет"),IF(IFERROR(_xlfn.XLOOKUP(AT275,Коды_код,Коды_пожарная),"")="да","да","нет")))</f>
        <v>нет</v>
      </c>
      <c r="DG275" t="str">
        <f t="shared" si="385"/>
        <v/>
      </c>
      <c r="DH275" t="str">
        <f t="shared" si="386"/>
        <v>основная</v>
      </c>
      <c r="DI275">
        <f t="shared" si="387"/>
        <v>1</v>
      </c>
      <c r="DJ275" t="str" cm="1">
        <f t="array" ref="DJ275">IF(D275="","",_xlfn.LET(_xlpm.t,IFERROR(_xlfn.XLOOKUP(1,(Шины[Шина]=DH275)*(((Шины[Щит]=A275)+(Шины[Щит]=""))&gt;0),Шины[Тип]),"")&amp;"",IF(_xlpm.t&lt;&gt;"",_xlpm.t,IF(ISNUMBER(SEARCH("ИБП",DH275)),"ИБП",IF(ISNUMBER(SEARCH("ДГУ",DH275)),"ДГУ","Ввод "&amp;DI275)))))</f>
        <v>Ввод 1</v>
      </c>
      <c r="DK275" t="str">
        <f t="shared" si="388"/>
        <v>Ввод 1</v>
      </c>
      <c r="DL275" t="str">
        <f>IF(D275="","",IF(OR(DJ275="ИБП",DJ275="ДГУ"),"I особая",IF(DJ275="Одиночная","III",_xlfn.XLOOKUP(A275,Щиты[Щит],Щиты[Категория шины «Ввод»],"III"))))</f>
        <v>II</v>
      </c>
      <c r="DM275">
        <f>IF(D275="",0,IFERROR(MATCH(DE275,{"III","II","I","I особая"},0),1))</f>
        <v>2</v>
      </c>
      <c r="DN275">
        <f t="shared" si="389"/>
        <v>2</v>
      </c>
      <c r="DO275" t="str">
        <f>IF(D275="","",IF(DM275&gt;IFERROR(MATCH(DL275,{"III","II","I","I особая"},0),1),"НЕ ОБЕСПЕЧЕНА","ОК"))</f>
        <v>ОК</v>
      </c>
      <c r="DP275" t="str">
        <f>IF(A275="","",_xlfn.XLOOKUP(A275,Щиты[Щит],Щиты[Путь],""))</f>
        <v>|ГРЩ-ЖД|ЩР-1|</v>
      </c>
      <c r="DQ275" t="str">
        <f>IF(D275="","",IF(Z275&lt;&gt;"",Z275,IF(IFERROR(_xlfn.XLOOKUP(AT275,Коды_код,Коды_вид)&amp;"","")="","Прочее",_xlfn.XLOOKUP(AT275,Коды_код,Коды_вид)&amp;"")))</f>
        <v>Розеточная сеть и бытовые приборы</v>
      </c>
      <c r="DR275">
        <f>IF(BD275="","",INT((BD275-1)/Столбцов_на_лист)+1)</f>
        <v>4</v>
      </c>
      <c r="DS275" t="str">
        <f t="shared" si="390"/>
        <v>ВВГнг(А)-LS (3х2,5) L=63-0,39%</v>
      </c>
      <c r="DT275">
        <f t="shared" si="391"/>
        <v>0.18</v>
      </c>
      <c r="DU275">
        <f t="shared" si="392"/>
        <v>0.83</v>
      </c>
      <c r="DV275">
        <f t="shared" si="393"/>
        <v>1</v>
      </c>
      <c r="DW275">
        <f>IF(AT275="",0,_xlfn.LET(_xlpm.v,IFERROR(VLOOKUP(D275,УГО_спр,3,FALSE),IFERROR(VLOOKUP(AT275,УГО_спр,3,FALSE),IFERROR(VLOOKUP(LEFT(AT275,2),УГО_спр,3,FALSE),""))),IF(_xlpm.v="да",30,IF(ISNUMBER(_xlpm.v),_xlpm.v,0))))</f>
        <v>30</v>
      </c>
      <c r="DX275">
        <f t="shared" si="394"/>
        <v>0</v>
      </c>
      <c r="DY275">
        <f>IF(BD275="","",IF(AD275&lt;&gt;"",COUNTIFS(A$3:A275,A275,AD$3:AD275,"?*"),IF(OR(OR(AS275=1,A275&lt;&gt;A274),AL275="вручную"),"",IF(AS275=1,"",DZ274))))</f>
        <v>51</v>
      </c>
      <c r="DZ275">
        <f t="shared" si="395"/>
        <v>51</v>
      </c>
      <c r="EA275">
        <f>IF(D275="",0,MAX(IFERROR(--X275,0),IFERROR(--VLOOKUP(D275,УГО_спр,4,FALSE),IFERROR(--VLOOKUP(AT275,УГО_спр,4,FALSE),IFERROR(--VLOOKUP(LEFT(AT275,2),УГО_спр,4,FALSE),0)))))</f>
        <v>16</v>
      </c>
      <c r="EB275">
        <f>IF(D275="","",IFERROR(LOOKUP(INDEX(CHOOSE(BR275,Iдоп_1ж,Iдоп_2ж,Iдоп_3ж),MATCH(BS275,Iдоп_S,0))*BP275*BQ275,{6,10,16,20,25,32,40,50,63,80,100,125,160,200,250,315,400,500,630}),""))</f>
        <v>25</v>
      </c>
      <c r="EC275">
        <f>IF(AD275="","",SUMIFS(Линии[_Ток схемы],Линии[_гр.],DY275,Линии[Щит],A275,Линии[_в кабель выше],0))</f>
        <v>0.83</v>
      </c>
      <c r="ED275">
        <f>IF(AD275="","",IFERROR(VLOOKUP(EC275,Автомат_номиналы,2,TRUE),""))</f>
        <v>6</v>
      </c>
      <c r="EE275">
        <f>IF(AD275="","",MAX(N(ED275),_xlfn.MAXIFS(Линии[_мин. по типу],Линии[_гр.],DY275,Линии[Щит],A275)))</f>
        <v>16</v>
      </c>
      <c r="EF275">
        <f>IF(AD275="","",_xlfn.MINIFS(Линии[_макс. автомат по кабелю],Линии[_гр.],DY275,Линии[Щит],A275))</f>
        <v>25</v>
      </c>
      <c r="EG275">
        <f>IF(AD275="","",MAX(1,_xlfn.MAXIFS(Линии[_фаз],Линии[_гр.],DY275,Линии[Щит],A275)))</f>
        <v>1</v>
      </c>
      <c r="EH275">
        <f>IF(AD275="","",IF(AND(AD275&lt;&gt;"авто",AD275&lt;&gt;"+"),IF(ISNUMBER(SEARCH("мА",AD275)),IFERROR(--TRIM(RIGHT(SUBSTITUTE(LEFT(AD275,SEARCH("мА",AD275)-1)," ",REPT(" ",9)),6)),30),0),IF(AE275="нет",0,IF(ISNUMBER(AE275),AE275,IF(AE275="да",30,_xlfn.MINIFS(Линии[_дифзащита по коду, мА],Линии[_гр.],DY275,Линии[Щит],A275,Линии[_дифзащита по коду, мА],"&gt;0"))))))</f>
        <v>30</v>
      </c>
      <c r="EI275">
        <f t="shared" si="396"/>
        <v>1</v>
      </c>
      <c r="EJ275" t="str">
        <f t="shared" si="397"/>
        <v>QFD51</v>
      </c>
      <c r="EK275" t="str">
        <f t="shared" si="398"/>
        <v>QFD51</v>
      </c>
      <c r="EL275" t="str">
        <f t="shared" si="399"/>
        <v/>
      </c>
      <c r="EM275">
        <f t="shared" si="400"/>
        <v>0</v>
      </c>
      <c r="EN275">
        <f>IF(AD275="","",IF(EM275=1,MAX(EE275,Мин_автомат_БП),EE275))</f>
        <v>16</v>
      </c>
      <c r="EO275" t="str">
        <f t="shared" si="401"/>
        <v>2P</v>
      </c>
      <c r="EP275" t="str">
        <f t="shared" si="402"/>
        <v>2P С16А 30мА</v>
      </c>
      <c r="EQ275">
        <f t="shared" si="403"/>
        <v>16</v>
      </c>
      <c r="ER275" t="str">
        <f>IF(OR(AI275="",AI275="-"),"",IFERROR(VLOOKUP(AI275,Модули_спр,2,FALSE),"R"))</f>
        <v/>
      </c>
      <c r="ES275" t="str">
        <f>IF(ER275="","",ER275&amp;"."&amp;COUNTIFS(A$3:A275,A275,ER$3:ER275,ER275))</f>
        <v/>
      </c>
      <c r="ET275" t="str">
        <f t="shared" si="404"/>
        <v/>
      </c>
      <c r="EU275" t="str">
        <f t="shared" si="405"/>
        <v/>
      </c>
      <c r="EV275" t="str">
        <f t="shared" si="406"/>
        <v/>
      </c>
      <c r="EW275" t="str">
        <f t="shared" si="407"/>
        <v/>
      </c>
      <c r="EX275">
        <f t="shared" si="408"/>
        <v>1</v>
      </c>
      <c r="EY275" t="str">
        <f>IF(AK275="нет","",IF(AK275&lt;&gt;"",AK275,IF(EX275=1,"XT"&amp;COUNTIFS(A$3:A275,A275,EX$3:EX275,1),"")))</f>
        <v>XT51</v>
      </c>
      <c r="EZ275" t="str">
        <f t="shared" si="409"/>
        <v>QFD51</v>
      </c>
      <c r="FA275" t="str">
        <f t="shared" si="410"/>
        <v/>
      </c>
      <c r="FB275" t="str">
        <f t="shared" si="411"/>
        <v>ok</v>
      </c>
      <c r="FC275" t="str">
        <f>IF(OR(EV275="",ET275=""),"",IF(EV275&gt;IFERROR(VLOOKUP(EU275,Модули_спр,3,FALSE),99),"ЛИШНИЙ КАНАЛ",IF(AND(AJ275&lt;&gt;"=",COUNTIFS(Линии[_модуль гр.],ET275,Линии[Канал (итог)],EV275,Линии[Канал],"&lt;&gt;=",Линии[Щит],A275)&gt;1),"ДУБЛЬ КАНАЛА","")))</f>
        <v/>
      </c>
      <c r="FD275">
        <f t="shared" si="412"/>
        <v>16</v>
      </c>
      <c r="FE275" t="str">
        <f t="shared" si="413"/>
        <v>2P С16А 30мА</v>
      </c>
      <c r="FF275">
        <f t="shared" si="414"/>
        <v>1</v>
      </c>
      <c r="FG275">
        <f t="shared" si="415"/>
        <v>30</v>
      </c>
      <c r="FH275" t="str">
        <f t="shared" si="416"/>
        <v/>
      </c>
      <c r="FI275">
        <f t="shared" si="417"/>
        <v>10</v>
      </c>
      <c r="FJ275" t="str">
        <f t="shared" si="418"/>
        <v/>
      </c>
      <c r="FK275" t="str">
        <f>IF(AND(D275="",EZ275=""),"",_xlfn.TEXTJOIN("; ",TRUE,IF(AND(D275&lt;&gt;"",DD275=""),"нет фазы",""),IF(AND(D275&lt;&gt;"",N(DT275)=0,CN275&lt;&gt;"Нет"),"нет мощности",""),IF(AND(EY275&lt;&gt;"",COUNTIFS(Линии[Щит],A275,Линии[Клемма (итог)],EY275)&gt;1),"дубль клеммы "&amp;EY275,""),IF(AND(FB275&lt;&gt;"",FB275&lt;&gt;"ok"),FB275,""),IF(FC275&lt;&gt;"",FC275,""),IF(AND(ISNUMBER(SEARCH("(5х",DS275)),N(DV275)=1),"5 жил на 1 фазе",""),IF(AND(AT275="R",AD275&lt;&gt;"",OR(N(EH275)=0,N(EH275)&gt;30)),"розетка без дифзащиты до 30 мА",""),IFERROR(IF(AND(ISNUMBER(CD275),CD275&gt;CE275),"потери "&amp;FIXED(CD275,1)&amp;" % &gt; "&amp;CE275&amp;" %",""),""),IFERROR(IF(LEFT(FJ275,4)="мало","Iкз мало — отключение &gt; 0,4 с",""),""),IF(AND(D275&lt;&gt;"",BD275=""),"не на схеме","")))</f>
        <v/>
      </c>
      <c r="FL275">
        <f>IF(AD275="","",_xlfn.LET(_xlpm.t,IFERROR(_xlfn.XLOOKUP(EP275,Каталог!$U$4:$U$500,Каталог!$G$4:$G$500),""),_xlpm.k,SEARCH("кА",_xlpm.t),IFERROR(--TRIM(RIGHT(SUBSTITUTE(MID(_xlpm.t,MAX(1,_xlpm.k-4),_xlpm.k-MAX(1,_xlpm.k-4))," ",REPT(" ",9)),5)),"")))</f>
        <v>6</v>
      </c>
      <c r="FM275" t="str">
        <f>IF(OR(FL275="",AD275=""),"",IF(_xlfn.XLOOKUP(A275,Щиты[Щит],Щиты[Iкз max на шинах, кА],"")="","",IF(FL275&lt;_xlfn.XLOOKUP(A275,Щиты[Щит],Щиты[Iкз max на шинах, кА]),"Icu "&amp;FL275&amp;" кА &lt; Iкз max","ok")))</f>
        <v/>
      </c>
      <c r="FN275" t="str">
        <f t="shared" si="419"/>
        <v>QFD51|XT51</v>
      </c>
      <c r="FO275" t="str">
        <f t="shared" si="420"/>
        <v>QFD51|XT51|кабель ВВГнг(А)-LS (3х2,5) → Розеточная группа Первый этаж Пом. №021A</v>
      </c>
      <c r="FP275" t="str" cm="1">
        <f t="array" ref="FP275">IF(FO275="","",_xlfn.LET(_xlpm.nd,_xlfn.TEXTSPLIT(FO275,"|"),IF(COLUMNS(_xlpm.nd)&gt;1,A275&amp;"¦"&amp;INDEX(_xlpm.nd,1)&amp;"¦"&amp;INDEX(_xlpm.nd,2),"")))</f>
        <v>ЩР-1¦QFD51¦XT51</v>
      </c>
      <c r="FQ275" t="str">
        <f t="shared" si="421"/>
        <v>R.1.021A.8¦Розеточная группа Первый этаж Пом. №021A</v>
      </c>
      <c r="FR275" t="str" cm="1">
        <f t="array" ref="FR275">IF(FO275="","",_xlfn.LET(_xlpm.nd,_xlfn.TEXTSPLIT(FO275,"|"),IF(COLUMNS(_xlpm.nd)&gt;2,A275&amp;"¦"&amp;INDEX(_xlpm.nd,2)&amp;"¦"&amp;INDEX(_xlpm.nd,3),"")))</f>
        <v>ЩР-1¦XT51¦кабель ВВГнг(А)-LS (3х2,5) → Розеточная группа Первый этаж Пом. №021A</v>
      </c>
      <c r="FS275" t="str">
        <f t="shared" si="422"/>
        <v>R.1.021A.8¦Розеточная группа Первый этаж Пом. №021A</v>
      </c>
      <c r="FT275" t="str" cm="1">
        <f t="array" ref="FT275">IF(FO275="","",_xlfn.LET(_xlpm.nd,_xlfn.TEXTSPLIT(FO275,"|"),IF(COLUMNS(_xlpm.nd)&gt;3,A275&amp;"¦"&amp;INDEX(_xlpm.nd,3)&amp;"¦"&amp;INDEX(_xlpm.nd,4),"")))</f>
        <v/>
      </c>
      <c r="FU275" t="str">
        <f t="shared" si="423"/>
        <v/>
      </c>
      <c r="FV275" t="str" cm="1">
        <f t="array" ref="FV275">IF(FO275="","",_xlfn.LET(_xlpm.nd,_xlfn.TEXTSPLIT(FO275,"|"),IF(COLUMNS(_xlpm.nd)&gt;4,A275&amp;"¦"&amp;INDEX(_xlpm.nd,4)&amp;"¦"&amp;INDEX(_xlpm.nd,5),"")))</f>
        <v/>
      </c>
      <c r="FW275" t="str">
        <f t="shared" si="424"/>
        <v/>
      </c>
      <c r="FX275" t="str" cm="1">
        <f t="array" ref="FX275">IF(FO275="","",_xlfn.LET(_xlpm.nd,_xlfn.TEXTSPLIT(FO275,"|"),IF(COLUMNS(_xlpm.nd)&gt;5,A275&amp;"¦"&amp;INDEX(_xlpm.nd,5)&amp;"¦"&amp;INDEX(_xlpm.nd,6),"")))</f>
        <v/>
      </c>
      <c r="FY275" t="str">
        <f t="shared" si="425"/>
        <v/>
      </c>
      <c r="FZ275" t="str" cm="1">
        <f t="array" ref="FZ275">IF(FO275="","",_xlfn.LET(_xlpm.nd,_xlfn.TEXTSPLIT(FO275,"|"),IF(COLUMNS(_xlpm.nd)&gt;6,A275&amp;"¦"&amp;INDEX(_xlpm.nd,6)&amp;"¦"&amp;INDEX(_xlpm.nd,7),"")))</f>
        <v/>
      </c>
      <c r="GA275" t="str">
        <f t="shared" si="426"/>
        <v/>
      </c>
      <c r="GB275" t="str">
        <f t="shared" si="427"/>
        <v/>
      </c>
      <c r="GC275" t="str">
        <f t="shared" si="428"/>
        <v>QFD51 → XT51</v>
      </c>
      <c r="GD275">
        <f t="shared" si="429"/>
        <v>1</v>
      </c>
      <c r="GE275">
        <f t="shared" si="430"/>
        <v>0</v>
      </c>
      <c r="GF275">
        <f t="shared" si="431"/>
        <v>1</v>
      </c>
      <c r="GG275" t="str">
        <f t="shared" si="432"/>
        <v/>
      </c>
      <c r="GH275" t="str">
        <f t="shared" si="433"/>
        <v/>
      </c>
      <c r="GI275" t="str">
        <f t="shared" si="434"/>
        <v/>
      </c>
      <c r="GJ275" t="str">
        <f t="shared" si="435"/>
        <v/>
      </c>
      <c r="GK275" t="str">
        <f>IF(D275="","",IFERROR(VLOOKUP(D275,УГО_спр,2,FALSE),IFERROR(VLOOKUP(AT275,УГО_спр,2,FALSE),IFERROR(VLOOKUP(LEFT(AT275,2),УГО_спр,2,FALSE),""))))</f>
        <v>Розетка</v>
      </c>
      <c r="GL275" t="str">
        <f>IF(D275="","",IF(OR(GK275="",GK275=0),"BOX",IFERROR(IF(VLOOKUP(GK275,УГО_блоки,3,FALSE)&amp;""&lt;&gt;"",VLOOKUP(GK275,УГО_блоки,3,FALSE),VLOOKUP(GK275,УГО_блоки,2,FALSE)),GK275)))</f>
        <v>SOCKET</v>
      </c>
      <c r="GM275">
        <f t="shared" si="436"/>
        <v>1</v>
      </c>
      <c r="GN275" t="str">
        <f>IF(EP275="","",IF(COUNTIF(EP$3:EP275,EP275)=1,MAX(GN$2:GN274)+1,""))</f>
        <v/>
      </c>
      <c r="GO275" t="str">
        <f>IF(AF275="","",IF(COUNTIF(AF$3:AF275,AF275)+COUNTIF(AG$2:AG274,AF275)+COUNTIF(AH$2:AH274,AF275)=1,MAX(GO$2:GQ274)+1,""))</f>
        <v/>
      </c>
      <c r="GP275" t="str">
        <f>IF(AG275="","",IF(COUNTIF(AF$3:AF275,AG275)+COUNTIF(AG$3:AG275,AG275)+COUNTIF(AH$2:AH274,AG275)=1,MAX(GO$2:GQ274,GO275)+1,""))</f>
        <v/>
      </c>
      <c r="GQ275" t="str">
        <f>IF(AH275="","",IF(COUNTIF(AF$3:AF275,AH275)+COUNTIF(AG$3:AG275,AH275)+COUNTIF(AH$3:AH275,AH275)=1,MAX(GO$2:GQ274,GO275,GP275)+1,""))</f>
        <v/>
      </c>
      <c r="GR275" t="str">
        <f t="shared" si="437"/>
        <v>3х2,5</v>
      </c>
      <c r="GS275" t="str">
        <f>IF(GR275="","",IF(COUNTIF(GR$3:GR275,GR275)=1,MAX(GS$2:GS274)+1,""))</f>
        <v/>
      </c>
      <c r="GT275" t="str">
        <f>IF(ES275="","",COUNTIF(ES$3:ES275,"?*"))</f>
        <v/>
      </c>
      <c r="GU275" t="str">
        <f>IF(OR(ES275="",EU275=""),"",IF(COUNTIFS(ES$3:ES275,"?*",EU$3:EU275,EU275)=1,MAX(GU$2:GU274)+1,""))</f>
        <v/>
      </c>
      <c r="GV275">
        <f t="shared" si="438"/>
        <v>0</v>
      </c>
      <c r="GW275">
        <f>IF(D275="","",COUNTIF(D$3:D275,"?*"))</f>
        <v>273</v>
      </c>
      <c r="GX275">
        <f>IF(EX275&lt;&gt;1,0,_xlfn.LET(_xlpm.k,MAX(IFERROR(--VLOOKUP(D275,УГО_спр,5,FALSE),0),IFERROR(--VLOOKUP(AT275,УГО_спр,5,FALSE),0),IFERROR(--VLOOKUP(LEFT(AT275,2),УГО_спр,5,FALSE),0)),IF(_xlpm.k&gt;0,_xlpm.k,IF(IFERROR(--LEFT(SUBSTITUTE(GR275,"x","х"),FIND("х",SUBSTITUTE(GR275,"x","х"))-1),3)&gt;3,Каталог!$S$9,1))))</f>
        <v>1</v>
      </c>
      <c r="GY275">
        <f t="shared" si="439"/>
        <v>0</v>
      </c>
    </row>
    <row r="276" spans="1:207" x14ac:dyDescent="0.3">
      <c r="A276" t="s">
        <v>762</v>
      </c>
      <c r="B276">
        <v>66</v>
      </c>
      <c r="C276" t="str">
        <f>IF(BD276="","",IF(BE276="вводной узел","узел ","")&amp;"л."&amp;(INT((BD276-1)/Столбцов_на_лист)+1)&amp;" / "&amp;(MOD(BD276-1,Столбцов_на_лист)+1))</f>
        <v>л.4 / 15</v>
      </c>
      <c r="D276" t="s">
        <v>1606</v>
      </c>
      <c r="E276" s="133" t="s">
        <v>1607</v>
      </c>
      <c r="G276">
        <v>0.7</v>
      </c>
      <c r="H276">
        <v>1</v>
      </c>
      <c r="I276">
        <v>1</v>
      </c>
      <c r="J276">
        <v>230</v>
      </c>
      <c r="K276" t="s">
        <v>566</v>
      </c>
      <c r="O276">
        <v>1</v>
      </c>
      <c r="P276">
        <v>37</v>
      </c>
      <c r="Q276">
        <v>20</v>
      </c>
      <c r="R276">
        <v>20</v>
      </c>
      <c r="S276">
        <v>0</v>
      </c>
      <c r="U276" t="s">
        <v>11</v>
      </c>
      <c r="V276">
        <v>3</v>
      </c>
      <c r="W276">
        <v>2.5</v>
      </c>
      <c r="Z276" t="s">
        <v>565</v>
      </c>
      <c r="AA276" t="s">
        <v>818</v>
      </c>
      <c r="AD276" t="s">
        <v>517</v>
      </c>
      <c r="AR276" t="str">
        <f t="shared" si="353"/>
        <v/>
      </c>
      <c r="AS276" cm="1">
        <f t="array" ref="AS276">ROW()-ROW(Линии[#Headers])</f>
        <v>274</v>
      </c>
      <c r="AT276" t="str">
        <f t="shared" si="354"/>
        <v>R</v>
      </c>
      <c r="AU276" t="str">
        <f t="shared" si="355"/>
        <v>1.021A.9</v>
      </c>
      <c r="AV276" t="str">
        <f t="shared" si="356"/>
        <v>1</v>
      </c>
      <c r="AW276" t="str">
        <f t="shared" si="357"/>
        <v>021A.9</v>
      </c>
      <c r="AX276" t="str">
        <f t="shared" si="358"/>
        <v>021A</v>
      </c>
      <c r="AY276" t="str">
        <f>IF(D276="","",IF(ISERROR(SEARCH(".",D276)),IFERROR(VLOOKUP(D276,Потребители_обозначение,2,FALSE)&amp;"",""),IFERROR(IF(VLOOKUP(AT276,Потребители_обозначение,4,FALSE)=1,VLOOKUP(AT276,Потребители_обозначение,2,FALSE)&amp;" "&amp;VLOOKUP(AV276,Этаж_обозначение,2,FALSE)&amp;" Пом. №"&amp;AX276,VLOOKUP(AT276,Потребители_обозначение,2,FALSE)&amp;" Шлейф №"&amp;AV276),IFERROR(VLOOKUP(D276,Потребители_обозначение,2,FALSE),""))))</f>
        <v>Розеточная группа Первый этаж Пом. №021A</v>
      </c>
      <c r="AZ276" t="str">
        <f t="shared" si="359"/>
        <v>Розеточная группа Первый этаж Пом. №021A Подогреватель пищи и посуды</v>
      </c>
      <c r="BA276" t="str">
        <f>IF(F276&lt;&gt;"",F276,IF(AND(D276&lt;&gt;"",D276&lt;&gt;A276,ISNUMBER(_xlfn.XMATCH(D276,Щиты[Щит]))),D276,""))</f>
        <v/>
      </c>
      <c r="BB276">
        <f>IFERROR(_xlfn.XMATCH(A276,Щиты[Щит]),0)</f>
        <v>10</v>
      </c>
      <c r="BC276">
        <f>IFERROR(N(_xlfn.XLOOKUP(A276,Щиты[Щит],Щиты[Мест под вводной узел])),15)</f>
        <v>8</v>
      </c>
      <c r="BD276">
        <f t="shared" si="360"/>
        <v>66</v>
      </c>
      <c r="BE276" t="str">
        <f t="shared" si="361"/>
        <v>линии</v>
      </c>
      <c r="BF276">
        <f>IF(D276="","",IF(BA276&lt;&gt;"",IFERROR(_xlfn.XLOOKUP(BA276,Щиты[Щит],Щиты[Руст, кВт]),0),N(G276)))</f>
        <v>0.7</v>
      </c>
      <c r="BG276">
        <f>IF(J276&lt;&gt;"",J276,IF(D276="","",IFERROR(IF(VLOOKUP(AT276,Потребители_обозначение,8,FALSE)=0,"",VLOOKUP(AT276,Потребители_обозначение,8,FALSE)),"")))</f>
        <v>230</v>
      </c>
      <c r="BH276">
        <f>IF(I276&lt;&gt;"",I276,IF(D276="","",IFERROR(IF(VLOOKUP(AT276,Потребители_обозначение,9,FALSE)=0,"",VLOOKUP(AT276,Потребители_обозначение,9,FALSE)),"")))</f>
        <v>1</v>
      </c>
      <c r="BI276" t="str">
        <f>IF(U276&lt;&gt;"",U276,IF(D276="","",IFERROR(IF(VLOOKUP(AT276,Потребители_обозначение,6,FALSE)=0,"",VLOOKUP(AT276,Потребители_обозначение,6,FALSE)),"")))</f>
        <v>мс</v>
      </c>
      <c r="BJ276">
        <f>IF(V276&lt;&gt;"",V276,IF(D276="","",IFERROR(IF(VLOOKUP(AT276,Потребители_обозначение,7,FALSE)=0,"",VLOOKUP(AT276,Потребители_обозначение,7,FALSE)),"")))</f>
        <v>3</v>
      </c>
      <c r="BK276">
        <f>IF(W276&lt;&gt;"",W276,IF(D276="","",IFERROR(IF(VLOOKUP(AT276,Потребители_обозначение,10,FALSE)=0,"",VLOOKUP(AT276,Потребители_обозначение,10,FALSE)),"")))</f>
        <v>2.5</v>
      </c>
      <c r="BL276">
        <f>IFERROR(VLOOKUP(AT276,Потребители_обозначение,5,FALSE),0)</f>
        <v>1</v>
      </c>
      <c r="BM276" cm="1">
        <f t="array" ref="BM276">IF(D276="","",IF(BA276&lt;&gt;"",IFERROR(_xlfn.XLOOKUP(BA276,Щиты[Щит],Щиты[cos φ]),0.95),IF(ISNUMBER(M276),M276,IFERROR(IF(BL276=2,_xlfn.IFS(BH276=3,VLOOKUP(BF276,Справочная_двигатели,8,FALSE),BH276=1,VLOOKUP(BF276,Справочная_двигатели,10,TRUE)),IF(AND(Методика="нормы 2026",CN276="Сил"),0.8,0.95)),0.95))))</f>
        <v>0.95</v>
      </c>
      <c r="BN276" cm="1">
        <f t="array" ref="BN276">IF(D276="","",IF(BA276&lt;&gt;"",IFERROR(_xlfn.XLOOKUP(BA276,Щиты[Щит],Щиты[Iр, А]),""),IFERROR(_xlfn.IFS(BH276=1,BF276/((Uн_лин/SQRT(3))*BM276),BH276=3,BF276/(SQRT(3)*Uн_лин*BM276)),"")))</f>
        <v>3.1906199086795106</v>
      </c>
      <c r="BO276">
        <f>IF(D276="","",IF(N(X276)=0,IFERROR(VLOOKUP(BN276,Автомат_номиналы,2,TRUE),""),X276))</f>
        <v>6</v>
      </c>
      <c r="BP276">
        <f t="shared" si="362"/>
        <v>1</v>
      </c>
      <c r="BQ276">
        <f>IF(ISNUMBER(Y276),Y276,К_прокл)</f>
        <v>1</v>
      </c>
      <c r="BR276">
        <f t="shared" si="363"/>
        <v>2</v>
      </c>
      <c r="BS276" cm="1">
        <f t="array" ref="BS276">IF(D276="","",IF(N(BK276)&lt;&gt;0,BK276,IFERROR(_xlfn.LET(_xlpm.need,BO276/(BP276*BQ276),_xlpm.t,CHOOSE(BR276,Iдоп_1ж,Iдоп_2ж,Iдоп_3ж),_xlpm.k,_xlfn.XMATCH(_xlpm.need,_xlpm.t,1),IF(ISNA(_xlpm.k),"Не исп",INDEX(Iдоп_S,_xlpm.k))),"Не исп")))</f>
        <v>2.5</v>
      </c>
      <c r="BT276">
        <f>IFERROR(VLOOKUP(BS276,Кабель_сопротивление,3,FALSE),"")</f>
        <v>2.2499999999999999E-2</v>
      </c>
      <c r="BU276">
        <f>IFERROR(VLOOKUP(BS276,Кабель_сопротивление,2,FALSE),"")</f>
        <v>0.1</v>
      </c>
      <c r="BV276">
        <f t="shared" si="364"/>
        <v>37</v>
      </c>
      <c r="BW276">
        <f>IF(D276="","",IFERROR(IF(VLOOKUP(AT276,Потребители_обозначение,4,FALSE)=1,VLOOKUP(AT276,Потребители_обозначение,3,FALSE)*(H276*2-1)+BV276+VLOOKUP(AV276,Этаж_обозначение,3,FALSE)+VLOOKUP(AV276,Этаж_обозначение,4,FALSE),VLOOKUP(AT276,Потребители_обозначение,3,FALSE)*(H276*2-1)+BV276),BV276))</f>
        <v>40</v>
      </c>
      <c r="BX276">
        <f t="shared" si="365"/>
        <v>20</v>
      </c>
      <c r="BY276">
        <f t="shared" si="366"/>
        <v>0</v>
      </c>
      <c r="BZ276">
        <f t="shared" si="367"/>
        <v>2</v>
      </c>
      <c r="CA276">
        <f t="shared" si="368"/>
        <v>0.31</v>
      </c>
      <c r="CB276">
        <f t="shared" si="369"/>
        <v>2.1902967549103103</v>
      </c>
      <c r="CC276">
        <f>IFERROR(ROUNDUP(CB276/((Uн_лин/SQRT(3))*1000)*100,2),"")</f>
        <v>0.95</v>
      </c>
      <c r="CD276">
        <f>IF(ISNUMBER(CC276),CC276+IFERROR(_xlfn.XLOOKUP(A276,Щиты[Щит],Щиты[ΔU до шин, %]),0),"")</f>
        <v>2.2000000000000002</v>
      </c>
      <c r="CE276">
        <f>IF(D276="","",IF(IFERROR(VLOOKUP(AT276,УГО_спр,2,FALSE),"")="Светильник",3,4)+IF(Методика="нормы 2026",MIN(0.5,MAX(0,N(BW276)-100)*0.005),0))</f>
        <v>4</v>
      </c>
      <c r="CF276" t="str">
        <f>IFERROR(VLOOKUP(BI276,Кабель_обозначение,2,FALSE),"")</f>
        <v>ВВГнг(А)-LS</v>
      </c>
      <c r="CG276" t="str">
        <f>IFERROR(IF(VLOOKUP(BI276,Кабель_обозначение,3,FALSE)=1,CF276&amp;" ("&amp;BJ276&amp;"х"&amp;BS276&amp;")",CF276),"")</f>
        <v>ВВГнг(А)-LS (3х2,5)</v>
      </c>
      <c r="CH276" t="str">
        <f t="shared" si="370"/>
        <v>ВВГнг(А)-LS (3х2,5)
L=40-0,95%</v>
      </c>
      <c r="CI276">
        <f>IFERROR(2*ρкз_Cu*BW276/BS276,"")</f>
        <v>0.84160000000000001</v>
      </c>
      <c r="CJ276">
        <f t="shared" si="371"/>
        <v>0.28000000000000003</v>
      </c>
      <c r="CK276" t="str">
        <f>IFERROR(IF(OR(D276="",NOT(ISNUMBER(BS276)),N(BW276)=0),"",_xlfn.XLOOKUP(A276,Щиты[Щит],Щиты[Zпетли на шинах, Ом])+CI276),"")</f>
        <v/>
      </c>
      <c r="CL276" t="str">
        <f>IF(ISNUMBER(CK276),c_min*(Uн_лин*1000/SQRT(3))/CK276,"")</f>
        <v/>
      </c>
      <c r="CM276" t="str">
        <f>IFERROR(IF(OR(D276="",NOT(ISNUMBER(BS276))),"",1.05*(Uн_лин*1000/SQRT(3))/(_xlfn.XLOOKUP(A276,Щиты[Щит],Щиты[Zmax на шинах, Ом])+CJ276)/1000),"")</f>
        <v/>
      </c>
      <c r="CN276" t="str">
        <f>IF(D276="","",IF(BA276&lt;&gt;"","Щит",IF(K276&lt;&gt;"",K276,IF(ISNUMBER(L276),"Сил",IF(IFERROR(_xlfn.XLOOKUP(AT276,Коды_код,Коды_группа)&amp;"","")="","Быт",_xlfn.XLOOKUP(AT276,Коды_код,Коды_группа)&amp;"")))))</f>
        <v>Быт</v>
      </c>
      <c r="CO276">
        <f>IF(CN276="Щит","щит",IF(CN276="","",IF(CN276="Быт",IFERROR(_xlfn.XLOOKUP(A276,Щиты[Щит],Щиты[Кс быт]),1),IF(CN276="Сил",IF(ISNUMBER(L276),L276,IF(Методика="нормы 2026",IFERROR(_xlfn.XLOOKUP(A276,Щиты[Щит],Щиты[Кс силовых (табл. 7.5)]),1),1)),IF(OR(CN276="Пост",CN276="Отоп"),1,IF(CN276="ВНГ",0.7,0))))))</f>
        <v>0.57830000000000004</v>
      </c>
      <c r="CP276">
        <f t="shared" si="372"/>
        <v>1</v>
      </c>
      <c r="CQ276">
        <f t="shared" si="373"/>
        <v>0.7</v>
      </c>
      <c r="CR276">
        <f t="shared" si="374"/>
        <v>0.7</v>
      </c>
      <c r="CS276">
        <f t="shared" si="375"/>
        <v>0</v>
      </c>
      <c r="CT276">
        <f t="shared" si="376"/>
        <v>0</v>
      </c>
      <c r="CU276">
        <f t="shared" si="377"/>
        <v>0</v>
      </c>
      <c r="CV276">
        <f t="shared" si="378"/>
        <v>0</v>
      </c>
      <c r="CW276">
        <f t="shared" si="379"/>
        <v>0.7</v>
      </c>
      <c r="CX276">
        <f t="shared" si="380"/>
        <v>0.66499999999999992</v>
      </c>
      <c r="CY276">
        <f t="shared" si="381"/>
        <v>3</v>
      </c>
      <c r="CZ276" t="str">
        <f t="shared" si="382"/>
        <v>L3</v>
      </c>
      <c r="DA276" cm="1">
        <f t="array" ref="DA276">IFERROR(IF(BL276=2,_xlfn.IFS(BH276=3,VLOOKUP(BF276,Справочная_двигатели,3,FALSE),BH276=1,VLOOKUP(BF276,Справочная_двигатели,5,TRUE)),0),0)</f>
        <v>0</v>
      </c>
      <c r="DB276">
        <f>IFERROR(IF(BL276=3,VLOOKUP(BF276,Справочная_ЛЭД,2,TRUE),0),0)</f>
        <v>0</v>
      </c>
      <c r="DC276">
        <f t="shared" si="383"/>
        <v>0</v>
      </c>
      <c r="DD276" t="str">
        <f t="shared" si="384"/>
        <v>L1</v>
      </c>
      <c r="DE276" t="str" cm="1">
        <f t="array" ref="DE276">IF(D276="","",IFERROR(INDEX({"I особая","I","II","III"},MATCH(TRIM(AA276&amp;""),{"I особая","I","II","III"},0)),"III"))</f>
        <v>II</v>
      </c>
      <c r="DF276" t="str">
        <f>IF(D276="","",IF(TRIM(AB276&amp;"")&lt;&gt;"",IF(LOWER(TRIM(AB276&amp;""))="да","да","нет"),IF(IFERROR(_xlfn.XLOOKUP(AT276,Коды_код,Коды_пожарная),"")="да","да","нет")))</f>
        <v>нет</v>
      </c>
      <c r="DG276" t="str">
        <f t="shared" si="385"/>
        <v/>
      </c>
      <c r="DH276" t="str">
        <f t="shared" si="386"/>
        <v>основная</v>
      </c>
      <c r="DI276">
        <f t="shared" si="387"/>
        <v>1</v>
      </c>
      <c r="DJ276" t="str" cm="1">
        <f t="array" ref="DJ276">IF(D276="","",_xlfn.LET(_xlpm.t,IFERROR(_xlfn.XLOOKUP(1,(Шины[Шина]=DH276)*(((Шины[Щит]=A276)+(Шины[Щит]=""))&gt;0),Шины[Тип]),"")&amp;"",IF(_xlpm.t&lt;&gt;"",_xlpm.t,IF(ISNUMBER(SEARCH("ИБП",DH276)),"ИБП",IF(ISNUMBER(SEARCH("ДГУ",DH276)),"ДГУ","Ввод "&amp;DI276)))))</f>
        <v>Ввод 1</v>
      </c>
      <c r="DK276" t="str">
        <f t="shared" si="388"/>
        <v>Ввод 1</v>
      </c>
      <c r="DL276" t="str">
        <f>IF(D276="","",IF(OR(DJ276="ИБП",DJ276="ДГУ"),"I особая",IF(DJ276="Одиночная","III",_xlfn.XLOOKUP(A276,Щиты[Щит],Щиты[Категория шины «Ввод»],"III"))))</f>
        <v>II</v>
      </c>
      <c r="DM276">
        <f>IF(D276="",0,IFERROR(MATCH(DE276,{"III","II","I","I особая"},0),1))</f>
        <v>2</v>
      </c>
      <c r="DN276">
        <f t="shared" si="389"/>
        <v>2</v>
      </c>
      <c r="DO276" t="str">
        <f>IF(D276="","",IF(DM276&gt;IFERROR(MATCH(DL276,{"III","II","I","I особая"},0),1),"НЕ ОБЕСПЕЧЕНА","ОК"))</f>
        <v>ОК</v>
      </c>
      <c r="DP276" t="str">
        <f>IF(A276="","",_xlfn.XLOOKUP(A276,Щиты[Щит],Щиты[Путь],""))</f>
        <v>|ГРЩ-ЖД|ЩР-1|</v>
      </c>
      <c r="DQ276" t="str">
        <f>IF(D276="","",IF(Z276&lt;&gt;"",Z276,IF(IFERROR(_xlfn.XLOOKUP(AT276,Коды_код,Коды_вид)&amp;"","")="","Прочее",_xlfn.XLOOKUP(AT276,Коды_код,Коды_вид)&amp;"")))</f>
        <v>Розеточная сеть и бытовые приборы</v>
      </c>
      <c r="DR276">
        <f>IF(BD276="","",INT((BD276-1)/Столбцов_на_лист)+1)</f>
        <v>4</v>
      </c>
      <c r="DS276" t="str">
        <f t="shared" si="390"/>
        <v>ВВГнг(А)-LS (3х2,5) L=40-0,95%</v>
      </c>
      <c r="DT276">
        <f t="shared" si="391"/>
        <v>0.7</v>
      </c>
      <c r="DU276">
        <f t="shared" si="392"/>
        <v>3.1999999999999997</v>
      </c>
      <c r="DV276">
        <f t="shared" si="393"/>
        <v>1</v>
      </c>
      <c r="DW276">
        <f>IF(AT276="",0,_xlfn.LET(_xlpm.v,IFERROR(VLOOKUP(D276,УГО_спр,3,FALSE),IFERROR(VLOOKUP(AT276,УГО_спр,3,FALSE),IFERROR(VLOOKUP(LEFT(AT276,2),УГО_спр,3,FALSE),""))),IF(_xlpm.v="да",30,IF(ISNUMBER(_xlpm.v),_xlpm.v,0))))</f>
        <v>30</v>
      </c>
      <c r="DX276">
        <f t="shared" si="394"/>
        <v>0</v>
      </c>
      <c r="DY276">
        <f>IF(BD276="","",IF(AD276&lt;&gt;"",COUNTIFS(A$3:A276,A276,AD$3:AD276,"?*"),IF(OR(OR(AS276=1,A276&lt;&gt;A275),AL276="вручную"),"",IF(AS276=1,"",DZ275))))</f>
        <v>52</v>
      </c>
      <c r="DZ276">
        <f t="shared" si="395"/>
        <v>52</v>
      </c>
      <c r="EA276">
        <f>IF(D276="",0,MAX(IFERROR(--X276,0),IFERROR(--VLOOKUP(D276,УГО_спр,4,FALSE),IFERROR(--VLOOKUP(AT276,УГО_спр,4,FALSE),IFERROR(--VLOOKUP(LEFT(AT276,2),УГО_спр,4,FALSE),0)))))</f>
        <v>16</v>
      </c>
      <c r="EB276">
        <f>IF(D276="","",IFERROR(LOOKUP(INDEX(CHOOSE(BR276,Iдоп_1ж,Iдоп_2ж,Iдоп_3ж),MATCH(BS276,Iдоп_S,0))*BP276*BQ276,{6,10,16,20,25,32,40,50,63,80,100,125,160,200,250,315,400,500,630}),""))</f>
        <v>25</v>
      </c>
      <c r="EC276">
        <f>IF(AD276="","",SUMIFS(Линии[_Ток схемы],Линии[_гр.],DY276,Линии[Щит],A276,Линии[_в кабель выше],0))</f>
        <v>3.1999999999999997</v>
      </c>
      <c r="ED276">
        <f>IF(AD276="","",IFERROR(VLOOKUP(EC276,Автомат_номиналы,2,TRUE),""))</f>
        <v>6</v>
      </c>
      <c r="EE276">
        <f>IF(AD276="","",MAX(N(ED276),_xlfn.MAXIFS(Линии[_мин. по типу],Линии[_гр.],DY276,Линии[Щит],A276)))</f>
        <v>16</v>
      </c>
      <c r="EF276">
        <f>IF(AD276="","",_xlfn.MINIFS(Линии[_макс. автомат по кабелю],Линии[_гр.],DY276,Линии[Щит],A276))</f>
        <v>25</v>
      </c>
      <c r="EG276">
        <f>IF(AD276="","",MAX(1,_xlfn.MAXIFS(Линии[_фаз],Линии[_гр.],DY276,Линии[Щит],A276)))</f>
        <v>1</v>
      </c>
      <c r="EH276">
        <f>IF(AD276="","",IF(AND(AD276&lt;&gt;"авто",AD276&lt;&gt;"+"),IF(ISNUMBER(SEARCH("мА",AD276)),IFERROR(--TRIM(RIGHT(SUBSTITUTE(LEFT(AD276,SEARCH("мА",AD276)-1)," ",REPT(" ",9)),6)),30),0),IF(AE276="нет",0,IF(ISNUMBER(AE276),AE276,IF(AE276="да",30,_xlfn.MINIFS(Линии[_дифзащита по коду, мА],Линии[_гр.],DY276,Линии[Щит],A276,Линии[_дифзащита по коду, мА],"&gt;0"))))))</f>
        <v>30</v>
      </c>
      <c r="EI276">
        <f t="shared" si="396"/>
        <v>1</v>
      </c>
      <c r="EJ276" t="str">
        <f t="shared" si="397"/>
        <v>QFD52</v>
      </c>
      <c r="EK276" t="str">
        <f t="shared" si="398"/>
        <v>QFD52</v>
      </c>
      <c r="EL276" t="str">
        <f t="shared" si="399"/>
        <v/>
      </c>
      <c r="EM276">
        <f t="shared" si="400"/>
        <v>0</v>
      </c>
      <c r="EN276">
        <f>IF(AD276="","",IF(EM276=1,MAX(EE276,Мин_автомат_БП),EE276))</f>
        <v>16</v>
      </c>
      <c r="EO276" t="str">
        <f t="shared" si="401"/>
        <v>2P</v>
      </c>
      <c r="EP276" t="str">
        <f t="shared" si="402"/>
        <v>2P С16А 30мА</v>
      </c>
      <c r="EQ276">
        <f t="shared" si="403"/>
        <v>16</v>
      </c>
      <c r="ER276" t="str">
        <f>IF(OR(AI276="",AI276="-"),"",IFERROR(VLOOKUP(AI276,Модули_спр,2,FALSE),"R"))</f>
        <v/>
      </c>
      <c r="ES276" t="str">
        <f>IF(ER276="","",ER276&amp;"."&amp;COUNTIFS(A$3:A276,A276,ER$3:ER276,ER276))</f>
        <v/>
      </c>
      <c r="ET276" t="str">
        <f t="shared" si="404"/>
        <v/>
      </c>
      <c r="EU276" t="str">
        <f t="shared" si="405"/>
        <v/>
      </c>
      <c r="EV276" t="str">
        <f t="shared" si="406"/>
        <v/>
      </c>
      <c r="EW276" t="str">
        <f t="shared" si="407"/>
        <v/>
      </c>
      <c r="EX276">
        <f t="shared" si="408"/>
        <v>1</v>
      </c>
      <c r="EY276" t="str">
        <f>IF(AK276="нет","",IF(AK276&lt;&gt;"",AK276,IF(EX276=1,"XT"&amp;COUNTIFS(A$3:A276,A276,EX$3:EX276,1),"")))</f>
        <v>XT52</v>
      </c>
      <c r="EZ276" t="str">
        <f t="shared" si="409"/>
        <v>QFD52</v>
      </c>
      <c r="FA276" t="str">
        <f t="shared" si="410"/>
        <v/>
      </c>
      <c r="FB276" t="str">
        <f t="shared" si="411"/>
        <v>ok</v>
      </c>
      <c r="FC276" t="str">
        <f>IF(OR(EV276="",ET276=""),"",IF(EV276&gt;IFERROR(VLOOKUP(EU276,Модули_спр,3,FALSE),99),"ЛИШНИЙ КАНАЛ",IF(AND(AJ276&lt;&gt;"=",COUNTIFS(Линии[_модуль гр.],ET276,Линии[Канал (итог)],EV276,Линии[Канал],"&lt;&gt;=",Линии[Щит],A276)&gt;1),"ДУБЛЬ КАНАЛА","")))</f>
        <v/>
      </c>
      <c r="FD276">
        <f t="shared" si="412"/>
        <v>16</v>
      </c>
      <c r="FE276" t="str">
        <f t="shared" si="413"/>
        <v>2P С16А 30мА</v>
      </c>
      <c r="FF276">
        <f t="shared" si="414"/>
        <v>1</v>
      </c>
      <c r="FG276">
        <f t="shared" si="415"/>
        <v>30</v>
      </c>
      <c r="FH276" t="str">
        <f t="shared" si="416"/>
        <v/>
      </c>
      <c r="FI276">
        <f t="shared" si="417"/>
        <v>10</v>
      </c>
      <c r="FJ276" t="str">
        <f t="shared" si="418"/>
        <v/>
      </c>
      <c r="FK276" t="str">
        <f>IF(AND(D276="",EZ276=""),"",_xlfn.TEXTJOIN("; ",TRUE,IF(AND(D276&lt;&gt;"",DD276=""),"нет фазы",""),IF(AND(D276&lt;&gt;"",N(DT276)=0,CN276&lt;&gt;"Нет"),"нет мощности",""),IF(AND(EY276&lt;&gt;"",COUNTIFS(Линии[Щит],A276,Линии[Клемма (итог)],EY276)&gt;1),"дубль клеммы "&amp;EY276,""),IF(AND(FB276&lt;&gt;"",FB276&lt;&gt;"ok"),FB276,""),IF(FC276&lt;&gt;"",FC276,""),IF(AND(ISNUMBER(SEARCH("(5х",DS276)),N(DV276)=1),"5 жил на 1 фазе",""),IF(AND(AT276="R",AD276&lt;&gt;"",OR(N(EH276)=0,N(EH276)&gt;30)),"розетка без дифзащиты до 30 мА",""),IFERROR(IF(AND(ISNUMBER(CD276),CD276&gt;CE276),"потери "&amp;FIXED(CD276,1)&amp;" % &gt; "&amp;CE276&amp;" %",""),""),IFERROR(IF(LEFT(FJ276,4)="мало","Iкз мало — отключение &gt; 0,4 с",""),""),IF(AND(D276&lt;&gt;"",BD276=""),"не на схеме","")))</f>
        <v/>
      </c>
      <c r="FL276">
        <f>IF(AD276="","",_xlfn.LET(_xlpm.t,IFERROR(_xlfn.XLOOKUP(EP276,Каталог!$U$4:$U$500,Каталог!$G$4:$G$500),""),_xlpm.k,SEARCH("кА",_xlpm.t),IFERROR(--TRIM(RIGHT(SUBSTITUTE(MID(_xlpm.t,MAX(1,_xlpm.k-4),_xlpm.k-MAX(1,_xlpm.k-4))," ",REPT(" ",9)),5)),"")))</f>
        <v>6</v>
      </c>
      <c r="FM276" t="str">
        <f>IF(OR(FL276="",AD276=""),"",IF(_xlfn.XLOOKUP(A276,Щиты[Щит],Щиты[Iкз max на шинах, кА],"")="","",IF(FL276&lt;_xlfn.XLOOKUP(A276,Щиты[Щит],Щиты[Iкз max на шинах, кА]),"Icu "&amp;FL276&amp;" кА &lt; Iкз max","ok")))</f>
        <v/>
      </c>
      <c r="FN276" t="str">
        <f t="shared" si="419"/>
        <v>QFD52|XT52</v>
      </c>
      <c r="FO276" t="str">
        <f t="shared" si="420"/>
        <v>QFD52|XT52|кабель ВВГнг(А)-LS (3х2,5) → Розеточная группа Первый этаж Пом. №021A Подогреватель пищи и посуды</v>
      </c>
      <c r="FP276" t="str" cm="1">
        <f t="array" ref="FP276">IF(FO276="","",_xlfn.LET(_xlpm.nd,_xlfn.TEXTSPLIT(FO276,"|"),IF(COLUMNS(_xlpm.nd)&gt;1,A276&amp;"¦"&amp;INDEX(_xlpm.nd,1)&amp;"¦"&amp;INDEX(_xlpm.nd,2),"")))</f>
        <v>ЩР-1¦QFD52¦XT52</v>
      </c>
      <c r="FQ276" t="str">
        <f t="shared" si="421"/>
        <v>R.1.021A.9¦Розеточная группа Первый этаж Пом. №021A Подогреватель пищи и посуды</v>
      </c>
      <c r="FR276" t="str" cm="1">
        <f t="array" ref="FR276">IF(FO276="","",_xlfn.LET(_xlpm.nd,_xlfn.TEXTSPLIT(FO276,"|"),IF(COLUMNS(_xlpm.nd)&gt;2,A276&amp;"¦"&amp;INDEX(_xlpm.nd,2)&amp;"¦"&amp;INDEX(_xlpm.nd,3),"")))</f>
        <v>ЩР-1¦XT52¦кабель ВВГнг(А)-LS (3х2,5) → Розеточная группа Первый этаж Пом. №021A Подогреватель пищи и посуды</v>
      </c>
      <c r="FS276" t="str">
        <f t="shared" si="422"/>
        <v>R.1.021A.9¦Розеточная группа Первый этаж Пом. №021A Подогреватель пищи и посуды</v>
      </c>
      <c r="FT276" t="str" cm="1">
        <f t="array" ref="FT276">IF(FO276="","",_xlfn.LET(_xlpm.nd,_xlfn.TEXTSPLIT(FO276,"|"),IF(COLUMNS(_xlpm.nd)&gt;3,A276&amp;"¦"&amp;INDEX(_xlpm.nd,3)&amp;"¦"&amp;INDEX(_xlpm.nd,4),"")))</f>
        <v/>
      </c>
      <c r="FU276" t="str">
        <f t="shared" si="423"/>
        <v/>
      </c>
      <c r="FV276" t="str" cm="1">
        <f t="array" ref="FV276">IF(FO276="","",_xlfn.LET(_xlpm.nd,_xlfn.TEXTSPLIT(FO276,"|"),IF(COLUMNS(_xlpm.nd)&gt;4,A276&amp;"¦"&amp;INDEX(_xlpm.nd,4)&amp;"¦"&amp;INDEX(_xlpm.nd,5),"")))</f>
        <v/>
      </c>
      <c r="FW276" t="str">
        <f t="shared" si="424"/>
        <v/>
      </c>
      <c r="FX276" t="str" cm="1">
        <f t="array" ref="FX276">IF(FO276="","",_xlfn.LET(_xlpm.nd,_xlfn.TEXTSPLIT(FO276,"|"),IF(COLUMNS(_xlpm.nd)&gt;5,A276&amp;"¦"&amp;INDEX(_xlpm.nd,5)&amp;"¦"&amp;INDEX(_xlpm.nd,6),"")))</f>
        <v/>
      </c>
      <c r="FY276" t="str">
        <f t="shared" si="425"/>
        <v/>
      </c>
      <c r="FZ276" t="str" cm="1">
        <f t="array" ref="FZ276">IF(FO276="","",_xlfn.LET(_xlpm.nd,_xlfn.TEXTSPLIT(FO276,"|"),IF(COLUMNS(_xlpm.nd)&gt;6,A276&amp;"¦"&amp;INDEX(_xlpm.nd,6)&amp;"¦"&amp;INDEX(_xlpm.nd,7),"")))</f>
        <v/>
      </c>
      <c r="GA276" t="str">
        <f t="shared" si="426"/>
        <v/>
      </c>
      <c r="GB276" t="str">
        <f t="shared" si="427"/>
        <v/>
      </c>
      <c r="GC276" t="str">
        <f t="shared" si="428"/>
        <v>QFD52 → XT52</v>
      </c>
      <c r="GD276">
        <f t="shared" si="429"/>
        <v>1</v>
      </c>
      <c r="GE276">
        <f t="shared" si="430"/>
        <v>0</v>
      </c>
      <c r="GF276">
        <f t="shared" si="431"/>
        <v>1</v>
      </c>
      <c r="GG276" t="str">
        <f t="shared" si="432"/>
        <v/>
      </c>
      <c r="GH276" t="str">
        <f t="shared" si="433"/>
        <v/>
      </c>
      <c r="GI276" t="str">
        <f t="shared" si="434"/>
        <v/>
      </c>
      <c r="GJ276" t="str">
        <f t="shared" si="435"/>
        <v/>
      </c>
      <c r="GK276" t="str">
        <f>IF(D276="","",IFERROR(VLOOKUP(D276,УГО_спр,2,FALSE),IFERROR(VLOOKUP(AT276,УГО_спр,2,FALSE),IFERROR(VLOOKUP(LEFT(AT276,2),УГО_спр,2,FALSE),""))))</f>
        <v>Розетка</v>
      </c>
      <c r="GL276" t="str">
        <f>IF(D276="","",IF(OR(GK276="",GK276=0),"BOX",IFERROR(IF(VLOOKUP(GK276,УГО_блоки,3,FALSE)&amp;""&lt;&gt;"",VLOOKUP(GK276,УГО_блоки,3,FALSE),VLOOKUP(GK276,УГО_блоки,2,FALSE)),GK276)))</f>
        <v>SOCKET</v>
      </c>
      <c r="GM276">
        <f t="shared" si="436"/>
        <v>1</v>
      </c>
      <c r="GN276" t="str">
        <f>IF(EP276="","",IF(COUNTIF(EP$3:EP276,EP276)=1,MAX(GN$2:GN275)+1,""))</f>
        <v/>
      </c>
      <c r="GO276" t="str">
        <f>IF(AF276="","",IF(COUNTIF(AF$3:AF276,AF276)+COUNTIF(AG$2:AG275,AF276)+COUNTIF(AH$2:AH275,AF276)=1,MAX(GO$2:GQ275)+1,""))</f>
        <v/>
      </c>
      <c r="GP276" t="str">
        <f>IF(AG276="","",IF(COUNTIF(AF$3:AF276,AG276)+COUNTIF(AG$3:AG276,AG276)+COUNTIF(AH$2:AH275,AG276)=1,MAX(GO$2:GQ275,GO276)+1,""))</f>
        <v/>
      </c>
      <c r="GQ276" t="str">
        <f>IF(AH276="","",IF(COUNTIF(AF$3:AF276,AH276)+COUNTIF(AG$3:AG276,AH276)+COUNTIF(AH$3:AH276,AH276)=1,MAX(GO$2:GQ275,GO276,GP276)+1,""))</f>
        <v/>
      </c>
      <c r="GR276" t="str">
        <f t="shared" si="437"/>
        <v>3х2,5</v>
      </c>
      <c r="GS276" t="str">
        <f>IF(GR276="","",IF(COUNTIF(GR$3:GR276,GR276)=1,MAX(GS$2:GS275)+1,""))</f>
        <v/>
      </c>
      <c r="GT276" t="str">
        <f>IF(ES276="","",COUNTIF(ES$3:ES276,"?*"))</f>
        <v/>
      </c>
      <c r="GU276" t="str">
        <f>IF(OR(ES276="",EU276=""),"",IF(COUNTIFS(ES$3:ES276,"?*",EU$3:EU276,EU276)=1,MAX(GU$2:GU275)+1,""))</f>
        <v/>
      </c>
      <c r="GV276">
        <f t="shared" si="438"/>
        <v>0</v>
      </c>
      <c r="GW276">
        <f>IF(D276="","",COUNTIF(D$3:D276,"?*"))</f>
        <v>274</v>
      </c>
      <c r="GX276">
        <f>IF(EX276&lt;&gt;1,0,_xlfn.LET(_xlpm.k,MAX(IFERROR(--VLOOKUP(D276,УГО_спр,5,FALSE),0),IFERROR(--VLOOKUP(AT276,УГО_спр,5,FALSE),0),IFERROR(--VLOOKUP(LEFT(AT276,2),УГО_спр,5,FALSE),0)),IF(_xlpm.k&gt;0,_xlpm.k,IF(IFERROR(--LEFT(SUBSTITUTE(GR276,"x","х"),FIND("х",SUBSTITUTE(GR276,"x","х"))-1),3)&gt;3,Каталог!$S$9,1))))</f>
        <v>1</v>
      </c>
      <c r="GY276">
        <f t="shared" si="439"/>
        <v>0</v>
      </c>
    </row>
    <row r="277" spans="1:207" x14ac:dyDescent="0.3">
      <c r="A277" t="s">
        <v>762</v>
      </c>
      <c r="B277">
        <v>67</v>
      </c>
      <c r="C277" t="str">
        <f>IF(BD277="","",IF(BE277="вводной узел","узел ","")&amp;"л."&amp;(INT((BD277-1)/Столбцов_на_лист)+1)&amp;" / "&amp;(MOD(BD277-1,Столбцов_на_лист)+1))</f>
        <v>л.4 / 16</v>
      </c>
      <c r="D277" t="s">
        <v>1608</v>
      </c>
      <c r="E277" s="133" t="s">
        <v>1609</v>
      </c>
      <c r="G277">
        <v>0.23</v>
      </c>
      <c r="H277">
        <v>1</v>
      </c>
      <c r="I277">
        <v>1</v>
      </c>
      <c r="J277">
        <v>230</v>
      </c>
      <c r="K277" t="s">
        <v>566</v>
      </c>
      <c r="O277">
        <v>2</v>
      </c>
      <c r="P277">
        <v>6</v>
      </c>
      <c r="Q277">
        <v>0</v>
      </c>
      <c r="R277">
        <v>0</v>
      </c>
      <c r="S277">
        <v>6</v>
      </c>
      <c r="U277" t="s">
        <v>11</v>
      </c>
      <c r="V277">
        <v>3</v>
      </c>
      <c r="W277">
        <v>2.5</v>
      </c>
      <c r="Z277" t="s">
        <v>565</v>
      </c>
      <c r="AA277" t="s">
        <v>818</v>
      </c>
      <c r="AD277" t="s">
        <v>517</v>
      </c>
      <c r="AR277" t="str">
        <f t="shared" si="353"/>
        <v/>
      </c>
      <c r="AS277" cm="1">
        <f t="array" ref="AS277">ROW()-ROW(Линии[#Headers])</f>
        <v>275</v>
      </c>
      <c r="AT277" t="str">
        <f t="shared" si="354"/>
        <v>R</v>
      </c>
      <c r="AU277" t="str">
        <f t="shared" si="355"/>
        <v>1.002Б.9</v>
      </c>
      <c r="AV277" t="str">
        <f t="shared" si="356"/>
        <v>1</v>
      </c>
      <c r="AW277" t="str">
        <f t="shared" si="357"/>
        <v>002Б.9</v>
      </c>
      <c r="AX277" t="str">
        <f t="shared" si="358"/>
        <v>002Б</v>
      </c>
      <c r="AY277" t="str">
        <f>IF(D277="","",IF(ISERROR(SEARCH(".",D277)),IFERROR(VLOOKUP(D277,Потребители_обозначение,2,FALSE)&amp;"",""),IFERROR(IF(VLOOKUP(AT277,Потребители_обозначение,4,FALSE)=1,VLOOKUP(AT277,Потребители_обозначение,2,FALSE)&amp;" "&amp;VLOOKUP(AV277,Этаж_обозначение,2,FALSE)&amp;" Пом. №"&amp;AX277,VLOOKUP(AT277,Потребители_обозначение,2,FALSE)&amp;" Шлейф №"&amp;AV277),IFERROR(VLOOKUP(D277,Потребители_обозначение,2,FALSE),""))))</f>
        <v>Розеточная группа Первый этаж Пом. №002Б</v>
      </c>
      <c r="AZ277" t="str">
        <f t="shared" si="359"/>
        <v>Розеточная группа Первый этаж Пом. №002Б Холодильник</v>
      </c>
      <c r="BA277" t="str">
        <f>IF(F277&lt;&gt;"",F277,IF(AND(D277&lt;&gt;"",D277&lt;&gt;A277,ISNUMBER(_xlfn.XMATCH(D277,Щиты[Щит]))),D277,""))</f>
        <v/>
      </c>
      <c r="BB277">
        <f>IFERROR(_xlfn.XMATCH(A277,Щиты[Щит]),0)</f>
        <v>10</v>
      </c>
      <c r="BC277">
        <f>IFERROR(N(_xlfn.XLOOKUP(A277,Щиты[Щит],Щиты[Мест под вводной узел])),15)</f>
        <v>8</v>
      </c>
      <c r="BD277">
        <f t="shared" si="360"/>
        <v>67</v>
      </c>
      <c r="BE277" t="str">
        <f t="shared" si="361"/>
        <v>линии</v>
      </c>
      <c r="BF277">
        <f>IF(D277="","",IF(BA277&lt;&gt;"",IFERROR(_xlfn.XLOOKUP(BA277,Щиты[Щит],Щиты[Руст, кВт]),0),N(G277)))</f>
        <v>0.23</v>
      </c>
      <c r="BG277">
        <f>IF(J277&lt;&gt;"",J277,IF(D277="","",IFERROR(IF(VLOOKUP(AT277,Потребители_обозначение,8,FALSE)=0,"",VLOOKUP(AT277,Потребители_обозначение,8,FALSE)),"")))</f>
        <v>230</v>
      </c>
      <c r="BH277">
        <f>IF(I277&lt;&gt;"",I277,IF(D277="","",IFERROR(IF(VLOOKUP(AT277,Потребители_обозначение,9,FALSE)=0,"",VLOOKUP(AT277,Потребители_обозначение,9,FALSE)),"")))</f>
        <v>1</v>
      </c>
      <c r="BI277" t="str">
        <f>IF(U277&lt;&gt;"",U277,IF(D277="","",IFERROR(IF(VLOOKUP(AT277,Потребители_обозначение,6,FALSE)=0,"",VLOOKUP(AT277,Потребители_обозначение,6,FALSE)),"")))</f>
        <v>мс</v>
      </c>
      <c r="BJ277">
        <f>IF(V277&lt;&gt;"",V277,IF(D277="","",IFERROR(IF(VLOOKUP(AT277,Потребители_обозначение,7,FALSE)=0,"",VLOOKUP(AT277,Потребители_обозначение,7,FALSE)),"")))</f>
        <v>3</v>
      </c>
      <c r="BK277">
        <f>IF(W277&lt;&gt;"",W277,IF(D277="","",IFERROR(IF(VLOOKUP(AT277,Потребители_обозначение,10,FALSE)=0,"",VLOOKUP(AT277,Потребители_обозначение,10,FALSE)),"")))</f>
        <v>2.5</v>
      </c>
      <c r="BL277">
        <f>IFERROR(VLOOKUP(AT277,Потребители_обозначение,5,FALSE),0)</f>
        <v>1</v>
      </c>
      <c r="BM277" cm="1">
        <f t="array" ref="BM277">IF(D277="","",IF(BA277&lt;&gt;"",IFERROR(_xlfn.XLOOKUP(BA277,Щиты[Щит],Щиты[cos φ]),0.95),IF(ISNUMBER(M277),M277,IFERROR(IF(BL277=2,_xlfn.IFS(BH277=3,VLOOKUP(BF277,Справочная_двигатели,8,FALSE),BH277=1,VLOOKUP(BF277,Справочная_двигатели,10,TRUE)),IF(AND(Методика="нормы 2026",CN277="Сил"),0.8,0.95)),0.95))))</f>
        <v>0.95</v>
      </c>
      <c r="BN277" cm="1">
        <f t="array" ref="BN277">IF(D277="","",IF(BA277&lt;&gt;"",IFERROR(_xlfn.XLOOKUP(BA277,Щиты[Щит],Щиты[Iр, А]),""),IFERROR(_xlfn.IFS(BH277=1,BF277/((Uн_лин/SQRT(3))*BM277),BH277=3,BF277/(SQRT(3)*Uн_лин*BM277)),"")))</f>
        <v>1.0483465414232678</v>
      </c>
      <c r="BO277">
        <f>IF(D277="","",IF(N(X277)=0,IFERROR(VLOOKUP(BN277,Автомат_номиналы,2,TRUE),""),X277))</f>
        <v>6</v>
      </c>
      <c r="BP277">
        <f t="shared" si="362"/>
        <v>1</v>
      </c>
      <c r="BQ277">
        <f>IF(ISNUMBER(Y277),Y277,К_прокл)</f>
        <v>1</v>
      </c>
      <c r="BR277">
        <f t="shared" si="363"/>
        <v>2</v>
      </c>
      <c r="BS277" cm="1">
        <f t="array" ref="BS277">IF(D277="","",IF(N(BK277)&lt;&gt;0,BK277,IFERROR(_xlfn.LET(_xlpm.need,BO277/(BP277*BQ277),_xlpm.t,CHOOSE(BR277,Iдоп_1ж,Iдоп_2ж,Iдоп_3ж),_xlpm.k,_xlfn.XMATCH(_xlpm.need,_xlpm.t,1),IF(ISNA(_xlpm.k),"Не исп",INDEX(Iдоп_S,_xlpm.k))),"Не исп")))</f>
        <v>2.5</v>
      </c>
      <c r="BT277">
        <f>IFERROR(VLOOKUP(BS277,Кабель_сопротивление,3,FALSE),"")</f>
        <v>2.2499999999999999E-2</v>
      </c>
      <c r="BU277">
        <f>IFERROR(VLOOKUP(BS277,Кабель_сопротивление,2,FALSE),"")</f>
        <v>0.1</v>
      </c>
      <c r="BV277">
        <f t="shared" si="364"/>
        <v>6</v>
      </c>
      <c r="BW277">
        <f>IF(D277="","",IFERROR(IF(VLOOKUP(AT277,Потребители_обозначение,4,FALSE)=1,VLOOKUP(AT277,Потребители_обозначение,3,FALSE)*(H277*2-1)+BV277+VLOOKUP(AV277,Этаж_обозначение,3,FALSE)+VLOOKUP(AV277,Этаж_обозначение,4,FALSE),VLOOKUP(AT277,Потребители_обозначение,3,FALSE)*(H277*2-1)+BV277),BV277))</f>
        <v>9</v>
      </c>
      <c r="BX277">
        <f t="shared" si="365"/>
        <v>0</v>
      </c>
      <c r="BY277">
        <f t="shared" si="366"/>
        <v>6</v>
      </c>
      <c r="BZ277">
        <f t="shared" si="367"/>
        <v>2</v>
      </c>
      <c r="CA277">
        <f t="shared" si="368"/>
        <v>0.31</v>
      </c>
      <c r="CB277">
        <f t="shared" si="369"/>
        <v>0.16192551009515507</v>
      </c>
      <c r="CC277">
        <f>IFERROR(ROUNDUP(CB277/((Uн_лин/SQRT(3))*1000)*100,2),"")</f>
        <v>0.08</v>
      </c>
      <c r="CD277">
        <f>IF(ISNUMBER(CC277),CC277+IFERROR(_xlfn.XLOOKUP(A277,Щиты[Щит],Щиты[ΔU до шин, %]),0),"")</f>
        <v>1.33</v>
      </c>
      <c r="CE277">
        <f>IF(D277="","",IF(IFERROR(VLOOKUP(AT277,УГО_спр,2,FALSE),"")="Светильник",3,4)+IF(Методика="нормы 2026",MIN(0.5,MAX(0,N(BW277)-100)*0.005),0))</f>
        <v>4</v>
      </c>
      <c r="CF277" t="str">
        <f>IFERROR(VLOOKUP(BI277,Кабель_обозначение,2,FALSE),"")</f>
        <v>ВВГнг(А)-LS</v>
      </c>
      <c r="CG277" t="str">
        <f>IFERROR(IF(VLOOKUP(BI277,Кабель_обозначение,3,FALSE)=1,CF277&amp;" ("&amp;BJ277&amp;"х"&amp;BS277&amp;")",CF277),"")</f>
        <v>ВВГнг(А)-LS (3х2,5)</v>
      </c>
      <c r="CH277" t="str">
        <f t="shared" si="370"/>
        <v>ВВГнг(А)-LS (3х2,5)
L=9-0,08%</v>
      </c>
      <c r="CI277">
        <f>IFERROR(2*ρкз_Cu*BW277/BS277,"")</f>
        <v>0.18936</v>
      </c>
      <c r="CJ277">
        <f t="shared" si="371"/>
        <v>6.3000000000000014E-2</v>
      </c>
      <c r="CK277" t="str">
        <f>IFERROR(IF(OR(D277="",NOT(ISNUMBER(BS277)),N(BW277)=0),"",_xlfn.XLOOKUP(A277,Щиты[Щит],Щиты[Zпетли на шинах, Ом])+CI277),"")</f>
        <v/>
      </c>
      <c r="CL277" t="str">
        <f>IF(ISNUMBER(CK277),c_min*(Uн_лин*1000/SQRT(3))/CK277,"")</f>
        <v/>
      </c>
      <c r="CM277" t="str">
        <f>IFERROR(IF(OR(D277="",NOT(ISNUMBER(BS277))),"",1.05*(Uн_лин*1000/SQRT(3))/(_xlfn.XLOOKUP(A277,Щиты[Щит],Щиты[Zmax на шинах, Ом])+CJ277)/1000),"")</f>
        <v/>
      </c>
      <c r="CN277" t="str">
        <f>IF(D277="","",IF(BA277&lt;&gt;"","Щит",IF(K277&lt;&gt;"",K277,IF(ISNUMBER(L277),"Сил",IF(IFERROR(_xlfn.XLOOKUP(AT277,Коды_код,Коды_группа)&amp;"","")="","Быт",_xlfn.XLOOKUP(AT277,Коды_код,Коды_группа)&amp;"")))))</f>
        <v>Быт</v>
      </c>
      <c r="CO277">
        <f>IF(CN277="Щит","щит",IF(CN277="","",IF(CN277="Быт",IFERROR(_xlfn.XLOOKUP(A277,Щиты[Щит],Щиты[Кс быт]),1),IF(CN277="Сил",IF(ISNUMBER(L277),L277,IF(Методика="нормы 2026",IFERROR(_xlfn.XLOOKUP(A277,Щиты[Щит],Щиты[Кс силовых (табл. 7.5)]),1),1)),IF(OR(CN277="Пост",CN277="Отоп"),1,IF(CN277="ВНГ",0.7,0))))))</f>
        <v>0.57830000000000004</v>
      </c>
      <c r="CP277">
        <f t="shared" si="372"/>
        <v>1</v>
      </c>
      <c r="CQ277">
        <f t="shared" si="373"/>
        <v>0.23</v>
      </c>
      <c r="CR277">
        <f t="shared" si="374"/>
        <v>0.23</v>
      </c>
      <c r="CS277">
        <f t="shared" si="375"/>
        <v>0</v>
      </c>
      <c r="CT277">
        <f t="shared" si="376"/>
        <v>0</v>
      </c>
      <c r="CU277">
        <f t="shared" si="377"/>
        <v>0</v>
      </c>
      <c r="CV277">
        <f t="shared" si="378"/>
        <v>0</v>
      </c>
      <c r="CW277">
        <f t="shared" si="379"/>
        <v>0.23</v>
      </c>
      <c r="CX277">
        <f t="shared" si="380"/>
        <v>0.2185</v>
      </c>
      <c r="CY277">
        <f t="shared" si="381"/>
        <v>1</v>
      </c>
      <c r="CZ277" t="str">
        <f t="shared" si="382"/>
        <v>L1</v>
      </c>
      <c r="DA277" cm="1">
        <f t="array" ref="DA277">IFERROR(IF(BL277=2,_xlfn.IFS(BH277=3,VLOOKUP(BF277,Справочная_двигатели,3,FALSE),BH277=1,VLOOKUP(BF277,Справочная_двигатели,5,TRUE)),0),0)</f>
        <v>0</v>
      </c>
      <c r="DB277">
        <f>IFERROR(IF(BL277=3,VLOOKUP(BF277,Справочная_ЛЭД,2,TRUE),0),0)</f>
        <v>0</v>
      </c>
      <c r="DC277">
        <f t="shared" si="383"/>
        <v>0</v>
      </c>
      <c r="DD277" t="str">
        <f t="shared" si="384"/>
        <v>L2</v>
      </c>
      <c r="DE277" t="str" cm="1">
        <f t="array" ref="DE277">IF(D277="","",IFERROR(INDEX({"I особая","I","II","III"},MATCH(TRIM(AA277&amp;""),{"I особая","I","II","III"},0)),"III"))</f>
        <v>II</v>
      </c>
      <c r="DF277" t="str">
        <f>IF(D277="","",IF(TRIM(AB277&amp;"")&lt;&gt;"",IF(LOWER(TRIM(AB277&amp;""))="да","да","нет"),IF(IFERROR(_xlfn.XLOOKUP(AT277,Коды_код,Коды_пожарная),"")="да","да","нет")))</f>
        <v>нет</v>
      </c>
      <c r="DG277" t="str">
        <f t="shared" si="385"/>
        <v/>
      </c>
      <c r="DH277" t="str">
        <f t="shared" si="386"/>
        <v>основная</v>
      </c>
      <c r="DI277">
        <f t="shared" si="387"/>
        <v>1</v>
      </c>
      <c r="DJ277" t="str" cm="1">
        <f t="array" ref="DJ277">IF(D277="","",_xlfn.LET(_xlpm.t,IFERROR(_xlfn.XLOOKUP(1,(Шины[Шина]=DH277)*(((Шины[Щит]=A277)+(Шины[Щит]=""))&gt;0),Шины[Тип]),"")&amp;"",IF(_xlpm.t&lt;&gt;"",_xlpm.t,IF(ISNUMBER(SEARCH("ИБП",DH277)),"ИБП",IF(ISNUMBER(SEARCH("ДГУ",DH277)),"ДГУ","Ввод "&amp;DI277)))))</f>
        <v>Ввод 1</v>
      </c>
      <c r="DK277" t="str">
        <f t="shared" si="388"/>
        <v>Ввод 1</v>
      </c>
      <c r="DL277" t="str">
        <f>IF(D277="","",IF(OR(DJ277="ИБП",DJ277="ДГУ"),"I особая",IF(DJ277="Одиночная","III",_xlfn.XLOOKUP(A277,Щиты[Щит],Щиты[Категория шины «Ввод»],"III"))))</f>
        <v>II</v>
      </c>
      <c r="DM277">
        <f>IF(D277="",0,IFERROR(MATCH(DE277,{"III","II","I","I особая"},0),1))</f>
        <v>2</v>
      </c>
      <c r="DN277">
        <f t="shared" si="389"/>
        <v>2</v>
      </c>
      <c r="DO277" t="str">
        <f>IF(D277="","",IF(DM277&gt;IFERROR(MATCH(DL277,{"III","II","I","I особая"},0),1),"НЕ ОБЕСПЕЧЕНА","ОК"))</f>
        <v>ОК</v>
      </c>
      <c r="DP277" t="str">
        <f>IF(A277="","",_xlfn.XLOOKUP(A277,Щиты[Щит],Щиты[Путь],""))</f>
        <v>|ГРЩ-ЖД|ЩР-1|</v>
      </c>
      <c r="DQ277" t="str">
        <f>IF(D277="","",IF(Z277&lt;&gt;"",Z277,IF(IFERROR(_xlfn.XLOOKUP(AT277,Коды_код,Коды_вид)&amp;"","")="","Прочее",_xlfn.XLOOKUP(AT277,Коды_код,Коды_вид)&amp;"")))</f>
        <v>Розеточная сеть и бытовые приборы</v>
      </c>
      <c r="DR277">
        <f>IF(BD277="","",INT((BD277-1)/Столбцов_на_лист)+1)</f>
        <v>4</v>
      </c>
      <c r="DS277" t="str">
        <f t="shared" si="390"/>
        <v>ВВГнг(А)-LS (3х2,5) L=9-0,08%</v>
      </c>
      <c r="DT277">
        <f t="shared" si="391"/>
        <v>0.23</v>
      </c>
      <c r="DU277">
        <f t="shared" si="392"/>
        <v>1.05</v>
      </c>
      <c r="DV277">
        <f t="shared" si="393"/>
        <v>1</v>
      </c>
      <c r="DW277">
        <f>IF(AT277="",0,_xlfn.LET(_xlpm.v,IFERROR(VLOOKUP(D277,УГО_спр,3,FALSE),IFERROR(VLOOKUP(AT277,УГО_спр,3,FALSE),IFERROR(VLOOKUP(LEFT(AT277,2),УГО_спр,3,FALSE),""))),IF(_xlpm.v="да",30,IF(ISNUMBER(_xlpm.v),_xlpm.v,0))))</f>
        <v>30</v>
      </c>
      <c r="DX277">
        <f t="shared" si="394"/>
        <v>0</v>
      </c>
      <c r="DY277">
        <f>IF(BD277="","",IF(AD277&lt;&gt;"",COUNTIFS(A$3:A277,A277,AD$3:AD277,"?*"),IF(OR(OR(AS277=1,A277&lt;&gt;A276),AL277="вручную"),"",IF(AS277=1,"",DZ276))))</f>
        <v>53</v>
      </c>
      <c r="DZ277">
        <f t="shared" si="395"/>
        <v>53</v>
      </c>
      <c r="EA277">
        <f>IF(D277="",0,MAX(IFERROR(--X277,0),IFERROR(--VLOOKUP(D277,УГО_спр,4,FALSE),IFERROR(--VLOOKUP(AT277,УГО_спр,4,FALSE),IFERROR(--VLOOKUP(LEFT(AT277,2),УГО_спр,4,FALSE),0)))))</f>
        <v>16</v>
      </c>
      <c r="EB277">
        <f>IF(D277="","",IFERROR(LOOKUP(INDEX(CHOOSE(BR277,Iдоп_1ж,Iдоп_2ж,Iдоп_3ж),MATCH(BS277,Iдоп_S,0))*BP277*BQ277,{6,10,16,20,25,32,40,50,63,80,100,125,160,200,250,315,400,500,630}),""))</f>
        <v>25</v>
      </c>
      <c r="EC277">
        <f>IF(AD277="","",SUMIFS(Линии[_Ток схемы],Линии[_гр.],DY277,Линии[Щит],A277,Линии[_в кабель выше],0))</f>
        <v>1.05</v>
      </c>
      <c r="ED277">
        <f>IF(AD277="","",IFERROR(VLOOKUP(EC277,Автомат_номиналы,2,TRUE),""))</f>
        <v>6</v>
      </c>
      <c r="EE277">
        <f>IF(AD277="","",MAX(N(ED277),_xlfn.MAXIFS(Линии[_мин. по типу],Линии[_гр.],DY277,Линии[Щит],A277)))</f>
        <v>16</v>
      </c>
      <c r="EF277">
        <f>IF(AD277="","",_xlfn.MINIFS(Линии[_макс. автомат по кабелю],Линии[_гр.],DY277,Линии[Щит],A277))</f>
        <v>25</v>
      </c>
      <c r="EG277">
        <f>IF(AD277="","",MAX(1,_xlfn.MAXIFS(Линии[_фаз],Линии[_гр.],DY277,Линии[Щит],A277)))</f>
        <v>1</v>
      </c>
      <c r="EH277">
        <f>IF(AD277="","",IF(AND(AD277&lt;&gt;"авто",AD277&lt;&gt;"+"),IF(ISNUMBER(SEARCH("мА",AD277)),IFERROR(--TRIM(RIGHT(SUBSTITUTE(LEFT(AD277,SEARCH("мА",AD277)-1)," ",REPT(" ",9)),6)),30),0),IF(AE277="нет",0,IF(ISNUMBER(AE277),AE277,IF(AE277="да",30,_xlfn.MINIFS(Линии[_дифзащита по коду, мА],Линии[_гр.],DY277,Линии[Щит],A277,Линии[_дифзащита по коду, мА],"&gt;0"))))))</f>
        <v>30</v>
      </c>
      <c r="EI277">
        <f t="shared" si="396"/>
        <v>1</v>
      </c>
      <c r="EJ277" t="str">
        <f t="shared" si="397"/>
        <v>QFD53</v>
      </c>
      <c r="EK277" t="str">
        <f t="shared" si="398"/>
        <v>QFD53</v>
      </c>
      <c r="EL277" t="str">
        <f t="shared" si="399"/>
        <v/>
      </c>
      <c r="EM277">
        <f t="shared" si="400"/>
        <v>0</v>
      </c>
      <c r="EN277">
        <f>IF(AD277="","",IF(EM277=1,MAX(EE277,Мин_автомат_БП),EE277))</f>
        <v>16</v>
      </c>
      <c r="EO277" t="str">
        <f t="shared" si="401"/>
        <v>2P</v>
      </c>
      <c r="EP277" t="str">
        <f t="shared" si="402"/>
        <v>2P С16А 30мА</v>
      </c>
      <c r="EQ277">
        <f t="shared" si="403"/>
        <v>16</v>
      </c>
      <c r="ER277" t="str">
        <f>IF(OR(AI277="",AI277="-"),"",IFERROR(VLOOKUP(AI277,Модули_спр,2,FALSE),"R"))</f>
        <v/>
      </c>
      <c r="ES277" t="str">
        <f>IF(ER277="","",ER277&amp;"."&amp;COUNTIFS(A$3:A277,A277,ER$3:ER277,ER277))</f>
        <v/>
      </c>
      <c r="ET277" t="str">
        <f t="shared" si="404"/>
        <v/>
      </c>
      <c r="EU277" t="str">
        <f t="shared" si="405"/>
        <v/>
      </c>
      <c r="EV277" t="str">
        <f t="shared" si="406"/>
        <v/>
      </c>
      <c r="EW277" t="str">
        <f t="shared" si="407"/>
        <v/>
      </c>
      <c r="EX277">
        <f t="shared" si="408"/>
        <v>1</v>
      </c>
      <c r="EY277" t="str">
        <f>IF(AK277="нет","",IF(AK277&lt;&gt;"",AK277,IF(EX277=1,"XT"&amp;COUNTIFS(A$3:A277,A277,EX$3:EX277,1),"")))</f>
        <v>XT53</v>
      </c>
      <c r="EZ277" t="str">
        <f t="shared" si="409"/>
        <v>QFD53</v>
      </c>
      <c r="FA277" t="str">
        <f t="shared" si="410"/>
        <v/>
      </c>
      <c r="FB277" t="str">
        <f t="shared" si="411"/>
        <v>ok</v>
      </c>
      <c r="FC277" t="str">
        <f>IF(OR(EV277="",ET277=""),"",IF(EV277&gt;IFERROR(VLOOKUP(EU277,Модули_спр,3,FALSE),99),"ЛИШНИЙ КАНАЛ",IF(AND(AJ277&lt;&gt;"=",COUNTIFS(Линии[_модуль гр.],ET277,Линии[Канал (итог)],EV277,Линии[Канал],"&lt;&gt;=",Линии[Щит],A277)&gt;1),"ДУБЛЬ КАНАЛА","")))</f>
        <v/>
      </c>
      <c r="FD277">
        <f t="shared" si="412"/>
        <v>16</v>
      </c>
      <c r="FE277" t="str">
        <f t="shared" si="413"/>
        <v>2P С16А 30мА</v>
      </c>
      <c r="FF277">
        <f t="shared" si="414"/>
        <v>1</v>
      </c>
      <c r="FG277">
        <f t="shared" si="415"/>
        <v>30</v>
      </c>
      <c r="FH277" t="str">
        <f t="shared" si="416"/>
        <v/>
      </c>
      <c r="FI277">
        <f t="shared" si="417"/>
        <v>10</v>
      </c>
      <c r="FJ277" t="str">
        <f t="shared" si="418"/>
        <v/>
      </c>
      <c r="FK277" t="str">
        <f>IF(AND(D277="",EZ277=""),"",_xlfn.TEXTJOIN("; ",TRUE,IF(AND(D277&lt;&gt;"",DD277=""),"нет фазы",""),IF(AND(D277&lt;&gt;"",N(DT277)=0,CN277&lt;&gt;"Нет"),"нет мощности",""),IF(AND(EY277&lt;&gt;"",COUNTIFS(Линии[Щит],A277,Линии[Клемма (итог)],EY277)&gt;1),"дубль клеммы "&amp;EY277,""),IF(AND(FB277&lt;&gt;"",FB277&lt;&gt;"ok"),FB277,""),IF(FC277&lt;&gt;"",FC277,""),IF(AND(ISNUMBER(SEARCH("(5х",DS277)),N(DV277)=1),"5 жил на 1 фазе",""),IF(AND(AT277="R",AD277&lt;&gt;"",OR(N(EH277)=0,N(EH277)&gt;30)),"розетка без дифзащиты до 30 мА",""),IFERROR(IF(AND(ISNUMBER(CD277),CD277&gt;CE277),"потери "&amp;FIXED(CD277,1)&amp;" % &gt; "&amp;CE277&amp;" %",""),""),IFERROR(IF(LEFT(FJ277,4)="мало","Iкз мало — отключение &gt; 0,4 с",""),""),IF(AND(D277&lt;&gt;"",BD277=""),"не на схеме","")))</f>
        <v/>
      </c>
      <c r="FL277">
        <f>IF(AD277="","",_xlfn.LET(_xlpm.t,IFERROR(_xlfn.XLOOKUP(EP277,Каталог!$U$4:$U$500,Каталог!$G$4:$G$500),""),_xlpm.k,SEARCH("кА",_xlpm.t),IFERROR(--TRIM(RIGHT(SUBSTITUTE(MID(_xlpm.t,MAX(1,_xlpm.k-4),_xlpm.k-MAX(1,_xlpm.k-4))," ",REPT(" ",9)),5)),"")))</f>
        <v>6</v>
      </c>
      <c r="FM277" t="str">
        <f>IF(OR(FL277="",AD277=""),"",IF(_xlfn.XLOOKUP(A277,Щиты[Щит],Щиты[Iкз max на шинах, кА],"")="","",IF(FL277&lt;_xlfn.XLOOKUP(A277,Щиты[Щит],Щиты[Iкз max на шинах, кА]),"Icu "&amp;FL277&amp;" кА &lt; Iкз max","ok")))</f>
        <v/>
      </c>
      <c r="FN277" t="str">
        <f t="shared" si="419"/>
        <v>QFD53|XT53</v>
      </c>
      <c r="FO277" t="str">
        <f t="shared" si="420"/>
        <v>QFD53|XT53|кабель ВВГнг(А)-LS (3х2,5) → Розеточная группа Первый этаж Пом. №002Б Холодильник</v>
      </c>
      <c r="FP277" t="str" cm="1">
        <f t="array" ref="FP277">IF(FO277="","",_xlfn.LET(_xlpm.nd,_xlfn.TEXTSPLIT(FO277,"|"),IF(COLUMNS(_xlpm.nd)&gt;1,A277&amp;"¦"&amp;INDEX(_xlpm.nd,1)&amp;"¦"&amp;INDEX(_xlpm.nd,2),"")))</f>
        <v>ЩР-1¦QFD53¦XT53</v>
      </c>
      <c r="FQ277" t="str">
        <f t="shared" si="421"/>
        <v>R.1.002Б.9¦Розеточная группа Первый этаж Пом. №002Б Холодильник</v>
      </c>
      <c r="FR277" t="str" cm="1">
        <f t="array" ref="FR277">IF(FO277="","",_xlfn.LET(_xlpm.nd,_xlfn.TEXTSPLIT(FO277,"|"),IF(COLUMNS(_xlpm.nd)&gt;2,A277&amp;"¦"&amp;INDEX(_xlpm.nd,2)&amp;"¦"&amp;INDEX(_xlpm.nd,3),"")))</f>
        <v>ЩР-1¦XT53¦кабель ВВГнг(А)-LS (3х2,5) → Розеточная группа Первый этаж Пом. №002Б Холодильник</v>
      </c>
      <c r="FS277" t="str">
        <f t="shared" si="422"/>
        <v>R.1.002Б.9¦Розеточная группа Первый этаж Пом. №002Б Холодильник</v>
      </c>
      <c r="FT277" t="str" cm="1">
        <f t="array" ref="FT277">IF(FO277="","",_xlfn.LET(_xlpm.nd,_xlfn.TEXTSPLIT(FO277,"|"),IF(COLUMNS(_xlpm.nd)&gt;3,A277&amp;"¦"&amp;INDEX(_xlpm.nd,3)&amp;"¦"&amp;INDEX(_xlpm.nd,4),"")))</f>
        <v/>
      </c>
      <c r="FU277" t="str">
        <f t="shared" si="423"/>
        <v/>
      </c>
      <c r="FV277" t="str" cm="1">
        <f t="array" ref="FV277">IF(FO277="","",_xlfn.LET(_xlpm.nd,_xlfn.TEXTSPLIT(FO277,"|"),IF(COLUMNS(_xlpm.nd)&gt;4,A277&amp;"¦"&amp;INDEX(_xlpm.nd,4)&amp;"¦"&amp;INDEX(_xlpm.nd,5),"")))</f>
        <v/>
      </c>
      <c r="FW277" t="str">
        <f t="shared" si="424"/>
        <v/>
      </c>
      <c r="FX277" t="str" cm="1">
        <f t="array" ref="FX277">IF(FO277="","",_xlfn.LET(_xlpm.nd,_xlfn.TEXTSPLIT(FO277,"|"),IF(COLUMNS(_xlpm.nd)&gt;5,A277&amp;"¦"&amp;INDEX(_xlpm.nd,5)&amp;"¦"&amp;INDEX(_xlpm.nd,6),"")))</f>
        <v/>
      </c>
      <c r="FY277" t="str">
        <f t="shared" si="425"/>
        <v/>
      </c>
      <c r="FZ277" t="str" cm="1">
        <f t="array" ref="FZ277">IF(FO277="","",_xlfn.LET(_xlpm.nd,_xlfn.TEXTSPLIT(FO277,"|"),IF(COLUMNS(_xlpm.nd)&gt;6,A277&amp;"¦"&amp;INDEX(_xlpm.nd,6)&amp;"¦"&amp;INDEX(_xlpm.nd,7),"")))</f>
        <v/>
      </c>
      <c r="GA277" t="str">
        <f t="shared" si="426"/>
        <v/>
      </c>
      <c r="GB277" t="str">
        <f t="shared" si="427"/>
        <v/>
      </c>
      <c r="GC277" t="str">
        <f t="shared" si="428"/>
        <v>QFD53 → XT53</v>
      </c>
      <c r="GD277">
        <f t="shared" si="429"/>
        <v>1</v>
      </c>
      <c r="GE277">
        <f t="shared" si="430"/>
        <v>0</v>
      </c>
      <c r="GF277">
        <f t="shared" si="431"/>
        <v>1</v>
      </c>
      <c r="GG277" t="str">
        <f t="shared" si="432"/>
        <v/>
      </c>
      <c r="GH277" t="str">
        <f t="shared" si="433"/>
        <v/>
      </c>
      <c r="GI277" t="str">
        <f t="shared" si="434"/>
        <v/>
      </c>
      <c r="GJ277" t="str">
        <f t="shared" si="435"/>
        <v/>
      </c>
      <c r="GK277" t="str">
        <f>IF(D277="","",IFERROR(VLOOKUP(D277,УГО_спр,2,FALSE),IFERROR(VLOOKUP(AT277,УГО_спр,2,FALSE),IFERROR(VLOOKUP(LEFT(AT277,2),УГО_спр,2,FALSE),""))))</f>
        <v>Розетка</v>
      </c>
      <c r="GL277" t="str">
        <f>IF(D277="","",IF(OR(GK277="",GK277=0),"BOX",IFERROR(IF(VLOOKUP(GK277,УГО_блоки,3,FALSE)&amp;""&lt;&gt;"",VLOOKUP(GK277,УГО_блоки,3,FALSE),VLOOKUP(GK277,УГО_блоки,2,FALSE)),GK277)))</f>
        <v>SOCKET</v>
      </c>
      <c r="GM277">
        <f t="shared" si="436"/>
        <v>1</v>
      </c>
      <c r="GN277" t="str">
        <f>IF(EP277="","",IF(COUNTIF(EP$3:EP277,EP277)=1,MAX(GN$2:GN276)+1,""))</f>
        <v/>
      </c>
      <c r="GO277" t="str">
        <f>IF(AF277="","",IF(COUNTIF(AF$3:AF277,AF277)+COUNTIF(AG$2:AG276,AF277)+COUNTIF(AH$2:AH276,AF277)=1,MAX(GO$2:GQ276)+1,""))</f>
        <v/>
      </c>
      <c r="GP277" t="str">
        <f>IF(AG277="","",IF(COUNTIF(AF$3:AF277,AG277)+COUNTIF(AG$3:AG277,AG277)+COUNTIF(AH$2:AH276,AG277)=1,MAX(GO$2:GQ276,GO277)+1,""))</f>
        <v/>
      </c>
      <c r="GQ277" t="str">
        <f>IF(AH277="","",IF(COUNTIF(AF$3:AF277,AH277)+COUNTIF(AG$3:AG277,AH277)+COUNTIF(AH$3:AH277,AH277)=1,MAX(GO$2:GQ276,GO277,GP277)+1,""))</f>
        <v/>
      </c>
      <c r="GR277" t="str">
        <f t="shared" si="437"/>
        <v>3х2,5</v>
      </c>
      <c r="GS277" t="str">
        <f>IF(GR277="","",IF(COUNTIF(GR$3:GR277,GR277)=1,MAX(GS$2:GS276)+1,""))</f>
        <v/>
      </c>
      <c r="GT277" t="str">
        <f>IF(ES277="","",COUNTIF(ES$3:ES277,"?*"))</f>
        <v/>
      </c>
      <c r="GU277" t="str">
        <f>IF(OR(ES277="",EU277=""),"",IF(COUNTIFS(ES$3:ES277,"?*",EU$3:EU277,EU277)=1,MAX(GU$2:GU276)+1,""))</f>
        <v/>
      </c>
      <c r="GV277">
        <f t="shared" si="438"/>
        <v>0</v>
      </c>
      <c r="GW277">
        <f>IF(D277="","",COUNTIF(D$3:D277,"?*"))</f>
        <v>275</v>
      </c>
      <c r="GX277">
        <f>IF(EX277&lt;&gt;1,0,_xlfn.LET(_xlpm.k,MAX(IFERROR(--VLOOKUP(D277,УГО_спр,5,FALSE),0),IFERROR(--VLOOKUP(AT277,УГО_спр,5,FALSE),0),IFERROR(--VLOOKUP(LEFT(AT277,2),УГО_спр,5,FALSE),0)),IF(_xlpm.k&gt;0,_xlpm.k,IF(IFERROR(--LEFT(SUBSTITUTE(GR277,"x","х"),FIND("х",SUBSTITUTE(GR277,"x","х"))-1),3)&gt;3,Каталог!$S$9,1))))</f>
        <v>1</v>
      </c>
      <c r="GY277">
        <f t="shared" si="439"/>
        <v>0</v>
      </c>
    </row>
    <row r="278" spans="1:207" x14ac:dyDescent="0.3">
      <c r="A278" t="s">
        <v>762</v>
      </c>
      <c r="B278">
        <v>70</v>
      </c>
      <c r="C278" t="str">
        <f>IF(BD278="","",IF(BE278="вводной узел","узел ","")&amp;"л."&amp;(INT((BD278-1)/Столбцов_на_лист)+1)&amp;" / "&amp;(MOD(BD278-1,Столбцов_на_лист)+1))</f>
        <v>л.5 / 2</v>
      </c>
      <c r="D278" t="s">
        <v>1610</v>
      </c>
      <c r="E278" s="133" t="str">
        <f t="shared" si="352"/>
        <v>Розеточная группа Первый этаж Пом. №002Б</v>
      </c>
      <c r="G278">
        <v>0.12</v>
      </c>
      <c r="H278">
        <v>1</v>
      </c>
      <c r="I278">
        <v>1</v>
      </c>
      <c r="J278">
        <v>230</v>
      </c>
      <c r="K278" t="s">
        <v>566</v>
      </c>
      <c r="O278">
        <v>2</v>
      </c>
      <c r="P278">
        <v>6</v>
      </c>
      <c r="Q278">
        <v>0</v>
      </c>
      <c r="R278">
        <v>0</v>
      </c>
      <c r="S278">
        <v>6</v>
      </c>
      <c r="U278" t="s">
        <v>11</v>
      </c>
      <c r="V278">
        <v>3</v>
      </c>
      <c r="W278">
        <v>2.5</v>
      </c>
      <c r="Z278" t="s">
        <v>565</v>
      </c>
      <c r="AA278" t="s">
        <v>818</v>
      </c>
      <c r="AD278" t="s">
        <v>517</v>
      </c>
      <c r="AR278" t="str">
        <f t="shared" si="353"/>
        <v/>
      </c>
      <c r="AS278" cm="1">
        <f t="array" ref="AS278">ROW()-ROW(Линии[#Headers])</f>
        <v>276</v>
      </c>
      <c r="AT278" t="str">
        <f t="shared" si="354"/>
        <v>R</v>
      </c>
      <c r="AU278" t="str">
        <f t="shared" si="355"/>
        <v>1.002Б.10</v>
      </c>
      <c r="AV278" t="str">
        <f t="shared" si="356"/>
        <v>1</v>
      </c>
      <c r="AW278" t="str">
        <f t="shared" si="357"/>
        <v>002Б.10</v>
      </c>
      <c r="AX278" t="str">
        <f t="shared" si="358"/>
        <v>002Б</v>
      </c>
      <c r="AY278" t="str">
        <f>IF(D278="","",IF(ISERROR(SEARCH(".",D278)),IFERROR(VLOOKUP(D278,Потребители_обозначение,2,FALSE)&amp;"",""),IFERROR(IF(VLOOKUP(AT278,Потребители_обозначение,4,FALSE)=1,VLOOKUP(AT278,Потребители_обозначение,2,FALSE)&amp;" "&amp;VLOOKUP(AV278,Этаж_обозначение,2,FALSE)&amp;" Пом. №"&amp;AX278,VLOOKUP(AT278,Потребители_обозначение,2,FALSE)&amp;" Шлейф №"&amp;AV278),IFERROR(VLOOKUP(D278,Потребители_обозначение,2,FALSE),""))))</f>
        <v>Розеточная группа Первый этаж Пом. №002Б</v>
      </c>
      <c r="AZ278" t="str">
        <f t="shared" si="359"/>
        <v>Розеточная группа Первый этаж Пом. №002Б</v>
      </c>
      <c r="BA278" t="str">
        <f>IF(F278&lt;&gt;"",F278,IF(AND(D278&lt;&gt;"",D278&lt;&gt;A278,ISNUMBER(_xlfn.XMATCH(D278,Щиты[Щит]))),D278,""))</f>
        <v/>
      </c>
      <c r="BB278">
        <f>IFERROR(_xlfn.XMATCH(A278,Щиты[Щит]),0)</f>
        <v>10</v>
      </c>
      <c r="BC278">
        <f>IFERROR(N(_xlfn.XLOOKUP(A278,Щиты[Щит],Щиты[Мест под вводной узел])),15)</f>
        <v>8</v>
      </c>
      <c r="BD278">
        <f t="shared" si="360"/>
        <v>70</v>
      </c>
      <c r="BE278" t="str">
        <f t="shared" si="361"/>
        <v>линии</v>
      </c>
      <c r="BF278">
        <f>IF(D278="","",IF(BA278&lt;&gt;"",IFERROR(_xlfn.XLOOKUP(BA278,Щиты[Щит],Щиты[Руст, кВт]),0),N(G278)))</f>
        <v>0.12</v>
      </c>
      <c r="BG278">
        <f>IF(J278&lt;&gt;"",J278,IF(D278="","",IFERROR(IF(VLOOKUP(AT278,Потребители_обозначение,8,FALSE)=0,"",VLOOKUP(AT278,Потребители_обозначение,8,FALSE)),"")))</f>
        <v>230</v>
      </c>
      <c r="BH278">
        <f>IF(I278&lt;&gt;"",I278,IF(D278="","",IFERROR(IF(VLOOKUP(AT278,Потребители_обозначение,9,FALSE)=0,"",VLOOKUP(AT278,Потребители_обозначение,9,FALSE)),"")))</f>
        <v>1</v>
      </c>
      <c r="BI278" t="str">
        <f>IF(U278&lt;&gt;"",U278,IF(D278="","",IFERROR(IF(VLOOKUP(AT278,Потребители_обозначение,6,FALSE)=0,"",VLOOKUP(AT278,Потребители_обозначение,6,FALSE)),"")))</f>
        <v>мс</v>
      </c>
      <c r="BJ278">
        <f>IF(V278&lt;&gt;"",V278,IF(D278="","",IFERROR(IF(VLOOKUP(AT278,Потребители_обозначение,7,FALSE)=0,"",VLOOKUP(AT278,Потребители_обозначение,7,FALSE)),"")))</f>
        <v>3</v>
      </c>
      <c r="BK278">
        <f>IF(W278&lt;&gt;"",W278,IF(D278="","",IFERROR(IF(VLOOKUP(AT278,Потребители_обозначение,10,FALSE)=0,"",VLOOKUP(AT278,Потребители_обозначение,10,FALSE)),"")))</f>
        <v>2.5</v>
      </c>
      <c r="BL278">
        <f>IFERROR(VLOOKUP(AT278,Потребители_обозначение,5,FALSE),0)</f>
        <v>1</v>
      </c>
      <c r="BM278" cm="1">
        <f t="array" ref="BM278">IF(D278="","",IF(BA278&lt;&gt;"",IFERROR(_xlfn.XLOOKUP(BA278,Щиты[Щит],Щиты[cos φ]),0.95),IF(ISNUMBER(M278),M278,IFERROR(IF(BL278=2,_xlfn.IFS(BH278=3,VLOOKUP(BF278,Справочная_двигатели,8,FALSE),BH278=1,VLOOKUP(BF278,Справочная_двигатели,10,TRUE)),IF(AND(Методика="нормы 2026",CN278="Сил"),0.8,0.95)),0.95))))</f>
        <v>0.95</v>
      </c>
      <c r="BN278" cm="1">
        <f t="array" ref="BN278">IF(D278="","",IF(BA278&lt;&gt;"",IFERROR(_xlfn.XLOOKUP(BA278,Щиты[Щит],Щиты[Iр, А]),""),IFERROR(_xlfn.IFS(BH278=1,BF278/((Uн_лин/SQRT(3))*BM278),BH278=3,BF278/(SQRT(3)*Uн_лин*BM278)),"")))</f>
        <v>0.54696341291648753</v>
      </c>
      <c r="BO278">
        <f>IF(D278="","",IF(N(X278)=0,IFERROR(VLOOKUP(BN278,Автомат_номиналы,2,TRUE),""),X278))</f>
        <v>6</v>
      </c>
      <c r="BP278">
        <f t="shared" si="362"/>
        <v>1</v>
      </c>
      <c r="BQ278">
        <f>IF(ISNUMBER(Y278),Y278,К_прокл)</f>
        <v>1</v>
      </c>
      <c r="BR278">
        <f t="shared" si="363"/>
        <v>2</v>
      </c>
      <c r="BS278" cm="1">
        <f t="array" ref="BS278">IF(D278="","",IF(N(BK278)&lt;&gt;0,BK278,IFERROR(_xlfn.LET(_xlpm.need,BO278/(BP278*BQ278),_xlpm.t,CHOOSE(BR278,Iдоп_1ж,Iдоп_2ж,Iдоп_3ж),_xlpm.k,_xlfn.XMATCH(_xlpm.need,_xlpm.t,1),IF(ISNA(_xlpm.k),"Не исп",INDEX(Iдоп_S,_xlpm.k))),"Не исп")))</f>
        <v>2.5</v>
      </c>
      <c r="BT278">
        <f>IFERROR(VLOOKUP(BS278,Кабель_сопротивление,3,FALSE),"")</f>
        <v>2.2499999999999999E-2</v>
      </c>
      <c r="BU278">
        <f>IFERROR(VLOOKUP(BS278,Кабель_сопротивление,2,FALSE),"")</f>
        <v>0.1</v>
      </c>
      <c r="BV278">
        <f t="shared" si="364"/>
        <v>6</v>
      </c>
      <c r="BW278">
        <f>IF(D278="","",IFERROR(IF(VLOOKUP(AT278,Потребители_обозначение,4,FALSE)=1,VLOOKUP(AT278,Потребители_обозначение,3,FALSE)*(H278*2-1)+BV278+VLOOKUP(AV278,Этаж_обозначение,3,FALSE)+VLOOKUP(AV278,Этаж_обозначение,4,FALSE),VLOOKUP(AT278,Потребители_обозначение,3,FALSE)*(H278*2-1)+BV278),BV278))</f>
        <v>9</v>
      </c>
      <c r="BX278">
        <f t="shared" si="365"/>
        <v>0</v>
      </c>
      <c r="BY278">
        <f t="shared" si="366"/>
        <v>6</v>
      </c>
      <c r="BZ278">
        <f t="shared" si="367"/>
        <v>2</v>
      </c>
      <c r="CA278">
        <f t="shared" si="368"/>
        <v>0.31</v>
      </c>
      <c r="CB278">
        <f t="shared" si="369"/>
        <v>8.448287483225482E-2</v>
      </c>
      <c r="CC278">
        <f>IFERROR(ROUNDUP(CB278/((Uн_лин/SQRT(3))*1000)*100,2),"")</f>
        <v>0.04</v>
      </c>
      <c r="CD278">
        <f>IF(ISNUMBER(CC278),CC278+IFERROR(_xlfn.XLOOKUP(A278,Щиты[Щит],Щиты[ΔU до шин, %]),0),"")</f>
        <v>1.29</v>
      </c>
      <c r="CE278">
        <f>IF(D278="","",IF(IFERROR(VLOOKUP(AT278,УГО_спр,2,FALSE),"")="Светильник",3,4)+IF(Методика="нормы 2026",MIN(0.5,MAX(0,N(BW278)-100)*0.005),0))</f>
        <v>4</v>
      </c>
      <c r="CF278" t="str">
        <f>IFERROR(VLOOKUP(BI278,Кабель_обозначение,2,FALSE),"")</f>
        <v>ВВГнг(А)-LS</v>
      </c>
      <c r="CG278" t="str">
        <f>IFERROR(IF(VLOOKUP(BI278,Кабель_обозначение,3,FALSE)=1,CF278&amp;" ("&amp;BJ278&amp;"х"&amp;BS278&amp;")",CF278),"")</f>
        <v>ВВГнг(А)-LS (3х2,5)</v>
      </c>
      <c r="CH278" t="str">
        <f t="shared" si="370"/>
        <v>ВВГнг(А)-LS (3х2,5)
L=9-0,04%</v>
      </c>
      <c r="CI278">
        <f>IFERROR(2*ρкз_Cu*BW278/BS278,"")</f>
        <v>0.18936</v>
      </c>
      <c r="CJ278">
        <f t="shared" si="371"/>
        <v>6.3000000000000014E-2</v>
      </c>
      <c r="CK278" t="str">
        <f>IFERROR(IF(OR(D278="",NOT(ISNUMBER(BS278)),N(BW278)=0),"",_xlfn.XLOOKUP(A278,Щиты[Щит],Щиты[Zпетли на шинах, Ом])+CI278),"")</f>
        <v/>
      </c>
      <c r="CL278" t="str">
        <f>IF(ISNUMBER(CK278),c_min*(Uн_лин*1000/SQRT(3))/CK278,"")</f>
        <v/>
      </c>
      <c r="CM278" t="str">
        <f>IFERROR(IF(OR(D278="",NOT(ISNUMBER(BS278))),"",1.05*(Uн_лин*1000/SQRT(3))/(_xlfn.XLOOKUP(A278,Щиты[Щит],Щиты[Zmax на шинах, Ом])+CJ278)/1000),"")</f>
        <v/>
      </c>
      <c r="CN278" t="str">
        <f>IF(D278="","",IF(BA278&lt;&gt;"","Щит",IF(K278&lt;&gt;"",K278,IF(ISNUMBER(L278),"Сил",IF(IFERROR(_xlfn.XLOOKUP(AT278,Коды_код,Коды_группа)&amp;"","")="","Быт",_xlfn.XLOOKUP(AT278,Коды_код,Коды_группа)&amp;"")))))</f>
        <v>Быт</v>
      </c>
      <c r="CO278">
        <f>IF(CN278="Щит","щит",IF(CN278="","",IF(CN278="Быт",IFERROR(_xlfn.XLOOKUP(A278,Щиты[Щит],Щиты[Кс быт]),1),IF(CN278="Сил",IF(ISNUMBER(L278),L278,IF(Методика="нормы 2026",IFERROR(_xlfn.XLOOKUP(A278,Щиты[Щит],Щиты[Кс силовых (табл. 7.5)]),1),1)),IF(OR(CN278="Пост",CN278="Отоп"),1,IF(CN278="ВНГ",0.7,0))))))</f>
        <v>0.57830000000000004</v>
      </c>
      <c r="CP278">
        <f t="shared" si="372"/>
        <v>1</v>
      </c>
      <c r="CQ278">
        <f t="shared" si="373"/>
        <v>0.12</v>
      </c>
      <c r="CR278">
        <f t="shared" si="374"/>
        <v>0.12</v>
      </c>
      <c r="CS278">
        <f t="shared" si="375"/>
        <v>0</v>
      </c>
      <c r="CT278">
        <f t="shared" si="376"/>
        <v>0</v>
      </c>
      <c r="CU278">
        <f t="shared" si="377"/>
        <v>0</v>
      </c>
      <c r="CV278">
        <f t="shared" si="378"/>
        <v>0</v>
      </c>
      <c r="CW278">
        <f t="shared" si="379"/>
        <v>0.12</v>
      </c>
      <c r="CX278">
        <f t="shared" si="380"/>
        <v>0.11399999999999999</v>
      </c>
      <c r="CY278">
        <f t="shared" si="381"/>
        <v>2</v>
      </c>
      <c r="CZ278" t="str">
        <f t="shared" si="382"/>
        <v>L2</v>
      </c>
      <c r="DA278" cm="1">
        <f t="array" ref="DA278">IFERROR(IF(BL278=2,_xlfn.IFS(BH278=3,VLOOKUP(BF278,Справочная_двигатели,3,FALSE),BH278=1,VLOOKUP(BF278,Справочная_двигатели,5,TRUE)),0),0)</f>
        <v>0</v>
      </c>
      <c r="DB278">
        <f>IFERROR(IF(BL278=3,VLOOKUP(BF278,Справочная_ЛЭД,2,TRUE),0),0)</f>
        <v>0</v>
      </c>
      <c r="DC278">
        <f t="shared" si="383"/>
        <v>0</v>
      </c>
      <c r="DD278" t="str">
        <f t="shared" si="384"/>
        <v>L2</v>
      </c>
      <c r="DE278" t="str" cm="1">
        <f t="array" ref="DE278">IF(D278="","",IFERROR(INDEX({"I особая","I","II","III"},MATCH(TRIM(AA278&amp;""),{"I особая","I","II","III"},0)),"III"))</f>
        <v>II</v>
      </c>
      <c r="DF278" t="str">
        <f>IF(D278="","",IF(TRIM(AB278&amp;"")&lt;&gt;"",IF(LOWER(TRIM(AB278&amp;""))="да","да","нет"),IF(IFERROR(_xlfn.XLOOKUP(AT278,Коды_код,Коды_пожарная),"")="да","да","нет")))</f>
        <v>нет</v>
      </c>
      <c r="DG278" t="str">
        <f t="shared" si="385"/>
        <v/>
      </c>
      <c r="DH278" t="str">
        <f t="shared" si="386"/>
        <v>основная</v>
      </c>
      <c r="DI278">
        <f t="shared" si="387"/>
        <v>1</v>
      </c>
      <c r="DJ278" t="str" cm="1">
        <f t="array" ref="DJ278">IF(D278="","",_xlfn.LET(_xlpm.t,IFERROR(_xlfn.XLOOKUP(1,(Шины[Шина]=DH278)*(((Шины[Щит]=A278)+(Шины[Щит]=""))&gt;0),Шины[Тип]),"")&amp;"",IF(_xlpm.t&lt;&gt;"",_xlpm.t,IF(ISNUMBER(SEARCH("ИБП",DH278)),"ИБП",IF(ISNUMBER(SEARCH("ДГУ",DH278)),"ДГУ","Ввод "&amp;DI278)))))</f>
        <v>Ввод 1</v>
      </c>
      <c r="DK278" t="str">
        <f t="shared" si="388"/>
        <v>Ввод 1</v>
      </c>
      <c r="DL278" t="str">
        <f>IF(D278="","",IF(OR(DJ278="ИБП",DJ278="ДГУ"),"I особая",IF(DJ278="Одиночная","III",_xlfn.XLOOKUP(A278,Щиты[Щит],Щиты[Категория шины «Ввод»],"III"))))</f>
        <v>II</v>
      </c>
      <c r="DM278">
        <f>IF(D278="",0,IFERROR(MATCH(DE278,{"III","II","I","I особая"},0),1))</f>
        <v>2</v>
      </c>
      <c r="DN278">
        <f t="shared" si="389"/>
        <v>2</v>
      </c>
      <c r="DO278" t="str">
        <f>IF(D278="","",IF(DM278&gt;IFERROR(MATCH(DL278,{"III","II","I","I особая"},0),1),"НЕ ОБЕСПЕЧЕНА","ОК"))</f>
        <v>ОК</v>
      </c>
      <c r="DP278" t="str">
        <f>IF(A278="","",_xlfn.XLOOKUP(A278,Щиты[Щит],Щиты[Путь],""))</f>
        <v>|ГРЩ-ЖД|ЩР-1|</v>
      </c>
      <c r="DQ278" t="str">
        <f>IF(D278="","",IF(Z278&lt;&gt;"",Z278,IF(IFERROR(_xlfn.XLOOKUP(AT278,Коды_код,Коды_вид)&amp;"","")="","Прочее",_xlfn.XLOOKUP(AT278,Коды_код,Коды_вид)&amp;"")))</f>
        <v>Розеточная сеть и бытовые приборы</v>
      </c>
      <c r="DR278">
        <f>IF(BD278="","",INT((BD278-1)/Столбцов_на_лист)+1)</f>
        <v>5</v>
      </c>
      <c r="DS278" t="str">
        <f t="shared" si="390"/>
        <v>ВВГнг(А)-LS (3х2,5) L=9-0,04%</v>
      </c>
      <c r="DT278">
        <f t="shared" si="391"/>
        <v>0.12</v>
      </c>
      <c r="DU278">
        <f t="shared" si="392"/>
        <v>0.55000000000000004</v>
      </c>
      <c r="DV278">
        <f t="shared" si="393"/>
        <v>1</v>
      </c>
      <c r="DW278">
        <f>IF(AT278="",0,_xlfn.LET(_xlpm.v,IFERROR(VLOOKUP(D278,УГО_спр,3,FALSE),IFERROR(VLOOKUP(AT278,УГО_спр,3,FALSE),IFERROR(VLOOKUP(LEFT(AT278,2),УГО_спр,3,FALSE),""))),IF(_xlpm.v="да",30,IF(ISNUMBER(_xlpm.v),_xlpm.v,0))))</f>
        <v>30</v>
      </c>
      <c r="DX278">
        <f t="shared" si="394"/>
        <v>0</v>
      </c>
      <c r="DY278">
        <f>IF(BD278="","",IF(AD278&lt;&gt;"",COUNTIFS(A$3:A278,A278,AD$3:AD278,"?*"),IF(OR(OR(AS278=1,A278&lt;&gt;A277),AL278="вручную"),"",IF(AS278=1,"",DZ277))))</f>
        <v>54</v>
      </c>
      <c r="DZ278">
        <f t="shared" si="395"/>
        <v>54</v>
      </c>
      <c r="EA278">
        <f>IF(D278="",0,MAX(IFERROR(--X278,0),IFERROR(--VLOOKUP(D278,УГО_спр,4,FALSE),IFERROR(--VLOOKUP(AT278,УГО_спр,4,FALSE),IFERROR(--VLOOKUP(LEFT(AT278,2),УГО_спр,4,FALSE),0)))))</f>
        <v>16</v>
      </c>
      <c r="EB278">
        <f>IF(D278="","",IFERROR(LOOKUP(INDEX(CHOOSE(BR278,Iдоп_1ж,Iдоп_2ж,Iдоп_3ж),MATCH(BS278,Iдоп_S,0))*BP278*BQ278,{6,10,16,20,25,32,40,50,63,80,100,125,160,200,250,315,400,500,630}),""))</f>
        <v>25</v>
      </c>
      <c r="EC278">
        <f>IF(AD278="","",SUMIFS(Линии[_Ток схемы],Линии[_гр.],DY278,Линии[Щит],A278,Линии[_в кабель выше],0))</f>
        <v>0.55000000000000004</v>
      </c>
      <c r="ED278">
        <f>IF(AD278="","",IFERROR(VLOOKUP(EC278,Автомат_номиналы,2,TRUE),""))</f>
        <v>6</v>
      </c>
      <c r="EE278">
        <f>IF(AD278="","",MAX(N(ED278),_xlfn.MAXIFS(Линии[_мин. по типу],Линии[_гр.],DY278,Линии[Щит],A278)))</f>
        <v>16</v>
      </c>
      <c r="EF278">
        <f>IF(AD278="","",_xlfn.MINIFS(Линии[_макс. автомат по кабелю],Линии[_гр.],DY278,Линии[Щит],A278))</f>
        <v>25</v>
      </c>
      <c r="EG278">
        <f>IF(AD278="","",MAX(1,_xlfn.MAXIFS(Линии[_фаз],Линии[_гр.],DY278,Линии[Щит],A278)))</f>
        <v>1</v>
      </c>
      <c r="EH278">
        <f>IF(AD278="","",IF(AND(AD278&lt;&gt;"авто",AD278&lt;&gt;"+"),IF(ISNUMBER(SEARCH("мА",AD278)),IFERROR(--TRIM(RIGHT(SUBSTITUTE(LEFT(AD278,SEARCH("мА",AD278)-1)," ",REPT(" ",9)),6)),30),0),IF(AE278="нет",0,IF(ISNUMBER(AE278),AE278,IF(AE278="да",30,_xlfn.MINIFS(Линии[_дифзащита по коду, мА],Линии[_гр.],DY278,Линии[Щит],A278,Линии[_дифзащита по коду, мА],"&gt;0"))))))</f>
        <v>30</v>
      </c>
      <c r="EI278">
        <f t="shared" si="396"/>
        <v>1</v>
      </c>
      <c r="EJ278" t="str">
        <f t="shared" si="397"/>
        <v>QFD54</v>
      </c>
      <c r="EK278" t="str">
        <f t="shared" si="398"/>
        <v>QFD54</v>
      </c>
      <c r="EL278" t="str">
        <f t="shared" si="399"/>
        <v/>
      </c>
      <c r="EM278">
        <f t="shared" si="400"/>
        <v>0</v>
      </c>
      <c r="EN278">
        <f>IF(AD278="","",IF(EM278=1,MAX(EE278,Мин_автомат_БП),EE278))</f>
        <v>16</v>
      </c>
      <c r="EO278" t="str">
        <f t="shared" si="401"/>
        <v>2P</v>
      </c>
      <c r="EP278" t="str">
        <f t="shared" si="402"/>
        <v>2P С16А 30мА</v>
      </c>
      <c r="EQ278">
        <f t="shared" si="403"/>
        <v>16</v>
      </c>
      <c r="ER278" t="str">
        <f>IF(OR(AI278="",AI278="-"),"",IFERROR(VLOOKUP(AI278,Модули_спр,2,FALSE),"R"))</f>
        <v/>
      </c>
      <c r="ES278" t="str">
        <f>IF(ER278="","",ER278&amp;"."&amp;COUNTIFS(A$3:A278,A278,ER$3:ER278,ER278))</f>
        <v/>
      </c>
      <c r="ET278" t="str">
        <f t="shared" si="404"/>
        <v/>
      </c>
      <c r="EU278" t="str">
        <f t="shared" si="405"/>
        <v/>
      </c>
      <c r="EV278" t="str">
        <f t="shared" si="406"/>
        <v/>
      </c>
      <c r="EW278" t="str">
        <f t="shared" si="407"/>
        <v/>
      </c>
      <c r="EX278">
        <f t="shared" si="408"/>
        <v>1</v>
      </c>
      <c r="EY278" t="str">
        <f>IF(AK278="нет","",IF(AK278&lt;&gt;"",AK278,IF(EX278=1,"XT"&amp;COUNTIFS(A$3:A278,A278,EX$3:EX278,1),"")))</f>
        <v>XT54</v>
      </c>
      <c r="EZ278" t="str">
        <f t="shared" si="409"/>
        <v>QFD54</v>
      </c>
      <c r="FA278" t="str">
        <f t="shared" si="410"/>
        <v/>
      </c>
      <c r="FB278" t="str">
        <f t="shared" si="411"/>
        <v>ok</v>
      </c>
      <c r="FC278" t="str">
        <f>IF(OR(EV278="",ET278=""),"",IF(EV278&gt;IFERROR(VLOOKUP(EU278,Модули_спр,3,FALSE),99),"ЛИШНИЙ КАНАЛ",IF(AND(AJ278&lt;&gt;"=",COUNTIFS(Линии[_модуль гр.],ET278,Линии[Канал (итог)],EV278,Линии[Канал],"&lt;&gt;=",Линии[Щит],A278)&gt;1),"ДУБЛЬ КАНАЛА","")))</f>
        <v/>
      </c>
      <c r="FD278">
        <f t="shared" si="412"/>
        <v>16</v>
      </c>
      <c r="FE278" t="str">
        <f t="shared" si="413"/>
        <v>2P С16А 30мА</v>
      </c>
      <c r="FF278">
        <f t="shared" si="414"/>
        <v>1</v>
      </c>
      <c r="FG278">
        <f t="shared" si="415"/>
        <v>30</v>
      </c>
      <c r="FH278" t="str">
        <f t="shared" si="416"/>
        <v/>
      </c>
      <c r="FI278">
        <f t="shared" si="417"/>
        <v>10</v>
      </c>
      <c r="FJ278" t="str">
        <f t="shared" si="418"/>
        <v/>
      </c>
      <c r="FK278" t="str">
        <f>IF(AND(D278="",EZ278=""),"",_xlfn.TEXTJOIN("; ",TRUE,IF(AND(D278&lt;&gt;"",DD278=""),"нет фазы",""),IF(AND(D278&lt;&gt;"",N(DT278)=0,CN278&lt;&gt;"Нет"),"нет мощности",""),IF(AND(EY278&lt;&gt;"",COUNTIFS(Линии[Щит],A278,Линии[Клемма (итог)],EY278)&gt;1),"дубль клеммы "&amp;EY278,""),IF(AND(FB278&lt;&gt;"",FB278&lt;&gt;"ok"),FB278,""),IF(FC278&lt;&gt;"",FC278,""),IF(AND(ISNUMBER(SEARCH("(5х",DS278)),N(DV278)=1),"5 жил на 1 фазе",""),IF(AND(AT278="R",AD278&lt;&gt;"",OR(N(EH278)=0,N(EH278)&gt;30)),"розетка без дифзащиты до 30 мА",""),IFERROR(IF(AND(ISNUMBER(CD278),CD278&gt;CE278),"потери "&amp;FIXED(CD278,1)&amp;" % &gt; "&amp;CE278&amp;" %",""),""),IFERROR(IF(LEFT(FJ278,4)="мало","Iкз мало — отключение &gt; 0,4 с",""),""),IF(AND(D278&lt;&gt;"",BD278=""),"не на схеме","")))</f>
        <v/>
      </c>
      <c r="FL278">
        <f>IF(AD278="","",_xlfn.LET(_xlpm.t,IFERROR(_xlfn.XLOOKUP(EP278,Каталог!$U$4:$U$500,Каталог!$G$4:$G$500),""),_xlpm.k,SEARCH("кА",_xlpm.t),IFERROR(--TRIM(RIGHT(SUBSTITUTE(MID(_xlpm.t,MAX(1,_xlpm.k-4),_xlpm.k-MAX(1,_xlpm.k-4))," ",REPT(" ",9)),5)),"")))</f>
        <v>6</v>
      </c>
      <c r="FM278" t="str">
        <f>IF(OR(FL278="",AD278=""),"",IF(_xlfn.XLOOKUP(A278,Щиты[Щит],Щиты[Iкз max на шинах, кА],"")="","",IF(FL278&lt;_xlfn.XLOOKUP(A278,Щиты[Щит],Щиты[Iкз max на шинах, кА]),"Icu "&amp;FL278&amp;" кА &lt; Iкз max","ok")))</f>
        <v/>
      </c>
      <c r="FN278" t="str">
        <f t="shared" si="419"/>
        <v>QFD54|XT54</v>
      </c>
      <c r="FO278" t="str">
        <f t="shared" si="420"/>
        <v>QFD54|XT54|кабель ВВГнг(А)-LS (3х2,5) → Розеточная группа Первый этаж Пом. №002Б</v>
      </c>
      <c r="FP278" t="str" cm="1">
        <f t="array" ref="FP278">IF(FO278="","",_xlfn.LET(_xlpm.nd,_xlfn.TEXTSPLIT(FO278,"|"),IF(COLUMNS(_xlpm.nd)&gt;1,A278&amp;"¦"&amp;INDEX(_xlpm.nd,1)&amp;"¦"&amp;INDEX(_xlpm.nd,2),"")))</f>
        <v>ЩР-1¦QFD54¦XT54</v>
      </c>
      <c r="FQ278" t="str">
        <f t="shared" si="421"/>
        <v>R.1.002Б.10¦Розеточная группа Первый этаж Пом. №002Б</v>
      </c>
      <c r="FR278" t="str" cm="1">
        <f t="array" ref="FR278">IF(FO278="","",_xlfn.LET(_xlpm.nd,_xlfn.TEXTSPLIT(FO278,"|"),IF(COLUMNS(_xlpm.nd)&gt;2,A278&amp;"¦"&amp;INDEX(_xlpm.nd,2)&amp;"¦"&amp;INDEX(_xlpm.nd,3),"")))</f>
        <v>ЩР-1¦XT54¦кабель ВВГнг(А)-LS (3х2,5) → Розеточная группа Первый этаж Пом. №002Б</v>
      </c>
      <c r="FS278" t="str">
        <f t="shared" si="422"/>
        <v>R.1.002Б.10¦Розеточная группа Первый этаж Пом. №002Б</v>
      </c>
      <c r="FT278" t="str" cm="1">
        <f t="array" ref="FT278">IF(FO278="","",_xlfn.LET(_xlpm.nd,_xlfn.TEXTSPLIT(FO278,"|"),IF(COLUMNS(_xlpm.nd)&gt;3,A278&amp;"¦"&amp;INDEX(_xlpm.nd,3)&amp;"¦"&amp;INDEX(_xlpm.nd,4),"")))</f>
        <v/>
      </c>
      <c r="FU278" t="str">
        <f t="shared" si="423"/>
        <v/>
      </c>
      <c r="FV278" t="str" cm="1">
        <f t="array" ref="FV278">IF(FO278="","",_xlfn.LET(_xlpm.nd,_xlfn.TEXTSPLIT(FO278,"|"),IF(COLUMNS(_xlpm.nd)&gt;4,A278&amp;"¦"&amp;INDEX(_xlpm.nd,4)&amp;"¦"&amp;INDEX(_xlpm.nd,5),"")))</f>
        <v/>
      </c>
      <c r="FW278" t="str">
        <f t="shared" si="424"/>
        <v/>
      </c>
      <c r="FX278" t="str" cm="1">
        <f t="array" ref="FX278">IF(FO278="","",_xlfn.LET(_xlpm.nd,_xlfn.TEXTSPLIT(FO278,"|"),IF(COLUMNS(_xlpm.nd)&gt;5,A278&amp;"¦"&amp;INDEX(_xlpm.nd,5)&amp;"¦"&amp;INDEX(_xlpm.nd,6),"")))</f>
        <v/>
      </c>
      <c r="FY278" t="str">
        <f t="shared" si="425"/>
        <v/>
      </c>
      <c r="FZ278" t="str" cm="1">
        <f t="array" ref="FZ278">IF(FO278="","",_xlfn.LET(_xlpm.nd,_xlfn.TEXTSPLIT(FO278,"|"),IF(COLUMNS(_xlpm.nd)&gt;6,A278&amp;"¦"&amp;INDEX(_xlpm.nd,6)&amp;"¦"&amp;INDEX(_xlpm.nd,7),"")))</f>
        <v/>
      </c>
      <c r="GA278" t="str">
        <f t="shared" si="426"/>
        <v/>
      </c>
      <c r="GB278" t="str">
        <f t="shared" si="427"/>
        <v/>
      </c>
      <c r="GC278" t="str">
        <f t="shared" si="428"/>
        <v>QFD54 → XT54</v>
      </c>
      <c r="GD278">
        <f t="shared" si="429"/>
        <v>1</v>
      </c>
      <c r="GE278">
        <f t="shared" si="430"/>
        <v>0</v>
      </c>
      <c r="GF278">
        <f t="shared" si="431"/>
        <v>1</v>
      </c>
      <c r="GG278" t="str">
        <f t="shared" si="432"/>
        <v/>
      </c>
      <c r="GH278" t="str">
        <f t="shared" si="433"/>
        <v/>
      </c>
      <c r="GI278" t="str">
        <f t="shared" si="434"/>
        <v/>
      </c>
      <c r="GJ278" t="str">
        <f t="shared" si="435"/>
        <v/>
      </c>
      <c r="GK278" t="str">
        <f>IF(D278="","",IFERROR(VLOOKUP(D278,УГО_спр,2,FALSE),IFERROR(VLOOKUP(AT278,УГО_спр,2,FALSE),IFERROR(VLOOKUP(LEFT(AT278,2),УГО_спр,2,FALSE),""))))</f>
        <v>Розетка</v>
      </c>
      <c r="GL278" t="str">
        <f>IF(D278="","",IF(OR(GK278="",GK278=0),"BOX",IFERROR(IF(VLOOKUP(GK278,УГО_блоки,3,FALSE)&amp;""&lt;&gt;"",VLOOKUP(GK278,УГО_блоки,3,FALSE),VLOOKUP(GK278,УГО_блоки,2,FALSE)),GK278)))</f>
        <v>SOCKET</v>
      </c>
      <c r="GM278">
        <f t="shared" si="436"/>
        <v>1</v>
      </c>
      <c r="GN278" t="str">
        <f>IF(EP278="","",IF(COUNTIF(EP$3:EP278,EP278)=1,MAX(GN$2:GN277)+1,""))</f>
        <v/>
      </c>
      <c r="GO278" t="str">
        <f>IF(AF278="","",IF(COUNTIF(AF$3:AF278,AF278)+COUNTIF(AG$2:AG277,AF278)+COUNTIF(AH$2:AH277,AF278)=1,MAX(GO$2:GQ277)+1,""))</f>
        <v/>
      </c>
      <c r="GP278" t="str">
        <f>IF(AG278="","",IF(COUNTIF(AF$3:AF278,AG278)+COUNTIF(AG$3:AG278,AG278)+COUNTIF(AH$2:AH277,AG278)=1,MAX(GO$2:GQ277,GO278)+1,""))</f>
        <v/>
      </c>
      <c r="GQ278" t="str">
        <f>IF(AH278="","",IF(COUNTIF(AF$3:AF278,AH278)+COUNTIF(AG$3:AG278,AH278)+COUNTIF(AH$3:AH278,AH278)=1,MAX(GO$2:GQ277,GO278,GP278)+1,""))</f>
        <v/>
      </c>
      <c r="GR278" t="str">
        <f t="shared" si="437"/>
        <v>3х2,5</v>
      </c>
      <c r="GS278" t="str">
        <f>IF(GR278="","",IF(COUNTIF(GR$3:GR278,GR278)=1,MAX(GS$2:GS277)+1,""))</f>
        <v/>
      </c>
      <c r="GT278" t="str">
        <f>IF(ES278="","",COUNTIF(ES$3:ES278,"?*"))</f>
        <v/>
      </c>
      <c r="GU278" t="str">
        <f>IF(OR(ES278="",EU278=""),"",IF(COUNTIFS(ES$3:ES278,"?*",EU$3:EU278,EU278)=1,MAX(GU$2:GU277)+1,""))</f>
        <v/>
      </c>
      <c r="GV278">
        <f t="shared" si="438"/>
        <v>0</v>
      </c>
      <c r="GW278">
        <f>IF(D278="","",COUNTIF(D$3:D278,"?*"))</f>
        <v>276</v>
      </c>
      <c r="GX278">
        <f>IF(EX278&lt;&gt;1,0,_xlfn.LET(_xlpm.k,MAX(IFERROR(--VLOOKUP(D278,УГО_спр,5,FALSE),0),IFERROR(--VLOOKUP(AT278,УГО_спр,5,FALSE),0),IFERROR(--VLOOKUP(LEFT(AT278,2),УГО_спр,5,FALSE),0)),IF(_xlpm.k&gt;0,_xlpm.k,IF(IFERROR(--LEFT(SUBSTITUTE(GR278,"x","х"),FIND("х",SUBSTITUTE(GR278,"x","х"))-1),3)&gt;3,Каталог!$S$9,1))))</f>
        <v>1</v>
      </c>
      <c r="GY278">
        <f t="shared" si="439"/>
        <v>0</v>
      </c>
    </row>
    <row r="279" spans="1:207" x14ac:dyDescent="0.3">
      <c r="A279" t="s">
        <v>762</v>
      </c>
      <c r="B279">
        <v>71</v>
      </c>
      <c r="C279" t="str">
        <f>IF(BD279="","",IF(BE279="вводной узел","узел ","")&amp;"л."&amp;(INT((BD279-1)/Столбцов_на_лист)+1)&amp;" / "&amp;(MOD(BD279-1,Столбцов_на_лист)+1))</f>
        <v>л.5 / 3</v>
      </c>
      <c r="D279" t="s">
        <v>1611</v>
      </c>
      <c r="E279" s="133" t="str">
        <f t="shared" si="352"/>
        <v>Розеточная группа Первый этаж Пом. №021A</v>
      </c>
      <c r="G279">
        <v>0.18</v>
      </c>
      <c r="H279">
        <v>1</v>
      </c>
      <c r="I279">
        <v>1</v>
      </c>
      <c r="J279">
        <v>230</v>
      </c>
      <c r="K279" t="s">
        <v>566</v>
      </c>
      <c r="O279">
        <v>3</v>
      </c>
      <c r="P279">
        <v>39</v>
      </c>
      <c r="Q279">
        <v>20</v>
      </c>
      <c r="R279">
        <v>22</v>
      </c>
      <c r="S279">
        <v>0</v>
      </c>
      <c r="U279" t="s">
        <v>11</v>
      </c>
      <c r="V279">
        <v>3</v>
      </c>
      <c r="W279">
        <v>2.5</v>
      </c>
      <c r="Z279" t="s">
        <v>565</v>
      </c>
      <c r="AA279" t="s">
        <v>818</v>
      </c>
      <c r="AD279" t="s">
        <v>517</v>
      </c>
      <c r="AR279" t="str">
        <f t="shared" si="353"/>
        <v/>
      </c>
      <c r="AS279" cm="1">
        <f t="array" ref="AS279">ROW()-ROW(Линии[#Headers])</f>
        <v>277</v>
      </c>
      <c r="AT279" t="str">
        <f t="shared" si="354"/>
        <v>R</v>
      </c>
      <c r="AU279" t="str">
        <f t="shared" si="355"/>
        <v>1.021A.5</v>
      </c>
      <c r="AV279" t="str">
        <f t="shared" si="356"/>
        <v>1</v>
      </c>
      <c r="AW279" t="str">
        <f t="shared" si="357"/>
        <v>021A.5</v>
      </c>
      <c r="AX279" t="str">
        <f t="shared" si="358"/>
        <v>021A</v>
      </c>
      <c r="AY279" t="str">
        <f>IF(D279="","",IF(ISERROR(SEARCH(".",D279)),IFERROR(VLOOKUP(D279,Потребители_обозначение,2,FALSE)&amp;"",""),IFERROR(IF(VLOOKUP(AT279,Потребители_обозначение,4,FALSE)=1,VLOOKUP(AT279,Потребители_обозначение,2,FALSE)&amp;" "&amp;VLOOKUP(AV279,Этаж_обозначение,2,FALSE)&amp;" Пом. №"&amp;AX279,VLOOKUP(AT279,Потребители_обозначение,2,FALSE)&amp;" Шлейф №"&amp;AV279),IFERROR(VLOOKUP(D279,Потребители_обозначение,2,FALSE),""))))</f>
        <v>Розеточная группа Первый этаж Пом. №021A</v>
      </c>
      <c r="AZ279" t="str">
        <f t="shared" si="359"/>
        <v>Розеточная группа Первый этаж Пом. №021A</v>
      </c>
      <c r="BA279" t="str">
        <f>IF(F279&lt;&gt;"",F279,IF(AND(D279&lt;&gt;"",D279&lt;&gt;A279,ISNUMBER(_xlfn.XMATCH(D279,Щиты[Щит]))),D279,""))</f>
        <v/>
      </c>
      <c r="BB279">
        <f>IFERROR(_xlfn.XMATCH(A279,Щиты[Щит]),0)</f>
        <v>10</v>
      </c>
      <c r="BC279">
        <f>IFERROR(N(_xlfn.XLOOKUP(A279,Щиты[Щит],Щиты[Мест под вводной узел])),15)</f>
        <v>8</v>
      </c>
      <c r="BD279">
        <f t="shared" si="360"/>
        <v>71</v>
      </c>
      <c r="BE279" t="str">
        <f t="shared" si="361"/>
        <v>линии</v>
      </c>
      <c r="BF279">
        <f>IF(D279="","",IF(BA279&lt;&gt;"",IFERROR(_xlfn.XLOOKUP(BA279,Щиты[Щит],Щиты[Руст, кВт]),0),N(G279)))</f>
        <v>0.18</v>
      </c>
      <c r="BG279">
        <f>IF(J279&lt;&gt;"",J279,IF(D279="","",IFERROR(IF(VLOOKUP(AT279,Потребители_обозначение,8,FALSE)=0,"",VLOOKUP(AT279,Потребители_обозначение,8,FALSE)),"")))</f>
        <v>230</v>
      </c>
      <c r="BH279">
        <f>IF(I279&lt;&gt;"",I279,IF(D279="","",IFERROR(IF(VLOOKUP(AT279,Потребители_обозначение,9,FALSE)=0,"",VLOOKUP(AT279,Потребители_обозначение,9,FALSE)),"")))</f>
        <v>1</v>
      </c>
      <c r="BI279" t="str">
        <f>IF(U279&lt;&gt;"",U279,IF(D279="","",IFERROR(IF(VLOOKUP(AT279,Потребители_обозначение,6,FALSE)=0,"",VLOOKUP(AT279,Потребители_обозначение,6,FALSE)),"")))</f>
        <v>мс</v>
      </c>
      <c r="BJ279">
        <f>IF(V279&lt;&gt;"",V279,IF(D279="","",IFERROR(IF(VLOOKUP(AT279,Потребители_обозначение,7,FALSE)=0,"",VLOOKUP(AT279,Потребители_обозначение,7,FALSE)),"")))</f>
        <v>3</v>
      </c>
      <c r="BK279">
        <f>IF(W279&lt;&gt;"",W279,IF(D279="","",IFERROR(IF(VLOOKUP(AT279,Потребители_обозначение,10,FALSE)=0,"",VLOOKUP(AT279,Потребители_обозначение,10,FALSE)),"")))</f>
        <v>2.5</v>
      </c>
      <c r="BL279">
        <f>IFERROR(VLOOKUP(AT279,Потребители_обозначение,5,FALSE),0)</f>
        <v>1</v>
      </c>
      <c r="BM279" cm="1">
        <f t="array" ref="BM279">IF(D279="","",IF(BA279&lt;&gt;"",IFERROR(_xlfn.XLOOKUP(BA279,Щиты[Щит],Щиты[cos φ]),0.95),IF(ISNUMBER(M279),M279,IFERROR(IF(BL279=2,_xlfn.IFS(BH279=3,VLOOKUP(BF279,Справочная_двигатели,8,FALSE),BH279=1,VLOOKUP(BF279,Справочная_двигатели,10,TRUE)),IF(AND(Методика="нормы 2026",CN279="Сил"),0.8,0.95)),0.95))))</f>
        <v>0.95</v>
      </c>
      <c r="BN279" cm="1">
        <f t="array" ref="BN279">IF(D279="","",IF(BA279&lt;&gt;"",IFERROR(_xlfn.XLOOKUP(BA279,Щиты[Щит],Щиты[Iр, А]),""),IFERROR(_xlfn.IFS(BH279=1,BF279/((Uн_лин/SQRT(3))*BM279),BH279=3,BF279/(SQRT(3)*Uн_лин*BM279)),"")))</f>
        <v>0.8204451193747313</v>
      </c>
      <c r="BO279">
        <f>IF(D279="","",IF(N(X279)=0,IFERROR(VLOOKUP(BN279,Автомат_номиналы,2,TRUE),""),X279))</f>
        <v>6</v>
      </c>
      <c r="BP279">
        <f t="shared" si="362"/>
        <v>1</v>
      </c>
      <c r="BQ279">
        <f>IF(ISNUMBER(Y279),Y279,К_прокл)</f>
        <v>1</v>
      </c>
      <c r="BR279">
        <f t="shared" si="363"/>
        <v>2</v>
      </c>
      <c r="BS279" cm="1">
        <f t="array" ref="BS279">IF(D279="","",IF(N(BK279)&lt;&gt;0,BK279,IFERROR(_xlfn.LET(_xlpm.need,BO279/(BP279*BQ279),_xlpm.t,CHOOSE(BR279,Iдоп_1ж,Iдоп_2ж,Iдоп_3ж),_xlpm.k,_xlfn.XMATCH(_xlpm.need,_xlpm.t,1),IF(ISNA(_xlpm.k),"Не исп",INDEX(Iдоп_S,_xlpm.k))),"Не исп")))</f>
        <v>2.5</v>
      </c>
      <c r="BT279">
        <f>IFERROR(VLOOKUP(BS279,Кабель_сопротивление,3,FALSE),"")</f>
        <v>2.2499999999999999E-2</v>
      </c>
      <c r="BU279">
        <f>IFERROR(VLOOKUP(BS279,Кабель_сопротивление,2,FALSE),"")</f>
        <v>0.1</v>
      </c>
      <c r="BV279">
        <f t="shared" si="364"/>
        <v>39</v>
      </c>
      <c r="BW279">
        <f>IF(D279="","",IFERROR(IF(VLOOKUP(AT279,Потребители_обозначение,4,FALSE)=1,VLOOKUP(AT279,Потребители_обозначение,3,FALSE)*(H279*2-1)+BV279+VLOOKUP(AV279,Этаж_обозначение,3,FALSE)+VLOOKUP(AV279,Этаж_обозначение,4,FALSE),VLOOKUP(AT279,Потребители_обозначение,3,FALSE)*(H279*2-1)+BV279),BV279))</f>
        <v>42</v>
      </c>
      <c r="BX279">
        <f t="shared" si="365"/>
        <v>22</v>
      </c>
      <c r="BY279">
        <f t="shared" si="366"/>
        <v>0</v>
      </c>
      <c r="BZ279">
        <f t="shared" si="367"/>
        <v>2</v>
      </c>
      <c r="CA279">
        <f t="shared" si="368"/>
        <v>0.31</v>
      </c>
      <c r="CB279">
        <f t="shared" si="369"/>
        <v>0.59138012382578387</v>
      </c>
      <c r="CC279">
        <f>IFERROR(ROUNDUP(CB279/((Uн_лин/SQRT(3))*1000)*100,2),"")</f>
        <v>0.26</v>
      </c>
      <c r="CD279">
        <f>IF(ISNUMBER(CC279),CC279+IFERROR(_xlfn.XLOOKUP(A279,Щиты[Щит],Щиты[ΔU до шин, %]),0),"")</f>
        <v>1.51</v>
      </c>
      <c r="CE279">
        <f>IF(D279="","",IF(IFERROR(VLOOKUP(AT279,УГО_спр,2,FALSE),"")="Светильник",3,4)+IF(Методика="нормы 2026",MIN(0.5,MAX(0,N(BW279)-100)*0.005),0))</f>
        <v>4</v>
      </c>
      <c r="CF279" t="str">
        <f>IFERROR(VLOOKUP(BI279,Кабель_обозначение,2,FALSE),"")</f>
        <v>ВВГнг(А)-LS</v>
      </c>
      <c r="CG279" t="str">
        <f>IFERROR(IF(VLOOKUP(BI279,Кабель_обозначение,3,FALSE)=1,CF279&amp;" ("&amp;BJ279&amp;"х"&amp;BS279&amp;")",CF279),"")</f>
        <v>ВВГнг(А)-LS (3х2,5)</v>
      </c>
      <c r="CH279" t="str">
        <f t="shared" si="370"/>
        <v>ВВГнг(А)-LS (3х2,5)
L=42-0,26%</v>
      </c>
      <c r="CI279">
        <f>IFERROR(2*ρкз_Cu*BW279/BS279,"")</f>
        <v>0.88368000000000002</v>
      </c>
      <c r="CJ279">
        <f t="shared" si="371"/>
        <v>0.29400000000000004</v>
      </c>
      <c r="CK279" t="str">
        <f>IFERROR(IF(OR(D279="",NOT(ISNUMBER(BS279)),N(BW279)=0),"",_xlfn.XLOOKUP(A279,Щиты[Щит],Щиты[Zпетли на шинах, Ом])+CI279),"")</f>
        <v/>
      </c>
      <c r="CL279" t="str">
        <f>IF(ISNUMBER(CK279),c_min*(Uн_лин*1000/SQRT(3))/CK279,"")</f>
        <v/>
      </c>
      <c r="CM279" t="str">
        <f>IFERROR(IF(OR(D279="",NOT(ISNUMBER(BS279))),"",1.05*(Uн_лин*1000/SQRT(3))/(_xlfn.XLOOKUP(A279,Щиты[Щит],Щиты[Zmax на шинах, Ом])+CJ279)/1000),"")</f>
        <v/>
      </c>
      <c r="CN279" t="str">
        <f>IF(D279="","",IF(BA279&lt;&gt;"","Щит",IF(K279&lt;&gt;"",K279,IF(ISNUMBER(L279),"Сил",IF(IFERROR(_xlfn.XLOOKUP(AT279,Коды_код,Коды_группа)&amp;"","")="","Быт",_xlfn.XLOOKUP(AT279,Коды_код,Коды_группа)&amp;"")))))</f>
        <v>Быт</v>
      </c>
      <c r="CO279">
        <f>IF(CN279="Щит","щит",IF(CN279="","",IF(CN279="Быт",IFERROR(_xlfn.XLOOKUP(A279,Щиты[Щит],Щиты[Кс быт]),1),IF(CN279="Сил",IF(ISNUMBER(L279),L279,IF(Методика="нормы 2026",IFERROR(_xlfn.XLOOKUP(A279,Щиты[Щит],Щиты[Кс силовых (табл. 7.5)]),1),1)),IF(OR(CN279="Пост",CN279="Отоп"),1,IF(CN279="ВНГ",0.7,0))))))</f>
        <v>0.57830000000000004</v>
      </c>
      <c r="CP279">
        <f t="shared" si="372"/>
        <v>1</v>
      </c>
      <c r="CQ279">
        <f t="shared" si="373"/>
        <v>0.18</v>
      </c>
      <c r="CR279">
        <f t="shared" si="374"/>
        <v>0.18</v>
      </c>
      <c r="CS279">
        <f t="shared" si="375"/>
        <v>0</v>
      </c>
      <c r="CT279">
        <f t="shared" si="376"/>
        <v>0</v>
      </c>
      <c r="CU279">
        <f t="shared" si="377"/>
        <v>0</v>
      </c>
      <c r="CV279">
        <f t="shared" si="378"/>
        <v>0</v>
      </c>
      <c r="CW279">
        <f t="shared" si="379"/>
        <v>0.18</v>
      </c>
      <c r="CX279">
        <f t="shared" si="380"/>
        <v>0.17099999999999999</v>
      </c>
      <c r="CY279">
        <f t="shared" si="381"/>
        <v>3</v>
      </c>
      <c r="CZ279" t="str">
        <f t="shared" si="382"/>
        <v>L3</v>
      </c>
      <c r="DA279" cm="1">
        <f t="array" ref="DA279">IFERROR(IF(BL279=2,_xlfn.IFS(BH279=3,VLOOKUP(BF279,Справочная_двигатели,3,FALSE),BH279=1,VLOOKUP(BF279,Справочная_двигатели,5,TRUE)),0),0)</f>
        <v>0</v>
      </c>
      <c r="DB279">
        <f>IFERROR(IF(BL279=3,VLOOKUP(BF279,Справочная_ЛЭД,2,TRUE),0),0)</f>
        <v>0</v>
      </c>
      <c r="DC279">
        <f t="shared" si="383"/>
        <v>0</v>
      </c>
      <c r="DD279" t="str">
        <f t="shared" si="384"/>
        <v>L3</v>
      </c>
      <c r="DE279" t="str" cm="1">
        <f t="array" ref="DE279">IF(D279="","",IFERROR(INDEX({"I особая","I","II","III"},MATCH(TRIM(AA279&amp;""),{"I особая","I","II","III"},0)),"III"))</f>
        <v>II</v>
      </c>
      <c r="DF279" t="str">
        <f>IF(D279="","",IF(TRIM(AB279&amp;"")&lt;&gt;"",IF(LOWER(TRIM(AB279&amp;""))="да","да","нет"),IF(IFERROR(_xlfn.XLOOKUP(AT279,Коды_код,Коды_пожарная),"")="да","да","нет")))</f>
        <v>нет</v>
      </c>
      <c r="DG279" t="str">
        <f t="shared" si="385"/>
        <v/>
      </c>
      <c r="DH279" t="str">
        <f t="shared" si="386"/>
        <v>основная</v>
      </c>
      <c r="DI279">
        <f t="shared" si="387"/>
        <v>1</v>
      </c>
      <c r="DJ279" t="str" cm="1">
        <f t="array" ref="DJ279">IF(D279="","",_xlfn.LET(_xlpm.t,IFERROR(_xlfn.XLOOKUP(1,(Шины[Шина]=DH279)*(((Шины[Щит]=A279)+(Шины[Щит]=""))&gt;0),Шины[Тип]),"")&amp;"",IF(_xlpm.t&lt;&gt;"",_xlpm.t,IF(ISNUMBER(SEARCH("ИБП",DH279)),"ИБП",IF(ISNUMBER(SEARCH("ДГУ",DH279)),"ДГУ","Ввод "&amp;DI279)))))</f>
        <v>Ввод 1</v>
      </c>
      <c r="DK279" t="str">
        <f t="shared" si="388"/>
        <v>Ввод 1</v>
      </c>
      <c r="DL279" t="str">
        <f>IF(D279="","",IF(OR(DJ279="ИБП",DJ279="ДГУ"),"I особая",IF(DJ279="Одиночная","III",_xlfn.XLOOKUP(A279,Щиты[Щит],Щиты[Категория шины «Ввод»],"III"))))</f>
        <v>II</v>
      </c>
      <c r="DM279">
        <f>IF(D279="",0,IFERROR(MATCH(DE279,{"III","II","I","I особая"},0),1))</f>
        <v>2</v>
      </c>
      <c r="DN279">
        <f t="shared" si="389"/>
        <v>2</v>
      </c>
      <c r="DO279" t="str">
        <f>IF(D279="","",IF(DM279&gt;IFERROR(MATCH(DL279,{"III","II","I","I особая"},0),1),"НЕ ОБЕСПЕЧЕНА","ОК"))</f>
        <v>ОК</v>
      </c>
      <c r="DP279" t="str">
        <f>IF(A279="","",_xlfn.XLOOKUP(A279,Щиты[Щит],Щиты[Путь],""))</f>
        <v>|ГРЩ-ЖД|ЩР-1|</v>
      </c>
      <c r="DQ279" t="str">
        <f>IF(D279="","",IF(Z279&lt;&gt;"",Z279,IF(IFERROR(_xlfn.XLOOKUP(AT279,Коды_код,Коды_вид)&amp;"","")="","Прочее",_xlfn.XLOOKUP(AT279,Коды_код,Коды_вид)&amp;"")))</f>
        <v>Розеточная сеть и бытовые приборы</v>
      </c>
      <c r="DR279">
        <f>IF(BD279="","",INT((BD279-1)/Столбцов_на_лист)+1)</f>
        <v>5</v>
      </c>
      <c r="DS279" t="str">
        <f t="shared" si="390"/>
        <v>ВВГнг(А)-LS (3х2,5) L=42-0,26%</v>
      </c>
      <c r="DT279">
        <f t="shared" si="391"/>
        <v>0.18</v>
      </c>
      <c r="DU279">
        <f t="shared" si="392"/>
        <v>0.83</v>
      </c>
      <c r="DV279">
        <f t="shared" si="393"/>
        <v>1</v>
      </c>
      <c r="DW279">
        <f>IF(AT279="",0,_xlfn.LET(_xlpm.v,IFERROR(VLOOKUP(D279,УГО_спр,3,FALSE),IFERROR(VLOOKUP(AT279,УГО_спр,3,FALSE),IFERROR(VLOOKUP(LEFT(AT279,2),УГО_спр,3,FALSE),""))),IF(_xlpm.v="да",30,IF(ISNUMBER(_xlpm.v),_xlpm.v,0))))</f>
        <v>30</v>
      </c>
      <c r="DX279">
        <f t="shared" si="394"/>
        <v>0</v>
      </c>
      <c r="DY279">
        <f>IF(BD279="","",IF(AD279&lt;&gt;"",COUNTIFS(A$3:A279,A279,AD$3:AD279,"?*"),IF(OR(OR(AS279=1,A279&lt;&gt;A278),AL279="вручную"),"",IF(AS279=1,"",DZ278))))</f>
        <v>55</v>
      </c>
      <c r="DZ279">
        <f t="shared" si="395"/>
        <v>55</v>
      </c>
      <c r="EA279">
        <f>IF(D279="",0,MAX(IFERROR(--X279,0),IFERROR(--VLOOKUP(D279,УГО_спр,4,FALSE),IFERROR(--VLOOKUP(AT279,УГО_спр,4,FALSE),IFERROR(--VLOOKUP(LEFT(AT279,2),УГО_спр,4,FALSE),0)))))</f>
        <v>16</v>
      </c>
      <c r="EB279">
        <f>IF(D279="","",IFERROR(LOOKUP(INDEX(CHOOSE(BR279,Iдоп_1ж,Iдоп_2ж,Iдоп_3ж),MATCH(BS279,Iдоп_S,0))*BP279*BQ279,{6,10,16,20,25,32,40,50,63,80,100,125,160,200,250,315,400,500,630}),""))</f>
        <v>25</v>
      </c>
      <c r="EC279">
        <f>IF(AD279="","",SUMIFS(Линии[_Ток схемы],Линии[_гр.],DY279,Линии[Щит],A279,Линии[_в кабель выше],0))</f>
        <v>0.83</v>
      </c>
      <c r="ED279">
        <f>IF(AD279="","",IFERROR(VLOOKUP(EC279,Автомат_номиналы,2,TRUE),""))</f>
        <v>6</v>
      </c>
      <c r="EE279">
        <f>IF(AD279="","",MAX(N(ED279),_xlfn.MAXIFS(Линии[_мин. по типу],Линии[_гр.],DY279,Линии[Щит],A279)))</f>
        <v>16</v>
      </c>
      <c r="EF279">
        <f>IF(AD279="","",_xlfn.MINIFS(Линии[_макс. автомат по кабелю],Линии[_гр.],DY279,Линии[Щит],A279))</f>
        <v>25</v>
      </c>
      <c r="EG279">
        <f>IF(AD279="","",MAX(1,_xlfn.MAXIFS(Линии[_фаз],Линии[_гр.],DY279,Линии[Щит],A279)))</f>
        <v>1</v>
      </c>
      <c r="EH279">
        <f>IF(AD279="","",IF(AND(AD279&lt;&gt;"авто",AD279&lt;&gt;"+"),IF(ISNUMBER(SEARCH("мА",AD279)),IFERROR(--TRIM(RIGHT(SUBSTITUTE(LEFT(AD279,SEARCH("мА",AD279)-1)," ",REPT(" ",9)),6)),30),0),IF(AE279="нет",0,IF(ISNUMBER(AE279),AE279,IF(AE279="да",30,_xlfn.MINIFS(Линии[_дифзащита по коду, мА],Линии[_гр.],DY279,Линии[Щит],A279,Линии[_дифзащита по коду, мА],"&gt;0"))))))</f>
        <v>30</v>
      </c>
      <c r="EI279">
        <f t="shared" si="396"/>
        <v>1</v>
      </c>
      <c r="EJ279" t="str">
        <f t="shared" si="397"/>
        <v>QFD55</v>
      </c>
      <c r="EK279" t="str">
        <f t="shared" si="398"/>
        <v>QFD55</v>
      </c>
      <c r="EL279" t="str">
        <f t="shared" si="399"/>
        <v/>
      </c>
      <c r="EM279">
        <f t="shared" si="400"/>
        <v>0</v>
      </c>
      <c r="EN279">
        <f>IF(AD279="","",IF(EM279=1,MAX(EE279,Мин_автомат_БП),EE279))</f>
        <v>16</v>
      </c>
      <c r="EO279" t="str">
        <f t="shared" si="401"/>
        <v>2P</v>
      </c>
      <c r="EP279" t="str">
        <f t="shared" si="402"/>
        <v>2P С16А 30мА</v>
      </c>
      <c r="EQ279">
        <f t="shared" si="403"/>
        <v>16</v>
      </c>
      <c r="ER279" t="str">
        <f>IF(OR(AI279="",AI279="-"),"",IFERROR(VLOOKUP(AI279,Модули_спр,2,FALSE),"R"))</f>
        <v/>
      </c>
      <c r="ES279" t="str">
        <f>IF(ER279="","",ER279&amp;"."&amp;COUNTIFS(A$3:A279,A279,ER$3:ER279,ER279))</f>
        <v/>
      </c>
      <c r="ET279" t="str">
        <f t="shared" si="404"/>
        <v/>
      </c>
      <c r="EU279" t="str">
        <f t="shared" si="405"/>
        <v/>
      </c>
      <c r="EV279" t="str">
        <f t="shared" si="406"/>
        <v/>
      </c>
      <c r="EW279" t="str">
        <f t="shared" si="407"/>
        <v/>
      </c>
      <c r="EX279">
        <f t="shared" si="408"/>
        <v>1</v>
      </c>
      <c r="EY279" t="str">
        <f>IF(AK279="нет","",IF(AK279&lt;&gt;"",AK279,IF(EX279=1,"XT"&amp;COUNTIFS(A$3:A279,A279,EX$3:EX279,1),"")))</f>
        <v>XT55</v>
      </c>
      <c r="EZ279" t="str">
        <f t="shared" si="409"/>
        <v>QFD55</v>
      </c>
      <c r="FA279" t="str">
        <f t="shared" si="410"/>
        <v/>
      </c>
      <c r="FB279" t="str">
        <f t="shared" si="411"/>
        <v>ok</v>
      </c>
      <c r="FC279" t="str">
        <f>IF(OR(EV279="",ET279=""),"",IF(EV279&gt;IFERROR(VLOOKUP(EU279,Модули_спр,3,FALSE),99),"ЛИШНИЙ КАНАЛ",IF(AND(AJ279&lt;&gt;"=",COUNTIFS(Линии[_модуль гр.],ET279,Линии[Канал (итог)],EV279,Линии[Канал],"&lt;&gt;=",Линии[Щит],A279)&gt;1),"ДУБЛЬ КАНАЛА","")))</f>
        <v/>
      </c>
      <c r="FD279">
        <f t="shared" si="412"/>
        <v>16</v>
      </c>
      <c r="FE279" t="str">
        <f t="shared" si="413"/>
        <v>2P С16А 30мА</v>
      </c>
      <c r="FF279">
        <f t="shared" si="414"/>
        <v>1</v>
      </c>
      <c r="FG279">
        <f t="shared" si="415"/>
        <v>30</v>
      </c>
      <c r="FH279" t="str">
        <f t="shared" si="416"/>
        <v/>
      </c>
      <c r="FI279">
        <f t="shared" si="417"/>
        <v>10</v>
      </c>
      <c r="FJ279" t="str">
        <f t="shared" si="418"/>
        <v/>
      </c>
      <c r="FK279" t="str">
        <f>IF(AND(D279="",EZ279=""),"",_xlfn.TEXTJOIN("; ",TRUE,IF(AND(D279&lt;&gt;"",DD279=""),"нет фазы",""),IF(AND(D279&lt;&gt;"",N(DT279)=0,CN279&lt;&gt;"Нет"),"нет мощности",""),IF(AND(EY279&lt;&gt;"",COUNTIFS(Линии[Щит],A279,Линии[Клемма (итог)],EY279)&gt;1),"дубль клеммы "&amp;EY279,""),IF(AND(FB279&lt;&gt;"",FB279&lt;&gt;"ok"),FB279,""),IF(FC279&lt;&gt;"",FC279,""),IF(AND(ISNUMBER(SEARCH("(5х",DS279)),N(DV279)=1),"5 жил на 1 фазе",""),IF(AND(AT279="R",AD279&lt;&gt;"",OR(N(EH279)=0,N(EH279)&gt;30)),"розетка без дифзащиты до 30 мА",""),IFERROR(IF(AND(ISNUMBER(CD279),CD279&gt;CE279),"потери "&amp;FIXED(CD279,1)&amp;" % &gt; "&amp;CE279&amp;" %",""),""),IFERROR(IF(LEFT(FJ279,4)="мало","Iкз мало — отключение &gt; 0,4 с",""),""),IF(AND(D279&lt;&gt;"",BD279=""),"не на схеме","")))</f>
        <v/>
      </c>
      <c r="FL279">
        <f>IF(AD279="","",_xlfn.LET(_xlpm.t,IFERROR(_xlfn.XLOOKUP(EP279,Каталог!$U$4:$U$500,Каталог!$G$4:$G$500),""),_xlpm.k,SEARCH("кА",_xlpm.t),IFERROR(--TRIM(RIGHT(SUBSTITUTE(MID(_xlpm.t,MAX(1,_xlpm.k-4),_xlpm.k-MAX(1,_xlpm.k-4))," ",REPT(" ",9)),5)),"")))</f>
        <v>6</v>
      </c>
      <c r="FM279" t="str">
        <f>IF(OR(FL279="",AD279=""),"",IF(_xlfn.XLOOKUP(A279,Щиты[Щит],Щиты[Iкз max на шинах, кА],"")="","",IF(FL279&lt;_xlfn.XLOOKUP(A279,Щиты[Щит],Щиты[Iкз max на шинах, кА]),"Icu "&amp;FL279&amp;" кА &lt; Iкз max","ok")))</f>
        <v/>
      </c>
      <c r="FN279" t="str">
        <f t="shared" si="419"/>
        <v>QFD55|XT55</v>
      </c>
      <c r="FO279" t="str">
        <f t="shared" si="420"/>
        <v>QFD55|XT55|кабель ВВГнг(А)-LS (3х2,5) → Розеточная группа Первый этаж Пом. №021A</v>
      </c>
      <c r="FP279" t="str" cm="1">
        <f t="array" ref="FP279">IF(FO279="","",_xlfn.LET(_xlpm.nd,_xlfn.TEXTSPLIT(FO279,"|"),IF(COLUMNS(_xlpm.nd)&gt;1,A279&amp;"¦"&amp;INDEX(_xlpm.nd,1)&amp;"¦"&amp;INDEX(_xlpm.nd,2),"")))</f>
        <v>ЩР-1¦QFD55¦XT55</v>
      </c>
      <c r="FQ279" t="str">
        <f t="shared" si="421"/>
        <v>R.1.021A.5¦Розеточная группа Первый этаж Пом. №021A</v>
      </c>
      <c r="FR279" t="str" cm="1">
        <f t="array" ref="FR279">IF(FO279="","",_xlfn.LET(_xlpm.nd,_xlfn.TEXTSPLIT(FO279,"|"),IF(COLUMNS(_xlpm.nd)&gt;2,A279&amp;"¦"&amp;INDEX(_xlpm.nd,2)&amp;"¦"&amp;INDEX(_xlpm.nd,3),"")))</f>
        <v>ЩР-1¦XT55¦кабель ВВГнг(А)-LS (3х2,5) → Розеточная группа Первый этаж Пом. №021A</v>
      </c>
      <c r="FS279" t="str">
        <f t="shared" si="422"/>
        <v>R.1.021A.5¦Розеточная группа Первый этаж Пом. №021A</v>
      </c>
      <c r="FT279" t="str" cm="1">
        <f t="array" ref="FT279">IF(FO279="","",_xlfn.LET(_xlpm.nd,_xlfn.TEXTSPLIT(FO279,"|"),IF(COLUMNS(_xlpm.nd)&gt;3,A279&amp;"¦"&amp;INDEX(_xlpm.nd,3)&amp;"¦"&amp;INDEX(_xlpm.nd,4),"")))</f>
        <v/>
      </c>
      <c r="FU279" t="str">
        <f t="shared" si="423"/>
        <v/>
      </c>
      <c r="FV279" t="str" cm="1">
        <f t="array" ref="FV279">IF(FO279="","",_xlfn.LET(_xlpm.nd,_xlfn.TEXTSPLIT(FO279,"|"),IF(COLUMNS(_xlpm.nd)&gt;4,A279&amp;"¦"&amp;INDEX(_xlpm.nd,4)&amp;"¦"&amp;INDEX(_xlpm.nd,5),"")))</f>
        <v/>
      </c>
      <c r="FW279" t="str">
        <f t="shared" si="424"/>
        <v/>
      </c>
      <c r="FX279" t="str" cm="1">
        <f t="array" ref="FX279">IF(FO279="","",_xlfn.LET(_xlpm.nd,_xlfn.TEXTSPLIT(FO279,"|"),IF(COLUMNS(_xlpm.nd)&gt;5,A279&amp;"¦"&amp;INDEX(_xlpm.nd,5)&amp;"¦"&amp;INDEX(_xlpm.nd,6),"")))</f>
        <v/>
      </c>
      <c r="FY279" t="str">
        <f t="shared" si="425"/>
        <v/>
      </c>
      <c r="FZ279" t="str" cm="1">
        <f t="array" ref="FZ279">IF(FO279="","",_xlfn.LET(_xlpm.nd,_xlfn.TEXTSPLIT(FO279,"|"),IF(COLUMNS(_xlpm.nd)&gt;6,A279&amp;"¦"&amp;INDEX(_xlpm.nd,6)&amp;"¦"&amp;INDEX(_xlpm.nd,7),"")))</f>
        <v/>
      </c>
      <c r="GA279" t="str">
        <f t="shared" si="426"/>
        <v/>
      </c>
      <c r="GB279" t="str">
        <f t="shared" si="427"/>
        <v/>
      </c>
      <c r="GC279" t="str">
        <f t="shared" si="428"/>
        <v>QFD55 → XT55</v>
      </c>
      <c r="GD279">
        <f t="shared" si="429"/>
        <v>1</v>
      </c>
      <c r="GE279">
        <f t="shared" si="430"/>
        <v>0</v>
      </c>
      <c r="GF279">
        <f t="shared" si="431"/>
        <v>1</v>
      </c>
      <c r="GG279" t="str">
        <f t="shared" si="432"/>
        <v/>
      </c>
      <c r="GH279" t="str">
        <f t="shared" si="433"/>
        <v/>
      </c>
      <c r="GI279" t="str">
        <f t="shared" si="434"/>
        <v/>
      </c>
      <c r="GJ279" t="str">
        <f t="shared" si="435"/>
        <v/>
      </c>
      <c r="GK279" t="str">
        <f>IF(D279="","",IFERROR(VLOOKUP(D279,УГО_спр,2,FALSE),IFERROR(VLOOKUP(AT279,УГО_спр,2,FALSE),IFERROR(VLOOKUP(LEFT(AT279,2),УГО_спр,2,FALSE),""))))</f>
        <v>Розетка</v>
      </c>
      <c r="GL279" t="str">
        <f>IF(D279="","",IF(OR(GK279="",GK279=0),"BOX",IFERROR(IF(VLOOKUP(GK279,УГО_блоки,3,FALSE)&amp;""&lt;&gt;"",VLOOKUP(GK279,УГО_блоки,3,FALSE),VLOOKUP(GK279,УГО_блоки,2,FALSE)),GK279)))</f>
        <v>SOCKET</v>
      </c>
      <c r="GM279">
        <f t="shared" si="436"/>
        <v>1</v>
      </c>
      <c r="GN279" t="str">
        <f>IF(EP279="","",IF(COUNTIF(EP$3:EP279,EP279)=1,MAX(GN$2:GN278)+1,""))</f>
        <v/>
      </c>
      <c r="GO279" t="str">
        <f>IF(AF279="","",IF(COUNTIF(AF$3:AF279,AF279)+COUNTIF(AG$2:AG278,AF279)+COUNTIF(AH$2:AH278,AF279)=1,MAX(GO$2:GQ278)+1,""))</f>
        <v/>
      </c>
      <c r="GP279" t="str">
        <f>IF(AG279="","",IF(COUNTIF(AF$3:AF279,AG279)+COUNTIF(AG$3:AG279,AG279)+COUNTIF(AH$2:AH278,AG279)=1,MAX(GO$2:GQ278,GO279)+1,""))</f>
        <v/>
      </c>
      <c r="GQ279" t="str">
        <f>IF(AH279="","",IF(COUNTIF(AF$3:AF279,AH279)+COUNTIF(AG$3:AG279,AH279)+COUNTIF(AH$3:AH279,AH279)=1,MAX(GO$2:GQ278,GO279,GP279)+1,""))</f>
        <v/>
      </c>
      <c r="GR279" t="str">
        <f t="shared" si="437"/>
        <v>3х2,5</v>
      </c>
      <c r="GS279" t="str">
        <f>IF(GR279="","",IF(COUNTIF(GR$3:GR279,GR279)=1,MAX(GS$2:GS278)+1,""))</f>
        <v/>
      </c>
      <c r="GT279" t="str">
        <f>IF(ES279="","",COUNTIF(ES$3:ES279,"?*"))</f>
        <v/>
      </c>
      <c r="GU279" t="str">
        <f>IF(OR(ES279="",EU279=""),"",IF(COUNTIFS(ES$3:ES279,"?*",EU$3:EU279,EU279)=1,MAX(GU$2:GU278)+1,""))</f>
        <v/>
      </c>
      <c r="GV279">
        <f t="shared" si="438"/>
        <v>0</v>
      </c>
      <c r="GW279">
        <f>IF(D279="","",COUNTIF(D$3:D279,"?*"))</f>
        <v>277</v>
      </c>
      <c r="GX279">
        <f>IF(EX279&lt;&gt;1,0,_xlfn.LET(_xlpm.k,MAX(IFERROR(--VLOOKUP(D279,УГО_спр,5,FALSE),0),IFERROR(--VLOOKUP(AT279,УГО_спр,5,FALSE),0),IFERROR(--VLOOKUP(LEFT(AT279,2),УГО_спр,5,FALSE),0)),IF(_xlpm.k&gt;0,_xlpm.k,IF(IFERROR(--LEFT(SUBSTITUTE(GR279,"x","х"),FIND("х",SUBSTITUTE(GR279,"x","х"))-1),3)&gt;3,Каталог!$S$9,1))))</f>
        <v>1</v>
      </c>
      <c r="GY279">
        <f t="shared" si="439"/>
        <v>0</v>
      </c>
    </row>
    <row r="280" spans="1:207" x14ac:dyDescent="0.3">
      <c r="A280" t="s">
        <v>762</v>
      </c>
      <c r="B280">
        <v>72</v>
      </c>
      <c r="C280" t="str">
        <f>IF(BD280="","",IF(BE280="вводной узел","узел ","")&amp;"л."&amp;(INT((BD280-1)/Столбцов_на_лист)+1)&amp;" / "&amp;(MOD(BD280-1,Столбцов_на_лист)+1))</f>
        <v>л.5 / 4</v>
      </c>
      <c r="D280" t="s">
        <v>1612</v>
      </c>
      <c r="E280" s="133" t="s">
        <v>1613</v>
      </c>
      <c r="H280">
        <v>1</v>
      </c>
      <c r="I280">
        <v>1</v>
      </c>
      <c r="J280">
        <v>230</v>
      </c>
      <c r="K280" t="s">
        <v>566</v>
      </c>
      <c r="O280">
        <v>1</v>
      </c>
      <c r="P280">
        <v>47</v>
      </c>
      <c r="Q280">
        <v>20</v>
      </c>
      <c r="R280">
        <v>30</v>
      </c>
      <c r="S280">
        <v>0</v>
      </c>
      <c r="U280" t="s">
        <v>11</v>
      </c>
      <c r="V280">
        <v>3</v>
      </c>
      <c r="W280">
        <v>2.5</v>
      </c>
      <c r="Z280" t="s">
        <v>565</v>
      </c>
      <c r="AA280" t="s">
        <v>818</v>
      </c>
      <c r="AD280" t="s">
        <v>517</v>
      </c>
      <c r="AR280" t="str">
        <f t="shared" si="353"/>
        <v>нет мощности</v>
      </c>
      <c r="AS280" cm="1">
        <f t="array" ref="AS280">ROW()-ROW(Линии[#Headers])</f>
        <v>278</v>
      </c>
      <c r="AT280" t="str">
        <f t="shared" si="354"/>
        <v>R</v>
      </c>
      <c r="AU280" t="str">
        <f t="shared" si="355"/>
        <v>1.020A.1</v>
      </c>
      <c r="AV280" t="str">
        <f t="shared" si="356"/>
        <v>1</v>
      </c>
      <c r="AW280" t="str">
        <f t="shared" si="357"/>
        <v>020A.1</v>
      </c>
      <c r="AX280" t="str">
        <f t="shared" si="358"/>
        <v>020A</v>
      </c>
      <c r="AY280" t="str">
        <f>IF(D280="","",IF(ISERROR(SEARCH(".",D280)),IFERROR(VLOOKUP(D280,Потребители_обозначение,2,FALSE)&amp;"",""),IFERROR(IF(VLOOKUP(AT280,Потребители_обозначение,4,FALSE)=1,VLOOKUP(AT280,Потребители_обозначение,2,FALSE)&amp;" "&amp;VLOOKUP(AV280,Этаж_обозначение,2,FALSE)&amp;" Пом. №"&amp;AX280,VLOOKUP(AT280,Потребители_обозначение,2,FALSE)&amp;" Шлейф №"&amp;AV280),IFERROR(VLOOKUP(D280,Потребители_обозначение,2,FALSE),""))))</f>
        <v>Розеточная группа Первый этаж Пом. №020A</v>
      </c>
      <c r="AZ280" t="str">
        <f t="shared" si="359"/>
        <v>Розеточная группа Первый этаж Пом. №020A Холодильник, морозильная камера</v>
      </c>
      <c r="BA280" t="str">
        <f>IF(F280&lt;&gt;"",F280,IF(AND(D280&lt;&gt;"",D280&lt;&gt;A280,ISNUMBER(_xlfn.XMATCH(D280,Щиты[Щит]))),D280,""))</f>
        <v/>
      </c>
      <c r="BB280">
        <f>IFERROR(_xlfn.XMATCH(A280,Щиты[Щит]),0)</f>
        <v>10</v>
      </c>
      <c r="BC280">
        <f>IFERROR(N(_xlfn.XLOOKUP(A280,Щиты[Щит],Щиты[Мест под вводной узел])),15)</f>
        <v>8</v>
      </c>
      <c r="BD280">
        <f t="shared" si="360"/>
        <v>72</v>
      </c>
      <c r="BE280" t="str">
        <f t="shared" si="361"/>
        <v>линии</v>
      </c>
      <c r="BF280">
        <f>IF(D280="","",IF(BA280&lt;&gt;"",IFERROR(_xlfn.XLOOKUP(BA280,Щиты[Щит],Щиты[Руст, кВт]),0),N(G280)))</f>
        <v>0</v>
      </c>
      <c r="BG280">
        <f>IF(J280&lt;&gt;"",J280,IF(D280="","",IFERROR(IF(VLOOKUP(AT280,Потребители_обозначение,8,FALSE)=0,"",VLOOKUP(AT280,Потребители_обозначение,8,FALSE)),"")))</f>
        <v>230</v>
      </c>
      <c r="BH280">
        <f>IF(I280&lt;&gt;"",I280,IF(D280="","",IFERROR(IF(VLOOKUP(AT280,Потребители_обозначение,9,FALSE)=0,"",VLOOKUP(AT280,Потребители_обозначение,9,FALSE)),"")))</f>
        <v>1</v>
      </c>
      <c r="BI280" t="str">
        <f>IF(U280&lt;&gt;"",U280,IF(D280="","",IFERROR(IF(VLOOKUP(AT280,Потребители_обозначение,6,FALSE)=0,"",VLOOKUP(AT280,Потребители_обозначение,6,FALSE)),"")))</f>
        <v>мс</v>
      </c>
      <c r="BJ280">
        <f>IF(V280&lt;&gt;"",V280,IF(D280="","",IFERROR(IF(VLOOKUP(AT280,Потребители_обозначение,7,FALSE)=0,"",VLOOKUP(AT280,Потребители_обозначение,7,FALSE)),"")))</f>
        <v>3</v>
      </c>
      <c r="BK280">
        <f>IF(W280&lt;&gt;"",W280,IF(D280="","",IFERROR(IF(VLOOKUP(AT280,Потребители_обозначение,10,FALSE)=0,"",VLOOKUP(AT280,Потребители_обозначение,10,FALSE)),"")))</f>
        <v>2.5</v>
      </c>
      <c r="BL280">
        <f>IFERROR(VLOOKUP(AT280,Потребители_обозначение,5,FALSE),0)</f>
        <v>1</v>
      </c>
      <c r="BM280" cm="1">
        <f t="array" ref="BM280">IF(D280="","",IF(BA280&lt;&gt;"",IFERROR(_xlfn.XLOOKUP(BA280,Щиты[Щит],Щиты[cos φ]),0.95),IF(ISNUMBER(M280),M280,IFERROR(IF(BL280=2,_xlfn.IFS(BH280=3,VLOOKUP(BF280,Справочная_двигатели,8,FALSE),BH280=1,VLOOKUP(BF280,Справочная_двигатели,10,TRUE)),IF(AND(Методика="нормы 2026",CN280="Сил"),0.8,0.95)),0.95))))</f>
        <v>0.95</v>
      </c>
      <c r="BN280" cm="1">
        <f t="array" ref="BN280">IF(D280="","",IF(BA280&lt;&gt;"",IFERROR(_xlfn.XLOOKUP(BA280,Щиты[Щит],Щиты[Iр, А]),""),IFERROR(_xlfn.IFS(BH280=1,BF280/((Uн_лин/SQRT(3))*BM280),BH280=3,BF280/(SQRT(3)*Uн_лин*BM280)),"")))</f>
        <v>0</v>
      </c>
      <c r="BO280">
        <f>IF(D280="","",IF(N(X280)=0,IFERROR(VLOOKUP(BN280,Автомат_номиналы,2,TRUE),""),X280))</f>
        <v>6</v>
      </c>
      <c r="BP280">
        <f t="shared" si="362"/>
        <v>1</v>
      </c>
      <c r="BQ280">
        <f>IF(ISNUMBER(Y280),Y280,К_прокл)</f>
        <v>1</v>
      </c>
      <c r="BR280">
        <f t="shared" si="363"/>
        <v>2</v>
      </c>
      <c r="BS280" cm="1">
        <f t="array" ref="BS280">IF(D280="","",IF(N(BK280)&lt;&gt;0,BK280,IFERROR(_xlfn.LET(_xlpm.need,BO280/(BP280*BQ280),_xlpm.t,CHOOSE(BR280,Iдоп_1ж,Iдоп_2ж,Iдоп_3ж),_xlpm.k,_xlfn.XMATCH(_xlpm.need,_xlpm.t,1),IF(ISNA(_xlpm.k),"Не исп",INDEX(Iдоп_S,_xlpm.k))),"Не исп")))</f>
        <v>2.5</v>
      </c>
      <c r="BT280">
        <f>IFERROR(VLOOKUP(BS280,Кабель_сопротивление,3,FALSE),"")</f>
        <v>2.2499999999999999E-2</v>
      </c>
      <c r="BU280">
        <f>IFERROR(VLOOKUP(BS280,Кабель_сопротивление,2,FALSE),"")</f>
        <v>0.1</v>
      </c>
      <c r="BV280">
        <f t="shared" si="364"/>
        <v>47</v>
      </c>
      <c r="BW280">
        <f>IF(D280="","",IFERROR(IF(VLOOKUP(AT280,Потребители_обозначение,4,FALSE)=1,VLOOKUP(AT280,Потребители_обозначение,3,FALSE)*(H280*2-1)+BV280+VLOOKUP(AV280,Этаж_обозначение,3,FALSE)+VLOOKUP(AV280,Этаж_обозначение,4,FALSE),VLOOKUP(AT280,Потребители_обозначение,3,FALSE)*(H280*2-1)+BV280),BV280))</f>
        <v>50</v>
      </c>
      <c r="BX280">
        <f t="shared" si="365"/>
        <v>30</v>
      </c>
      <c r="BY280">
        <f t="shared" si="366"/>
        <v>0</v>
      </c>
      <c r="BZ280">
        <f t="shared" si="367"/>
        <v>2</v>
      </c>
      <c r="CA280">
        <f t="shared" si="368"/>
        <v>0.31</v>
      </c>
      <c r="CB280">
        <f t="shared" si="369"/>
        <v>0</v>
      </c>
      <c r="CC280">
        <f>IFERROR(ROUNDUP(CB280/((Uн_лин/SQRT(3))*1000)*100,2),"")</f>
        <v>0</v>
      </c>
      <c r="CD280">
        <f>IF(ISNUMBER(CC280),CC280+IFERROR(_xlfn.XLOOKUP(A280,Щиты[Щит],Щиты[ΔU до шин, %]),0),"")</f>
        <v>1.25</v>
      </c>
      <c r="CE280">
        <f>IF(D280="","",IF(IFERROR(VLOOKUP(AT280,УГО_спр,2,FALSE),"")="Светильник",3,4)+IF(Методика="нормы 2026",MIN(0.5,MAX(0,N(BW280)-100)*0.005),0))</f>
        <v>4</v>
      </c>
      <c r="CF280" t="str">
        <f>IFERROR(VLOOKUP(BI280,Кабель_обозначение,2,FALSE),"")</f>
        <v>ВВГнг(А)-LS</v>
      </c>
      <c r="CG280" t="str">
        <f>IFERROR(IF(VLOOKUP(BI280,Кабель_обозначение,3,FALSE)=1,CF280&amp;" ("&amp;BJ280&amp;"х"&amp;BS280&amp;")",CF280),"")</f>
        <v>ВВГнг(А)-LS (3х2,5)</v>
      </c>
      <c r="CH280" t="str">
        <f t="shared" si="370"/>
        <v>ВВГнг(А)-LS (3х2,5)
L=50-0%</v>
      </c>
      <c r="CI280">
        <f>IFERROR(2*ρкз_Cu*BW280/BS280,"")</f>
        <v>1.052</v>
      </c>
      <c r="CJ280">
        <f t="shared" si="371"/>
        <v>0.35000000000000003</v>
      </c>
      <c r="CK280" t="str">
        <f>IFERROR(IF(OR(D280="",NOT(ISNUMBER(BS280)),N(BW280)=0),"",_xlfn.XLOOKUP(A280,Щиты[Щит],Щиты[Zпетли на шинах, Ом])+CI280),"")</f>
        <v/>
      </c>
      <c r="CL280" t="str">
        <f>IF(ISNUMBER(CK280),c_min*(Uн_лин*1000/SQRT(3))/CK280,"")</f>
        <v/>
      </c>
      <c r="CM280" t="str">
        <f>IFERROR(IF(OR(D280="",NOT(ISNUMBER(BS280))),"",1.05*(Uн_лин*1000/SQRT(3))/(_xlfn.XLOOKUP(A280,Щиты[Щит],Щиты[Zmax на шинах, Ом])+CJ280)/1000),"")</f>
        <v/>
      </c>
      <c r="CN280" t="str">
        <f>IF(D280="","",IF(BA280&lt;&gt;"","Щит",IF(K280&lt;&gt;"",K280,IF(ISNUMBER(L280),"Сил",IF(IFERROR(_xlfn.XLOOKUP(AT280,Коды_код,Коды_группа)&amp;"","")="","Быт",_xlfn.XLOOKUP(AT280,Коды_код,Коды_группа)&amp;"")))))</f>
        <v>Быт</v>
      </c>
      <c r="CO280">
        <f>IF(CN280="Щит","щит",IF(CN280="","",IF(CN280="Быт",IFERROR(_xlfn.XLOOKUP(A280,Щиты[Щит],Щиты[Кс быт]),1),IF(CN280="Сил",IF(ISNUMBER(L280),L280,IF(Методика="нормы 2026",IFERROR(_xlfn.XLOOKUP(A280,Щиты[Щит],Щиты[Кс силовых (табл. 7.5)]),1),1)),IF(OR(CN280="Пост",CN280="Отоп"),1,IF(CN280="ВНГ",0.7,0))))))</f>
        <v>0.57830000000000004</v>
      </c>
      <c r="CP280">
        <f t="shared" si="372"/>
        <v>1</v>
      </c>
      <c r="CQ280">
        <f t="shared" si="373"/>
        <v>0</v>
      </c>
      <c r="CR280">
        <f t="shared" si="374"/>
        <v>0</v>
      </c>
      <c r="CS280">
        <f t="shared" si="375"/>
        <v>0</v>
      </c>
      <c r="CT280">
        <f t="shared" si="376"/>
        <v>0</v>
      </c>
      <c r="CU280">
        <f t="shared" si="377"/>
        <v>0</v>
      </c>
      <c r="CV280">
        <f t="shared" si="378"/>
        <v>0</v>
      </c>
      <c r="CW280">
        <f t="shared" si="379"/>
        <v>0</v>
      </c>
      <c r="CX280">
        <f t="shared" si="380"/>
        <v>0</v>
      </c>
      <c r="CY280">
        <f t="shared" si="381"/>
        <v>1</v>
      </c>
      <c r="CZ280" t="str">
        <f t="shared" si="382"/>
        <v>L1</v>
      </c>
      <c r="DA280" cm="1">
        <f t="array" ref="DA280">IFERROR(IF(BL280=2,_xlfn.IFS(BH280=3,VLOOKUP(BF280,Справочная_двигатели,3,FALSE),BH280=1,VLOOKUP(BF280,Справочная_двигатели,5,TRUE)),0),0)</f>
        <v>0</v>
      </c>
      <c r="DB280">
        <f>IFERROR(IF(BL280=3,VLOOKUP(BF280,Справочная_ЛЭД,2,TRUE),0),0)</f>
        <v>0</v>
      </c>
      <c r="DC280">
        <f t="shared" si="383"/>
        <v>0</v>
      </c>
      <c r="DD280" t="str">
        <f t="shared" si="384"/>
        <v>L1</v>
      </c>
      <c r="DE280" t="str" cm="1">
        <f t="array" ref="DE280">IF(D280="","",IFERROR(INDEX({"I особая","I","II","III"},MATCH(TRIM(AA280&amp;""),{"I особая","I","II","III"},0)),"III"))</f>
        <v>II</v>
      </c>
      <c r="DF280" t="str">
        <f>IF(D280="","",IF(TRIM(AB280&amp;"")&lt;&gt;"",IF(LOWER(TRIM(AB280&amp;""))="да","да","нет"),IF(IFERROR(_xlfn.XLOOKUP(AT280,Коды_код,Коды_пожарная),"")="да","да","нет")))</f>
        <v>нет</v>
      </c>
      <c r="DG280" t="str">
        <f t="shared" si="385"/>
        <v/>
      </c>
      <c r="DH280" t="str">
        <f t="shared" si="386"/>
        <v>основная</v>
      </c>
      <c r="DI280">
        <f t="shared" si="387"/>
        <v>1</v>
      </c>
      <c r="DJ280" t="str" cm="1">
        <f t="array" ref="DJ280">IF(D280="","",_xlfn.LET(_xlpm.t,IFERROR(_xlfn.XLOOKUP(1,(Шины[Шина]=DH280)*(((Шины[Щит]=A280)+(Шины[Щит]=""))&gt;0),Шины[Тип]),"")&amp;"",IF(_xlpm.t&lt;&gt;"",_xlpm.t,IF(ISNUMBER(SEARCH("ИБП",DH280)),"ИБП",IF(ISNUMBER(SEARCH("ДГУ",DH280)),"ДГУ","Ввод "&amp;DI280)))))</f>
        <v>Ввод 1</v>
      </c>
      <c r="DK280" t="str">
        <f t="shared" si="388"/>
        <v>Ввод 1</v>
      </c>
      <c r="DL280" t="str">
        <f>IF(D280="","",IF(OR(DJ280="ИБП",DJ280="ДГУ"),"I особая",IF(DJ280="Одиночная","III",_xlfn.XLOOKUP(A280,Щиты[Щит],Щиты[Категория шины «Ввод»],"III"))))</f>
        <v>II</v>
      </c>
      <c r="DM280">
        <f>IF(D280="",0,IFERROR(MATCH(DE280,{"III","II","I","I особая"},0),1))</f>
        <v>2</v>
      </c>
      <c r="DN280">
        <f t="shared" si="389"/>
        <v>2</v>
      </c>
      <c r="DO280" t="str">
        <f>IF(D280="","",IF(DM280&gt;IFERROR(MATCH(DL280,{"III","II","I","I особая"},0),1),"НЕ ОБЕСПЕЧЕНА","ОК"))</f>
        <v>ОК</v>
      </c>
      <c r="DP280" t="str">
        <f>IF(A280="","",_xlfn.XLOOKUP(A280,Щиты[Щит],Щиты[Путь],""))</f>
        <v>|ГРЩ-ЖД|ЩР-1|</v>
      </c>
      <c r="DQ280" t="str">
        <f>IF(D280="","",IF(Z280&lt;&gt;"",Z280,IF(IFERROR(_xlfn.XLOOKUP(AT280,Коды_код,Коды_вид)&amp;"","")="","Прочее",_xlfn.XLOOKUP(AT280,Коды_код,Коды_вид)&amp;"")))</f>
        <v>Розеточная сеть и бытовые приборы</v>
      </c>
      <c r="DR280">
        <f>IF(BD280="","",INT((BD280-1)/Столбцов_на_лист)+1)</f>
        <v>5</v>
      </c>
      <c r="DS280" t="str">
        <f t="shared" si="390"/>
        <v>ВВГнг(А)-LS (3х2,5) L=50-0%</v>
      </c>
      <c r="DT280">
        <f t="shared" si="391"/>
        <v>0</v>
      </c>
      <c r="DU280">
        <f t="shared" si="392"/>
        <v>0</v>
      </c>
      <c r="DV280">
        <f t="shared" si="393"/>
        <v>1</v>
      </c>
      <c r="DW280">
        <f>IF(AT280="",0,_xlfn.LET(_xlpm.v,IFERROR(VLOOKUP(D280,УГО_спр,3,FALSE),IFERROR(VLOOKUP(AT280,УГО_спр,3,FALSE),IFERROR(VLOOKUP(LEFT(AT280,2),УГО_спр,3,FALSE),""))),IF(_xlpm.v="да",30,IF(ISNUMBER(_xlpm.v),_xlpm.v,0))))</f>
        <v>30</v>
      </c>
      <c r="DX280">
        <f t="shared" si="394"/>
        <v>0</v>
      </c>
      <c r="DY280">
        <f>IF(BD280="","",IF(AD280&lt;&gt;"",COUNTIFS(A$3:A280,A280,AD$3:AD280,"?*"),IF(OR(OR(AS280=1,A280&lt;&gt;A279),AL280="вручную"),"",IF(AS280=1,"",DZ279))))</f>
        <v>56</v>
      </c>
      <c r="DZ280">
        <f t="shared" si="395"/>
        <v>56</v>
      </c>
      <c r="EA280">
        <f>IF(D280="",0,MAX(IFERROR(--X280,0),IFERROR(--VLOOKUP(D280,УГО_спр,4,FALSE),IFERROR(--VLOOKUP(AT280,УГО_спр,4,FALSE),IFERROR(--VLOOKUP(LEFT(AT280,2),УГО_спр,4,FALSE),0)))))</f>
        <v>16</v>
      </c>
      <c r="EB280">
        <f>IF(D280="","",IFERROR(LOOKUP(INDEX(CHOOSE(BR280,Iдоп_1ж,Iдоп_2ж,Iдоп_3ж),MATCH(BS280,Iдоп_S,0))*BP280*BQ280,{6,10,16,20,25,32,40,50,63,80,100,125,160,200,250,315,400,500,630}),""))</f>
        <v>25</v>
      </c>
      <c r="EC280">
        <f>IF(AD280="","",SUMIFS(Линии[_Ток схемы],Линии[_гр.],DY280,Линии[Щит],A280,Линии[_в кабель выше],0))</f>
        <v>0</v>
      </c>
      <c r="ED280">
        <f>IF(AD280="","",IFERROR(VLOOKUP(EC280,Автомат_номиналы,2,TRUE),""))</f>
        <v>6</v>
      </c>
      <c r="EE280">
        <f>IF(AD280="","",MAX(N(ED280),_xlfn.MAXIFS(Линии[_мин. по типу],Линии[_гр.],DY280,Линии[Щит],A280)))</f>
        <v>16</v>
      </c>
      <c r="EF280">
        <f>IF(AD280="","",_xlfn.MINIFS(Линии[_макс. автомат по кабелю],Линии[_гр.],DY280,Линии[Щит],A280))</f>
        <v>25</v>
      </c>
      <c r="EG280">
        <f>IF(AD280="","",MAX(1,_xlfn.MAXIFS(Линии[_фаз],Линии[_гр.],DY280,Линии[Щит],A280)))</f>
        <v>1</v>
      </c>
      <c r="EH280">
        <f>IF(AD280="","",IF(AND(AD280&lt;&gt;"авто",AD280&lt;&gt;"+"),IF(ISNUMBER(SEARCH("мА",AD280)),IFERROR(--TRIM(RIGHT(SUBSTITUTE(LEFT(AD280,SEARCH("мА",AD280)-1)," ",REPT(" ",9)),6)),30),0),IF(AE280="нет",0,IF(ISNUMBER(AE280),AE280,IF(AE280="да",30,_xlfn.MINIFS(Линии[_дифзащита по коду, мА],Линии[_гр.],DY280,Линии[Щит],A280,Линии[_дифзащита по коду, мА],"&gt;0"))))))</f>
        <v>30</v>
      </c>
      <c r="EI280">
        <f t="shared" si="396"/>
        <v>1</v>
      </c>
      <c r="EJ280" t="str">
        <f t="shared" si="397"/>
        <v>QFD56</v>
      </c>
      <c r="EK280" t="str">
        <f t="shared" si="398"/>
        <v>QFD56</v>
      </c>
      <c r="EL280" t="str">
        <f t="shared" si="399"/>
        <v/>
      </c>
      <c r="EM280">
        <f t="shared" si="400"/>
        <v>0</v>
      </c>
      <c r="EN280">
        <f>IF(AD280="","",IF(EM280=1,MAX(EE280,Мин_автомат_БП),EE280))</f>
        <v>16</v>
      </c>
      <c r="EO280" t="str">
        <f t="shared" si="401"/>
        <v>2P</v>
      </c>
      <c r="EP280" t="str">
        <f t="shared" si="402"/>
        <v>2P С16А 30мА</v>
      </c>
      <c r="EQ280">
        <f t="shared" si="403"/>
        <v>16</v>
      </c>
      <c r="ER280" t="str">
        <f>IF(OR(AI280="",AI280="-"),"",IFERROR(VLOOKUP(AI280,Модули_спр,2,FALSE),"R"))</f>
        <v/>
      </c>
      <c r="ES280" t="str">
        <f>IF(ER280="","",ER280&amp;"."&amp;COUNTIFS(A$3:A280,A280,ER$3:ER280,ER280))</f>
        <v/>
      </c>
      <c r="ET280" t="str">
        <f t="shared" si="404"/>
        <v/>
      </c>
      <c r="EU280" t="str">
        <f t="shared" si="405"/>
        <v/>
      </c>
      <c r="EV280" t="str">
        <f t="shared" si="406"/>
        <v/>
      </c>
      <c r="EW280" t="str">
        <f t="shared" si="407"/>
        <v/>
      </c>
      <c r="EX280">
        <f t="shared" si="408"/>
        <v>1</v>
      </c>
      <c r="EY280" t="str">
        <f>IF(AK280="нет","",IF(AK280&lt;&gt;"",AK280,IF(EX280=1,"XT"&amp;COUNTIFS(A$3:A280,A280,EX$3:EX280,1),"")))</f>
        <v>XT56</v>
      </c>
      <c r="EZ280" t="str">
        <f t="shared" si="409"/>
        <v>QFD56</v>
      </c>
      <c r="FA280" t="str">
        <f t="shared" si="410"/>
        <v/>
      </c>
      <c r="FB280" t="str">
        <f t="shared" si="411"/>
        <v>ok</v>
      </c>
      <c r="FC280" t="str">
        <f>IF(OR(EV280="",ET280=""),"",IF(EV280&gt;IFERROR(VLOOKUP(EU280,Модули_спр,3,FALSE),99),"ЛИШНИЙ КАНАЛ",IF(AND(AJ280&lt;&gt;"=",COUNTIFS(Линии[_модуль гр.],ET280,Линии[Канал (итог)],EV280,Линии[Канал],"&lt;&gt;=",Линии[Щит],A280)&gt;1),"ДУБЛЬ КАНАЛА","")))</f>
        <v/>
      </c>
      <c r="FD280">
        <f t="shared" si="412"/>
        <v>16</v>
      </c>
      <c r="FE280" t="str">
        <f t="shared" si="413"/>
        <v>2P С16А 30мА</v>
      </c>
      <c r="FF280">
        <f t="shared" si="414"/>
        <v>1</v>
      </c>
      <c r="FG280">
        <f t="shared" si="415"/>
        <v>30</v>
      </c>
      <c r="FH280" t="str">
        <f t="shared" si="416"/>
        <v/>
      </c>
      <c r="FI280">
        <f t="shared" si="417"/>
        <v>10</v>
      </c>
      <c r="FJ280" t="str">
        <f t="shared" si="418"/>
        <v/>
      </c>
      <c r="FK280" t="str">
        <f>IF(AND(D280="",EZ280=""),"",_xlfn.TEXTJOIN("; ",TRUE,IF(AND(D280&lt;&gt;"",DD280=""),"нет фазы",""),IF(AND(D280&lt;&gt;"",N(DT280)=0,CN280&lt;&gt;"Нет"),"нет мощности",""),IF(AND(EY280&lt;&gt;"",COUNTIFS(Линии[Щит],A280,Линии[Клемма (итог)],EY280)&gt;1),"дубль клеммы "&amp;EY280,""),IF(AND(FB280&lt;&gt;"",FB280&lt;&gt;"ok"),FB280,""),IF(FC280&lt;&gt;"",FC280,""),IF(AND(ISNUMBER(SEARCH("(5х",DS280)),N(DV280)=1),"5 жил на 1 фазе",""),IF(AND(AT280="R",AD280&lt;&gt;"",OR(N(EH280)=0,N(EH280)&gt;30)),"розетка без дифзащиты до 30 мА",""),IFERROR(IF(AND(ISNUMBER(CD280),CD280&gt;CE280),"потери "&amp;FIXED(CD280,1)&amp;" % &gt; "&amp;CE280&amp;" %",""),""),IFERROR(IF(LEFT(FJ280,4)="мало","Iкз мало — отключение &gt; 0,4 с",""),""),IF(AND(D280&lt;&gt;"",BD280=""),"не на схеме","")))</f>
        <v>нет мощности</v>
      </c>
      <c r="FL280">
        <f>IF(AD280="","",_xlfn.LET(_xlpm.t,IFERROR(_xlfn.XLOOKUP(EP280,Каталог!$U$4:$U$500,Каталог!$G$4:$G$500),""),_xlpm.k,SEARCH("кА",_xlpm.t),IFERROR(--TRIM(RIGHT(SUBSTITUTE(MID(_xlpm.t,MAX(1,_xlpm.k-4),_xlpm.k-MAX(1,_xlpm.k-4))," ",REPT(" ",9)),5)),"")))</f>
        <v>6</v>
      </c>
      <c r="FM280" t="str">
        <f>IF(OR(FL280="",AD280=""),"",IF(_xlfn.XLOOKUP(A280,Щиты[Щит],Щиты[Iкз max на шинах, кА],"")="","",IF(FL280&lt;_xlfn.XLOOKUP(A280,Щиты[Щит],Щиты[Iкз max на шинах, кА]),"Icu "&amp;FL280&amp;" кА &lt; Iкз max","ok")))</f>
        <v/>
      </c>
      <c r="FN280" t="str">
        <f t="shared" si="419"/>
        <v>QFD56|XT56</v>
      </c>
      <c r="FO280" t="str">
        <f t="shared" si="420"/>
        <v>QFD56|XT56|кабель ВВГнг(А)-LS (3х2,5) → Розеточная группа Первый этаж Пом. №020A Холодильник, морозильная камера</v>
      </c>
      <c r="FP280" t="str" cm="1">
        <f t="array" ref="FP280">IF(FO280="","",_xlfn.LET(_xlpm.nd,_xlfn.TEXTSPLIT(FO280,"|"),IF(COLUMNS(_xlpm.nd)&gt;1,A280&amp;"¦"&amp;INDEX(_xlpm.nd,1)&amp;"¦"&amp;INDEX(_xlpm.nd,2),"")))</f>
        <v>ЩР-1¦QFD56¦XT56</v>
      </c>
      <c r="FQ280" t="str">
        <f t="shared" si="421"/>
        <v>R.1.020A.1¦Розеточная группа Первый этаж Пом. №020A Холодильник, морозильная камера</v>
      </c>
      <c r="FR280" t="str" cm="1">
        <f t="array" ref="FR280">IF(FO280="","",_xlfn.LET(_xlpm.nd,_xlfn.TEXTSPLIT(FO280,"|"),IF(COLUMNS(_xlpm.nd)&gt;2,A280&amp;"¦"&amp;INDEX(_xlpm.nd,2)&amp;"¦"&amp;INDEX(_xlpm.nd,3),"")))</f>
        <v>ЩР-1¦XT56¦кабель ВВГнг(А)-LS (3х2,5) → Розеточная группа Первый этаж Пом. №020A Холодильник, морозильная камера</v>
      </c>
      <c r="FS280" t="str">
        <f t="shared" si="422"/>
        <v>R.1.020A.1¦Розеточная группа Первый этаж Пом. №020A Холодильник, морозильная камера</v>
      </c>
      <c r="FT280" t="str" cm="1">
        <f t="array" ref="FT280">IF(FO280="","",_xlfn.LET(_xlpm.nd,_xlfn.TEXTSPLIT(FO280,"|"),IF(COLUMNS(_xlpm.nd)&gt;3,A280&amp;"¦"&amp;INDEX(_xlpm.nd,3)&amp;"¦"&amp;INDEX(_xlpm.nd,4),"")))</f>
        <v/>
      </c>
      <c r="FU280" t="str">
        <f t="shared" si="423"/>
        <v/>
      </c>
      <c r="FV280" t="str" cm="1">
        <f t="array" ref="FV280">IF(FO280="","",_xlfn.LET(_xlpm.nd,_xlfn.TEXTSPLIT(FO280,"|"),IF(COLUMNS(_xlpm.nd)&gt;4,A280&amp;"¦"&amp;INDEX(_xlpm.nd,4)&amp;"¦"&amp;INDEX(_xlpm.nd,5),"")))</f>
        <v/>
      </c>
      <c r="FW280" t="str">
        <f t="shared" si="424"/>
        <v/>
      </c>
      <c r="FX280" t="str" cm="1">
        <f t="array" ref="FX280">IF(FO280="","",_xlfn.LET(_xlpm.nd,_xlfn.TEXTSPLIT(FO280,"|"),IF(COLUMNS(_xlpm.nd)&gt;5,A280&amp;"¦"&amp;INDEX(_xlpm.nd,5)&amp;"¦"&amp;INDEX(_xlpm.nd,6),"")))</f>
        <v/>
      </c>
      <c r="FY280" t="str">
        <f t="shared" si="425"/>
        <v/>
      </c>
      <c r="FZ280" t="str" cm="1">
        <f t="array" ref="FZ280">IF(FO280="","",_xlfn.LET(_xlpm.nd,_xlfn.TEXTSPLIT(FO280,"|"),IF(COLUMNS(_xlpm.nd)&gt;6,A280&amp;"¦"&amp;INDEX(_xlpm.nd,6)&amp;"¦"&amp;INDEX(_xlpm.nd,7),"")))</f>
        <v/>
      </c>
      <c r="GA280" t="str">
        <f t="shared" si="426"/>
        <v/>
      </c>
      <c r="GB280" t="str">
        <f t="shared" si="427"/>
        <v/>
      </c>
      <c r="GC280" t="str">
        <f t="shared" si="428"/>
        <v>QFD56 → XT56</v>
      </c>
      <c r="GD280">
        <f t="shared" si="429"/>
        <v>1</v>
      </c>
      <c r="GE280">
        <f t="shared" si="430"/>
        <v>0</v>
      </c>
      <c r="GF280">
        <f t="shared" si="431"/>
        <v>1</v>
      </c>
      <c r="GG280" t="str">
        <f t="shared" si="432"/>
        <v/>
      </c>
      <c r="GH280" t="str">
        <f t="shared" si="433"/>
        <v/>
      </c>
      <c r="GI280" t="str">
        <f t="shared" si="434"/>
        <v/>
      </c>
      <c r="GJ280" t="str">
        <f t="shared" si="435"/>
        <v/>
      </c>
      <c r="GK280" t="str">
        <f>IF(D280="","",IFERROR(VLOOKUP(D280,УГО_спр,2,FALSE),IFERROR(VLOOKUP(AT280,УГО_спр,2,FALSE),IFERROR(VLOOKUP(LEFT(AT280,2),УГО_спр,2,FALSE),""))))</f>
        <v>Розетка</v>
      </c>
      <c r="GL280" t="str">
        <f>IF(D280="","",IF(OR(GK280="",GK280=0),"BOX",IFERROR(IF(VLOOKUP(GK280,УГО_блоки,3,FALSE)&amp;""&lt;&gt;"",VLOOKUP(GK280,УГО_блоки,3,FALSE),VLOOKUP(GK280,УГО_блоки,2,FALSE)),GK280)))</f>
        <v>SOCKET</v>
      </c>
      <c r="GM280">
        <f t="shared" si="436"/>
        <v>1</v>
      </c>
      <c r="GN280" t="str">
        <f>IF(EP280="","",IF(COUNTIF(EP$3:EP280,EP280)=1,MAX(GN$2:GN279)+1,""))</f>
        <v/>
      </c>
      <c r="GO280" t="str">
        <f>IF(AF280="","",IF(COUNTIF(AF$3:AF280,AF280)+COUNTIF(AG$2:AG279,AF280)+COUNTIF(AH$2:AH279,AF280)=1,MAX(GO$2:GQ279)+1,""))</f>
        <v/>
      </c>
      <c r="GP280" t="str">
        <f>IF(AG280="","",IF(COUNTIF(AF$3:AF280,AG280)+COUNTIF(AG$3:AG280,AG280)+COUNTIF(AH$2:AH279,AG280)=1,MAX(GO$2:GQ279,GO280)+1,""))</f>
        <v/>
      </c>
      <c r="GQ280" t="str">
        <f>IF(AH280="","",IF(COUNTIF(AF$3:AF280,AH280)+COUNTIF(AG$3:AG280,AH280)+COUNTIF(AH$3:AH280,AH280)=1,MAX(GO$2:GQ279,GO280,GP280)+1,""))</f>
        <v/>
      </c>
      <c r="GR280" t="str">
        <f t="shared" si="437"/>
        <v>3х2,5</v>
      </c>
      <c r="GS280" t="str">
        <f>IF(GR280="","",IF(COUNTIF(GR$3:GR280,GR280)=1,MAX(GS$2:GS279)+1,""))</f>
        <v/>
      </c>
      <c r="GT280" t="str">
        <f>IF(ES280="","",COUNTIF(ES$3:ES280,"?*"))</f>
        <v/>
      </c>
      <c r="GU280" t="str">
        <f>IF(OR(ES280="",EU280=""),"",IF(COUNTIFS(ES$3:ES280,"?*",EU$3:EU280,EU280)=1,MAX(GU$2:GU279)+1,""))</f>
        <v/>
      </c>
      <c r="GV280">
        <f t="shared" si="438"/>
        <v>1</v>
      </c>
      <c r="GW280">
        <f>IF(D280="","",COUNTIF(D$3:D280,"?*"))</f>
        <v>278</v>
      </c>
      <c r="GX280">
        <f>IF(EX280&lt;&gt;1,0,_xlfn.LET(_xlpm.k,MAX(IFERROR(--VLOOKUP(D280,УГО_спр,5,FALSE),0),IFERROR(--VLOOKUP(AT280,УГО_спр,5,FALSE),0),IFERROR(--VLOOKUP(LEFT(AT280,2),УГО_спр,5,FALSE),0)),IF(_xlpm.k&gt;0,_xlpm.k,IF(IFERROR(--LEFT(SUBSTITUTE(GR280,"x","х"),FIND("х",SUBSTITUTE(GR280,"x","х"))-1),3)&gt;3,Каталог!$S$9,1))))</f>
        <v>1</v>
      </c>
      <c r="GY280">
        <f t="shared" si="439"/>
        <v>0</v>
      </c>
    </row>
    <row r="281" spans="1:207" x14ac:dyDescent="0.3">
      <c r="A281" t="s">
        <v>762</v>
      </c>
      <c r="B281">
        <v>73</v>
      </c>
      <c r="C281" t="str">
        <f>IF(BD281="","",IF(BE281="вводной узел","узел ","")&amp;"л."&amp;(INT((BD281-1)/Столбцов_на_лист)+1)&amp;" / "&amp;(MOD(BD281-1,Столбцов_на_лист)+1))</f>
        <v>л.5 / 5</v>
      </c>
      <c r="D281" t="s">
        <v>1614</v>
      </c>
      <c r="E281" s="133" t="str">
        <f t="shared" si="352"/>
        <v>Розеточная группа Первый этаж Пом. №022A</v>
      </c>
      <c r="G281">
        <v>0.18</v>
      </c>
      <c r="H281">
        <v>1</v>
      </c>
      <c r="I281">
        <v>1</v>
      </c>
      <c r="J281">
        <v>230</v>
      </c>
      <c r="K281" t="s">
        <v>566</v>
      </c>
      <c r="O281">
        <v>2</v>
      </c>
      <c r="P281">
        <v>63</v>
      </c>
      <c r="Q281">
        <v>20</v>
      </c>
      <c r="R281">
        <v>46</v>
      </c>
      <c r="S281">
        <v>0</v>
      </c>
      <c r="U281" t="s">
        <v>11</v>
      </c>
      <c r="V281">
        <v>3</v>
      </c>
      <c r="W281">
        <v>2.5</v>
      </c>
      <c r="Z281" t="s">
        <v>565</v>
      </c>
      <c r="AA281" t="s">
        <v>818</v>
      </c>
      <c r="AD281" t="s">
        <v>517</v>
      </c>
      <c r="AR281" t="str">
        <f t="shared" si="353"/>
        <v/>
      </c>
      <c r="AS281" cm="1">
        <f t="array" ref="AS281">ROW()-ROW(Линии[#Headers])</f>
        <v>279</v>
      </c>
      <c r="AT281" t="str">
        <f t="shared" si="354"/>
        <v>R</v>
      </c>
      <c r="AU281" t="str">
        <f t="shared" si="355"/>
        <v>1.022A.1</v>
      </c>
      <c r="AV281" t="str">
        <f t="shared" si="356"/>
        <v>1</v>
      </c>
      <c r="AW281" t="str">
        <f t="shared" si="357"/>
        <v>022A.1</v>
      </c>
      <c r="AX281" t="str">
        <f t="shared" si="358"/>
        <v>022A</v>
      </c>
      <c r="AY281" t="str">
        <f>IF(D281="","",IF(ISERROR(SEARCH(".",D281)),IFERROR(VLOOKUP(D281,Потребители_обозначение,2,FALSE)&amp;"",""),IFERROR(IF(VLOOKUP(AT281,Потребители_обозначение,4,FALSE)=1,VLOOKUP(AT281,Потребители_обозначение,2,FALSE)&amp;" "&amp;VLOOKUP(AV281,Этаж_обозначение,2,FALSE)&amp;" Пом. №"&amp;AX281,VLOOKUP(AT281,Потребители_обозначение,2,FALSE)&amp;" Шлейф №"&amp;AV281),IFERROR(VLOOKUP(D281,Потребители_обозначение,2,FALSE),""))))</f>
        <v>Розеточная группа Первый этаж Пом. №022A</v>
      </c>
      <c r="AZ281" t="str">
        <f t="shared" si="359"/>
        <v>Розеточная группа Первый этаж Пом. №022A</v>
      </c>
      <c r="BA281" t="str">
        <f>IF(F281&lt;&gt;"",F281,IF(AND(D281&lt;&gt;"",D281&lt;&gt;A281,ISNUMBER(_xlfn.XMATCH(D281,Щиты[Щит]))),D281,""))</f>
        <v/>
      </c>
      <c r="BB281">
        <f>IFERROR(_xlfn.XMATCH(A281,Щиты[Щит]),0)</f>
        <v>10</v>
      </c>
      <c r="BC281">
        <f>IFERROR(N(_xlfn.XLOOKUP(A281,Щиты[Щит],Щиты[Мест под вводной узел])),15)</f>
        <v>8</v>
      </c>
      <c r="BD281">
        <f t="shared" si="360"/>
        <v>73</v>
      </c>
      <c r="BE281" t="str">
        <f t="shared" si="361"/>
        <v>линии</v>
      </c>
      <c r="BF281">
        <f>IF(D281="","",IF(BA281&lt;&gt;"",IFERROR(_xlfn.XLOOKUP(BA281,Щиты[Щит],Щиты[Руст, кВт]),0),N(G281)))</f>
        <v>0.18</v>
      </c>
      <c r="BG281">
        <f>IF(J281&lt;&gt;"",J281,IF(D281="","",IFERROR(IF(VLOOKUP(AT281,Потребители_обозначение,8,FALSE)=0,"",VLOOKUP(AT281,Потребители_обозначение,8,FALSE)),"")))</f>
        <v>230</v>
      </c>
      <c r="BH281">
        <f>IF(I281&lt;&gt;"",I281,IF(D281="","",IFERROR(IF(VLOOKUP(AT281,Потребители_обозначение,9,FALSE)=0,"",VLOOKUP(AT281,Потребители_обозначение,9,FALSE)),"")))</f>
        <v>1</v>
      </c>
      <c r="BI281" t="str">
        <f>IF(U281&lt;&gt;"",U281,IF(D281="","",IFERROR(IF(VLOOKUP(AT281,Потребители_обозначение,6,FALSE)=0,"",VLOOKUP(AT281,Потребители_обозначение,6,FALSE)),"")))</f>
        <v>мс</v>
      </c>
      <c r="BJ281">
        <f>IF(V281&lt;&gt;"",V281,IF(D281="","",IFERROR(IF(VLOOKUP(AT281,Потребители_обозначение,7,FALSE)=0,"",VLOOKUP(AT281,Потребители_обозначение,7,FALSE)),"")))</f>
        <v>3</v>
      </c>
      <c r="BK281">
        <f>IF(W281&lt;&gt;"",W281,IF(D281="","",IFERROR(IF(VLOOKUP(AT281,Потребители_обозначение,10,FALSE)=0,"",VLOOKUP(AT281,Потребители_обозначение,10,FALSE)),"")))</f>
        <v>2.5</v>
      </c>
      <c r="BL281">
        <f>IFERROR(VLOOKUP(AT281,Потребители_обозначение,5,FALSE),0)</f>
        <v>1</v>
      </c>
      <c r="BM281" cm="1">
        <f t="array" ref="BM281">IF(D281="","",IF(BA281&lt;&gt;"",IFERROR(_xlfn.XLOOKUP(BA281,Щиты[Щит],Щиты[cos φ]),0.95),IF(ISNUMBER(M281),M281,IFERROR(IF(BL281=2,_xlfn.IFS(BH281=3,VLOOKUP(BF281,Справочная_двигатели,8,FALSE),BH281=1,VLOOKUP(BF281,Справочная_двигатели,10,TRUE)),IF(AND(Методика="нормы 2026",CN281="Сил"),0.8,0.95)),0.95))))</f>
        <v>0.95</v>
      </c>
      <c r="BN281" cm="1">
        <f t="array" ref="BN281">IF(D281="","",IF(BA281&lt;&gt;"",IFERROR(_xlfn.XLOOKUP(BA281,Щиты[Щит],Щиты[Iр, А]),""),IFERROR(_xlfn.IFS(BH281=1,BF281/((Uн_лин/SQRT(3))*BM281),BH281=3,BF281/(SQRT(3)*Uн_лин*BM281)),"")))</f>
        <v>0.8204451193747313</v>
      </c>
      <c r="BO281">
        <f>IF(D281="","",IF(N(X281)=0,IFERROR(VLOOKUP(BN281,Автомат_номиналы,2,TRUE),""),X281))</f>
        <v>6</v>
      </c>
      <c r="BP281">
        <f t="shared" si="362"/>
        <v>1</v>
      </c>
      <c r="BQ281">
        <f>IF(ISNUMBER(Y281),Y281,К_прокл)</f>
        <v>1</v>
      </c>
      <c r="BR281">
        <f t="shared" si="363"/>
        <v>2</v>
      </c>
      <c r="BS281" cm="1">
        <f t="array" ref="BS281">IF(D281="","",IF(N(BK281)&lt;&gt;0,BK281,IFERROR(_xlfn.LET(_xlpm.need,BO281/(BP281*BQ281),_xlpm.t,CHOOSE(BR281,Iдоп_1ж,Iдоп_2ж,Iдоп_3ж),_xlpm.k,_xlfn.XMATCH(_xlpm.need,_xlpm.t,1),IF(ISNA(_xlpm.k),"Не исп",INDEX(Iдоп_S,_xlpm.k))),"Не исп")))</f>
        <v>2.5</v>
      </c>
      <c r="BT281">
        <f>IFERROR(VLOOKUP(BS281,Кабель_сопротивление,3,FALSE),"")</f>
        <v>2.2499999999999999E-2</v>
      </c>
      <c r="BU281">
        <f>IFERROR(VLOOKUP(BS281,Кабель_сопротивление,2,FALSE),"")</f>
        <v>0.1</v>
      </c>
      <c r="BV281">
        <f t="shared" si="364"/>
        <v>63</v>
      </c>
      <c r="BW281">
        <f>IF(D281="","",IFERROR(IF(VLOOKUP(AT281,Потребители_обозначение,4,FALSE)=1,VLOOKUP(AT281,Потребители_обозначение,3,FALSE)*(H281*2-1)+BV281+VLOOKUP(AV281,Этаж_обозначение,3,FALSE)+VLOOKUP(AV281,Этаж_обозначение,4,FALSE),VLOOKUP(AT281,Потребители_обозначение,3,FALSE)*(H281*2-1)+BV281),BV281))</f>
        <v>66</v>
      </c>
      <c r="BX281">
        <f t="shared" si="365"/>
        <v>46</v>
      </c>
      <c r="BY281">
        <f t="shared" si="366"/>
        <v>0</v>
      </c>
      <c r="BZ281">
        <f t="shared" si="367"/>
        <v>2</v>
      </c>
      <c r="CA281">
        <f t="shared" si="368"/>
        <v>0.31</v>
      </c>
      <c r="CB281">
        <f t="shared" si="369"/>
        <v>0.92931162315480298</v>
      </c>
      <c r="CC281">
        <f>IFERROR(ROUNDUP(CB281/((Uн_лин/SQRT(3))*1000)*100,2),"")</f>
        <v>0.41000000000000003</v>
      </c>
      <c r="CD281">
        <f>IF(ISNUMBER(CC281),CC281+IFERROR(_xlfn.XLOOKUP(A281,Щиты[Щит],Щиты[ΔU до шин, %]),0),"")</f>
        <v>1.6600000000000001</v>
      </c>
      <c r="CE281">
        <f>IF(D281="","",IF(IFERROR(VLOOKUP(AT281,УГО_спр,2,FALSE),"")="Светильник",3,4)+IF(Методика="нормы 2026",MIN(0.5,MAX(0,N(BW281)-100)*0.005),0))</f>
        <v>4</v>
      </c>
      <c r="CF281" t="str">
        <f>IFERROR(VLOOKUP(BI281,Кабель_обозначение,2,FALSE),"")</f>
        <v>ВВГнг(А)-LS</v>
      </c>
      <c r="CG281" t="str">
        <f>IFERROR(IF(VLOOKUP(BI281,Кабель_обозначение,3,FALSE)=1,CF281&amp;" ("&amp;BJ281&amp;"х"&amp;BS281&amp;")",CF281),"")</f>
        <v>ВВГнг(А)-LS (3х2,5)</v>
      </c>
      <c r="CH281" t="str">
        <f t="shared" si="370"/>
        <v>ВВГнг(А)-LS (3х2,5)
L=66-0,41%</v>
      </c>
      <c r="CI281">
        <f>IFERROR(2*ρкз_Cu*BW281/BS281,"")</f>
        <v>1.3886400000000001</v>
      </c>
      <c r="CJ281">
        <f t="shared" si="371"/>
        <v>0.46200000000000002</v>
      </c>
      <c r="CK281" t="str">
        <f>IFERROR(IF(OR(D281="",NOT(ISNUMBER(BS281)),N(BW281)=0),"",_xlfn.XLOOKUP(A281,Щиты[Щит],Щиты[Zпетли на шинах, Ом])+CI281),"")</f>
        <v/>
      </c>
      <c r="CL281" t="str">
        <f>IF(ISNUMBER(CK281),c_min*(Uн_лин*1000/SQRT(3))/CK281,"")</f>
        <v/>
      </c>
      <c r="CM281" t="str">
        <f>IFERROR(IF(OR(D281="",NOT(ISNUMBER(BS281))),"",1.05*(Uн_лин*1000/SQRT(3))/(_xlfn.XLOOKUP(A281,Щиты[Щит],Щиты[Zmax на шинах, Ом])+CJ281)/1000),"")</f>
        <v/>
      </c>
      <c r="CN281" t="str">
        <f>IF(D281="","",IF(BA281&lt;&gt;"","Щит",IF(K281&lt;&gt;"",K281,IF(ISNUMBER(L281),"Сил",IF(IFERROR(_xlfn.XLOOKUP(AT281,Коды_код,Коды_группа)&amp;"","")="","Быт",_xlfn.XLOOKUP(AT281,Коды_код,Коды_группа)&amp;"")))))</f>
        <v>Быт</v>
      </c>
      <c r="CO281">
        <f>IF(CN281="Щит","щит",IF(CN281="","",IF(CN281="Быт",IFERROR(_xlfn.XLOOKUP(A281,Щиты[Щит],Щиты[Кс быт]),1),IF(CN281="Сил",IF(ISNUMBER(L281),L281,IF(Методика="нормы 2026",IFERROR(_xlfn.XLOOKUP(A281,Щиты[Щит],Щиты[Кс силовых (табл. 7.5)]),1),1)),IF(OR(CN281="Пост",CN281="Отоп"),1,IF(CN281="ВНГ",0.7,0))))))</f>
        <v>0.57830000000000004</v>
      </c>
      <c r="CP281">
        <f t="shared" si="372"/>
        <v>1</v>
      </c>
      <c r="CQ281">
        <f t="shared" si="373"/>
        <v>0.18</v>
      </c>
      <c r="CR281">
        <f t="shared" si="374"/>
        <v>0.18</v>
      </c>
      <c r="CS281">
        <f t="shared" si="375"/>
        <v>0</v>
      </c>
      <c r="CT281">
        <f t="shared" si="376"/>
        <v>0</v>
      </c>
      <c r="CU281">
        <f t="shared" si="377"/>
        <v>0</v>
      </c>
      <c r="CV281">
        <f t="shared" si="378"/>
        <v>0</v>
      </c>
      <c r="CW281">
        <f t="shared" si="379"/>
        <v>0.18</v>
      </c>
      <c r="CX281">
        <f t="shared" si="380"/>
        <v>0.17099999999999999</v>
      </c>
      <c r="CY281">
        <f t="shared" si="381"/>
        <v>2</v>
      </c>
      <c r="CZ281" t="str">
        <f t="shared" si="382"/>
        <v>L2</v>
      </c>
      <c r="DA281" cm="1">
        <f t="array" ref="DA281">IFERROR(IF(BL281=2,_xlfn.IFS(BH281=3,VLOOKUP(BF281,Справочная_двигатели,3,FALSE),BH281=1,VLOOKUP(BF281,Справочная_двигатели,5,TRUE)),0),0)</f>
        <v>0</v>
      </c>
      <c r="DB281">
        <f>IFERROR(IF(BL281=3,VLOOKUP(BF281,Справочная_ЛЭД,2,TRUE),0),0)</f>
        <v>0</v>
      </c>
      <c r="DC281">
        <f t="shared" si="383"/>
        <v>0</v>
      </c>
      <c r="DD281" t="str">
        <f t="shared" si="384"/>
        <v>L2</v>
      </c>
      <c r="DE281" t="str" cm="1">
        <f t="array" ref="DE281">IF(D281="","",IFERROR(INDEX({"I особая","I","II","III"},MATCH(TRIM(AA281&amp;""),{"I особая","I","II","III"},0)),"III"))</f>
        <v>II</v>
      </c>
      <c r="DF281" t="str">
        <f>IF(D281="","",IF(TRIM(AB281&amp;"")&lt;&gt;"",IF(LOWER(TRIM(AB281&amp;""))="да","да","нет"),IF(IFERROR(_xlfn.XLOOKUP(AT281,Коды_код,Коды_пожарная),"")="да","да","нет")))</f>
        <v>нет</v>
      </c>
      <c r="DG281" t="str">
        <f t="shared" si="385"/>
        <v/>
      </c>
      <c r="DH281" t="str">
        <f t="shared" si="386"/>
        <v>основная</v>
      </c>
      <c r="DI281">
        <f t="shared" si="387"/>
        <v>1</v>
      </c>
      <c r="DJ281" t="str" cm="1">
        <f t="array" ref="DJ281">IF(D281="","",_xlfn.LET(_xlpm.t,IFERROR(_xlfn.XLOOKUP(1,(Шины[Шина]=DH281)*(((Шины[Щит]=A281)+(Шины[Щит]=""))&gt;0),Шины[Тип]),"")&amp;"",IF(_xlpm.t&lt;&gt;"",_xlpm.t,IF(ISNUMBER(SEARCH("ИБП",DH281)),"ИБП",IF(ISNUMBER(SEARCH("ДГУ",DH281)),"ДГУ","Ввод "&amp;DI281)))))</f>
        <v>Ввод 1</v>
      </c>
      <c r="DK281" t="str">
        <f t="shared" si="388"/>
        <v>Ввод 1</v>
      </c>
      <c r="DL281" t="str">
        <f>IF(D281="","",IF(OR(DJ281="ИБП",DJ281="ДГУ"),"I особая",IF(DJ281="Одиночная","III",_xlfn.XLOOKUP(A281,Щиты[Щит],Щиты[Категория шины «Ввод»],"III"))))</f>
        <v>II</v>
      </c>
      <c r="DM281">
        <f>IF(D281="",0,IFERROR(MATCH(DE281,{"III","II","I","I особая"},0),1))</f>
        <v>2</v>
      </c>
      <c r="DN281">
        <f t="shared" si="389"/>
        <v>2</v>
      </c>
      <c r="DO281" t="str">
        <f>IF(D281="","",IF(DM281&gt;IFERROR(MATCH(DL281,{"III","II","I","I особая"},0),1),"НЕ ОБЕСПЕЧЕНА","ОК"))</f>
        <v>ОК</v>
      </c>
      <c r="DP281" t="str">
        <f>IF(A281="","",_xlfn.XLOOKUP(A281,Щиты[Щит],Щиты[Путь],""))</f>
        <v>|ГРЩ-ЖД|ЩР-1|</v>
      </c>
      <c r="DQ281" t="str">
        <f>IF(D281="","",IF(Z281&lt;&gt;"",Z281,IF(IFERROR(_xlfn.XLOOKUP(AT281,Коды_код,Коды_вид)&amp;"","")="","Прочее",_xlfn.XLOOKUP(AT281,Коды_код,Коды_вид)&amp;"")))</f>
        <v>Розеточная сеть и бытовые приборы</v>
      </c>
      <c r="DR281">
        <f>IF(BD281="","",INT((BD281-1)/Столбцов_на_лист)+1)</f>
        <v>5</v>
      </c>
      <c r="DS281" t="str">
        <f t="shared" si="390"/>
        <v>ВВГнг(А)-LS (3х2,5) L=66-0,41%</v>
      </c>
      <c r="DT281">
        <f t="shared" si="391"/>
        <v>0.18</v>
      </c>
      <c r="DU281">
        <f t="shared" si="392"/>
        <v>0.83</v>
      </c>
      <c r="DV281">
        <f t="shared" si="393"/>
        <v>1</v>
      </c>
      <c r="DW281">
        <f>IF(AT281="",0,_xlfn.LET(_xlpm.v,IFERROR(VLOOKUP(D281,УГО_спр,3,FALSE),IFERROR(VLOOKUP(AT281,УГО_спр,3,FALSE),IFERROR(VLOOKUP(LEFT(AT281,2),УГО_спр,3,FALSE),""))),IF(_xlpm.v="да",30,IF(ISNUMBER(_xlpm.v),_xlpm.v,0))))</f>
        <v>30</v>
      </c>
      <c r="DX281">
        <f t="shared" si="394"/>
        <v>0</v>
      </c>
      <c r="DY281">
        <f>IF(BD281="","",IF(AD281&lt;&gt;"",COUNTIFS(A$3:A281,A281,AD$3:AD281,"?*"),IF(OR(OR(AS281=1,A281&lt;&gt;A280),AL281="вручную"),"",IF(AS281=1,"",DZ280))))</f>
        <v>57</v>
      </c>
      <c r="DZ281">
        <f t="shared" si="395"/>
        <v>57</v>
      </c>
      <c r="EA281">
        <f>IF(D281="",0,MAX(IFERROR(--X281,0),IFERROR(--VLOOKUP(D281,УГО_спр,4,FALSE),IFERROR(--VLOOKUP(AT281,УГО_спр,4,FALSE),IFERROR(--VLOOKUP(LEFT(AT281,2),УГО_спр,4,FALSE),0)))))</f>
        <v>16</v>
      </c>
      <c r="EB281">
        <f>IF(D281="","",IFERROR(LOOKUP(INDEX(CHOOSE(BR281,Iдоп_1ж,Iдоп_2ж,Iдоп_3ж),MATCH(BS281,Iдоп_S,0))*BP281*BQ281,{6,10,16,20,25,32,40,50,63,80,100,125,160,200,250,315,400,500,630}),""))</f>
        <v>25</v>
      </c>
      <c r="EC281">
        <f>IF(AD281="","",SUMIFS(Линии[_Ток схемы],Линии[_гр.],DY281,Линии[Щит],A281,Линии[_в кабель выше],0))</f>
        <v>0.83</v>
      </c>
      <c r="ED281">
        <f>IF(AD281="","",IFERROR(VLOOKUP(EC281,Автомат_номиналы,2,TRUE),""))</f>
        <v>6</v>
      </c>
      <c r="EE281">
        <f>IF(AD281="","",MAX(N(ED281),_xlfn.MAXIFS(Линии[_мин. по типу],Линии[_гр.],DY281,Линии[Щит],A281)))</f>
        <v>16</v>
      </c>
      <c r="EF281">
        <f>IF(AD281="","",_xlfn.MINIFS(Линии[_макс. автомат по кабелю],Линии[_гр.],DY281,Линии[Щит],A281))</f>
        <v>25</v>
      </c>
      <c r="EG281">
        <f>IF(AD281="","",MAX(1,_xlfn.MAXIFS(Линии[_фаз],Линии[_гр.],DY281,Линии[Щит],A281)))</f>
        <v>1</v>
      </c>
      <c r="EH281">
        <f>IF(AD281="","",IF(AND(AD281&lt;&gt;"авто",AD281&lt;&gt;"+"),IF(ISNUMBER(SEARCH("мА",AD281)),IFERROR(--TRIM(RIGHT(SUBSTITUTE(LEFT(AD281,SEARCH("мА",AD281)-1)," ",REPT(" ",9)),6)),30),0),IF(AE281="нет",0,IF(ISNUMBER(AE281),AE281,IF(AE281="да",30,_xlfn.MINIFS(Линии[_дифзащита по коду, мА],Линии[_гр.],DY281,Линии[Щит],A281,Линии[_дифзащита по коду, мА],"&gt;0"))))))</f>
        <v>30</v>
      </c>
      <c r="EI281">
        <f t="shared" si="396"/>
        <v>1</v>
      </c>
      <c r="EJ281" t="str">
        <f t="shared" si="397"/>
        <v>QFD57</v>
      </c>
      <c r="EK281" t="str">
        <f t="shared" si="398"/>
        <v>QFD57</v>
      </c>
      <c r="EL281" t="str">
        <f t="shared" si="399"/>
        <v/>
      </c>
      <c r="EM281">
        <f t="shared" si="400"/>
        <v>0</v>
      </c>
      <c r="EN281">
        <f>IF(AD281="","",IF(EM281=1,MAX(EE281,Мин_автомат_БП),EE281))</f>
        <v>16</v>
      </c>
      <c r="EO281" t="str">
        <f t="shared" si="401"/>
        <v>2P</v>
      </c>
      <c r="EP281" t="str">
        <f t="shared" si="402"/>
        <v>2P С16А 30мА</v>
      </c>
      <c r="EQ281">
        <f t="shared" si="403"/>
        <v>16</v>
      </c>
      <c r="ER281" t="str">
        <f>IF(OR(AI281="",AI281="-"),"",IFERROR(VLOOKUP(AI281,Модули_спр,2,FALSE),"R"))</f>
        <v/>
      </c>
      <c r="ES281" t="str">
        <f>IF(ER281="","",ER281&amp;"."&amp;COUNTIFS(A$3:A281,A281,ER$3:ER281,ER281))</f>
        <v/>
      </c>
      <c r="ET281" t="str">
        <f t="shared" si="404"/>
        <v/>
      </c>
      <c r="EU281" t="str">
        <f t="shared" si="405"/>
        <v/>
      </c>
      <c r="EV281" t="str">
        <f t="shared" si="406"/>
        <v/>
      </c>
      <c r="EW281" t="str">
        <f t="shared" si="407"/>
        <v/>
      </c>
      <c r="EX281">
        <f t="shared" si="408"/>
        <v>1</v>
      </c>
      <c r="EY281" t="str">
        <f>IF(AK281="нет","",IF(AK281&lt;&gt;"",AK281,IF(EX281=1,"XT"&amp;COUNTIFS(A$3:A281,A281,EX$3:EX281,1),"")))</f>
        <v>XT57</v>
      </c>
      <c r="EZ281" t="str">
        <f t="shared" si="409"/>
        <v>QFD57</v>
      </c>
      <c r="FA281" t="str">
        <f t="shared" si="410"/>
        <v/>
      </c>
      <c r="FB281" t="str">
        <f t="shared" si="411"/>
        <v>ok</v>
      </c>
      <c r="FC281" t="str">
        <f>IF(OR(EV281="",ET281=""),"",IF(EV281&gt;IFERROR(VLOOKUP(EU281,Модули_спр,3,FALSE),99),"ЛИШНИЙ КАНАЛ",IF(AND(AJ281&lt;&gt;"=",COUNTIFS(Линии[_модуль гр.],ET281,Линии[Канал (итог)],EV281,Линии[Канал],"&lt;&gt;=",Линии[Щит],A281)&gt;1),"ДУБЛЬ КАНАЛА","")))</f>
        <v/>
      </c>
      <c r="FD281">
        <f t="shared" si="412"/>
        <v>16</v>
      </c>
      <c r="FE281" t="str">
        <f t="shared" si="413"/>
        <v>2P С16А 30мА</v>
      </c>
      <c r="FF281">
        <f t="shared" si="414"/>
        <v>1</v>
      </c>
      <c r="FG281">
        <f t="shared" si="415"/>
        <v>30</v>
      </c>
      <c r="FH281" t="str">
        <f t="shared" si="416"/>
        <v/>
      </c>
      <c r="FI281">
        <f t="shared" si="417"/>
        <v>10</v>
      </c>
      <c r="FJ281" t="str">
        <f t="shared" si="418"/>
        <v/>
      </c>
      <c r="FK281" t="str">
        <f>IF(AND(D281="",EZ281=""),"",_xlfn.TEXTJOIN("; ",TRUE,IF(AND(D281&lt;&gt;"",DD281=""),"нет фазы",""),IF(AND(D281&lt;&gt;"",N(DT281)=0,CN281&lt;&gt;"Нет"),"нет мощности",""),IF(AND(EY281&lt;&gt;"",COUNTIFS(Линии[Щит],A281,Линии[Клемма (итог)],EY281)&gt;1),"дубль клеммы "&amp;EY281,""),IF(AND(FB281&lt;&gt;"",FB281&lt;&gt;"ok"),FB281,""),IF(FC281&lt;&gt;"",FC281,""),IF(AND(ISNUMBER(SEARCH("(5х",DS281)),N(DV281)=1),"5 жил на 1 фазе",""),IF(AND(AT281="R",AD281&lt;&gt;"",OR(N(EH281)=0,N(EH281)&gt;30)),"розетка без дифзащиты до 30 мА",""),IFERROR(IF(AND(ISNUMBER(CD281),CD281&gt;CE281),"потери "&amp;FIXED(CD281,1)&amp;" % &gt; "&amp;CE281&amp;" %",""),""),IFERROR(IF(LEFT(FJ281,4)="мало","Iкз мало — отключение &gt; 0,4 с",""),""),IF(AND(D281&lt;&gt;"",BD281=""),"не на схеме","")))</f>
        <v/>
      </c>
      <c r="FL281">
        <f>IF(AD281="","",_xlfn.LET(_xlpm.t,IFERROR(_xlfn.XLOOKUP(EP281,Каталог!$U$4:$U$500,Каталог!$G$4:$G$500),""),_xlpm.k,SEARCH("кА",_xlpm.t),IFERROR(--TRIM(RIGHT(SUBSTITUTE(MID(_xlpm.t,MAX(1,_xlpm.k-4),_xlpm.k-MAX(1,_xlpm.k-4))," ",REPT(" ",9)),5)),"")))</f>
        <v>6</v>
      </c>
      <c r="FM281" t="str">
        <f>IF(OR(FL281="",AD281=""),"",IF(_xlfn.XLOOKUP(A281,Щиты[Щит],Щиты[Iкз max на шинах, кА],"")="","",IF(FL281&lt;_xlfn.XLOOKUP(A281,Щиты[Щит],Щиты[Iкз max на шинах, кА]),"Icu "&amp;FL281&amp;" кА &lt; Iкз max","ok")))</f>
        <v/>
      </c>
      <c r="FN281" t="str">
        <f t="shared" si="419"/>
        <v>QFD57|XT57</v>
      </c>
      <c r="FO281" t="str">
        <f t="shared" si="420"/>
        <v>QFD57|XT57|кабель ВВГнг(А)-LS (3х2,5) → Розеточная группа Первый этаж Пом. №022A</v>
      </c>
      <c r="FP281" t="str" cm="1">
        <f t="array" ref="FP281">IF(FO281="","",_xlfn.LET(_xlpm.nd,_xlfn.TEXTSPLIT(FO281,"|"),IF(COLUMNS(_xlpm.nd)&gt;1,A281&amp;"¦"&amp;INDEX(_xlpm.nd,1)&amp;"¦"&amp;INDEX(_xlpm.nd,2),"")))</f>
        <v>ЩР-1¦QFD57¦XT57</v>
      </c>
      <c r="FQ281" t="str">
        <f t="shared" si="421"/>
        <v>R.1.022A.1¦Розеточная группа Первый этаж Пом. №022A</v>
      </c>
      <c r="FR281" t="str" cm="1">
        <f t="array" ref="FR281">IF(FO281="","",_xlfn.LET(_xlpm.nd,_xlfn.TEXTSPLIT(FO281,"|"),IF(COLUMNS(_xlpm.nd)&gt;2,A281&amp;"¦"&amp;INDEX(_xlpm.nd,2)&amp;"¦"&amp;INDEX(_xlpm.nd,3),"")))</f>
        <v>ЩР-1¦XT57¦кабель ВВГнг(А)-LS (3х2,5) → Розеточная группа Первый этаж Пом. №022A</v>
      </c>
      <c r="FS281" t="str">
        <f t="shared" si="422"/>
        <v>R.1.022A.1¦Розеточная группа Первый этаж Пом. №022A</v>
      </c>
      <c r="FT281" t="str" cm="1">
        <f t="array" ref="FT281">IF(FO281="","",_xlfn.LET(_xlpm.nd,_xlfn.TEXTSPLIT(FO281,"|"),IF(COLUMNS(_xlpm.nd)&gt;3,A281&amp;"¦"&amp;INDEX(_xlpm.nd,3)&amp;"¦"&amp;INDEX(_xlpm.nd,4),"")))</f>
        <v/>
      </c>
      <c r="FU281" t="str">
        <f t="shared" si="423"/>
        <v/>
      </c>
      <c r="FV281" t="str" cm="1">
        <f t="array" ref="FV281">IF(FO281="","",_xlfn.LET(_xlpm.nd,_xlfn.TEXTSPLIT(FO281,"|"),IF(COLUMNS(_xlpm.nd)&gt;4,A281&amp;"¦"&amp;INDEX(_xlpm.nd,4)&amp;"¦"&amp;INDEX(_xlpm.nd,5),"")))</f>
        <v/>
      </c>
      <c r="FW281" t="str">
        <f t="shared" si="424"/>
        <v/>
      </c>
      <c r="FX281" t="str" cm="1">
        <f t="array" ref="FX281">IF(FO281="","",_xlfn.LET(_xlpm.nd,_xlfn.TEXTSPLIT(FO281,"|"),IF(COLUMNS(_xlpm.nd)&gt;5,A281&amp;"¦"&amp;INDEX(_xlpm.nd,5)&amp;"¦"&amp;INDEX(_xlpm.nd,6),"")))</f>
        <v/>
      </c>
      <c r="FY281" t="str">
        <f t="shared" si="425"/>
        <v/>
      </c>
      <c r="FZ281" t="str" cm="1">
        <f t="array" ref="FZ281">IF(FO281="","",_xlfn.LET(_xlpm.nd,_xlfn.TEXTSPLIT(FO281,"|"),IF(COLUMNS(_xlpm.nd)&gt;6,A281&amp;"¦"&amp;INDEX(_xlpm.nd,6)&amp;"¦"&amp;INDEX(_xlpm.nd,7),"")))</f>
        <v/>
      </c>
      <c r="GA281" t="str">
        <f t="shared" si="426"/>
        <v/>
      </c>
      <c r="GB281" t="str">
        <f t="shared" si="427"/>
        <v/>
      </c>
      <c r="GC281" t="str">
        <f t="shared" si="428"/>
        <v>QFD57 → XT57</v>
      </c>
      <c r="GD281">
        <f t="shared" si="429"/>
        <v>1</v>
      </c>
      <c r="GE281">
        <f t="shared" si="430"/>
        <v>0</v>
      </c>
      <c r="GF281">
        <f t="shared" si="431"/>
        <v>1</v>
      </c>
      <c r="GG281" t="str">
        <f t="shared" si="432"/>
        <v/>
      </c>
      <c r="GH281" t="str">
        <f t="shared" si="433"/>
        <v/>
      </c>
      <c r="GI281" t="str">
        <f t="shared" si="434"/>
        <v/>
      </c>
      <c r="GJ281" t="str">
        <f t="shared" si="435"/>
        <v/>
      </c>
      <c r="GK281" t="str">
        <f>IF(D281="","",IFERROR(VLOOKUP(D281,УГО_спр,2,FALSE),IFERROR(VLOOKUP(AT281,УГО_спр,2,FALSE),IFERROR(VLOOKUP(LEFT(AT281,2),УГО_спр,2,FALSE),""))))</f>
        <v>Розетка</v>
      </c>
      <c r="GL281" t="str">
        <f>IF(D281="","",IF(OR(GK281="",GK281=0),"BOX",IFERROR(IF(VLOOKUP(GK281,УГО_блоки,3,FALSE)&amp;""&lt;&gt;"",VLOOKUP(GK281,УГО_блоки,3,FALSE),VLOOKUP(GK281,УГО_блоки,2,FALSE)),GK281)))</f>
        <v>SOCKET</v>
      </c>
      <c r="GM281">
        <f t="shared" si="436"/>
        <v>1</v>
      </c>
      <c r="GN281" t="str">
        <f>IF(EP281="","",IF(COUNTIF(EP$3:EP281,EP281)=1,MAX(GN$2:GN280)+1,""))</f>
        <v/>
      </c>
      <c r="GO281" t="str">
        <f>IF(AF281="","",IF(COUNTIF(AF$3:AF281,AF281)+COUNTIF(AG$2:AG280,AF281)+COUNTIF(AH$2:AH280,AF281)=1,MAX(GO$2:GQ280)+1,""))</f>
        <v/>
      </c>
      <c r="GP281" t="str">
        <f>IF(AG281="","",IF(COUNTIF(AF$3:AF281,AG281)+COUNTIF(AG$3:AG281,AG281)+COUNTIF(AH$2:AH280,AG281)=1,MAX(GO$2:GQ280,GO281)+1,""))</f>
        <v/>
      </c>
      <c r="GQ281" t="str">
        <f>IF(AH281="","",IF(COUNTIF(AF$3:AF281,AH281)+COUNTIF(AG$3:AG281,AH281)+COUNTIF(AH$3:AH281,AH281)=1,MAX(GO$2:GQ280,GO281,GP281)+1,""))</f>
        <v/>
      </c>
      <c r="GR281" t="str">
        <f t="shared" si="437"/>
        <v>3х2,5</v>
      </c>
      <c r="GS281" t="str">
        <f>IF(GR281="","",IF(COUNTIF(GR$3:GR281,GR281)=1,MAX(GS$2:GS280)+1,""))</f>
        <v/>
      </c>
      <c r="GT281" t="str">
        <f>IF(ES281="","",COUNTIF(ES$3:ES281,"?*"))</f>
        <v/>
      </c>
      <c r="GU281" t="str">
        <f>IF(OR(ES281="",EU281=""),"",IF(COUNTIFS(ES$3:ES281,"?*",EU$3:EU281,EU281)=1,MAX(GU$2:GU280)+1,""))</f>
        <v/>
      </c>
      <c r="GV281">
        <f t="shared" si="438"/>
        <v>0</v>
      </c>
      <c r="GW281">
        <f>IF(D281="","",COUNTIF(D$3:D281,"?*"))</f>
        <v>279</v>
      </c>
      <c r="GX281">
        <f>IF(EX281&lt;&gt;1,0,_xlfn.LET(_xlpm.k,MAX(IFERROR(--VLOOKUP(D281,УГО_спр,5,FALSE),0),IFERROR(--VLOOKUP(AT281,УГО_спр,5,FALSE),0),IFERROR(--VLOOKUP(LEFT(AT281,2),УГО_спр,5,FALSE),0)),IF(_xlpm.k&gt;0,_xlpm.k,IF(IFERROR(--LEFT(SUBSTITUTE(GR281,"x","х"),FIND("х",SUBSTITUTE(GR281,"x","х"))-1),3)&gt;3,Каталог!$S$9,1))))</f>
        <v>1</v>
      </c>
      <c r="GY281">
        <f t="shared" si="439"/>
        <v>0</v>
      </c>
    </row>
    <row r="282" spans="1:207" x14ac:dyDescent="0.3">
      <c r="A282" t="s">
        <v>762</v>
      </c>
      <c r="B282">
        <v>75</v>
      </c>
      <c r="C282" t="str">
        <f>IF(BD282="","",IF(BE282="вводной узел","узел ","")&amp;"л."&amp;(INT((BD282-1)/Столбцов_на_лист)+1)&amp;" / "&amp;(MOD(BD282-1,Столбцов_на_лист)+1))</f>
        <v>л.5 / 7</v>
      </c>
      <c r="D282" t="s">
        <v>1615</v>
      </c>
      <c r="E282" s="133" t="s">
        <v>1616</v>
      </c>
      <c r="G282">
        <v>0.5</v>
      </c>
      <c r="H282">
        <v>1</v>
      </c>
      <c r="I282">
        <v>1</v>
      </c>
      <c r="J282">
        <v>230</v>
      </c>
      <c r="K282" t="s">
        <v>577</v>
      </c>
      <c r="O282">
        <v>1</v>
      </c>
      <c r="P282">
        <v>8</v>
      </c>
      <c r="R282">
        <v>8</v>
      </c>
      <c r="U282" t="s">
        <v>11</v>
      </c>
      <c r="V282">
        <v>3</v>
      </c>
      <c r="W282">
        <v>2.5</v>
      </c>
      <c r="Z282" t="s">
        <v>581</v>
      </c>
      <c r="AA282" t="s">
        <v>818</v>
      </c>
      <c r="AD282" t="s">
        <v>517</v>
      </c>
      <c r="AR282" t="str">
        <f t="shared" si="353"/>
        <v/>
      </c>
      <c r="AS282" cm="1">
        <f t="array" ref="AS282">ROW()-ROW(Линии[#Headers])</f>
        <v>280</v>
      </c>
      <c r="AT282" t="str">
        <f t="shared" si="354"/>
        <v>ЩКД</v>
      </c>
      <c r="AU282" t="str">
        <f t="shared" si="355"/>
        <v>1</v>
      </c>
      <c r="AV282" t="str">
        <f t="shared" si="356"/>
        <v>1</v>
      </c>
      <c r="AW282" t="str">
        <f t="shared" si="357"/>
        <v/>
      </c>
      <c r="AX282" t="str">
        <f t="shared" si="358"/>
        <v/>
      </c>
      <c r="AY282" t="str">
        <f>IF(D282="","",IF(ISERROR(SEARCH(".",D282)),IFERROR(VLOOKUP(D282,Потребители_обозначение,2,FALSE)&amp;"",""),IFERROR(IF(VLOOKUP(AT282,Потребители_обозначение,4,FALSE)=1,VLOOKUP(AT282,Потребители_обозначение,2,FALSE)&amp;" "&amp;VLOOKUP(AV282,Этаж_обозначение,2,FALSE)&amp;" Пом. №"&amp;AX282,VLOOKUP(AT282,Потребители_обозначение,2,FALSE)&amp;" Шлейф №"&amp;AV282),IFERROR(VLOOKUP(D282,Потребители_обозначение,2,FALSE),""))))</f>
        <v>Щит контроля доступа Шлейф №1</v>
      </c>
      <c r="AZ282" t="str">
        <f t="shared" si="359"/>
        <v>Щит контроля доступа ЩКД-1 Первый этаж Пом. №002Б</v>
      </c>
      <c r="BA282" t="str">
        <f>IF(F282&lt;&gt;"",F282,IF(AND(D282&lt;&gt;"",D282&lt;&gt;A282,ISNUMBER(_xlfn.XMATCH(D282,Щиты[Щит]))),D282,""))</f>
        <v/>
      </c>
      <c r="BB282">
        <f>IFERROR(_xlfn.XMATCH(A282,Щиты[Щит]),0)</f>
        <v>10</v>
      </c>
      <c r="BC282">
        <f>IFERROR(N(_xlfn.XLOOKUP(A282,Щиты[Щит],Щиты[Мест под вводной узел])),15)</f>
        <v>8</v>
      </c>
      <c r="BD282">
        <f t="shared" si="360"/>
        <v>75</v>
      </c>
      <c r="BE282" t="str">
        <f t="shared" si="361"/>
        <v>линии</v>
      </c>
      <c r="BF282">
        <f>IF(D282="","",IF(BA282&lt;&gt;"",IFERROR(_xlfn.XLOOKUP(BA282,Щиты[Щит],Щиты[Руст, кВт]),0),N(G282)))</f>
        <v>0.5</v>
      </c>
      <c r="BG282">
        <f>IF(J282&lt;&gt;"",J282,IF(D282="","",IFERROR(IF(VLOOKUP(AT282,Потребители_обозначение,8,FALSE)=0,"",VLOOKUP(AT282,Потребители_обозначение,8,FALSE)),"")))</f>
        <v>230</v>
      </c>
      <c r="BH282">
        <f>IF(I282&lt;&gt;"",I282,IF(D282="","",IFERROR(IF(VLOOKUP(AT282,Потребители_обозначение,9,FALSE)=0,"",VLOOKUP(AT282,Потребители_обозначение,9,FALSE)),"")))</f>
        <v>1</v>
      </c>
      <c r="BI282" t="str">
        <f>IF(U282&lt;&gt;"",U282,IF(D282="","",IFERROR(IF(VLOOKUP(AT282,Потребители_обозначение,6,FALSE)=0,"",VLOOKUP(AT282,Потребители_обозначение,6,FALSE)),"")))</f>
        <v>мс</v>
      </c>
      <c r="BJ282">
        <f>IF(V282&lt;&gt;"",V282,IF(D282="","",IFERROR(IF(VLOOKUP(AT282,Потребители_обозначение,7,FALSE)=0,"",VLOOKUP(AT282,Потребители_обозначение,7,FALSE)),"")))</f>
        <v>3</v>
      </c>
      <c r="BK282">
        <f>IF(W282&lt;&gt;"",W282,IF(D282="","",IFERROR(IF(VLOOKUP(AT282,Потребители_обозначение,10,FALSE)=0,"",VLOOKUP(AT282,Потребители_обозначение,10,FALSE)),"")))</f>
        <v>2.5</v>
      </c>
      <c r="BL282">
        <f>IFERROR(VLOOKUP(AT282,Потребители_обозначение,5,FALSE),0)</f>
        <v>1</v>
      </c>
      <c r="BM282" cm="1">
        <f t="array" ref="BM282">IF(D282="","",IF(BA282&lt;&gt;"",IFERROR(_xlfn.XLOOKUP(BA282,Щиты[Щит],Щиты[cos φ]),0.95),IF(ISNUMBER(M282),M282,IFERROR(IF(BL282=2,_xlfn.IFS(BH282=3,VLOOKUP(BF282,Справочная_двигатели,8,FALSE),BH282=1,VLOOKUP(BF282,Справочная_двигатели,10,TRUE)),IF(AND(Методика="нормы 2026",CN282="Сил"),0.8,0.95)),0.95))))</f>
        <v>0.95</v>
      </c>
      <c r="BN282" cm="1">
        <f t="array" ref="BN282">IF(D282="","",IF(BA282&lt;&gt;"",IFERROR(_xlfn.XLOOKUP(BA282,Щиты[Щит],Щиты[Iр, А]),""),IFERROR(_xlfn.IFS(BH282=1,BF282/((Uн_лин/SQRT(3))*BM282),BH282=3,BF282/(SQRT(3)*Uн_лин*BM282)),"")))</f>
        <v>2.2790142204853647</v>
      </c>
      <c r="BO282">
        <f>IF(D282="","",IF(N(X282)=0,IFERROR(VLOOKUP(BN282,Автомат_номиналы,2,TRUE),""),X282))</f>
        <v>6</v>
      </c>
      <c r="BP282">
        <f t="shared" si="362"/>
        <v>1</v>
      </c>
      <c r="BQ282">
        <f>IF(ISNUMBER(Y282),Y282,К_прокл)</f>
        <v>1</v>
      </c>
      <c r="BR282">
        <f t="shared" si="363"/>
        <v>2</v>
      </c>
      <c r="BS282" cm="1">
        <f t="array" ref="BS282">IF(D282="","",IF(N(BK282)&lt;&gt;0,BK282,IFERROR(_xlfn.LET(_xlpm.need,BO282/(BP282*BQ282),_xlpm.t,CHOOSE(BR282,Iдоп_1ж,Iдоп_2ж,Iдоп_3ж),_xlpm.k,_xlfn.XMATCH(_xlpm.need,_xlpm.t,1),IF(ISNA(_xlpm.k),"Не исп",INDEX(Iдоп_S,_xlpm.k))),"Не исп")))</f>
        <v>2.5</v>
      </c>
      <c r="BT282">
        <f>IFERROR(VLOOKUP(BS282,Кабель_сопротивление,3,FALSE),"")</f>
        <v>2.2499999999999999E-2</v>
      </c>
      <c r="BU282">
        <f>IFERROR(VLOOKUP(BS282,Кабель_сопротивление,2,FALSE),"")</f>
        <v>0.1</v>
      </c>
      <c r="BV282">
        <f t="shared" si="364"/>
        <v>8</v>
      </c>
      <c r="BW282">
        <f>IF(D282="","",IFERROR(IF(VLOOKUP(AT282,Потребители_обозначение,4,FALSE)=1,VLOOKUP(AT282,Потребители_обозначение,3,FALSE)*(H282*2-1)+BV282+VLOOKUP(AV282,Этаж_обозначение,3,FALSE)+VLOOKUP(AV282,Этаж_обозначение,4,FALSE),VLOOKUP(AT282,Потребители_обозначение,3,FALSE)*(H282*2-1)+BV282),BV282))</f>
        <v>11</v>
      </c>
      <c r="BX282">
        <f t="shared" si="365"/>
        <v>8</v>
      </c>
      <c r="BY282" t="str">
        <f t="shared" si="366"/>
        <v/>
      </c>
      <c r="BZ282">
        <f t="shared" si="367"/>
        <v>2</v>
      </c>
      <c r="CA282">
        <f t="shared" si="368"/>
        <v>0.31</v>
      </c>
      <c r="CB282">
        <f t="shared" si="369"/>
        <v>0.4302368625716681</v>
      </c>
      <c r="CC282">
        <f>IFERROR(ROUNDUP(CB282/((Uн_лин/SQRT(3))*1000)*100,2),"")</f>
        <v>0.19</v>
      </c>
      <c r="CD282">
        <f>IF(ISNUMBER(CC282),CC282+IFERROR(_xlfn.XLOOKUP(A282,Щиты[Щит],Щиты[ΔU до шин, %]),0),"")</f>
        <v>1.44</v>
      </c>
      <c r="CE282">
        <f>IF(D282="","",IF(IFERROR(VLOOKUP(AT282,УГО_спр,2,FALSE),"")="Светильник",3,4)+IF(Методика="нормы 2026",MIN(0.5,MAX(0,N(BW282)-100)*0.005),0))</f>
        <v>4</v>
      </c>
      <c r="CF282" t="str">
        <f>IFERROR(VLOOKUP(BI282,Кабель_обозначение,2,FALSE),"")</f>
        <v>ВВГнг(А)-LS</v>
      </c>
      <c r="CG282" t="str">
        <f>IFERROR(IF(VLOOKUP(BI282,Кабель_обозначение,3,FALSE)=1,CF282&amp;" ("&amp;BJ282&amp;"х"&amp;BS282&amp;")",CF282),"")</f>
        <v>ВВГнг(А)-LS (3х2,5)</v>
      </c>
      <c r="CH282" t="str">
        <f t="shared" si="370"/>
        <v>ВВГнг(А)-LS (3х2,5)
L=11-0,19%</v>
      </c>
      <c r="CI282">
        <f>IFERROR(2*ρкз_Cu*BW282/BS282,"")</f>
        <v>0.23144000000000001</v>
      </c>
      <c r="CJ282">
        <f t="shared" si="371"/>
        <v>7.6999999999999999E-2</v>
      </c>
      <c r="CK282" t="str">
        <f>IFERROR(IF(OR(D282="",NOT(ISNUMBER(BS282)),N(BW282)=0),"",_xlfn.XLOOKUP(A282,Щиты[Щит],Щиты[Zпетли на шинах, Ом])+CI282),"")</f>
        <v/>
      </c>
      <c r="CL282" t="str">
        <f>IF(ISNUMBER(CK282),c_min*(Uн_лин*1000/SQRT(3))/CK282,"")</f>
        <v/>
      </c>
      <c r="CM282" t="str">
        <f>IFERROR(IF(OR(D282="",NOT(ISNUMBER(BS282))),"",1.05*(Uн_лин*1000/SQRT(3))/(_xlfn.XLOOKUP(A282,Щиты[Щит],Щиты[Zmax на шинах, Ом])+CJ282)/1000),"")</f>
        <v/>
      </c>
      <c r="CN282" t="str">
        <f>IF(D282="","",IF(BA282&lt;&gt;"","Щит",IF(K282&lt;&gt;"",K282,IF(ISNUMBER(L282),"Сил",IF(IFERROR(_xlfn.XLOOKUP(AT282,Коды_код,Коды_группа)&amp;"","")="","Быт",_xlfn.XLOOKUP(AT282,Коды_код,Коды_группа)&amp;"")))))</f>
        <v>Пост</v>
      </c>
      <c r="CO282">
        <f>IF(CN282="Щит","щит",IF(CN282="","",IF(CN282="Быт",IFERROR(_xlfn.XLOOKUP(A282,Щиты[Щит],Щиты[Кс быт]),1),IF(CN282="Сил",IF(ISNUMBER(L282),L282,IF(Методика="нормы 2026",IFERROR(_xlfn.XLOOKUP(A282,Щиты[Щит],Щиты[Кс силовых (табл. 7.5)]),1),1)),IF(OR(CN282="Пост",CN282="Отоп"),1,IF(CN282="ВНГ",0.7,0))))))</f>
        <v>1</v>
      </c>
      <c r="CP282">
        <f t="shared" si="372"/>
        <v>1</v>
      </c>
      <c r="CQ282">
        <f t="shared" si="373"/>
        <v>0.5</v>
      </c>
      <c r="CR282">
        <f t="shared" si="374"/>
        <v>0</v>
      </c>
      <c r="CS282">
        <f t="shared" si="375"/>
        <v>0</v>
      </c>
      <c r="CT282">
        <f t="shared" si="376"/>
        <v>0.5</v>
      </c>
      <c r="CU282">
        <f t="shared" si="377"/>
        <v>0</v>
      </c>
      <c r="CV282">
        <f t="shared" si="378"/>
        <v>0</v>
      </c>
      <c r="CW282">
        <f t="shared" si="379"/>
        <v>0.5</v>
      </c>
      <c r="CX282">
        <f t="shared" si="380"/>
        <v>0.47499999999999998</v>
      </c>
      <c r="CY282">
        <f t="shared" si="381"/>
        <v>3</v>
      </c>
      <c r="CZ282" t="str">
        <f t="shared" si="382"/>
        <v>L3</v>
      </c>
      <c r="DA282" cm="1">
        <f t="array" ref="DA282">IFERROR(IF(BL282=2,_xlfn.IFS(BH282=3,VLOOKUP(BF282,Справочная_двигатели,3,FALSE),BH282=1,VLOOKUP(BF282,Справочная_двигатели,5,TRUE)),0),0)</f>
        <v>0</v>
      </c>
      <c r="DB282">
        <f>IFERROR(IF(BL282=3,VLOOKUP(BF282,Справочная_ЛЭД,2,TRUE),0),0)</f>
        <v>0</v>
      </c>
      <c r="DC282">
        <f t="shared" si="383"/>
        <v>0</v>
      </c>
      <c r="DD282" t="str">
        <f t="shared" si="384"/>
        <v>L1</v>
      </c>
      <c r="DE282" t="str" cm="1">
        <f t="array" ref="DE282">IF(D282="","",IFERROR(INDEX({"I особая","I","II","III"},MATCH(TRIM(AA282&amp;""),{"I особая","I","II","III"},0)),"III"))</f>
        <v>II</v>
      </c>
      <c r="DF282" t="str">
        <f>IF(D282="","",IF(TRIM(AB282&amp;"")&lt;&gt;"",IF(LOWER(TRIM(AB282&amp;""))="да","да","нет"),IF(IFERROR(_xlfn.XLOOKUP(AT282,Коды_код,Коды_пожарная),"")="да","да","нет")))</f>
        <v>нет</v>
      </c>
      <c r="DG282" t="str">
        <f t="shared" si="385"/>
        <v/>
      </c>
      <c r="DH282" t="str">
        <f t="shared" si="386"/>
        <v>основная</v>
      </c>
      <c r="DI282">
        <f t="shared" si="387"/>
        <v>1</v>
      </c>
      <c r="DJ282" t="str" cm="1">
        <f t="array" ref="DJ282">IF(D282="","",_xlfn.LET(_xlpm.t,IFERROR(_xlfn.XLOOKUP(1,(Шины[Шина]=DH282)*(((Шины[Щит]=A282)+(Шины[Щит]=""))&gt;0),Шины[Тип]),"")&amp;"",IF(_xlpm.t&lt;&gt;"",_xlpm.t,IF(ISNUMBER(SEARCH("ИБП",DH282)),"ИБП",IF(ISNUMBER(SEARCH("ДГУ",DH282)),"ДГУ","Ввод "&amp;DI282)))))</f>
        <v>Ввод 1</v>
      </c>
      <c r="DK282" t="str">
        <f t="shared" si="388"/>
        <v>Ввод 1</v>
      </c>
      <c r="DL282" t="str">
        <f>IF(D282="","",IF(OR(DJ282="ИБП",DJ282="ДГУ"),"I особая",IF(DJ282="Одиночная","III",_xlfn.XLOOKUP(A282,Щиты[Щит],Щиты[Категория шины «Ввод»],"III"))))</f>
        <v>II</v>
      </c>
      <c r="DM282">
        <f>IF(D282="",0,IFERROR(MATCH(DE282,{"III","II","I","I особая"},0),1))</f>
        <v>2</v>
      </c>
      <c r="DN282">
        <f t="shared" si="389"/>
        <v>2</v>
      </c>
      <c r="DO282" t="str">
        <f>IF(D282="","",IF(DM282&gt;IFERROR(MATCH(DL282,{"III","II","I","I особая"},0),1),"НЕ ОБЕСПЕЧЕНА","ОК"))</f>
        <v>ОК</v>
      </c>
      <c r="DP282" t="str">
        <f>IF(A282="","",_xlfn.XLOOKUP(A282,Щиты[Щит],Щиты[Путь],""))</f>
        <v>|ГРЩ-ЖД|ЩР-1|</v>
      </c>
      <c r="DQ282" t="str">
        <f>IF(D282="","",IF(Z282&lt;&gt;"",Z282,IF(IFERROR(_xlfn.XLOOKUP(AT282,Коды_код,Коды_вид)&amp;"","")="","Прочее",_xlfn.XLOOKUP(AT282,Коды_код,Коды_вид)&amp;"")))</f>
        <v>Системы безопасности и связи</v>
      </c>
      <c r="DR282">
        <f>IF(BD282="","",INT((BD282-1)/Столбцов_на_лист)+1)</f>
        <v>5</v>
      </c>
      <c r="DS282" t="str">
        <f t="shared" si="390"/>
        <v>ВВГнг(А)-LS (3х2,5) L=11-0,19%</v>
      </c>
      <c r="DT282">
        <f t="shared" si="391"/>
        <v>0.5</v>
      </c>
      <c r="DU282">
        <f t="shared" si="392"/>
        <v>2.2799999999999998</v>
      </c>
      <c r="DV282">
        <f t="shared" si="393"/>
        <v>1</v>
      </c>
      <c r="DW282">
        <f>IF(AT282="",0,_xlfn.LET(_xlpm.v,IFERROR(VLOOKUP(D282,УГО_спр,3,FALSE),IFERROR(VLOOKUP(AT282,УГО_спр,3,FALSE),IFERROR(VLOOKUP(LEFT(AT282,2),УГО_спр,3,FALSE),""))),IF(_xlpm.v="да",30,IF(ISNUMBER(_xlpm.v),_xlpm.v,0))))</f>
        <v>0</v>
      </c>
      <c r="DX282">
        <f t="shared" si="394"/>
        <v>0</v>
      </c>
      <c r="DY282">
        <f>IF(BD282="","",IF(AD282&lt;&gt;"",COUNTIFS(A$3:A282,A282,AD$3:AD282,"?*"),IF(OR(OR(AS282=1,A282&lt;&gt;A281),AL282="вручную"),"",IF(AS282=1,"",DZ281))))</f>
        <v>58</v>
      </c>
      <c r="DZ282">
        <f t="shared" si="395"/>
        <v>58</v>
      </c>
      <c r="EA282">
        <f>IF(D282="",0,MAX(IFERROR(--X282,0),IFERROR(--VLOOKUP(D282,УГО_спр,4,FALSE),IFERROR(--VLOOKUP(AT282,УГО_спр,4,FALSE),IFERROR(--VLOOKUP(LEFT(AT282,2),УГО_спр,4,FALSE),0)))))</f>
        <v>0</v>
      </c>
      <c r="EB282">
        <f>IF(D282="","",IFERROR(LOOKUP(INDEX(CHOOSE(BR282,Iдоп_1ж,Iдоп_2ж,Iдоп_3ж),MATCH(BS282,Iдоп_S,0))*BP282*BQ282,{6,10,16,20,25,32,40,50,63,80,100,125,160,200,250,315,400,500,630}),""))</f>
        <v>25</v>
      </c>
      <c r="EC282">
        <f>IF(AD282="","",SUMIFS(Линии[_Ток схемы],Линии[_гр.],DY282,Линии[Щит],A282,Линии[_в кабель выше],0))</f>
        <v>2.2799999999999998</v>
      </c>
      <c r="ED282">
        <f>IF(AD282="","",IFERROR(VLOOKUP(EC282,Автомат_номиналы,2,TRUE),""))</f>
        <v>6</v>
      </c>
      <c r="EE282">
        <f>IF(AD282="","",MAX(N(ED282),_xlfn.MAXIFS(Линии[_мин. по типу],Линии[_гр.],DY282,Линии[Щит],A282)))</f>
        <v>6</v>
      </c>
      <c r="EF282">
        <f>IF(AD282="","",_xlfn.MINIFS(Линии[_макс. автомат по кабелю],Линии[_гр.],DY282,Линии[Щит],A282))</f>
        <v>25</v>
      </c>
      <c r="EG282">
        <f>IF(AD282="","",MAX(1,_xlfn.MAXIFS(Линии[_фаз],Линии[_гр.],DY282,Линии[Щит],A282)))</f>
        <v>1</v>
      </c>
      <c r="EH282">
        <f>IF(AD282="","",IF(AND(AD282&lt;&gt;"авто",AD282&lt;&gt;"+"),IF(ISNUMBER(SEARCH("мА",AD282)),IFERROR(--TRIM(RIGHT(SUBSTITUTE(LEFT(AD282,SEARCH("мА",AD282)-1)," ",REPT(" ",9)),6)),30),0),IF(AE282="нет",0,IF(ISNUMBER(AE282),AE282,IF(AE282="да",30,_xlfn.MINIFS(Линии[_дифзащита по коду, мА],Линии[_гр.],DY282,Линии[Щит],A282,Линии[_дифзащита по коду, мА],"&gt;0"))))))</f>
        <v>0</v>
      </c>
      <c r="EI282">
        <f t="shared" si="396"/>
        <v>0</v>
      </c>
      <c r="EJ282" t="str">
        <f t="shared" si="397"/>
        <v>QF58</v>
      </c>
      <c r="EK282" t="str">
        <f t="shared" si="398"/>
        <v>QF58</v>
      </c>
      <c r="EL282" t="str">
        <f t="shared" si="399"/>
        <v/>
      </c>
      <c r="EM282">
        <f t="shared" si="400"/>
        <v>0</v>
      </c>
      <c r="EN282">
        <f>IF(AD282="","",IF(EM282=1,MAX(EE282,Мин_автомат_БП),EE282))</f>
        <v>6</v>
      </c>
      <c r="EO282" t="str">
        <f t="shared" si="401"/>
        <v>1P</v>
      </c>
      <c r="EP282" t="str">
        <f t="shared" si="402"/>
        <v>1P С6А</v>
      </c>
      <c r="EQ282">
        <f t="shared" si="403"/>
        <v>6</v>
      </c>
      <c r="ER282" t="str">
        <f>IF(OR(AI282="",AI282="-"),"",IFERROR(VLOOKUP(AI282,Модули_спр,2,FALSE),"R"))</f>
        <v/>
      </c>
      <c r="ES282" t="str">
        <f>IF(ER282="","",ER282&amp;"."&amp;COUNTIFS(A$3:A282,A282,ER$3:ER282,ER282))</f>
        <v/>
      </c>
      <c r="ET282" t="str">
        <f t="shared" si="404"/>
        <v/>
      </c>
      <c r="EU282" t="str">
        <f t="shared" si="405"/>
        <v/>
      </c>
      <c r="EV282" t="str">
        <f t="shared" si="406"/>
        <v/>
      </c>
      <c r="EW282" t="str">
        <f t="shared" si="407"/>
        <v/>
      </c>
      <c r="EX282">
        <f t="shared" si="408"/>
        <v>1</v>
      </c>
      <c r="EY282" t="str">
        <f>IF(AK282="нет","",IF(AK282&lt;&gt;"",AK282,IF(EX282=1,"XT"&amp;COUNTIFS(A$3:A282,A282,EX$3:EX282,1),"")))</f>
        <v>XT58</v>
      </c>
      <c r="EZ282" t="str">
        <f t="shared" si="409"/>
        <v>QF58</v>
      </c>
      <c r="FA282" t="str">
        <f t="shared" si="410"/>
        <v/>
      </c>
      <c r="FB282" t="str">
        <f t="shared" si="411"/>
        <v>ok</v>
      </c>
      <c r="FC282" t="str">
        <f>IF(OR(EV282="",ET282=""),"",IF(EV282&gt;IFERROR(VLOOKUP(EU282,Модули_спр,3,FALSE),99),"ЛИШНИЙ КАНАЛ",IF(AND(AJ282&lt;&gt;"=",COUNTIFS(Линии[_модуль гр.],ET282,Линии[Канал (итог)],EV282,Линии[Канал],"&lt;&gt;=",Линии[Щит],A282)&gt;1),"ДУБЛЬ КАНАЛА","")))</f>
        <v/>
      </c>
      <c r="FD282">
        <f t="shared" si="412"/>
        <v>6</v>
      </c>
      <c r="FE282" t="str">
        <f t="shared" si="413"/>
        <v>1P С6А</v>
      </c>
      <c r="FF282">
        <f t="shared" si="414"/>
        <v>0</v>
      </c>
      <c r="FG282">
        <f t="shared" si="415"/>
        <v>0</v>
      </c>
      <c r="FH282" t="str">
        <f t="shared" si="416"/>
        <v/>
      </c>
      <c r="FI282">
        <f t="shared" si="417"/>
        <v>10</v>
      </c>
      <c r="FJ282" t="str">
        <f t="shared" si="418"/>
        <v/>
      </c>
      <c r="FK282" t="str">
        <f>IF(AND(D282="",EZ282=""),"",_xlfn.TEXTJOIN("; ",TRUE,IF(AND(D282&lt;&gt;"",DD282=""),"нет фазы",""),IF(AND(D282&lt;&gt;"",N(DT282)=0,CN282&lt;&gt;"Нет"),"нет мощности",""),IF(AND(EY282&lt;&gt;"",COUNTIFS(Линии[Щит],A282,Линии[Клемма (итог)],EY282)&gt;1),"дубль клеммы "&amp;EY282,""),IF(AND(FB282&lt;&gt;"",FB282&lt;&gt;"ok"),FB282,""),IF(FC282&lt;&gt;"",FC282,""),IF(AND(ISNUMBER(SEARCH("(5х",DS282)),N(DV282)=1),"5 жил на 1 фазе",""),IF(AND(AT282="R",AD282&lt;&gt;"",OR(N(EH282)=0,N(EH282)&gt;30)),"розетка без дифзащиты до 30 мА",""),IFERROR(IF(AND(ISNUMBER(CD282),CD282&gt;CE282),"потери "&amp;FIXED(CD282,1)&amp;" % &gt; "&amp;CE282&amp;" %",""),""),IFERROR(IF(LEFT(FJ282,4)="мало","Iкз мало — отключение &gt; 0,4 с",""),""),IF(AND(D282&lt;&gt;"",BD282=""),"не на схеме","")))</f>
        <v/>
      </c>
      <c r="FL282" t="str">
        <f>IF(AD282="","",_xlfn.LET(_xlpm.t,IFERROR(_xlfn.XLOOKUP(EP282,Каталог!$U$4:$U$500,Каталог!$G$4:$G$500),""),_xlpm.k,SEARCH("кА",_xlpm.t),IFERROR(--TRIM(RIGHT(SUBSTITUTE(MID(_xlpm.t,MAX(1,_xlpm.k-4),_xlpm.k-MAX(1,_xlpm.k-4))," ",REPT(" ",9)),5)),"")))</f>
        <v/>
      </c>
      <c r="FM282" t="str">
        <f>IF(OR(FL282="",AD282=""),"",IF(_xlfn.XLOOKUP(A282,Щиты[Щит],Щиты[Iкз max на шинах, кА],"")="","",IF(FL282&lt;_xlfn.XLOOKUP(A282,Щиты[Щит],Щиты[Iкз max на шинах, кА]),"Icu "&amp;FL282&amp;" кА &lt; Iкз max","ok")))</f>
        <v/>
      </c>
      <c r="FN282" t="str">
        <f t="shared" si="419"/>
        <v>QF58|XT58</v>
      </c>
      <c r="FO282" t="str">
        <f t="shared" si="420"/>
        <v>QF58|XT58|кабель ВВГнг(А)-LS (3х2,5) → Щит контроля доступа ЩКД-1 Первый этаж Пом. №002Б</v>
      </c>
      <c r="FP282" t="str" cm="1">
        <f t="array" ref="FP282">IF(FO282="","",_xlfn.LET(_xlpm.nd,_xlfn.TEXTSPLIT(FO282,"|"),IF(COLUMNS(_xlpm.nd)&gt;1,A282&amp;"¦"&amp;INDEX(_xlpm.nd,1)&amp;"¦"&amp;INDEX(_xlpm.nd,2),"")))</f>
        <v>ЩР-1¦QF58¦XT58</v>
      </c>
      <c r="FQ282" t="str">
        <f t="shared" si="421"/>
        <v>ЩКД.1¦Щит контроля доступа ЩКД-1 Первый этаж Пом. №002Б</v>
      </c>
      <c r="FR282" t="str" cm="1">
        <f t="array" ref="FR282">IF(FO282="","",_xlfn.LET(_xlpm.nd,_xlfn.TEXTSPLIT(FO282,"|"),IF(COLUMNS(_xlpm.nd)&gt;2,A282&amp;"¦"&amp;INDEX(_xlpm.nd,2)&amp;"¦"&amp;INDEX(_xlpm.nd,3),"")))</f>
        <v>ЩР-1¦XT58¦кабель ВВГнг(А)-LS (3х2,5) → Щит контроля доступа ЩКД-1 Первый этаж Пом. №002Б</v>
      </c>
      <c r="FS282" t="str">
        <f t="shared" si="422"/>
        <v>ЩКД.1¦Щит контроля доступа ЩКД-1 Первый этаж Пом. №002Б</v>
      </c>
      <c r="FT282" t="str" cm="1">
        <f t="array" ref="FT282">IF(FO282="","",_xlfn.LET(_xlpm.nd,_xlfn.TEXTSPLIT(FO282,"|"),IF(COLUMNS(_xlpm.nd)&gt;3,A282&amp;"¦"&amp;INDEX(_xlpm.nd,3)&amp;"¦"&amp;INDEX(_xlpm.nd,4),"")))</f>
        <v/>
      </c>
      <c r="FU282" t="str">
        <f t="shared" si="423"/>
        <v/>
      </c>
      <c r="FV282" t="str" cm="1">
        <f t="array" ref="FV282">IF(FO282="","",_xlfn.LET(_xlpm.nd,_xlfn.TEXTSPLIT(FO282,"|"),IF(COLUMNS(_xlpm.nd)&gt;4,A282&amp;"¦"&amp;INDEX(_xlpm.nd,4)&amp;"¦"&amp;INDEX(_xlpm.nd,5),"")))</f>
        <v/>
      </c>
      <c r="FW282" t="str">
        <f t="shared" si="424"/>
        <v/>
      </c>
      <c r="FX282" t="str" cm="1">
        <f t="array" ref="FX282">IF(FO282="","",_xlfn.LET(_xlpm.nd,_xlfn.TEXTSPLIT(FO282,"|"),IF(COLUMNS(_xlpm.nd)&gt;5,A282&amp;"¦"&amp;INDEX(_xlpm.nd,5)&amp;"¦"&amp;INDEX(_xlpm.nd,6),"")))</f>
        <v/>
      </c>
      <c r="FY282" t="str">
        <f t="shared" si="425"/>
        <v/>
      </c>
      <c r="FZ282" t="str" cm="1">
        <f t="array" ref="FZ282">IF(FO282="","",_xlfn.LET(_xlpm.nd,_xlfn.TEXTSPLIT(FO282,"|"),IF(COLUMNS(_xlpm.nd)&gt;6,A282&amp;"¦"&amp;INDEX(_xlpm.nd,6)&amp;"¦"&amp;INDEX(_xlpm.nd,7),"")))</f>
        <v/>
      </c>
      <c r="GA282" t="str">
        <f t="shared" si="426"/>
        <v/>
      </c>
      <c r="GB282" t="str">
        <f t="shared" si="427"/>
        <v/>
      </c>
      <c r="GC282" t="str">
        <f t="shared" si="428"/>
        <v>QF58 → XT58</v>
      </c>
      <c r="GD282">
        <f t="shared" si="429"/>
        <v>1</v>
      </c>
      <c r="GE282">
        <f t="shared" si="430"/>
        <v>0</v>
      </c>
      <c r="GF282">
        <f t="shared" si="431"/>
        <v>0</v>
      </c>
      <c r="GG282" t="str">
        <f t="shared" si="432"/>
        <v/>
      </c>
      <c r="GH282" t="str">
        <f t="shared" si="433"/>
        <v/>
      </c>
      <c r="GI282" t="str">
        <f t="shared" si="434"/>
        <v/>
      </c>
      <c r="GJ282" t="str">
        <f t="shared" si="435"/>
        <v/>
      </c>
      <c r="GK282">
        <f>IF(D282="","",IFERROR(VLOOKUP(D282,УГО_спр,2,FALSE),IFERROR(VLOOKUP(AT282,УГО_спр,2,FALSE),IFERROR(VLOOKUP(LEFT(AT282,2),УГО_спр,2,FALSE),""))))</f>
        <v>0</v>
      </c>
      <c r="GL282" t="str">
        <f>IF(D282="","",IF(OR(GK282="",GK282=0),"BOX",IFERROR(IF(VLOOKUP(GK282,УГО_блоки,3,FALSE)&amp;""&lt;&gt;"",VLOOKUP(GK282,УГО_блоки,3,FALSE),VLOOKUP(GK282,УГО_блоки,2,FALSE)),GK282)))</f>
        <v>BOX</v>
      </c>
      <c r="GM282">
        <f t="shared" si="436"/>
        <v>1</v>
      </c>
      <c r="GN282" t="str">
        <f>IF(EP282="","",IF(COUNTIF(EP$3:EP282,EP282)=1,MAX(GN$2:GN281)+1,""))</f>
        <v/>
      </c>
      <c r="GO282" t="str">
        <f>IF(AF282="","",IF(COUNTIF(AF$3:AF282,AF282)+COUNTIF(AG$2:AG281,AF282)+COUNTIF(AH$2:AH281,AF282)=1,MAX(GO$2:GQ281)+1,""))</f>
        <v/>
      </c>
      <c r="GP282" t="str">
        <f>IF(AG282="","",IF(COUNTIF(AF$3:AF282,AG282)+COUNTIF(AG$3:AG282,AG282)+COUNTIF(AH$2:AH281,AG282)=1,MAX(GO$2:GQ281,GO282)+1,""))</f>
        <v/>
      </c>
      <c r="GQ282" t="str">
        <f>IF(AH282="","",IF(COUNTIF(AF$3:AF282,AH282)+COUNTIF(AG$3:AG282,AH282)+COUNTIF(AH$3:AH282,AH282)=1,MAX(GO$2:GQ281,GO282,GP282)+1,""))</f>
        <v/>
      </c>
      <c r="GR282" t="str">
        <f t="shared" si="437"/>
        <v>3х2,5</v>
      </c>
      <c r="GS282" t="str">
        <f>IF(GR282="","",IF(COUNTIF(GR$3:GR282,GR282)=1,MAX(GS$2:GS281)+1,""))</f>
        <v/>
      </c>
      <c r="GT282" t="str">
        <f>IF(ES282="","",COUNTIF(ES$3:ES282,"?*"))</f>
        <v/>
      </c>
      <c r="GU282" t="str">
        <f>IF(OR(ES282="",EU282=""),"",IF(COUNTIFS(ES$3:ES282,"?*",EU$3:EU282,EU282)=1,MAX(GU$2:GU281)+1,""))</f>
        <v/>
      </c>
      <c r="GV282">
        <f t="shared" si="438"/>
        <v>0</v>
      </c>
      <c r="GW282">
        <f>IF(D282="","",COUNTIF(D$3:D282,"?*"))</f>
        <v>280</v>
      </c>
      <c r="GX282">
        <f>IF(EX282&lt;&gt;1,0,_xlfn.LET(_xlpm.k,MAX(IFERROR(--VLOOKUP(D282,УГО_спр,5,FALSE),0),IFERROR(--VLOOKUP(AT282,УГО_спр,5,FALSE),0),IFERROR(--VLOOKUP(LEFT(AT282,2),УГО_спр,5,FALSE),0)),IF(_xlpm.k&gt;0,_xlpm.k,IF(IFERROR(--LEFT(SUBSTITUTE(GR282,"x","х"),FIND("х",SUBSTITUTE(GR282,"x","х"))-1),3)&gt;3,Каталог!$S$9,1))))</f>
        <v>1</v>
      </c>
      <c r="GY282">
        <f t="shared" si="439"/>
        <v>0</v>
      </c>
    </row>
    <row r="283" spans="1:207" x14ac:dyDescent="0.3">
      <c r="A283" t="s">
        <v>764</v>
      </c>
      <c r="B283">
        <v>2</v>
      </c>
      <c r="C283" t="str">
        <f>IF(BD283="","",IF(BE283="вводной узел","узел ","")&amp;"л."&amp;(INT((BD283-1)/Столбцов_на_лист)+1)&amp;" / "&amp;(MOD(BD283-1,Столбцов_на_лист)+1))</f>
        <v>узел л.1 / 2</v>
      </c>
      <c r="D283" t="s">
        <v>746</v>
      </c>
      <c r="E283" s="133" t="s">
        <v>58</v>
      </c>
      <c r="G283" t="s">
        <v>18</v>
      </c>
      <c r="H283">
        <v>1</v>
      </c>
      <c r="I283">
        <v>4</v>
      </c>
      <c r="J283">
        <v>400</v>
      </c>
      <c r="K283" t="s">
        <v>551</v>
      </c>
      <c r="O283">
        <v>2</v>
      </c>
      <c r="U283" t="s">
        <v>11</v>
      </c>
      <c r="V283">
        <v>5</v>
      </c>
      <c r="W283">
        <v>4</v>
      </c>
      <c r="X283">
        <v>16</v>
      </c>
      <c r="AL283" t="s">
        <v>1301</v>
      </c>
      <c r="AR283" t="str">
        <f t="shared" si="353"/>
        <v/>
      </c>
      <c r="AS283" cm="1">
        <f t="array" ref="AS283">ROW()-ROW(Линии[#Headers])</f>
        <v>281</v>
      </c>
      <c r="AT283" t="str">
        <f t="shared" si="354"/>
        <v>Ввод</v>
      </c>
      <c r="AU283" t="str">
        <f t="shared" si="355"/>
        <v>1</v>
      </c>
      <c r="AV283" t="str">
        <f t="shared" si="356"/>
        <v>1</v>
      </c>
      <c r="AW283" t="str">
        <f t="shared" si="357"/>
        <v/>
      </c>
      <c r="AX283" t="str">
        <f t="shared" si="358"/>
        <v/>
      </c>
      <c r="AY283" t="str">
        <f>IF(D283="","",IF(ISERROR(SEARCH(".",D283)),IFERROR(VLOOKUP(D283,Потребители_обозначение,2,FALSE)&amp;"",""),IFERROR(IF(VLOOKUP(AT283,Потребители_обозначение,4,FALSE)=1,VLOOKUP(AT283,Потребители_обозначение,2,FALSE)&amp;" "&amp;VLOOKUP(AV283,Этаж_обозначение,2,FALSE)&amp;" Пом. №"&amp;AX283,VLOOKUP(AT283,Потребители_обозначение,2,FALSE)&amp;" Шлейф №"&amp;AV283),IFERROR(VLOOKUP(D283,Потребители_обозначение,2,FALSE),""))))</f>
        <v>Вводной кабель Шлейф №1</v>
      </c>
      <c r="AZ283" t="str">
        <f t="shared" si="359"/>
        <v>Ввод</v>
      </c>
      <c r="BA283" t="str">
        <f>IF(F283&lt;&gt;"",F283,IF(AND(D283&lt;&gt;"",D283&lt;&gt;A283,ISNUMBER(_xlfn.XMATCH(D283,Щиты[Щит]))),D283,""))</f>
        <v/>
      </c>
      <c r="BB283">
        <f>IFERROR(_xlfn.XMATCH(A283,Щиты[Щит]),0)</f>
        <v>11</v>
      </c>
      <c r="BC283">
        <f>IFERROR(N(_xlfn.XLOOKUP(A283,Щиты[Щит],Щиты[Мест под вводной узел])),15)</f>
        <v>8</v>
      </c>
      <c r="BD283">
        <f t="shared" si="360"/>
        <v>2</v>
      </c>
      <c r="BE283" t="str">
        <f t="shared" si="361"/>
        <v>вводной узел</v>
      </c>
      <c r="BF283">
        <f>IF(D283="","",IF(BA283&lt;&gt;"",IFERROR(_xlfn.XLOOKUP(BA283,Щиты[Щит],Щиты[Руст, кВт]),0),N(G283)))</f>
        <v>0</v>
      </c>
      <c r="BG283">
        <f>IF(J283&lt;&gt;"",J283,IF(D283="","",IFERROR(IF(VLOOKUP(AT283,Потребители_обозначение,8,FALSE)=0,"",VLOOKUP(AT283,Потребители_обозначение,8,FALSE)),"")))</f>
        <v>400</v>
      </c>
      <c r="BH283">
        <f>IF(I283&lt;&gt;"",I283,IF(D283="","",IFERROR(IF(VLOOKUP(AT283,Потребители_обозначение,9,FALSE)=0,"",VLOOKUP(AT283,Потребители_обозначение,9,FALSE)),"")))</f>
        <v>4</v>
      </c>
      <c r="BI283" t="str">
        <f>IF(U283&lt;&gt;"",U283,IF(D283="","",IFERROR(IF(VLOOKUP(AT283,Потребители_обозначение,6,FALSE)=0,"",VLOOKUP(AT283,Потребители_обозначение,6,FALSE)),"")))</f>
        <v>мс</v>
      </c>
      <c r="BJ283">
        <f>IF(V283&lt;&gt;"",V283,IF(D283="","",IFERROR(IF(VLOOKUP(AT283,Потребители_обозначение,7,FALSE)=0,"",VLOOKUP(AT283,Потребители_обозначение,7,FALSE)),"")))</f>
        <v>5</v>
      </c>
      <c r="BK283">
        <f>IF(W283&lt;&gt;"",W283,IF(D283="","",IFERROR(IF(VLOOKUP(AT283,Потребители_обозначение,10,FALSE)=0,"",VLOOKUP(AT283,Потребители_обозначение,10,FALSE)),"")))</f>
        <v>4</v>
      </c>
      <c r="BL283">
        <f>IFERROR(VLOOKUP(AT283,Потребители_обозначение,5,FALSE),0)</f>
        <v>1</v>
      </c>
      <c r="BM283" cm="1">
        <f t="array" ref="BM283">IF(D283="","",IF(BA283&lt;&gt;"",IFERROR(_xlfn.XLOOKUP(BA283,Щиты[Щит],Щиты[cos φ]),0.95),IF(ISNUMBER(M283),M283,IFERROR(IF(BL283=2,_xlfn.IFS(BH283=3,VLOOKUP(BF283,Справочная_двигатели,8,FALSE),BH283=1,VLOOKUP(BF283,Справочная_двигатели,10,TRUE)),IF(AND(Методика="нормы 2026",CN283="Сил"),0.8,0.95)),0.95))))</f>
        <v>0.95</v>
      </c>
      <c r="BN283" t="str" cm="1">
        <f t="array" ref="BN283">IF(D283="","",IF(BA283&lt;&gt;"",IFERROR(_xlfn.XLOOKUP(BA283,Щиты[Щит],Щиты[Iр, А]),""),IFERROR(_xlfn.IFS(BH283=1,BF283/((Uн_лин/SQRT(3))*BM283),BH283=3,BF283/(SQRT(3)*Uн_лин*BM283)),"")))</f>
        <v/>
      </c>
      <c r="BO283">
        <f>IF(D283="","",IF(N(X283)=0,IFERROR(VLOOKUP(BN283,Автомат_номиналы,2,TRUE),""),X283))</f>
        <v>16</v>
      </c>
      <c r="BP283">
        <f t="shared" si="362"/>
        <v>0.92</v>
      </c>
      <c r="BQ283">
        <f>IF(ISNUMBER(Y283),Y283,К_прокл)</f>
        <v>1</v>
      </c>
      <c r="BR283">
        <f t="shared" si="363"/>
        <v>3</v>
      </c>
      <c r="BS283" cm="1">
        <f t="array" ref="BS283">IF(D283="","",IF(N(BK283)&lt;&gt;0,BK283,IFERROR(_xlfn.LET(_xlpm.need,BO283/(BP283*BQ283),_xlpm.t,CHOOSE(BR283,Iдоп_1ж,Iдоп_2ж,Iдоп_3ж),_xlpm.k,_xlfn.XMATCH(_xlpm.need,_xlpm.t,1),IF(ISNA(_xlpm.k),"Не исп",INDEX(Iдоп_S,_xlpm.k))),"Не исп")))</f>
        <v>4</v>
      </c>
      <c r="BT283">
        <f>IFERROR(VLOOKUP(BS283,Кабель_сопротивление,3,FALSE),"")</f>
        <v>2.2499999999999999E-2</v>
      </c>
      <c r="BU283">
        <f>IFERROR(VLOOKUP(BS283,Кабель_сопротивление,2,FALSE),"")</f>
        <v>9.5000000000000001E-2</v>
      </c>
      <c r="BV283" t="str">
        <f t="shared" si="364"/>
        <v/>
      </c>
      <c r="BW283" t="str">
        <f>IF(D283="","",IFERROR(IF(VLOOKUP(AT283,Потребители_обозначение,4,FALSE)=1,VLOOKUP(AT283,Потребители_обозначение,3,FALSE)*(H283*2-1)+BV283+VLOOKUP(AV283,Этаж_обозначение,3,FALSE)+VLOOKUP(AV283,Этаж_обозначение,4,FALSE),VLOOKUP(AT283,Потребители_обозначение,3,FALSE)*(H283*2-1)+BV283),BV283))</f>
        <v/>
      </c>
      <c r="BX283" t="str">
        <f t="shared" si="365"/>
        <v/>
      </c>
      <c r="BY283" t="str">
        <f t="shared" si="366"/>
        <v/>
      </c>
      <c r="BZ283" t="str">
        <f t="shared" si="367"/>
        <v/>
      </c>
      <c r="CA283">
        <f t="shared" si="368"/>
        <v>0.31</v>
      </c>
      <c r="CB283" t="str">
        <f t="shared" si="369"/>
        <v/>
      </c>
      <c r="CC283" t="str">
        <f>IFERROR(ROUNDUP(CB283/((Uн_лин/SQRT(3))*1000)*100,2),"")</f>
        <v/>
      </c>
      <c r="CD283" t="str">
        <f>IF(ISNUMBER(CC283),CC283+IFERROR(_xlfn.XLOOKUP(A283,Щиты[Щит],Щиты[ΔU до шин, %]),0),"")</f>
        <v/>
      </c>
      <c r="CE283">
        <f>IF(D283="","",IF(IFERROR(VLOOKUP(AT283,УГО_спр,2,FALSE),"")="Светильник",3,4)+IF(Методика="нормы 2026",MIN(0.5,MAX(0,N(BW283)-100)*0.005),0))</f>
        <v>4</v>
      </c>
      <c r="CF283" t="str">
        <f>IFERROR(VLOOKUP(BI283,Кабель_обозначение,2,FALSE),"")</f>
        <v>ВВГнг(А)-LS</v>
      </c>
      <c r="CG283" t="str">
        <f>IFERROR(IF(VLOOKUP(BI283,Кабель_обозначение,3,FALSE)=1,CF283&amp;" ("&amp;BJ283&amp;"х"&amp;BS283&amp;")",CF283),"")</f>
        <v>ВВГнг(А)-LS (5х4)</v>
      </c>
      <c r="CH283" t="str">
        <f t="shared" si="370"/>
        <v/>
      </c>
      <c r="CI283" t="str">
        <f>IFERROR(2*ρкз_Cu*BW283/BS283,"")</f>
        <v/>
      </c>
      <c r="CJ283">
        <f t="shared" si="371"/>
        <v>0</v>
      </c>
      <c r="CK283" t="str">
        <f>IFERROR(IF(OR(D283="",NOT(ISNUMBER(BS283)),N(BW283)=0),"",_xlfn.XLOOKUP(A283,Щиты[Щит],Щиты[Zпетли на шинах, Ом])+CI283),"")</f>
        <v/>
      </c>
      <c r="CL283" t="str">
        <f>IF(ISNUMBER(CK283),c_min*(Uн_лин*1000/SQRT(3))/CK283,"")</f>
        <v/>
      </c>
      <c r="CM283" t="str">
        <f>IFERROR(IF(OR(D283="",NOT(ISNUMBER(BS283))),"",1.05*(Uн_лин*1000/SQRT(3))/(_xlfn.XLOOKUP(A283,Щиты[Щит],Щиты[Zmax на шинах, Ом])+CJ283)/1000),"")</f>
        <v/>
      </c>
      <c r="CN283" t="str">
        <f>IF(D283="","",IF(BA283&lt;&gt;"","Щит",IF(K283&lt;&gt;"",K283,IF(ISNUMBER(L283),"Сил",IF(IFERROR(_xlfn.XLOOKUP(AT283,Коды_код,Коды_группа)&amp;"","")="","Быт",_xlfn.XLOOKUP(AT283,Коды_код,Коды_группа)&amp;"")))))</f>
        <v>Нет</v>
      </c>
      <c r="CO283">
        <f>IF(CN283="Щит","щит",IF(CN283="","",IF(CN283="Быт",IFERROR(_xlfn.XLOOKUP(A283,Щиты[Щит],Щиты[Кс быт]),1),IF(CN283="Сил",IF(ISNUMBER(L283),L283,IF(Методика="нормы 2026",IFERROR(_xlfn.XLOOKUP(A283,Щиты[Щит],Щиты[Кс силовых (табл. 7.5)]),1),1)),IF(OR(CN283="Пост",CN283="Отоп"),1,IF(CN283="ВНГ",0.7,0))))))</f>
        <v>0</v>
      </c>
      <c r="CP283">
        <f t="shared" si="372"/>
        <v>1</v>
      </c>
      <c r="CQ283">
        <f t="shared" si="373"/>
        <v>0</v>
      </c>
      <c r="CR283">
        <f t="shared" si="374"/>
        <v>0</v>
      </c>
      <c r="CS283">
        <f t="shared" si="375"/>
        <v>0</v>
      </c>
      <c r="CT283">
        <f t="shared" si="376"/>
        <v>0</v>
      </c>
      <c r="CU283">
        <f t="shared" si="377"/>
        <v>0</v>
      </c>
      <c r="CV283">
        <f t="shared" si="378"/>
        <v>0</v>
      </c>
      <c r="CW283">
        <f t="shared" si="379"/>
        <v>0</v>
      </c>
      <c r="CX283">
        <f t="shared" si="380"/>
        <v>0</v>
      </c>
      <c r="CY283">
        <f t="shared" si="381"/>
        <v>1</v>
      </c>
      <c r="CZ283" t="str">
        <f t="shared" si="382"/>
        <v>L1</v>
      </c>
      <c r="DA283" cm="1">
        <f t="array" ref="DA283">IFERROR(IF(BL283=2,_xlfn.IFS(BH283=3,VLOOKUP(BF283,Справочная_двигатели,3,FALSE),BH283=1,VLOOKUP(BF283,Справочная_двигатели,5,TRUE)),0),0)</f>
        <v>0</v>
      </c>
      <c r="DB283">
        <f>IFERROR(IF(BL283=3,VLOOKUP(BF283,Справочная_ЛЭД,2,TRUE),0),0)</f>
        <v>0</v>
      </c>
      <c r="DC283">
        <f t="shared" si="383"/>
        <v>0</v>
      </c>
      <c r="DD283" t="str">
        <f t="shared" si="384"/>
        <v>L2</v>
      </c>
      <c r="DE283" t="str" cm="1">
        <f t="array" ref="DE283">IF(D283="","",IFERROR(INDEX({"I особая","I","II","III"},MATCH(TRIM(AA283&amp;""),{"I особая","I","II","III"},0)),"III"))</f>
        <v>III</v>
      </c>
      <c r="DF283" t="str">
        <f>IF(D283="","",IF(TRIM(AB283&amp;"")&lt;&gt;"",IF(LOWER(TRIM(AB283&amp;""))="да","да","нет"),IF(IFERROR(_xlfn.XLOOKUP(AT283,Коды_код,Коды_пожарная),"")="да","да","нет")))</f>
        <v>нет</v>
      </c>
      <c r="DG283" t="str">
        <f t="shared" si="385"/>
        <v/>
      </c>
      <c r="DH283" t="str">
        <f t="shared" si="386"/>
        <v>основная</v>
      </c>
      <c r="DI283">
        <f t="shared" si="387"/>
        <v>1</v>
      </c>
      <c r="DJ283" t="str" cm="1">
        <f t="array" ref="DJ283">IF(D283="","",_xlfn.LET(_xlpm.t,IFERROR(_xlfn.XLOOKUP(1,(Шины[Шина]=DH283)*(((Шины[Щит]=A283)+(Шины[Щит]=""))&gt;0),Шины[Тип]),"")&amp;"",IF(_xlpm.t&lt;&gt;"",_xlpm.t,IF(ISNUMBER(SEARCH("ИБП",DH283)),"ИБП",IF(ISNUMBER(SEARCH("ДГУ",DH283)),"ДГУ","Ввод "&amp;DI283)))))</f>
        <v>Ввод 1</v>
      </c>
      <c r="DK283" t="str">
        <f t="shared" si="388"/>
        <v>Ввод 1</v>
      </c>
      <c r="DL283" t="str">
        <f>IF(D283="","",IF(OR(DJ283="ИБП",DJ283="ДГУ"),"I особая",IF(DJ283="Одиночная","III",_xlfn.XLOOKUP(A283,Щиты[Щит],Щиты[Категория шины «Ввод»],"III"))))</f>
        <v>II</v>
      </c>
      <c r="DM283">
        <f>IF(D283="",0,IFERROR(MATCH(DE283,{"III","II","I","I особая"},0),1))</f>
        <v>1</v>
      </c>
      <c r="DN283">
        <f t="shared" si="389"/>
        <v>1</v>
      </c>
      <c r="DO283" t="str">
        <f>IF(D283="","",IF(DM283&gt;IFERROR(MATCH(DL283,{"III","II","I","I особая"},0),1),"НЕ ОБЕСПЕЧЕНА","ОК"))</f>
        <v>ОК</v>
      </c>
      <c r="DP283" t="str">
        <f>IF(A283="","",_xlfn.XLOOKUP(A283,Щиты[Щит],Щиты[Путь],""))</f>
        <v>|ГРЩ-ЖД|ЩР-2|</v>
      </c>
      <c r="DQ283" t="str">
        <f>IF(D283="","",IF(Z283&lt;&gt;"",Z283,IF(IFERROR(_xlfn.XLOOKUP(AT283,Коды_код,Коды_вид)&amp;"","")="","Прочее",_xlfn.XLOOKUP(AT283,Коды_код,Коды_вид)&amp;"")))</f>
        <v>Прочее</v>
      </c>
      <c r="DR283">
        <f>IF(BD283="","",INT((BD283-1)/Столбцов_на_лист)+1)</f>
        <v>1</v>
      </c>
      <c r="DS283" t="str">
        <f t="shared" si="390"/>
        <v/>
      </c>
      <c r="DT283">
        <f t="shared" si="391"/>
        <v>0</v>
      </c>
      <c r="DU283" t="str">
        <f t="shared" si="392"/>
        <v/>
      </c>
      <c r="DV283">
        <f t="shared" si="393"/>
        <v>4</v>
      </c>
      <c r="DW283">
        <f>IF(AT283="",0,_xlfn.LET(_xlpm.v,IFERROR(VLOOKUP(D283,УГО_спр,3,FALSE),IFERROR(VLOOKUP(AT283,УГО_спр,3,FALSE),IFERROR(VLOOKUP(LEFT(AT283,2),УГО_спр,3,FALSE),""))),IF(_xlpm.v="да",30,IF(ISNUMBER(_xlpm.v),_xlpm.v,0))))</f>
        <v>0</v>
      </c>
      <c r="DX283">
        <f t="shared" si="394"/>
        <v>0</v>
      </c>
      <c r="DY283" t="str">
        <f>IF(BD283="","",IF(AD283&lt;&gt;"",COUNTIFS(A$3:A283,A283,AD$3:AD283,"?*"),IF(OR(OR(AS283=1,A283&lt;&gt;A282),AL283="вручную"),"",IF(AS283=1,"",DZ282))))</f>
        <v/>
      </c>
      <c r="DZ283" t="str">
        <f t="shared" si="395"/>
        <v/>
      </c>
      <c r="EA283">
        <f>IF(D283="",0,MAX(IFERROR(--X283,0),IFERROR(--VLOOKUP(D283,УГО_спр,4,FALSE),IFERROR(--VLOOKUP(AT283,УГО_спр,4,FALSE),IFERROR(--VLOOKUP(LEFT(AT283,2),УГО_спр,4,FALSE),0)))))</f>
        <v>16</v>
      </c>
      <c r="EB283">
        <f>IF(D283="","",IFERROR(LOOKUP(INDEX(CHOOSE(BR283,Iдоп_1ж,Iдоп_2ж,Iдоп_3ж),MATCH(BS283,Iдоп_S,0))*BP283*BQ283,{6,10,16,20,25,32,40,50,63,80,100,125,160,200,250,315,400,500,630}),""))</f>
        <v>32</v>
      </c>
      <c r="EC283" t="str">
        <f>IF(AD283="","",SUMIFS(Линии[_Ток схемы],Линии[_гр.],DY283,Линии[Щит],A283,Линии[_в кабель выше],0))</f>
        <v/>
      </c>
      <c r="ED283" t="str">
        <f>IF(AD283="","",IFERROR(VLOOKUP(EC283,Автомат_номиналы,2,TRUE),""))</f>
        <v/>
      </c>
      <c r="EE283" t="str">
        <f>IF(AD283="","",MAX(N(ED283),_xlfn.MAXIFS(Линии[_мин. по типу],Линии[_гр.],DY283,Линии[Щит],A283)))</f>
        <v/>
      </c>
      <c r="EF283" t="str">
        <f>IF(AD283="","",_xlfn.MINIFS(Линии[_макс. автомат по кабелю],Линии[_гр.],DY283,Линии[Щит],A283))</f>
        <v/>
      </c>
      <c r="EG283" t="str">
        <f>IF(AD283="","",MAX(1,_xlfn.MAXIFS(Линии[_фаз],Линии[_гр.],DY283,Линии[Щит],A283)))</f>
        <v/>
      </c>
      <c r="EH283" t="str">
        <f>IF(AD283="","",IF(AND(AD283&lt;&gt;"авто",AD283&lt;&gt;"+"),IF(ISNUMBER(SEARCH("мА",AD283)),IFERROR(--TRIM(RIGHT(SUBSTITUTE(LEFT(AD283,SEARCH("мА",AD283)-1)," ",REPT(" ",9)),6)),30),0),IF(AE283="нет",0,IF(ISNUMBER(AE283),AE283,IF(AE283="да",30,_xlfn.MINIFS(Линии[_дифзащита по коду, мА],Линии[_гр.],DY283,Линии[Щит],A283,Линии[_дифзащита по коду, мА],"&gt;0"))))))</f>
        <v/>
      </c>
      <c r="EI283" t="str">
        <f t="shared" si="396"/>
        <v/>
      </c>
      <c r="EJ283" t="str">
        <f t="shared" si="397"/>
        <v/>
      </c>
      <c r="EK283" t="str">
        <f t="shared" si="398"/>
        <v/>
      </c>
      <c r="EL283" t="str">
        <f t="shared" si="399"/>
        <v/>
      </c>
      <c r="EM283">
        <f t="shared" si="400"/>
        <v>0</v>
      </c>
      <c r="EN283" t="str">
        <f>IF(AD283="","",IF(EM283=1,MAX(EE283,Мин_автомат_БП),EE283))</f>
        <v/>
      </c>
      <c r="EO283" t="str">
        <f t="shared" si="401"/>
        <v/>
      </c>
      <c r="EP283" t="str">
        <f t="shared" si="402"/>
        <v/>
      </c>
      <c r="EQ283" t="str">
        <f t="shared" si="403"/>
        <v/>
      </c>
      <c r="ER283" t="str">
        <f>IF(OR(AI283="",AI283="-"),"",IFERROR(VLOOKUP(AI283,Модули_спр,2,FALSE),"R"))</f>
        <v/>
      </c>
      <c r="ES283" t="str">
        <f>IF(ER283="","",ER283&amp;"."&amp;COUNTIFS(A$3:A283,A283,ER$3:ER283,ER283))</f>
        <v/>
      </c>
      <c r="ET283" t="str">
        <f t="shared" si="404"/>
        <v/>
      </c>
      <c r="EU283" t="str">
        <f t="shared" si="405"/>
        <v/>
      </c>
      <c r="EV283" t="str">
        <f t="shared" si="406"/>
        <v/>
      </c>
      <c r="EW283" t="str">
        <f t="shared" si="407"/>
        <v/>
      </c>
      <c r="EX283">
        <f t="shared" si="408"/>
        <v>0</v>
      </c>
      <c r="EY283" t="str">
        <f>IF(AK283="нет","",IF(AK283&lt;&gt;"",AK283,IF(EX283=1,"XT"&amp;COUNTIFS(A$3:A283,A283,EX$3:EX283,1),"")))</f>
        <v/>
      </c>
      <c r="EZ283" t="str">
        <f t="shared" si="409"/>
        <v/>
      </c>
      <c r="FA283" t="str">
        <f t="shared" si="410"/>
        <v/>
      </c>
      <c r="FB283" t="str">
        <f t="shared" si="411"/>
        <v/>
      </c>
      <c r="FC283" t="str">
        <f>IF(OR(EV283="",ET283=""),"",IF(EV283&gt;IFERROR(VLOOKUP(EU283,Модули_спр,3,FALSE),99),"ЛИШНИЙ КАНАЛ",IF(AND(AJ283&lt;&gt;"=",COUNTIFS(Линии[_модуль гр.],ET283,Линии[Канал (итог)],EV283,Линии[Канал],"&lt;&gt;=",Линии[Щит],A283)&gt;1),"ДУБЛЬ КАНАЛА","")))</f>
        <v/>
      </c>
      <c r="FD283" t="str">
        <f t="shared" si="412"/>
        <v/>
      </c>
      <c r="FE283" t="str">
        <f t="shared" si="413"/>
        <v/>
      </c>
      <c r="FF283" t="str">
        <f t="shared" si="414"/>
        <v/>
      </c>
      <c r="FG283" t="str">
        <f t="shared" si="415"/>
        <v/>
      </c>
      <c r="FH283" t="str">
        <f t="shared" si="416"/>
        <v/>
      </c>
      <c r="FI283">
        <f t="shared" si="417"/>
        <v>10</v>
      </c>
      <c r="FJ283" t="str">
        <f t="shared" si="418"/>
        <v/>
      </c>
      <c r="FK283" t="str">
        <f>IF(AND(D283="",EZ283=""),"",_xlfn.TEXTJOIN("; ",TRUE,IF(AND(D283&lt;&gt;"",DD283=""),"нет фазы",""),IF(AND(D283&lt;&gt;"",N(DT283)=0,CN283&lt;&gt;"Нет"),"нет мощности",""),IF(AND(EY283&lt;&gt;"",COUNTIFS(Линии[Щит],A283,Линии[Клемма (итог)],EY283)&gt;1),"дубль клеммы "&amp;EY283,""),IF(AND(FB283&lt;&gt;"",FB283&lt;&gt;"ok"),FB283,""),IF(FC283&lt;&gt;"",FC283,""),IF(AND(ISNUMBER(SEARCH("(5х",DS283)),N(DV283)=1),"5 жил на 1 фазе",""),IF(AND(AT283="R",AD283&lt;&gt;"",OR(N(EH283)=0,N(EH283)&gt;30)),"розетка без дифзащиты до 30 мА",""),IFERROR(IF(AND(ISNUMBER(CD283),CD283&gt;CE283),"потери "&amp;FIXED(CD283,1)&amp;" % &gt; "&amp;CE283&amp;" %",""),""),IFERROR(IF(LEFT(FJ283,4)="мало","Iкз мало — отключение &gt; 0,4 с",""),""),IF(AND(D283&lt;&gt;"",BD283=""),"не на схеме","")))</f>
        <v/>
      </c>
      <c r="FL283" t="str">
        <f>IF(AD283="","",_xlfn.LET(_xlpm.t,IFERROR(_xlfn.XLOOKUP(EP283,Каталог!$U$4:$U$500,Каталог!$G$4:$G$500),""),_xlpm.k,SEARCH("кА",_xlpm.t),IFERROR(--TRIM(RIGHT(SUBSTITUTE(MID(_xlpm.t,MAX(1,_xlpm.k-4),_xlpm.k-MAX(1,_xlpm.k-4))," ",REPT(" ",9)),5)),"")))</f>
        <v/>
      </c>
      <c r="FM283" t="str">
        <f>IF(OR(FL283="",AD283=""),"",IF(_xlfn.XLOOKUP(A283,Щиты[Щит],Щиты[Iкз max на шинах, кА],"")="","",IF(FL283&lt;_xlfn.XLOOKUP(A283,Щиты[Щит],Щиты[Iкз max на шинах, кА]),"Icu "&amp;FL283&amp;" кА &lt; Iкз max","ok")))</f>
        <v/>
      </c>
      <c r="FN283" t="str">
        <f t="shared" si="419"/>
        <v/>
      </c>
      <c r="FO283" t="str">
        <f t="shared" si="420"/>
        <v/>
      </c>
      <c r="FP283" t="str" cm="1">
        <f t="array" ref="FP283">IF(FO283="","",_xlfn.LET(_xlpm.nd,_xlfn.TEXTSPLIT(FO283,"|"),IF(COLUMNS(_xlpm.nd)&gt;1,A283&amp;"¦"&amp;INDEX(_xlpm.nd,1)&amp;"¦"&amp;INDEX(_xlpm.nd,2),"")))</f>
        <v/>
      </c>
      <c r="FQ283" t="str">
        <f t="shared" si="421"/>
        <v/>
      </c>
      <c r="FR283" t="str" cm="1">
        <f t="array" ref="FR283">IF(FO283="","",_xlfn.LET(_xlpm.nd,_xlfn.TEXTSPLIT(FO283,"|"),IF(COLUMNS(_xlpm.nd)&gt;2,A283&amp;"¦"&amp;INDEX(_xlpm.nd,2)&amp;"¦"&amp;INDEX(_xlpm.nd,3),"")))</f>
        <v/>
      </c>
      <c r="FS283" t="str">
        <f t="shared" si="422"/>
        <v/>
      </c>
      <c r="FT283" t="str" cm="1">
        <f t="array" ref="FT283">IF(FO283="","",_xlfn.LET(_xlpm.nd,_xlfn.TEXTSPLIT(FO283,"|"),IF(COLUMNS(_xlpm.nd)&gt;3,A283&amp;"¦"&amp;INDEX(_xlpm.nd,3)&amp;"¦"&amp;INDEX(_xlpm.nd,4),"")))</f>
        <v/>
      </c>
      <c r="FU283" t="str">
        <f t="shared" si="423"/>
        <v/>
      </c>
      <c r="FV283" t="str" cm="1">
        <f t="array" ref="FV283">IF(FO283="","",_xlfn.LET(_xlpm.nd,_xlfn.TEXTSPLIT(FO283,"|"),IF(COLUMNS(_xlpm.nd)&gt;4,A283&amp;"¦"&amp;INDEX(_xlpm.nd,4)&amp;"¦"&amp;INDEX(_xlpm.nd,5),"")))</f>
        <v/>
      </c>
      <c r="FW283" t="str">
        <f t="shared" si="424"/>
        <v/>
      </c>
      <c r="FX283" t="str" cm="1">
        <f t="array" ref="FX283">IF(FO283="","",_xlfn.LET(_xlpm.nd,_xlfn.TEXTSPLIT(FO283,"|"),IF(COLUMNS(_xlpm.nd)&gt;5,A283&amp;"¦"&amp;INDEX(_xlpm.nd,5)&amp;"¦"&amp;INDEX(_xlpm.nd,6),"")))</f>
        <v/>
      </c>
      <c r="FY283" t="str">
        <f t="shared" si="425"/>
        <v/>
      </c>
      <c r="FZ283" t="str" cm="1">
        <f t="array" ref="FZ283">IF(FO283="","",_xlfn.LET(_xlpm.nd,_xlfn.TEXTSPLIT(FO283,"|"),IF(COLUMNS(_xlpm.nd)&gt;6,A283&amp;"¦"&amp;INDEX(_xlpm.nd,6)&amp;"¦"&amp;INDEX(_xlpm.nd,7),"")))</f>
        <v/>
      </c>
      <c r="GA283" t="str">
        <f t="shared" si="426"/>
        <v/>
      </c>
      <c r="GB283" t="str">
        <f t="shared" si="427"/>
        <v/>
      </c>
      <c r="GC283" t="str">
        <f t="shared" si="428"/>
        <v/>
      </c>
      <c r="GD283">
        <f t="shared" si="429"/>
        <v>0</v>
      </c>
      <c r="GE283">
        <f t="shared" si="430"/>
        <v>0</v>
      </c>
      <c r="GF283">
        <f t="shared" si="431"/>
        <v>0</v>
      </c>
      <c r="GG283" t="str">
        <f t="shared" si="432"/>
        <v/>
      </c>
      <c r="GH283" t="str">
        <f t="shared" si="433"/>
        <v/>
      </c>
      <c r="GI283" t="str">
        <f t="shared" si="434"/>
        <v/>
      </c>
      <c r="GJ283" t="str">
        <f t="shared" si="435"/>
        <v/>
      </c>
      <c r="GK283">
        <f>IF(D283="","",IFERROR(VLOOKUP(D283,УГО_спр,2,FALSE),IFERROR(VLOOKUP(AT283,УГО_спр,2,FALSE),IFERROR(VLOOKUP(LEFT(AT283,2),УГО_спр,2,FALSE),""))))</f>
        <v>0</v>
      </c>
      <c r="GL283" t="str">
        <f>IF(D283="","",IF(OR(GK283="",GK283=0),"BOX",IFERROR(IF(VLOOKUP(GK283,УГО_блоки,3,FALSE)&amp;""&lt;&gt;"",VLOOKUP(GK283,УГО_блоки,3,FALSE),VLOOKUP(GK283,УГО_блоки,2,FALSE)),GK283)))</f>
        <v>BOX</v>
      </c>
      <c r="GM283">
        <f t="shared" si="436"/>
        <v>1</v>
      </c>
      <c r="GN283" t="str">
        <f>IF(EP283="","",IF(COUNTIF(EP$3:EP283,EP283)=1,MAX(GN$2:GN282)+1,""))</f>
        <v/>
      </c>
      <c r="GO283" t="str">
        <f>IF(AF283="","",IF(COUNTIF(AF$3:AF283,AF283)+COUNTIF(AG$2:AG282,AF283)+COUNTIF(AH$2:AH282,AF283)=1,MAX(GO$2:GQ282)+1,""))</f>
        <v/>
      </c>
      <c r="GP283" t="str">
        <f>IF(AG283="","",IF(COUNTIF(AF$3:AF283,AG283)+COUNTIF(AG$3:AG283,AG283)+COUNTIF(AH$2:AH282,AG283)=1,MAX(GO$2:GQ282,GO283)+1,""))</f>
        <v/>
      </c>
      <c r="GQ283" t="str">
        <f>IF(AH283="","",IF(COUNTIF(AF$3:AF283,AH283)+COUNTIF(AG$3:AG283,AH283)+COUNTIF(AH$3:AH283,AH283)=1,MAX(GO$2:GQ282,GO283,GP283)+1,""))</f>
        <v/>
      </c>
      <c r="GR283" t="str">
        <f t="shared" si="437"/>
        <v/>
      </c>
      <c r="GS283" t="str">
        <f>IF(GR283="","",IF(COUNTIF(GR$3:GR283,GR283)=1,MAX(GS$2:GS282)+1,""))</f>
        <v/>
      </c>
      <c r="GT283" t="str">
        <f>IF(ES283="","",COUNTIF(ES$3:ES283,"?*"))</f>
        <v/>
      </c>
      <c r="GU283" t="str">
        <f>IF(OR(ES283="",EU283=""),"",IF(COUNTIFS(ES$3:ES283,"?*",EU$3:EU283,EU283)=1,MAX(GU$2:GU282)+1,""))</f>
        <v/>
      </c>
      <c r="GV283">
        <f t="shared" si="438"/>
        <v>0</v>
      </c>
      <c r="GW283">
        <f>IF(D283="","",COUNTIF(D$3:D283,"?*"))</f>
        <v>281</v>
      </c>
      <c r="GX283">
        <f>IF(EX283&lt;&gt;1,0,_xlfn.LET(_xlpm.k,MAX(IFERROR(--VLOOKUP(D283,УГО_спр,5,FALSE),0),IFERROR(--VLOOKUP(AT283,УГО_спр,5,FALSE),0),IFERROR(--VLOOKUP(LEFT(AT283,2),УГО_спр,5,FALSE),0)),IF(_xlpm.k&gt;0,_xlpm.k,IF(IFERROR(--LEFT(SUBSTITUTE(GR283,"x","х"),FIND("х",SUBSTITUTE(GR283,"x","х"))-1),3)&gt;3,Каталог!$S$9,1))))</f>
        <v>0</v>
      </c>
      <c r="GY283">
        <f t="shared" si="439"/>
        <v>0</v>
      </c>
    </row>
    <row r="284" spans="1:207" x14ac:dyDescent="0.3">
      <c r="A284" t="s">
        <v>764</v>
      </c>
      <c r="B284">
        <v>9</v>
      </c>
      <c r="C284" t="str">
        <f>IF(BD284="","",IF(BE284="вводной узел","узел ","")&amp;"л."&amp;(INT((BD284-1)/Столбцов_на_лист)+1)&amp;" / "&amp;(MOD(BD284-1,Столбцов_на_лист)+1))</f>
        <v>л.1 / 9</v>
      </c>
      <c r="D284" t="s">
        <v>1617</v>
      </c>
      <c r="E284" s="133" t="str">
        <f t="shared" si="352"/>
        <v>Розеточная группа Второй этаж Пом. №002А</v>
      </c>
      <c r="G284">
        <v>0.18</v>
      </c>
      <c r="H284">
        <v>3</v>
      </c>
      <c r="I284">
        <v>1</v>
      </c>
      <c r="J284">
        <v>230</v>
      </c>
      <c r="K284" t="s">
        <v>566</v>
      </c>
      <c r="O284">
        <v>3</v>
      </c>
      <c r="P284">
        <v>39</v>
      </c>
      <c r="Q284">
        <v>12</v>
      </c>
      <c r="R284">
        <v>26</v>
      </c>
      <c r="S284">
        <v>10</v>
      </c>
      <c r="T284">
        <v>2</v>
      </c>
      <c r="U284" t="s">
        <v>11</v>
      </c>
      <c r="V284">
        <v>3</v>
      </c>
      <c r="W284">
        <v>2.5</v>
      </c>
      <c r="X284">
        <v>16</v>
      </c>
      <c r="Z284" t="s">
        <v>565</v>
      </c>
      <c r="AA284" t="s">
        <v>818</v>
      </c>
      <c r="AD284" t="s">
        <v>517</v>
      </c>
      <c r="AR284" t="str">
        <f t="shared" si="353"/>
        <v/>
      </c>
      <c r="AS284" cm="1">
        <f t="array" ref="AS284">ROW()-ROW(Линии[#Headers])</f>
        <v>282</v>
      </c>
      <c r="AT284" t="str">
        <f t="shared" si="354"/>
        <v>R</v>
      </c>
      <c r="AU284" t="str">
        <f t="shared" si="355"/>
        <v>2.002А.1</v>
      </c>
      <c r="AV284" t="str">
        <f t="shared" si="356"/>
        <v>2</v>
      </c>
      <c r="AW284" t="str">
        <f t="shared" si="357"/>
        <v>002А.1</v>
      </c>
      <c r="AX284" t="str">
        <f t="shared" si="358"/>
        <v>002А</v>
      </c>
      <c r="AY284" t="str">
        <f>IF(D284="","",IF(ISERROR(SEARCH(".",D284)),IFERROR(VLOOKUP(D284,Потребители_обозначение,2,FALSE)&amp;"",""),IFERROR(IF(VLOOKUP(AT284,Потребители_обозначение,4,FALSE)=1,VLOOKUP(AT284,Потребители_обозначение,2,FALSE)&amp;" "&amp;VLOOKUP(AV284,Этаж_обозначение,2,FALSE)&amp;" Пом. №"&amp;AX284,VLOOKUP(AT284,Потребители_обозначение,2,FALSE)&amp;" Шлейф №"&amp;AV284),IFERROR(VLOOKUP(D284,Потребители_обозначение,2,FALSE),""))))</f>
        <v>Розеточная группа Второй этаж Пом. №002А</v>
      </c>
      <c r="AZ284" t="str">
        <f t="shared" si="359"/>
        <v>Розеточная группа Второй этаж Пом. №002А</v>
      </c>
      <c r="BA284" t="str">
        <f>IF(F284&lt;&gt;"",F284,IF(AND(D284&lt;&gt;"",D284&lt;&gt;A284,ISNUMBER(_xlfn.XMATCH(D284,Щиты[Щит]))),D284,""))</f>
        <v/>
      </c>
      <c r="BB284">
        <f>IFERROR(_xlfn.XMATCH(A284,Щиты[Щит]),0)</f>
        <v>11</v>
      </c>
      <c r="BC284">
        <f>IFERROR(N(_xlfn.XLOOKUP(A284,Щиты[Щит],Щиты[Мест под вводной узел])),15)</f>
        <v>8</v>
      </c>
      <c r="BD284">
        <f t="shared" si="360"/>
        <v>9</v>
      </c>
      <c r="BE284" t="str">
        <f t="shared" si="361"/>
        <v>линии</v>
      </c>
      <c r="BF284">
        <f>IF(D284="","",IF(BA284&lt;&gt;"",IFERROR(_xlfn.XLOOKUP(BA284,Щиты[Щит],Щиты[Руст, кВт]),0),N(G284)))</f>
        <v>0.18</v>
      </c>
      <c r="BG284">
        <f>IF(J284&lt;&gt;"",J284,IF(D284="","",IFERROR(IF(VLOOKUP(AT284,Потребители_обозначение,8,FALSE)=0,"",VLOOKUP(AT284,Потребители_обозначение,8,FALSE)),"")))</f>
        <v>230</v>
      </c>
      <c r="BH284">
        <f>IF(I284&lt;&gt;"",I284,IF(D284="","",IFERROR(IF(VLOOKUP(AT284,Потребители_обозначение,9,FALSE)=0,"",VLOOKUP(AT284,Потребители_обозначение,9,FALSE)),"")))</f>
        <v>1</v>
      </c>
      <c r="BI284" t="str">
        <f>IF(U284&lt;&gt;"",U284,IF(D284="","",IFERROR(IF(VLOOKUP(AT284,Потребители_обозначение,6,FALSE)=0,"",VLOOKUP(AT284,Потребители_обозначение,6,FALSE)),"")))</f>
        <v>мс</v>
      </c>
      <c r="BJ284">
        <f>IF(V284&lt;&gt;"",V284,IF(D284="","",IFERROR(IF(VLOOKUP(AT284,Потребители_обозначение,7,FALSE)=0,"",VLOOKUP(AT284,Потребители_обозначение,7,FALSE)),"")))</f>
        <v>3</v>
      </c>
      <c r="BK284">
        <f>IF(W284&lt;&gt;"",W284,IF(D284="","",IFERROR(IF(VLOOKUP(AT284,Потребители_обозначение,10,FALSE)=0,"",VLOOKUP(AT284,Потребители_обозначение,10,FALSE)),"")))</f>
        <v>2.5</v>
      </c>
      <c r="BL284">
        <f>IFERROR(VLOOKUP(AT284,Потребители_обозначение,5,FALSE),0)</f>
        <v>1</v>
      </c>
      <c r="BM284" cm="1">
        <f t="array" ref="BM284">IF(D284="","",IF(BA284&lt;&gt;"",IFERROR(_xlfn.XLOOKUP(BA284,Щиты[Щит],Щиты[cos φ]),0.95),IF(ISNUMBER(M284),M284,IFERROR(IF(BL284=2,_xlfn.IFS(BH284=3,VLOOKUP(BF284,Справочная_двигатели,8,FALSE),BH284=1,VLOOKUP(BF284,Справочная_двигатели,10,TRUE)),IF(AND(Методика="нормы 2026",CN284="Сил"),0.8,0.95)),0.95))))</f>
        <v>0.95</v>
      </c>
      <c r="BN284" cm="1">
        <f t="array" ref="BN284">IF(D284="","",IF(BA284&lt;&gt;"",IFERROR(_xlfn.XLOOKUP(BA284,Щиты[Щит],Щиты[Iр, А]),""),IFERROR(_xlfn.IFS(BH284=1,BF284/((Uн_лин/SQRT(3))*BM284),BH284=3,BF284/(SQRT(3)*Uн_лин*BM284)),"")))</f>
        <v>0.8204451193747313</v>
      </c>
      <c r="BO284">
        <f>IF(D284="","",IF(N(X284)=0,IFERROR(VLOOKUP(BN284,Автомат_номиналы,2,TRUE),""),X284))</f>
        <v>16</v>
      </c>
      <c r="BP284">
        <f t="shared" si="362"/>
        <v>1</v>
      </c>
      <c r="BQ284">
        <f>IF(ISNUMBER(Y284),Y284,К_прокл)</f>
        <v>1</v>
      </c>
      <c r="BR284">
        <f t="shared" si="363"/>
        <v>2</v>
      </c>
      <c r="BS284" cm="1">
        <f t="array" ref="BS284">IF(D284="","",IF(N(BK284)&lt;&gt;0,BK284,IFERROR(_xlfn.LET(_xlpm.need,BO284/(BP284*BQ284),_xlpm.t,CHOOSE(BR284,Iдоп_1ж,Iдоп_2ж,Iдоп_3ж),_xlpm.k,_xlfn.XMATCH(_xlpm.need,_xlpm.t,1),IF(ISNA(_xlpm.k),"Не исп",INDEX(Iдоп_S,_xlpm.k))),"Не исп")))</f>
        <v>2.5</v>
      </c>
      <c r="BT284">
        <f>IFERROR(VLOOKUP(BS284,Кабель_сопротивление,3,FALSE),"")</f>
        <v>2.2499999999999999E-2</v>
      </c>
      <c r="BU284">
        <f>IFERROR(VLOOKUP(BS284,Кабель_сопротивление,2,FALSE),"")</f>
        <v>0.1</v>
      </c>
      <c r="BV284">
        <f t="shared" si="364"/>
        <v>39</v>
      </c>
      <c r="BW284">
        <f>IF(D284="","",IFERROR(IF(VLOOKUP(AT284,Потребители_обозначение,4,FALSE)=1,VLOOKUP(AT284,Потребители_обозначение,3,FALSE)*(H284*2-1)+BV284+VLOOKUP(AV284,Этаж_обозначение,3,FALSE)+VLOOKUP(AV284,Этаж_обозначение,4,FALSE),VLOOKUP(AT284,Потребители_обозначение,3,FALSE)*(H284*2-1)+BV284),BV284))</f>
        <v>54</v>
      </c>
      <c r="BX284">
        <f t="shared" si="365"/>
        <v>26</v>
      </c>
      <c r="BY284">
        <f t="shared" si="366"/>
        <v>10</v>
      </c>
      <c r="BZ284">
        <f t="shared" si="367"/>
        <v>2</v>
      </c>
      <c r="CA284">
        <f t="shared" si="368"/>
        <v>0.31</v>
      </c>
      <c r="CB284">
        <f t="shared" si="369"/>
        <v>0.76034587349029337</v>
      </c>
      <c r="CC284">
        <f>IFERROR(ROUNDUP(CB284/((Uн_лин/SQRT(3))*1000)*100,2),"")</f>
        <v>0.33</v>
      </c>
      <c r="CD284">
        <f>IF(ISNUMBER(CC284),CC284+IFERROR(_xlfn.XLOOKUP(A284,Щиты[Щит],Щиты[ΔU до шин, %]),0),"")</f>
        <v>2.12</v>
      </c>
      <c r="CE284">
        <f>IF(D284="","",IF(IFERROR(VLOOKUP(AT284,УГО_спр,2,FALSE),"")="Светильник",3,4)+IF(Методика="нормы 2026",MIN(0.5,MAX(0,N(BW284)-100)*0.005),0))</f>
        <v>4</v>
      </c>
      <c r="CF284" t="str">
        <f>IFERROR(VLOOKUP(BI284,Кабель_обозначение,2,FALSE),"")</f>
        <v>ВВГнг(А)-LS</v>
      </c>
      <c r="CG284" t="str">
        <f>IFERROR(IF(VLOOKUP(BI284,Кабель_обозначение,3,FALSE)=1,CF284&amp;" ("&amp;BJ284&amp;"х"&amp;BS284&amp;")",CF284),"")</f>
        <v>ВВГнг(А)-LS (3х2,5)</v>
      </c>
      <c r="CH284" t="str">
        <f t="shared" si="370"/>
        <v>ВВГнг(А)-LS (3х2,5)
L=54-0,33%</v>
      </c>
      <c r="CI284">
        <f>IFERROR(2*ρкз_Cu*BW284/BS284,"")</f>
        <v>1.1361600000000001</v>
      </c>
      <c r="CJ284">
        <f t="shared" si="371"/>
        <v>0.378</v>
      </c>
      <c r="CK284" t="str">
        <f>IFERROR(IF(OR(D284="",NOT(ISNUMBER(BS284)),N(BW284)=0),"",_xlfn.XLOOKUP(A284,Щиты[Щит],Щиты[Zпетли на шинах, Ом])+CI284),"")</f>
        <v/>
      </c>
      <c r="CL284" t="str">
        <f>IF(ISNUMBER(CK284),c_min*(Uн_лин*1000/SQRT(3))/CK284,"")</f>
        <v/>
      </c>
      <c r="CM284" t="str">
        <f>IFERROR(IF(OR(D284="",NOT(ISNUMBER(BS284))),"",1.05*(Uн_лин*1000/SQRT(3))/(_xlfn.XLOOKUP(A284,Щиты[Щит],Щиты[Zmax на шинах, Ом])+CJ284)/1000),"")</f>
        <v/>
      </c>
      <c r="CN284" t="str">
        <f>IF(D284="","",IF(BA284&lt;&gt;"","Щит",IF(K284&lt;&gt;"",K284,IF(ISNUMBER(L284),"Сил",IF(IFERROR(_xlfn.XLOOKUP(AT284,Коды_код,Коды_группа)&amp;"","")="","Быт",_xlfn.XLOOKUP(AT284,Коды_код,Коды_группа)&amp;"")))))</f>
        <v>Быт</v>
      </c>
      <c r="CO284">
        <f>IF(CN284="Щит","щит",IF(CN284="","",IF(CN284="Быт",IFERROR(_xlfn.XLOOKUP(A284,Щиты[Щит],Щиты[Кс быт]),1),IF(CN284="Сил",IF(ISNUMBER(L284),L284,IF(Методика="нормы 2026",IFERROR(_xlfn.XLOOKUP(A284,Щиты[Щит],Щиты[Кс силовых (табл. 7.5)]),1),1)),IF(OR(CN284="Пост",CN284="Отоп"),1,IF(CN284="ВНГ",0.7,0))))))</f>
        <v>0.8</v>
      </c>
      <c r="CP284">
        <f t="shared" si="372"/>
        <v>1</v>
      </c>
      <c r="CQ284">
        <f t="shared" si="373"/>
        <v>0.18</v>
      </c>
      <c r="CR284">
        <f t="shared" si="374"/>
        <v>0.18</v>
      </c>
      <c r="CS284">
        <f t="shared" si="375"/>
        <v>0</v>
      </c>
      <c r="CT284">
        <f t="shared" si="376"/>
        <v>0</v>
      </c>
      <c r="CU284">
        <f t="shared" si="377"/>
        <v>0</v>
      </c>
      <c r="CV284">
        <f t="shared" si="378"/>
        <v>0</v>
      </c>
      <c r="CW284">
        <f t="shared" si="379"/>
        <v>0.18</v>
      </c>
      <c r="CX284">
        <f t="shared" si="380"/>
        <v>0.17099999999999999</v>
      </c>
      <c r="CY284">
        <f t="shared" si="381"/>
        <v>2</v>
      </c>
      <c r="CZ284" t="str">
        <f t="shared" si="382"/>
        <v>L2</v>
      </c>
      <c r="DA284" cm="1">
        <f t="array" ref="DA284">IFERROR(IF(BL284=2,_xlfn.IFS(BH284=3,VLOOKUP(BF284,Справочная_двигатели,3,FALSE),BH284=1,VLOOKUP(BF284,Справочная_двигатели,5,TRUE)),0),0)</f>
        <v>0</v>
      </c>
      <c r="DB284">
        <f>IFERROR(IF(BL284=3,VLOOKUP(BF284,Справочная_ЛЭД,2,TRUE),0),0)</f>
        <v>0</v>
      </c>
      <c r="DC284">
        <f t="shared" si="383"/>
        <v>0</v>
      </c>
      <c r="DD284" t="str">
        <f t="shared" si="384"/>
        <v>L3</v>
      </c>
      <c r="DE284" t="str" cm="1">
        <f t="array" ref="DE284">IF(D284="","",IFERROR(INDEX({"I особая","I","II","III"},MATCH(TRIM(AA284&amp;""),{"I особая","I","II","III"},0)),"III"))</f>
        <v>II</v>
      </c>
      <c r="DF284" t="str">
        <f>IF(D284="","",IF(TRIM(AB284&amp;"")&lt;&gt;"",IF(LOWER(TRIM(AB284&amp;""))="да","да","нет"),IF(IFERROR(_xlfn.XLOOKUP(AT284,Коды_код,Коды_пожарная),"")="да","да","нет")))</f>
        <v>нет</v>
      </c>
      <c r="DG284" t="str">
        <f t="shared" si="385"/>
        <v/>
      </c>
      <c r="DH284" t="str">
        <f t="shared" si="386"/>
        <v>основная</v>
      </c>
      <c r="DI284">
        <f t="shared" si="387"/>
        <v>1</v>
      </c>
      <c r="DJ284" t="str" cm="1">
        <f t="array" ref="DJ284">IF(D284="","",_xlfn.LET(_xlpm.t,IFERROR(_xlfn.XLOOKUP(1,(Шины[Шина]=DH284)*(((Шины[Щит]=A284)+(Шины[Щит]=""))&gt;0),Шины[Тип]),"")&amp;"",IF(_xlpm.t&lt;&gt;"",_xlpm.t,IF(ISNUMBER(SEARCH("ИБП",DH284)),"ИБП",IF(ISNUMBER(SEARCH("ДГУ",DH284)),"ДГУ","Ввод "&amp;DI284)))))</f>
        <v>Ввод 1</v>
      </c>
      <c r="DK284" t="str">
        <f t="shared" si="388"/>
        <v>Ввод 1</v>
      </c>
      <c r="DL284" t="str">
        <f>IF(D284="","",IF(OR(DJ284="ИБП",DJ284="ДГУ"),"I особая",IF(DJ284="Одиночная","III",_xlfn.XLOOKUP(A284,Щиты[Щит],Щиты[Категория шины «Ввод»],"III"))))</f>
        <v>II</v>
      </c>
      <c r="DM284">
        <f>IF(D284="",0,IFERROR(MATCH(DE284,{"III","II","I","I особая"},0),1))</f>
        <v>2</v>
      </c>
      <c r="DN284">
        <f t="shared" si="389"/>
        <v>2</v>
      </c>
      <c r="DO284" t="str">
        <f>IF(D284="","",IF(DM284&gt;IFERROR(MATCH(DL284,{"III","II","I","I особая"},0),1),"НЕ ОБЕСПЕЧЕНА","ОК"))</f>
        <v>ОК</v>
      </c>
      <c r="DP284" t="str">
        <f>IF(A284="","",_xlfn.XLOOKUP(A284,Щиты[Щит],Щиты[Путь],""))</f>
        <v>|ГРЩ-ЖД|ЩР-2|</v>
      </c>
      <c r="DQ284" t="str">
        <f>IF(D284="","",IF(Z284&lt;&gt;"",Z284,IF(IFERROR(_xlfn.XLOOKUP(AT284,Коды_код,Коды_вид)&amp;"","")="","Прочее",_xlfn.XLOOKUP(AT284,Коды_код,Коды_вид)&amp;"")))</f>
        <v>Розеточная сеть и бытовые приборы</v>
      </c>
      <c r="DR284">
        <f>IF(BD284="","",INT((BD284-1)/Столбцов_на_лист)+1)</f>
        <v>1</v>
      </c>
      <c r="DS284" t="str">
        <f t="shared" si="390"/>
        <v>ВВГнг(А)-LS (3х2,5) L=54-0,33%</v>
      </c>
      <c r="DT284">
        <f t="shared" si="391"/>
        <v>0.18</v>
      </c>
      <c r="DU284">
        <f t="shared" si="392"/>
        <v>0.83</v>
      </c>
      <c r="DV284">
        <f t="shared" si="393"/>
        <v>1</v>
      </c>
      <c r="DW284">
        <f>IF(AT284="",0,_xlfn.LET(_xlpm.v,IFERROR(VLOOKUP(D284,УГО_спр,3,FALSE),IFERROR(VLOOKUP(AT284,УГО_спр,3,FALSE),IFERROR(VLOOKUP(LEFT(AT284,2),УГО_спр,3,FALSE),""))),IF(_xlpm.v="да",30,IF(ISNUMBER(_xlpm.v),_xlpm.v,0))))</f>
        <v>30</v>
      </c>
      <c r="DX284">
        <f t="shared" si="394"/>
        <v>0</v>
      </c>
      <c r="DY284">
        <f>IF(BD284="","",IF(AD284&lt;&gt;"",COUNTIFS(A$3:A284,A284,AD$3:AD284,"?*"),IF(OR(OR(AS284=1,A284&lt;&gt;A283),AL284="вручную"),"",IF(AS284=1,"",DZ283))))</f>
        <v>1</v>
      </c>
      <c r="DZ284">
        <f t="shared" si="395"/>
        <v>1</v>
      </c>
      <c r="EA284">
        <f>IF(D284="",0,MAX(IFERROR(--X284,0),IFERROR(--VLOOKUP(D284,УГО_спр,4,FALSE),IFERROR(--VLOOKUP(AT284,УГО_спр,4,FALSE),IFERROR(--VLOOKUP(LEFT(AT284,2),УГО_спр,4,FALSE),0)))))</f>
        <v>16</v>
      </c>
      <c r="EB284">
        <f>IF(D284="","",IFERROR(LOOKUP(INDEX(CHOOSE(BR284,Iдоп_1ж,Iдоп_2ж,Iдоп_3ж),MATCH(BS284,Iдоп_S,0))*BP284*BQ284,{6,10,16,20,25,32,40,50,63,80,100,125,160,200,250,315,400,500,630}),""))</f>
        <v>25</v>
      </c>
      <c r="EC284">
        <f>IF(AD284="","",SUMIFS(Линии[_Ток схемы],Линии[_гр.],DY284,Линии[Щит],A284,Линии[_в кабель выше],0))</f>
        <v>0.83</v>
      </c>
      <c r="ED284">
        <f>IF(AD284="","",IFERROR(VLOOKUP(EC284,Автомат_номиналы,2,TRUE),""))</f>
        <v>6</v>
      </c>
      <c r="EE284">
        <f>IF(AD284="","",MAX(N(ED284),_xlfn.MAXIFS(Линии[_мин. по типу],Линии[_гр.],DY284,Линии[Щит],A284)))</f>
        <v>16</v>
      </c>
      <c r="EF284">
        <f>IF(AD284="","",_xlfn.MINIFS(Линии[_макс. автомат по кабелю],Линии[_гр.],DY284,Линии[Щит],A284))</f>
        <v>25</v>
      </c>
      <c r="EG284">
        <f>IF(AD284="","",MAX(1,_xlfn.MAXIFS(Линии[_фаз],Линии[_гр.],DY284,Линии[Щит],A284)))</f>
        <v>1</v>
      </c>
      <c r="EH284">
        <f>IF(AD284="","",IF(AND(AD284&lt;&gt;"авто",AD284&lt;&gt;"+"),IF(ISNUMBER(SEARCH("мА",AD284)),IFERROR(--TRIM(RIGHT(SUBSTITUTE(LEFT(AD284,SEARCH("мА",AD284)-1)," ",REPT(" ",9)),6)),30),0),IF(AE284="нет",0,IF(ISNUMBER(AE284),AE284,IF(AE284="да",30,_xlfn.MINIFS(Линии[_дифзащита по коду, мА],Линии[_гр.],DY284,Линии[Щит],A284,Линии[_дифзащита по коду, мА],"&gt;0"))))))</f>
        <v>30</v>
      </c>
      <c r="EI284">
        <f t="shared" si="396"/>
        <v>1</v>
      </c>
      <c r="EJ284" t="str">
        <f t="shared" si="397"/>
        <v>QFD1</v>
      </c>
      <c r="EK284" t="str">
        <f t="shared" si="398"/>
        <v>QFD1</v>
      </c>
      <c r="EL284" t="str">
        <f t="shared" si="399"/>
        <v/>
      </c>
      <c r="EM284">
        <f t="shared" si="400"/>
        <v>0</v>
      </c>
      <c r="EN284">
        <f>IF(AD284="","",IF(EM284=1,MAX(EE284,Мин_автомат_БП),EE284))</f>
        <v>16</v>
      </c>
      <c r="EO284" t="str">
        <f t="shared" si="401"/>
        <v>2P</v>
      </c>
      <c r="EP284" t="str">
        <f t="shared" si="402"/>
        <v>2P С16А 30мА</v>
      </c>
      <c r="EQ284">
        <f t="shared" si="403"/>
        <v>16</v>
      </c>
      <c r="ER284" t="str">
        <f>IF(OR(AI284="",AI284="-"),"",IFERROR(VLOOKUP(AI284,Модули_спр,2,FALSE),"R"))</f>
        <v/>
      </c>
      <c r="ES284" t="str">
        <f>IF(ER284="","",ER284&amp;"."&amp;COUNTIFS(A$3:A284,A284,ER$3:ER284,ER284))</f>
        <v/>
      </c>
      <c r="ET284" t="str">
        <f t="shared" si="404"/>
        <v/>
      </c>
      <c r="EU284" t="str">
        <f t="shared" si="405"/>
        <v/>
      </c>
      <c r="EV284" t="str">
        <f t="shared" si="406"/>
        <v/>
      </c>
      <c r="EW284" t="str">
        <f t="shared" si="407"/>
        <v/>
      </c>
      <c r="EX284">
        <f t="shared" si="408"/>
        <v>1</v>
      </c>
      <c r="EY284" t="str">
        <f>IF(AK284="нет","",IF(AK284&lt;&gt;"",AK284,IF(EX284=1,"XT"&amp;COUNTIFS(A$3:A284,A284,EX$3:EX284,1),"")))</f>
        <v>XT1</v>
      </c>
      <c r="EZ284" t="str">
        <f t="shared" si="409"/>
        <v>QFD1</v>
      </c>
      <c r="FA284" t="str">
        <f t="shared" si="410"/>
        <v/>
      </c>
      <c r="FB284" t="str">
        <f t="shared" si="411"/>
        <v>ok</v>
      </c>
      <c r="FC284" t="str">
        <f>IF(OR(EV284="",ET284=""),"",IF(EV284&gt;IFERROR(VLOOKUP(EU284,Модули_спр,3,FALSE),99),"ЛИШНИЙ КАНАЛ",IF(AND(AJ284&lt;&gt;"=",COUNTIFS(Линии[_модуль гр.],ET284,Линии[Канал (итог)],EV284,Линии[Канал],"&lt;&gt;=",Линии[Щит],A284)&gt;1),"ДУБЛЬ КАНАЛА","")))</f>
        <v/>
      </c>
      <c r="FD284">
        <f t="shared" si="412"/>
        <v>16</v>
      </c>
      <c r="FE284" t="str">
        <f t="shared" si="413"/>
        <v>2P С16А 30мА</v>
      </c>
      <c r="FF284">
        <f t="shared" si="414"/>
        <v>1</v>
      </c>
      <c r="FG284">
        <f t="shared" si="415"/>
        <v>30</v>
      </c>
      <c r="FH284" t="str">
        <f t="shared" si="416"/>
        <v/>
      </c>
      <c r="FI284">
        <f t="shared" si="417"/>
        <v>10</v>
      </c>
      <c r="FJ284" t="str">
        <f t="shared" si="418"/>
        <v/>
      </c>
      <c r="FK284" t="str">
        <f>IF(AND(D284="",EZ284=""),"",_xlfn.TEXTJOIN("; ",TRUE,IF(AND(D284&lt;&gt;"",DD284=""),"нет фазы",""),IF(AND(D284&lt;&gt;"",N(DT284)=0,CN284&lt;&gt;"Нет"),"нет мощности",""),IF(AND(EY284&lt;&gt;"",COUNTIFS(Линии[Щит],A284,Линии[Клемма (итог)],EY284)&gt;1),"дубль клеммы "&amp;EY284,""),IF(AND(FB284&lt;&gt;"",FB284&lt;&gt;"ok"),FB284,""),IF(FC284&lt;&gt;"",FC284,""),IF(AND(ISNUMBER(SEARCH("(5х",DS284)),N(DV284)=1),"5 жил на 1 фазе",""),IF(AND(AT284="R",AD284&lt;&gt;"",OR(N(EH284)=0,N(EH284)&gt;30)),"розетка без дифзащиты до 30 мА",""),IFERROR(IF(AND(ISNUMBER(CD284),CD284&gt;CE284),"потери "&amp;FIXED(CD284,1)&amp;" % &gt; "&amp;CE284&amp;" %",""),""),IFERROR(IF(LEFT(FJ284,4)="мало","Iкз мало — отключение &gt; 0,4 с",""),""),IF(AND(D284&lt;&gt;"",BD284=""),"не на схеме","")))</f>
        <v/>
      </c>
      <c r="FL284">
        <f>IF(AD284="","",_xlfn.LET(_xlpm.t,IFERROR(_xlfn.XLOOKUP(EP284,Каталог!$U$4:$U$500,Каталог!$G$4:$G$500),""),_xlpm.k,SEARCH("кА",_xlpm.t),IFERROR(--TRIM(RIGHT(SUBSTITUTE(MID(_xlpm.t,MAX(1,_xlpm.k-4),_xlpm.k-MAX(1,_xlpm.k-4))," ",REPT(" ",9)),5)),"")))</f>
        <v>6</v>
      </c>
      <c r="FM284" t="str">
        <f>IF(OR(FL284="",AD284=""),"",IF(_xlfn.XLOOKUP(A284,Щиты[Щит],Щиты[Iкз max на шинах, кА],"")="","",IF(FL284&lt;_xlfn.XLOOKUP(A284,Щиты[Щит],Щиты[Iкз max на шинах, кА]),"Icu "&amp;FL284&amp;" кА &lt; Iкз max","ok")))</f>
        <v/>
      </c>
      <c r="FN284" t="str">
        <f t="shared" si="419"/>
        <v>QFD1|XT1</v>
      </c>
      <c r="FO284" t="str">
        <f t="shared" si="420"/>
        <v>QFD1|XT1|кабель ВВГнг(А)-LS (3х2,5) → Розеточная группа Второй этаж Пом. №002А</v>
      </c>
      <c r="FP284" t="str" cm="1">
        <f t="array" ref="FP284">IF(FO284="","",_xlfn.LET(_xlpm.nd,_xlfn.TEXTSPLIT(FO284,"|"),IF(COLUMNS(_xlpm.nd)&gt;1,A284&amp;"¦"&amp;INDEX(_xlpm.nd,1)&amp;"¦"&amp;INDEX(_xlpm.nd,2),"")))</f>
        <v>ЩР-2¦QFD1¦XT1</v>
      </c>
      <c r="FQ284" t="str">
        <f t="shared" si="421"/>
        <v>R.2.002А.1¦Розеточная группа Второй этаж Пом. №002А</v>
      </c>
      <c r="FR284" t="str" cm="1">
        <f t="array" ref="FR284">IF(FO284="","",_xlfn.LET(_xlpm.nd,_xlfn.TEXTSPLIT(FO284,"|"),IF(COLUMNS(_xlpm.nd)&gt;2,A284&amp;"¦"&amp;INDEX(_xlpm.nd,2)&amp;"¦"&amp;INDEX(_xlpm.nd,3),"")))</f>
        <v>ЩР-2¦XT1¦кабель ВВГнг(А)-LS (3х2,5) → Розеточная группа Второй этаж Пом. №002А</v>
      </c>
      <c r="FS284" t="str">
        <f t="shared" si="422"/>
        <v>R.2.002А.1¦Розеточная группа Второй этаж Пом. №002А</v>
      </c>
      <c r="FT284" t="str" cm="1">
        <f t="array" ref="FT284">IF(FO284="","",_xlfn.LET(_xlpm.nd,_xlfn.TEXTSPLIT(FO284,"|"),IF(COLUMNS(_xlpm.nd)&gt;3,A284&amp;"¦"&amp;INDEX(_xlpm.nd,3)&amp;"¦"&amp;INDEX(_xlpm.nd,4),"")))</f>
        <v/>
      </c>
      <c r="FU284" t="str">
        <f t="shared" si="423"/>
        <v/>
      </c>
      <c r="FV284" t="str" cm="1">
        <f t="array" ref="FV284">IF(FO284="","",_xlfn.LET(_xlpm.nd,_xlfn.TEXTSPLIT(FO284,"|"),IF(COLUMNS(_xlpm.nd)&gt;4,A284&amp;"¦"&amp;INDEX(_xlpm.nd,4)&amp;"¦"&amp;INDEX(_xlpm.nd,5),"")))</f>
        <v/>
      </c>
      <c r="FW284" t="str">
        <f t="shared" si="424"/>
        <v/>
      </c>
      <c r="FX284" t="str" cm="1">
        <f t="array" ref="FX284">IF(FO284="","",_xlfn.LET(_xlpm.nd,_xlfn.TEXTSPLIT(FO284,"|"),IF(COLUMNS(_xlpm.nd)&gt;5,A284&amp;"¦"&amp;INDEX(_xlpm.nd,5)&amp;"¦"&amp;INDEX(_xlpm.nd,6),"")))</f>
        <v/>
      </c>
      <c r="FY284" t="str">
        <f t="shared" si="425"/>
        <v/>
      </c>
      <c r="FZ284" t="str" cm="1">
        <f t="array" ref="FZ284">IF(FO284="","",_xlfn.LET(_xlpm.nd,_xlfn.TEXTSPLIT(FO284,"|"),IF(COLUMNS(_xlpm.nd)&gt;6,A284&amp;"¦"&amp;INDEX(_xlpm.nd,6)&amp;"¦"&amp;INDEX(_xlpm.nd,7),"")))</f>
        <v/>
      </c>
      <c r="GA284" t="str">
        <f t="shared" si="426"/>
        <v/>
      </c>
      <c r="GB284" t="str">
        <f t="shared" si="427"/>
        <v/>
      </c>
      <c r="GC284" t="str">
        <f t="shared" si="428"/>
        <v>QFD1 → XT1</v>
      </c>
      <c r="GD284">
        <f t="shared" si="429"/>
        <v>1</v>
      </c>
      <c r="GE284">
        <f t="shared" si="430"/>
        <v>0</v>
      </c>
      <c r="GF284">
        <f t="shared" si="431"/>
        <v>1</v>
      </c>
      <c r="GG284" t="str">
        <f t="shared" si="432"/>
        <v/>
      </c>
      <c r="GH284" t="str">
        <f t="shared" si="433"/>
        <v/>
      </c>
      <c r="GI284" t="str">
        <f t="shared" si="434"/>
        <v/>
      </c>
      <c r="GJ284" t="str">
        <f t="shared" si="435"/>
        <v/>
      </c>
      <c r="GK284" t="str">
        <f>IF(D284="","",IFERROR(VLOOKUP(D284,УГО_спр,2,FALSE),IFERROR(VLOOKUP(AT284,УГО_спр,2,FALSE),IFERROR(VLOOKUP(LEFT(AT284,2),УГО_спр,2,FALSE),""))))</f>
        <v>Розетка</v>
      </c>
      <c r="GL284" t="str">
        <f>IF(D284="","",IF(OR(GK284="",GK284=0),"BOX",IFERROR(IF(VLOOKUP(GK284,УГО_блоки,3,FALSE)&amp;""&lt;&gt;"",VLOOKUP(GK284,УГО_блоки,3,FALSE),VLOOKUP(GK284,УГО_блоки,2,FALSE)),GK284)))</f>
        <v>SOCKET</v>
      </c>
      <c r="GM284">
        <f t="shared" si="436"/>
        <v>1</v>
      </c>
      <c r="GN284" t="str">
        <f>IF(EP284="","",IF(COUNTIF(EP$3:EP284,EP284)=1,MAX(GN$2:GN283)+1,""))</f>
        <v/>
      </c>
      <c r="GO284" t="str">
        <f>IF(AF284="","",IF(COUNTIF(AF$3:AF284,AF284)+COUNTIF(AG$2:AG283,AF284)+COUNTIF(AH$2:AH283,AF284)=1,MAX(GO$2:GQ283)+1,""))</f>
        <v/>
      </c>
      <c r="GP284" t="str">
        <f>IF(AG284="","",IF(COUNTIF(AF$3:AF284,AG284)+COUNTIF(AG$3:AG284,AG284)+COUNTIF(AH$2:AH283,AG284)=1,MAX(GO$2:GQ283,GO284)+1,""))</f>
        <v/>
      </c>
      <c r="GQ284" t="str">
        <f>IF(AH284="","",IF(COUNTIF(AF$3:AF284,AH284)+COUNTIF(AG$3:AG284,AH284)+COUNTIF(AH$3:AH284,AH284)=1,MAX(GO$2:GQ283,GO284,GP284)+1,""))</f>
        <v/>
      </c>
      <c r="GR284" t="str">
        <f t="shared" si="437"/>
        <v>3х2,5</v>
      </c>
      <c r="GS284" t="str">
        <f>IF(GR284="","",IF(COUNTIF(GR$3:GR284,GR284)=1,MAX(GS$2:GS283)+1,""))</f>
        <v/>
      </c>
      <c r="GT284" t="str">
        <f>IF(ES284="","",COUNTIF(ES$3:ES284,"?*"))</f>
        <v/>
      </c>
      <c r="GU284" t="str">
        <f>IF(OR(ES284="",EU284=""),"",IF(COUNTIFS(ES$3:ES284,"?*",EU$3:EU284,EU284)=1,MAX(GU$2:GU283)+1,""))</f>
        <v/>
      </c>
      <c r="GV284">
        <f t="shared" si="438"/>
        <v>0</v>
      </c>
      <c r="GW284">
        <f>IF(D284="","",COUNTIF(D$3:D284,"?*"))</f>
        <v>282</v>
      </c>
      <c r="GX284">
        <f>IF(EX284&lt;&gt;1,0,_xlfn.LET(_xlpm.k,MAX(IFERROR(--VLOOKUP(D284,УГО_спр,5,FALSE),0),IFERROR(--VLOOKUP(AT284,УГО_спр,5,FALSE),0),IFERROR(--VLOOKUP(LEFT(AT284,2),УГО_спр,5,FALSE),0)),IF(_xlpm.k&gt;0,_xlpm.k,IF(IFERROR(--LEFT(SUBSTITUTE(GR284,"x","х"),FIND("х",SUBSTITUTE(GR284,"x","х"))-1),3)&gt;3,Каталог!$S$9,1))))</f>
        <v>1</v>
      </c>
      <c r="GY284">
        <f t="shared" si="439"/>
        <v>0</v>
      </c>
    </row>
    <row r="285" spans="1:207" x14ac:dyDescent="0.3">
      <c r="A285" t="s">
        <v>764</v>
      </c>
      <c r="B285">
        <v>10</v>
      </c>
      <c r="C285" t="str">
        <f>IF(BD285="","",IF(BE285="вводной узел","узел ","")&amp;"л."&amp;(INT((BD285-1)/Столбцов_на_лист)+1)&amp;" / "&amp;(MOD(BD285-1,Столбцов_на_лист)+1))</f>
        <v>л.1 / 10</v>
      </c>
      <c r="D285" t="s">
        <v>1618</v>
      </c>
      <c r="E285" s="133" t="str">
        <f t="shared" si="352"/>
        <v>Розеточная группа Второй этаж Пом. №003А</v>
      </c>
      <c r="G285">
        <v>0.18</v>
      </c>
      <c r="H285">
        <v>3</v>
      </c>
      <c r="I285">
        <v>1</v>
      </c>
      <c r="J285">
        <v>230</v>
      </c>
      <c r="K285" t="s">
        <v>566</v>
      </c>
      <c r="O285">
        <v>1</v>
      </c>
      <c r="P285">
        <v>47</v>
      </c>
      <c r="Q285">
        <v>12</v>
      </c>
      <c r="R285">
        <v>44</v>
      </c>
      <c r="T285">
        <v>2</v>
      </c>
      <c r="U285" t="s">
        <v>11</v>
      </c>
      <c r="V285">
        <v>3</v>
      </c>
      <c r="W285">
        <v>2.5</v>
      </c>
      <c r="X285">
        <v>16</v>
      </c>
      <c r="Z285" t="s">
        <v>565</v>
      </c>
      <c r="AA285" t="s">
        <v>818</v>
      </c>
      <c r="AD285" t="s">
        <v>517</v>
      </c>
      <c r="AR285" t="str">
        <f t="shared" si="353"/>
        <v/>
      </c>
      <c r="AS285" cm="1">
        <f t="array" ref="AS285">ROW()-ROW(Линии[#Headers])</f>
        <v>283</v>
      </c>
      <c r="AT285" t="str">
        <f t="shared" si="354"/>
        <v>R</v>
      </c>
      <c r="AU285" t="str">
        <f t="shared" si="355"/>
        <v>2.003А.1</v>
      </c>
      <c r="AV285" t="str">
        <f t="shared" si="356"/>
        <v>2</v>
      </c>
      <c r="AW285" t="str">
        <f t="shared" si="357"/>
        <v>003А.1</v>
      </c>
      <c r="AX285" t="str">
        <f t="shared" si="358"/>
        <v>003А</v>
      </c>
      <c r="AY285" t="str">
        <f>IF(D285="","",IF(ISERROR(SEARCH(".",D285)),IFERROR(VLOOKUP(D285,Потребители_обозначение,2,FALSE)&amp;"",""),IFERROR(IF(VLOOKUP(AT285,Потребители_обозначение,4,FALSE)=1,VLOOKUP(AT285,Потребители_обозначение,2,FALSE)&amp;" "&amp;VLOOKUP(AV285,Этаж_обозначение,2,FALSE)&amp;" Пом. №"&amp;AX285,VLOOKUP(AT285,Потребители_обозначение,2,FALSE)&amp;" Шлейф №"&amp;AV285),IFERROR(VLOOKUP(D285,Потребители_обозначение,2,FALSE),""))))</f>
        <v>Розеточная группа Второй этаж Пом. №003А</v>
      </c>
      <c r="AZ285" t="str">
        <f t="shared" si="359"/>
        <v>Розеточная группа Второй этаж Пом. №003А</v>
      </c>
      <c r="BA285" t="str">
        <f>IF(F285&lt;&gt;"",F285,IF(AND(D285&lt;&gt;"",D285&lt;&gt;A285,ISNUMBER(_xlfn.XMATCH(D285,Щиты[Щит]))),D285,""))</f>
        <v/>
      </c>
      <c r="BB285">
        <f>IFERROR(_xlfn.XMATCH(A285,Щиты[Щит]),0)</f>
        <v>11</v>
      </c>
      <c r="BC285">
        <f>IFERROR(N(_xlfn.XLOOKUP(A285,Щиты[Щит],Щиты[Мест под вводной узел])),15)</f>
        <v>8</v>
      </c>
      <c r="BD285">
        <f t="shared" si="360"/>
        <v>10</v>
      </c>
      <c r="BE285" t="str">
        <f t="shared" si="361"/>
        <v>линии</v>
      </c>
      <c r="BF285">
        <f>IF(D285="","",IF(BA285&lt;&gt;"",IFERROR(_xlfn.XLOOKUP(BA285,Щиты[Щит],Щиты[Руст, кВт]),0),N(G285)))</f>
        <v>0.18</v>
      </c>
      <c r="BG285">
        <f>IF(J285&lt;&gt;"",J285,IF(D285="","",IFERROR(IF(VLOOKUP(AT285,Потребители_обозначение,8,FALSE)=0,"",VLOOKUP(AT285,Потребители_обозначение,8,FALSE)),"")))</f>
        <v>230</v>
      </c>
      <c r="BH285">
        <f>IF(I285&lt;&gt;"",I285,IF(D285="","",IFERROR(IF(VLOOKUP(AT285,Потребители_обозначение,9,FALSE)=0,"",VLOOKUP(AT285,Потребители_обозначение,9,FALSE)),"")))</f>
        <v>1</v>
      </c>
      <c r="BI285" t="str">
        <f>IF(U285&lt;&gt;"",U285,IF(D285="","",IFERROR(IF(VLOOKUP(AT285,Потребители_обозначение,6,FALSE)=0,"",VLOOKUP(AT285,Потребители_обозначение,6,FALSE)),"")))</f>
        <v>мс</v>
      </c>
      <c r="BJ285">
        <f>IF(V285&lt;&gt;"",V285,IF(D285="","",IFERROR(IF(VLOOKUP(AT285,Потребители_обозначение,7,FALSE)=0,"",VLOOKUP(AT285,Потребители_обозначение,7,FALSE)),"")))</f>
        <v>3</v>
      </c>
      <c r="BK285">
        <f>IF(W285&lt;&gt;"",W285,IF(D285="","",IFERROR(IF(VLOOKUP(AT285,Потребители_обозначение,10,FALSE)=0,"",VLOOKUP(AT285,Потребители_обозначение,10,FALSE)),"")))</f>
        <v>2.5</v>
      </c>
      <c r="BL285">
        <f>IFERROR(VLOOKUP(AT285,Потребители_обозначение,5,FALSE),0)</f>
        <v>1</v>
      </c>
      <c r="BM285" cm="1">
        <f t="array" ref="BM285">IF(D285="","",IF(BA285&lt;&gt;"",IFERROR(_xlfn.XLOOKUP(BA285,Щиты[Щит],Щиты[cos φ]),0.95),IF(ISNUMBER(M285),M285,IFERROR(IF(BL285=2,_xlfn.IFS(BH285=3,VLOOKUP(BF285,Справочная_двигатели,8,FALSE),BH285=1,VLOOKUP(BF285,Справочная_двигатели,10,TRUE)),IF(AND(Методика="нормы 2026",CN285="Сил"),0.8,0.95)),0.95))))</f>
        <v>0.95</v>
      </c>
      <c r="BN285" cm="1">
        <f t="array" ref="BN285">IF(D285="","",IF(BA285&lt;&gt;"",IFERROR(_xlfn.XLOOKUP(BA285,Щиты[Щит],Щиты[Iр, А]),""),IFERROR(_xlfn.IFS(BH285=1,BF285/((Uн_лин/SQRT(3))*BM285),BH285=3,BF285/(SQRT(3)*Uн_лин*BM285)),"")))</f>
        <v>0.8204451193747313</v>
      </c>
      <c r="BO285">
        <f>IF(D285="","",IF(N(X285)=0,IFERROR(VLOOKUP(BN285,Автомат_номиналы,2,TRUE),""),X285))</f>
        <v>16</v>
      </c>
      <c r="BP285">
        <f t="shared" si="362"/>
        <v>1</v>
      </c>
      <c r="BQ285">
        <f>IF(ISNUMBER(Y285),Y285,К_прокл)</f>
        <v>1</v>
      </c>
      <c r="BR285">
        <f t="shared" si="363"/>
        <v>2</v>
      </c>
      <c r="BS285" cm="1">
        <f t="array" ref="BS285">IF(D285="","",IF(N(BK285)&lt;&gt;0,BK285,IFERROR(_xlfn.LET(_xlpm.need,BO285/(BP285*BQ285),_xlpm.t,CHOOSE(BR285,Iдоп_1ж,Iдоп_2ж,Iдоп_3ж),_xlpm.k,_xlfn.XMATCH(_xlpm.need,_xlpm.t,1),IF(ISNA(_xlpm.k),"Не исп",INDEX(Iдоп_S,_xlpm.k))),"Не исп")))</f>
        <v>2.5</v>
      </c>
      <c r="BT285">
        <f>IFERROR(VLOOKUP(BS285,Кабель_сопротивление,3,FALSE),"")</f>
        <v>2.2499999999999999E-2</v>
      </c>
      <c r="BU285">
        <f>IFERROR(VLOOKUP(BS285,Кабель_сопротивление,2,FALSE),"")</f>
        <v>0.1</v>
      </c>
      <c r="BV285">
        <f t="shared" si="364"/>
        <v>47</v>
      </c>
      <c r="BW285">
        <f>IF(D285="","",IFERROR(IF(VLOOKUP(AT285,Потребители_обозначение,4,FALSE)=1,VLOOKUP(AT285,Потребители_обозначение,3,FALSE)*(H285*2-1)+BV285+VLOOKUP(AV285,Этаж_обозначение,3,FALSE)+VLOOKUP(AV285,Этаж_обозначение,4,FALSE),VLOOKUP(AT285,Потребители_обозначение,3,FALSE)*(H285*2-1)+BV285),BV285))</f>
        <v>62</v>
      </c>
      <c r="BX285">
        <f t="shared" si="365"/>
        <v>44</v>
      </c>
      <c r="BY285">
        <f t="shared" si="366"/>
        <v>58</v>
      </c>
      <c r="BZ285">
        <f t="shared" si="367"/>
        <v>2</v>
      </c>
      <c r="CA285">
        <f t="shared" si="368"/>
        <v>0.31</v>
      </c>
      <c r="CB285">
        <f t="shared" si="369"/>
        <v>0.87298970659996655</v>
      </c>
      <c r="CC285">
        <f>IFERROR(ROUNDUP(CB285/((Uн_лин/SQRT(3))*1000)*100,2),"")</f>
        <v>0.38</v>
      </c>
      <c r="CD285">
        <f>IF(ISNUMBER(CC285),CC285+IFERROR(_xlfn.XLOOKUP(A285,Щиты[Щит],Щиты[ΔU до шин, %]),0),"")</f>
        <v>2.17</v>
      </c>
      <c r="CE285">
        <f>IF(D285="","",IF(IFERROR(VLOOKUP(AT285,УГО_спр,2,FALSE),"")="Светильник",3,4)+IF(Методика="нормы 2026",MIN(0.5,MAX(0,N(BW285)-100)*0.005),0))</f>
        <v>4</v>
      </c>
      <c r="CF285" t="str">
        <f>IFERROR(VLOOKUP(BI285,Кабель_обозначение,2,FALSE),"")</f>
        <v>ВВГнг(А)-LS</v>
      </c>
      <c r="CG285" t="str">
        <f>IFERROR(IF(VLOOKUP(BI285,Кабель_обозначение,3,FALSE)=1,CF285&amp;" ("&amp;BJ285&amp;"х"&amp;BS285&amp;")",CF285),"")</f>
        <v>ВВГнг(А)-LS (3х2,5)</v>
      </c>
      <c r="CH285" t="str">
        <f t="shared" si="370"/>
        <v>ВВГнг(А)-LS (3х2,5)
L=62-0,38%</v>
      </c>
      <c r="CI285">
        <f>IFERROR(2*ρкз_Cu*BW285/BS285,"")</f>
        <v>1.3044800000000001</v>
      </c>
      <c r="CJ285">
        <f t="shared" si="371"/>
        <v>0.43400000000000005</v>
      </c>
      <c r="CK285" t="str">
        <f>IFERROR(IF(OR(D285="",NOT(ISNUMBER(BS285)),N(BW285)=0),"",_xlfn.XLOOKUP(A285,Щиты[Щит],Щиты[Zпетли на шинах, Ом])+CI285),"")</f>
        <v/>
      </c>
      <c r="CL285" t="str">
        <f>IF(ISNUMBER(CK285),c_min*(Uн_лин*1000/SQRT(3))/CK285,"")</f>
        <v/>
      </c>
      <c r="CM285" t="str">
        <f>IFERROR(IF(OR(D285="",NOT(ISNUMBER(BS285))),"",1.05*(Uн_лин*1000/SQRT(3))/(_xlfn.XLOOKUP(A285,Щиты[Щит],Щиты[Zmax на шинах, Ом])+CJ285)/1000),"")</f>
        <v/>
      </c>
      <c r="CN285" t="str">
        <f>IF(D285="","",IF(BA285&lt;&gt;"","Щит",IF(K285&lt;&gt;"",K285,IF(ISNUMBER(L285),"Сил",IF(IFERROR(_xlfn.XLOOKUP(AT285,Коды_код,Коды_группа)&amp;"","")="","Быт",_xlfn.XLOOKUP(AT285,Коды_код,Коды_группа)&amp;"")))))</f>
        <v>Быт</v>
      </c>
      <c r="CO285">
        <f>IF(CN285="Щит","щит",IF(CN285="","",IF(CN285="Быт",IFERROR(_xlfn.XLOOKUP(A285,Щиты[Щит],Щиты[Кс быт]),1),IF(CN285="Сил",IF(ISNUMBER(L285),L285,IF(Методика="нормы 2026",IFERROR(_xlfn.XLOOKUP(A285,Щиты[Щит],Щиты[Кс силовых (табл. 7.5)]),1),1)),IF(OR(CN285="Пост",CN285="Отоп"),1,IF(CN285="ВНГ",0.7,0))))))</f>
        <v>0.8</v>
      </c>
      <c r="CP285">
        <f t="shared" si="372"/>
        <v>1</v>
      </c>
      <c r="CQ285">
        <f t="shared" si="373"/>
        <v>0.18</v>
      </c>
      <c r="CR285">
        <f t="shared" si="374"/>
        <v>0.18</v>
      </c>
      <c r="CS285">
        <f t="shared" si="375"/>
        <v>0</v>
      </c>
      <c r="CT285">
        <f t="shared" si="376"/>
        <v>0</v>
      </c>
      <c r="CU285">
        <f t="shared" si="377"/>
        <v>0</v>
      </c>
      <c r="CV285">
        <f t="shared" si="378"/>
        <v>0</v>
      </c>
      <c r="CW285">
        <f t="shared" si="379"/>
        <v>0.18</v>
      </c>
      <c r="CX285">
        <f t="shared" si="380"/>
        <v>0.17099999999999999</v>
      </c>
      <c r="CY285">
        <f t="shared" si="381"/>
        <v>3</v>
      </c>
      <c r="CZ285" t="str">
        <f t="shared" si="382"/>
        <v>L3</v>
      </c>
      <c r="DA285" cm="1">
        <f t="array" ref="DA285">IFERROR(IF(BL285=2,_xlfn.IFS(BH285=3,VLOOKUP(BF285,Справочная_двигатели,3,FALSE),BH285=1,VLOOKUP(BF285,Справочная_двигатели,5,TRUE)),0),0)</f>
        <v>0</v>
      </c>
      <c r="DB285">
        <f>IFERROR(IF(BL285=3,VLOOKUP(BF285,Справочная_ЛЭД,2,TRUE),0),0)</f>
        <v>0</v>
      </c>
      <c r="DC285">
        <f t="shared" si="383"/>
        <v>0</v>
      </c>
      <c r="DD285" t="str">
        <f t="shared" si="384"/>
        <v>L1</v>
      </c>
      <c r="DE285" t="str" cm="1">
        <f t="array" ref="DE285">IF(D285="","",IFERROR(INDEX({"I особая","I","II","III"},MATCH(TRIM(AA285&amp;""),{"I особая","I","II","III"},0)),"III"))</f>
        <v>II</v>
      </c>
      <c r="DF285" t="str">
        <f>IF(D285="","",IF(TRIM(AB285&amp;"")&lt;&gt;"",IF(LOWER(TRIM(AB285&amp;""))="да","да","нет"),IF(IFERROR(_xlfn.XLOOKUP(AT285,Коды_код,Коды_пожарная),"")="да","да","нет")))</f>
        <v>нет</v>
      </c>
      <c r="DG285" t="str">
        <f t="shared" si="385"/>
        <v/>
      </c>
      <c r="DH285" t="str">
        <f t="shared" si="386"/>
        <v>основная</v>
      </c>
      <c r="DI285">
        <f t="shared" si="387"/>
        <v>1</v>
      </c>
      <c r="DJ285" t="str" cm="1">
        <f t="array" ref="DJ285">IF(D285="","",_xlfn.LET(_xlpm.t,IFERROR(_xlfn.XLOOKUP(1,(Шины[Шина]=DH285)*(((Шины[Щит]=A285)+(Шины[Щит]=""))&gt;0),Шины[Тип]),"")&amp;"",IF(_xlpm.t&lt;&gt;"",_xlpm.t,IF(ISNUMBER(SEARCH("ИБП",DH285)),"ИБП",IF(ISNUMBER(SEARCH("ДГУ",DH285)),"ДГУ","Ввод "&amp;DI285)))))</f>
        <v>Ввод 1</v>
      </c>
      <c r="DK285" t="str">
        <f t="shared" si="388"/>
        <v>Ввод 1</v>
      </c>
      <c r="DL285" t="str">
        <f>IF(D285="","",IF(OR(DJ285="ИБП",DJ285="ДГУ"),"I особая",IF(DJ285="Одиночная","III",_xlfn.XLOOKUP(A285,Щиты[Щит],Щиты[Категория шины «Ввод»],"III"))))</f>
        <v>II</v>
      </c>
      <c r="DM285">
        <f>IF(D285="",0,IFERROR(MATCH(DE285,{"III","II","I","I особая"},0),1))</f>
        <v>2</v>
      </c>
      <c r="DN285">
        <f t="shared" si="389"/>
        <v>2</v>
      </c>
      <c r="DO285" t="str">
        <f>IF(D285="","",IF(DM285&gt;IFERROR(MATCH(DL285,{"III","II","I","I особая"},0),1),"НЕ ОБЕСПЕЧЕНА","ОК"))</f>
        <v>ОК</v>
      </c>
      <c r="DP285" t="str">
        <f>IF(A285="","",_xlfn.XLOOKUP(A285,Щиты[Щит],Щиты[Путь],""))</f>
        <v>|ГРЩ-ЖД|ЩР-2|</v>
      </c>
      <c r="DQ285" t="str">
        <f>IF(D285="","",IF(Z285&lt;&gt;"",Z285,IF(IFERROR(_xlfn.XLOOKUP(AT285,Коды_код,Коды_вид)&amp;"","")="","Прочее",_xlfn.XLOOKUP(AT285,Коды_код,Коды_вид)&amp;"")))</f>
        <v>Розеточная сеть и бытовые приборы</v>
      </c>
      <c r="DR285">
        <f>IF(BD285="","",INT((BD285-1)/Столбцов_на_лист)+1)</f>
        <v>1</v>
      </c>
      <c r="DS285" t="str">
        <f t="shared" si="390"/>
        <v>ВВГнг(А)-LS (3х2,5) L=62-0,38%</v>
      </c>
      <c r="DT285">
        <f t="shared" si="391"/>
        <v>0.18</v>
      </c>
      <c r="DU285">
        <f t="shared" si="392"/>
        <v>0.83</v>
      </c>
      <c r="DV285">
        <f t="shared" si="393"/>
        <v>1</v>
      </c>
      <c r="DW285">
        <f>IF(AT285="",0,_xlfn.LET(_xlpm.v,IFERROR(VLOOKUP(D285,УГО_спр,3,FALSE),IFERROR(VLOOKUP(AT285,УГО_спр,3,FALSE),IFERROR(VLOOKUP(LEFT(AT285,2),УГО_спр,3,FALSE),""))),IF(_xlpm.v="да",30,IF(ISNUMBER(_xlpm.v),_xlpm.v,0))))</f>
        <v>30</v>
      </c>
      <c r="DX285">
        <f t="shared" si="394"/>
        <v>0</v>
      </c>
      <c r="DY285">
        <f>IF(BD285="","",IF(AD285&lt;&gt;"",COUNTIFS(A$3:A285,A285,AD$3:AD285,"?*"),IF(OR(OR(AS285=1,A285&lt;&gt;A284),AL285="вручную"),"",IF(AS285=1,"",DZ284))))</f>
        <v>2</v>
      </c>
      <c r="DZ285">
        <f t="shared" si="395"/>
        <v>2</v>
      </c>
      <c r="EA285">
        <f>IF(D285="",0,MAX(IFERROR(--X285,0),IFERROR(--VLOOKUP(D285,УГО_спр,4,FALSE),IFERROR(--VLOOKUP(AT285,УГО_спр,4,FALSE),IFERROR(--VLOOKUP(LEFT(AT285,2),УГО_спр,4,FALSE),0)))))</f>
        <v>16</v>
      </c>
      <c r="EB285">
        <f>IF(D285="","",IFERROR(LOOKUP(INDEX(CHOOSE(BR285,Iдоп_1ж,Iдоп_2ж,Iдоп_3ж),MATCH(BS285,Iдоп_S,0))*BP285*BQ285,{6,10,16,20,25,32,40,50,63,80,100,125,160,200,250,315,400,500,630}),""))</f>
        <v>25</v>
      </c>
      <c r="EC285">
        <f>IF(AD285="","",SUMIFS(Линии[_Ток схемы],Линии[_гр.],DY285,Линии[Щит],A285,Линии[_в кабель выше],0))</f>
        <v>0.83</v>
      </c>
      <c r="ED285">
        <f>IF(AD285="","",IFERROR(VLOOKUP(EC285,Автомат_номиналы,2,TRUE),""))</f>
        <v>6</v>
      </c>
      <c r="EE285">
        <f>IF(AD285="","",MAX(N(ED285),_xlfn.MAXIFS(Линии[_мин. по типу],Линии[_гр.],DY285,Линии[Щит],A285)))</f>
        <v>16</v>
      </c>
      <c r="EF285">
        <f>IF(AD285="","",_xlfn.MINIFS(Линии[_макс. автомат по кабелю],Линии[_гр.],DY285,Линии[Щит],A285))</f>
        <v>25</v>
      </c>
      <c r="EG285">
        <f>IF(AD285="","",MAX(1,_xlfn.MAXIFS(Линии[_фаз],Линии[_гр.],DY285,Линии[Щит],A285)))</f>
        <v>1</v>
      </c>
      <c r="EH285">
        <f>IF(AD285="","",IF(AND(AD285&lt;&gt;"авто",AD285&lt;&gt;"+"),IF(ISNUMBER(SEARCH("мА",AD285)),IFERROR(--TRIM(RIGHT(SUBSTITUTE(LEFT(AD285,SEARCH("мА",AD285)-1)," ",REPT(" ",9)),6)),30),0),IF(AE285="нет",0,IF(ISNUMBER(AE285),AE285,IF(AE285="да",30,_xlfn.MINIFS(Линии[_дифзащита по коду, мА],Линии[_гр.],DY285,Линии[Щит],A285,Линии[_дифзащита по коду, мА],"&gt;0"))))))</f>
        <v>30</v>
      </c>
      <c r="EI285">
        <f t="shared" si="396"/>
        <v>1</v>
      </c>
      <c r="EJ285" t="str">
        <f t="shared" si="397"/>
        <v>QFD2</v>
      </c>
      <c r="EK285" t="str">
        <f t="shared" si="398"/>
        <v>QFD2</v>
      </c>
      <c r="EL285" t="str">
        <f t="shared" si="399"/>
        <v/>
      </c>
      <c r="EM285">
        <f t="shared" si="400"/>
        <v>0</v>
      </c>
      <c r="EN285">
        <f>IF(AD285="","",IF(EM285=1,MAX(EE285,Мин_автомат_БП),EE285))</f>
        <v>16</v>
      </c>
      <c r="EO285" t="str">
        <f t="shared" si="401"/>
        <v>2P</v>
      </c>
      <c r="EP285" t="str">
        <f t="shared" si="402"/>
        <v>2P С16А 30мА</v>
      </c>
      <c r="EQ285">
        <f t="shared" si="403"/>
        <v>16</v>
      </c>
      <c r="ER285" t="str">
        <f>IF(OR(AI285="",AI285="-"),"",IFERROR(VLOOKUP(AI285,Модули_спр,2,FALSE),"R"))</f>
        <v/>
      </c>
      <c r="ES285" t="str">
        <f>IF(ER285="","",ER285&amp;"."&amp;COUNTIFS(A$3:A285,A285,ER$3:ER285,ER285))</f>
        <v/>
      </c>
      <c r="ET285" t="str">
        <f t="shared" si="404"/>
        <v/>
      </c>
      <c r="EU285" t="str">
        <f t="shared" si="405"/>
        <v/>
      </c>
      <c r="EV285" t="str">
        <f t="shared" si="406"/>
        <v/>
      </c>
      <c r="EW285" t="str">
        <f t="shared" si="407"/>
        <v/>
      </c>
      <c r="EX285">
        <f t="shared" si="408"/>
        <v>1</v>
      </c>
      <c r="EY285" t="str">
        <f>IF(AK285="нет","",IF(AK285&lt;&gt;"",AK285,IF(EX285=1,"XT"&amp;COUNTIFS(A$3:A285,A285,EX$3:EX285,1),"")))</f>
        <v>XT2</v>
      </c>
      <c r="EZ285" t="str">
        <f t="shared" si="409"/>
        <v>QFD2</v>
      </c>
      <c r="FA285" t="str">
        <f t="shared" si="410"/>
        <v/>
      </c>
      <c r="FB285" t="str">
        <f t="shared" si="411"/>
        <v>ok</v>
      </c>
      <c r="FC285" t="str">
        <f>IF(OR(EV285="",ET285=""),"",IF(EV285&gt;IFERROR(VLOOKUP(EU285,Модули_спр,3,FALSE),99),"ЛИШНИЙ КАНАЛ",IF(AND(AJ285&lt;&gt;"=",COUNTIFS(Линии[_модуль гр.],ET285,Линии[Канал (итог)],EV285,Линии[Канал],"&lt;&gt;=",Линии[Щит],A285)&gt;1),"ДУБЛЬ КАНАЛА","")))</f>
        <v/>
      </c>
      <c r="FD285">
        <f t="shared" si="412"/>
        <v>16</v>
      </c>
      <c r="FE285" t="str">
        <f t="shared" si="413"/>
        <v>2P С16А 30мА</v>
      </c>
      <c r="FF285">
        <f t="shared" si="414"/>
        <v>1</v>
      </c>
      <c r="FG285">
        <f t="shared" si="415"/>
        <v>30</v>
      </c>
      <c r="FH285" t="str">
        <f t="shared" si="416"/>
        <v/>
      </c>
      <c r="FI285">
        <f t="shared" si="417"/>
        <v>10</v>
      </c>
      <c r="FJ285" t="str">
        <f t="shared" si="418"/>
        <v/>
      </c>
      <c r="FK285" t="str">
        <f>IF(AND(D285="",EZ285=""),"",_xlfn.TEXTJOIN("; ",TRUE,IF(AND(D285&lt;&gt;"",DD285=""),"нет фазы",""),IF(AND(D285&lt;&gt;"",N(DT285)=0,CN285&lt;&gt;"Нет"),"нет мощности",""),IF(AND(EY285&lt;&gt;"",COUNTIFS(Линии[Щит],A285,Линии[Клемма (итог)],EY285)&gt;1),"дубль клеммы "&amp;EY285,""),IF(AND(FB285&lt;&gt;"",FB285&lt;&gt;"ok"),FB285,""),IF(FC285&lt;&gt;"",FC285,""),IF(AND(ISNUMBER(SEARCH("(5х",DS285)),N(DV285)=1),"5 жил на 1 фазе",""),IF(AND(AT285="R",AD285&lt;&gt;"",OR(N(EH285)=0,N(EH285)&gt;30)),"розетка без дифзащиты до 30 мА",""),IFERROR(IF(AND(ISNUMBER(CD285),CD285&gt;CE285),"потери "&amp;FIXED(CD285,1)&amp;" % &gt; "&amp;CE285&amp;" %",""),""),IFERROR(IF(LEFT(FJ285,4)="мало","Iкз мало — отключение &gt; 0,4 с",""),""),IF(AND(D285&lt;&gt;"",BD285=""),"не на схеме","")))</f>
        <v/>
      </c>
      <c r="FL285">
        <f>IF(AD285="","",_xlfn.LET(_xlpm.t,IFERROR(_xlfn.XLOOKUP(EP285,Каталог!$U$4:$U$500,Каталог!$G$4:$G$500),""),_xlpm.k,SEARCH("кА",_xlpm.t),IFERROR(--TRIM(RIGHT(SUBSTITUTE(MID(_xlpm.t,MAX(1,_xlpm.k-4),_xlpm.k-MAX(1,_xlpm.k-4))," ",REPT(" ",9)),5)),"")))</f>
        <v>6</v>
      </c>
      <c r="FM285" t="str">
        <f>IF(OR(FL285="",AD285=""),"",IF(_xlfn.XLOOKUP(A285,Щиты[Щит],Щиты[Iкз max на шинах, кА],"")="","",IF(FL285&lt;_xlfn.XLOOKUP(A285,Щиты[Щит],Щиты[Iкз max на шинах, кА]),"Icu "&amp;FL285&amp;" кА &lt; Iкз max","ok")))</f>
        <v/>
      </c>
      <c r="FN285" t="str">
        <f t="shared" si="419"/>
        <v>QFD2|XT2</v>
      </c>
      <c r="FO285" t="str">
        <f t="shared" si="420"/>
        <v>QFD2|XT2|кабель ВВГнг(А)-LS (3х2,5) → Розеточная группа Второй этаж Пом. №003А</v>
      </c>
      <c r="FP285" t="str" cm="1">
        <f t="array" ref="FP285">IF(FO285="","",_xlfn.LET(_xlpm.nd,_xlfn.TEXTSPLIT(FO285,"|"),IF(COLUMNS(_xlpm.nd)&gt;1,A285&amp;"¦"&amp;INDEX(_xlpm.nd,1)&amp;"¦"&amp;INDEX(_xlpm.nd,2),"")))</f>
        <v>ЩР-2¦QFD2¦XT2</v>
      </c>
      <c r="FQ285" t="str">
        <f t="shared" si="421"/>
        <v>R.2.003А.1¦Розеточная группа Второй этаж Пом. №003А</v>
      </c>
      <c r="FR285" t="str" cm="1">
        <f t="array" ref="FR285">IF(FO285="","",_xlfn.LET(_xlpm.nd,_xlfn.TEXTSPLIT(FO285,"|"),IF(COLUMNS(_xlpm.nd)&gt;2,A285&amp;"¦"&amp;INDEX(_xlpm.nd,2)&amp;"¦"&amp;INDEX(_xlpm.nd,3),"")))</f>
        <v>ЩР-2¦XT2¦кабель ВВГнг(А)-LS (3х2,5) → Розеточная группа Второй этаж Пом. №003А</v>
      </c>
      <c r="FS285" t="str">
        <f t="shared" si="422"/>
        <v>R.2.003А.1¦Розеточная группа Второй этаж Пом. №003А</v>
      </c>
      <c r="FT285" t="str" cm="1">
        <f t="array" ref="FT285">IF(FO285="","",_xlfn.LET(_xlpm.nd,_xlfn.TEXTSPLIT(FO285,"|"),IF(COLUMNS(_xlpm.nd)&gt;3,A285&amp;"¦"&amp;INDEX(_xlpm.nd,3)&amp;"¦"&amp;INDEX(_xlpm.nd,4),"")))</f>
        <v/>
      </c>
      <c r="FU285" t="str">
        <f t="shared" si="423"/>
        <v/>
      </c>
      <c r="FV285" t="str" cm="1">
        <f t="array" ref="FV285">IF(FO285="","",_xlfn.LET(_xlpm.nd,_xlfn.TEXTSPLIT(FO285,"|"),IF(COLUMNS(_xlpm.nd)&gt;4,A285&amp;"¦"&amp;INDEX(_xlpm.nd,4)&amp;"¦"&amp;INDEX(_xlpm.nd,5),"")))</f>
        <v/>
      </c>
      <c r="FW285" t="str">
        <f t="shared" si="424"/>
        <v/>
      </c>
      <c r="FX285" t="str" cm="1">
        <f t="array" ref="FX285">IF(FO285="","",_xlfn.LET(_xlpm.nd,_xlfn.TEXTSPLIT(FO285,"|"),IF(COLUMNS(_xlpm.nd)&gt;5,A285&amp;"¦"&amp;INDEX(_xlpm.nd,5)&amp;"¦"&amp;INDEX(_xlpm.nd,6),"")))</f>
        <v/>
      </c>
      <c r="FY285" t="str">
        <f t="shared" si="425"/>
        <v/>
      </c>
      <c r="FZ285" t="str" cm="1">
        <f t="array" ref="FZ285">IF(FO285="","",_xlfn.LET(_xlpm.nd,_xlfn.TEXTSPLIT(FO285,"|"),IF(COLUMNS(_xlpm.nd)&gt;6,A285&amp;"¦"&amp;INDEX(_xlpm.nd,6)&amp;"¦"&amp;INDEX(_xlpm.nd,7),"")))</f>
        <v/>
      </c>
      <c r="GA285" t="str">
        <f t="shared" si="426"/>
        <v/>
      </c>
      <c r="GB285" t="str">
        <f t="shared" si="427"/>
        <v/>
      </c>
      <c r="GC285" t="str">
        <f t="shared" si="428"/>
        <v>QFD2 → XT2</v>
      </c>
      <c r="GD285">
        <f t="shared" si="429"/>
        <v>1</v>
      </c>
      <c r="GE285">
        <f t="shared" si="430"/>
        <v>0</v>
      </c>
      <c r="GF285">
        <f t="shared" si="431"/>
        <v>1</v>
      </c>
      <c r="GG285" t="str">
        <f t="shared" si="432"/>
        <v/>
      </c>
      <c r="GH285" t="str">
        <f t="shared" si="433"/>
        <v/>
      </c>
      <c r="GI285" t="str">
        <f t="shared" si="434"/>
        <v/>
      </c>
      <c r="GJ285" t="str">
        <f t="shared" si="435"/>
        <v/>
      </c>
      <c r="GK285" t="str">
        <f>IF(D285="","",IFERROR(VLOOKUP(D285,УГО_спр,2,FALSE),IFERROR(VLOOKUP(AT285,УГО_спр,2,FALSE),IFERROR(VLOOKUP(LEFT(AT285,2),УГО_спр,2,FALSE),""))))</f>
        <v>Розетка</v>
      </c>
      <c r="GL285" t="str">
        <f>IF(D285="","",IF(OR(GK285="",GK285=0),"BOX",IFERROR(IF(VLOOKUP(GK285,УГО_блоки,3,FALSE)&amp;""&lt;&gt;"",VLOOKUP(GK285,УГО_блоки,3,FALSE),VLOOKUP(GK285,УГО_блоки,2,FALSE)),GK285)))</f>
        <v>SOCKET</v>
      </c>
      <c r="GM285">
        <f t="shared" si="436"/>
        <v>1</v>
      </c>
      <c r="GN285" t="str">
        <f>IF(EP285="","",IF(COUNTIF(EP$3:EP285,EP285)=1,MAX(GN$2:GN284)+1,""))</f>
        <v/>
      </c>
      <c r="GO285" t="str">
        <f>IF(AF285="","",IF(COUNTIF(AF$3:AF285,AF285)+COUNTIF(AG$2:AG284,AF285)+COUNTIF(AH$2:AH284,AF285)=1,MAX(GO$2:GQ284)+1,""))</f>
        <v/>
      </c>
      <c r="GP285" t="str">
        <f>IF(AG285="","",IF(COUNTIF(AF$3:AF285,AG285)+COUNTIF(AG$3:AG285,AG285)+COUNTIF(AH$2:AH284,AG285)=1,MAX(GO$2:GQ284,GO285)+1,""))</f>
        <v/>
      </c>
      <c r="GQ285" t="str">
        <f>IF(AH285="","",IF(COUNTIF(AF$3:AF285,AH285)+COUNTIF(AG$3:AG285,AH285)+COUNTIF(AH$3:AH285,AH285)=1,MAX(GO$2:GQ284,GO285,GP285)+1,""))</f>
        <v/>
      </c>
      <c r="GR285" t="str">
        <f t="shared" si="437"/>
        <v>3х2,5</v>
      </c>
      <c r="GS285" t="str">
        <f>IF(GR285="","",IF(COUNTIF(GR$3:GR285,GR285)=1,MAX(GS$2:GS284)+1,""))</f>
        <v/>
      </c>
      <c r="GT285" t="str">
        <f>IF(ES285="","",COUNTIF(ES$3:ES285,"?*"))</f>
        <v/>
      </c>
      <c r="GU285" t="str">
        <f>IF(OR(ES285="",EU285=""),"",IF(COUNTIFS(ES$3:ES285,"?*",EU$3:EU285,EU285)=1,MAX(GU$2:GU284)+1,""))</f>
        <v/>
      </c>
      <c r="GV285">
        <f t="shared" si="438"/>
        <v>0</v>
      </c>
      <c r="GW285">
        <f>IF(D285="","",COUNTIF(D$3:D285,"?*"))</f>
        <v>283</v>
      </c>
      <c r="GX285">
        <f>IF(EX285&lt;&gt;1,0,_xlfn.LET(_xlpm.k,MAX(IFERROR(--VLOOKUP(D285,УГО_спр,5,FALSE),0),IFERROR(--VLOOKUP(AT285,УГО_спр,5,FALSE),0),IFERROR(--VLOOKUP(LEFT(AT285,2),УГО_спр,5,FALSE),0)),IF(_xlpm.k&gt;0,_xlpm.k,IF(IFERROR(--LEFT(SUBSTITUTE(GR285,"x","х"),FIND("х",SUBSTITUTE(GR285,"x","х"))-1),3)&gt;3,Каталог!$S$9,1))))</f>
        <v>1</v>
      </c>
      <c r="GY285">
        <f t="shared" si="439"/>
        <v>0</v>
      </c>
    </row>
    <row r="286" spans="1:207" x14ac:dyDescent="0.3">
      <c r="A286" t="s">
        <v>764</v>
      </c>
      <c r="B286">
        <v>11</v>
      </c>
      <c r="C286" t="str">
        <f>IF(BD286="","",IF(BE286="вводной узел","узел ","")&amp;"л."&amp;(INT((BD286-1)/Столбцов_на_лист)+1)&amp;" / "&amp;(MOD(BD286-1,Столбцов_на_лист)+1))</f>
        <v>л.1 / 11</v>
      </c>
      <c r="D286" t="s">
        <v>1619</v>
      </c>
      <c r="E286" s="133" t="str">
        <f t="shared" si="352"/>
        <v>Розеточная группа Второй этаж Пом. №005А</v>
      </c>
      <c r="G286">
        <v>0.3</v>
      </c>
      <c r="H286">
        <v>3</v>
      </c>
      <c r="I286">
        <v>1</v>
      </c>
      <c r="J286">
        <v>230</v>
      </c>
      <c r="K286" t="s">
        <v>566</v>
      </c>
      <c r="O286">
        <v>2</v>
      </c>
      <c r="P286">
        <v>42</v>
      </c>
      <c r="Q286">
        <v>12</v>
      </c>
      <c r="R286">
        <v>39</v>
      </c>
      <c r="T286">
        <v>2</v>
      </c>
      <c r="U286" t="s">
        <v>11</v>
      </c>
      <c r="V286">
        <v>3</v>
      </c>
      <c r="W286">
        <v>2.5</v>
      </c>
      <c r="X286">
        <v>16</v>
      </c>
      <c r="Z286" t="s">
        <v>565</v>
      </c>
      <c r="AA286" t="s">
        <v>818</v>
      </c>
      <c r="AD286" t="s">
        <v>517</v>
      </c>
      <c r="AR286" t="str">
        <f t="shared" si="353"/>
        <v/>
      </c>
      <c r="AS286" cm="1">
        <f t="array" ref="AS286">ROW()-ROW(Линии[#Headers])</f>
        <v>284</v>
      </c>
      <c r="AT286" t="str">
        <f t="shared" si="354"/>
        <v>R</v>
      </c>
      <c r="AU286" t="str">
        <f t="shared" si="355"/>
        <v>2.005А.1</v>
      </c>
      <c r="AV286" t="str">
        <f t="shared" si="356"/>
        <v>2</v>
      </c>
      <c r="AW286" t="str">
        <f t="shared" si="357"/>
        <v>005А.1</v>
      </c>
      <c r="AX286" t="str">
        <f t="shared" si="358"/>
        <v>005А</v>
      </c>
      <c r="AY286" t="str">
        <f>IF(D286="","",IF(ISERROR(SEARCH(".",D286)),IFERROR(VLOOKUP(D286,Потребители_обозначение,2,FALSE)&amp;"",""),IFERROR(IF(VLOOKUP(AT286,Потребители_обозначение,4,FALSE)=1,VLOOKUP(AT286,Потребители_обозначение,2,FALSE)&amp;" "&amp;VLOOKUP(AV286,Этаж_обозначение,2,FALSE)&amp;" Пом. №"&amp;AX286,VLOOKUP(AT286,Потребители_обозначение,2,FALSE)&amp;" Шлейф №"&amp;AV286),IFERROR(VLOOKUP(D286,Потребители_обозначение,2,FALSE),""))))</f>
        <v>Розеточная группа Второй этаж Пом. №005А</v>
      </c>
      <c r="AZ286" t="str">
        <f t="shared" si="359"/>
        <v>Розеточная группа Второй этаж Пом. №005А</v>
      </c>
      <c r="BA286" t="str">
        <f>IF(F286&lt;&gt;"",F286,IF(AND(D286&lt;&gt;"",D286&lt;&gt;A286,ISNUMBER(_xlfn.XMATCH(D286,Щиты[Щит]))),D286,""))</f>
        <v/>
      </c>
      <c r="BB286">
        <f>IFERROR(_xlfn.XMATCH(A286,Щиты[Щит]),0)</f>
        <v>11</v>
      </c>
      <c r="BC286">
        <f>IFERROR(N(_xlfn.XLOOKUP(A286,Щиты[Щит],Щиты[Мест под вводной узел])),15)</f>
        <v>8</v>
      </c>
      <c r="BD286">
        <f t="shared" si="360"/>
        <v>11</v>
      </c>
      <c r="BE286" t="str">
        <f t="shared" si="361"/>
        <v>линии</v>
      </c>
      <c r="BF286">
        <f>IF(D286="","",IF(BA286&lt;&gt;"",IFERROR(_xlfn.XLOOKUP(BA286,Щиты[Щит],Щиты[Руст, кВт]),0),N(G286)))</f>
        <v>0.3</v>
      </c>
      <c r="BG286">
        <f>IF(J286&lt;&gt;"",J286,IF(D286="","",IFERROR(IF(VLOOKUP(AT286,Потребители_обозначение,8,FALSE)=0,"",VLOOKUP(AT286,Потребители_обозначение,8,FALSE)),"")))</f>
        <v>230</v>
      </c>
      <c r="BH286">
        <f>IF(I286&lt;&gt;"",I286,IF(D286="","",IFERROR(IF(VLOOKUP(AT286,Потребители_обозначение,9,FALSE)=0,"",VLOOKUP(AT286,Потребители_обозначение,9,FALSE)),"")))</f>
        <v>1</v>
      </c>
      <c r="BI286" t="str">
        <f>IF(U286&lt;&gt;"",U286,IF(D286="","",IFERROR(IF(VLOOKUP(AT286,Потребители_обозначение,6,FALSE)=0,"",VLOOKUP(AT286,Потребители_обозначение,6,FALSE)),"")))</f>
        <v>мс</v>
      </c>
      <c r="BJ286">
        <f>IF(V286&lt;&gt;"",V286,IF(D286="","",IFERROR(IF(VLOOKUP(AT286,Потребители_обозначение,7,FALSE)=0,"",VLOOKUP(AT286,Потребители_обозначение,7,FALSE)),"")))</f>
        <v>3</v>
      </c>
      <c r="BK286">
        <f>IF(W286&lt;&gt;"",W286,IF(D286="","",IFERROR(IF(VLOOKUP(AT286,Потребители_обозначение,10,FALSE)=0,"",VLOOKUP(AT286,Потребители_обозначение,10,FALSE)),"")))</f>
        <v>2.5</v>
      </c>
      <c r="BL286">
        <f>IFERROR(VLOOKUP(AT286,Потребители_обозначение,5,FALSE),0)</f>
        <v>1</v>
      </c>
      <c r="BM286" cm="1">
        <f t="array" ref="BM286">IF(D286="","",IF(BA286&lt;&gt;"",IFERROR(_xlfn.XLOOKUP(BA286,Щиты[Щит],Щиты[cos φ]),0.95),IF(ISNUMBER(M286),M286,IFERROR(IF(BL286=2,_xlfn.IFS(BH286=3,VLOOKUP(BF286,Справочная_двигатели,8,FALSE),BH286=1,VLOOKUP(BF286,Справочная_двигатели,10,TRUE)),IF(AND(Методика="нормы 2026",CN286="Сил"),0.8,0.95)),0.95))))</f>
        <v>0.95</v>
      </c>
      <c r="BN286" cm="1">
        <f t="array" ref="BN286">IF(D286="","",IF(BA286&lt;&gt;"",IFERROR(_xlfn.XLOOKUP(BA286,Щиты[Щит],Щиты[Iр, А]),""),IFERROR(_xlfn.IFS(BH286=1,BF286/((Uн_лин/SQRT(3))*BM286),BH286=3,BF286/(SQRT(3)*Uн_лин*BM286)),"")))</f>
        <v>1.3674085322912188</v>
      </c>
      <c r="BO286">
        <f>IF(D286="","",IF(N(X286)=0,IFERROR(VLOOKUP(BN286,Автомат_номиналы,2,TRUE),""),X286))</f>
        <v>16</v>
      </c>
      <c r="BP286">
        <f t="shared" si="362"/>
        <v>1</v>
      </c>
      <c r="BQ286">
        <f>IF(ISNUMBER(Y286),Y286,К_прокл)</f>
        <v>1</v>
      </c>
      <c r="BR286">
        <f t="shared" si="363"/>
        <v>2</v>
      </c>
      <c r="BS286" cm="1">
        <f t="array" ref="BS286">IF(D286="","",IF(N(BK286)&lt;&gt;0,BK286,IFERROR(_xlfn.LET(_xlpm.need,BO286/(BP286*BQ286),_xlpm.t,CHOOSE(BR286,Iдоп_1ж,Iдоп_2ж,Iдоп_3ж),_xlpm.k,_xlfn.XMATCH(_xlpm.need,_xlpm.t,1),IF(ISNA(_xlpm.k),"Не исп",INDEX(Iдоп_S,_xlpm.k))),"Не исп")))</f>
        <v>2.5</v>
      </c>
      <c r="BT286">
        <f>IFERROR(VLOOKUP(BS286,Кабель_сопротивление,3,FALSE),"")</f>
        <v>2.2499999999999999E-2</v>
      </c>
      <c r="BU286">
        <f>IFERROR(VLOOKUP(BS286,Кабель_сопротивление,2,FALSE),"")</f>
        <v>0.1</v>
      </c>
      <c r="BV286">
        <f t="shared" si="364"/>
        <v>42</v>
      </c>
      <c r="BW286">
        <f>IF(D286="","",IFERROR(IF(VLOOKUP(AT286,Потребители_обозначение,4,FALSE)=1,VLOOKUP(AT286,Потребители_обозначение,3,FALSE)*(H286*2-1)+BV286+VLOOKUP(AV286,Этаж_обозначение,3,FALSE)+VLOOKUP(AV286,Этаж_обозначение,4,FALSE),VLOOKUP(AT286,Потребители_обозначение,3,FALSE)*(H286*2-1)+BV286),BV286))</f>
        <v>57</v>
      </c>
      <c r="BX286">
        <f t="shared" si="365"/>
        <v>39</v>
      </c>
      <c r="BY286">
        <f t="shared" si="366"/>
        <v>53</v>
      </c>
      <c r="BZ286">
        <f t="shared" si="367"/>
        <v>2</v>
      </c>
      <c r="CA286">
        <f t="shared" si="368"/>
        <v>0.31</v>
      </c>
      <c r="CB286">
        <f t="shared" si="369"/>
        <v>1.3376455181773683</v>
      </c>
      <c r="CC286">
        <f>IFERROR(ROUNDUP(CB286/((Uн_лин/SQRT(3))*1000)*100,2),"")</f>
        <v>0.57999999999999996</v>
      </c>
      <c r="CD286">
        <f>IF(ISNUMBER(CC286),CC286+IFERROR(_xlfn.XLOOKUP(A286,Щиты[Щит],Щиты[ΔU до шин, %]),0),"")</f>
        <v>2.37</v>
      </c>
      <c r="CE286">
        <f>IF(D286="","",IF(IFERROR(VLOOKUP(AT286,УГО_спр,2,FALSE),"")="Светильник",3,4)+IF(Методика="нормы 2026",MIN(0.5,MAX(0,N(BW286)-100)*0.005),0))</f>
        <v>4</v>
      </c>
      <c r="CF286" t="str">
        <f>IFERROR(VLOOKUP(BI286,Кабель_обозначение,2,FALSE),"")</f>
        <v>ВВГнг(А)-LS</v>
      </c>
      <c r="CG286" t="str">
        <f>IFERROR(IF(VLOOKUP(BI286,Кабель_обозначение,3,FALSE)=1,CF286&amp;" ("&amp;BJ286&amp;"х"&amp;BS286&amp;")",CF286),"")</f>
        <v>ВВГнг(А)-LS (3х2,5)</v>
      </c>
      <c r="CH286" t="str">
        <f t="shared" si="370"/>
        <v>ВВГнг(А)-LS (3х2,5)
L=57-0,58%</v>
      </c>
      <c r="CI286">
        <f>IFERROR(2*ρкз_Cu*BW286/BS286,"")</f>
        <v>1.1992800000000001</v>
      </c>
      <c r="CJ286">
        <f t="shared" si="371"/>
        <v>0.39900000000000002</v>
      </c>
      <c r="CK286" t="str">
        <f>IFERROR(IF(OR(D286="",NOT(ISNUMBER(BS286)),N(BW286)=0),"",_xlfn.XLOOKUP(A286,Щиты[Щит],Щиты[Zпетли на шинах, Ом])+CI286),"")</f>
        <v/>
      </c>
      <c r="CL286" t="str">
        <f>IF(ISNUMBER(CK286),c_min*(Uн_лин*1000/SQRT(3))/CK286,"")</f>
        <v/>
      </c>
      <c r="CM286" t="str">
        <f>IFERROR(IF(OR(D286="",NOT(ISNUMBER(BS286))),"",1.05*(Uн_лин*1000/SQRT(3))/(_xlfn.XLOOKUP(A286,Щиты[Щит],Щиты[Zmax на шинах, Ом])+CJ286)/1000),"")</f>
        <v/>
      </c>
      <c r="CN286" t="str">
        <f>IF(D286="","",IF(BA286&lt;&gt;"","Щит",IF(K286&lt;&gt;"",K286,IF(ISNUMBER(L286),"Сил",IF(IFERROR(_xlfn.XLOOKUP(AT286,Коды_код,Коды_группа)&amp;"","")="","Быт",_xlfn.XLOOKUP(AT286,Коды_код,Коды_группа)&amp;"")))))</f>
        <v>Быт</v>
      </c>
      <c r="CO286">
        <f>IF(CN286="Щит","щит",IF(CN286="","",IF(CN286="Быт",IFERROR(_xlfn.XLOOKUP(A286,Щиты[Щит],Щиты[Кс быт]),1),IF(CN286="Сил",IF(ISNUMBER(L286),L286,IF(Методика="нормы 2026",IFERROR(_xlfn.XLOOKUP(A286,Щиты[Щит],Щиты[Кс силовых (табл. 7.5)]),1),1)),IF(OR(CN286="Пост",CN286="Отоп"),1,IF(CN286="ВНГ",0.7,0))))))</f>
        <v>0.8</v>
      </c>
      <c r="CP286">
        <f t="shared" si="372"/>
        <v>1</v>
      </c>
      <c r="CQ286">
        <f t="shared" si="373"/>
        <v>0.3</v>
      </c>
      <c r="CR286">
        <f t="shared" si="374"/>
        <v>0.3</v>
      </c>
      <c r="CS286">
        <f t="shared" si="375"/>
        <v>0</v>
      </c>
      <c r="CT286">
        <f t="shared" si="376"/>
        <v>0</v>
      </c>
      <c r="CU286">
        <f t="shared" si="377"/>
        <v>0</v>
      </c>
      <c r="CV286">
        <f t="shared" si="378"/>
        <v>0</v>
      </c>
      <c r="CW286">
        <f t="shared" si="379"/>
        <v>0.3</v>
      </c>
      <c r="CX286">
        <f t="shared" si="380"/>
        <v>0.28499999999999998</v>
      </c>
      <c r="CY286">
        <f t="shared" si="381"/>
        <v>1</v>
      </c>
      <c r="CZ286" t="str">
        <f t="shared" si="382"/>
        <v>L1</v>
      </c>
      <c r="DA286" cm="1">
        <f t="array" ref="DA286">IFERROR(IF(BL286=2,_xlfn.IFS(BH286=3,VLOOKUP(BF286,Справочная_двигатели,3,FALSE),BH286=1,VLOOKUP(BF286,Справочная_двигатели,5,TRUE)),0),0)</f>
        <v>0</v>
      </c>
      <c r="DB286">
        <f>IFERROR(IF(BL286=3,VLOOKUP(BF286,Справочная_ЛЭД,2,TRUE),0),0)</f>
        <v>0</v>
      </c>
      <c r="DC286">
        <f t="shared" si="383"/>
        <v>0</v>
      </c>
      <c r="DD286" t="str">
        <f t="shared" si="384"/>
        <v>L2</v>
      </c>
      <c r="DE286" t="str" cm="1">
        <f t="array" ref="DE286">IF(D286="","",IFERROR(INDEX({"I особая","I","II","III"},MATCH(TRIM(AA286&amp;""),{"I особая","I","II","III"},0)),"III"))</f>
        <v>II</v>
      </c>
      <c r="DF286" t="str">
        <f>IF(D286="","",IF(TRIM(AB286&amp;"")&lt;&gt;"",IF(LOWER(TRIM(AB286&amp;""))="да","да","нет"),IF(IFERROR(_xlfn.XLOOKUP(AT286,Коды_код,Коды_пожарная),"")="да","да","нет")))</f>
        <v>нет</v>
      </c>
      <c r="DG286" t="str">
        <f t="shared" si="385"/>
        <v/>
      </c>
      <c r="DH286" t="str">
        <f t="shared" si="386"/>
        <v>основная</v>
      </c>
      <c r="DI286">
        <f t="shared" si="387"/>
        <v>1</v>
      </c>
      <c r="DJ286" t="str" cm="1">
        <f t="array" ref="DJ286">IF(D286="","",_xlfn.LET(_xlpm.t,IFERROR(_xlfn.XLOOKUP(1,(Шины[Шина]=DH286)*(((Шины[Щит]=A286)+(Шины[Щит]=""))&gt;0),Шины[Тип]),"")&amp;"",IF(_xlpm.t&lt;&gt;"",_xlpm.t,IF(ISNUMBER(SEARCH("ИБП",DH286)),"ИБП",IF(ISNUMBER(SEARCH("ДГУ",DH286)),"ДГУ","Ввод "&amp;DI286)))))</f>
        <v>Ввод 1</v>
      </c>
      <c r="DK286" t="str">
        <f t="shared" si="388"/>
        <v>Ввод 1</v>
      </c>
      <c r="DL286" t="str">
        <f>IF(D286="","",IF(OR(DJ286="ИБП",DJ286="ДГУ"),"I особая",IF(DJ286="Одиночная","III",_xlfn.XLOOKUP(A286,Щиты[Щит],Щиты[Категория шины «Ввод»],"III"))))</f>
        <v>II</v>
      </c>
      <c r="DM286">
        <f>IF(D286="",0,IFERROR(MATCH(DE286,{"III","II","I","I особая"},0),1))</f>
        <v>2</v>
      </c>
      <c r="DN286">
        <f t="shared" si="389"/>
        <v>2</v>
      </c>
      <c r="DO286" t="str">
        <f>IF(D286="","",IF(DM286&gt;IFERROR(MATCH(DL286,{"III","II","I","I особая"},0),1),"НЕ ОБЕСПЕЧЕНА","ОК"))</f>
        <v>ОК</v>
      </c>
      <c r="DP286" t="str">
        <f>IF(A286="","",_xlfn.XLOOKUP(A286,Щиты[Щит],Щиты[Путь],""))</f>
        <v>|ГРЩ-ЖД|ЩР-2|</v>
      </c>
      <c r="DQ286" t="str">
        <f>IF(D286="","",IF(Z286&lt;&gt;"",Z286,IF(IFERROR(_xlfn.XLOOKUP(AT286,Коды_код,Коды_вид)&amp;"","")="","Прочее",_xlfn.XLOOKUP(AT286,Коды_код,Коды_вид)&amp;"")))</f>
        <v>Розеточная сеть и бытовые приборы</v>
      </c>
      <c r="DR286">
        <f>IF(BD286="","",INT((BD286-1)/Столбцов_на_лист)+1)</f>
        <v>1</v>
      </c>
      <c r="DS286" t="str">
        <f t="shared" si="390"/>
        <v>ВВГнг(А)-LS (3х2,5) L=57-0,58%</v>
      </c>
      <c r="DT286">
        <f t="shared" si="391"/>
        <v>0.3</v>
      </c>
      <c r="DU286">
        <f t="shared" si="392"/>
        <v>1.37</v>
      </c>
      <c r="DV286">
        <f t="shared" si="393"/>
        <v>1</v>
      </c>
      <c r="DW286">
        <f>IF(AT286="",0,_xlfn.LET(_xlpm.v,IFERROR(VLOOKUP(D286,УГО_спр,3,FALSE),IFERROR(VLOOKUP(AT286,УГО_спр,3,FALSE),IFERROR(VLOOKUP(LEFT(AT286,2),УГО_спр,3,FALSE),""))),IF(_xlpm.v="да",30,IF(ISNUMBER(_xlpm.v),_xlpm.v,0))))</f>
        <v>30</v>
      </c>
      <c r="DX286">
        <f t="shared" si="394"/>
        <v>0</v>
      </c>
      <c r="DY286">
        <f>IF(BD286="","",IF(AD286&lt;&gt;"",COUNTIFS(A$3:A286,A286,AD$3:AD286,"?*"),IF(OR(OR(AS286=1,A286&lt;&gt;A285),AL286="вручную"),"",IF(AS286=1,"",DZ285))))</f>
        <v>3</v>
      </c>
      <c r="DZ286">
        <f t="shared" si="395"/>
        <v>3</v>
      </c>
      <c r="EA286">
        <f>IF(D286="",0,MAX(IFERROR(--X286,0),IFERROR(--VLOOKUP(D286,УГО_спр,4,FALSE),IFERROR(--VLOOKUP(AT286,УГО_спр,4,FALSE),IFERROR(--VLOOKUP(LEFT(AT286,2),УГО_спр,4,FALSE),0)))))</f>
        <v>16</v>
      </c>
      <c r="EB286">
        <f>IF(D286="","",IFERROR(LOOKUP(INDEX(CHOOSE(BR286,Iдоп_1ж,Iдоп_2ж,Iдоп_3ж),MATCH(BS286,Iдоп_S,0))*BP286*BQ286,{6,10,16,20,25,32,40,50,63,80,100,125,160,200,250,315,400,500,630}),""))</f>
        <v>25</v>
      </c>
      <c r="EC286">
        <f>IF(AD286="","",SUMIFS(Линии[_Ток схемы],Линии[_гр.],DY286,Линии[Щит],A286,Линии[_в кабель выше],0))</f>
        <v>1.37</v>
      </c>
      <c r="ED286">
        <f>IF(AD286="","",IFERROR(VLOOKUP(EC286,Автомат_номиналы,2,TRUE),""))</f>
        <v>6</v>
      </c>
      <c r="EE286">
        <f>IF(AD286="","",MAX(N(ED286),_xlfn.MAXIFS(Линии[_мин. по типу],Линии[_гр.],DY286,Линии[Щит],A286)))</f>
        <v>16</v>
      </c>
      <c r="EF286">
        <f>IF(AD286="","",_xlfn.MINIFS(Линии[_макс. автомат по кабелю],Линии[_гр.],DY286,Линии[Щит],A286))</f>
        <v>25</v>
      </c>
      <c r="EG286">
        <f>IF(AD286="","",MAX(1,_xlfn.MAXIFS(Линии[_фаз],Линии[_гр.],DY286,Линии[Щит],A286)))</f>
        <v>1</v>
      </c>
      <c r="EH286">
        <f>IF(AD286="","",IF(AND(AD286&lt;&gt;"авто",AD286&lt;&gt;"+"),IF(ISNUMBER(SEARCH("мА",AD286)),IFERROR(--TRIM(RIGHT(SUBSTITUTE(LEFT(AD286,SEARCH("мА",AD286)-1)," ",REPT(" ",9)),6)),30),0),IF(AE286="нет",0,IF(ISNUMBER(AE286),AE286,IF(AE286="да",30,_xlfn.MINIFS(Линии[_дифзащита по коду, мА],Линии[_гр.],DY286,Линии[Щит],A286,Линии[_дифзащита по коду, мА],"&gt;0"))))))</f>
        <v>30</v>
      </c>
      <c r="EI286">
        <f t="shared" si="396"/>
        <v>1</v>
      </c>
      <c r="EJ286" t="str">
        <f t="shared" si="397"/>
        <v>QFD3</v>
      </c>
      <c r="EK286" t="str">
        <f t="shared" si="398"/>
        <v>QFD3</v>
      </c>
      <c r="EL286" t="str">
        <f t="shared" si="399"/>
        <v/>
      </c>
      <c r="EM286">
        <f t="shared" si="400"/>
        <v>0</v>
      </c>
      <c r="EN286">
        <f>IF(AD286="","",IF(EM286=1,MAX(EE286,Мин_автомат_БП),EE286))</f>
        <v>16</v>
      </c>
      <c r="EO286" t="str">
        <f t="shared" si="401"/>
        <v>2P</v>
      </c>
      <c r="EP286" t="str">
        <f t="shared" si="402"/>
        <v>2P С16А 30мА</v>
      </c>
      <c r="EQ286">
        <f t="shared" si="403"/>
        <v>16</v>
      </c>
      <c r="ER286" t="str">
        <f>IF(OR(AI286="",AI286="-"),"",IFERROR(VLOOKUP(AI286,Модули_спр,2,FALSE),"R"))</f>
        <v/>
      </c>
      <c r="ES286" t="str">
        <f>IF(ER286="","",ER286&amp;"."&amp;COUNTIFS(A$3:A286,A286,ER$3:ER286,ER286))</f>
        <v/>
      </c>
      <c r="ET286" t="str">
        <f t="shared" si="404"/>
        <v/>
      </c>
      <c r="EU286" t="str">
        <f t="shared" si="405"/>
        <v/>
      </c>
      <c r="EV286" t="str">
        <f t="shared" si="406"/>
        <v/>
      </c>
      <c r="EW286" t="str">
        <f t="shared" si="407"/>
        <v/>
      </c>
      <c r="EX286">
        <f t="shared" si="408"/>
        <v>1</v>
      </c>
      <c r="EY286" t="str">
        <f>IF(AK286="нет","",IF(AK286&lt;&gt;"",AK286,IF(EX286=1,"XT"&amp;COUNTIFS(A$3:A286,A286,EX$3:EX286,1),"")))</f>
        <v>XT3</v>
      </c>
      <c r="EZ286" t="str">
        <f t="shared" si="409"/>
        <v>QFD3</v>
      </c>
      <c r="FA286" t="str">
        <f t="shared" si="410"/>
        <v/>
      </c>
      <c r="FB286" t="str">
        <f t="shared" si="411"/>
        <v>ok</v>
      </c>
      <c r="FC286" t="str">
        <f>IF(OR(EV286="",ET286=""),"",IF(EV286&gt;IFERROR(VLOOKUP(EU286,Модули_спр,3,FALSE),99),"ЛИШНИЙ КАНАЛ",IF(AND(AJ286&lt;&gt;"=",COUNTIFS(Линии[_модуль гр.],ET286,Линии[Канал (итог)],EV286,Линии[Канал],"&lt;&gt;=",Линии[Щит],A286)&gt;1),"ДУБЛЬ КАНАЛА","")))</f>
        <v/>
      </c>
      <c r="FD286">
        <f t="shared" si="412"/>
        <v>16</v>
      </c>
      <c r="FE286" t="str">
        <f t="shared" si="413"/>
        <v>2P С16А 30мА</v>
      </c>
      <c r="FF286">
        <f t="shared" si="414"/>
        <v>1</v>
      </c>
      <c r="FG286">
        <f t="shared" si="415"/>
        <v>30</v>
      </c>
      <c r="FH286" t="str">
        <f t="shared" si="416"/>
        <v/>
      </c>
      <c r="FI286">
        <f t="shared" si="417"/>
        <v>10</v>
      </c>
      <c r="FJ286" t="str">
        <f t="shared" si="418"/>
        <v/>
      </c>
      <c r="FK286" t="str">
        <f>IF(AND(D286="",EZ286=""),"",_xlfn.TEXTJOIN("; ",TRUE,IF(AND(D286&lt;&gt;"",DD286=""),"нет фазы",""),IF(AND(D286&lt;&gt;"",N(DT286)=0,CN286&lt;&gt;"Нет"),"нет мощности",""),IF(AND(EY286&lt;&gt;"",COUNTIFS(Линии[Щит],A286,Линии[Клемма (итог)],EY286)&gt;1),"дубль клеммы "&amp;EY286,""),IF(AND(FB286&lt;&gt;"",FB286&lt;&gt;"ok"),FB286,""),IF(FC286&lt;&gt;"",FC286,""),IF(AND(ISNUMBER(SEARCH("(5х",DS286)),N(DV286)=1),"5 жил на 1 фазе",""),IF(AND(AT286="R",AD286&lt;&gt;"",OR(N(EH286)=0,N(EH286)&gt;30)),"розетка без дифзащиты до 30 мА",""),IFERROR(IF(AND(ISNUMBER(CD286),CD286&gt;CE286),"потери "&amp;FIXED(CD286,1)&amp;" % &gt; "&amp;CE286&amp;" %",""),""),IFERROR(IF(LEFT(FJ286,4)="мало","Iкз мало — отключение &gt; 0,4 с",""),""),IF(AND(D286&lt;&gt;"",BD286=""),"не на схеме","")))</f>
        <v/>
      </c>
      <c r="FL286">
        <f>IF(AD286="","",_xlfn.LET(_xlpm.t,IFERROR(_xlfn.XLOOKUP(EP286,Каталог!$U$4:$U$500,Каталог!$G$4:$G$500),""),_xlpm.k,SEARCH("кА",_xlpm.t),IFERROR(--TRIM(RIGHT(SUBSTITUTE(MID(_xlpm.t,MAX(1,_xlpm.k-4),_xlpm.k-MAX(1,_xlpm.k-4))," ",REPT(" ",9)),5)),"")))</f>
        <v>6</v>
      </c>
      <c r="FM286" t="str">
        <f>IF(OR(FL286="",AD286=""),"",IF(_xlfn.XLOOKUP(A286,Щиты[Щит],Щиты[Iкз max на шинах, кА],"")="","",IF(FL286&lt;_xlfn.XLOOKUP(A286,Щиты[Щит],Щиты[Iкз max на шинах, кА]),"Icu "&amp;FL286&amp;" кА &lt; Iкз max","ok")))</f>
        <v/>
      </c>
      <c r="FN286" t="str">
        <f t="shared" si="419"/>
        <v>QFD3|XT3</v>
      </c>
      <c r="FO286" t="str">
        <f t="shared" si="420"/>
        <v>QFD3|XT3|кабель ВВГнг(А)-LS (3х2,5) → Розеточная группа Второй этаж Пом. №005А</v>
      </c>
      <c r="FP286" t="str" cm="1">
        <f t="array" ref="FP286">IF(FO286="","",_xlfn.LET(_xlpm.nd,_xlfn.TEXTSPLIT(FO286,"|"),IF(COLUMNS(_xlpm.nd)&gt;1,A286&amp;"¦"&amp;INDEX(_xlpm.nd,1)&amp;"¦"&amp;INDEX(_xlpm.nd,2),"")))</f>
        <v>ЩР-2¦QFD3¦XT3</v>
      </c>
      <c r="FQ286" t="str">
        <f t="shared" si="421"/>
        <v>R.2.005А.1¦Розеточная группа Второй этаж Пом. №005А</v>
      </c>
      <c r="FR286" t="str" cm="1">
        <f t="array" ref="FR286">IF(FO286="","",_xlfn.LET(_xlpm.nd,_xlfn.TEXTSPLIT(FO286,"|"),IF(COLUMNS(_xlpm.nd)&gt;2,A286&amp;"¦"&amp;INDEX(_xlpm.nd,2)&amp;"¦"&amp;INDEX(_xlpm.nd,3),"")))</f>
        <v>ЩР-2¦XT3¦кабель ВВГнг(А)-LS (3х2,5) → Розеточная группа Второй этаж Пом. №005А</v>
      </c>
      <c r="FS286" t="str">
        <f t="shared" si="422"/>
        <v>R.2.005А.1¦Розеточная группа Второй этаж Пом. №005А</v>
      </c>
      <c r="FT286" t="str" cm="1">
        <f t="array" ref="FT286">IF(FO286="","",_xlfn.LET(_xlpm.nd,_xlfn.TEXTSPLIT(FO286,"|"),IF(COLUMNS(_xlpm.nd)&gt;3,A286&amp;"¦"&amp;INDEX(_xlpm.nd,3)&amp;"¦"&amp;INDEX(_xlpm.nd,4),"")))</f>
        <v/>
      </c>
      <c r="FU286" t="str">
        <f t="shared" si="423"/>
        <v/>
      </c>
      <c r="FV286" t="str" cm="1">
        <f t="array" ref="FV286">IF(FO286="","",_xlfn.LET(_xlpm.nd,_xlfn.TEXTSPLIT(FO286,"|"),IF(COLUMNS(_xlpm.nd)&gt;4,A286&amp;"¦"&amp;INDEX(_xlpm.nd,4)&amp;"¦"&amp;INDEX(_xlpm.nd,5),"")))</f>
        <v/>
      </c>
      <c r="FW286" t="str">
        <f t="shared" si="424"/>
        <v/>
      </c>
      <c r="FX286" t="str" cm="1">
        <f t="array" ref="FX286">IF(FO286="","",_xlfn.LET(_xlpm.nd,_xlfn.TEXTSPLIT(FO286,"|"),IF(COLUMNS(_xlpm.nd)&gt;5,A286&amp;"¦"&amp;INDEX(_xlpm.nd,5)&amp;"¦"&amp;INDEX(_xlpm.nd,6),"")))</f>
        <v/>
      </c>
      <c r="FY286" t="str">
        <f t="shared" si="425"/>
        <v/>
      </c>
      <c r="FZ286" t="str" cm="1">
        <f t="array" ref="FZ286">IF(FO286="","",_xlfn.LET(_xlpm.nd,_xlfn.TEXTSPLIT(FO286,"|"),IF(COLUMNS(_xlpm.nd)&gt;6,A286&amp;"¦"&amp;INDEX(_xlpm.nd,6)&amp;"¦"&amp;INDEX(_xlpm.nd,7),"")))</f>
        <v/>
      </c>
      <c r="GA286" t="str">
        <f t="shared" si="426"/>
        <v/>
      </c>
      <c r="GB286" t="str">
        <f t="shared" si="427"/>
        <v/>
      </c>
      <c r="GC286" t="str">
        <f t="shared" si="428"/>
        <v>QFD3 → XT3</v>
      </c>
      <c r="GD286">
        <f t="shared" si="429"/>
        <v>1</v>
      </c>
      <c r="GE286">
        <f t="shared" si="430"/>
        <v>0</v>
      </c>
      <c r="GF286">
        <f t="shared" si="431"/>
        <v>1</v>
      </c>
      <c r="GG286" t="str">
        <f t="shared" si="432"/>
        <v/>
      </c>
      <c r="GH286" t="str">
        <f t="shared" si="433"/>
        <v/>
      </c>
      <c r="GI286" t="str">
        <f t="shared" si="434"/>
        <v/>
      </c>
      <c r="GJ286" t="str">
        <f t="shared" si="435"/>
        <v/>
      </c>
      <c r="GK286" t="str">
        <f>IF(D286="","",IFERROR(VLOOKUP(D286,УГО_спр,2,FALSE),IFERROR(VLOOKUP(AT286,УГО_спр,2,FALSE),IFERROR(VLOOKUP(LEFT(AT286,2),УГО_спр,2,FALSE),""))))</f>
        <v>Розетка</v>
      </c>
      <c r="GL286" t="str">
        <f>IF(D286="","",IF(OR(GK286="",GK286=0),"BOX",IFERROR(IF(VLOOKUP(GK286,УГО_блоки,3,FALSE)&amp;""&lt;&gt;"",VLOOKUP(GK286,УГО_блоки,3,FALSE),VLOOKUP(GK286,УГО_блоки,2,FALSE)),GK286)))</f>
        <v>SOCKET</v>
      </c>
      <c r="GM286">
        <f t="shared" si="436"/>
        <v>1</v>
      </c>
      <c r="GN286" t="str">
        <f>IF(EP286="","",IF(COUNTIF(EP$3:EP286,EP286)=1,MAX(GN$2:GN285)+1,""))</f>
        <v/>
      </c>
      <c r="GO286" t="str">
        <f>IF(AF286="","",IF(COUNTIF(AF$3:AF286,AF286)+COUNTIF(AG$2:AG285,AF286)+COUNTIF(AH$2:AH285,AF286)=1,MAX(GO$2:GQ285)+1,""))</f>
        <v/>
      </c>
      <c r="GP286" t="str">
        <f>IF(AG286="","",IF(COUNTIF(AF$3:AF286,AG286)+COUNTIF(AG$3:AG286,AG286)+COUNTIF(AH$2:AH285,AG286)=1,MAX(GO$2:GQ285,GO286)+1,""))</f>
        <v/>
      </c>
      <c r="GQ286" t="str">
        <f>IF(AH286="","",IF(COUNTIF(AF$3:AF286,AH286)+COUNTIF(AG$3:AG286,AH286)+COUNTIF(AH$3:AH286,AH286)=1,MAX(GO$2:GQ285,GO286,GP286)+1,""))</f>
        <v/>
      </c>
      <c r="GR286" t="str">
        <f t="shared" si="437"/>
        <v>3х2,5</v>
      </c>
      <c r="GS286" t="str">
        <f>IF(GR286="","",IF(COUNTIF(GR$3:GR286,GR286)=1,MAX(GS$2:GS285)+1,""))</f>
        <v/>
      </c>
      <c r="GT286" t="str">
        <f>IF(ES286="","",COUNTIF(ES$3:ES286,"?*"))</f>
        <v/>
      </c>
      <c r="GU286" t="str">
        <f>IF(OR(ES286="",EU286=""),"",IF(COUNTIFS(ES$3:ES286,"?*",EU$3:EU286,EU286)=1,MAX(GU$2:GU285)+1,""))</f>
        <v/>
      </c>
      <c r="GV286">
        <f t="shared" si="438"/>
        <v>0</v>
      </c>
      <c r="GW286">
        <f>IF(D286="","",COUNTIF(D$3:D286,"?*"))</f>
        <v>284</v>
      </c>
      <c r="GX286">
        <f>IF(EX286&lt;&gt;1,0,_xlfn.LET(_xlpm.k,MAX(IFERROR(--VLOOKUP(D286,УГО_спр,5,FALSE),0),IFERROR(--VLOOKUP(AT286,УГО_спр,5,FALSE),0),IFERROR(--VLOOKUP(LEFT(AT286,2),УГО_спр,5,FALSE),0)),IF(_xlpm.k&gt;0,_xlpm.k,IF(IFERROR(--LEFT(SUBSTITUTE(GR286,"x","х"),FIND("х",SUBSTITUTE(GR286,"x","х"))-1),3)&gt;3,Каталог!$S$9,1))))</f>
        <v>1</v>
      </c>
      <c r="GY286">
        <f t="shared" si="439"/>
        <v>0</v>
      </c>
    </row>
    <row r="287" spans="1:207" x14ac:dyDescent="0.3">
      <c r="A287" t="s">
        <v>764</v>
      </c>
      <c r="B287">
        <v>12</v>
      </c>
      <c r="C287" t="str">
        <f>IF(BD287="","",IF(BE287="вводной узел","узел ","")&amp;"л."&amp;(INT((BD287-1)/Столбцов_на_лист)+1)&amp;" / "&amp;(MOD(BD287-1,Столбцов_на_лист)+1))</f>
        <v>л.1 / 12</v>
      </c>
      <c r="D287" t="s">
        <v>1620</v>
      </c>
      <c r="E287" s="133" t="str">
        <f t="shared" si="352"/>
        <v>Розеточная группа Второй этаж Пом. №005А</v>
      </c>
      <c r="G287">
        <v>0.24</v>
      </c>
      <c r="H287">
        <v>2</v>
      </c>
      <c r="I287">
        <v>1</v>
      </c>
      <c r="J287">
        <v>230</v>
      </c>
      <c r="K287" t="s">
        <v>566</v>
      </c>
      <c r="O287">
        <v>3</v>
      </c>
      <c r="P287">
        <v>34</v>
      </c>
      <c r="Q287">
        <v>12</v>
      </c>
      <c r="R287">
        <v>25</v>
      </c>
      <c r="T287">
        <v>2</v>
      </c>
      <c r="U287" t="s">
        <v>11</v>
      </c>
      <c r="V287">
        <v>3</v>
      </c>
      <c r="W287">
        <v>2.5</v>
      </c>
      <c r="X287">
        <v>16</v>
      </c>
      <c r="Z287" t="s">
        <v>565</v>
      </c>
      <c r="AA287" t="s">
        <v>818</v>
      </c>
      <c r="AD287" t="s">
        <v>517</v>
      </c>
      <c r="AR287" t="str">
        <f t="shared" si="353"/>
        <v/>
      </c>
      <c r="AS287" cm="1">
        <f t="array" ref="AS287">ROW()-ROW(Линии[#Headers])</f>
        <v>285</v>
      </c>
      <c r="AT287" t="str">
        <f t="shared" si="354"/>
        <v>R</v>
      </c>
      <c r="AU287" t="str">
        <f t="shared" si="355"/>
        <v>2.005А.2</v>
      </c>
      <c r="AV287" t="str">
        <f t="shared" si="356"/>
        <v>2</v>
      </c>
      <c r="AW287" t="str">
        <f t="shared" si="357"/>
        <v>005А.2</v>
      </c>
      <c r="AX287" t="str">
        <f t="shared" si="358"/>
        <v>005А</v>
      </c>
      <c r="AY287" t="str">
        <f>IF(D287="","",IF(ISERROR(SEARCH(".",D287)),IFERROR(VLOOKUP(D287,Потребители_обозначение,2,FALSE)&amp;"",""),IFERROR(IF(VLOOKUP(AT287,Потребители_обозначение,4,FALSE)=1,VLOOKUP(AT287,Потребители_обозначение,2,FALSE)&amp;" "&amp;VLOOKUP(AV287,Этаж_обозначение,2,FALSE)&amp;" Пом. №"&amp;AX287,VLOOKUP(AT287,Потребители_обозначение,2,FALSE)&amp;" Шлейф №"&amp;AV287),IFERROR(VLOOKUP(D287,Потребители_обозначение,2,FALSE),""))))</f>
        <v>Розеточная группа Второй этаж Пом. №005А</v>
      </c>
      <c r="AZ287" t="str">
        <f t="shared" si="359"/>
        <v>Розеточная группа Второй этаж Пом. №005А</v>
      </c>
      <c r="BA287" t="str">
        <f>IF(F287&lt;&gt;"",F287,IF(AND(D287&lt;&gt;"",D287&lt;&gt;A287,ISNUMBER(_xlfn.XMATCH(D287,Щиты[Щит]))),D287,""))</f>
        <v/>
      </c>
      <c r="BB287">
        <f>IFERROR(_xlfn.XMATCH(A287,Щиты[Щит]),0)</f>
        <v>11</v>
      </c>
      <c r="BC287">
        <f>IFERROR(N(_xlfn.XLOOKUP(A287,Щиты[Щит],Щиты[Мест под вводной узел])),15)</f>
        <v>8</v>
      </c>
      <c r="BD287">
        <f t="shared" si="360"/>
        <v>12</v>
      </c>
      <c r="BE287" t="str">
        <f t="shared" si="361"/>
        <v>линии</v>
      </c>
      <c r="BF287">
        <f>IF(D287="","",IF(BA287&lt;&gt;"",IFERROR(_xlfn.XLOOKUP(BA287,Щиты[Щит],Щиты[Руст, кВт]),0),N(G287)))</f>
        <v>0.24</v>
      </c>
      <c r="BG287">
        <f>IF(J287&lt;&gt;"",J287,IF(D287="","",IFERROR(IF(VLOOKUP(AT287,Потребители_обозначение,8,FALSE)=0,"",VLOOKUP(AT287,Потребители_обозначение,8,FALSE)),"")))</f>
        <v>230</v>
      </c>
      <c r="BH287">
        <f>IF(I287&lt;&gt;"",I287,IF(D287="","",IFERROR(IF(VLOOKUP(AT287,Потребители_обозначение,9,FALSE)=0,"",VLOOKUP(AT287,Потребители_обозначение,9,FALSE)),"")))</f>
        <v>1</v>
      </c>
      <c r="BI287" t="str">
        <f>IF(U287&lt;&gt;"",U287,IF(D287="","",IFERROR(IF(VLOOKUP(AT287,Потребители_обозначение,6,FALSE)=0,"",VLOOKUP(AT287,Потребители_обозначение,6,FALSE)),"")))</f>
        <v>мс</v>
      </c>
      <c r="BJ287">
        <f>IF(V287&lt;&gt;"",V287,IF(D287="","",IFERROR(IF(VLOOKUP(AT287,Потребители_обозначение,7,FALSE)=0,"",VLOOKUP(AT287,Потребители_обозначение,7,FALSE)),"")))</f>
        <v>3</v>
      </c>
      <c r="BK287">
        <f>IF(W287&lt;&gt;"",W287,IF(D287="","",IFERROR(IF(VLOOKUP(AT287,Потребители_обозначение,10,FALSE)=0,"",VLOOKUP(AT287,Потребители_обозначение,10,FALSE)),"")))</f>
        <v>2.5</v>
      </c>
      <c r="BL287">
        <f>IFERROR(VLOOKUP(AT287,Потребители_обозначение,5,FALSE),0)</f>
        <v>1</v>
      </c>
      <c r="BM287" cm="1">
        <f t="array" ref="BM287">IF(D287="","",IF(BA287&lt;&gt;"",IFERROR(_xlfn.XLOOKUP(BA287,Щиты[Щит],Щиты[cos φ]),0.95),IF(ISNUMBER(M287),M287,IFERROR(IF(BL287=2,_xlfn.IFS(BH287=3,VLOOKUP(BF287,Справочная_двигатели,8,FALSE),BH287=1,VLOOKUP(BF287,Справочная_двигатели,10,TRUE)),IF(AND(Методика="нормы 2026",CN287="Сил"),0.8,0.95)),0.95))))</f>
        <v>0.95</v>
      </c>
      <c r="BN287" cm="1">
        <f t="array" ref="BN287">IF(D287="","",IF(BA287&lt;&gt;"",IFERROR(_xlfn.XLOOKUP(BA287,Щиты[Щит],Щиты[Iр, А]),""),IFERROR(_xlfn.IFS(BH287=1,BF287/((Uн_лин/SQRT(3))*BM287),BH287=3,BF287/(SQRT(3)*Uн_лин*BM287)),"")))</f>
        <v>1.0939268258329751</v>
      </c>
      <c r="BO287">
        <f>IF(D287="","",IF(N(X287)=0,IFERROR(VLOOKUP(BN287,Автомат_номиналы,2,TRUE),""),X287))</f>
        <v>16</v>
      </c>
      <c r="BP287">
        <f t="shared" si="362"/>
        <v>1</v>
      </c>
      <c r="BQ287">
        <f>IF(ISNUMBER(Y287),Y287,К_прокл)</f>
        <v>1</v>
      </c>
      <c r="BR287">
        <f t="shared" si="363"/>
        <v>2</v>
      </c>
      <c r="BS287" cm="1">
        <f t="array" ref="BS287">IF(D287="","",IF(N(BK287)&lt;&gt;0,BK287,IFERROR(_xlfn.LET(_xlpm.need,BO287/(BP287*BQ287),_xlpm.t,CHOOSE(BR287,Iдоп_1ж,Iдоп_2ж,Iдоп_3ж),_xlpm.k,_xlfn.XMATCH(_xlpm.need,_xlpm.t,1),IF(ISNA(_xlpm.k),"Не исп",INDEX(Iдоп_S,_xlpm.k))),"Не исп")))</f>
        <v>2.5</v>
      </c>
      <c r="BT287">
        <f>IFERROR(VLOOKUP(BS287,Кабель_сопротивление,3,FALSE),"")</f>
        <v>2.2499999999999999E-2</v>
      </c>
      <c r="BU287">
        <f>IFERROR(VLOOKUP(BS287,Кабель_сопротивление,2,FALSE),"")</f>
        <v>0.1</v>
      </c>
      <c r="BV287">
        <f t="shared" si="364"/>
        <v>34</v>
      </c>
      <c r="BW287">
        <f>IF(D287="","",IFERROR(IF(VLOOKUP(AT287,Потребители_обозначение,4,FALSE)=1,VLOOKUP(AT287,Потребители_обозначение,3,FALSE)*(H287*2-1)+BV287+VLOOKUP(AV287,Этаж_обозначение,3,FALSE)+VLOOKUP(AV287,Этаж_обозначение,4,FALSE),VLOOKUP(AT287,Потребители_обозначение,3,FALSE)*(H287*2-1)+BV287),BV287))</f>
        <v>43</v>
      </c>
      <c r="BX287">
        <f t="shared" si="365"/>
        <v>25</v>
      </c>
      <c r="BY287">
        <f t="shared" si="366"/>
        <v>39</v>
      </c>
      <c r="BZ287">
        <f t="shared" si="367"/>
        <v>2</v>
      </c>
      <c r="CA287">
        <f t="shared" si="368"/>
        <v>0.31</v>
      </c>
      <c r="CB287">
        <f t="shared" si="369"/>
        <v>0.807280803952657</v>
      </c>
      <c r="CC287">
        <f>IFERROR(ROUNDUP(CB287/((Uн_лин/SQRT(3))*1000)*100,2),"")</f>
        <v>0.35000000000000003</v>
      </c>
      <c r="CD287">
        <f>IF(ISNUMBER(CC287),CC287+IFERROR(_xlfn.XLOOKUP(A287,Щиты[Щит],Щиты[ΔU до шин, %]),0),"")</f>
        <v>2.14</v>
      </c>
      <c r="CE287">
        <f>IF(D287="","",IF(IFERROR(VLOOKUP(AT287,УГО_спр,2,FALSE),"")="Светильник",3,4)+IF(Методика="нормы 2026",MIN(0.5,MAX(0,N(BW287)-100)*0.005),0))</f>
        <v>4</v>
      </c>
      <c r="CF287" t="str">
        <f>IFERROR(VLOOKUP(BI287,Кабель_обозначение,2,FALSE),"")</f>
        <v>ВВГнг(А)-LS</v>
      </c>
      <c r="CG287" t="str">
        <f>IFERROR(IF(VLOOKUP(BI287,Кабель_обозначение,3,FALSE)=1,CF287&amp;" ("&amp;BJ287&amp;"х"&amp;BS287&amp;")",CF287),"")</f>
        <v>ВВГнг(А)-LS (3х2,5)</v>
      </c>
      <c r="CH287" t="str">
        <f t="shared" si="370"/>
        <v>ВВГнг(А)-LS (3х2,5)
L=43-0,35%</v>
      </c>
      <c r="CI287">
        <f>IFERROR(2*ρкз_Cu*BW287/BS287,"")</f>
        <v>0.90471999999999997</v>
      </c>
      <c r="CJ287">
        <f t="shared" si="371"/>
        <v>0.30100000000000005</v>
      </c>
      <c r="CK287" t="str">
        <f>IFERROR(IF(OR(D287="",NOT(ISNUMBER(BS287)),N(BW287)=0),"",_xlfn.XLOOKUP(A287,Щиты[Щит],Щиты[Zпетли на шинах, Ом])+CI287),"")</f>
        <v/>
      </c>
      <c r="CL287" t="str">
        <f>IF(ISNUMBER(CK287),c_min*(Uн_лин*1000/SQRT(3))/CK287,"")</f>
        <v/>
      </c>
      <c r="CM287" t="str">
        <f>IFERROR(IF(OR(D287="",NOT(ISNUMBER(BS287))),"",1.05*(Uн_лин*1000/SQRT(3))/(_xlfn.XLOOKUP(A287,Щиты[Щит],Щиты[Zmax на шинах, Ом])+CJ287)/1000),"")</f>
        <v/>
      </c>
      <c r="CN287" t="str">
        <f>IF(D287="","",IF(BA287&lt;&gt;"","Щит",IF(K287&lt;&gt;"",K287,IF(ISNUMBER(L287),"Сил",IF(IFERROR(_xlfn.XLOOKUP(AT287,Коды_код,Коды_группа)&amp;"","")="","Быт",_xlfn.XLOOKUP(AT287,Коды_код,Коды_группа)&amp;"")))))</f>
        <v>Быт</v>
      </c>
      <c r="CO287">
        <f>IF(CN287="Щит","щит",IF(CN287="","",IF(CN287="Быт",IFERROR(_xlfn.XLOOKUP(A287,Щиты[Щит],Щиты[Кс быт]),1),IF(CN287="Сил",IF(ISNUMBER(L287),L287,IF(Методика="нормы 2026",IFERROR(_xlfn.XLOOKUP(A287,Щиты[Щит],Щиты[Кс силовых (табл. 7.5)]),1),1)),IF(OR(CN287="Пост",CN287="Отоп"),1,IF(CN287="ВНГ",0.7,0))))))</f>
        <v>0.8</v>
      </c>
      <c r="CP287">
        <f t="shared" si="372"/>
        <v>1</v>
      </c>
      <c r="CQ287">
        <f t="shared" si="373"/>
        <v>0.24</v>
      </c>
      <c r="CR287">
        <f t="shared" si="374"/>
        <v>0.24</v>
      </c>
      <c r="CS287">
        <f t="shared" si="375"/>
        <v>0</v>
      </c>
      <c r="CT287">
        <f t="shared" si="376"/>
        <v>0</v>
      </c>
      <c r="CU287">
        <f t="shared" si="377"/>
        <v>0</v>
      </c>
      <c r="CV287">
        <f t="shared" si="378"/>
        <v>0</v>
      </c>
      <c r="CW287">
        <f t="shared" si="379"/>
        <v>0.24</v>
      </c>
      <c r="CX287">
        <f t="shared" si="380"/>
        <v>0.22799999999999998</v>
      </c>
      <c r="CY287">
        <f t="shared" si="381"/>
        <v>2</v>
      </c>
      <c r="CZ287" t="str">
        <f t="shared" si="382"/>
        <v>L2</v>
      </c>
      <c r="DA287" cm="1">
        <f t="array" ref="DA287">IFERROR(IF(BL287=2,_xlfn.IFS(BH287=3,VLOOKUP(BF287,Справочная_двигатели,3,FALSE),BH287=1,VLOOKUP(BF287,Справочная_двигатели,5,TRUE)),0),0)</f>
        <v>0</v>
      </c>
      <c r="DB287">
        <f>IFERROR(IF(BL287=3,VLOOKUP(BF287,Справочная_ЛЭД,2,TRUE),0),0)</f>
        <v>0</v>
      </c>
      <c r="DC287">
        <f t="shared" si="383"/>
        <v>0</v>
      </c>
      <c r="DD287" t="str">
        <f t="shared" si="384"/>
        <v>L3</v>
      </c>
      <c r="DE287" t="str" cm="1">
        <f t="array" ref="DE287">IF(D287="","",IFERROR(INDEX({"I особая","I","II","III"},MATCH(TRIM(AA287&amp;""),{"I особая","I","II","III"},0)),"III"))</f>
        <v>II</v>
      </c>
      <c r="DF287" t="str">
        <f>IF(D287="","",IF(TRIM(AB287&amp;"")&lt;&gt;"",IF(LOWER(TRIM(AB287&amp;""))="да","да","нет"),IF(IFERROR(_xlfn.XLOOKUP(AT287,Коды_код,Коды_пожарная),"")="да","да","нет")))</f>
        <v>нет</v>
      </c>
      <c r="DG287" t="str">
        <f t="shared" si="385"/>
        <v/>
      </c>
      <c r="DH287" t="str">
        <f t="shared" si="386"/>
        <v>основная</v>
      </c>
      <c r="DI287">
        <f t="shared" si="387"/>
        <v>1</v>
      </c>
      <c r="DJ287" t="str" cm="1">
        <f t="array" ref="DJ287">IF(D287="","",_xlfn.LET(_xlpm.t,IFERROR(_xlfn.XLOOKUP(1,(Шины[Шина]=DH287)*(((Шины[Щит]=A287)+(Шины[Щит]=""))&gt;0),Шины[Тип]),"")&amp;"",IF(_xlpm.t&lt;&gt;"",_xlpm.t,IF(ISNUMBER(SEARCH("ИБП",DH287)),"ИБП",IF(ISNUMBER(SEARCH("ДГУ",DH287)),"ДГУ","Ввод "&amp;DI287)))))</f>
        <v>Ввод 1</v>
      </c>
      <c r="DK287" t="str">
        <f t="shared" si="388"/>
        <v>Ввод 1</v>
      </c>
      <c r="DL287" t="str">
        <f>IF(D287="","",IF(OR(DJ287="ИБП",DJ287="ДГУ"),"I особая",IF(DJ287="Одиночная","III",_xlfn.XLOOKUP(A287,Щиты[Щит],Щиты[Категория шины «Ввод»],"III"))))</f>
        <v>II</v>
      </c>
      <c r="DM287">
        <f>IF(D287="",0,IFERROR(MATCH(DE287,{"III","II","I","I особая"},0),1))</f>
        <v>2</v>
      </c>
      <c r="DN287">
        <f t="shared" si="389"/>
        <v>2</v>
      </c>
      <c r="DO287" t="str">
        <f>IF(D287="","",IF(DM287&gt;IFERROR(MATCH(DL287,{"III","II","I","I особая"},0),1),"НЕ ОБЕСПЕЧЕНА","ОК"))</f>
        <v>ОК</v>
      </c>
      <c r="DP287" t="str">
        <f>IF(A287="","",_xlfn.XLOOKUP(A287,Щиты[Щит],Щиты[Путь],""))</f>
        <v>|ГРЩ-ЖД|ЩР-2|</v>
      </c>
      <c r="DQ287" t="str">
        <f>IF(D287="","",IF(Z287&lt;&gt;"",Z287,IF(IFERROR(_xlfn.XLOOKUP(AT287,Коды_код,Коды_вид)&amp;"","")="","Прочее",_xlfn.XLOOKUP(AT287,Коды_код,Коды_вид)&amp;"")))</f>
        <v>Розеточная сеть и бытовые приборы</v>
      </c>
      <c r="DR287">
        <f>IF(BD287="","",INT((BD287-1)/Столбцов_на_лист)+1)</f>
        <v>1</v>
      </c>
      <c r="DS287" t="str">
        <f t="shared" si="390"/>
        <v>ВВГнг(А)-LS (3х2,5) L=43-0,35%</v>
      </c>
      <c r="DT287">
        <f t="shared" si="391"/>
        <v>0.24</v>
      </c>
      <c r="DU287">
        <f t="shared" si="392"/>
        <v>1.1000000000000001</v>
      </c>
      <c r="DV287">
        <f t="shared" si="393"/>
        <v>1</v>
      </c>
      <c r="DW287">
        <f>IF(AT287="",0,_xlfn.LET(_xlpm.v,IFERROR(VLOOKUP(D287,УГО_спр,3,FALSE),IFERROR(VLOOKUP(AT287,УГО_спр,3,FALSE),IFERROR(VLOOKUP(LEFT(AT287,2),УГО_спр,3,FALSE),""))),IF(_xlpm.v="да",30,IF(ISNUMBER(_xlpm.v),_xlpm.v,0))))</f>
        <v>30</v>
      </c>
      <c r="DX287">
        <f t="shared" si="394"/>
        <v>0</v>
      </c>
      <c r="DY287">
        <f>IF(BD287="","",IF(AD287&lt;&gt;"",COUNTIFS(A$3:A287,A287,AD$3:AD287,"?*"),IF(OR(OR(AS287=1,A287&lt;&gt;A286),AL287="вручную"),"",IF(AS287=1,"",DZ286))))</f>
        <v>4</v>
      </c>
      <c r="DZ287">
        <f t="shared" si="395"/>
        <v>4</v>
      </c>
      <c r="EA287">
        <f>IF(D287="",0,MAX(IFERROR(--X287,0),IFERROR(--VLOOKUP(D287,УГО_спр,4,FALSE),IFERROR(--VLOOKUP(AT287,УГО_спр,4,FALSE),IFERROR(--VLOOKUP(LEFT(AT287,2),УГО_спр,4,FALSE),0)))))</f>
        <v>16</v>
      </c>
      <c r="EB287">
        <f>IF(D287="","",IFERROR(LOOKUP(INDEX(CHOOSE(BR287,Iдоп_1ж,Iдоп_2ж,Iдоп_3ж),MATCH(BS287,Iдоп_S,0))*BP287*BQ287,{6,10,16,20,25,32,40,50,63,80,100,125,160,200,250,315,400,500,630}),""))</f>
        <v>25</v>
      </c>
      <c r="EC287">
        <f>IF(AD287="","",SUMIFS(Линии[_Ток схемы],Линии[_гр.],DY287,Линии[Щит],A287,Линии[_в кабель выше],0))</f>
        <v>1.1000000000000001</v>
      </c>
      <c r="ED287">
        <f>IF(AD287="","",IFERROR(VLOOKUP(EC287,Автомат_номиналы,2,TRUE),""))</f>
        <v>6</v>
      </c>
      <c r="EE287">
        <f>IF(AD287="","",MAX(N(ED287),_xlfn.MAXIFS(Линии[_мин. по типу],Линии[_гр.],DY287,Линии[Щит],A287)))</f>
        <v>16</v>
      </c>
      <c r="EF287">
        <f>IF(AD287="","",_xlfn.MINIFS(Линии[_макс. автомат по кабелю],Линии[_гр.],DY287,Линии[Щит],A287))</f>
        <v>25</v>
      </c>
      <c r="EG287">
        <f>IF(AD287="","",MAX(1,_xlfn.MAXIFS(Линии[_фаз],Линии[_гр.],DY287,Линии[Щит],A287)))</f>
        <v>1</v>
      </c>
      <c r="EH287">
        <f>IF(AD287="","",IF(AND(AD287&lt;&gt;"авто",AD287&lt;&gt;"+"),IF(ISNUMBER(SEARCH("мА",AD287)),IFERROR(--TRIM(RIGHT(SUBSTITUTE(LEFT(AD287,SEARCH("мА",AD287)-1)," ",REPT(" ",9)),6)),30),0),IF(AE287="нет",0,IF(ISNUMBER(AE287),AE287,IF(AE287="да",30,_xlfn.MINIFS(Линии[_дифзащита по коду, мА],Линии[_гр.],DY287,Линии[Щит],A287,Линии[_дифзащита по коду, мА],"&gt;0"))))))</f>
        <v>30</v>
      </c>
      <c r="EI287">
        <f t="shared" si="396"/>
        <v>1</v>
      </c>
      <c r="EJ287" t="str">
        <f t="shared" si="397"/>
        <v>QFD4</v>
      </c>
      <c r="EK287" t="str">
        <f t="shared" si="398"/>
        <v>QFD4</v>
      </c>
      <c r="EL287" t="str">
        <f t="shared" si="399"/>
        <v/>
      </c>
      <c r="EM287">
        <f t="shared" si="400"/>
        <v>0</v>
      </c>
      <c r="EN287">
        <f>IF(AD287="","",IF(EM287=1,MAX(EE287,Мин_автомат_БП),EE287))</f>
        <v>16</v>
      </c>
      <c r="EO287" t="str">
        <f t="shared" si="401"/>
        <v>2P</v>
      </c>
      <c r="EP287" t="str">
        <f t="shared" si="402"/>
        <v>2P С16А 30мА</v>
      </c>
      <c r="EQ287">
        <f t="shared" si="403"/>
        <v>16</v>
      </c>
      <c r="ER287" t="str">
        <f>IF(OR(AI287="",AI287="-"),"",IFERROR(VLOOKUP(AI287,Модули_спр,2,FALSE),"R"))</f>
        <v/>
      </c>
      <c r="ES287" t="str">
        <f>IF(ER287="","",ER287&amp;"."&amp;COUNTIFS(A$3:A287,A287,ER$3:ER287,ER287))</f>
        <v/>
      </c>
      <c r="ET287" t="str">
        <f t="shared" si="404"/>
        <v/>
      </c>
      <c r="EU287" t="str">
        <f t="shared" si="405"/>
        <v/>
      </c>
      <c r="EV287" t="str">
        <f t="shared" si="406"/>
        <v/>
      </c>
      <c r="EW287" t="str">
        <f t="shared" si="407"/>
        <v/>
      </c>
      <c r="EX287">
        <f t="shared" si="408"/>
        <v>1</v>
      </c>
      <c r="EY287" t="str">
        <f>IF(AK287="нет","",IF(AK287&lt;&gt;"",AK287,IF(EX287=1,"XT"&amp;COUNTIFS(A$3:A287,A287,EX$3:EX287,1),"")))</f>
        <v>XT4</v>
      </c>
      <c r="EZ287" t="str">
        <f t="shared" si="409"/>
        <v>QFD4</v>
      </c>
      <c r="FA287" t="str">
        <f t="shared" si="410"/>
        <v/>
      </c>
      <c r="FB287" t="str">
        <f t="shared" si="411"/>
        <v>ok</v>
      </c>
      <c r="FC287" t="str">
        <f>IF(OR(EV287="",ET287=""),"",IF(EV287&gt;IFERROR(VLOOKUP(EU287,Модули_спр,3,FALSE),99),"ЛИШНИЙ КАНАЛ",IF(AND(AJ287&lt;&gt;"=",COUNTIFS(Линии[_модуль гр.],ET287,Линии[Канал (итог)],EV287,Линии[Канал],"&lt;&gt;=",Линии[Щит],A287)&gt;1),"ДУБЛЬ КАНАЛА","")))</f>
        <v/>
      </c>
      <c r="FD287">
        <f t="shared" si="412"/>
        <v>16</v>
      </c>
      <c r="FE287" t="str">
        <f t="shared" si="413"/>
        <v>2P С16А 30мА</v>
      </c>
      <c r="FF287">
        <f t="shared" si="414"/>
        <v>1</v>
      </c>
      <c r="FG287">
        <f t="shared" si="415"/>
        <v>30</v>
      </c>
      <c r="FH287" t="str">
        <f t="shared" si="416"/>
        <v/>
      </c>
      <c r="FI287">
        <f t="shared" si="417"/>
        <v>10</v>
      </c>
      <c r="FJ287" t="str">
        <f t="shared" si="418"/>
        <v/>
      </c>
      <c r="FK287" t="str">
        <f>IF(AND(D287="",EZ287=""),"",_xlfn.TEXTJOIN("; ",TRUE,IF(AND(D287&lt;&gt;"",DD287=""),"нет фазы",""),IF(AND(D287&lt;&gt;"",N(DT287)=0,CN287&lt;&gt;"Нет"),"нет мощности",""),IF(AND(EY287&lt;&gt;"",COUNTIFS(Линии[Щит],A287,Линии[Клемма (итог)],EY287)&gt;1),"дубль клеммы "&amp;EY287,""),IF(AND(FB287&lt;&gt;"",FB287&lt;&gt;"ok"),FB287,""),IF(FC287&lt;&gt;"",FC287,""),IF(AND(ISNUMBER(SEARCH("(5х",DS287)),N(DV287)=1),"5 жил на 1 фазе",""),IF(AND(AT287="R",AD287&lt;&gt;"",OR(N(EH287)=0,N(EH287)&gt;30)),"розетка без дифзащиты до 30 мА",""),IFERROR(IF(AND(ISNUMBER(CD287),CD287&gt;CE287),"потери "&amp;FIXED(CD287,1)&amp;" % &gt; "&amp;CE287&amp;" %",""),""),IFERROR(IF(LEFT(FJ287,4)="мало","Iкз мало — отключение &gt; 0,4 с",""),""),IF(AND(D287&lt;&gt;"",BD287=""),"не на схеме","")))</f>
        <v/>
      </c>
      <c r="FL287">
        <f>IF(AD287="","",_xlfn.LET(_xlpm.t,IFERROR(_xlfn.XLOOKUP(EP287,Каталог!$U$4:$U$500,Каталог!$G$4:$G$500),""),_xlpm.k,SEARCH("кА",_xlpm.t),IFERROR(--TRIM(RIGHT(SUBSTITUTE(MID(_xlpm.t,MAX(1,_xlpm.k-4),_xlpm.k-MAX(1,_xlpm.k-4))," ",REPT(" ",9)),5)),"")))</f>
        <v>6</v>
      </c>
      <c r="FM287" t="str">
        <f>IF(OR(FL287="",AD287=""),"",IF(_xlfn.XLOOKUP(A287,Щиты[Щит],Щиты[Iкз max на шинах, кА],"")="","",IF(FL287&lt;_xlfn.XLOOKUP(A287,Щиты[Щит],Щиты[Iкз max на шинах, кА]),"Icu "&amp;FL287&amp;" кА &lt; Iкз max","ok")))</f>
        <v/>
      </c>
      <c r="FN287" t="str">
        <f t="shared" si="419"/>
        <v>QFD4|XT4</v>
      </c>
      <c r="FO287" t="str">
        <f t="shared" si="420"/>
        <v>QFD4|XT4|кабель ВВГнг(А)-LS (3х2,5) → Розеточная группа Второй этаж Пом. №005А</v>
      </c>
      <c r="FP287" t="str" cm="1">
        <f t="array" ref="FP287">IF(FO287="","",_xlfn.LET(_xlpm.nd,_xlfn.TEXTSPLIT(FO287,"|"),IF(COLUMNS(_xlpm.nd)&gt;1,A287&amp;"¦"&amp;INDEX(_xlpm.nd,1)&amp;"¦"&amp;INDEX(_xlpm.nd,2),"")))</f>
        <v>ЩР-2¦QFD4¦XT4</v>
      </c>
      <c r="FQ287" t="str">
        <f t="shared" si="421"/>
        <v>R.2.005А.2¦Розеточная группа Второй этаж Пом. №005А</v>
      </c>
      <c r="FR287" t="str" cm="1">
        <f t="array" ref="FR287">IF(FO287="","",_xlfn.LET(_xlpm.nd,_xlfn.TEXTSPLIT(FO287,"|"),IF(COLUMNS(_xlpm.nd)&gt;2,A287&amp;"¦"&amp;INDEX(_xlpm.nd,2)&amp;"¦"&amp;INDEX(_xlpm.nd,3),"")))</f>
        <v>ЩР-2¦XT4¦кабель ВВГнг(А)-LS (3х2,5) → Розеточная группа Второй этаж Пом. №005А</v>
      </c>
      <c r="FS287" t="str">
        <f t="shared" si="422"/>
        <v>R.2.005А.2¦Розеточная группа Второй этаж Пом. №005А</v>
      </c>
      <c r="FT287" t="str" cm="1">
        <f t="array" ref="FT287">IF(FO287="","",_xlfn.LET(_xlpm.nd,_xlfn.TEXTSPLIT(FO287,"|"),IF(COLUMNS(_xlpm.nd)&gt;3,A287&amp;"¦"&amp;INDEX(_xlpm.nd,3)&amp;"¦"&amp;INDEX(_xlpm.nd,4),"")))</f>
        <v/>
      </c>
      <c r="FU287" t="str">
        <f t="shared" si="423"/>
        <v/>
      </c>
      <c r="FV287" t="str" cm="1">
        <f t="array" ref="FV287">IF(FO287="","",_xlfn.LET(_xlpm.nd,_xlfn.TEXTSPLIT(FO287,"|"),IF(COLUMNS(_xlpm.nd)&gt;4,A287&amp;"¦"&amp;INDEX(_xlpm.nd,4)&amp;"¦"&amp;INDEX(_xlpm.nd,5),"")))</f>
        <v/>
      </c>
      <c r="FW287" t="str">
        <f t="shared" si="424"/>
        <v/>
      </c>
      <c r="FX287" t="str" cm="1">
        <f t="array" ref="FX287">IF(FO287="","",_xlfn.LET(_xlpm.nd,_xlfn.TEXTSPLIT(FO287,"|"),IF(COLUMNS(_xlpm.nd)&gt;5,A287&amp;"¦"&amp;INDEX(_xlpm.nd,5)&amp;"¦"&amp;INDEX(_xlpm.nd,6),"")))</f>
        <v/>
      </c>
      <c r="FY287" t="str">
        <f t="shared" si="425"/>
        <v/>
      </c>
      <c r="FZ287" t="str" cm="1">
        <f t="array" ref="FZ287">IF(FO287="","",_xlfn.LET(_xlpm.nd,_xlfn.TEXTSPLIT(FO287,"|"),IF(COLUMNS(_xlpm.nd)&gt;6,A287&amp;"¦"&amp;INDEX(_xlpm.nd,6)&amp;"¦"&amp;INDEX(_xlpm.nd,7),"")))</f>
        <v/>
      </c>
      <c r="GA287" t="str">
        <f t="shared" si="426"/>
        <v/>
      </c>
      <c r="GB287" t="str">
        <f t="shared" si="427"/>
        <v/>
      </c>
      <c r="GC287" t="str">
        <f t="shared" si="428"/>
        <v>QFD4 → XT4</v>
      </c>
      <c r="GD287">
        <f t="shared" si="429"/>
        <v>1</v>
      </c>
      <c r="GE287">
        <f t="shared" si="430"/>
        <v>0</v>
      </c>
      <c r="GF287">
        <f t="shared" si="431"/>
        <v>1</v>
      </c>
      <c r="GG287" t="str">
        <f t="shared" si="432"/>
        <v/>
      </c>
      <c r="GH287" t="str">
        <f t="shared" si="433"/>
        <v/>
      </c>
      <c r="GI287" t="str">
        <f t="shared" si="434"/>
        <v/>
      </c>
      <c r="GJ287" t="str">
        <f t="shared" si="435"/>
        <v/>
      </c>
      <c r="GK287" t="str">
        <f>IF(D287="","",IFERROR(VLOOKUP(D287,УГО_спр,2,FALSE),IFERROR(VLOOKUP(AT287,УГО_спр,2,FALSE),IFERROR(VLOOKUP(LEFT(AT287,2),УГО_спр,2,FALSE),""))))</f>
        <v>Розетка</v>
      </c>
      <c r="GL287" t="str">
        <f>IF(D287="","",IF(OR(GK287="",GK287=0),"BOX",IFERROR(IF(VLOOKUP(GK287,УГО_блоки,3,FALSE)&amp;""&lt;&gt;"",VLOOKUP(GK287,УГО_блоки,3,FALSE),VLOOKUP(GK287,УГО_блоки,2,FALSE)),GK287)))</f>
        <v>SOCKET</v>
      </c>
      <c r="GM287">
        <f t="shared" si="436"/>
        <v>1</v>
      </c>
      <c r="GN287" t="str">
        <f>IF(EP287="","",IF(COUNTIF(EP$3:EP287,EP287)=1,MAX(GN$2:GN286)+1,""))</f>
        <v/>
      </c>
      <c r="GO287" t="str">
        <f>IF(AF287="","",IF(COUNTIF(AF$3:AF287,AF287)+COUNTIF(AG$2:AG286,AF287)+COUNTIF(AH$2:AH286,AF287)=1,MAX(GO$2:GQ286)+1,""))</f>
        <v/>
      </c>
      <c r="GP287" t="str">
        <f>IF(AG287="","",IF(COUNTIF(AF$3:AF287,AG287)+COUNTIF(AG$3:AG287,AG287)+COUNTIF(AH$2:AH286,AG287)=1,MAX(GO$2:GQ286,GO287)+1,""))</f>
        <v/>
      </c>
      <c r="GQ287" t="str">
        <f>IF(AH287="","",IF(COUNTIF(AF$3:AF287,AH287)+COUNTIF(AG$3:AG287,AH287)+COUNTIF(AH$3:AH287,AH287)=1,MAX(GO$2:GQ286,GO287,GP287)+1,""))</f>
        <v/>
      </c>
      <c r="GR287" t="str">
        <f t="shared" si="437"/>
        <v>3х2,5</v>
      </c>
      <c r="GS287" t="str">
        <f>IF(GR287="","",IF(COUNTIF(GR$3:GR287,GR287)=1,MAX(GS$2:GS286)+1,""))</f>
        <v/>
      </c>
      <c r="GT287" t="str">
        <f>IF(ES287="","",COUNTIF(ES$3:ES287,"?*"))</f>
        <v/>
      </c>
      <c r="GU287" t="str">
        <f>IF(OR(ES287="",EU287=""),"",IF(COUNTIFS(ES$3:ES287,"?*",EU$3:EU287,EU287)=1,MAX(GU$2:GU286)+1,""))</f>
        <v/>
      </c>
      <c r="GV287">
        <f t="shared" si="438"/>
        <v>0</v>
      </c>
      <c r="GW287">
        <f>IF(D287="","",COUNTIF(D$3:D287,"?*"))</f>
        <v>285</v>
      </c>
      <c r="GX287">
        <f>IF(EX287&lt;&gt;1,0,_xlfn.LET(_xlpm.k,MAX(IFERROR(--VLOOKUP(D287,УГО_спр,5,FALSE),0),IFERROR(--VLOOKUP(AT287,УГО_спр,5,FALSE),0),IFERROR(--VLOOKUP(LEFT(AT287,2),УГО_спр,5,FALSE),0)),IF(_xlpm.k&gt;0,_xlpm.k,IF(IFERROR(--LEFT(SUBSTITUTE(GR287,"x","х"),FIND("х",SUBSTITUTE(GR287,"x","х"))-1),3)&gt;3,Каталог!$S$9,1))))</f>
        <v>1</v>
      </c>
      <c r="GY287">
        <f t="shared" si="439"/>
        <v>0</v>
      </c>
    </row>
    <row r="288" spans="1:207" x14ac:dyDescent="0.3">
      <c r="A288" t="s">
        <v>764</v>
      </c>
      <c r="B288">
        <v>13</v>
      </c>
      <c r="C288" t="str">
        <f>IF(BD288="","",IF(BE288="вводной узел","узел ","")&amp;"л."&amp;(INT((BD288-1)/Столбцов_на_лист)+1)&amp;" / "&amp;(MOD(BD288-1,Столбцов_на_лист)+1))</f>
        <v>л.1 / 13</v>
      </c>
      <c r="D288" t="s">
        <v>1621</v>
      </c>
      <c r="E288" s="133" t="str">
        <f t="shared" si="352"/>
        <v>Розеточная группа Второй этаж Пом. №006А</v>
      </c>
      <c r="G288">
        <v>0.06</v>
      </c>
      <c r="H288">
        <v>1</v>
      </c>
      <c r="I288">
        <v>1</v>
      </c>
      <c r="J288">
        <v>230</v>
      </c>
      <c r="K288" t="s">
        <v>566</v>
      </c>
      <c r="O288">
        <v>1</v>
      </c>
      <c r="P288">
        <v>46</v>
      </c>
      <c r="Q288">
        <v>12</v>
      </c>
      <c r="R288">
        <v>31</v>
      </c>
      <c r="S288">
        <v>30</v>
      </c>
      <c r="T288">
        <v>2</v>
      </c>
      <c r="U288" t="s">
        <v>11</v>
      </c>
      <c r="V288">
        <v>3</v>
      </c>
      <c r="W288">
        <v>2.5</v>
      </c>
      <c r="X288">
        <v>16</v>
      </c>
      <c r="Z288" t="s">
        <v>565</v>
      </c>
      <c r="AA288" t="s">
        <v>818</v>
      </c>
      <c r="AD288" t="s">
        <v>517</v>
      </c>
      <c r="AR288" t="str">
        <f t="shared" si="353"/>
        <v/>
      </c>
      <c r="AS288" cm="1">
        <f t="array" ref="AS288">ROW()-ROW(Линии[#Headers])</f>
        <v>286</v>
      </c>
      <c r="AT288" t="str">
        <f t="shared" si="354"/>
        <v>R</v>
      </c>
      <c r="AU288" t="str">
        <f t="shared" si="355"/>
        <v>2.006А.1</v>
      </c>
      <c r="AV288" t="str">
        <f t="shared" si="356"/>
        <v>2</v>
      </c>
      <c r="AW288" t="str">
        <f t="shared" si="357"/>
        <v>006А.1</v>
      </c>
      <c r="AX288" t="str">
        <f t="shared" si="358"/>
        <v>006А</v>
      </c>
      <c r="AY288" t="str">
        <f>IF(D288="","",IF(ISERROR(SEARCH(".",D288)),IFERROR(VLOOKUP(D288,Потребители_обозначение,2,FALSE)&amp;"",""),IFERROR(IF(VLOOKUP(AT288,Потребители_обозначение,4,FALSE)=1,VLOOKUP(AT288,Потребители_обозначение,2,FALSE)&amp;" "&amp;VLOOKUP(AV288,Этаж_обозначение,2,FALSE)&amp;" Пом. №"&amp;AX288,VLOOKUP(AT288,Потребители_обозначение,2,FALSE)&amp;" Шлейф №"&amp;AV288),IFERROR(VLOOKUP(D288,Потребители_обозначение,2,FALSE),""))))</f>
        <v>Розеточная группа Второй этаж Пом. №006А</v>
      </c>
      <c r="AZ288" t="str">
        <f t="shared" si="359"/>
        <v>Розеточная группа Второй этаж Пом. №006А</v>
      </c>
      <c r="BA288" t="str">
        <f>IF(F288&lt;&gt;"",F288,IF(AND(D288&lt;&gt;"",D288&lt;&gt;A288,ISNUMBER(_xlfn.XMATCH(D288,Щиты[Щит]))),D288,""))</f>
        <v/>
      </c>
      <c r="BB288">
        <f>IFERROR(_xlfn.XMATCH(A288,Щиты[Щит]),0)</f>
        <v>11</v>
      </c>
      <c r="BC288">
        <f>IFERROR(N(_xlfn.XLOOKUP(A288,Щиты[Щит],Щиты[Мест под вводной узел])),15)</f>
        <v>8</v>
      </c>
      <c r="BD288">
        <f t="shared" si="360"/>
        <v>13</v>
      </c>
      <c r="BE288" t="str">
        <f t="shared" si="361"/>
        <v>линии</v>
      </c>
      <c r="BF288">
        <f>IF(D288="","",IF(BA288&lt;&gt;"",IFERROR(_xlfn.XLOOKUP(BA288,Щиты[Щит],Щиты[Руст, кВт]),0),N(G288)))</f>
        <v>0.06</v>
      </c>
      <c r="BG288">
        <f>IF(J288&lt;&gt;"",J288,IF(D288="","",IFERROR(IF(VLOOKUP(AT288,Потребители_обозначение,8,FALSE)=0,"",VLOOKUP(AT288,Потребители_обозначение,8,FALSE)),"")))</f>
        <v>230</v>
      </c>
      <c r="BH288">
        <f>IF(I288&lt;&gt;"",I288,IF(D288="","",IFERROR(IF(VLOOKUP(AT288,Потребители_обозначение,9,FALSE)=0,"",VLOOKUP(AT288,Потребители_обозначение,9,FALSE)),"")))</f>
        <v>1</v>
      </c>
      <c r="BI288" t="str">
        <f>IF(U288&lt;&gt;"",U288,IF(D288="","",IFERROR(IF(VLOOKUP(AT288,Потребители_обозначение,6,FALSE)=0,"",VLOOKUP(AT288,Потребители_обозначение,6,FALSE)),"")))</f>
        <v>мс</v>
      </c>
      <c r="BJ288">
        <f>IF(V288&lt;&gt;"",V288,IF(D288="","",IFERROR(IF(VLOOKUP(AT288,Потребители_обозначение,7,FALSE)=0,"",VLOOKUP(AT288,Потребители_обозначение,7,FALSE)),"")))</f>
        <v>3</v>
      </c>
      <c r="BK288">
        <f>IF(W288&lt;&gt;"",W288,IF(D288="","",IFERROR(IF(VLOOKUP(AT288,Потребители_обозначение,10,FALSE)=0,"",VLOOKUP(AT288,Потребители_обозначение,10,FALSE)),"")))</f>
        <v>2.5</v>
      </c>
      <c r="BL288">
        <f>IFERROR(VLOOKUP(AT288,Потребители_обозначение,5,FALSE),0)</f>
        <v>1</v>
      </c>
      <c r="BM288" cm="1">
        <f t="array" ref="BM288">IF(D288="","",IF(BA288&lt;&gt;"",IFERROR(_xlfn.XLOOKUP(BA288,Щиты[Щит],Щиты[cos φ]),0.95),IF(ISNUMBER(M288),M288,IFERROR(IF(BL288=2,_xlfn.IFS(BH288=3,VLOOKUP(BF288,Справочная_двигатели,8,FALSE),BH288=1,VLOOKUP(BF288,Справочная_двигатели,10,TRUE)),IF(AND(Методика="нормы 2026",CN288="Сил"),0.8,0.95)),0.95))))</f>
        <v>0.95</v>
      </c>
      <c r="BN288" cm="1">
        <f t="array" ref="BN288">IF(D288="","",IF(BA288&lt;&gt;"",IFERROR(_xlfn.XLOOKUP(BA288,Щиты[Щит],Щиты[Iр, А]),""),IFERROR(_xlfn.IFS(BH288=1,BF288/((Uн_лин/SQRT(3))*BM288),BH288=3,BF288/(SQRT(3)*Uн_лин*BM288)),"")))</f>
        <v>0.27348170645824377</v>
      </c>
      <c r="BO288">
        <f>IF(D288="","",IF(N(X288)=0,IFERROR(VLOOKUP(BN288,Автомат_номиналы,2,TRUE),""),X288))</f>
        <v>16</v>
      </c>
      <c r="BP288">
        <f t="shared" si="362"/>
        <v>1</v>
      </c>
      <c r="BQ288">
        <f>IF(ISNUMBER(Y288),Y288,К_прокл)</f>
        <v>1</v>
      </c>
      <c r="BR288">
        <f t="shared" si="363"/>
        <v>2</v>
      </c>
      <c r="BS288" cm="1">
        <f t="array" ref="BS288">IF(D288="","",IF(N(BK288)&lt;&gt;0,BK288,IFERROR(_xlfn.LET(_xlpm.need,BO288/(BP288*BQ288),_xlpm.t,CHOOSE(BR288,Iдоп_1ж,Iдоп_2ж,Iдоп_3ж),_xlpm.k,_xlfn.XMATCH(_xlpm.need,_xlpm.t,1),IF(ISNA(_xlpm.k),"Не исп",INDEX(Iдоп_S,_xlpm.k))),"Не исп")))</f>
        <v>2.5</v>
      </c>
      <c r="BT288">
        <f>IFERROR(VLOOKUP(BS288,Кабель_сопротивление,3,FALSE),"")</f>
        <v>2.2499999999999999E-2</v>
      </c>
      <c r="BU288">
        <f>IFERROR(VLOOKUP(BS288,Кабель_сопротивление,2,FALSE),"")</f>
        <v>0.1</v>
      </c>
      <c r="BV288">
        <f t="shared" si="364"/>
        <v>46</v>
      </c>
      <c r="BW288">
        <f>IF(D288="","",IFERROR(IF(VLOOKUP(AT288,Потребители_обозначение,4,FALSE)=1,VLOOKUP(AT288,Потребители_обозначение,3,FALSE)*(H288*2-1)+BV288+VLOOKUP(AV288,Этаж_обозначение,3,FALSE)+VLOOKUP(AV288,Этаж_обозначение,4,FALSE),VLOOKUP(AT288,Потребители_обозначение,3,FALSE)*(H288*2-1)+BV288),BV288))</f>
        <v>49</v>
      </c>
      <c r="BX288">
        <f t="shared" si="365"/>
        <v>31</v>
      </c>
      <c r="BY288">
        <f t="shared" si="366"/>
        <v>30</v>
      </c>
      <c r="BZ288">
        <f t="shared" si="367"/>
        <v>2</v>
      </c>
      <c r="CA288">
        <f t="shared" si="368"/>
        <v>0.31</v>
      </c>
      <c r="CB288">
        <f t="shared" si="369"/>
        <v>0.22998115926558257</v>
      </c>
      <c r="CC288">
        <f>IFERROR(ROUNDUP(CB288/((Uн_лин/SQRT(3))*1000)*100,2),"")</f>
        <v>9.9999999999999992E-2</v>
      </c>
      <c r="CD288">
        <f>IF(ISNUMBER(CC288),CC288+IFERROR(_xlfn.XLOOKUP(A288,Щиты[Щит],Щиты[ΔU до шин, %]),0),"")</f>
        <v>1.8900000000000001</v>
      </c>
      <c r="CE288">
        <f>IF(D288="","",IF(IFERROR(VLOOKUP(AT288,УГО_спр,2,FALSE),"")="Светильник",3,4)+IF(Методика="нормы 2026",MIN(0.5,MAX(0,N(BW288)-100)*0.005),0))</f>
        <v>4</v>
      </c>
      <c r="CF288" t="str">
        <f>IFERROR(VLOOKUP(BI288,Кабель_обозначение,2,FALSE),"")</f>
        <v>ВВГнг(А)-LS</v>
      </c>
      <c r="CG288" t="str">
        <f>IFERROR(IF(VLOOKUP(BI288,Кабель_обозначение,3,FALSE)=1,CF288&amp;" ("&amp;BJ288&amp;"х"&amp;BS288&amp;")",CF288),"")</f>
        <v>ВВГнг(А)-LS (3х2,5)</v>
      </c>
      <c r="CH288" t="str">
        <f t="shared" si="370"/>
        <v>ВВГнг(А)-LS (3х2,5)
L=49-0,1%</v>
      </c>
      <c r="CI288">
        <f>IFERROR(2*ρкз_Cu*BW288/BS288,"")</f>
        <v>1.0309599999999999</v>
      </c>
      <c r="CJ288">
        <f t="shared" si="371"/>
        <v>0.34300000000000003</v>
      </c>
      <c r="CK288" t="str">
        <f>IFERROR(IF(OR(D288="",NOT(ISNUMBER(BS288)),N(BW288)=0),"",_xlfn.XLOOKUP(A288,Щиты[Щит],Щиты[Zпетли на шинах, Ом])+CI288),"")</f>
        <v/>
      </c>
      <c r="CL288" t="str">
        <f>IF(ISNUMBER(CK288),c_min*(Uн_лин*1000/SQRT(3))/CK288,"")</f>
        <v/>
      </c>
      <c r="CM288" t="str">
        <f>IFERROR(IF(OR(D288="",NOT(ISNUMBER(BS288))),"",1.05*(Uн_лин*1000/SQRT(3))/(_xlfn.XLOOKUP(A288,Щиты[Щит],Щиты[Zmax на шинах, Ом])+CJ288)/1000),"")</f>
        <v/>
      </c>
      <c r="CN288" t="str">
        <f>IF(D288="","",IF(BA288&lt;&gt;"","Щит",IF(K288&lt;&gt;"",K288,IF(ISNUMBER(L288),"Сил",IF(IFERROR(_xlfn.XLOOKUP(AT288,Коды_код,Коды_группа)&amp;"","")="","Быт",_xlfn.XLOOKUP(AT288,Коды_код,Коды_группа)&amp;"")))))</f>
        <v>Быт</v>
      </c>
      <c r="CO288">
        <f>IF(CN288="Щит","щит",IF(CN288="","",IF(CN288="Быт",IFERROR(_xlfn.XLOOKUP(A288,Щиты[Щит],Щиты[Кс быт]),1),IF(CN288="Сил",IF(ISNUMBER(L288),L288,IF(Методика="нормы 2026",IFERROR(_xlfn.XLOOKUP(A288,Щиты[Щит],Щиты[Кс силовых (табл. 7.5)]),1),1)),IF(OR(CN288="Пост",CN288="Отоп"),1,IF(CN288="ВНГ",0.7,0))))))</f>
        <v>0.8</v>
      </c>
      <c r="CP288">
        <f t="shared" si="372"/>
        <v>1</v>
      </c>
      <c r="CQ288">
        <f t="shared" si="373"/>
        <v>0.06</v>
      </c>
      <c r="CR288">
        <f t="shared" si="374"/>
        <v>0.06</v>
      </c>
      <c r="CS288">
        <f t="shared" si="375"/>
        <v>0</v>
      </c>
      <c r="CT288">
        <f t="shared" si="376"/>
        <v>0</v>
      </c>
      <c r="CU288">
        <f t="shared" si="377"/>
        <v>0</v>
      </c>
      <c r="CV288">
        <f t="shared" si="378"/>
        <v>0</v>
      </c>
      <c r="CW288">
        <f t="shared" si="379"/>
        <v>0.06</v>
      </c>
      <c r="CX288">
        <f t="shared" si="380"/>
        <v>5.6999999999999995E-2</v>
      </c>
      <c r="CY288">
        <f t="shared" si="381"/>
        <v>3</v>
      </c>
      <c r="CZ288" t="str">
        <f t="shared" si="382"/>
        <v>L3</v>
      </c>
      <c r="DA288" cm="1">
        <f t="array" ref="DA288">IFERROR(IF(BL288=2,_xlfn.IFS(BH288=3,VLOOKUP(BF288,Справочная_двигатели,3,FALSE),BH288=1,VLOOKUP(BF288,Справочная_двигатели,5,TRUE)),0),0)</f>
        <v>0</v>
      </c>
      <c r="DB288">
        <f>IFERROR(IF(BL288=3,VLOOKUP(BF288,Справочная_ЛЭД,2,TRUE),0),0)</f>
        <v>0</v>
      </c>
      <c r="DC288">
        <f t="shared" si="383"/>
        <v>0</v>
      </c>
      <c r="DD288" t="str">
        <f t="shared" si="384"/>
        <v>L1</v>
      </c>
      <c r="DE288" t="str" cm="1">
        <f t="array" ref="DE288">IF(D288="","",IFERROR(INDEX({"I особая","I","II","III"},MATCH(TRIM(AA288&amp;""),{"I особая","I","II","III"},0)),"III"))</f>
        <v>II</v>
      </c>
      <c r="DF288" t="str">
        <f>IF(D288="","",IF(TRIM(AB288&amp;"")&lt;&gt;"",IF(LOWER(TRIM(AB288&amp;""))="да","да","нет"),IF(IFERROR(_xlfn.XLOOKUP(AT288,Коды_код,Коды_пожарная),"")="да","да","нет")))</f>
        <v>нет</v>
      </c>
      <c r="DG288" t="str">
        <f t="shared" si="385"/>
        <v/>
      </c>
      <c r="DH288" t="str">
        <f t="shared" si="386"/>
        <v>основная</v>
      </c>
      <c r="DI288">
        <f t="shared" si="387"/>
        <v>1</v>
      </c>
      <c r="DJ288" t="str" cm="1">
        <f t="array" ref="DJ288">IF(D288="","",_xlfn.LET(_xlpm.t,IFERROR(_xlfn.XLOOKUP(1,(Шины[Шина]=DH288)*(((Шины[Щит]=A288)+(Шины[Щит]=""))&gt;0),Шины[Тип]),"")&amp;"",IF(_xlpm.t&lt;&gt;"",_xlpm.t,IF(ISNUMBER(SEARCH("ИБП",DH288)),"ИБП",IF(ISNUMBER(SEARCH("ДГУ",DH288)),"ДГУ","Ввод "&amp;DI288)))))</f>
        <v>Ввод 1</v>
      </c>
      <c r="DK288" t="str">
        <f t="shared" si="388"/>
        <v>Ввод 1</v>
      </c>
      <c r="DL288" t="str">
        <f>IF(D288="","",IF(OR(DJ288="ИБП",DJ288="ДГУ"),"I особая",IF(DJ288="Одиночная","III",_xlfn.XLOOKUP(A288,Щиты[Щит],Щиты[Категория шины «Ввод»],"III"))))</f>
        <v>II</v>
      </c>
      <c r="DM288">
        <f>IF(D288="",0,IFERROR(MATCH(DE288,{"III","II","I","I особая"},0),1))</f>
        <v>2</v>
      </c>
      <c r="DN288">
        <f t="shared" si="389"/>
        <v>2</v>
      </c>
      <c r="DO288" t="str">
        <f>IF(D288="","",IF(DM288&gt;IFERROR(MATCH(DL288,{"III","II","I","I особая"},0),1),"НЕ ОБЕСПЕЧЕНА","ОК"))</f>
        <v>ОК</v>
      </c>
      <c r="DP288" t="str">
        <f>IF(A288="","",_xlfn.XLOOKUP(A288,Щиты[Щит],Щиты[Путь],""))</f>
        <v>|ГРЩ-ЖД|ЩР-2|</v>
      </c>
      <c r="DQ288" t="str">
        <f>IF(D288="","",IF(Z288&lt;&gt;"",Z288,IF(IFERROR(_xlfn.XLOOKUP(AT288,Коды_код,Коды_вид)&amp;"","")="","Прочее",_xlfn.XLOOKUP(AT288,Коды_код,Коды_вид)&amp;"")))</f>
        <v>Розеточная сеть и бытовые приборы</v>
      </c>
      <c r="DR288">
        <f>IF(BD288="","",INT((BD288-1)/Столбцов_на_лист)+1)</f>
        <v>1</v>
      </c>
      <c r="DS288" t="str">
        <f t="shared" si="390"/>
        <v>ВВГнг(А)-LS (3х2,5) L=49-0,1%</v>
      </c>
      <c r="DT288">
        <f t="shared" si="391"/>
        <v>0.06</v>
      </c>
      <c r="DU288">
        <f t="shared" si="392"/>
        <v>0.28000000000000003</v>
      </c>
      <c r="DV288">
        <f t="shared" si="393"/>
        <v>1</v>
      </c>
      <c r="DW288">
        <f>IF(AT288="",0,_xlfn.LET(_xlpm.v,IFERROR(VLOOKUP(D288,УГО_спр,3,FALSE),IFERROR(VLOOKUP(AT288,УГО_спр,3,FALSE),IFERROR(VLOOKUP(LEFT(AT288,2),УГО_спр,3,FALSE),""))),IF(_xlpm.v="да",30,IF(ISNUMBER(_xlpm.v),_xlpm.v,0))))</f>
        <v>30</v>
      </c>
      <c r="DX288">
        <f t="shared" si="394"/>
        <v>0</v>
      </c>
      <c r="DY288">
        <f>IF(BD288="","",IF(AD288&lt;&gt;"",COUNTIFS(A$3:A288,A288,AD$3:AD288,"?*"),IF(OR(OR(AS288=1,A288&lt;&gt;A287),AL288="вручную"),"",IF(AS288=1,"",DZ287))))</f>
        <v>5</v>
      </c>
      <c r="DZ288">
        <f t="shared" si="395"/>
        <v>5</v>
      </c>
      <c r="EA288">
        <f>IF(D288="",0,MAX(IFERROR(--X288,0),IFERROR(--VLOOKUP(D288,УГО_спр,4,FALSE),IFERROR(--VLOOKUP(AT288,УГО_спр,4,FALSE),IFERROR(--VLOOKUP(LEFT(AT288,2),УГО_спр,4,FALSE),0)))))</f>
        <v>16</v>
      </c>
      <c r="EB288">
        <f>IF(D288="","",IFERROR(LOOKUP(INDEX(CHOOSE(BR288,Iдоп_1ж,Iдоп_2ж,Iдоп_3ж),MATCH(BS288,Iдоп_S,0))*BP288*BQ288,{6,10,16,20,25,32,40,50,63,80,100,125,160,200,250,315,400,500,630}),""))</f>
        <v>25</v>
      </c>
      <c r="EC288">
        <f>IF(AD288="","",SUMIFS(Линии[_Ток схемы],Линии[_гр.],DY288,Линии[Щит],A288,Линии[_в кабель выше],0))</f>
        <v>0.28000000000000003</v>
      </c>
      <c r="ED288">
        <f>IF(AD288="","",IFERROR(VLOOKUP(EC288,Автомат_номиналы,2,TRUE),""))</f>
        <v>6</v>
      </c>
      <c r="EE288">
        <f>IF(AD288="","",MAX(N(ED288),_xlfn.MAXIFS(Линии[_мин. по типу],Линии[_гр.],DY288,Линии[Щит],A288)))</f>
        <v>16</v>
      </c>
      <c r="EF288">
        <f>IF(AD288="","",_xlfn.MINIFS(Линии[_макс. автомат по кабелю],Линии[_гр.],DY288,Линии[Щит],A288))</f>
        <v>25</v>
      </c>
      <c r="EG288">
        <f>IF(AD288="","",MAX(1,_xlfn.MAXIFS(Линии[_фаз],Линии[_гр.],DY288,Линии[Щит],A288)))</f>
        <v>1</v>
      </c>
      <c r="EH288">
        <f>IF(AD288="","",IF(AND(AD288&lt;&gt;"авто",AD288&lt;&gt;"+"),IF(ISNUMBER(SEARCH("мА",AD288)),IFERROR(--TRIM(RIGHT(SUBSTITUTE(LEFT(AD288,SEARCH("мА",AD288)-1)," ",REPT(" ",9)),6)),30),0),IF(AE288="нет",0,IF(ISNUMBER(AE288),AE288,IF(AE288="да",30,_xlfn.MINIFS(Линии[_дифзащита по коду, мА],Линии[_гр.],DY288,Линии[Щит],A288,Линии[_дифзащита по коду, мА],"&gt;0"))))))</f>
        <v>30</v>
      </c>
      <c r="EI288">
        <f t="shared" si="396"/>
        <v>1</v>
      </c>
      <c r="EJ288" t="str">
        <f t="shared" si="397"/>
        <v>QFD5</v>
      </c>
      <c r="EK288" t="str">
        <f t="shared" si="398"/>
        <v>QFD5</v>
      </c>
      <c r="EL288" t="str">
        <f t="shared" si="399"/>
        <v/>
      </c>
      <c r="EM288">
        <f t="shared" si="400"/>
        <v>0</v>
      </c>
      <c r="EN288">
        <f>IF(AD288="","",IF(EM288=1,MAX(EE288,Мин_автомат_БП),EE288))</f>
        <v>16</v>
      </c>
      <c r="EO288" t="str">
        <f t="shared" si="401"/>
        <v>2P</v>
      </c>
      <c r="EP288" t="str">
        <f t="shared" si="402"/>
        <v>2P С16А 30мА</v>
      </c>
      <c r="EQ288">
        <f t="shared" si="403"/>
        <v>16</v>
      </c>
      <c r="ER288" t="str">
        <f>IF(OR(AI288="",AI288="-"),"",IFERROR(VLOOKUP(AI288,Модули_спр,2,FALSE),"R"))</f>
        <v/>
      </c>
      <c r="ES288" t="str">
        <f>IF(ER288="","",ER288&amp;"."&amp;COUNTIFS(A$3:A288,A288,ER$3:ER288,ER288))</f>
        <v/>
      </c>
      <c r="ET288" t="str">
        <f t="shared" si="404"/>
        <v/>
      </c>
      <c r="EU288" t="str">
        <f t="shared" si="405"/>
        <v/>
      </c>
      <c r="EV288" t="str">
        <f t="shared" si="406"/>
        <v/>
      </c>
      <c r="EW288" t="str">
        <f t="shared" si="407"/>
        <v/>
      </c>
      <c r="EX288">
        <f t="shared" si="408"/>
        <v>1</v>
      </c>
      <c r="EY288" t="str">
        <f>IF(AK288="нет","",IF(AK288&lt;&gt;"",AK288,IF(EX288=1,"XT"&amp;COUNTIFS(A$3:A288,A288,EX$3:EX288,1),"")))</f>
        <v>XT5</v>
      </c>
      <c r="EZ288" t="str">
        <f t="shared" si="409"/>
        <v>QFD5</v>
      </c>
      <c r="FA288" t="str">
        <f t="shared" si="410"/>
        <v/>
      </c>
      <c r="FB288" t="str">
        <f t="shared" si="411"/>
        <v>ok</v>
      </c>
      <c r="FC288" t="str">
        <f>IF(OR(EV288="",ET288=""),"",IF(EV288&gt;IFERROR(VLOOKUP(EU288,Модули_спр,3,FALSE),99),"ЛИШНИЙ КАНАЛ",IF(AND(AJ288&lt;&gt;"=",COUNTIFS(Линии[_модуль гр.],ET288,Линии[Канал (итог)],EV288,Линии[Канал],"&lt;&gt;=",Линии[Щит],A288)&gt;1),"ДУБЛЬ КАНАЛА","")))</f>
        <v/>
      </c>
      <c r="FD288">
        <f t="shared" si="412"/>
        <v>16</v>
      </c>
      <c r="FE288" t="str">
        <f t="shared" si="413"/>
        <v>2P С16А 30мА</v>
      </c>
      <c r="FF288">
        <f t="shared" si="414"/>
        <v>1</v>
      </c>
      <c r="FG288">
        <f t="shared" si="415"/>
        <v>30</v>
      </c>
      <c r="FH288" t="str">
        <f t="shared" si="416"/>
        <v/>
      </c>
      <c r="FI288">
        <f t="shared" si="417"/>
        <v>10</v>
      </c>
      <c r="FJ288" t="str">
        <f t="shared" si="418"/>
        <v/>
      </c>
      <c r="FK288" t="str">
        <f>IF(AND(D288="",EZ288=""),"",_xlfn.TEXTJOIN("; ",TRUE,IF(AND(D288&lt;&gt;"",DD288=""),"нет фазы",""),IF(AND(D288&lt;&gt;"",N(DT288)=0,CN288&lt;&gt;"Нет"),"нет мощности",""),IF(AND(EY288&lt;&gt;"",COUNTIFS(Линии[Щит],A288,Линии[Клемма (итог)],EY288)&gt;1),"дубль клеммы "&amp;EY288,""),IF(AND(FB288&lt;&gt;"",FB288&lt;&gt;"ok"),FB288,""),IF(FC288&lt;&gt;"",FC288,""),IF(AND(ISNUMBER(SEARCH("(5х",DS288)),N(DV288)=1),"5 жил на 1 фазе",""),IF(AND(AT288="R",AD288&lt;&gt;"",OR(N(EH288)=0,N(EH288)&gt;30)),"розетка без дифзащиты до 30 мА",""),IFERROR(IF(AND(ISNUMBER(CD288),CD288&gt;CE288),"потери "&amp;FIXED(CD288,1)&amp;" % &gt; "&amp;CE288&amp;" %",""),""),IFERROR(IF(LEFT(FJ288,4)="мало","Iкз мало — отключение &gt; 0,4 с",""),""),IF(AND(D288&lt;&gt;"",BD288=""),"не на схеме","")))</f>
        <v/>
      </c>
      <c r="FL288">
        <f>IF(AD288="","",_xlfn.LET(_xlpm.t,IFERROR(_xlfn.XLOOKUP(EP288,Каталог!$U$4:$U$500,Каталог!$G$4:$G$500),""),_xlpm.k,SEARCH("кА",_xlpm.t),IFERROR(--TRIM(RIGHT(SUBSTITUTE(MID(_xlpm.t,MAX(1,_xlpm.k-4),_xlpm.k-MAX(1,_xlpm.k-4))," ",REPT(" ",9)),5)),"")))</f>
        <v>6</v>
      </c>
      <c r="FM288" t="str">
        <f>IF(OR(FL288="",AD288=""),"",IF(_xlfn.XLOOKUP(A288,Щиты[Щит],Щиты[Iкз max на шинах, кА],"")="","",IF(FL288&lt;_xlfn.XLOOKUP(A288,Щиты[Щит],Щиты[Iкз max на шинах, кА]),"Icu "&amp;FL288&amp;" кА &lt; Iкз max","ok")))</f>
        <v/>
      </c>
      <c r="FN288" t="str">
        <f t="shared" si="419"/>
        <v>QFD5|XT5</v>
      </c>
      <c r="FO288" t="str">
        <f t="shared" si="420"/>
        <v>QFD5|XT5|кабель ВВГнг(А)-LS (3х2,5) → Розеточная группа Второй этаж Пом. №006А</v>
      </c>
      <c r="FP288" t="str" cm="1">
        <f t="array" ref="FP288">IF(FO288="","",_xlfn.LET(_xlpm.nd,_xlfn.TEXTSPLIT(FO288,"|"),IF(COLUMNS(_xlpm.nd)&gt;1,A288&amp;"¦"&amp;INDEX(_xlpm.nd,1)&amp;"¦"&amp;INDEX(_xlpm.nd,2),"")))</f>
        <v>ЩР-2¦QFD5¦XT5</v>
      </c>
      <c r="FQ288" t="str">
        <f t="shared" si="421"/>
        <v>R.2.006А.1¦Розеточная группа Второй этаж Пом. №006А</v>
      </c>
      <c r="FR288" t="str" cm="1">
        <f t="array" ref="FR288">IF(FO288="","",_xlfn.LET(_xlpm.nd,_xlfn.TEXTSPLIT(FO288,"|"),IF(COLUMNS(_xlpm.nd)&gt;2,A288&amp;"¦"&amp;INDEX(_xlpm.nd,2)&amp;"¦"&amp;INDEX(_xlpm.nd,3),"")))</f>
        <v>ЩР-2¦XT5¦кабель ВВГнг(А)-LS (3х2,5) → Розеточная группа Второй этаж Пом. №006А</v>
      </c>
      <c r="FS288" t="str">
        <f t="shared" si="422"/>
        <v>R.2.006А.1¦Розеточная группа Второй этаж Пом. №006А</v>
      </c>
      <c r="FT288" t="str" cm="1">
        <f t="array" ref="FT288">IF(FO288="","",_xlfn.LET(_xlpm.nd,_xlfn.TEXTSPLIT(FO288,"|"),IF(COLUMNS(_xlpm.nd)&gt;3,A288&amp;"¦"&amp;INDEX(_xlpm.nd,3)&amp;"¦"&amp;INDEX(_xlpm.nd,4),"")))</f>
        <v/>
      </c>
      <c r="FU288" t="str">
        <f t="shared" si="423"/>
        <v/>
      </c>
      <c r="FV288" t="str" cm="1">
        <f t="array" ref="FV288">IF(FO288="","",_xlfn.LET(_xlpm.nd,_xlfn.TEXTSPLIT(FO288,"|"),IF(COLUMNS(_xlpm.nd)&gt;4,A288&amp;"¦"&amp;INDEX(_xlpm.nd,4)&amp;"¦"&amp;INDEX(_xlpm.nd,5),"")))</f>
        <v/>
      </c>
      <c r="FW288" t="str">
        <f t="shared" si="424"/>
        <v/>
      </c>
      <c r="FX288" t="str" cm="1">
        <f t="array" ref="FX288">IF(FO288="","",_xlfn.LET(_xlpm.nd,_xlfn.TEXTSPLIT(FO288,"|"),IF(COLUMNS(_xlpm.nd)&gt;5,A288&amp;"¦"&amp;INDEX(_xlpm.nd,5)&amp;"¦"&amp;INDEX(_xlpm.nd,6),"")))</f>
        <v/>
      </c>
      <c r="FY288" t="str">
        <f t="shared" si="425"/>
        <v/>
      </c>
      <c r="FZ288" t="str" cm="1">
        <f t="array" ref="FZ288">IF(FO288="","",_xlfn.LET(_xlpm.nd,_xlfn.TEXTSPLIT(FO288,"|"),IF(COLUMNS(_xlpm.nd)&gt;6,A288&amp;"¦"&amp;INDEX(_xlpm.nd,6)&amp;"¦"&amp;INDEX(_xlpm.nd,7),"")))</f>
        <v/>
      </c>
      <c r="GA288" t="str">
        <f t="shared" si="426"/>
        <v/>
      </c>
      <c r="GB288" t="str">
        <f t="shared" si="427"/>
        <v/>
      </c>
      <c r="GC288" t="str">
        <f t="shared" si="428"/>
        <v>QFD5 → XT5</v>
      </c>
      <c r="GD288">
        <f t="shared" si="429"/>
        <v>1</v>
      </c>
      <c r="GE288">
        <f t="shared" si="430"/>
        <v>0</v>
      </c>
      <c r="GF288">
        <f t="shared" si="431"/>
        <v>1</v>
      </c>
      <c r="GG288" t="str">
        <f t="shared" si="432"/>
        <v/>
      </c>
      <c r="GH288" t="str">
        <f t="shared" si="433"/>
        <v/>
      </c>
      <c r="GI288" t="str">
        <f t="shared" si="434"/>
        <v/>
      </c>
      <c r="GJ288" t="str">
        <f t="shared" si="435"/>
        <v/>
      </c>
      <c r="GK288" t="str">
        <f>IF(D288="","",IFERROR(VLOOKUP(D288,УГО_спр,2,FALSE),IFERROR(VLOOKUP(AT288,УГО_спр,2,FALSE),IFERROR(VLOOKUP(LEFT(AT288,2),УГО_спр,2,FALSE),""))))</f>
        <v>Розетка</v>
      </c>
      <c r="GL288" t="str">
        <f>IF(D288="","",IF(OR(GK288="",GK288=0),"BOX",IFERROR(IF(VLOOKUP(GK288,УГО_блоки,3,FALSE)&amp;""&lt;&gt;"",VLOOKUP(GK288,УГО_блоки,3,FALSE),VLOOKUP(GK288,УГО_блоки,2,FALSE)),GK288)))</f>
        <v>SOCKET</v>
      </c>
      <c r="GM288">
        <f t="shared" si="436"/>
        <v>1</v>
      </c>
      <c r="GN288" t="str">
        <f>IF(EP288="","",IF(COUNTIF(EP$3:EP288,EP288)=1,MAX(GN$2:GN287)+1,""))</f>
        <v/>
      </c>
      <c r="GO288" t="str">
        <f>IF(AF288="","",IF(COUNTIF(AF$3:AF288,AF288)+COUNTIF(AG$2:AG287,AF288)+COUNTIF(AH$2:AH287,AF288)=1,MAX(GO$2:GQ287)+1,""))</f>
        <v/>
      </c>
      <c r="GP288" t="str">
        <f>IF(AG288="","",IF(COUNTIF(AF$3:AF288,AG288)+COUNTIF(AG$3:AG288,AG288)+COUNTIF(AH$2:AH287,AG288)=1,MAX(GO$2:GQ287,GO288)+1,""))</f>
        <v/>
      </c>
      <c r="GQ288" t="str">
        <f>IF(AH288="","",IF(COUNTIF(AF$3:AF288,AH288)+COUNTIF(AG$3:AG288,AH288)+COUNTIF(AH$3:AH288,AH288)=1,MAX(GO$2:GQ287,GO288,GP288)+1,""))</f>
        <v/>
      </c>
      <c r="GR288" t="str">
        <f t="shared" si="437"/>
        <v>3х2,5</v>
      </c>
      <c r="GS288" t="str">
        <f>IF(GR288="","",IF(COUNTIF(GR$3:GR288,GR288)=1,MAX(GS$2:GS287)+1,""))</f>
        <v/>
      </c>
      <c r="GT288" t="str">
        <f>IF(ES288="","",COUNTIF(ES$3:ES288,"?*"))</f>
        <v/>
      </c>
      <c r="GU288" t="str">
        <f>IF(OR(ES288="",EU288=""),"",IF(COUNTIFS(ES$3:ES288,"?*",EU$3:EU288,EU288)=1,MAX(GU$2:GU287)+1,""))</f>
        <v/>
      </c>
      <c r="GV288">
        <f t="shared" si="438"/>
        <v>0</v>
      </c>
      <c r="GW288">
        <f>IF(D288="","",COUNTIF(D$3:D288,"?*"))</f>
        <v>286</v>
      </c>
      <c r="GX288">
        <f>IF(EX288&lt;&gt;1,0,_xlfn.LET(_xlpm.k,MAX(IFERROR(--VLOOKUP(D288,УГО_спр,5,FALSE),0),IFERROR(--VLOOKUP(AT288,УГО_спр,5,FALSE),0),IFERROR(--VLOOKUP(LEFT(AT288,2),УГО_спр,5,FALSE),0)),IF(_xlpm.k&gt;0,_xlpm.k,IF(IFERROR(--LEFT(SUBSTITUTE(GR288,"x","х"),FIND("х",SUBSTITUTE(GR288,"x","х"))-1),3)&gt;3,Каталог!$S$9,1))))</f>
        <v>1</v>
      </c>
      <c r="GY288">
        <f t="shared" si="439"/>
        <v>0</v>
      </c>
    </row>
    <row r="289" spans="1:207" x14ac:dyDescent="0.3">
      <c r="A289" t="s">
        <v>764</v>
      </c>
      <c r="B289">
        <v>14</v>
      </c>
      <c r="C289" t="str">
        <f>IF(BD289="","",IF(BE289="вводной узел","узел ","")&amp;"л."&amp;(INT((BD289-1)/Столбцов_на_лист)+1)&amp;" / "&amp;(MOD(BD289-1,Столбцов_на_лист)+1))</f>
        <v>л.1 / 14</v>
      </c>
      <c r="D289" t="s">
        <v>1622</v>
      </c>
      <c r="E289" s="133" t="str">
        <f t="shared" si="352"/>
        <v>Розеточная группа Второй этаж Пом. №009А</v>
      </c>
      <c r="G289">
        <v>0.36</v>
      </c>
      <c r="H289">
        <v>4</v>
      </c>
      <c r="I289">
        <v>1</v>
      </c>
      <c r="J289">
        <v>230</v>
      </c>
      <c r="K289" t="s">
        <v>566</v>
      </c>
      <c r="O289">
        <v>3</v>
      </c>
      <c r="P289">
        <v>37</v>
      </c>
      <c r="Q289">
        <v>12</v>
      </c>
      <c r="R289">
        <v>40</v>
      </c>
      <c r="S289">
        <v>10</v>
      </c>
      <c r="T289">
        <v>1</v>
      </c>
      <c r="U289" t="s">
        <v>11</v>
      </c>
      <c r="V289">
        <v>3</v>
      </c>
      <c r="W289">
        <v>2.5</v>
      </c>
      <c r="X289">
        <v>16</v>
      </c>
      <c r="Z289" t="s">
        <v>565</v>
      </c>
      <c r="AA289" t="s">
        <v>818</v>
      </c>
      <c r="AD289" t="s">
        <v>517</v>
      </c>
      <c r="AR289" t="str">
        <f t="shared" si="353"/>
        <v/>
      </c>
      <c r="AS289" cm="1">
        <f t="array" ref="AS289">ROW()-ROW(Линии[#Headers])</f>
        <v>287</v>
      </c>
      <c r="AT289" t="str">
        <f t="shared" si="354"/>
        <v>R</v>
      </c>
      <c r="AU289" t="str">
        <f t="shared" si="355"/>
        <v>2.009А.1</v>
      </c>
      <c r="AV289" t="str">
        <f t="shared" si="356"/>
        <v>2</v>
      </c>
      <c r="AW289" t="str">
        <f t="shared" si="357"/>
        <v>009А.1</v>
      </c>
      <c r="AX289" t="str">
        <f t="shared" si="358"/>
        <v>009А</v>
      </c>
      <c r="AY289" t="str">
        <f>IF(D289="","",IF(ISERROR(SEARCH(".",D289)),IFERROR(VLOOKUP(D289,Потребители_обозначение,2,FALSE)&amp;"",""),IFERROR(IF(VLOOKUP(AT289,Потребители_обозначение,4,FALSE)=1,VLOOKUP(AT289,Потребители_обозначение,2,FALSE)&amp;" "&amp;VLOOKUP(AV289,Этаж_обозначение,2,FALSE)&amp;" Пом. №"&amp;AX289,VLOOKUP(AT289,Потребители_обозначение,2,FALSE)&amp;" Шлейф №"&amp;AV289),IFERROR(VLOOKUP(D289,Потребители_обозначение,2,FALSE),""))))</f>
        <v>Розеточная группа Второй этаж Пом. №009А</v>
      </c>
      <c r="AZ289" t="str">
        <f t="shared" si="359"/>
        <v>Розеточная группа Второй этаж Пом. №009А</v>
      </c>
      <c r="BA289" t="str">
        <f>IF(F289&lt;&gt;"",F289,IF(AND(D289&lt;&gt;"",D289&lt;&gt;A289,ISNUMBER(_xlfn.XMATCH(D289,Щиты[Щит]))),D289,""))</f>
        <v/>
      </c>
      <c r="BB289">
        <f>IFERROR(_xlfn.XMATCH(A289,Щиты[Щит]),0)</f>
        <v>11</v>
      </c>
      <c r="BC289">
        <f>IFERROR(N(_xlfn.XLOOKUP(A289,Щиты[Щит],Щиты[Мест под вводной узел])),15)</f>
        <v>8</v>
      </c>
      <c r="BD289">
        <f t="shared" si="360"/>
        <v>14</v>
      </c>
      <c r="BE289" t="str">
        <f t="shared" si="361"/>
        <v>линии</v>
      </c>
      <c r="BF289">
        <f>IF(D289="","",IF(BA289&lt;&gt;"",IFERROR(_xlfn.XLOOKUP(BA289,Щиты[Щит],Щиты[Руст, кВт]),0),N(G289)))</f>
        <v>0.36</v>
      </c>
      <c r="BG289">
        <f>IF(J289&lt;&gt;"",J289,IF(D289="","",IFERROR(IF(VLOOKUP(AT289,Потребители_обозначение,8,FALSE)=0,"",VLOOKUP(AT289,Потребители_обозначение,8,FALSE)),"")))</f>
        <v>230</v>
      </c>
      <c r="BH289">
        <f>IF(I289&lt;&gt;"",I289,IF(D289="","",IFERROR(IF(VLOOKUP(AT289,Потребители_обозначение,9,FALSE)=0,"",VLOOKUP(AT289,Потребители_обозначение,9,FALSE)),"")))</f>
        <v>1</v>
      </c>
      <c r="BI289" t="str">
        <f>IF(U289&lt;&gt;"",U289,IF(D289="","",IFERROR(IF(VLOOKUP(AT289,Потребители_обозначение,6,FALSE)=0,"",VLOOKUP(AT289,Потребители_обозначение,6,FALSE)),"")))</f>
        <v>мс</v>
      </c>
      <c r="BJ289">
        <f>IF(V289&lt;&gt;"",V289,IF(D289="","",IFERROR(IF(VLOOKUP(AT289,Потребители_обозначение,7,FALSE)=0,"",VLOOKUP(AT289,Потребители_обозначение,7,FALSE)),"")))</f>
        <v>3</v>
      </c>
      <c r="BK289">
        <f>IF(W289&lt;&gt;"",W289,IF(D289="","",IFERROR(IF(VLOOKUP(AT289,Потребители_обозначение,10,FALSE)=0,"",VLOOKUP(AT289,Потребители_обозначение,10,FALSE)),"")))</f>
        <v>2.5</v>
      </c>
      <c r="BL289">
        <f>IFERROR(VLOOKUP(AT289,Потребители_обозначение,5,FALSE),0)</f>
        <v>1</v>
      </c>
      <c r="BM289" cm="1">
        <f t="array" ref="BM289">IF(D289="","",IF(BA289&lt;&gt;"",IFERROR(_xlfn.XLOOKUP(BA289,Щиты[Щит],Щиты[cos φ]),0.95),IF(ISNUMBER(M289),M289,IFERROR(IF(BL289=2,_xlfn.IFS(BH289=3,VLOOKUP(BF289,Справочная_двигатели,8,FALSE),BH289=1,VLOOKUP(BF289,Справочная_двигатели,10,TRUE)),IF(AND(Методика="нормы 2026",CN289="Сил"),0.8,0.95)),0.95))))</f>
        <v>0.95</v>
      </c>
      <c r="BN289" cm="1">
        <f t="array" ref="BN289">IF(D289="","",IF(BA289&lt;&gt;"",IFERROR(_xlfn.XLOOKUP(BA289,Щиты[Щит],Щиты[Iр, А]),""),IFERROR(_xlfn.IFS(BH289=1,BF289/((Uн_лин/SQRT(3))*BM289),BH289=3,BF289/(SQRT(3)*Uн_лин*BM289)),"")))</f>
        <v>1.6408902387494626</v>
      </c>
      <c r="BO289">
        <f>IF(D289="","",IF(N(X289)=0,IFERROR(VLOOKUP(BN289,Автомат_номиналы,2,TRUE),""),X289))</f>
        <v>16</v>
      </c>
      <c r="BP289">
        <f t="shared" si="362"/>
        <v>1</v>
      </c>
      <c r="BQ289">
        <f>IF(ISNUMBER(Y289),Y289,К_прокл)</f>
        <v>1</v>
      </c>
      <c r="BR289">
        <f t="shared" si="363"/>
        <v>2</v>
      </c>
      <c r="BS289" cm="1">
        <f t="array" ref="BS289">IF(D289="","",IF(N(BK289)&lt;&gt;0,BK289,IFERROR(_xlfn.LET(_xlpm.need,BO289/(BP289*BQ289),_xlpm.t,CHOOSE(BR289,Iдоп_1ж,Iдоп_2ж,Iдоп_3ж),_xlpm.k,_xlfn.XMATCH(_xlpm.need,_xlpm.t,1),IF(ISNA(_xlpm.k),"Не исп",INDEX(Iдоп_S,_xlpm.k))),"Не исп")))</f>
        <v>2.5</v>
      </c>
      <c r="BT289">
        <f>IFERROR(VLOOKUP(BS289,Кабель_сопротивление,3,FALSE),"")</f>
        <v>2.2499999999999999E-2</v>
      </c>
      <c r="BU289">
        <f>IFERROR(VLOOKUP(BS289,Кабель_сопротивление,2,FALSE),"")</f>
        <v>0.1</v>
      </c>
      <c r="BV289">
        <f t="shared" si="364"/>
        <v>37</v>
      </c>
      <c r="BW289">
        <f>IF(D289="","",IFERROR(IF(VLOOKUP(AT289,Потребители_обозначение,4,FALSE)=1,VLOOKUP(AT289,Потребители_обозначение,3,FALSE)*(H289*2-1)+BV289+VLOOKUP(AV289,Этаж_обозначение,3,FALSE)+VLOOKUP(AV289,Этаж_обозначение,4,FALSE),VLOOKUP(AT289,Потребители_обозначение,3,FALSE)*(H289*2-1)+BV289),BV289))</f>
        <v>58</v>
      </c>
      <c r="BX289">
        <f t="shared" si="365"/>
        <v>40</v>
      </c>
      <c r="BY289">
        <f t="shared" si="366"/>
        <v>10</v>
      </c>
      <c r="BZ289">
        <f t="shared" si="367"/>
        <v>2</v>
      </c>
      <c r="CA289">
        <f t="shared" si="368"/>
        <v>0.31</v>
      </c>
      <c r="CB289">
        <f t="shared" si="369"/>
        <v>1.6333355800902603</v>
      </c>
      <c r="CC289">
        <f>IFERROR(ROUNDUP(CB289/((Uн_лин/SQRT(3))*1000)*100,2),"")</f>
        <v>0.71</v>
      </c>
      <c r="CD289">
        <f>IF(ISNUMBER(CC289),CC289+IFERROR(_xlfn.XLOOKUP(A289,Щиты[Щит],Щиты[ΔU до шин, %]),0),"")</f>
        <v>2.5</v>
      </c>
      <c r="CE289">
        <f>IF(D289="","",IF(IFERROR(VLOOKUP(AT289,УГО_спр,2,FALSE),"")="Светильник",3,4)+IF(Методика="нормы 2026",MIN(0.5,MAX(0,N(BW289)-100)*0.005),0))</f>
        <v>4</v>
      </c>
      <c r="CF289" t="str">
        <f>IFERROR(VLOOKUP(BI289,Кабель_обозначение,2,FALSE),"")</f>
        <v>ВВГнг(А)-LS</v>
      </c>
      <c r="CG289" t="str">
        <f>IFERROR(IF(VLOOKUP(BI289,Кабель_обозначение,3,FALSE)=1,CF289&amp;" ("&amp;BJ289&amp;"х"&amp;BS289&amp;")",CF289),"")</f>
        <v>ВВГнг(А)-LS (3х2,5)</v>
      </c>
      <c r="CH289" t="str">
        <f t="shared" si="370"/>
        <v>ВВГнг(А)-LS (3х2,5)
L=58-0,71%</v>
      </c>
      <c r="CI289">
        <f>IFERROR(2*ρкз_Cu*BW289/BS289,"")</f>
        <v>1.2203200000000001</v>
      </c>
      <c r="CJ289">
        <f t="shared" si="371"/>
        <v>0.40600000000000003</v>
      </c>
      <c r="CK289" t="str">
        <f>IFERROR(IF(OR(D289="",NOT(ISNUMBER(BS289)),N(BW289)=0),"",_xlfn.XLOOKUP(A289,Щиты[Щит],Щиты[Zпетли на шинах, Ом])+CI289),"")</f>
        <v/>
      </c>
      <c r="CL289" t="str">
        <f>IF(ISNUMBER(CK289),c_min*(Uн_лин*1000/SQRT(3))/CK289,"")</f>
        <v/>
      </c>
      <c r="CM289" t="str">
        <f>IFERROR(IF(OR(D289="",NOT(ISNUMBER(BS289))),"",1.05*(Uн_лин*1000/SQRT(3))/(_xlfn.XLOOKUP(A289,Щиты[Щит],Щиты[Zmax на шинах, Ом])+CJ289)/1000),"")</f>
        <v/>
      </c>
      <c r="CN289" t="str">
        <f>IF(D289="","",IF(BA289&lt;&gt;"","Щит",IF(K289&lt;&gt;"",K289,IF(ISNUMBER(L289),"Сил",IF(IFERROR(_xlfn.XLOOKUP(AT289,Коды_код,Коды_группа)&amp;"","")="","Быт",_xlfn.XLOOKUP(AT289,Коды_код,Коды_группа)&amp;"")))))</f>
        <v>Быт</v>
      </c>
      <c r="CO289">
        <f>IF(CN289="Щит","щит",IF(CN289="","",IF(CN289="Быт",IFERROR(_xlfn.XLOOKUP(A289,Щиты[Щит],Щиты[Кс быт]),1),IF(CN289="Сил",IF(ISNUMBER(L289),L289,IF(Методика="нормы 2026",IFERROR(_xlfn.XLOOKUP(A289,Щиты[Щит],Щиты[Кс силовых (табл. 7.5)]),1),1)),IF(OR(CN289="Пост",CN289="Отоп"),1,IF(CN289="ВНГ",0.7,0))))))</f>
        <v>0.8</v>
      </c>
      <c r="CP289">
        <f t="shared" si="372"/>
        <v>1</v>
      </c>
      <c r="CQ289">
        <f t="shared" si="373"/>
        <v>0.36</v>
      </c>
      <c r="CR289">
        <f t="shared" si="374"/>
        <v>0.36</v>
      </c>
      <c r="CS289">
        <f t="shared" si="375"/>
        <v>0</v>
      </c>
      <c r="CT289">
        <f t="shared" si="376"/>
        <v>0</v>
      </c>
      <c r="CU289">
        <f t="shared" si="377"/>
        <v>0</v>
      </c>
      <c r="CV289">
        <f t="shared" si="378"/>
        <v>0</v>
      </c>
      <c r="CW289">
        <f t="shared" si="379"/>
        <v>0.36</v>
      </c>
      <c r="CX289">
        <f t="shared" si="380"/>
        <v>0.34199999999999997</v>
      </c>
      <c r="CY289">
        <f t="shared" si="381"/>
        <v>1</v>
      </c>
      <c r="CZ289" t="str">
        <f t="shared" si="382"/>
        <v>L1</v>
      </c>
      <c r="DA289" cm="1">
        <f t="array" ref="DA289">IFERROR(IF(BL289=2,_xlfn.IFS(BH289=3,VLOOKUP(BF289,Справочная_двигатели,3,FALSE),BH289=1,VLOOKUP(BF289,Справочная_двигатели,5,TRUE)),0),0)</f>
        <v>0</v>
      </c>
      <c r="DB289">
        <f>IFERROR(IF(BL289=3,VLOOKUP(BF289,Справочная_ЛЭД,2,TRUE),0),0)</f>
        <v>0</v>
      </c>
      <c r="DC289">
        <f t="shared" si="383"/>
        <v>0</v>
      </c>
      <c r="DD289" t="str">
        <f t="shared" si="384"/>
        <v>L3</v>
      </c>
      <c r="DE289" t="str" cm="1">
        <f t="array" ref="DE289">IF(D289="","",IFERROR(INDEX({"I особая","I","II","III"},MATCH(TRIM(AA289&amp;""),{"I особая","I","II","III"},0)),"III"))</f>
        <v>II</v>
      </c>
      <c r="DF289" t="str">
        <f>IF(D289="","",IF(TRIM(AB289&amp;"")&lt;&gt;"",IF(LOWER(TRIM(AB289&amp;""))="да","да","нет"),IF(IFERROR(_xlfn.XLOOKUP(AT289,Коды_код,Коды_пожарная),"")="да","да","нет")))</f>
        <v>нет</v>
      </c>
      <c r="DG289" t="str">
        <f t="shared" si="385"/>
        <v/>
      </c>
      <c r="DH289" t="str">
        <f t="shared" si="386"/>
        <v>основная</v>
      </c>
      <c r="DI289">
        <f t="shared" si="387"/>
        <v>1</v>
      </c>
      <c r="DJ289" t="str" cm="1">
        <f t="array" ref="DJ289">IF(D289="","",_xlfn.LET(_xlpm.t,IFERROR(_xlfn.XLOOKUP(1,(Шины[Шина]=DH289)*(((Шины[Щит]=A289)+(Шины[Щит]=""))&gt;0),Шины[Тип]),"")&amp;"",IF(_xlpm.t&lt;&gt;"",_xlpm.t,IF(ISNUMBER(SEARCH("ИБП",DH289)),"ИБП",IF(ISNUMBER(SEARCH("ДГУ",DH289)),"ДГУ","Ввод "&amp;DI289)))))</f>
        <v>Ввод 1</v>
      </c>
      <c r="DK289" t="str">
        <f t="shared" si="388"/>
        <v>Ввод 1</v>
      </c>
      <c r="DL289" t="str">
        <f>IF(D289="","",IF(OR(DJ289="ИБП",DJ289="ДГУ"),"I особая",IF(DJ289="Одиночная","III",_xlfn.XLOOKUP(A289,Щиты[Щит],Щиты[Категория шины «Ввод»],"III"))))</f>
        <v>II</v>
      </c>
      <c r="DM289">
        <f>IF(D289="",0,IFERROR(MATCH(DE289,{"III","II","I","I особая"},0),1))</f>
        <v>2</v>
      </c>
      <c r="DN289">
        <f t="shared" si="389"/>
        <v>2</v>
      </c>
      <c r="DO289" t="str">
        <f>IF(D289="","",IF(DM289&gt;IFERROR(MATCH(DL289,{"III","II","I","I особая"},0),1),"НЕ ОБЕСПЕЧЕНА","ОК"))</f>
        <v>ОК</v>
      </c>
      <c r="DP289" t="str">
        <f>IF(A289="","",_xlfn.XLOOKUP(A289,Щиты[Щит],Щиты[Путь],""))</f>
        <v>|ГРЩ-ЖД|ЩР-2|</v>
      </c>
      <c r="DQ289" t="str">
        <f>IF(D289="","",IF(Z289&lt;&gt;"",Z289,IF(IFERROR(_xlfn.XLOOKUP(AT289,Коды_код,Коды_вид)&amp;"","")="","Прочее",_xlfn.XLOOKUP(AT289,Коды_код,Коды_вид)&amp;"")))</f>
        <v>Розеточная сеть и бытовые приборы</v>
      </c>
      <c r="DR289">
        <f>IF(BD289="","",INT((BD289-1)/Столбцов_на_лист)+1)</f>
        <v>1</v>
      </c>
      <c r="DS289" t="str">
        <f t="shared" si="390"/>
        <v>ВВГнг(А)-LS (3х2,5) L=58-0,71%</v>
      </c>
      <c r="DT289">
        <f t="shared" si="391"/>
        <v>0.36</v>
      </c>
      <c r="DU289">
        <f t="shared" si="392"/>
        <v>1.65</v>
      </c>
      <c r="DV289">
        <f t="shared" si="393"/>
        <v>1</v>
      </c>
      <c r="DW289">
        <f>IF(AT289="",0,_xlfn.LET(_xlpm.v,IFERROR(VLOOKUP(D289,УГО_спр,3,FALSE),IFERROR(VLOOKUP(AT289,УГО_спр,3,FALSE),IFERROR(VLOOKUP(LEFT(AT289,2),УГО_спр,3,FALSE),""))),IF(_xlpm.v="да",30,IF(ISNUMBER(_xlpm.v),_xlpm.v,0))))</f>
        <v>30</v>
      </c>
      <c r="DX289">
        <f t="shared" si="394"/>
        <v>0</v>
      </c>
      <c r="DY289">
        <f>IF(BD289="","",IF(AD289&lt;&gt;"",COUNTIFS(A$3:A289,A289,AD$3:AD289,"?*"),IF(OR(OR(AS289=1,A289&lt;&gt;A288),AL289="вручную"),"",IF(AS289=1,"",DZ288))))</f>
        <v>6</v>
      </c>
      <c r="DZ289">
        <f t="shared" si="395"/>
        <v>6</v>
      </c>
      <c r="EA289">
        <f>IF(D289="",0,MAX(IFERROR(--X289,0),IFERROR(--VLOOKUP(D289,УГО_спр,4,FALSE),IFERROR(--VLOOKUP(AT289,УГО_спр,4,FALSE),IFERROR(--VLOOKUP(LEFT(AT289,2),УГО_спр,4,FALSE),0)))))</f>
        <v>16</v>
      </c>
      <c r="EB289">
        <f>IF(D289="","",IFERROR(LOOKUP(INDEX(CHOOSE(BR289,Iдоп_1ж,Iдоп_2ж,Iдоп_3ж),MATCH(BS289,Iдоп_S,0))*BP289*BQ289,{6,10,16,20,25,32,40,50,63,80,100,125,160,200,250,315,400,500,630}),""))</f>
        <v>25</v>
      </c>
      <c r="EC289">
        <f>IF(AD289="","",SUMIFS(Линии[_Ток схемы],Линии[_гр.],DY289,Линии[Щит],A289,Линии[_в кабель выше],0))</f>
        <v>1.65</v>
      </c>
      <c r="ED289">
        <f>IF(AD289="","",IFERROR(VLOOKUP(EC289,Автомат_номиналы,2,TRUE),""))</f>
        <v>6</v>
      </c>
      <c r="EE289">
        <f>IF(AD289="","",MAX(N(ED289),_xlfn.MAXIFS(Линии[_мин. по типу],Линии[_гр.],DY289,Линии[Щит],A289)))</f>
        <v>16</v>
      </c>
      <c r="EF289">
        <f>IF(AD289="","",_xlfn.MINIFS(Линии[_макс. автомат по кабелю],Линии[_гр.],DY289,Линии[Щит],A289))</f>
        <v>25</v>
      </c>
      <c r="EG289">
        <f>IF(AD289="","",MAX(1,_xlfn.MAXIFS(Линии[_фаз],Линии[_гр.],DY289,Линии[Щит],A289)))</f>
        <v>1</v>
      </c>
      <c r="EH289">
        <f>IF(AD289="","",IF(AND(AD289&lt;&gt;"авто",AD289&lt;&gt;"+"),IF(ISNUMBER(SEARCH("мА",AD289)),IFERROR(--TRIM(RIGHT(SUBSTITUTE(LEFT(AD289,SEARCH("мА",AD289)-1)," ",REPT(" ",9)),6)),30),0),IF(AE289="нет",0,IF(ISNUMBER(AE289),AE289,IF(AE289="да",30,_xlfn.MINIFS(Линии[_дифзащита по коду, мА],Линии[_гр.],DY289,Линии[Щит],A289,Линии[_дифзащита по коду, мА],"&gt;0"))))))</f>
        <v>30</v>
      </c>
      <c r="EI289">
        <f t="shared" si="396"/>
        <v>1</v>
      </c>
      <c r="EJ289" t="str">
        <f t="shared" si="397"/>
        <v>QFD6</v>
      </c>
      <c r="EK289" t="str">
        <f t="shared" si="398"/>
        <v>QFD6</v>
      </c>
      <c r="EL289" t="str">
        <f t="shared" si="399"/>
        <v/>
      </c>
      <c r="EM289">
        <f t="shared" si="400"/>
        <v>0</v>
      </c>
      <c r="EN289">
        <f>IF(AD289="","",IF(EM289=1,MAX(EE289,Мин_автомат_БП),EE289))</f>
        <v>16</v>
      </c>
      <c r="EO289" t="str">
        <f t="shared" si="401"/>
        <v>2P</v>
      </c>
      <c r="EP289" t="str">
        <f t="shared" si="402"/>
        <v>2P С16А 30мА</v>
      </c>
      <c r="EQ289">
        <f t="shared" si="403"/>
        <v>16</v>
      </c>
      <c r="ER289" t="str">
        <f>IF(OR(AI289="",AI289="-"),"",IFERROR(VLOOKUP(AI289,Модули_спр,2,FALSE),"R"))</f>
        <v/>
      </c>
      <c r="ES289" t="str">
        <f>IF(ER289="","",ER289&amp;"."&amp;COUNTIFS(A$3:A289,A289,ER$3:ER289,ER289))</f>
        <v/>
      </c>
      <c r="ET289" t="str">
        <f t="shared" si="404"/>
        <v/>
      </c>
      <c r="EU289" t="str">
        <f t="shared" si="405"/>
        <v/>
      </c>
      <c r="EV289" t="str">
        <f t="shared" si="406"/>
        <v/>
      </c>
      <c r="EW289" t="str">
        <f t="shared" si="407"/>
        <v/>
      </c>
      <c r="EX289">
        <f t="shared" si="408"/>
        <v>1</v>
      </c>
      <c r="EY289" t="str">
        <f>IF(AK289="нет","",IF(AK289&lt;&gt;"",AK289,IF(EX289=1,"XT"&amp;COUNTIFS(A$3:A289,A289,EX$3:EX289,1),"")))</f>
        <v>XT6</v>
      </c>
      <c r="EZ289" t="str">
        <f t="shared" si="409"/>
        <v>QFD6</v>
      </c>
      <c r="FA289" t="str">
        <f t="shared" si="410"/>
        <v/>
      </c>
      <c r="FB289" t="str">
        <f t="shared" si="411"/>
        <v>ok</v>
      </c>
      <c r="FC289" t="str">
        <f>IF(OR(EV289="",ET289=""),"",IF(EV289&gt;IFERROR(VLOOKUP(EU289,Модули_спр,3,FALSE),99),"ЛИШНИЙ КАНАЛ",IF(AND(AJ289&lt;&gt;"=",COUNTIFS(Линии[_модуль гр.],ET289,Линии[Канал (итог)],EV289,Линии[Канал],"&lt;&gt;=",Линии[Щит],A289)&gt;1),"ДУБЛЬ КАНАЛА","")))</f>
        <v/>
      </c>
      <c r="FD289">
        <f t="shared" si="412"/>
        <v>16</v>
      </c>
      <c r="FE289" t="str">
        <f t="shared" si="413"/>
        <v>2P С16А 30мА</v>
      </c>
      <c r="FF289">
        <f t="shared" si="414"/>
        <v>1</v>
      </c>
      <c r="FG289">
        <f t="shared" si="415"/>
        <v>30</v>
      </c>
      <c r="FH289" t="str">
        <f t="shared" si="416"/>
        <v/>
      </c>
      <c r="FI289">
        <f t="shared" si="417"/>
        <v>10</v>
      </c>
      <c r="FJ289" t="str">
        <f t="shared" si="418"/>
        <v/>
      </c>
      <c r="FK289" t="str">
        <f>IF(AND(D289="",EZ289=""),"",_xlfn.TEXTJOIN("; ",TRUE,IF(AND(D289&lt;&gt;"",DD289=""),"нет фазы",""),IF(AND(D289&lt;&gt;"",N(DT289)=0,CN289&lt;&gt;"Нет"),"нет мощности",""),IF(AND(EY289&lt;&gt;"",COUNTIFS(Линии[Щит],A289,Линии[Клемма (итог)],EY289)&gt;1),"дубль клеммы "&amp;EY289,""),IF(AND(FB289&lt;&gt;"",FB289&lt;&gt;"ok"),FB289,""),IF(FC289&lt;&gt;"",FC289,""),IF(AND(ISNUMBER(SEARCH("(5х",DS289)),N(DV289)=1),"5 жил на 1 фазе",""),IF(AND(AT289="R",AD289&lt;&gt;"",OR(N(EH289)=0,N(EH289)&gt;30)),"розетка без дифзащиты до 30 мА",""),IFERROR(IF(AND(ISNUMBER(CD289),CD289&gt;CE289),"потери "&amp;FIXED(CD289,1)&amp;" % &gt; "&amp;CE289&amp;" %",""),""),IFERROR(IF(LEFT(FJ289,4)="мало","Iкз мало — отключение &gt; 0,4 с",""),""),IF(AND(D289&lt;&gt;"",BD289=""),"не на схеме","")))</f>
        <v/>
      </c>
      <c r="FL289">
        <f>IF(AD289="","",_xlfn.LET(_xlpm.t,IFERROR(_xlfn.XLOOKUP(EP289,Каталог!$U$4:$U$500,Каталог!$G$4:$G$500),""),_xlpm.k,SEARCH("кА",_xlpm.t),IFERROR(--TRIM(RIGHT(SUBSTITUTE(MID(_xlpm.t,MAX(1,_xlpm.k-4),_xlpm.k-MAX(1,_xlpm.k-4))," ",REPT(" ",9)),5)),"")))</f>
        <v>6</v>
      </c>
      <c r="FM289" t="str">
        <f>IF(OR(FL289="",AD289=""),"",IF(_xlfn.XLOOKUP(A289,Щиты[Щит],Щиты[Iкз max на шинах, кА],"")="","",IF(FL289&lt;_xlfn.XLOOKUP(A289,Щиты[Щит],Щиты[Iкз max на шинах, кА]),"Icu "&amp;FL289&amp;" кА &lt; Iкз max","ok")))</f>
        <v/>
      </c>
      <c r="FN289" t="str">
        <f t="shared" si="419"/>
        <v>QFD6|XT6</v>
      </c>
      <c r="FO289" t="str">
        <f t="shared" si="420"/>
        <v>QFD6|XT6|кабель ВВГнг(А)-LS (3х2,5) → Розеточная группа Второй этаж Пом. №009А</v>
      </c>
      <c r="FP289" t="str" cm="1">
        <f t="array" ref="FP289">IF(FO289="","",_xlfn.LET(_xlpm.nd,_xlfn.TEXTSPLIT(FO289,"|"),IF(COLUMNS(_xlpm.nd)&gt;1,A289&amp;"¦"&amp;INDEX(_xlpm.nd,1)&amp;"¦"&amp;INDEX(_xlpm.nd,2),"")))</f>
        <v>ЩР-2¦QFD6¦XT6</v>
      </c>
      <c r="FQ289" t="str">
        <f t="shared" si="421"/>
        <v>R.2.009А.1¦Розеточная группа Второй этаж Пом. №009А</v>
      </c>
      <c r="FR289" t="str" cm="1">
        <f t="array" ref="FR289">IF(FO289="","",_xlfn.LET(_xlpm.nd,_xlfn.TEXTSPLIT(FO289,"|"),IF(COLUMNS(_xlpm.nd)&gt;2,A289&amp;"¦"&amp;INDEX(_xlpm.nd,2)&amp;"¦"&amp;INDEX(_xlpm.nd,3),"")))</f>
        <v>ЩР-2¦XT6¦кабель ВВГнг(А)-LS (3х2,5) → Розеточная группа Второй этаж Пом. №009А</v>
      </c>
      <c r="FS289" t="str">
        <f t="shared" si="422"/>
        <v>R.2.009А.1¦Розеточная группа Второй этаж Пом. №009А</v>
      </c>
      <c r="FT289" t="str" cm="1">
        <f t="array" ref="FT289">IF(FO289="","",_xlfn.LET(_xlpm.nd,_xlfn.TEXTSPLIT(FO289,"|"),IF(COLUMNS(_xlpm.nd)&gt;3,A289&amp;"¦"&amp;INDEX(_xlpm.nd,3)&amp;"¦"&amp;INDEX(_xlpm.nd,4),"")))</f>
        <v/>
      </c>
      <c r="FU289" t="str">
        <f t="shared" si="423"/>
        <v/>
      </c>
      <c r="FV289" t="str" cm="1">
        <f t="array" ref="FV289">IF(FO289="","",_xlfn.LET(_xlpm.nd,_xlfn.TEXTSPLIT(FO289,"|"),IF(COLUMNS(_xlpm.nd)&gt;4,A289&amp;"¦"&amp;INDEX(_xlpm.nd,4)&amp;"¦"&amp;INDEX(_xlpm.nd,5),"")))</f>
        <v/>
      </c>
      <c r="FW289" t="str">
        <f t="shared" si="424"/>
        <v/>
      </c>
      <c r="FX289" t="str" cm="1">
        <f t="array" ref="FX289">IF(FO289="","",_xlfn.LET(_xlpm.nd,_xlfn.TEXTSPLIT(FO289,"|"),IF(COLUMNS(_xlpm.nd)&gt;5,A289&amp;"¦"&amp;INDEX(_xlpm.nd,5)&amp;"¦"&amp;INDEX(_xlpm.nd,6),"")))</f>
        <v/>
      </c>
      <c r="FY289" t="str">
        <f t="shared" si="425"/>
        <v/>
      </c>
      <c r="FZ289" t="str" cm="1">
        <f t="array" ref="FZ289">IF(FO289="","",_xlfn.LET(_xlpm.nd,_xlfn.TEXTSPLIT(FO289,"|"),IF(COLUMNS(_xlpm.nd)&gt;6,A289&amp;"¦"&amp;INDEX(_xlpm.nd,6)&amp;"¦"&amp;INDEX(_xlpm.nd,7),"")))</f>
        <v/>
      </c>
      <c r="GA289" t="str">
        <f t="shared" si="426"/>
        <v/>
      </c>
      <c r="GB289" t="str">
        <f t="shared" si="427"/>
        <v/>
      </c>
      <c r="GC289" t="str">
        <f t="shared" si="428"/>
        <v>QFD6 → XT6</v>
      </c>
      <c r="GD289">
        <f t="shared" si="429"/>
        <v>1</v>
      </c>
      <c r="GE289">
        <f t="shared" si="430"/>
        <v>0</v>
      </c>
      <c r="GF289">
        <f t="shared" si="431"/>
        <v>1</v>
      </c>
      <c r="GG289" t="str">
        <f t="shared" si="432"/>
        <v/>
      </c>
      <c r="GH289" t="str">
        <f t="shared" si="433"/>
        <v/>
      </c>
      <c r="GI289" t="str">
        <f t="shared" si="434"/>
        <v/>
      </c>
      <c r="GJ289" t="str">
        <f t="shared" si="435"/>
        <v/>
      </c>
      <c r="GK289" t="str">
        <f>IF(D289="","",IFERROR(VLOOKUP(D289,УГО_спр,2,FALSE),IFERROR(VLOOKUP(AT289,УГО_спр,2,FALSE),IFERROR(VLOOKUP(LEFT(AT289,2),УГО_спр,2,FALSE),""))))</f>
        <v>Розетка</v>
      </c>
      <c r="GL289" t="str">
        <f>IF(D289="","",IF(OR(GK289="",GK289=0),"BOX",IFERROR(IF(VLOOKUP(GK289,УГО_блоки,3,FALSE)&amp;""&lt;&gt;"",VLOOKUP(GK289,УГО_блоки,3,FALSE),VLOOKUP(GK289,УГО_блоки,2,FALSE)),GK289)))</f>
        <v>SOCKET</v>
      </c>
      <c r="GM289">
        <f t="shared" si="436"/>
        <v>1</v>
      </c>
      <c r="GN289" t="str">
        <f>IF(EP289="","",IF(COUNTIF(EP$3:EP289,EP289)=1,MAX(GN$2:GN288)+1,""))</f>
        <v/>
      </c>
      <c r="GO289" t="str">
        <f>IF(AF289="","",IF(COUNTIF(AF$3:AF289,AF289)+COUNTIF(AG$2:AG288,AF289)+COUNTIF(AH$2:AH288,AF289)=1,MAX(GO$2:GQ288)+1,""))</f>
        <v/>
      </c>
      <c r="GP289" t="str">
        <f>IF(AG289="","",IF(COUNTIF(AF$3:AF289,AG289)+COUNTIF(AG$3:AG289,AG289)+COUNTIF(AH$2:AH288,AG289)=1,MAX(GO$2:GQ288,GO289)+1,""))</f>
        <v/>
      </c>
      <c r="GQ289" t="str">
        <f>IF(AH289="","",IF(COUNTIF(AF$3:AF289,AH289)+COUNTIF(AG$3:AG289,AH289)+COUNTIF(AH$3:AH289,AH289)=1,MAX(GO$2:GQ288,GO289,GP289)+1,""))</f>
        <v/>
      </c>
      <c r="GR289" t="str">
        <f t="shared" si="437"/>
        <v>3х2,5</v>
      </c>
      <c r="GS289" t="str">
        <f>IF(GR289="","",IF(COUNTIF(GR$3:GR289,GR289)=1,MAX(GS$2:GS288)+1,""))</f>
        <v/>
      </c>
      <c r="GT289" t="str">
        <f>IF(ES289="","",COUNTIF(ES$3:ES289,"?*"))</f>
        <v/>
      </c>
      <c r="GU289" t="str">
        <f>IF(OR(ES289="",EU289=""),"",IF(COUNTIFS(ES$3:ES289,"?*",EU$3:EU289,EU289)=1,MAX(GU$2:GU288)+1,""))</f>
        <v/>
      </c>
      <c r="GV289">
        <f t="shared" si="438"/>
        <v>0</v>
      </c>
      <c r="GW289">
        <f>IF(D289="","",COUNTIF(D$3:D289,"?*"))</f>
        <v>287</v>
      </c>
      <c r="GX289">
        <f>IF(EX289&lt;&gt;1,0,_xlfn.LET(_xlpm.k,MAX(IFERROR(--VLOOKUP(D289,УГО_спр,5,FALSE),0),IFERROR(--VLOOKUP(AT289,УГО_спр,5,FALSE),0),IFERROR(--VLOOKUP(LEFT(AT289,2),УГО_спр,5,FALSE),0)),IF(_xlpm.k&gt;0,_xlpm.k,IF(IFERROR(--LEFT(SUBSTITUTE(GR289,"x","х"),FIND("х",SUBSTITUTE(GR289,"x","х"))-1),3)&gt;3,Каталог!$S$9,1))))</f>
        <v>1</v>
      </c>
      <c r="GY289">
        <f t="shared" si="439"/>
        <v>0</v>
      </c>
    </row>
    <row r="290" spans="1:207" x14ac:dyDescent="0.3">
      <c r="A290" t="s">
        <v>764</v>
      </c>
      <c r="B290">
        <v>15</v>
      </c>
      <c r="C290" t="str">
        <f>IF(BD290="","",IF(BE290="вводной узел","узел ","")&amp;"л."&amp;(INT((BD290-1)/Столбцов_на_лист)+1)&amp;" / "&amp;(MOD(BD290-1,Столбцов_на_лист)+1))</f>
        <v>л.1 / 15</v>
      </c>
      <c r="D290" t="s">
        <v>1623</v>
      </c>
      <c r="E290" s="133" t="str">
        <f t="shared" si="352"/>
        <v>Розеточная группа Второй этаж Пом. №009А</v>
      </c>
      <c r="G290">
        <v>0.24</v>
      </c>
      <c r="H290">
        <v>2</v>
      </c>
      <c r="I290">
        <v>1</v>
      </c>
      <c r="J290">
        <v>230</v>
      </c>
      <c r="K290" t="s">
        <v>566</v>
      </c>
      <c r="O290">
        <v>2</v>
      </c>
      <c r="P290">
        <v>29</v>
      </c>
      <c r="Q290">
        <v>12</v>
      </c>
      <c r="R290">
        <v>20</v>
      </c>
      <c r="T290">
        <v>2</v>
      </c>
      <c r="U290" t="s">
        <v>11</v>
      </c>
      <c r="V290">
        <v>3</v>
      </c>
      <c r="W290">
        <v>2.5</v>
      </c>
      <c r="X290">
        <v>16</v>
      </c>
      <c r="Z290" t="s">
        <v>565</v>
      </c>
      <c r="AA290" t="s">
        <v>818</v>
      </c>
      <c r="AD290" t="s">
        <v>517</v>
      </c>
      <c r="AR290" t="str">
        <f t="shared" si="353"/>
        <v/>
      </c>
      <c r="AS290" cm="1">
        <f t="array" ref="AS290">ROW()-ROW(Линии[#Headers])</f>
        <v>288</v>
      </c>
      <c r="AT290" t="str">
        <f t="shared" si="354"/>
        <v>R</v>
      </c>
      <c r="AU290" t="str">
        <f t="shared" si="355"/>
        <v>2.009А.2</v>
      </c>
      <c r="AV290" t="str">
        <f t="shared" si="356"/>
        <v>2</v>
      </c>
      <c r="AW290" t="str">
        <f t="shared" si="357"/>
        <v>009А.2</v>
      </c>
      <c r="AX290" t="str">
        <f t="shared" si="358"/>
        <v>009А</v>
      </c>
      <c r="AY290" t="str">
        <f>IF(D290="","",IF(ISERROR(SEARCH(".",D290)),IFERROR(VLOOKUP(D290,Потребители_обозначение,2,FALSE)&amp;"",""),IFERROR(IF(VLOOKUP(AT290,Потребители_обозначение,4,FALSE)=1,VLOOKUP(AT290,Потребители_обозначение,2,FALSE)&amp;" "&amp;VLOOKUP(AV290,Этаж_обозначение,2,FALSE)&amp;" Пом. №"&amp;AX290,VLOOKUP(AT290,Потребители_обозначение,2,FALSE)&amp;" Шлейф №"&amp;AV290),IFERROR(VLOOKUP(D290,Потребители_обозначение,2,FALSE),""))))</f>
        <v>Розеточная группа Второй этаж Пом. №009А</v>
      </c>
      <c r="AZ290" t="str">
        <f t="shared" si="359"/>
        <v>Розеточная группа Второй этаж Пом. №009А</v>
      </c>
      <c r="BA290" t="str">
        <f>IF(F290&lt;&gt;"",F290,IF(AND(D290&lt;&gt;"",D290&lt;&gt;A290,ISNUMBER(_xlfn.XMATCH(D290,Щиты[Щит]))),D290,""))</f>
        <v/>
      </c>
      <c r="BB290">
        <f>IFERROR(_xlfn.XMATCH(A290,Щиты[Щит]),0)</f>
        <v>11</v>
      </c>
      <c r="BC290">
        <f>IFERROR(N(_xlfn.XLOOKUP(A290,Щиты[Щит],Щиты[Мест под вводной узел])),15)</f>
        <v>8</v>
      </c>
      <c r="BD290">
        <f t="shared" si="360"/>
        <v>15</v>
      </c>
      <c r="BE290" t="str">
        <f t="shared" si="361"/>
        <v>линии</v>
      </c>
      <c r="BF290">
        <f>IF(D290="","",IF(BA290&lt;&gt;"",IFERROR(_xlfn.XLOOKUP(BA290,Щиты[Щит],Щиты[Руст, кВт]),0),N(G290)))</f>
        <v>0.24</v>
      </c>
      <c r="BG290">
        <f>IF(J290&lt;&gt;"",J290,IF(D290="","",IFERROR(IF(VLOOKUP(AT290,Потребители_обозначение,8,FALSE)=0,"",VLOOKUP(AT290,Потребители_обозначение,8,FALSE)),"")))</f>
        <v>230</v>
      </c>
      <c r="BH290">
        <f>IF(I290&lt;&gt;"",I290,IF(D290="","",IFERROR(IF(VLOOKUP(AT290,Потребители_обозначение,9,FALSE)=0,"",VLOOKUP(AT290,Потребители_обозначение,9,FALSE)),"")))</f>
        <v>1</v>
      </c>
      <c r="BI290" t="str">
        <f>IF(U290&lt;&gt;"",U290,IF(D290="","",IFERROR(IF(VLOOKUP(AT290,Потребители_обозначение,6,FALSE)=0,"",VLOOKUP(AT290,Потребители_обозначение,6,FALSE)),"")))</f>
        <v>мс</v>
      </c>
      <c r="BJ290">
        <f>IF(V290&lt;&gt;"",V290,IF(D290="","",IFERROR(IF(VLOOKUP(AT290,Потребители_обозначение,7,FALSE)=0,"",VLOOKUP(AT290,Потребители_обозначение,7,FALSE)),"")))</f>
        <v>3</v>
      </c>
      <c r="BK290">
        <f>IF(W290&lt;&gt;"",W290,IF(D290="","",IFERROR(IF(VLOOKUP(AT290,Потребители_обозначение,10,FALSE)=0,"",VLOOKUP(AT290,Потребители_обозначение,10,FALSE)),"")))</f>
        <v>2.5</v>
      </c>
      <c r="BL290">
        <f>IFERROR(VLOOKUP(AT290,Потребители_обозначение,5,FALSE),0)</f>
        <v>1</v>
      </c>
      <c r="BM290" cm="1">
        <f t="array" ref="BM290">IF(D290="","",IF(BA290&lt;&gt;"",IFERROR(_xlfn.XLOOKUP(BA290,Щиты[Щит],Щиты[cos φ]),0.95),IF(ISNUMBER(M290),M290,IFERROR(IF(BL290=2,_xlfn.IFS(BH290=3,VLOOKUP(BF290,Справочная_двигатели,8,FALSE),BH290=1,VLOOKUP(BF290,Справочная_двигатели,10,TRUE)),IF(AND(Методика="нормы 2026",CN290="Сил"),0.8,0.95)),0.95))))</f>
        <v>0.95</v>
      </c>
      <c r="BN290" cm="1">
        <f t="array" ref="BN290">IF(D290="","",IF(BA290&lt;&gt;"",IFERROR(_xlfn.XLOOKUP(BA290,Щиты[Щит],Щиты[Iр, А]),""),IFERROR(_xlfn.IFS(BH290=1,BF290/((Uн_лин/SQRT(3))*BM290),BH290=3,BF290/(SQRT(3)*Uн_лин*BM290)),"")))</f>
        <v>1.0939268258329751</v>
      </c>
      <c r="BO290">
        <f>IF(D290="","",IF(N(X290)=0,IFERROR(VLOOKUP(BN290,Автомат_номиналы,2,TRUE),""),X290))</f>
        <v>16</v>
      </c>
      <c r="BP290">
        <f t="shared" si="362"/>
        <v>1</v>
      </c>
      <c r="BQ290">
        <f>IF(ISNUMBER(Y290),Y290,К_прокл)</f>
        <v>1</v>
      </c>
      <c r="BR290">
        <f t="shared" si="363"/>
        <v>2</v>
      </c>
      <c r="BS290" cm="1">
        <f t="array" ref="BS290">IF(D290="","",IF(N(BK290)&lt;&gt;0,BK290,IFERROR(_xlfn.LET(_xlpm.need,BO290/(BP290*BQ290),_xlpm.t,CHOOSE(BR290,Iдоп_1ж,Iдоп_2ж,Iдоп_3ж),_xlpm.k,_xlfn.XMATCH(_xlpm.need,_xlpm.t,1),IF(ISNA(_xlpm.k),"Не исп",INDEX(Iдоп_S,_xlpm.k))),"Не исп")))</f>
        <v>2.5</v>
      </c>
      <c r="BT290">
        <f>IFERROR(VLOOKUP(BS290,Кабель_сопротивление,3,FALSE),"")</f>
        <v>2.2499999999999999E-2</v>
      </c>
      <c r="BU290">
        <f>IFERROR(VLOOKUP(BS290,Кабель_сопротивление,2,FALSE),"")</f>
        <v>0.1</v>
      </c>
      <c r="BV290">
        <f t="shared" si="364"/>
        <v>29</v>
      </c>
      <c r="BW290">
        <f>IF(D290="","",IFERROR(IF(VLOOKUP(AT290,Потребители_обозначение,4,FALSE)=1,VLOOKUP(AT290,Потребители_обозначение,3,FALSE)*(H290*2-1)+BV290+VLOOKUP(AV290,Этаж_обозначение,3,FALSE)+VLOOKUP(AV290,Этаж_обозначение,4,FALSE),VLOOKUP(AT290,Потребители_обозначение,3,FALSE)*(H290*2-1)+BV290),BV290))</f>
        <v>38</v>
      </c>
      <c r="BX290">
        <f t="shared" si="365"/>
        <v>20</v>
      </c>
      <c r="BY290">
        <f t="shared" si="366"/>
        <v>34</v>
      </c>
      <c r="BZ290">
        <f t="shared" si="367"/>
        <v>2</v>
      </c>
      <c r="CA290">
        <f t="shared" si="368"/>
        <v>0.31</v>
      </c>
      <c r="CB290">
        <f t="shared" si="369"/>
        <v>0.71341094302792962</v>
      </c>
      <c r="CC290">
        <f>IFERROR(ROUNDUP(CB290/((Uн_лин/SQRT(3))*1000)*100,2),"")</f>
        <v>0.31</v>
      </c>
      <c r="CD290">
        <f>IF(ISNUMBER(CC290),CC290+IFERROR(_xlfn.XLOOKUP(A290,Щиты[Щит],Щиты[ΔU до шин, %]),0),"")</f>
        <v>2.1</v>
      </c>
      <c r="CE290">
        <f>IF(D290="","",IF(IFERROR(VLOOKUP(AT290,УГО_спр,2,FALSE),"")="Светильник",3,4)+IF(Методика="нормы 2026",MIN(0.5,MAX(0,N(BW290)-100)*0.005),0))</f>
        <v>4</v>
      </c>
      <c r="CF290" t="str">
        <f>IFERROR(VLOOKUP(BI290,Кабель_обозначение,2,FALSE),"")</f>
        <v>ВВГнг(А)-LS</v>
      </c>
      <c r="CG290" t="str">
        <f>IFERROR(IF(VLOOKUP(BI290,Кабель_обозначение,3,FALSE)=1,CF290&amp;" ("&amp;BJ290&amp;"х"&amp;BS290&amp;")",CF290),"")</f>
        <v>ВВГнг(А)-LS (3х2,5)</v>
      </c>
      <c r="CH290" t="str">
        <f t="shared" si="370"/>
        <v>ВВГнг(А)-LS (3х2,5)
L=38-0,31%</v>
      </c>
      <c r="CI290">
        <f>IFERROR(2*ρкз_Cu*BW290/BS290,"")</f>
        <v>0.79952000000000001</v>
      </c>
      <c r="CJ290">
        <f t="shared" si="371"/>
        <v>0.26600000000000001</v>
      </c>
      <c r="CK290" t="str">
        <f>IFERROR(IF(OR(D290="",NOT(ISNUMBER(BS290)),N(BW290)=0),"",_xlfn.XLOOKUP(A290,Щиты[Щит],Щиты[Zпетли на шинах, Ом])+CI290),"")</f>
        <v/>
      </c>
      <c r="CL290" t="str">
        <f>IF(ISNUMBER(CK290),c_min*(Uн_лин*1000/SQRT(3))/CK290,"")</f>
        <v/>
      </c>
      <c r="CM290" t="str">
        <f>IFERROR(IF(OR(D290="",NOT(ISNUMBER(BS290))),"",1.05*(Uн_лин*1000/SQRT(3))/(_xlfn.XLOOKUP(A290,Щиты[Щит],Щиты[Zmax на шинах, Ом])+CJ290)/1000),"")</f>
        <v/>
      </c>
      <c r="CN290" t="str">
        <f>IF(D290="","",IF(BA290&lt;&gt;"","Щит",IF(K290&lt;&gt;"",K290,IF(ISNUMBER(L290),"Сил",IF(IFERROR(_xlfn.XLOOKUP(AT290,Коды_код,Коды_группа)&amp;"","")="","Быт",_xlfn.XLOOKUP(AT290,Коды_код,Коды_группа)&amp;"")))))</f>
        <v>Быт</v>
      </c>
      <c r="CO290">
        <f>IF(CN290="Щит","щит",IF(CN290="","",IF(CN290="Быт",IFERROR(_xlfn.XLOOKUP(A290,Щиты[Щит],Щиты[Кс быт]),1),IF(CN290="Сил",IF(ISNUMBER(L290),L290,IF(Методика="нормы 2026",IFERROR(_xlfn.XLOOKUP(A290,Щиты[Щит],Щиты[Кс силовых (табл. 7.5)]),1),1)),IF(OR(CN290="Пост",CN290="Отоп"),1,IF(CN290="ВНГ",0.7,0))))))</f>
        <v>0.8</v>
      </c>
      <c r="CP290">
        <f t="shared" si="372"/>
        <v>1</v>
      </c>
      <c r="CQ290">
        <f t="shared" si="373"/>
        <v>0.24</v>
      </c>
      <c r="CR290">
        <f t="shared" si="374"/>
        <v>0.24</v>
      </c>
      <c r="CS290">
        <f t="shared" si="375"/>
        <v>0</v>
      </c>
      <c r="CT290">
        <f t="shared" si="376"/>
        <v>0</v>
      </c>
      <c r="CU290">
        <f t="shared" si="377"/>
        <v>0</v>
      </c>
      <c r="CV290">
        <f t="shared" si="378"/>
        <v>0</v>
      </c>
      <c r="CW290">
        <f t="shared" si="379"/>
        <v>0.24</v>
      </c>
      <c r="CX290">
        <f t="shared" si="380"/>
        <v>0.22799999999999998</v>
      </c>
      <c r="CY290">
        <f t="shared" si="381"/>
        <v>2</v>
      </c>
      <c r="CZ290" t="str">
        <f t="shared" si="382"/>
        <v>L2</v>
      </c>
      <c r="DA290" cm="1">
        <f t="array" ref="DA290">IFERROR(IF(BL290=2,_xlfn.IFS(BH290=3,VLOOKUP(BF290,Справочная_двигатели,3,FALSE),BH290=1,VLOOKUP(BF290,Справочная_двигатели,5,TRUE)),0),0)</f>
        <v>0</v>
      </c>
      <c r="DB290">
        <f>IFERROR(IF(BL290=3,VLOOKUP(BF290,Справочная_ЛЭД,2,TRUE),0),0)</f>
        <v>0</v>
      </c>
      <c r="DC290">
        <f t="shared" si="383"/>
        <v>0</v>
      </c>
      <c r="DD290" t="str">
        <f t="shared" si="384"/>
        <v>L2</v>
      </c>
      <c r="DE290" t="str" cm="1">
        <f t="array" ref="DE290">IF(D290="","",IFERROR(INDEX({"I особая","I","II","III"},MATCH(TRIM(AA290&amp;""),{"I особая","I","II","III"},0)),"III"))</f>
        <v>II</v>
      </c>
      <c r="DF290" t="str">
        <f>IF(D290="","",IF(TRIM(AB290&amp;"")&lt;&gt;"",IF(LOWER(TRIM(AB290&amp;""))="да","да","нет"),IF(IFERROR(_xlfn.XLOOKUP(AT290,Коды_код,Коды_пожарная),"")="да","да","нет")))</f>
        <v>нет</v>
      </c>
      <c r="DG290" t="str">
        <f t="shared" si="385"/>
        <v/>
      </c>
      <c r="DH290" t="str">
        <f t="shared" si="386"/>
        <v>основная</v>
      </c>
      <c r="DI290">
        <f t="shared" si="387"/>
        <v>1</v>
      </c>
      <c r="DJ290" t="str" cm="1">
        <f t="array" ref="DJ290">IF(D290="","",_xlfn.LET(_xlpm.t,IFERROR(_xlfn.XLOOKUP(1,(Шины[Шина]=DH290)*(((Шины[Щит]=A290)+(Шины[Щит]=""))&gt;0),Шины[Тип]),"")&amp;"",IF(_xlpm.t&lt;&gt;"",_xlpm.t,IF(ISNUMBER(SEARCH("ИБП",DH290)),"ИБП",IF(ISNUMBER(SEARCH("ДГУ",DH290)),"ДГУ","Ввод "&amp;DI290)))))</f>
        <v>Ввод 1</v>
      </c>
      <c r="DK290" t="str">
        <f t="shared" si="388"/>
        <v>Ввод 1</v>
      </c>
      <c r="DL290" t="str">
        <f>IF(D290="","",IF(OR(DJ290="ИБП",DJ290="ДГУ"),"I особая",IF(DJ290="Одиночная","III",_xlfn.XLOOKUP(A290,Щиты[Щит],Щиты[Категория шины «Ввод»],"III"))))</f>
        <v>II</v>
      </c>
      <c r="DM290">
        <f>IF(D290="",0,IFERROR(MATCH(DE290,{"III","II","I","I особая"},0),1))</f>
        <v>2</v>
      </c>
      <c r="DN290">
        <f t="shared" si="389"/>
        <v>2</v>
      </c>
      <c r="DO290" t="str">
        <f>IF(D290="","",IF(DM290&gt;IFERROR(MATCH(DL290,{"III","II","I","I особая"},0),1),"НЕ ОБЕСПЕЧЕНА","ОК"))</f>
        <v>ОК</v>
      </c>
      <c r="DP290" t="str">
        <f>IF(A290="","",_xlfn.XLOOKUP(A290,Щиты[Щит],Щиты[Путь],""))</f>
        <v>|ГРЩ-ЖД|ЩР-2|</v>
      </c>
      <c r="DQ290" t="str">
        <f>IF(D290="","",IF(Z290&lt;&gt;"",Z290,IF(IFERROR(_xlfn.XLOOKUP(AT290,Коды_код,Коды_вид)&amp;"","")="","Прочее",_xlfn.XLOOKUP(AT290,Коды_код,Коды_вид)&amp;"")))</f>
        <v>Розеточная сеть и бытовые приборы</v>
      </c>
      <c r="DR290">
        <f>IF(BD290="","",INT((BD290-1)/Столбцов_на_лист)+1)</f>
        <v>1</v>
      </c>
      <c r="DS290" t="str">
        <f t="shared" si="390"/>
        <v>ВВГнг(А)-LS (3х2,5) L=38-0,31%</v>
      </c>
      <c r="DT290">
        <f t="shared" si="391"/>
        <v>0.24</v>
      </c>
      <c r="DU290">
        <f t="shared" si="392"/>
        <v>1.1000000000000001</v>
      </c>
      <c r="DV290">
        <f t="shared" si="393"/>
        <v>1</v>
      </c>
      <c r="DW290">
        <f>IF(AT290="",0,_xlfn.LET(_xlpm.v,IFERROR(VLOOKUP(D290,УГО_спр,3,FALSE),IFERROR(VLOOKUP(AT290,УГО_спр,3,FALSE),IFERROR(VLOOKUP(LEFT(AT290,2),УГО_спр,3,FALSE),""))),IF(_xlpm.v="да",30,IF(ISNUMBER(_xlpm.v),_xlpm.v,0))))</f>
        <v>30</v>
      </c>
      <c r="DX290">
        <f t="shared" si="394"/>
        <v>0</v>
      </c>
      <c r="DY290">
        <f>IF(BD290="","",IF(AD290&lt;&gt;"",COUNTIFS(A$3:A290,A290,AD$3:AD290,"?*"),IF(OR(OR(AS290=1,A290&lt;&gt;A289),AL290="вручную"),"",IF(AS290=1,"",DZ289))))</f>
        <v>7</v>
      </c>
      <c r="DZ290">
        <f t="shared" si="395"/>
        <v>7</v>
      </c>
      <c r="EA290">
        <f>IF(D290="",0,MAX(IFERROR(--X290,0),IFERROR(--VLOOKUP(D290,УГО_спр,4,FALSE),IFERROR(--VLOOKUP(AT290,УГО_спр,4,FALSE),IFERROR(--VLOOKUP(LEFT(AT290,2),УГО_спр,4,FALSE),0)))))</f>
        <v>16</v>
      </c>
      <c r="EB290">
        <f>IF(D290="","",IFERROR(LOOKUP(INDEX(CHOOSE(BR290,Iдоп_1ж,Iдоп_2ж,Iдоп_3ж),MATCH(BS290,Iдоп_S,0))*BP290*BQ290,{6,10,16,20,25,32,40,50,63,80,100,125,160,200,250,315,400,500,630}),""))</f>
        <v>25</v>
      </c>
      <c r="EC290">
        <f>IF(AD290="","",SUMIFS(Линии[_Ток схемы],Линии[_гр.],DY290,Линии[Щит],A290,Линии[_в кабель выше],0))</f>
        <v>1.1000000000000001</v>
      </c>
      <c r="ED290">
        <f>IF(AD290="","",IFERROR(VLOOKUP(EC290,Автомат_номиналы,2,TRUE),""))</f>
        <v>6</v>
      </c>
      <c r="EE290">
        <f>IF(AD290="","",MAX(N(ED290),_xlfn.MAXIFS(Линии[_мин. по типу],Линии[_гр.],DY290,Линии[Щит],A290)))</f>
        <v>16</v>
      </c>
      <c r="EF290">
        <f>IF(AD290="","",_xlfn.MINIFS(Линии[_макс. автомат по кабелю],Линии[_гр.],DY290,Линии[Щит],A290))</f>
        <v>25</v>
      </c>
      <c r="EG290">
        <f>IF(AD290="","",MAX(1,_xlfn.MAXIFS(Линии[_фаз],Линии[_гр.],DY290,Линии[Щит],A290)))</f>
        <v>1</v>
      </c>
      <c r="EH290">
        <f>IF(AD290="","",IF(AND(AD290&lt;&gt;"авто",AD290&lt;&gt;"+"),IF(ISNUMBER(SEARCH("мА",AD290)),IFERROR(--TRIM(RIGHT(SUBSTITUTE(LEFT(AD290,SEARCH("мА",AD290)-1)," ",REPT(" ",9)),6)),30),0),IF(AE290="нет",0,IF(ISNUMBER(AE290),AE290,IF(AE290="да",30,_xlfn.MINIFS(Линии[_дифзащита по коду, мА],Линии[_гр.],DY290,Линии[Щит],A290,Линии[_дифзащита по коду, мА],"&gt;0"))))))</f>
        <v>30</v>
      </c>
      <c r="EI290">
        <f t="shared" si="396"/>
        <v>1</v>
      </c>
      <c r="EJ290" t="str">
        <f t="shared" si="397"/>
        <v>QFD7</v>
      </c>
      <c r="EK290" t="str">
        <f t="shared" si="398"/>
        <v>QFD7</v>
      </c>
      <c r="EL290" t="str">
        <f t="shared" si="399"/>
        <v/>
      </c>
      <c r="EM290">
        <f t="shared" si="400"/>
        <v>0</v>
      </c>
      <c r="EN290">
        <f>IF(AD290="","",IF(EM290=1,MAX(EE290,Мин_автомат_БП),EE290))</f>
        <v>16</v>
      </c>
      <c r="EO290" t="str">
        <f t="shared" si="401"/>
        <v>2P</v>
      </c>
      <c r="EP290" t="str">
        <f t="shared" si="402"/>
        <v>2P С16А 30мА</v>
      </c>
      <c r="EQ290">
        <f t="shared" si="403"/>
        <v>16</v>
      </c>
      <c r="ER290" t="str">
        <f>IF(OR(AI290="",AI290="-"),"",IFERROR(VLOOKUP(AI290,Модули_спр,2,FALSE),"R"))</f>
        <v/>
      </c>
      <c r="ES290" t="str">
        <f>IF(ER290="","",ER290&amp;"."&amp;COUNTIFS(A$3:A290,A290,ER$3:ER290,ER290))</f>
        <v/>
      </c>
      <c r="ET290" t="str">
        <f t="shared" si="404"/>
        <v/>
      </c>
      <c r="EU290" t="str">
        <f t="shared" si="405"/>
        <v/>
      </c>
      <c r="EV290" t="str">
        <f t="shared" si="406"/>
        <v/>
      </c>
      <c r="EW290" t="str">
        <f t="shared" si="407"/>
        <v/>
      </c>
      <c r="EX290">
        <f t="shared" si="408"/>
        <v>1</v>
      </c>
      <c r="EY290" t="str">
        <f>IF(AK290="нет","",IF(AK290&lt;&gt;"",AK290,IF(EX290=1,"XT"&amp;COUNTIFS(A$3:A290,A290,EX$3:EX290,1),"")))</f>
        <v>XT7</v>
      </c>
      <c r="EZ290" t="str">
        <f t="shared" si="409"/>
        <v>QFD7</v>
      </c>
      <c r="FA290" t="str">
        <f t="shared" si="410"/>
        <v/>
      </c>
      <c r="FB290" t="str">
        <f t="shared" si="411"/>
        <v>ok</v>
      </c>
      <c r="FC290" t="str">
        <f>IF(OR(EV290="",ET290=""),"",IF(EV290&gt;IFERROR(VLOOKUP(EU290,Модули_спр,3,FALSE),99),"ЛИШНИЙ КАНАЛ",IF(AND(AJ290&lt;&gt;"=",COUNTIFS(Линии[_модуль гр.],ET290,Линии[Канал (итог)],EV290,Линии[Канал],"&lt;&gt;=",Линии[Щит],A290)&gt;1),"ДУБЛЬ КАНАЛА","")))</f>
        <v/>
      </c>
      <c r="FD290">
        <f t="shared" si="412"/>
        <v>16</v>
      </c>
      <c r="FE290" t="str">
        <f t="shared" si="413"/>
        <v>2P С16А 30мА</v>
      </c>
      <c r="FF290">
        <f t="shared" si="414"/>
        <v>1</v>
      </c>
      <c r="FG290">
        <f t="shared" si="415"/>
        <v>30</v>
      </c>
      <c r="FH290" t="str">
        <f t="shared" si="416"/>
        <v/>
      </c>
      <c r="FI290">
        <f t="shared" si="417"/>
        <v>10</v>
      </c>
      <c r="FJ290" t="str">
        <f t="shared" si="418"/>
        <v/>
      </c>
      <c r="FK290" t="str">
        <f>IF(AND(D290="",EZ290=""),"",_xlfn.TEXTJOIN("; ",TRUE,IF(AND(D290&lt;&gt;"",DD290=""),"нет фазы",""),IF(AND(D290&lt;&gt;"",N(DT290)=0,CN290&lt;&gt;"Нет"),"нет мощности",""),IF(AND(EY290&lt;&gt;"",COUNTIFS(Линии[Щит],A290,Линии[Клемма (итог)],EY290)&gt;1),"дубль клеммы "&amp;EY290,""),IF(AND(FB290&lt;&gt;"",FB290&lt;&gt;"ok"),FB290,""),IF(FC290&lt;&gt;"",FC290,""),IF(AND(ISNUMBER(SEARCH("(5х",DS290)),N(DV290)=1),"5 жил на 1 фазе",""),IF(AND(AT290="R",AD290&lt;&gt;"",OR(N(EH290)=0,N(EH290)&gt;30)),"розетка без дифзащиты до 30 мА",""),IFERROR(IF(AND(ISNUMBER(CD290),CD290&gt;CE290),"потери "&amp;FIXED(CD290,1)&amp;" % &gt; "&amp;CE290&amp;" %",""),""),IFERROR(IF(LEFT(FJ290,4)="мало","Iкз мало — отключение &gt; 0,4 с",""),""),IF(AND(D290&lt;&gt;"",BD290=""),"не на схеме","")))</f>
        <v/>
      </c>
      <c r="FL290">
        <f>IF(AD290="","",_xlfn.LET(_xlpm.t,IFERROR(_xlfn.XLOOKUP(EP290,Каталог!$U$4:$U$500,Каталог!$G$4:$G$500),""),_xlpm.k,SEARCH("кА",_xlpm.t),IFERROR(--TRIM(RIGHT(SUBSTITUTE(MID(_xlpm.t,MAX(1,_xlpm.k-4),_xlpm.k-MAX(1,_xlpm.k-4))," ",REPT(" ",9)),5)),"")))</f>
        <v>6</v>
      </c>
      <c r="FM290" t="str">
        <f>IF(OR(FL290="",AD290=""),"",IF(_xlfn.XLOOKUP(A290,Щиты[Щит],Щиты[Iкз max на шинах, кА],"")="","",IF(FL290&lt;_xlfn.XLOOKUP(A290,Щиты[Щит],Щиты[Iкз max на шинах, кА]),"Icu "&amp;FL290&amp;" кА &lt; Iкз max","ok")))</f>
        <v/>
      </c>
      <c r="FN290" t="str">
        <f t="shared" si="419"/>
        <v>QFD7|XT7</v>
      </c>
      <c r="FO290" t="str">
        <f t="shared" si="420"/>
        <v>QFD7|XT7|кабель ВВГнг(А)-LS (3х2,5) → Розеточная группа Второй этаж Пом. №009А</v>
      </c>
      <c r="FP290" t="str" cm="1">
        <f t="array" ref="FP290">IF(FO290="","",_xlfn.LET(_xlpm.nd,_xlfn.TEXTSPLIT(FO290,"|"),IF(COLUMNS(_xlpm.nd)&gt;1,A290&amp;"¦"&amp;INDEX(_xlpm.nd,1)&amp;"¦"&amp;INDEX(_xlpm.nd,2),"")))</f>
        <v>ЩР-2¦QFD7¦XT7</v>
      </c>
      <c r="FQ290" t="str">
        <f t="shared" si="421"/>
        <v>R.2.009А.2¦Розеточная группа Второй этаж Пом. №009А</v>
      </c>
      <c r="FR290" t="str" cm="1">
        <f t="array" ref="FR290">IF(FO290="","",_xlfn.LET(_xlpm.nd,_xlfn.TEXTSPLIT(FO290,"|"),IF(COLUMNS(_xlpm.nd)&gt;2,A290&amp;"¦"&amp;INDEX(_xlpm.nd,2)&amp;"¦"&amp;INDEX(_xlpm.nd,3),"")))</f>
        <v>ЩР-2¦XT7¦кабель ВВГнг(А)-LS (3х2,5) → Розеточная группа Второй этаж Пом. №009А</v>
      </c>
      <c r="FS290" t="str">
        <f t="shared" si="422"/>
        <v>R.2.009А.2¦Розеточная группа Второй этаж Пом. №009А</v>
      </c>
      <c r="FT290" t="str" cm="1">
        <f t="array" ref="FT290">IF(FO290="","",_xlfn.LET(_xlpm.nd,_xlfn.TEXTSPLIT(FO290,"|"),IF(COLUMNS(_xlpm.nd)&gt;3,A290&amp;"¦"&amp;INDEX(_xlpm.nd,3)&amp;"¦"&amp;INDEX(_xlpm.nd,4),"")))</f>
        <v/>
      </c>
      <c r="FU290" t="str">
        <f t="shared" si="423"/>
        <v/>
      </c>
      <c r="FV290" t="str" cm="1">
        <f t="array" ref="FV290">IF(FO290="","",_xlfn.LET(_xlpm.nd,_xlfn.TEXTSPLIT(FO290,"|"),IF(COLUMNS(_xlpm.nd)&gt;4,A290&amp;"¦"&amp;INDEX(_xlpm.nd,4)&amp;"¦"&amp;INDEX(_xlpm.nd,5),"")))</f>
        <v/>
      </c>
      <c r="FW290" t="str">
        <f t="shared" si="424"/>
        <v/>
      </c>
      <c r="FX290" t="str" cm="1">
        <f t="array" ref="FX290">IF(FO290="","",_xlfn.LET(_xlpm.nd,_xlfn.TEXTSPLIT(FO290,"|"),IF(COLUMNS(_xlpm.nd)&gt;5,A290&amp;"¦"&amp;INDEX(_xlpm.nd,5)&amp;"¦"&amp;INDEX(_xlpm.nd,6),"")))</f>
        <v/>
      </c>
      <c r="FY290" t="str">
        <f t="shared" si="425"/>
        <v/>
      </c>
      <c r="FZ290" t="str" cm="1">
        <f t="array" ref="FZ290">IF(FO290="","",_xlfn.LET(_xlpm.nd,_xlfn.TEXTSPLIT(FO290,"|"),IF(COLUMNS(_xlpm.nd)&gt;6,A290&amp;"¦"&amp;INDEX(_xlpm.nd,6)&amp;"¦"&amp;INDEX(_xlpm.nd,7),"")))</f>
        <v/>
      </c>
      <c r="GA290" t="str">
        <f t="shared" si="426"/>
        <v/>
      </c>
      <c r="GB290" t="str">
        <f t="shared" si="427"/>
        <v/>
      </c>
      <c r="GC290" t="str">
        <f t="shared" si="428"/>
        <v>QFD7 → XT7</v>
      </c>
      <c r="GD290">
        <f t="shared" si="429"/>
        <v>1</v>
      </c>
      <c r="GE290">
        <f t="shared" si="430"/>
        <v>0</v>
      </c>
      <c r="GF290">
        <f t="shared" si="431"/>
        <v>1</v>
      </c>
      <c r="GG290" t="str">
        <f t="shared" si="432"/>
        <v/>
      </c>
      <c r="GH290" t="str">
        <f t="shared" si="433"/>
        <v/>
      </c>
      <c r="GI290" t="str">
        <f t="shared" si="434"/>
        <v/>
      </c>
      <c r="GJ290" t="str">
        <f t="shared" si="435"/>
        <v/>
      </c>
      <c r="GK290" t="str">
        <f>IF(D290="","",IFERROR(VLOOKUP(D290,УГО_спр,2,FALSE),IFERROR(VLOOKUP(AT290,УГО_спр,2,FALSE),IFERROR(VLOOKUP(LEFT(AT290,2),УГО_спр,2,FALSE),""))))</f>
        <v>Розетка</v>
      </c>
      <c r="GL290" t="str">
        <f>IF(D290="","",IF(OR(GK290="",GK290=0),"BOX",IFERROR(IF(VLOOKUP(GK290,УГО_блоки,3,FALSE)&amp;""&lt;&gt;"",VLOOKUP(GK290,УГО_блоки,3,FALSE),VLOOKUP(GK290,УГО_блоки,2,FALSE)),GK290)))</f>
        <v>SOCKET</v>
      </c>
      <c r="GM290">
        <f t="shared" si="436"/>
        <v>1</v>
      </c>
      <c r="GN290" t="str">
        <f>IF(EP290="","",IF(COUNTIF(EP$3:EP290,EP290)=1,MAX(GN$2:GN289)+1,""))</f>
        <v/>
      </c>
      <c r="GO290" t="str">
        <f>IF(AF290="","",IF(COUNTIF(AF$3:AF290,AF290)+COUNTIF(AG$2:AG289,AF290)+COUNTIF(AH$2:AH289,AF290)=1,MAX(GO$2:GQ289)+1,""))</f>
        <v/>
      </c>
      <c r="GP290" t="str">
        <f>IF(AG290="","",IF(COUNTIF(AF$3:AF290,AG290)+COUNTIF(AG$3:AG290,AG290)+COUNTIF(AH$2:AH289,AG290)=1,MAX(GO$2:GQ289,GO290)+1,""))</f>
        <v/>
      </c>
      <c r="GQ290" t="str">
        <f>IF(AH290="","",IF(COUNTIF(AF$3:AF290,AH290)+COUNTIF(AG$3:AG290,AH290)+COUNTIF(AH$3:AH290,AH290)=1,MAX(GO$2:GQ289,GO290,GP290)+1,""))</f>
        <v/>
      </c>
      <c r="GR290" t="str">
        <f t="shared" si="437"/>
        <v>3х2,5</v>
      </c>
      <c r="GS290" t="str">
        <f>IF(GR290="","",IF(COUNTIF(GR$3:GR290,GR290)=1,MAX(GS$2:GS289)+1,""))</f>
        <v/>
      </c>
      <c r="GT290" t="str">
        <f>IF(ES290="","",COUNTIF(ES$3:ES290,"?*"))</f>
        <v/>
      </c>
      <c r="GU290" t="str">
        <f>IF(OR(ES290="",EU290=""),"",IF(COUNTIFS(ES$3:ES290,"?*",EU$3:EU290,EU290)=1,MAX(GU$2:GU289)+1,""))</f>
        <v/>
      </c>
      <c r="GV290">
        <f t="shared" si="438"/>
        <v>0</v>
      </c>
      <c r="GW290">
        <f>IF(D290="","",COUNTIF(D$3:D290,"?*"))</f>
        <v>288</v>
      </c>
      <c r="GX290">
        <f>IF(EX290&lt;&gt;1,0,_xlfn.LET(_xlpm.k,MAX(IFERROR(--VLOOKUP(D290,УГО_спр,5,FALSE),0),IFERROR(--VLOOKUP(AT290,УГО_спр,5,FALSE),0),IFERROR(--VLOOKUP(LEFT(AT290,2),УГО_спр,5,FALSE),0)),IF(_xlpm.k&gt;0,_xlpm.k,IF(IFERROR(--LEFT(SUBSTITUTE(GR290,"x","х"),FIND("х",SUBSTITUTE(GR290,"x","х"))-1),3)&gt;3,Каталог!$S$9,1))))</f>
        <v>1</v>
      </c>
      <c r="GY290">
        <f t="shared" si="439"/>
        <v>0</v>
      </c>
    </row>
    <row r="291" spans="1:207" x14ac:dyDescent="0.3">
      <c r="A291" t="s">
        <v>764</v>
      </c>
      <c r="B291">
        <v>16</v>
      </c>
      <c r="C291" t="str">
        <f>IF(BD291="","",IF(BE291="вводной узел","узел ","")&amp;"л."&amp;(INT((BD291-1)/Столбцов_на_лист)+1)&amp;" / "&amp;(MOD(BD291-1,Столбцов_на_лист)+1))</f>
        <v>л.1 / 16</v>
      </c>
      <c r="D291" t="s">
        <v>1624</v>
      </c>
      <c r="E291" s="133" t="str">
        <f t="shared" si="352"/>
        <v>Розеточная группа Второй этаж Пом. №010А</v>
      </c>
      <c r="G291">
        <v>0.06</v>
      </c>
      <c r="H291">
        <v>1</v>
      </c>
      <c r="I291">
        <v>1</v>
      </c>
      <c r="J291">
        <v>230</v>
      </c>
      <c r="K291" t="s">
        <v>566</v>
      </c>
      <c r="O291">
        <v>2</v>
      </c>
      <c r="P291">
        <v>32</v>
      </c>
      <c r="Q291">
        <v>12</v>
      </c>
      <c r="R291">
        <v>17</v>
      </c>
      <c r="S291">
        <v>0</v>
      </c>
      <c r="T291">
        <v>2</v>
      </c>
      <c r="U291" t="s">
        <v>11</v>
      </c>
      <c r="V291">
        <v>3</v>
      </c>
      <c r="W291">
        <v>2.5</v>
      </c>
      <c r="X291">
        <v>16</v>
      </c>
      <c r="Z291" t="s">
        <v>565</v>
      </c>
      <c r="AA291" t="s">
        <v>818</v>
      </c>
      <c r="AD291" t="s">
        <v>517</v>
      </c>
      <c r="AR291" t="str">
        <f t="shared" si="353"/>
        <v/>
      </c>
      <c r="AS291" cm="1">
        <f t="array" ref="AS291">ROW()-ROW(Линии[#Headers])</f>
        <v>289</v>
      </c>
      <c r="AT291" t="str">
        <f t="shared" si="354"/>
        <v>R</v>
      </c>
      <c r="AU291" t="str">
        <f t="shared" si="355"/>
        <v>2.010А.1</v>
      </c>
      <c r="AV291" t="str">
        <f t="shared" si="356"/>
        <v>2</v>
      </c>
      <c r="AW291" t="str">
        <f t="shared" si="357"/>
        <v>010А.1</v>
      </c>
      <c r="AX291" t="str">
        <f t="shared" si="358"/>
        <v>010А</v>
      </c>
      <c r="AY291" t="str">
        <f>IF(D291="","",IF(ISERROR(SEARCH(".",D291)),IFERROR(VLOOKUP(D291,Потребители_обозначение,2,FALSE)&amp;"",""),IFERROR(IF(VLOOKUP(AT291,Потребители_обозначение,4,FALSE)=1,VLOOKUP(AT291,Потребители_обозначение,2,FALSE)&amp;" "&amp;VLOOKUP(AV291,Этаж_обозначение,2,FALSE)&amp;" Пом. №"&amp;AX291,VLOOKUP(AT291,Потребители_обозначение,2,FALSE)&amp;" Шлейф №"&amp;AV291),IFERROR(VLOOKUP(D291,Потребители_обозначение,2,FALSE),""))))</f>
        <v>Розеточная группа Второй этаж Пом. №010А</v>
      </c>
      <c r="AZ291" t="str">
        <f t="shared" si="359"/>
        <v>Розеточная группа Второй этаж Пом. №010А</v>
      </c>
      <c r="BA291" t="str">
        <f>IF(F291&lt;&gt;"",F291,IF(AND(D291&lt;&gt;"",D291&lt;&gt;A291,ISNUMBER(_xlfn.XMATCH(D291,Щиты[Щит]))),D291,""))</f>
        <v/>
      </c>
      <c r="BB291">
        <f>IFERROR(_xlfn.XMATCH(A291,Щиты[Щит]),0)</f>
        <v>11</v>
      </c>
      <c r="BC291">
        <f>IFERROR(N(_xlfn.XLOOKUP(A291,Щиты[Щит],Щиты[Мест под вводной узел])),15)</f>
        <v>8</v>
      </c>
      <c r="BD291">
        <f t="shared" si="360"/>
        <v>16</v>
      </c>
      <c r="BE291" t="str">
        <f t="shared" si="361"/>
        <v>линии</v>
      </c>
      <c r="BF291">
        <f>IF(D291="","",IF(BA291&lt;&gt;"",IFERROR(_xlfn.XLOOKUP(BA291,Щиты[Щит],Щиты[Руст, кВт]),0),N(G291)))</f>
        <v>0.06</v>
      </c>
      <c r="BG291">
        <f>IF(J291&lt;&gt;"",J291,IF(D291="","",IFERROR(IF(VLOOKUP(AT291,Потребители_обозначение,8,FALSE)=0,"",VLOOKUP(AT291,Потребители_обозначение,8,FALSE)),"")))</f>
        <v>230</v>
      </c>
      <c r="BH291">
        <f>IF(I291&lt;&gt;"",I291,IF(D291="","",IFERROR(IF(VLOOKUP(AT291,Потребители_обозначение,9,FALSE)=0,"",VLOOKUP(AT291,Потребители_обозначение,9,FALSE)),"")))</f>
        <v>1</v>
      </c>
      <c r="BI291" t="str">
        <f>IF(U291&lt;&gt;"",U291,IF(D291="","",IFERROR(IF(VLOOKUP(AT291,Потребители_обозначение,6,FALSE)=0,"",VLOOKUP(AT291,Потребители_обозначение,6,FALSE)),"")))</f>
        <v>мс</v>
      </c>
      <c r="BJ291">
        <f>IF(V291&lt;&gt;"",V291,IF(D291="","",IFERROR(IF(VLOOKUP(AT291,Потребители_обозначение,7,FALSE)=0,"",VLOOKUP(AT291,Потребители_обозначение,7,FALSE)),"")))</f>
        <v>3</v>
      </c>
      <c r="BK291">
        <f>IF(W291&lt;&gt;"",W291,IF(D291="","",IFERROR(IF(VLOOKUP(AT291,Потребители_обозначение,10,FALSE)=0,"",VLOOKUP(AT291,Потребители_обозначение,10,FALSE)),"")))</f>
        <v>2.5</v>
      </c>
      <c r="BL291">
        <f>IFERROR(VLOOKUP(AT291,Потребители_обозначение,5,FALSE),0)</f>
        <v>1</v>
      </c>
      <c r="BM291" cm="1">
        <f t="array" ref="BM291">IF(D291="","",IF(BA291&lt;&gt;"",IFERROR(_xlfn.XLOOKUP(BA291,Щиты[Щит],Щиты[cos φ]),0.95),IF(ISNUMBER(M291),M291,IFERROR(IF(BL291=2,_xlfn.IFS(BH291=3,VLOOKUP(BF291,Справочная_двигатели,8,FALSE),BH291=1,VLOOKUP(BF291,Справочная_двигатели,10,TRUE)),IF(AND(Методика="нормы 2026",CN291="Сил"),0.8,0.95)),0.95))))</f>
        <v>0.95</v>
      </c>
      <c r="BN291" cm="1">
        <f t="array" ref="BN291">IF(D291="","",IF(BA291&lt;&gt;"",IFERROR(_xlfn.XLOOKUP(BA291,Щиты[Щит],Щиты[Iр, А]),""),IFERROR(_xlfn.IFS(BH291=1,BF291/((Uн_лин/SQRT(3))*BM291),BH291=3,BF291/(SQRT(3)*Uн_лин*BM291)),"")))</f>
        <v>0.27348170645824377</v>
      </c>
      <c r="BO291">
        <f>IF(D291="","",IF(N(X291)=0,IFERROR(VLOOKUP(BN291,Автомат_номиналы,2,TRUE),""),X291))</f>
        <v>16</v>
      </c>
      <c r="BP291">
        <f t="shared" si="362"/>
        <v>1</v>
      </c>
      <c r="BQ291">
        <f>IF(ISNUMBER(Y291),Y291,К_прокл)</f>
        <v>1</v>
      </c>
      <c r="BR291">
        <f t="shared" si="363"/>
        <v>2</v>
      </c>
      <c r="BS291" cm="1">
        <f t="array" ref="BS291">IF(D291="","",IF(N(BK291)&lt;&gt;0,BK291,IFERROR(_xlfn.LET(_xlpm.need,BO291/(BP291*BQ291),_xlpm.t,CHOOSE(BR291,Iдоп_1ж,Iдоп_2ж,Iдоп_3ж),_xlpm.k,_xlfn.XMATCH(_xlpm.need,_xlpm.t,1),IF(ISNA(_xlpm.k),"Не исп",INDEX(Iдоп_S,_xlpm.k))),"Не исп")))</f>
        <v>2.5</v>
      </c>
      <c r="BT291">
        <f>IFERROR(VLOOKUP(BS291,Кабель_сопротивление,3,FALSE),"")</f>
        <v>2.2499999999999999E-2</v>
      </c>
      <c r="BU291">
        <f>IFERROR(VLOOKUP(BS291,Кабель_сопротивление,2,FALSE),"")</f>
        <v>0.1</v>
      </c>
      <c r="BV291">
        <f t="shared" si="364"/>
        <v>32</v>
      </c>
      <c r="BW291">
        <f>IF(D291="","",IFERROR(IF(VLOOKUP(AT291,Потребители_обозначение,4,FALSE)=1,VLOOKUP(AT291,Потребители_обозначение,3,FALSE)*(H291*2-1)+BV291+VLOOKUP(AV291,Этаж_обозначение,3,FALSE)+VLOOKUP(AV291,Этаж_обозначение,4,FALSE),VLOOKUP(AT291,Потребители_обозначение,3,FALSE)*(H291*2-1)+BV291),BV291))</f>
        <v>35</v>
      </c>
      <c r="BX291">
        <f t="shared" si="365"/>
        <v>17</v>
      </c>
      <c r="BY291">
        <f t="shared" si="366"/>
        <v>0</v>
      </c>
      <c r="BZ291">
        <f t="shared" si="367"/>
        <v>2</v>
      </c>
      <c r="CA291">
        <f t="shared" si="368"/>
        <v>0.31</v>
      </c>
      <c r="CB291">
        <f t="shared" si="369"/>
        <v>0.16427225661827327</v>
      </c>
      <c r="CC291">
        <f>IFERROR(ROUNDUP(CB291/((Uн_лин/SQRT(3))*1000)*100,2),"")</f>
        <v>0.08</v>
      </c>
      <c r="CD291">
        <f>IF(ISNUMBER(CC291),CC291+IFERROR(_xlfn.XLOOKUP(A291,Щиты[Щит],Щиты[ΔU до шин, %]),0),"")</f>
        <v>1.87</v>
      </c>
      <c r="CE291">
        <f>IF(D291="","",IF(IFERROR(VLOOKUP(AT291,УГО_спр,2,FALSE),"")="Светильник",3,4)+IF(Методика="нормы 2026",MIN(0.5,MAX(0,N(BW291)-100)*0.005),0))</f>
        <v>4</v>
      </c>
      <c r="CF291" t="str">
        <f>IFERROR(VLOOKUP(BI291,Кабель_обозначение,2,FALSE),"")</f>
        <v>ВВГнг(А)-LS</v>
      </c>
      <c r="CG291" t="str">
        <f>IFERROR(IF(VLOOKUP(BI291,Кабель_обозначение,3,FALSE)=1,CF291&amp;" ("&amp;BJ291&amp;"х"&amp;BS291&amp;")",CF291),"")</f>
        <v>ВВГнг(А)-LS (3х2,5)</v>
      </c>
      <c r="CH291" t="str">
        <f t="shared" si="370"/>
        <v>ВВГнг(А)-LS (3х2,5)
L=35-0,08%</v>
      </c>
      <c r="CI291">
        <f>IFERROR(2*ρкз_Cu*BW291/BS291,"")</f>
        <v>0.73639999999999994</v>
      </c>
      <c r="CJ291">
        <f t="shared" si="371"/>
        <v>0.24500000000000002</v>
      </c>
      <c r="CK291" t="str">
        <f>IFERROR(IF(OR(D291="",NOT(ISNUMBER(BS291)),N(BW291)=0),"",_xlfn.XLOOKUP(A291,Щиты[Щит],Щиты[Zпетли на шинах, Ом])+CI291),"")</f>
        <v/>
      </c>
      <c r="CL291" t="str">
        <f>IF(ISNUMBER(CK291),c_min*(Uн_лин*1000/SQRT(3))/CK291,"")</f>
        <v/>
      </c>
      <c r="CM291" t="str">
        <f>IFERROR(IF(OR(D291="",NOT(ISNUMBER(BS291))),"",1.05*(Uн_лин*1000/SQRT(3))/(_xlfn.XLOOKUP(A291,Щиты[Щит],Щиты[Zmax на шинах, Ом])+CJ291)/1000),"")</f>
        <v/>
      </c>
      <c r="CN291" t="str">
        <f>IF(D291="","",IF(BA291&lt;&gt;"","Щит",IF(K291&lt;&gt;"",K291,IF(ISNUMBER(L291),"Сил",IF(IFERROR(_xlfn.XLOOKUP(AT291,Коды_код,Коды_группа)&amp;"","")="","Быт",_xlfn.XLOOKUP(AT291,Коды_код,Коды_группа)&amp;"")))))</f>
        <v>Быт</v>
      </c>
      <c r="CO291">
        <f>IF(CN291="Щит","щит",IF(CN291="","",IF(CN291="Быт",IFERROR(_xlfn.XLOOKUP(A291,Щиты[Щит],Щиты[Кс быт]),1),IF(CN291="Сил",IF(ISNUMBER(L291),L291,IF(Методика="нормы 2026",IFERROR(_xlfn.XLOOKUP(A291,Щиты[Щит],Щиты[Кс силовых (табл. 7.5)]),1),1)),IF(OR(CN291="Пост",CN291="Отоп"),1,IF(CN291="ВНГ",0.7,0))))))</f>
        <v>0.8</v>
      </c>
      <c r="CP291">
        <f t="shared" si="372"/>
        <v>1</v>
      </c>
      <c r="CQ291">
        <f t="shared" si="373"/>
        <v>0.06</v>
      </c>
      <c r="CR291">
        <f t="shared" si="374"/>
        <v>0.06</v>
      </c>
      <c r="CS291">
        <f t="shared" si="375"/>
        <v>0</v>
      </c>
      <c r="CT291">
        <f t="shared" si="376"/>
        <v>0</v>
      </c>
      <c r="CU291">
        <f t="shared" si="377"/>
        <v>0</v>
      </c>
      <c r="CV291">
        <f t="shared" si="378"/>
        <v>0</v>
      </c>
      <c r="CW291">
        <f t="shared" si="379"/>
        <v>0.06</v>
      </c>
      <c r="CX291">
        <f t="shared" si="380"/>
        <v>5.6999999999999995E-2</v>
      </c>
      <c r="CY291">
        <f t="shared" si="381"/>
        <v>3</v>
      </c>
      <c r="CZ291" t="str">
        <f t="shared" si="382"/>
        <v>L3</v>
      </c>
      <c r="DA291" cm="1">
        <f t="array" ref="DA291">IFERROR(IF(BL291=2,_xlfn.IFS(BH291=3,VLOOKUP(BF291,Справочная_двигатели,3,FALSE),BH291=1,VLOOKUP(BF291,Справочная_двигатели,5,TRUE)),0),0)</f>
        <v>0</v>
      </c>
      <c r="DB291">
        <f>IFERROR(IF(BL291=3,VLOOKUP(BF291,Справочная_ЛЭД,2,TRUE),0),0)</f>
        <v>0</v>
      </c>
      <c r="DC291">
        <f t="shared" si="383"/>
        <v>0</v>
      </c>
      <c r="DD291" t="str">
        <f t="shared" si="384"/>
        <v>L2</v>
      </c>
      <c r="DE291" t="str" cm="1">
        <f t="array" ref="DE291">IF(D291="","",IFERROR(INDEX({"I особая","I","II","III"},MATCH(TRIM(AA291&amp;""),{"I особая","I","II","III"},0)),"III"))</f>
        <v>II</v>
      </c>
      <c r="DF291" t="str">
        <f>IF(D291="","",IF(TRIM(AB291&amp;"")&lt;&gt;"",IF(LOWER(TRIM(AB291&amp;""))="да","да","нет"),IF(IFERROR(_xlfn.XLOOKUP(AT291,Коды_код,Коды_пожарная),"")="да","да","нет")))</f>
        <v>нет</v>
      </c>
      <c r="DG291" t="str">
        <f t="shared" si="385"/>
        <v/>
      </c>
      <c r="DH291" t="str">
        <f t="shared" si="386"/>
        <v>основная</v>
      </c>
      <c r="DI291">
        <f t="shared" si="387"/>
        <v>1</v>
      </c>
      <c r="DJ291" t="str" cm="1">
        <f t="array" ref="DJ291">IF(D291="","",_xlfn.LET(_xlpm.t,IFERROR(_xlfn.XLOOKUP(1,(Шины[Шина]=DH291)*(((Шины[Щит]=A291)+(Шины[Щит]=""))&gt;0),Шины[Тип]),"")&amp;"",IF(_xlpm.t&lt;&gt;"",_xlpm.t,IF(ISNUMBER(SEARCH("ИБП",DH291)),"ИБП",IF(ISNUMBER(SEARCH("ДГУ",DH291)),"ДГУ","Ввод "&amp;DI291)))))</f>
        <v>Ввод 1</v>
      </c>
      <c r="DK291" t="str">
        <f t="shared" si="388"/>
        <v>Ввод 1</v>
      </c>
      <c r="DL291" t="str">
        <f>IF(D291="","",IF(OR(DJ291="ИБП",DJ291="ДГУ"),"I особая",IF(DJ291="Одиночная","III",_xlfn.XLOOKUP(A291,Щиты[Щит],Щиты[Категория шины «Ввод»],"III"))))</f>
        <v>II</v>
      </c>
      <c r="DM291">
        <f>IF(D291="",0,IFERROR(MATCH(DE291,{"III","II","I","I особая"},0),1))</f>
        <v>2</v>
      </c>
      <c r="DN291">
        <f t="shared" si="389"/>
        <v>2</v>
      </c>
      <c r="DO291" t="str">
        <f>IF(D291="","",IF(DM291&gt;IFERROR(MATCH(DL291,{"III","II","I","I особая"},0),1),"НЕ ОБЕСПЕЧЕНА","ОК"))</f>
        <v>ОК</v>
      </c>
      <c r="DP291" t="str">
        <f>IF(A291="","",_xlfn.XLOOKUP(A291,Щиты[Щит],Щиты[Путь],""))</f>
        <v>|ГРЩ-ЖД|ЩР-2|</v>
      </c>
      <c r="DQ291" t="str">
        <f>IF(D291="","",IF(Z291&lt;&gt;"",Z291,IF(IFERROR(_xlfn.XLOOKUP(AT291,Коды_код,Коды_вид)&amp;"","")="","Прочее",_xlfn.XLOOKUP(AT291,Коды_код,Коды_вид)&amp;"")))</f>
        <v>Розеточная сеть и бытовые приборы</v>
      </c>
      <c r="DR291">
        <f>IF(BD291="","",INT((BD291-1)/Столбцов_на_лист)+1)</f>
        <v>1</v>
      </c>
      <c r="DS291" t="str">
        <f t="shared" si="390"/>
        <v>ВВГнг(А)-LS (3х2,5) L=35-0,08%</v>
      </c>
      <c r="DT291">
        <f t="shared" si="391"/>
        <v>0.06</v>
      </c>
      <c r="DU291">
        <f t="shared" si="392"/>
        <v>0.28000000000000003</v>
      </c>
      <c r="DV291">
        <f t="shared" si="393"/>
        <v>1</v>
      </c>
      <c r="DW291">
        <f>IF(AT291="",0,_xlfn.LET(_xlpm.v,IFERROR(VLOOKUP(D291,УГО_спр,3,FALSE),IFERROR(VLOOKUP(AT291,УГО_спр,3,FALSE),IFERROR(VLOOKUP(LEFT(AT291,2),УГО_спр,3,FALSE),""))),IF(_xlpm.v="да",30,IF(ISNUMBER(_xlpm.v),_xlpm.v,0))))</f>
        <v>30</v>
      </c>
      <c r="DX291">
        <f t="shared" si="394"/>
        <v>0</v>
      </c>
      <c r="DY291">
        <f>IF(BD291="","",IF(AD291&lt;&gt;"",COUNTIFS(A$3:A291,A291,AD$3:AD291,"?*"),IF(OR(OR(AS291=1,A291&lt;&gt;A290),AL291="вручную"),"",IF(AS291=1,"",DZ290))))</f>
        <v>8</v>
      </c>
      <c r="DZ291">
        <f t="shared" si="395"/>
        <v>8</v>
      </c>
      <c r="EA291">
        <f>IF(D291="",0,MAX(IFERROR(--X291,0),IFERROR(--VLOOKUP(D291,УГО_спр,4,FALSE),IFERROR(--VLOOKUP(AT291,УГО_спр,4,FALSE),IFERROR(--VLOOKUP(LEFT(AT291,2),УГО_спр,4,FALSE),0)))))</f>
        <v>16</v>
      </c>
      <c r="EB291">
        <f>IF(D291="","",IFERROR(LOOKUP(INDEX(CHOOSE(BR291,Iдоп_1ж,Iдоп_2ж,Iдоп_3ж),MATCH(BS291,Iдоп_S,0))*BP291*BQ291,{6,10,16,20,25,32,40,50,63,80,100,125,160,200,250,315,400,500,630}),""))</f>
        <v>25</v>
      </c>
      <c r="EC291">
        <f>IF(AD291="","",SUMIFS(Линии[_Ток схемы],Линии[_гр.],DY291,Линии[Щит],A291,Линии[_в кабель выше],0))</f>
        <v>0.28000000000000003</v>
      </c>
      <c r="ED291">
        <f>IF(AD291="","",IFERROR(VLOOKUP(EC291,Автомат_номиналы,2,TRUE),""))</f>
        <v>6</v>
      </c>
      <c r="EE291">
        <f>IF(AD291="","",MAX(N(ED291),_xlfn.MAXIFS(Линии[_мин. по типу],Линии[_гр.],DY291,Линии[Щит],A291)))</f>
        <v>16</v>
      </c>
      <c r="EF291">
        <f>IF(AD291="","",_xlfn.MINIFS(Линии[_макс. автомат по кабелю],Линии[_гр.],DY291,Линии[Щит],A291))</f>
        <v>25</v>
      </c>
      <c r="EG291">
        <f>IF(AD291="","",MAX(1,_xlfn.MAXIFS(Линии[_фаз],Линии[_гр.],DY291,Линии[Щит],A291)))</f>
        <v>1</v>
      </c>
      <c r="EH291">
        <f>IF(AD291="","",IF(AND(AD291&lt;&gt;"авто",AD291&lt;&gt;"+"),IF(ISNUMBER(SEARCH("мА",AD291)),IFERROR(--TRIM(RIGHT(SUBSTITUTE(LEFT(AD291,SEARCH("мА",AD291)-1)," ",REPT(" ",9)),6)),30),0),IF(AE291="нет",0,IF(ISNUMBER(AE291),AE291,IF(AE291="да",30,_xlfn.MINIFS(Линии[_дифзащита по коду, мА],Линии[_гр.],DY291,Линии[Щит],A291,Линии[_дифзащита по коду, мА],"&gt;0"))))))</f>
        <v>30</v>
      </c>
      <c r="EI291">
        <f t="shared" si="396"/>
        <v>1</v>
      </c>
      <c r="EJ291" t="str">
        <f t="shared" si="397"/>
        <v>QFD8</v>
      </c>
      <c r="EK291" t="str">
        <f t="shared" si="398"/>
        <v>QFD8</v>
      </c>
      <c r="EL291" t="str">
        <f t="shared" si="399"/>
        <v/>
      </c>
      <c r="EM291">
        <f t="shared" si="400"/>
        <v>0</v>
      </c>
      <c r="EN291">
        <f>IF(AD291="","",IF(EM291=1,MAX(EE291,Мин_автомат_БП),EE291))</f>
        <v>16</v>
      </c>
      <c r="EO291" t="str">
        <f t="shared" si="401"/>
        <v>2P</v>
      </c>
      <c r="EP291" t="str">
        <f t="shared" si="402"/>
        <v>2P С16А 30мА</v>
      </c>
      <c r="EQ291">
        <f t="shared" si="403"/>
        <v>16</v>
      </c>
      <c r="ER291" t="str">
        <f>IF(OR(AI291="",AI291="-"),"",IFERROR(VLOOKUP(AI291,Модули_спр,2,FALSE),"R"))</f>
        <v/>
      </c>
      <c r="ES291" t="str">
        <f>IF(ER291="","",ER291&amp;"."&amp;COUNTIFS(A$3:A291,A291,ER$3:ER291,ER291))</f>
        <v/>
      </c>
      <c r="ET291" t="str">
        <f t="shared" si="404"/>
        <v/>
      </c>
      <c r="EU291" t="str">
        <f t="shared" si="405"/>
        <v/>
      </c>
      <c r="EV291" t="str">
        <f t="shared" si="406"/>
        <v/>
      </c>
      <c r="EW291" t="str">
        <f t="shared" si="407"/>
        <v/>
      </c>
      <c r="EX291">
        <f t="shared" si="408"/>
        <v>1</v>
      </c>
      <c r="EY291" t="str">
        <f>IF(AK291="нет","",IF(AK291&lt;&gt;"",AK291,IF(EX291=1,"XT"&amp;COUNTIFS(A$3:A291,A291,EX$3:EX291,1),"")))</f>
        <v>XT8</v>
      </c>
      <c r="EZ291" t="str">
        <f t="shared" si="409"/>
        <v>QFD8</v>
      </c>
      <c r="FA291" t="str">
        <f t="shared" si="410"/>
        <v/>
      </c>
      <c r="FB291" t="str">
        <f t="shared" si="411"/>
        <v>ok</v>
      </c>
      <c r="FC291" t="str">
        <f>IF(OR(EV291="",ET291=""),"",IF(EV291&gt;IFERROR(VLOOKUP(EU291,Модули_спр,3,FALSE),99),"ЛИШНИЙ КАНАЛ",IF(AND(AJ291&lt;&gt;"=",COUNTIFS(Линии[_модуль гр.],ET291,Линии[Канал (итог)],EV291,Линии[Канал],"&lt;&gt;=",Линии[Щит],A291)&gt;1),"ДУБЛЬ КАНАЛА","")))</f>
        <v/>
      </c>
      <c r="FD291">
        <f t="shared" si="412"/>
        <v>16</v>
      </c>
      <c r="FE291" t="str">
        <f t="shared" si="413"/>
        <v>2P С16А 30мА</v>
      </c>
      <c r="FF291">
        <f t="shared" si="414"/>
        <v>1</v>
      </c>
      <c r="FG291">
        <f t="shared" si="415"/>
        <v>30</v>
      </c>
      <c r="FH291" t="str">
        <f t="shared" si="416"/>
        <v/>
      </c>
      <c r="FI291">
        <f t="shared" si="417"/>
        <v>10</v>
      </c>
      <c r="FJ291" t="str">
        <f t="shared" si="418"/>
        <v/>
      </c>
      <c r="FK291" t="str">
        <f>IF(AND(D291="",EZ291=""),"",_xlfn.TEXTJOIN("; ",TRUE,IF(AND(D291&lt;&gt;"",DD291=""),"нет фазы",""),IF(AND(D291&lt;&gt;"",N(DT291)=0,CN291&lt;&gt;"Нет"),"нет мощности",""),IF(AND(EY291&lt;&gt;"",COUNTIFS(Линии[Щит],A291,Линии[Клемма (итог)],EY291)&gt;1),"дубль клеммы "&amp;EY291,""),IF(AND(FB291&lt;&gt;"",FB291&lt;&gt;"ok"),FB291,""),IF(FC291&lt;&gt;"",FC291,""),IF(AND(ISNUMBER(SEARCH("(5х",DS291)),N(DV291)=1),"5 жил на 1 фазе",""),IF(AND(AT291="R",AD291&lt;&gt;"",OR(N(EH291)=0,N(EH291)&gt;30)),"розетка без дифзащиты до 30 мА",""),IFERROR(IF(AND(ISNUMBER(CD291),CD291&gt;CE291),"потери "&amp;FIXED(CD291,1)&amp;" % &gt; "&amp;CE291&amp;" %",""),""),IFERROR(IF(LEFT(FJ291,4)="мало","Iкз мало — отключение &gt; 0,4 с",""),""),IF(AND(D291&lt;&gt;"",BD291=""),"не на схеме","")))</f>
        <v/>
      </c>
      <c r="FL291">
        <f>IF(AD291="","",_xlfn.LET(_xlpm.t,IFERROR(_xlfn.XLOOKUP(EP291,Каталог!$U$4:$U$500,Каталог!$G$4:$G$500),""),_xlpm.k,SEARCH("кА",_xlpm.t),IFERROR(--TRIM(RIGHT(SUBSTITUTE(MID(_xlpm.t,MAX(1,_xlpm.k-4),_xlpm.k-MAX(1,_xlpm.k-4))," ",REPT(" ",9)),5)),"")))</f>
        <v>6</v>
      </c>
      <c r="FM291" t="str">
        <f>IF(OR(FL291="",AD291=""),"",IF(_xlfn.XLOOKUP(A291,Щиты[Щит],Щиты[Iкз max на шинах, кА],"")="","",IF(FL291&lt;_xlfn.XLOOKUP(A291,Щиты[Щит],Щиты[Iкз max на шинах, кА]),"Icu "&amp;FL291&amp;" кА &lt; Iкз max","ok")))</f>
        <v/>
      </c>
      <c r="FN291" t="str">
        <f t="shared" si="419"/>
        <v>QFD8|XT8</v>
      </c>
      <c r="FO291" t="str">
        <f t="shared" si="420"/>
        <v>QFD8|XT8|кабель ВВГнг(А)-LS (3х2,5) → Розеточная группа Второй этаж Пом. №010А</v>
      </c>
      <c r="FP291" t="str" cm="1">
        <f t="array" ref="FP291">IF(FO291="","",_xlfn.LET(_xlpm.nd,_xlfn.TEXTSPLIT(FO291,"|"),IF(COLUMNS(_xlpm.nd)&gt;1,A291&amp;"¦"&amp;INDEX(_xlpm.nd,1)&amp;"¦"&amp;INDEX(_xlpm.nd,2),"")))</f>
        <v>ЩР-2¦QFD8¦XT8</v>
      </c>
      <c r="FQ291" t="str">
        <f t="shared" si="421"/>
        <v>R.2.010А.1¦Розеточная группа Второй этаж Пом. №010А</v>
      </c>
      <c r="FR291" t="str" cm="1">
        <f t="array" ref="FR291">IF(FO291="","",_xlfn.LET(_xlpm.nd,_xlfn.TEXTSPLIT(FO291,"|"),IF(COLUMNS(_xlpm.nd)&gt;2,A291&amp;"¦"&amp;INDEX(_xlpm.nd,2)&amp;"¦"&amp;INDEX(_xlpm.nd,3),"")))</f>
        <v>ЩР-2¦XT8¦кабель ВВГнг(А)-LS (3х2,5) → Розеточная группа Второй этаж Пом. №010А</v>
      </c>
      <c r="FS291" t="str">
        <f t="shared" si="422"/>
        <v>R.2.010А.1¦Розеточная группа Второй этаж Пом. №010А</v>
      </c>
      <c r="FT291" t="str" cm="1">
        <f t="array" ref="FT291">IF(FO291="","",_xlfn.LET(_xlpm.nd,_xlfn.TEXTSPLIT(FO291,"|"),IF(COLUMNS(_xlpm.nd)&gt;3,A291&amp;"¦"&amp;INDEX(_xlpm.nd,3)&amp;"¦"&amp;INDEX(_xlpm.nd,4),"")))</f>
        <v/>
      </c>
      <c r="FU291" t="str">
        <f t="shared" si="423"/>
        <v/>
      </c>
      <c r="FV291" t="str" cm="1">
        <f t="array" ref="FV291">IF(FO291="","",_xlfn.LET(_xlpm.nd,_xlfn.TEXTSPLIT(FO291,"|"),IF(COLUMNS(_xlpm.nd)&gt;4,A291&amp;"¦"&amp;INDEX(_xlpm.nd,4)&amp;"¦"&amp;INDEX(_xlpm.nd,5),"")))</f>
        <v/>
      </c>
      <c r="FW291" t="str">
        <f t="shared" si="424"/>
        <v/>
      </c>
      <c r="FX291" t="str" cm="1">
        <f t="array" ref="FX291">IF(FO291="","",_xlfn.LET(_xlpm.nd,_xlfn.TEXTSPLIT(FO291,"|"),IF(COLUMNS(_xlpm.nd)&gt;5,A291&amp;"¦"&amp;INDEX(_xlpm.nd,5)&amp;"¦"&amp;INDEX(_xlpm.nd,6),"")))</f>
        <v/>
      </c>
      <c r="FY291" t="str">
        <f t="shared" si="425"/>
        <v/>
      </c>
      <c r="FZ291" t="str" cm="1">
        <f t="array" ref="FZ291">IF(FO291="","",_xlfn.LET(_xlpm.nd,_xlfn.TEXTSPLIT(FO291,"|"),IF(COLUMNS(_xlpm.nd)&gt;6,A291&amp;"¦"&amp;INDEX(_xlpm.nd,6)&amp;"¦"&amp;INDEX(_xlpm.nd,7),"")))</f>
        <v/>
      </c>
      <c r="GA291" t="str">
        <f t="shared" si="426"/>
        <v/>
      </c>
      <c r="GB291" t="str">
        <f t="shared" si="427"/>
        <v/>
      </c>
      <c r="GC291" t="str">
        <f t="shared" si="428"/>
        <v>QFD8 → XT8</v>
      </c>
      <c r="GD291">
        <f t="shared" si="429"/>
        <v>1</v>
      </c>
      <c r="GE291">
        <f t="shared" si="430"/>
        <v>0</v>
      </c>
      <c r="GF291">
        <f t="shared" si="431"/>
        <v>1</v>
      </c>
      <c r="GG291" t="str">
        <f t="shared" si="432"/>
        <v/>
      </c>
      <c r="GH291" t="str">
        <f t="shared" si="433"/>
        <v/>
      </c>
      <c r="GI291" t="str">
        <f t="shared" si="434"/>
        <v/>
      </c>
      <c r="GJ291" t="str">
        <f t="shared" si="435"/>
        <v/>
      </c>
      <c r="GK291" t="str">
        <f>IF(D291="","",IFERROR(VLOOKUP(D291,УГО_спр,2,FALSE),IFERROR(VLOOKUP(AT291,УГО_спр,2,FALSE),IFERROR(VLOOKUP(LEFT(AT291,2),УГО_спр,2,FALSE),""))))</f>
        <v>Розетка</v>
      </c>
      <c r="GL291" t="str">
        <f>IF(D291="","",IF(OR(GK291="",GK291=0),"BOX",IFERROR(IF(VLOOKUP(GK291,УГО_блоки,3,FALSE)&amp;""&lt;&gt;"",VLOOKUP(GK291,УГО_блоки,3,FALSE),VLOOKUP(GK291,УГО_блоки,2,FALSE)),GK291)))</f>
        <v>SOCKET</v>
      </c>
      <c r="GM291">
        <f t="shared" si="436"/>
        <v>1</v>
      </c>
      <c r="GN291" t="str">
        <f>IF(EP291="","",IF(COUNTIF(EP$3:EP291,EP291)=1,MAX(GN$2:GN290)+1,""))</f>
        <v/>
      </c>
      <c r="GO291" t="str">
        <f>IF(AF291="","",IF(COUNTIF(AF$3:AF291,AF291)+COUNTIF(AG$2:AG290,AF291)+COUNTIF(AH$2:AH290,AF291)=1,MAX(GO$2:GQ290)+1,""))</f>
        <v/>
      </c>
      <c r="GP291" t="str">
        <f>IF(AG291="","",IF(COUNTIF(AF$3:AF291,AG291)+COUNTIF(AG$3:AG291,AG291)+COUNTIF(AH$2:AH290,AG291)=1,MAX(GO$2:GQ290,GO291)+1,""))</f>
        <v/>
      </c>
      <c r="GQ291" t="str">
        <f>IF(AH291="","",IF(COUNTIF(AF$3:AF291,AH291)+COUNTIF(AG$3:AG291,AH291)+COUNTIF(AH$3:AH291,AH291)=1,MAX(GO$2:GQ290,GO291,GP291)+1,""))</f>
        <v/>
      </c>
      <c r="GR291" t="str">
        <f t="shared" si="437"/>
        <v>3х2,5</v>
      </c>
      <c r="GS291" t="str">
        <f>IF(GR291="","",IF(COUNTIF(GR$3:GR291,GR291)=1,MAX(GS$2:GS290)+1,""))</f>
        <v/>
      </c>
      <c r="GT291" t="str">
        <f>IF(ES291="","",COUNTIF(ES$3:ES291,"?*"))</f>
        <v/>
      </c>
      <c r="GU291" t="str">
        <f>IF(OR(ES291="",EU291=""),"",IF(COUNTIFS(ES$3:ES291,"?*",EU$3:EU291,EU291)=1,MAX(GU$2:GU290)+1,""))</f>
        <v/>
      </c>
      <c r="GV291">
        <f t="shared" si="438"/>
        <v>0</v>
      </c>
      <c r="GW291">
        <f>IF(D291="","",COUNTIF(D$3:D291,"?*"))</f>
        <v>289</v>
      </c>
      <c r="GX291">
        <f>IF(EX291&lt;&gt;1,0,_xlfn.LET(_xlpm.k,MAX(IFERROR(--VLOOKUP(D291,УГО_спр,5,FALSE),0),IFERROR(--VLOOKUP(AT291,УГО_спр,5,FALSE),0),IFERROR(--VLOOKUP(LEFT(AT291,2),УГО_спр,5,FALSE),0)),IF(_xlpm.k&gt;0,_xlpm.k,IF(IFERROR(--LEFT(SUBSTITUTE(GR291,"x","х"),FIND("х",SUBSTITUTE(GR291,"x","х"))-1),3)&gt;3,Каталог!$S$9,1))))</f>
        <v>1</v>
      </c>
      <c r="GY291">
        <f t="shared" si="439"/>
        <v>0</v>
      </c>
    </row>
    <row r="292" spans="1:207" x14ac:dyDescent="0.3">
      <c r="A292" t="s">
        <v>764</v>
      </c>
      <c r="B292">
        <v>19</v>
      </c>
      <c r="C292" t="str">
        <f>IF(BD292="","",IF(BE292="вводной узел","узел ","")&amp;"л."&amp;(INT((BD292-1)/Столбцов_на_лист)+1)&amp;" / "&amp;(MOD(BD292-1,Столбцов_на_лист)+1))</f>
        <v>л.2 / 2</v>
      </c>
      <c r="D292" t="s">
        <v>1625</v>
      </c>
      <c r="E292" s="133" t="str">
        <f t="shared" si="352"/>
        <v>Розеточная группа Второй этаж Пом. №002Г</v>
      </c>
      <c r="G292">
        <v>0.06</v>
      </c>
      <c r="H292">
        <v>1</v>
      </c>
      <c r="I292">
        <v>1</v>
      </c>
      <c r="J292">
        <v>230</v>
      </c>
      <c r="K292" t="s">
        <v>566</v>
      </c>
      <c r="O292">
        <v>1</v>
      </c>
      <c r="P292">
        <v>36</v>
      </c>
      <c r="Q292">
        <v>12</v>
      </c>
      <c r="R292">
        <v>21</v>
      </c>
      <c r="T292">
        <v>1</v>
      </c>
      <c r="U292" t="s">
        <v>11</v>
      </c>
      <c r="V292">
        <v>3</v>
      </c>
      <c r="W292">
        <v>2.5</v>
      </c>
      <c r="X292">
        <v>16</v>
      </c>
      <c r="Z292" t="s">
        <v>565</v>
      </c>
      <c r="AA292" t="s">
        <v>818</v>
      </c>
      <c r="AD292" t="s">
        <v>517</v>
      </c>
      <c r="AK292" t="s">
        <v>488</v>
      </c>
      <c r="AR292" t="str">
        <f t="shared" si="353"/>
        <v/>
      </c>
      <c r="AS292" cm="1">
        <f t="array" ref="AS292">ROW()-ROW(Линии[#Headers])</f>
        <v>290</v>
      </c>
      <c r="AT292" t="str">
        <f t="shared" si="354"/>
        <v>R</v>
      </c>
      <c r="AU292" t="str">
        <f t="shared" si="355"/>
        <v>2.002Г.1</v>
      </c>
      <c r="AV292" t="str">
        <f t="shared" si="356"/>
        <v>2</v>
      </c>
      <c r="AW292" t="str">
        <f t="shared" si="357"/>
        <v>002Г.1</v>
      </c>
      <c r="AX292" t="str">
        <f t="shared" si="358"/>
        <v>002Г</v>
      </c>
      <c r="AY292" t="str">
        <f>IF(D292="","",IF(ISERROR(SEARCH(".",D292)),IFERROR(VLOOKUP(D292,Потребители_обозначение,2,FALSE)&amp;"",""),IFERROR(IF(VLOOKUP(AT292,Потребители_обозначение,4,FALSE)=1,VLOOKUP(AT292,Потребители_обозначение,2,FALSE)&amp;" "&amp;VLOOKUP(AV292,Этаж_обозначение,2,FALSE)&amp;" Пом. №"&amp;AX292,VLOOKUP(AT292,Потребители_обозначение,2,FALSE)&amp;" Шлейф №"&amp;AV292),IFERROR(VLOOKUP(D292,Потребители_обозначение,2,FALSE),""))))</f>
        <v>Розеточная группа Второй этаж Пом. №002Г</v>
      </c>
      <c r="AZ292" t="str">
        <f t="shared" si="359"/>
        <v>Розеточная группа Второй этаж Пом. №002Г</v>
      </c>
      <c r="BA292" t="str">
        <f>IF(F292&lt;&gt;"",F292,IF(AND(D292&lt;&gt;"",D292&lt;&gt;A292,ISNUMBER(_xlfn.XMATCH(D292,Щиты[Щит]))),D292,""))</f>
        <v/>
      </c>
      <c r="BB292">
        <f>IFERROR(_xlfn.XMATCH(A292,Щиты[Щит]),0)</f>
        <v>11</v>
      </c>
      <c r="BC292">
        <f>IFERROR(N(_xlfn.XLOOKUP(A292,Щиты[Щит],Щиты[Мест под вводной узел])),15)</f>
        <v>8</v>
      </c>
      <c r="BD292">
        <f t="shared" si="360"/>
        <v>19</v>
      </c>
      <c r="BE292" t="str">
        <f t="shared" si="361"/>
        <v>линии</v>
      </c>
      <c r="BF292">
        <f>IF(D292="","",IF(BA292&lt;&gt;"",IFERROR(_xlfn.XLOOKUP(BA292,Щиты[Щит],Щиты[Руст, кВт]),0),N(G292)))</f>
        <v>0.06</v>
      </c>
      <c r="BG292">
        <f>IF(J292&lt;&gt;"",J292,IF(D292="","",IFERROR(IF(VLOOKUP(AT292,Потребители_обозначение,8,FALSE)=0,"",VLOOKUP(AT292,Потребители_обозначение,8,FALSE)),"")))</f>
        <v>230</v>
      </c>
      <c r="BH292">
        <f>IF(I292&lt;&gt;"",I292,IF(D292="","",IFERROR(IF(VLOOKUP(AT292,Потребители_обозначение,9,FALSE)=0,"",VLOOKUP(AT292,Потребители_обозначение,9,FALSE)),"")))</f>
        <v>1</v>
      </c>
      <c r="BI292" t="str">
        <f>IF(U292&lt;&gt;"",U292,IF(D292="","",IFERROR(IF(VLOOKUP(AT292,Потребители_обозначение,6,FALSE)=0,"",VLOOKUP(AT292,Потребители_обозначение,6,FALSE)),"")))</f>
        <v>мс</v>
      </c>
      <c r="BJ292">
        <f>IF(V292&lt;&gt;"",V292,IF(D292="","",IFERROR(IF(VLOOKUP(AT292,Потребители_обозначение,7,FALSE)=0,"",VLOOKUP(AT292,Потребители_обозначение,7,FALSE)),"")))</f>
        <v>3</v>
      </c>
      <c r="BK292">
        <f>IF(W292&lt;&gt;"",W292,IF(D292="","",IFERROR(IF(VLOOKUP(AT292,Потребители_обозначение,10,FALSE)=0,"",VLOOKUP(AT292,Потребители_обозначение,10,FALSE)),"")))</f>
        <v>2.5</v>
      </c>
      <c r="BL292">
        <f>IFERROR(VLOOKUP(AT292,Потребители_обозначение,5,FALSE),0)</f>
        <v>1</v>
      </c>
      <c r="BM292" cm="1">
        <f t="array" ref="BM292">IF(D292="","",IF(BA292&lt;&gt;"",IFERROR(_xlfn.XLOOKUP(BA292,Щиты[Щит],Щиты[cos φ]),0.95),IF(ISNUMBER(M292),M292,IFERROR(IF(BL292=2,_xlfn.IFS(BH292=3,VLOOKUP(BF292,Справочная_двигатели,8,FALSE),BH292=1,VLOOKUP(BF292,Справочная_двигатели,10,TRUE)),IF(AND(Методика="нормы 2026",CN292="Сил"),0.8,0.95)),0.95))))</f>
        <v>0.95</v>
      </c>
      <c r="BN292" cm="1">
        <f t="array" ref="BN292">IF(D292="","",IF(BA292&lt;&gt;"",IFERROR(_xlfn.XLOOKUP(BA292,Щиты[Щит],Щиты[Iр, А]),""),IFERROR(_xlfn.IFS(BH292=1,BF292/((Uн_лин/SQRT(3))*BM292),BH292=3,BF292/(SQRT(3)*Uн_лин*BM292)),"")))</f>
        <v>0.27348170645824377</v>
      </c>
      <c r="BO292">
        <f>IF(D292="","",IF(N(X292)=0,IFERROR(VLOOKUP(BN292,Автомат_номиналы,2,TRUE),""),X292))</f>
        <v>16</v>
      </c>
      <c r="BP292">
        <f t="shared" si="362"/>
        <v>1</v>
      </c>
      <c r="BQ292">
        <f>IF(ISNUMBER(Y292),Y292,К_прокл)</f>
        <v>1</v>
      </c>
      <c r="BR292">
        <f t="shared" si="363"/>
        <v>2</v>
      </c>
      <c r="BS292" cm="1">
        <f t="array" ref="BS292">IF(D292="","",IF(N(BK292)&lt;&gt;0,BK292,IFERROR(_xlfn.LET(_xlpm.need,BO292/(BP292*BQ292),_xlpm.t,CHOOSE(BR292,Iдоп_1ж,Iдоп_2ж,Iдоп_3ж),_xlpm.k,_xlfn.XMATCH(_xlpm.need,_xlpm.t,1),IF(ISNA(_xlpm.k),"Не исп",INDEX(Iдоп_S,_xlpm.k))),"Не исп")))</f>
        <v>2.5</v>
      </c>
      <c r="BT292">
        <f>IFERROR(VLOOKUP(BS292,Кабель_сопротивление,3,FALSE),"")</f>
        <v>2.2499999999999999E-2</v>
      </c>
      <c r="BU292">
        <f>IFERROR(VLOOKUP(BS292,Кабель_сопротивление,2,FALSE),"")</f>
        <v>0.1</v>
      </c>
      <c r="BV292">
        <f t="shared" si="364"/>
        <v>36</v>
      </c>
      <c r="BW292">
        <f>IF(D292="","",IFERROR(IF(VLOOKUP(AT292,Потребители_обозначение,4,FALSE)=1,VLOOKUP(AT292,Потребители_обозначение,3,FALSE)*(H292*2-1)+BV292+VLOOKUP(AV292,Этаж_обозначение,3,FALSE)+VLOOKUP(AV292,Этаж_обозначение,4,FALSE),VLOOKUP(AT292,Потребители_обозначение,3,FALSE)*(H292*2-1)+BV292),BV292))</f>
        <v>39</v>
      </c>
      <c r="BX292">
        <f t="shared" si="365"/>
        <v>21</v>
      </c>
      <c r="BY292">
        <f t="shared" si="366"/>
        <v>0</v>
      </c>
      <c r="BZ292">
        <f t="shared" si="367"/>
        <v>2</v>
      </c>
      <c r="CA292">
        <f t="shared" si="368"/>
        <v>0.31</v>
      </c>
      <c r="CB292">
        <f t="shared" si="369"/>
        <v>0.1830462288032188</v>
      </c>
      <c r="CC292">
        <f>IFERROR(ROUNDUP(CB292/((Uн_лин/SQRT(3))*1000)*100,2),"")</f>
        <v>0.08</v>
      </c>
      <c r="CD292">
        <f>IF(ISNUMBER(CC292),CC292+IFERROR(_xlfn.XLOOKUP(A292,Щиты[Щит],Щиты[ΔU до шин, %]),0),"")</f>
        <v>1.87</v>
      </c>
      <c r="CE292">
        <f>IF(D292="","",IF(IFERROR(VLOOKUP(AT292,УГО_спр,2,FALSE),"")="Светильник",3,4)+IF(Методика="нормы 2026",MIN(0.5,MAX(0,N(BW292)-100)*0.005),0))</f>
        <v>4</v>
      </c>
      <c r="CF292" t="str">
        <f>IFERROR(VLOOKUP(BI292,Кабель_обозначение,2,FALSE),"")</f>
        <v>ВВГнг(А)-LS</v>
      </c>
      <c r="CG292" t="str">
        <f>IFERROR(IF(VLOOKUP(BI292,Кабель_обозначение,3,FALSE)=1,CF292&amp;" ("&amp;BJ292&amp;"х"&amp;BS292&amp;")",CF292),"")</f>
        <v>ВВГнг(А)-LS (3х2,5)</v>
      </c>
      <c r="CH292" t="str">
        <f t="shared" si="370"/>
        <v>ВВГнг(А)-LS (3х2,5)
L=39-0,08%</v>
      </c>
      <c r="CI292">
        <f>IFERROR(2*ρкз_Cu*BW292/BS292,"")</f>
        <v>0.82056000000000007</v>
      </c>
      <c r="CJ292">
        <f t="shared" si="371"/>
        <v>0.27300000000000002</v>
      </c>
      <c r="CK292" t="str">
        <f>IFERROR(IF(OR(D292="",NOT(ISNUMBER(BS292)),N(BW292)=0),"",_xlfn.XLOOKUP(A292,Щиты[Щит],Щиты[Zпетли на шинах, Ом])+CI292),"")</f>
        <v/>
      </c>
      <c r="CL292" t="str">
        <f>IF(ISNUMBER(CK292),c_min*(Uн_лин*1000/SQRT(3))/CK292,"")</f>
        <v/>
      </c>
      <c r="CM292" t="str">
        <f>IFERROR(IF(OR(D292="",NOT(ISNUMBER(BS292))),"",1.05*(Uн_лин*1000/SQRT(3))/(_xlfn.XLOOKUP(A292,Щиты[Щит],Щиты[Zmax на шинах, Ом])+CJ292)/1000),"")</f>
        <v/>
      </c>
      <c r="CN292" t="str">
        <f>IF(D292="","",IF(BA292&lt;&gt;"","Щит",IF(K292&lt;&gt;"",K292,IF(ISNUMBER(L292),"Сил",IF(IFERROR(_xlfn.XLOOKUP(AT292,Коды_код,Коды_группа)&amp;"","")="","Быт",_xlfn.XLOOKUP(AT292,Коды_код,Коды_группа)&amp;"")))))</f>
        <v>Быт</v>
      </c>
      <c r="CO292">
        <f>IF(CN292="Щит","щит",IF(CN292="","",IF(CN292="Быт",IFERROR(_xlfn.XLOOKUP(A292,Щиты[Щит],Щиты[Кс быт]),1),IF(CN292="Сил",IF(ISNUMBER(L292),L292,IF(Методика="нормы 2026",IFERROR(_xlfn.XLOOKUP(A292,Щиты[Щит],Щиты[Кс силовых (табл. 7.5)]),1),1)),IF(OR(CN292="Пост",CN292="Отоп"),1,IF(CN292="ВНГ",0.7,0))))))</f>
        <v>0.8</v>
      </c>
      <c r="CP292">
        <f t="shared" si="372"/>
        <v>1</v>
      </c>
      <c r="CQ292">
        <f t="shared" si="373"/>
        <v>0.06</v>
      </c>
      <c r="CR292">
        <f t="shared" si="374"/>
        <v>0.06</v>
      </c>
      <c r="CS292">
        <f t="shared" si="375"/>
        <v>0</v>
      </c>
      <c r="CT292">
        <f t="shared" si="376"/>
        <v>0</v>
      </c>
      <c r="CU292">
        <f t="shared" si="377"/>
        <v>0</v>
      </c>
      <c r="CV292">
        <f t="shared" si="378"/>
        <v>0</v>
      </c>
      <c r="CW292">
        <f t="shared" si="379"/>
        <v>0.06</v>
      </c>
      <c r="CX292">
        <f t="shared" si="380"/>
        <v>5.6999999999999995E-2</v>
      </c>
      <c r="CY292">
        <f t="shared" si="381"/>
        <v>1</v>
      </c>
      <c r="CZ292" t="str">
        <f t="shared" si="382"/>
        <v>L1</v>
      </c>
      <c r="DA292" cm="1">
        <f t="array" ref="DA292">IFERROR(IF(BL292=2,_xlfn.IFS(BH292=3,VLOOKUP(BF292,Справочная_двигатели,3,FALSE),BH292=1,VLOOKUP(BF292,Справочная_двигатели,5,TRUE)),0),0)</f>
        <v>0</v>
      </c>
      <c r="DB292">
        <f>IFERROR(IF(BL292=3,VLOOKUP(BF292,Справочная_ЛЭД,2,TRUE),0),0)</f>
        <v>0</v>
      </c>
      <c r="DC292">
        <f t="shared" si="383"/>
        <v>0</v>
      </c>
      <c r="DD292" t="str">
        <f t="shared" si="384"/>
        <v>L1</v>
      </c>
      <c r="DE292" t="str" cm="1">
        <f t="array" ref="DE292">IF(D292="","",IFERROR(INDEX({"I особая","I","II","III"},MATCH(TRIM(AA292&amp;""),{"I особая","I","II","III"},0)),"III"))</f>
        <v>II</v>
      </c>
      <c r="DF292" t="str">
        <f>IF(D292="","",IF(TRIM(AB292&amp;"")&lt;&gt;"",IF(LOWER(TRIM(AB292&amp;""))="да","да","нет"),IF(IFERROR(_xlfn.XLOOKUP(AT292,Коды_код,Коды_пожарная),"")="да","да","нет")))</f>
        <v>нет</v>
      </c>
      <c r="DG292" t="str">
        <f t="shared" si="385"/>
        <v/>
      </c>
      <c r="DH292" t="str">
        <f t="shared" si="386"/>
        <v>основная</v>
      </c>
      <c r="DI292">
        <f t="shared" si="387"/>
        <v>1</v>
      </c>
      <c r="DJ292" t="str" cm="1">
        <f t="array" ref="DJ292">IF(D292="","",_xlfn.LET(_xlpm.t,IFERROR(_xlfn.XLOOKUP(1,(Шины[Шина]=DH292)*(((Шины[Щит]=A292)+(Шины[Щит]=""))&gt;0),Шины[Тип]),"")&amp;"",IF(_xlpm.t&lt;&gt;"",_xlpm.t,IF(ISNUMBER(SEARCH("ИБП",DH292)),"ИБП",IF(ISNUMBER(SEARCH("ДГУ",DH292)),"ДГУ","Ввод "&amp;DI292)))))</f>
        <v>Ввод 1</v>
      </c>
      <c r="DK292" t="str">
        <f t="shared" si="388"/>
        <v>Ввод 1</v>
      </c>
      <c r="DL292" t="str">
        <f>IF(D292="","",IF(OR(DJ292="ИБП",DJ292="ДГУ"),"I особая",IF(DJ292="Одиночная","III",_xlfn.XLOOKUP(A292,Щиты[Щит],Щиты[Категория шины «Ввод»],"III"))))</f>
        <v>II</v>
      </c>
      <c r="DM292">
        <f>IF(D292="",0,IFERROR(MATCH(DE292,{"III","II","I","I особая"},0),1))</f>
        <v>2</v>
      </c>
      <c r="DN292">
        <f t="shared" si="389"/>
        <v>2</v>
      </c>
      <c r="DO292" t="str">
        <f>IF(D292="","",IF(DM292&gt;IFERROR(MATCH(DL292,{"III","II","I","I особая"},0),1),"НЕ ОБЕСПЕЧЕНА","ОК"))</f>
        <v>ОК</v>
      </c>
      <c r="DP292" t="str">
        <f>IF(A292="","",_xlfn.XLOOKUP(A292,Щиты[Щит],Щиты[Путь],""))</f>
        <v>|ГРЩ-ЖД|ЩР-2|</v>
      </c>
      <c r="DQ292" t="str">
        <f>IF(D292="","",IF(Z292&lt;&gt;"",Z292,IF(IFERROR(_xlfn.XLOOKUP(AT292,Коды_код,Коды_вид)&amp;"","")="","Прочее",_xlfn.XLOOKUP(AT292,Коды_код,Коды_вид)&amp;"")))</f>
        <v>Розеточная сеть и бытовые приборы</v>
      </c>
      <c r="DR292">
        <f>IF(BD292="","",INT((BD292-1)/Столбцов_на_лист)+1)</f>
        <v>2</v>
      </c>
      <c r="DS292" t="str">
        <f t="shared" si="390"/>
        <v>ВВГнг(А)-LS (3х2,5) L=39-0,08%</v>
      </c>
      <c r="DT292">
        <f t="shared" si="391"/>
        <v>0.06</v>
      </c>
      <c r="DU292">
        <f t="shared" si="392"/>
        <v>0.28000000000000003</v>
      </c>
      <c r="DV292">
        <f t="shared" si="393"/>
        <v>1</v>
      </c>
      <c r="DW292">
        <f>IF(AT292="",0,_xlfn.LET(_xlpm.v,IFERROR(VLOOKUP(D292,УГО_спр,3,FALSE),IFERROR(VLOOKUP(AT292,УГО_спр,3,FALSE),IFERROR(VLOOKUP(LEFT(AT292,2),УГО_спр,3,FALSE),""))),IF(_xlpm.v="да",30,IF(ISNUMBER(_xlpm.v),_xlpm.v,0))))</f>
        <v>30</v>
      </c>
      <c r="DX292">
        <f t="shared" si="394"/>
        <v>0</v>
      </c>
      <c r="DY292">
        <f>IF(BD292="","",IF(AD292&lt;&gt;"",COUNTIFS(A$3:A292,A292,AD$3:AD292,"?*"),IF(OR(OR(AS292=1,A292&lt;&gt;A291),AL292="вручную"),"",IF(AS292=1,"",DZ291))))</f>
        <v>9</v>
      </c>
      <c r="DZ292">
        <f t="shared" si="395"/>
        <v>9</v>
      </c>
      <c r="EA292">
        <f>IF(D292="",0,MAX(IFERROR(--X292,0),IFERROR(--VLOOKUP(D292,УГО_спр,4,FALSE),IFERROR(--VLOOKUP(AT292,УГО_спр,4,FALSE),IFERROR(--VLOOKUP(LEFT(AT292,2),УГО_спр,4,FALSE),0)))))</f>
        <v>16</v>
      </c>
      <c r="EB292">
        <f>IF(D292="","",IFERROR(LOOKUP(INDEX(CHOOSE(BR292,Iдоп_1ж,Iдоп_2ж,Iдоп_3ж),MATCH(BS292,Iдоп_S,0))*BP292*BQ292,{6,10,16,20,25,32,40,50,63,80,100,125,160,200,250,315,400,500,630}),""))</f>
        <v>25</v>
      </c>
      <c r="EC292">
        <f>IF(AD292="","",SUMIFS(Линии[_Ток схемы],Линии[_гр.],DY292,Линии[Щит],A292,Линии[_в кабель выше],0))</f>
        <v>0.28000000000000003</v>
      </c>
      <c r="ED292">
        <f>IF(AD292="","",IFERROR(VLOOKUP(EC292,Автомат_номиналы,2,TRUE),""))</f>
        <v>6</v>
      </c>
      <c r="EE292">
        <f>IF(AD292="","",MAX(N(ED292),_xlfn.MAXIFS(Линии[_мин. по типу],Линии[_гр.],DY292,Линии[Щит],A292)))</f>
        <v>16</v>
      </c>
      <c r="EF292">
        <f>IF(AD292="","",_xlfn.MINIFS(Линии[_макс. автомат по кабелю],Линии[_гр.],DY292,Линии[Щит],A292))</f>
        <v>25</v>
      </c>
      <c r="EG292">
        <f>IF(AD292="","",MAX(1,_xlfn.MAXIFS(Линии[_фаз],Линии[_гр.],DY292,Линии[Щит],A292)))</f>
        <v>1</v>
      </c>
      <c r="EH292">
        <f>IF(AD292="","",IF(AND(AD292&lt;&gt;"авто",AD292&lt;&gt;"+"),IF(ISNUMBER(SEARCH("мА",AD292)),IFERROR(--TRIM(RIGHT(SUBSTITUTE(LEFT(AD292,SEARCH("мА",AD292)-1)," ",REPT(" ",9)),6)),30),0),IF(AE292="нет",0,IF(ISNUMBER(AE292),AE292,IF(AE292="да",30,_xlfn.MINIFS(Линии[_дифзащита по коду, мА],Линии[_гр.],DY292,Линии[Щит],A292,Линии[_дифзащита по коду, мА],"&gt;0"))))))</f>
        <v>30</v>
      </c>
      <c r="EI292">
        <f t="shared" si="396"/>
        <v>1</v>
      </c>
      <c r="EJ292" t="str">
        <f t="shared" si="397"/>
        <v>QFD9</v>
      </c>
      <c r="EK292" t="str">
        <f t="shared" si="398"/>
        <v>QFD9</v>
      </c>
      <c r="EL292" t="str">
        <f t="shared" si="399"/>
        <v/>
      </c>
      <c r="EM292">
        <f t="shared" si="400"/>
        <v>0</v>
      </c>
      <c r="EN292">
        <f>IF(AD292="","",IF(EM292=1,MAX(EE292,Мин_автомат_БП),EE292))</f>
        <v>16</v>
      </c>
      <c r="EO292" t="str">
        <f t="shared" si="401"/>
        <v>2P</v>
      </c>
      <c r="EP292" t="str">
        <f t="shared" si="402"/>
        <v>2P С16А 30мА</v>
      </c>
      <c r="EQ292">
        <f t="shared" si="403"/>
        <v>16</v>
      </c>
      <c r="ER292" t="str">
        <f>IF(OR(AI292="",AI292="-"),"",IFERROR(VLOOKUP(AI292,Модули_спр,2,FALSE),"R"))</f>
        <v/>
      </c>
      <c r="ES292" t="str">
        <f>IF(ER292="","",ER292&amp;"."&amp;COUNTIFS(A$3:A292,A292,ER$3:ER292,ER292))</f>
        <v/>
      </c>
      <c r="ET292" t="str">
        <f t="shared" si="404"/>
        <v/>
      </c>
      <c r="EU292" t="str">
        <f t="shared" si="405"/>
        <v/>
      </c>
      <c r="EV292" t="str">
        <f t="shared" si="406"/>
        <v/>
      </c>
      <c r="EW292" t="str">
        <f t="shared" si="407"/>
        <v/>
      </c>
      <c r="EX292">
        <f t="shared" si="408"/>
        <v>1</v>
      </c>
      <c r="EY292" t="str">
        <f>IF(AK292="нет","",IF(AK292&lt;&gt;"",AK292,IF(EX292=1,"XT"&amp;COUNTIFS(A$3:A292,A292,EX$3:EX292,1),"")))</f>
        <v/>
      </c>
      <c r="EZ292" t="str">
        <f t="shared" si="409"/>
        <v>QFD9</v>
      </c>
      <c r="FA292" t="str">
        <f t="shared" si="410"/>
        <v/>
      </c>
      <c r="FB292" t="str">
        <f t="shared" si="411"/>
        <v>ok</v>
      </c>
      <c r="FC292" t="str">
        <f>IF(OR(EV292="",ET292=""),"",IF(EV292&gt;IFERROR(VLOOKUP(EU292,Модули_спр,3,FALSE),99),"ЛИШНИЙ КАНАЛ",IF(AND(AJ292&lt;&gt;"=",COUNTIFS(Линии[_модуль гр.],ET292,Линии[Канал (итог)],EV292,Линии[Канал],"&lt;&gt;=",Линии[Щит],A292)&gt;1),"ДУБЛЬ КАНАЛА","")))</f>
        <v/>
      </c>
      <c r="FD292">
        <f t="shared" si="412"/>
        <v>16</v>
      </c>
      <c r="FE292" t="str">
        <f t="shared" si="413"/>
        <v>2P С16А 30мА</v>
      </c>
      <c r="FF292">
        <f t="shared" si="414"/>
        <v>1</v>
      </c>
      <c r="FG292">
        <f t="shared" si="415"/>
        <v>30</v>
      </c>
      <c r="FH292" t="str">
        <f t="shared" si="416"/>
        <v/>
      </c>
      <c r="FI292">
        <f t="shared" si="417"/>
        <v>10</v>
      </c>
      <c r="FJ292" t="str">
        <f t="shared" si="418"/>
        <v/>
      </c>
      <c r="FK292" t="str">
        <f>IF(AND(D292="",EZ292=""),"",_xlfn.TEXTJOIN("; ",TRUE,IF(AND(D292&lt;&gt;"",DD292=""),"нет фазы",""),IF(AND(D292&lt;&gt;"",N(DT292)=0,CN292&lt;&gt;"Нет"),"нет мощности",""),IF(AND(EY292&lt;&gt;"",COUNTIFS(Линии[Щит],A292,Линии[Клемма (итог)],EY292)&gt;1),"дубль клеммы "&amp;EY292,""),IF(AND(FB292&lt;&gt;"",FB292&lt;&gt;"ok"),FB292,""),IF(FC292&lt;&gt;"",FC292,""),IF(AND(ISNUMBER(SEARCH("(5х",DS292)),N(DV292)=1),"5 жил на 1 фазе",""),IF(AND(AT292="R",AD292&lt;&gt;"",OR(N(EH292)=0,N(EH292)&gt;30)),"розетка без дифзащиты до 30 мА",""),IFERROR(IF(AND(ISNUMBER(CD292),CD292&gt;CE292),"потери "&amp;FIXED(CD292,1)&amp;" % &gt; "&amp;CE292&amp;" %",""),""),IFERROR(IF(LEFT(FJ292,4)="мало","Iкз мало — отключение &gt; 0,4 с",""),""),IF(AND(D292&lt;&gt;"",BD292=""),"не на схеме","")))</f>
        <v/>
      </c>
      <c r="FL292">
        <f>IF(AD292="","",_xlfn.LET(_xlpm.t,IFERROR(_xlfn.XLOOKUP(EP292,Каталог!$U$4:$U$500,Каталог!$G$4:$G$500),""),_xlpm.k,SEARCH("кА",_xlpm.t),IFERROR(--TRIM(RIGHT(SUBSTITUTE(MID(_xlpm.t,MAX(1,_xlpm.k-4),_xlpm.k-MAX(1,_xlpm.k-4))," ",REPT(" ",9)),5)),"")))</f>
        <v>6</v>
      </c>
      <c r="FM292" t="str">
        <f>IF(OR(FL292="",AD292=""),"",IF(_xlfn.XLOOKUP(A292,Щиты[Щит],Щиты[Iкз max на шинах, кА],"")="","",IF(FL292&lt;_xlfn.XLOOKUP(A292,Щиты[Щит],Щиты[Iкз max на шинах, кА]),"Icu "&amp;FL292&amp;" кА &lt; Iкз max","ok")))</f>
        <v/>
      </c>
      <c r="FN292" t="str">
        <f t="shared" si="419"/>
        <v>QFD9</v>
      </c>
      <c r="FO292" t="str">
        <f t="shared" si="420"/>
        <v>QFD9|кабель ВВГнг(А)-LS (3х2,5) → Розеточная группа Второй этаж Пом. №002Г</v>
      </c>
      <c r="FP292" t="str" cm="1">
        <f t="array" ref="FP292">IF(FO292="","",_xlfn.LET(_xlpm.nd,_xlfn.TEXTSPLIT(FO292,"|"),IF(COLUMNS(_xlpm.nd)&gt;1,A292&amp;"¦"&amp;INDEX(_xlpm.nd,1)&amp;"¦"&amp;INDEX(_xlpm.nd,2),"")))</f>
        <v>ЩР-2¦QFD9¦кабель ВВГнг(А)-LS (3х2,5) → Розеточная группа Второй этаж Пом. №002Г</v>
      </c>
      <c r="FQ292" t="str">
        <f t="shared" si="421"/>
        <v>R.2.002Г.1¦Розеточная группа Второй этаж Пом. №002Г</v>
      </c>
      <c r="FR292" t="str" cm="1">
        <f t="array" ref="FR292">IF(FO292="","",_xlfn.LET(_xlpm.nd,_xlfn.TEXTSPLIT(FO292,"|"),IF(COLUMNS(_xlpm.nd)&gt;2,A292&amp;"¦"&amp;INDEX(_xlpm.nd,2)&amp;"¦"&amp;INDEX(_xlpm.nd,3),"")))</f>
        <v/>
      </c>
      <c r="FS292" t="str">
        <f t="shared" si="422"/>
        <v/>
      </c>
      <c r="FT292" t="str" cm="1">
        <f t="array" ref="FT292">IF(FO292="","",_xlfn.LET(_xlpm.nd,_xlfn.TEXTSPLIT(FO292,"|"),IF(COLUMNS(_xlpm.nd)&gt;3,A292&amp;"¦"&amp;INDEX(_xlpm.nd,3)&amp;"¦"&amp;INDEX(_xlpm.nd,4),"")))</f>
        <v/>
      </c>
      <c r="FU292" t="str">
        <f t="shared" si="423"/>
        <v/>
      </c>
      <c r="FV292" t="str" cm="1">
        <f t="array" ref="FV292">IF(FO292="","",_xlfn.LET(_xlpm.nd,_xlfn.TEXTSPLIT(FO292,"|"),IF(COLUMNS(_xlpm.nd)&gt;4,A292&amp;"¦"&amp;INDEX(_xlpm.nd,4)&amp;"¦"&amp;INDEX(_xlpm.nd,5),"")))</f>
        <v/>
      </c>
      <c r="FW292" t="str">
        <f t="shared" si="424"/>
        <v/>
      </c>
      <c r="FX292" t="str" cm="1">
        <f t="array" ref="FX292">IF(FO292="","",_xlfn.LET(_xlpm.nd,_xlfn.TEXTSPLIT(FO292,"|"),IF(COLUMNS(_xlpm.nd)&gt;5,A292&amp;"¦"&amp;INDEX(_xlpm.nd,5)&amp;"¦"&amp;INDEX(_xlpm.nd,6),"")))</f>
        <v/>
      </c>
      <c r="FY292" t="str">
        <f t="shared" si="425"/>
        <v/>
      </c>
      <c r="FZ292" t="str" cm="1">
        <f t="array" ref="FZ292">IF(FO292="","",_xlfn.LET(_xlpm.nd,_xlfn.TEXTSPLIT(FO292,"|"),IF(COLUMNS(_xlpm.nd)&gt;6,A292&amp;"¦"&amp;INDEX(_xlpm.nd,6)&amp;"¦"&amp;INDEX(_xlpm.nd,7),"")))</f>
        <v/>
      </c>
      <c r="GA292" t="str">
        <f t="shared" si="426"/>
        <v/>
      </c>
      <c r="GB292" t="str">
        <f t="shared" si="427"/>
        <v/>
      </c>
      <c r="GC292" t="str">
        <f t="shared" si="428"/>
        <v>QFD9</v>
      </c>
      <c r="GD292">
        <f t="shared" si="429"/>
        <v>1</v>
      </c>
      <c r="GE292">
        <f t="shared" si="430"/>
        <v>0</v>
      </c>
      <c r="GF292">
        <f t="shared" si="431"/>
        <v>1</v>
      </c>
      <c r="GG292" t="str">
        <f t="shared" si="432"/>
        <v/>
      </c>
      <c r="GH292" t="str">
        <f t="shared" si="433"/>
        <v/>
      </c>
      <c r="GI292" t="str">
        <f t="shared" si="434"/>
        <v/>
      </c>
      <c r="GJ292" t="str">
        <f t="shared" si="435"/>
        <v/>
      </c>
      <c r="GK292" t="str">
        <f>IF(D292="","",IFERROR(VLOOKUP(D292,УГО_спр,2,FALSE),IFERROR(VLOOKUP(AT292,УГО_спр,2,FALSE),IFERROR(VLOOKUP(LEFT(AT292,2),УГО_спр,2,FALSE),""))))</f>
        <v>Розетка</v>
      </c>
      <c r="GL292" t="str">
        <f>IF(D292="","",IF(OR(GK292="",GK292=0),"BOX",IFERROR(IF(VLOOKUP(GK292,УГО_блоки,3,FALSE)&amp;""&lt;&gt;"",VLOOKUP(GK292,УГО_блоки,3,FALSE),VLOOKUP(GK292,УГО_блоки,2,FALSE)),GK292)))</f>
        <v>SOCKET</v>
      </c>
      <c r="GM292">
        <f t="shared" si="436"/>
        <v>1</v>
      </c>
      <c r="GN292" t="str">
        <f>IF(EP292="","",IF(COUNTIF(EP$3:EP292,EP292)=1,MAX(GN$2:GN291)+1,""))</f>
        <v/>
      </c>
      <c r="GO292" t="str">
        <f>IF(AF292="","",IF(COUNTIF(AF$3:AF292,AF292)+COUNTIF(AG$2:AG291,AF292)+COUNTIF(AH$2:AH291,AF292)=1,MAX(GO$2:GQ291)+1,""))</f>
        <v/>
      </c>
      <c r="GP292" t="str">
        <f>IF(AG292="","",IF(COUNTIF(AF$3:AF292,AG292)+COUNTIF(AG$3:AG292,AG292)+COUNTIF(AH$2:AH291,AG292)=1,MAX(GO$2:GQ291,GO292)+1,""))</f>
        <v/>
      </c>
      <c r="GQ292" t="str">
        <f>IF(AH292="","",IF(COUNTIF(AF$3:AF292,AH292)+COUNTIF(AG$3:AG292,AH292)+COUNTIF(AH$3:AH292,AH292)=1,MAX(GO$2:GQ291,GO292,GP292)+1,""))</f>
        <v/>
      </c>
      <c r="GR292" t="str">
        <f t="shared" si="437"/>
        <v>3х2,5</v>
      </c>
      <c r="GS292" t="str">
        <f>IF(GR292="","",IF(COUNTIF(GR$3:GR292,GR292)=1,MAX(GS$2:GS291)+1,""))</f>
        <v/>
      </c>
      <c r="GT292" t="str">
        <f>IF(ES292="","",COUNTIF(ES$3:ES292,"?*"))</f>
        <v/>
      </c>
      <c r="GU292" t="str">
        <f>IF(OR(ES292="",EU292=""),"",IF(COUNTIFS(ES$3:ES292,"?*",EU$3:EU292,EU292)=1,MAX(GU$2:GU291)+1,""))</f>
        <v/>
      </c>
      <c r="GV292">
        <f t="shared" si="438"/>
        <v>0</v>
      </c>
      <c r="GW292">
        <f>IF(D292="","",COUNTIF(D$3:D292,"?*"))</f>
        <v>290</v>
      </c>
      <c r="GX292">
        <f>IF(EX292&lt;&gt;1,0,_xlfn.LET(_xlpm.k,MAX(IFERROR(--VLOOKUP(D292,УГО_спр,5,FALSE),0),IFERROR(--VLOOKUP(AT292,УГО_спр,5,FALSE),0),IFERROR(--VLOOKUP(LEFT(AT292,2),УГО_спр,5,FALSE),0)),IF(_xlpm.k&gt;0,_xlpm.k,IF(IFERROR(--LEFT(SUBSTITUTE(GR292,"x","х"),FIND("х",SUBSTITUTE(GR292,"x","х"))-1),3)&gt;3,Каталог!$S$9,1))))</f>
        <v>1</v>
      </c>
      <c r="GY292">
        <f t="shared" si="439"/>
        <v>0</v>
      </c>
    </row>
    <row r="293" spans="1:207" x14ac:dyDescent="0.3">
      <c r="A293" t="s">
        <v>764</v>
      </c>
      <c r="B293">
        <v>20</v>
      </c>
      <c r="C293" t="str">
        <f>IF(BD293="","",IF(BE293="вводной узел","узел ","")&amp;"л."&amp;(INT((BD293-1)/Столбцов_на_лист)+1)&amp;" / "&amp;(MOD(BD293-1,Столбцов_на_лист)+1))</f>
        <v>л.2 / 3</v>
      </c>
      <c r="D293" t="s">
        <v>1626</v>
      </c>
      <c r="E293" s="133" t="str">
        <f t="shared" si="352"/>
        <v>Розеточная группа Второй этаж Пом. №013А</v>
      </c>
      <c r="G293">
        <v>0.12</v>
      </c>
      <c r="H293">
        <v>2</v>
      </c>
      <c r="I293">
        <v>1</v>
      </c>
      <c r="J293">
        <v>230</v>
      </c>
      <c r="K293" t="s">
        <v>566</v>
      </c>
      <c r="O293">
        <v>3</v>
      </c>
      <c r="P293">
        <v>29</v>
      </c>
      <c r="Q293">
        <v>12</v>
      </c>
      <c r="R293">
        <v>20</v>
      </c>
      <c r="T293">
        <v>2</v>
      </c>
      <c r="U293" t="s">
        <v>11</v>
      </c>
      <c r="V293">
        <v>3</v>
      </c>
      <c r="W293">
        <v>2.5</v>
      </c>
      <c r="X293">
        <v>16</v>
      </c>
      <c r="Z293" t="s">
        <v>565</v>
      </c>
      <c r="AA293" t="s">
        <v>818</v>
      </c>
      <c r="AD293" t="s">
        <v>517</v>
      </c>
      <c r="AR293" t="str">
        <f t="shared" si="353"/>
        <v/>
      </c>
      <c r="AS293" cm="1">
        <f t="array" ref="AS293">ROW()-ROW(Линии[#Headers])</f>
        <v>291</v>
      </c>
      <c r="AT293" t="str">
        <f t="shared" si="354"/>
        <v>R</v>
      </c>
      <c r="AU293" t="str">
        <f t="shared" si="355"/>
        <v>2.013А.1</v>
      </c>
      <c r="AV293" t="str">
        <f t="shared" si="356"/>
        <v>2</v>
      </c>
      <c r="AW293" t="str">
        <f t="shared" si="357"/>
        <v>013А.1</v>
      </c>
      <c r="AX293" t="str">
        <f t="shared" si="358"/>
        <v>013А</v>
      </c>
      <c r="AY293" t="str">
        <f>IF(D293="","",IF(ISERROR(SEARCH(".",D293)),IFERROR(VLOOKUP(D293,Потребители_обозначение,2,FALSE)&amp;"",""),IFERROR(IF(VLOOKUP(AT293,Потребители_обозначение,4,FALSE)=1,VLOOKUP(AT293,Потребители_обозначение,2,FALSE)&amp;" "&amp;VLOOKUP(AV293,Этаж_обозначение,2,FALSE)&amp;" Пом. №"&amp;AX293,VLOOKUP(AT293,Потребители_обозначение,2,FALSE)&amp;" Шлейф №"&amp;AV293),IFERROR(VLOOKUP(D293,Потребители_обозначение,2,FALSE),""))))</f>
        <v>Розеточная группа Второй этаж Пом. №013А</v>
      </c>
      <c r="AZ293" t="str">
        <f t="shared" si="359"/>
        <v>Розеточная группа Второй этаж Пом. №013А</v>
      </c>
      <c r="BA293" t="str">
        <f>IF(F293&lt;&gt;"",F293,IF(AND(D293&lt;&gt;"",D293&lt;&gt;A293,ISNUMBER(_xlfn.XMATCH(D293,Щиты[Щит]))),D293,""))</f>
        <v/>
      </c>
      <c r="BB293">
        <f>IFERROR(_xlfn.XMATCH(A293,Щиты[Щит]),0)</f>
        <v>11</v>
      </c>
      <c r="BC293">
        <f>IFERROR(N(_xlfn.XLOOKUP(A293,Щиты[Щит],Щиты[Мест под вводной узел])),15)</f>
        <v>8</v>
      </c>
      <c r="BD293">
        <f t="shared" si="360"/>
        <v>20</v>
      </c>
      <c r="BE293" t="str">
        <f t="shared" si="361"/>
        <v>линии</v>
      </c>
      <c r="BF293">
        <f>IF(D293="","",IF(BA293&lt;&gt;"",IFERROR(_xlfn.XLOOKUP(BA293,Щиты[Щит],Щиты[Руст, кВт]),0),N(G293)))</f>
        <v>0.12</v>
      </c>
      <c r="BG293">
        <f>IF(J293&lt;&gt;"",J293,IF(D293="","",IFERROR(IF(VLOOKUP(AT293,Потребители_обозначение,8,FALSE)=0,"",VLOOKUP(AT293,Потребители_обозначение,8,FALSE)),"")))</f>
        <v>230</v>
      </c>
      <c r="BH293">
        <f>IF(I293&lt;&gt;"",I293,IF(D293="","",IFERROR(IF(VLOOKUP(AT293,Потребители_обозначение,9,FALSE)=0,"",VLOOKUP(AT293,Потребители_обозначение,9,FALSE)),"")))</f>
        <v>1</v>
      </c>
      <c r="BI293" t="str">
        <f>IF(U293&lt;&gt;"",U293,IF(D293="","",IFERROR(IF(VLOOKUP(AT293,Потребители_обозначение,6,FALSE)=0,"",VLOOKUP(AT293,Потребители_обозначение,6,FALSE)),"")))</f>
        <v>мс</v>
      </c>
      <c r="BJ293">
        <f>IF(V293&lt;&gt;"",V293,IF(D293="","",IFERROR(IF(VLOOKUP(AT293,Потребители_обозначение,7,FALSE)=0,"",VLOOKUP(AT293,Потребители_обозначение,7,FALSE)),"")))</f>
        <v>3</v>
      </c>
      <c r="BK293">
        <f>IF(W293&lt;&gt;"",W293,IF(D293="","",IFERROR(IF(VLOOKUP(AT293,Потребители_обозначение,10,FALSE)=0,"",VLOOKUP(AT293,Потребители_обозначение,10,FALSE)),"")))</f>
        <v>2.5</v>
      </c>
      <c r="BL293">
        <f>IFERROR(VLOOKUP(AT293,Потребители_обозначение,5,FALSE),0)</f>
        <v>1</v>
      </c>
      <c r="BM293" cm="1">
        <f t="array" ref="BM293">IF(D293="","",IF(BA293&lt;&gt;"",IFERROR(_xlfn.XLOOKUP(BA293,Щиты[Щит],Щиты[cos φ]),0.95),IF(ISNUMBER(M293),M293,IFERROR(IF(BL293=2,_xlfn.IFS(BH293=3,VLOOKUP(BF293,Справочная_двигатели,8,FALSE),BH293=1,VLOOKUP(BF293,Справочная_двигатели,10,TRUE)),IF(AND(Методика="нормы 2026",CN293="Сил"),0.8,0.95)),0.95))))</f>
        <v>0.95</v>
      </c>
      <c r="BN293" cm="1">
        <f t="array" ref="BN293">IF(D293="","",IF(BA293&lt;&gt;"",IFERROR(_xlfn.XLOOKUP(BA293,Щиты[Щит],Щиты[Iр, А]),""),IFERROR(_xlfn.IFS(BH293=1,BF293/((Uн_лин/SQRT(3))*BM293),BH293=3,BF293/(SQRT(3)*Uн_лин*BM293)),"")))</f>
        <v>0.54696341291648753</v>
      </c>
      <c r="BO293">
        <f>IF(D293="","",IF(N(X293)=0,IFERROR(VLOOKUP(BN293,Автомат_номиналы,2,TRUE),""),X293))</f>
        <v>16</v>
      </c>
      <c r="BP293">
        <f t="shared" si="362"/>
        <v>1</v>
      </c>
      <c r="BQ293">
        <f>IF(ISNUMBER(Y293),Y293,К_прокл)</f>
        <v>1</v>
      </c>
      <c r="BR293">
        <f t="shared" si="363"/>
        <v>2</v>
      </c>
      <c r="BS293" cm="1">
        <f t="array" ref="BS293">IF(D293="","",IF(N(BK293)&lt;&gt;0,BK293,IFERROR(_xlfn.LET(_xlpm.need,BO293/(BP293*BQ293),_xlpm.t,CHOOSE(BR293,Iдоп_1ж,Iдоп_2ж,Iдоп_3ж),_xlpm.k,_xlfn.XMATCH(_xlpm.need,_xlpm.t,1),IF(ISNA(_xlpm.k),"Не исп",INDEX(Iдоп_S,_xlpm.k))),"Не исп")))</f>
        <v>2.5</v>
      </c>
      <c r="BT293">
        <f>IFERROR(VLOOKUP(BS293,Кабель_сопротивление,3,FALSE),"")</f>
        <v>2.2499999999999999E-2</v>
      </c>
      <c r="BU293">
        <f>IFERROR(VLOOKUP(BS293,Кабель_сопротивление,2,FALSE),"")</f>
        <v>0.1</v>
      </c>
      <c r="BV293">
        <f t="shared" si="364"/>
        <v>29</v>
      </c>
      <c r="BW293">
        <f>IF(D293="","",IFERROR(IF(VLOOKUP(AT293,Потребители_обозначение,4,FALSE)=1,VLOOKUP(AT293,Потребители_обозначение,3,FALSE)*(H293*2-1)+BV293+VLOOKUP(AV293,Этаж_обозначение,3,FALSE)+VLOOKUP(AV293,Этаж_обозначение,4,FALSE),VLOOKUP(AT293,Потребители_обозначение,3,FALSE)*(H293*2-1)+BV293),BV293))</f>
        <v>38</v>
      </c>
      <c r="BX293">
        <f t="shared" si="365"/>
        <v>20</v>
      </c>
      <c r="BY293">
        <f t="shared" si="366"/>
        <v>34</v>
      </c>
      <c r="BZ293">
        <f t="shared" si="367"/>
        <v>2</v>
      </c>
      <c r="CA293">
        <f t="shared" si="368"/>
        <v>0.31</v>
      </c>
      <c r="CB293">
        <f t="shared" si="369"/>
        <v>0.35670547151396481</v>
      </c>
      <c r="CC293">
        <f>IFERROR(ROUNDUP(CB293/((Uн_лин/SQRT(3))*1000)*100,2),"")</f>
        <v>0.16</v>
      </c>
      <c r="CD293">
        <f>IF(ISNUMBER(CC293),CC293+IFERROR(_xlfn.XLOOKUP(A293,Щиты[Щит],Щиты[ΔU до шин, %]),0),"")</f>
        <v>1.95</v>
      </c>
      <c r="CE293">
        <f>IF(D293="","",IF(IFERROR(VLOOKUP(AT293,УГО_спр,2,FALSE),"")="Светильник",3,4)+IF(Методика="нормы 2026",MIN(0.5,MAX(0,N(BW293)-100)*0.005),0))</f>
        <v>4</v>
      </c>
      <c r="CF293" t="str">
        <f>IFERROR(VLOOKUP(BI293,Кабель_обозначение,2,FALSE),"")</f>
        <v>ВВГнг(А)-LS</v>
      </c>
      <c r="CG293" t="str">
        <f>IFERROR(IF(VLOOKUP(BI293,Кабель_обозначение,3,FALSE)=1,CF293&amp;" ("&amp;BJ293&amp;"х"&amp;BS293&amp;")",CF293),"")</f>
        <v>ВВГнг(А)-LS (3х2,5)</v>
      </c>
      <c r="CH293" t="str">
        <f t="shared" si="370"/>
        <v>ВВГнг(А)-LS (3х2,5)
L=38-0,16%</v>
      </c>
      <c r="CI293">
        <f>IFERROR(2*ρкз_Cu*BW293/BS293,"")</f>
        <v>0.79952000000000001</v>
      </c>
      <c r="CJ293">
        <f t="shared" si="371"/>
        <v>0.26600000000000001</v>
      </c>
      <c r="CK293" t="str">
        <f>IFERROR(IF(OR(D293="",NOT(ISNUMBER(BS293)),N(BW293)=0),"",_xlfn.XLOOKUP(A293,Щиты[Щит],Щиты[Zпетли на шинах, Ом])+CI293),"")</f>
        <v/>
      </c>
      <c r="CL293" t="str">
        <f>IF(ISNUMBER(CK293),c_min*(Uн_лин*1000/SQRT(3))/CK293,"")</f>
        <v/>
      </c>
      <c r="CM293" t="str">
        <f>IFERROR(IF(OR(D293="",NOT(ISNUMBER(BS293))),"",1.05*(Uн_лин*1000/SQRT(3))/(_xlfn.XLOOKUP(A293,Щиты[Щит],Щиты[Zmax на шинах, Ом])+CJ293)/1000),"")</f>
        <v/>
      </c>
      <c r="CN293" t="str">
        <f>IF(D293="","",IF(BA293&lt;&gt;"","Щит",IF(K293&lt;&gt;"",K293,IF(ISNUMBER(L293),"Сил",IF(IFERROR(_xlfn.XLOOKUP(AT293,Коды_код,Коды_группа)&amp;"","")="","Быт",_xlfn.XLOOKUP(AT293,Коды_код,Коды_группа)&amp;"")))))</f>
        <v>Быт</v>
      </c>
      <c r="CO293">
        <f>IF(CN293="Щит","щит",IF(CN293="","",IF(CN293="Быт",IFERROR(_xlfn.XLOOKUP(A293,Щиты[Щит],Щиты[Кс быт]),1),IF(CN293="Сил",IF(ISNUMBER(L293),L293,IF(Методика="нормы 2026",IFERROR(_xlfn.XLOOKUP(A293,Щиты[Щит],Щиты[Кс силовых (табл. 7.5)]),1),1)),IF(OR(CN293="Пост",CN293="Отоп"),1,IF(CN293="ВНГ",0.7,0))))))</f>
        <v>0.8</v>
      </c>
      <c r="CP293">
        <f t="shared" si="372"/>
        <v>1</v>
      </c>
      <c r="CQ293">
        <f t="shared" si="373"/>
        <v>0.12</v>
      </c>
      <c r="CR293">
        <f t="shared" si="374"/>
        <v>0.12</v>
      </c>
      <c r="CS293">
        <f t="shared" si="375"/>
        <v>0</v>
      </c>
      <c r="CT293">
        <f t="shared" si="376"/>
        <v>0</v>
      </c>
      <c r="CU293">
        <f t="shared" si="377"/>
        <v>0</v>
      </c>
      <c r="CV293">
        <f t="shared" si="378"/>
        <v>0</v>
      </c>
      <c r="CW293">
        <f t="shared" si="379"/>
        <v>0.12</v>
      </c>
      <c r="CX293">
        <f t="shared" si="380"/>
        <v>0.11399999999999999</v>
      </c>
      <c r="CY293">
        <f t="shared" si="381"/>
        <v>2</v>
      </c>
      <c r="CZ293" t="str">
        <f t="shared" si="382"/>
        <v>L2</v>
      </c>
      <c r="DA293" cm="1">
        <f t="array" ref="DA293">IFERROR(IF(BL293=2,_xlfn.IFS(BH293=3,VLOOKUP(BF293,Справочная_двигатели,3,FALSE),BH293=1,VLOOKUP(BF293,Справочная_двигатели,5,TRUE)),0),0)</f>
        <v>0</v>
      </c>
      <c r="DB293">
        <f>IFERROR(IF(BL293=3,VLOOKUP(BF293,Справочная_ЛЭД,2,TRUE),0),0)</f>
        <v>0</v>
      </c>
      <c r="DC293">
        <f t="shared" si="383"/>
        <v>0</v>
      </c>
      <c r="DD293" t="str">
        <f t="shared" si="384"/>
        <v>L3</v>
      </c>
      <c r="DE293" t="str" cm="1">
        <f t="array" ref="DE293">IF(D293="","",IFERROR(INDEX({"I особая","I","II","III"},MATCH(TRIM(AA293&amp;""),{"I особая","I","II","III"},0)),"III"))</f>
        <v>II</v>
      </c>
      <c r="DF293" t="str">
        <f>IF(D293="","",IF(TRIM(AB293&amp;"")&lt;&gt;"",IF(LOWER(TRIM(AB293&amp;""))="да","да","нет"),IF(IFERROR(_xlfn.XLOOKUP(AT293,Коды_код,Коды_пожарная),"")="да","да","нет")))</f>
        <v>нет</v>
      </c>
      <c r="DG293" t="str">
        <f t="shared" si="385"/>
        <v/>
      </c>
      <c r="DH293" t="str">
        <f t="shared" si="386"/>
        <v>основная</v>
      </c>
      <c r="DI293">
        <f t="shared" si="387"/>
        <v>1</v>
      </c>
      <c r="DJ293" t="str" cm="1">
        <f t="array" ref="DJ293">IF(D293="","",_xlfn.LET(_xlpm.t,IFERROR(_xlfn.XLOOKUP(1,(Шины[Шина]=DH293)*(((Шины[Щит]=A293)+(Шины[Щит]=""))&gt;0),Шины[Тип]),"")&amp;"",IF(_xlpm.t&lt;&gt;"",_xlpm.t,IF(ISNUMBER(SEARCH("ИБП",DH293)),"ИБП",IF(ISNUMBER(SEARCH("ДГУ",DH293)),"ДГУ","Ввод "&amp;DI293)))))</f>
        <v>Ввод 1</v>
      </c>
      <c r="DK293" t="str">
        <f t="shared" si="388"/>
        <v>Ввод 1</v>
      </c>
      <c r="DL293" t="str">
        <f>IF(D293="","",IF(OR(DJ293="ИБП",DJ293="ДГУ"),"I особая",IF(DJ293="Одиночная","III",_xlfn.XLOOKUP(A293,Щиты[Щит],Щиты[Категория шины «Ввод»],"III"))))</f>
        <v>II</v>
      </c>
      <c r="DM293">
        <f>IF(D293="",0,IFERROR(MATCH(DE293,{"III","II","I","I особая"},0),1))</f>
        <v>2</v>
      </c>
      <c r="DN293">
        <f t="shared" si="389"/>
        <v>2</v>
      </c>
      <c r="DO293" t="str">
        <f>IF(D293="","",IF(DM293&gt;IFERROR(MATCH(DL293,{"III","II","I","I особая"},0),1),"НЕ ОБЕСПЕЧЕНА","ОК"))</f>
        <v>ОК</v>
      </c>
      <c r="DP293" t="str">
        <f>IF(A293="","",_xlfn.XLOOKUP(A293,Щиты[Щит],Щиты[Путь],""))</f>
        <v>|ГРЩ-ЖД|ЩР-2|</v>
      </c>
      <c r="DQ293" t="str">
        <f>IF(D293="","",IF(Z293&lt;&gt;"",Z293,IF(IFERROR(_xlfn.XLOOKUP(AT293,Коды_код,Коды_вид)&amp;"","")="","Прочее",_xlfn.XLOOKUP(AT293,Коды_код,Коды_вид)&amp;"")))</f>
        <v>Розеточная сеть и бытовые приборы</v>
      </c>
      <c r="DR293">
        <f>IF(BD293="","",INT((BD293-1)/Столбцов_на_лист)+1)</f>
        <v>2</v>
      </c>
      <c r="DS293" t="str">
        <f t="shared" si="390"/>
        <v>ВВГнг(А)-LS (3х2,5) L=38-0,16%</v>
      </c>
      <c r="DT293">
        <f t="shared" si="391"/>
        <v>0.12</v>
      </c>
      <c r="DU293">
        <f t="shared" si="392"/>
        <v>0.55000000000000004</v>
      </c>
      <c r="DV293">
        <f t="shared" si="393"/>
        <v>1</v>
      </c>
      <c r="DW293">
        <f>IF(AT293="",0,_xlfn.LET(_xlpm.v,IFERROR(VLOOKUP(D293,УГО_спр,3,FALSE),IFERROR(VLOOKUP(AT293,УГО_спр,3,FALSE),IFERROR(VLOOKUP(LEFT(AT293,2),УГО_спр,3,FALSE),""))),IF(_xlpm.v="да",30,IF(ISNUMBER(_xlpm.v),_xlpm.v,0))))</f>
        <v>30</v>
      </c>
      <c r="DX293">
        <f t="shared" si="394"/>
        <v>0</v>
      </c>
      <c r="DY293">
        <f>IF(BD293="","",IF(AD293&lt;&gt;"",COUNTIFS(A$3:A293,A293,AD$3:AD293,"?*"),IF(OR(OR(AS293=1,A293&lt;&gt;A292),AL293="вручную"),"",IF(AS293=1,"",DZ292))))</f>
        <v>10</v>
      </c>
      <c r="DZ293">
        <f t="shared" si="395"/>
        <v>10</v>
      </c>
      <c r="EA293">
        <f>IF(D293="",0,MAX(IFERROR(--X293,0),IFERROR(--VLOOKUP(D293,УГО_спр,4,FALSE),IFERROR(--VLOOKUP(AT293,УГО_спр,4,FALSE),IFERROR(--VLOOKUP(LEFT(AT293,2),УГО_спр,4,FALSE),0)))))</f>
        <v>16</v>
      </c>
      <c r="EB293">
        <f>IF(D293="","",IFERROR(LOOKUP(INDEX(CHOOSE(BR293,Iдоп_1ж,Iдоп_2ж,Iдоп_3ж),MATCH(BS293,Iдоп_S,0))*BP293*BQ293,{6,10,16,20,25,32,40,50,63,80,100,125,160,200,250,315,400,500,630}),""))</f>
        <v>25</v>
      </c>
      <c r="EC293">
        <f>IF(AD293="","",SUMIFS(Линии[_Ток схемы],Линии[_гр.],DY293,Линии[Щит],A293,Линии[_в кабель выше],0))</f>
        <v>0.55000000000000004</v>
      </c>
      <c r="ED293">
        <f>IF(AD293="","",IFERROR(VLOOKUP(EC293,Автомат_номиналы,2,TRUE),""))</f>
        <v>6</v>
      </c>
      <c r="EE293">
        <f>IF(AD293="","",MAX(N(ED293),_xlfn.MAXIFS(Линии[_мин. по типу],Линии[_гр.],DY293,Линии[Щит],A293)))</f>
        <v>16</v>
      </c>
      <c r="EF293">
        <f>IF(AD293="","",_xlfn.MINIFS(Линии[_макс. автомат по кабелю],Линии[_гр.],DY293,Линии[Щит],A293))</f>
        <v>25</v>
      </c>
      <c r="EG293">
        <f>IF(AD293="","",MAX(1,_xlfn.MAXIFS(Линии[_фаз],Линии[_гр.],DY293,Линии[Щит],A293)))</f>
        <v>1</v>
      </c>
      <c r="EH293">
        <f>IF(AD293="","",IF(AND(AD293&lt;&gt;"авто",AD293&lt;&gt;"+"),IF(ISNUMBER(SEARCH("мА",AD293)),IFERROR(--TRIM(RIGHT(SUBSTITUTE(LEFT(AD293,SEARCH("мА",AD293)-1)," ",REPT(" ",9)),6)),30),0),IF(AE293="нет",0,IF(ISNUMBER(AE293),AE293,IF(AE293="да",30,_xlfn.MINIFS(Линии[_дифзащита по коду, мА],Линии[_гр.],DY293,Линии[Щит],A293,Линии[_дифзащита по коду, мА],"&gt;0"))))))</f>
        <v>30</v>
      </c>
      <c r="EI293">
        <f t="shared" si="396"/>
        <v>1</v>
      </c>
      <c r="EJ293" t="str">
        <f t="shared" si="397"/>
        <v>QFD10</v>
      </c>
      <c r="EK293" t="str">
        <f t="shared" si="398"/>
        <v>QFD10</v>
      </c>
      <c r="EL293" t="str">
        <f t="shared" si="399"/>
        <v/>
      </c>
      <c r="EM293">
        <f t="shared" si="400"/>
        <v>0</v>
      </c>
      <c r="EN293">
        <f>IF(AD293="","",IF(EM293=1,MAX(EE293,Мин_автомат_БП),EE293))</f>
        <v>16</v>
      </c>
      <c r="EO293" t="str">
        <f t="shared" si="401"/>
        <v>2P</v>
      </c>
      <c r="EP293" t="str">
        <f t="shared" si="402"/>
        <v>2P С16А 30мА</v>
      </c>
      <c r="EQ293">
        <f t="shared" si="403"/>
        <v>16</v>
      </c>
      <c r="ER293" t="str">
        <f>IF(OR(AI293="",AI293="-"),"",IFERROR(VLOOKUP(AI293,Модули_спр,2,FALSE),"R"))</f>
        <v/>
      </c>
      <c r="ES293" t="str">
        <f>IF(ER293="","",ER293&amp;"."&amp;COUNTIFS(A$3:A293,A293,ER$3:ER293,ER293))</f>
        <v/>
      </c>
      <c r="ET293" t="str">
        <f t="shared" si="404"/>
        <v/>
      </c>
      <c r="EU293" t="str">
        <f t="shared" si="405"/>
        <v/>
      </c>
      <c r="EV293" t="str">
        <f t="shared" si="406"/>
        <v/>
      </c>
      <c r="EW293" t="str">
        <f t="shared" si="407"/>
        <v/>
      </c>
      <c r="EX293">
        <f t="shared" si="408"/>
        <v>1</v>
      </c>
      <c r="EY293" t="str">
        <f>IF(AK293="нет","",IF(AK293&lt;&gt;"",AK293,IF(EX293=1,"XT"&amp;COUNTIFS(A$3:A293,A293,EX$3:EX293,1),"")))</f>
        <v>XT10</v>
      </c>
      <c r="EZ293" t="str">
        <f t="shared" si="409"/>
        <v>QFD10</v>
      </c>
      <c r="FA293" t="str">
        <f t="shared" si="410"/>
        <v/>
      </c>
      <c r="FB293" t="str">
        <f t="shared" si="411"/>
        <v>ok</v>
      </c>
      <c r="FC293" t="str">
        <f>IF(OR(EV293="",ET293=""),"",IF(EV293&gt;IFERROR(VLOOKUP(EU293,Модули_спр,3,FALSE),99),"ЛИШНИЙ КАНАЛ",IF(AND(AJ293&lt;&gt;"=",COUNTIFS(Линии[_модуль гр.],ET293,Линии[Канал (итог)],EV293,Линии[Канал],"&lt;&gt;=",Линии[Щит],A293)&gt;1),"ДУБЛЬ КАНАЛА","")))</f>
        <v/>
      </c>
      <c r="FD293">
        <f t="shared" si="412"/>
        <v>16</v>
      </c>
      <c r="FE293" t="str">
        <f t="shared" si="413"/>
        <v>2P С16А 30мА</v>
      </c>
      <c r="FF293">
        <f t="shared" si="414"/>
        <v>1</v>
      </c>
      <c r="FG293">
        <f t="shared" si="415"/>
        <v>30</v>
      </c>
      <c r="FH293" t="str">
        <f t="shared" si="416"/>
        <v/>
      </c>
      <c r="FI293">
        <f t="shared" si="417"/>
        <v>10</v>
      </c>
      <c r="FJ293" t="str">
        <f t="shared" si="418"/>
        <v/>
      </c>
      <c r="FK293" t="str">
        <f>IF(AND(D293="",EZ293=""),"",_xlfn.TEXTJOIN("; ",TRUE,IF(AND(D293&lt;&gt;"",DD293=""),"нет фазы",""),IF(AND(D293&lt;&gt;"",N(DT293)=0,CN293&lt;&gt;"Нет"),"нет мощности",""),IF(AND(EY293&lt;&gt;"",COUNTIFS(Линии[Щит],A293,Линии[Клемма (итог)],EY293)&gt;1),"дубль клеммы "&amp;EY293,""),IF(AND(FB293&lt;&gt;"",FB293&lt;&gt;"ok"),FB293,""),IF(FC293&lt;&gt;"",FC293,""),IF(AND(ISNUMBER(SEARCH("(5х",DS293)),N(DV293)=1),"5 жил на 1 фазе",""),IF(AND(AT293="R",AD293&lt;&gt;"",OR(N(EH293)=0,N(EH293)&gt;30)),"розетка без дифзащиты до 30 мА",""),IFERROR(IF(AND(ISNUMBER(CD293),CD293&gt;CE293),"потери "&amp;FIXED(CD293,1)&amp;" % &gt; "&amp;CE293&amp;" %",""),""),IFERROR(IF(LEFT(FJ293,4)="мало","Iкз мало — отключение &gt; 0,4 с",""),""),IF(AND(D293&lt;&gt;"",BD293=""),"не на схеме","")))</f>
        <v/>
      </c>
      <c r="FL293">
        <f>IF(AD293="","",_xlfn.LET(_xlpm.t,IFERROR(_xlfn.XLOOKUP(EP293,Каталог!$U$4:$U$500,Каталог!$G$4:$G$500),""),_xlpm.k,SEARCH("кА",_xlpm.t),IFERROR(--TRIM(RIGHT(SUBSTITUTE(MID(_xlpm.t,MAX(1,_xlpm.k-4),_xlpm.k-MAX(1,_xlpm.k-4))," ",REPT(" ",9)),5)),"")))</f>
        <v>6</v>
      </c>
      <c r="FM293" t="str">
        <f>IF(OR(FL293="",AD293=""),"",IF(_xlfn.XLOOKUP(A293,Щиты[Щит],Щиты[Iкз max на шинах, кА],"")="","",IF(FL293&lt;_xlfn.XLOOKUP(A293,Щиты[Щит],Щиты[Iкз max на шинах, кА]),"Icu "&amp;FL293&amp;" кА &lt; Iкз max","ok")))</f>
        <v/>
      </c>
      <c r="FN293" t="str">
        <f t="shared" si="419"/>
        <v>QFD10|XT10</v>
      </c>
      <c r="FO293" t="str">
        <f t="shared" si="420"/>
        <v>QFD10|XT10|кабель ВВГнг(А)-LS (3х2,5) → Розеточная группа Второй этаж Пом. №013А</v>
      </c>
      <c r="FP293" t="str" cm="1">
        <f t="array" ref="FP293">IF(FO293="","",_xlfn.LET(_xlpm.nd,_xlfn.TEXTSPLIT(FO293,"|"),IF(COLUMNS(_xlpm.nd)&gt;1,A293&amp;"¦"&amp;INDEX(_xlpm.nd,1)&amp;"¦"&amp;INDEX(_xlpm.nd,2),"")))</f>
        <v>ЩР-2¦QFD10¦XT10</v>
      </c>
      <c r="FQ293" t="str">
        <f t="shared" si="421"/>
        <v>R.2.013А.1¦Розеточная группа Второй этаж Пом. №013А</v>
      </c>
      <c r="FR293" t="str" cm="1">
        <f t="array" ref="FR293">IF(FO293="","",_xlfn.LET(_xlpm.nd,_xlfn.TEXTSPLIT(FO293,"|"),IF(COLUMNS(_xlpm.nd)&gt;2,A293&amp;"¦"&amp;INDEX(_xlpm.nd,2)&amp;"¦"&amp;INDEX(_xlpm.nd,3),"")))</f>
        <v>ЩР-2¦XT10¦кабель ВВГнг(А)-LS (3х2,5) → Розеточная группа Второй этаж Пом. №013А</v>
      </c>
      <c r="FS293" t="str">
        <f t="shared" si="422"/>
        <v>R.2.013А.1¦Розеточная группа Второй этаж Пом. №013А</v>
      </c>
      <c r="FT293" t="str" cm="1">
        <f t="array" ref="FT293">IF(FO293="","",_xlfn.LET(_xlpm.nd,_xlfn.TEXTSPLIT(FO293,"|"),IF(COLUMNS(_xlpm.nd)&gt;3,A293&amp;"¦"&amp;INDEX(_xlpm.nd,3)&amp;"¦"&amp;INDEX(_xlpm.nd,4),"")))</f>
        <v/>
      </c>
      <c r="FU293" t="str">
        <f t="shared" si="423"/>
        <v/>
      </c>
      <c r="FV293" t="str" cm="1">
        <f t="array" ref="FV293">IF(FO293="","",_xlfn.LET(_xlpm.nd,_xlfn.TEXTSPLIT(FO293,"|"),IF(COLUMNS(_xlpm.nd)&gt;4,A293&amp;"¦"&amp;INDEX(_xlpm.nd,4)&amp;"¦"&amp;INDEX(_xlpm.nd,5),"")))</f>
        <v/>
      </c>
      <c r="FW293" t="str">
        <f t="shared" si="424"/>
        <v/>
      </c>
      <c r="FX293" t="str" cm="1">
        <f t="array" ref="FX293">IF(FO293="","",_xlfn.LET(_xlpm.nd,_xlfn.TEXTSPLIT(FO293,"|"),IF(COLUMNS(_xlpm.nd)&gt;5,A293&amp;"¦"&amp;INDEX(_xlpm.nd,5)&amp;"¦"&amp;INDEX(_xlpm.nd,6),"")))</f>
        <v/>
      </c>
      <c r="FY293" t="str">
        <f t="shared" si="425"/>
        <v/>
      </c>
      <c r="FZ293" t="str" cm="1">
        <f t="array" ref="FZ293">IF(FO293="","",_xlfn.LET(_xlpm.nd,_xlfn.TEXTSPLIT(FO293,"|"),IF(COLUMNS(_xlpm.nd)&gt;6,A293&amp;"¦"&amp;INDEX(_xlpm.nd,6)&amp;"¦"&amp;INDEX(_xlpm.nd,7),"")))</f>
        <v/>
      </c>
      <c r="GA293" t="str">
        <f t="shared" si="426"/>
        <v/>
      </c>
      <c r="GB293" t="str">
        <f t="shared" si="427"/>
        <v/>
      </c>
      <c r="GC293" t="str">
        <f t="shared" si="428"/>
        <v>QFD10 → XT10</v>
      </c>
      <c r="GD293">
        <f t="shared" si="429"/>
        <v>1</v>
      </c>
      <c r="GE293">
        <f t="shared" si="430"/>
        <v>0</v>
      </c>
      <c r="GF293">
        <f t="shared" si="431"/>
        <v>1</v>
      </c>
      <c r="GG293" t="str">
        <f t="shared" si="432"/>
        <v/>
      </c>
      <c r="GH293" t="str">
        <f t="shared" si="433"/>
        <v/>
      </c>
      <c r="GI293" t="str">
        <f t="shared" si="434"/>
        <v/>
      </c>
      <c r="GJ293" t="str">
        <f t="shared" si="435"/>
        <v/>
      </c>
      <c r="GK293" t="str">
        <f>IF(D293="","",IFERROR(VLOOKUP(D293,УГО_спр,2,FALSE),IFERROR(VLOOKUP(AT293,УГО_спр,2,FALSE),IFERROR(VLOOKUP(LEFT(AT293,2),УГО_спр,2,FALSE),""))))</f>
        <v>Розетка</v>
      </c>
      <c r="GL293" t="str">
        <f>IF(D293="","",IF(OR(GK293="",GK293=0),"BOX",IFERROR(IF(VLOOKUP(GK293,УГО_блоки,3,FALSE)&amp;""&lt;&gt;"",VLOOKUP(GK293,УГО_блоки,3,FALSE),VLOOKUP(GK293,УГО_блоки,2,FALSE)),GK293)))</f>
        <v>SOCKET</v>
      </c>
      <c r="GM293">
        <f t="shared" si="436"/>
        <v>1</v>
      </c>
      <c r="GN293" t="str">
        <f>IF(EP293="","",IF(COUNTIF(EP$3:EP293,EP293)=1,MAX(GN$2:GN292)+1,""))</f>
        <v/>
      </c>
      <c r="GO293" t="str">
        <f>IF(AF293="","",IF(COUNTIF(AF$3:AF293,AF293)+COUNTIF(AG$2:AG292,AF293)+COUNTIF(AH$2:AH292,AF293)=1,MAX(GO$2:GQ292)+1,""))</f>
        <v/>
      </c>
      <c r="GP293" t="str">
        <f>IF(AG293="","",IF(COUNTIF(AF$3:AF293,AG293)+COUNTIF(AG$3:AG293,AG293)+COUNTIF(AH$2:AH292,AG293)=1,MAX(GO$2:GQ292,GO293)+1,""))</f>
        <v/>
      </c>
      <c r="GQ293" t="str">
        <f>IF(AH293="","",IF(COUNTIF(AF$3:AF293,AH293)+COUNTIF(AG$3:AG293,AH293)+COUNTIF(AH$3:AH293,AH293)=1,MAX(GO$2:GQ292,GO293,GP293)+1,""))</f>
        <v/>
      </c>
      <c r="GR293" t="str">
        <f t="shared" si="437"/>
        <v>3х2,5</v>
      </c>
      <c r="GS293" t="str">
        <f>IF(GR293="","",IF(COUNTIF(GR$3:GR293,GR293)=1,MAX(GS$2:GS292)+1,""))</f>
        <v/>
      </c>
      <c r="GT293" t="str">
        <f>IF(ES293="","",COUNTIF(ES$3:ES293,"?*"))</f>
        <v/>
      </c>
      <c r="GU293" t="str">
        <f>IF(OR(ES293="",EU293=""),"",IF(COUNTIFS(ES$3:ES293,"?*",EU$3:EU293,EU293)=1,MAX(GU$2:GU292)+1,""))</f>
        <v/>
      </c>
      <c r="GV293">
        <f t="shared" si="438"/>
        <v>0</v>
      </c>
      <c r="GW293">
        <f>IF(D293="","",COUNTIF(D$3:D293,"?*"))</f>
        <v>291</v>
      </c>
      <c r="GX293">
        <f>IF(EX293&lt;&gt;1,0,_xlfn.LET(_xlpm.k,MAX(IFERROR(--VLOOKUP(D293,УГО_спр,5,FALSE),0),IFERROR(--VLOOKUP(AT293,УГО_спр,5,FALSE),0),IFERROR(--VLOOKUP(LEFT(AT293,2),УГО_спр,5,FALSE),0)),IF(_xlpm.k&gt;0,_xlpm.k,IF(IFERROR(--LEFT(SUBSTITUTE(GR293,"x","х"),FIND("х",SUBSTITUTE(GR293,"x","х"))-1),3)&gt;3,Каталог!$S$9,1))))</f>
        <v>1</v>
      </c>
      <c r="GY293">
        <f t="shared" si="439"/>
        <v>0</v>
      </c>
    </row>
    <row r="294" spans="1:207" x14ac:dyDescent="0.3">
      <c r="A294" t="s">
        <v>764</v>
      </c>
      <c r="B294">
        <v>21</v>
      </c>
      <c r="C294" t="str">
        <f>IF(BD294="","",IF(BE294="вводной узел","узел ","")&amp;"л."&amp;(INT((BD294-1)/Столбцов_на_лист)+1)&amp;" / "&amp;(MOD(BD294-1,Столбцов_на_лист)+1))</f>
        <v>л.2 / 4</v>
      </c>
      <c r="D294" t="s">
        <v>1627</v>
      </c>
      <c r="E294" s="133" t="s">
        <v>1628</v>
      </c>
      <c r="G294">
        <v>0.54</v>
      </c>
      <c r="H294">
        <v>3</v>
      </c>
      <c r="I294">
        <v>1</v>
      </c>
      <c r="J294">
        <v>230</v>
      </c>
      <c r="K294" t="s">
        <v>566</v>
      </c>
      <c r="O294">
        <v>3</v>
      </c>
      <c r="P294">
        <v>50</v>
      </c>
      <c r="Q294">
        <v>12</v>
      </c>
      <c r="R294">
        <v>17</v>
      </c>
      <c r="S294">
        <v>30</v>
      </c>
      <c r="T294">
        <v>2</v>
      </c>
      <c r="U294" t="s">
        <v>11</v>
      </c>
      <c r="V294">
        <v>3</v>
      </c>
      <c r="W294">
        <v>2.5</v>
      </c>
      <c r="X294">
        <v>16</v>
      </c>
      <c r="Z294" t="s">
        <v>565</v>
      </c>
      <c r="AA294" t="s">
        <v>818</v>
      </c>
      <c r="AD294" t="s">
        <v>517</v>
      </c>
      <c r="AK294" t="s">
        <v>488</v>
      </c>
      <c r="AR294" t="str">
        <f t="shared" si="353"/>
        <v/>
      </c>
      <c r="AS294" cm="1">
        <f t="array" ref="AS294">ROW()-ROW(Линии[#Headers])</f>
        <v>292</v>
      </c>
      <c r="AT294" t="str">
        <f t="shared" si="354"/>
        <v>R</v>
      </c>
      <c r="AU294" t="str">
        <f t="shared" si="355"/>
        <v>2.014А.1</v>
      </c>
      <c r="AV294" t="str">
        <f t="shared" si="356"/>
        <v>2</v>
      </c>
      <c r="AW294" t="str">
        <f t="shared" si="357"/>
        <v>014А.1</v>
      </c>
      <c r="AX294" t="str">
        <f t="shared" si="358"/>
        <v>014А</v>
      </c>
      <c r="AY294" t="str">
        <f>IF(D294="","",IF(ISERROR(SEARCH(".",D294)),IFERROR(VLOOKUP(D294,Потребители_обозначение,2,FALSE)&amp;"",""),IFERROR(IF(VLOOKUP(AT294,Потребители_обозначение,4,FALSE)=1,VLOOKUP(AT294,Потребители_обозначение,2,FALSE)&amp;" "&amp;VLOOKUP(AV294,Этаж_обозначение,2,FALSE)&amp;" Пом. №"&amp;AX294,VLOOKUP(AT294,Потребители_обозначение,2,FALSE)&amp;" Шлейф №"&amp;AV294),IFERROR(VLOOKUP(D294,Потребители_обозначение,2,FALSE),""))))</f>
        <v>Розеточная группа Второй этаж Пом. №014А</v>
      </c>
      <c r="AZ294" t="str">
        <f t="shared" si="359"/>
        <v>Розеточная группа Второй этаж Пом. №013А, 012А</v>
      </c>
      <c r="BA294" t="str">
        <f>IF(F294&lt;&gt;"",F294,IF(AND(D294&lt;&gt;"",D294&lt;&gt;A294,ISNUMBER(_xlfn.XMATCH(D294,Щиты[Щит]))),D294,""))</f>
        <v/>
      </c>
      <c r="BB294">
        <f>IFERROR(_xlfn.XMATCH(A294,Щиты[Щит]),0)</f>
        <v>11</v>
      </c>
      <c r="BC294">
        <f>IFERROR(N(_xlfn.XLOOKUP(A294,Щиты[Щит],Щиты[Мест под вводной узел])),15)</f>
        <v>8</v>
      </c>
      <c r="BD294">
        <f t="shared" si="360"/>
        <v>21</v>
      </c>
      <c r="BE294" t="str">
        <f t="shared" si="361"/>
        <v>линии</v>
      </c>
      <c r="BF294">
        <f>IF(D294="","",IF(BA294&lt;&gt;"",IFERROR(_xlfn.XLOOKUP(BA294,Щиты[Щит],Щиты[Руст, кВт]),0),N(G294)))</f>
        <v>0.54</v>
      </c>
      <c r="BG294">
        <f>IF(J294&lt;&gt;"",J294,IF(D294="","",IFERROR(IF(VLOOKUP(AT294,Потребители_обозначение,8,FALSE)=0,"",VLOOKUP(AT294,Потребители_обозначение,8,FALSE)),"")))</f>
        <v>230</v>
      </c>
      <c r="BH294">
        <f>IF(I294&lt;&gt;"",I294,IF(D294="","",IFERROR(IF(VLOOKUP(AT294,Потребители_обозначение,9,FALSE)=0,"",VLOOKUP(AT294,Потребители_обозначение,9,FALSE)),"")))</f>
        <v>1</v>
      </c>
      <c r="BI294" t="str">
        <f>IF(U294&lt;&gt;"",U294,IF(D294="","",IFERROR(IF(VLOOKUP(AT294,Потребители_обозначение,6,FALSE)=0,"",VLOOKUP(AT294,Потребители_обозначение,6,FALSE)),"")))</f>
        <v>мс</v>
      </c>
      <c r="BJ294">
        <f>IF(V294&lt;&gt;"",V294,IF(D294="","",IFERROR(IF(VLOOKUP(AT294,Потребители_обозначение,7,FALSE)=0,"",VLOOKUP(AT294,Потребители_обозначение,7,FALSE)),"")))</f>
        <v>3</v>
      </c>
      <c r="BK294">
        <f>IF(W294&lt;&gt;"",W294,IF(D294="","",IFERROR(IF(VLOOKUP(AT294,Потребители_обозначение,10,FALSE)=0,"",VLOOKUP(AT294,Потребители_обозначение,10,FALSE)),"")))</f>
        <v>2.5</v>
      </c>
      <c r="BL294">
        <f>IFERROR(VLOOKUP(AT294,Потребители_обозначение,5,FALSE),0)</f>
        <v>1</v>
      </c>
      <c r="BM294" cm="1">
        <f t="array" ref="BM294">IF(D294="","",IF(BA294&lt;&gt;"",IFERROR(_xlfn.XLOOKUP(BA294,Щиты[Щит],Щиты[cos φ]),0.95),IF(ISNUMBER(M294),M294,IFERROR(IF(BL294=2,_xlfn.IFS(BH294=3,VLOOKUP(BF294,Справочная_двигатели,8,FALSE),BH294=1,VLOOKUP(BF294,Справочная_двигатели,10,TRUE)),IF(AND(Методика="нормы 2026",CN294="Сил"),0.8,0.95)),0.95))))</f>
        <v>0.95</v>
      </c>
      <c r="BN294" cm="1">
        <f t="array" ref="BN294">IF(D294="","",IF(BA294&lt;&gt;"",IFERROR(_xlfn.XLOOKUP(BA294,Щиты[Щит],Щиты[Iр, А]),""),IFERROR(_xlfn.IFS(BH294=1,BF294/((Uн_лин/SQRT(3))*BM294),BH294=3,BF294/(SQRT(3)*Uн_лин*BM294)),"")))</f>
        <v>2.4613353581241939</v>
      </c>
      <c r="BO294">
        <f>IF(D294="","",IF(N(X294)=0,IFERROR(VLOOKUP(BN294,Автомат_номиналы,2,TRUE),""),X294))</f>
        <v>16</v>
      </c>
      <c r="BP294">
        <f t="shared" si="362"/>
        <v>1</v>
      </c>
      <c r="BQ294">
        <f>IF(ISNUMBER(Y294),Y294,К_прокл)</f>
        <v>1</v>
      </c>
      <c r="BR294">
        <f t="shared" si="363"/>
        <v>2</v>
      </c>
      <c r="BS294" cm="1">
        <f t="array" ref="BS294">IF(D294="","",IF(N(BK294)&lt;&gt;0,BK294,IFERROR(_xlfn.LET(_xlpm.need,BO294/(BP294*BQ294),_xlpm.t,CHOOSE(BR294,Iдоп_1ж,Iдоп_2ж,Iдоп_3ж),_xlpm.k,_xlfn.XMATCH(_xlpm.need,_xlpm.t,1),IF(ISNA(_xlpm.k),"Не исп",INDEX(Iдоп_S,_xlpm.k))),"Не исп")))</f>
        <v>2.5</v>
      </c>
      <c r="BT294">
        <f>IFERROR(VLOOKUP(BS294,Кабель_сопротивление,3,FALSE),"")</f>
        <v>2.2499999999999999E-2</v>
      </c>
      <c r="BU294">
        <f>IFERROR(VLOOKUP(BS294,Кабель_сопротивление,2,FALSE),"")</f>
        <v>0.1</v>
      </c>
      <c r="BV294">
        <f t="shared" si="364"/>
        <v>50</v>
      </c>
      <c r="BW294">
        <f>IF(D294="","",IFERROR(IF(VLOOKUP(AT294,Потребители_обозначение,4,FALSE)=1,VLOOKUP(AT294,Потребители_обозначение,3,FALSE)*(H294*2-1)+BV294+VLOOKUP(AV294,Этаж_обозначение,3,FALSE)+VLOOKUP(AV294,Этаж_обозначение,4,FALSE),VLOOKUP(AT294,Потребители_обозначение,3,FALSE)*(H294*2-1)+BV294),BV294))</f>
        <v>65</v>
      </c>
      <c r="BX294">
        <f t="shared" si="365"/>
        <v>17</v>
      </c>
      <c r="BY294">
        <f t="shared" si="366"/>
        <v>30</v>
      </c>
      <c r="BZ294">
        <f t="shared" si="367"/>
        <v>2</v>
      </c>
      <c r="CA294">
        <f t="shared" si="368"/>
        <v>0.31</v>
      </c>
      <c r="CB294">
        <f t="shared" si="369"/>
        <v>2.7456934320482818</v>
      </c>
      <c r="CC294">
        <f>IFERROR(ROUNDUP(CB294/((Uн_лин/SQRT(3))*1000)*100,2),"")</f>
        <v>1.19</v>
      </c>
      <c r="CD294">
        <f>IF(ISNUMBER(CC294),CC294+IFERROR(_xlfn.XLOOKUP(A294,Щиты[Щит],Щиты[ΔU до шин, %]),0),"")</f>
        <v>2.98</v>
      </c>
      <c r="CE294">
        <f>IF(D294="","",IF(IFERROR(VLOOKUP(AT294,УГО_спр,2,FALSE),"")="Светильник",3,4)+IF(Методика="нормы 2026",MIN(0.5,MAX(0,N(BW294)-100)*0.005),0))</f>
        <v>4</v>
      </c>
      <c r="CF294" t="str">
        <f>IFERROR(VLOOKUP(BI294,Кабель_обозначение,2,FALSE),"")</f>
        <v>ВВГнг(А)-LS</v>
      </c>
      <c r="CG294" t="str">
        <f>IFERROR(IF(VLOOKUP(BI294,Кабель_обозначение,3,FALSE)=1,CF294&amp;" ("&amp;BJ294&amp;"х"&amp;BS294&amp;")",CF294),"")</f>
        <v>ВВГнг(А)-LS (3х2,5)</v>
      </c>
      <c r="CH294" t="str">
        <f t="shared" si="370"/>
        <v>ВВГнг(А)-LS (3х2,5)
L=65-1,19%</v>
      </c>
      <c r="CI294">
        <f>IFERROR(2*ρкз_Cu*BW294/BS294,"")</f>
        <v>1.3675999999999999</v>
      </c>
      <c r="CJ294">
        <f t="shared" si="371"/>
        <v>0.45500000000000007</v>
      </c>
      <c r="CK294" t="str">
        <f>IFERROR(IF(OR(D294="",NOT(ISNUMBER(BS294)),N(BW294)=0),"",_xlfn.XLOOKUP(A294,Щиты[Щит],Щиты[Zпетли на шинах, Ом])+CI294),"")</f>
        <v/>
      </c>
      <c r="CL294" t="str">
        <f>IF(ISNUMBER(CK294),c_min*(Uн_лин*1000/SQRT(3))/CK294,"")</f>
        <v/>
      </c>
      <c r="CM294" t="str">
        <f>IFERROR(IF(OR(D294="",NOT(ISNUMBER(BS294))),"",1.05*(Uн_лин*1000/SQRT(3))/(_xlfn.XLOOKUP(A294,Щиты[Щит],Щиты[Zmax на шинах, Ом])+CJ294)/1000),"")</f>
        <v/>
      </c>
      <c r="CN294" t="str">
        <f>IF(D294="","",IF(BA294&lt;&gt;"","Щит",IF(K294&lt;&gt;"",K294,IF(ISNUMBER(L294),"Сил",IF(IFERROR(_xlfn.XLOOKUP(AT294,Коды_код,Коды_группа)&amp;"","")="","Быт",_xlfn.XLOOKUP(AT294,Коды_код,Коды_группа)&amp;"")))))</f>
        <v>Быт</v>
      </c>
      <c r="CO294">
        <f>IF(CN294="Щит","щит",IF(CN294="","",IF(CN294="Быт",IFERROR(_xlfn.XLOOKUP(A294,Щиты[Щит],Щиты[Кс быт]),1),IF(CN294="Сил",IF(ISNUMBER(L294),L294,IF(Методика="нормы 2026",IFERROR(_xlfn.XLOOKUP(A294,Щиты[Щит],Щиты[Кс силовых (табл. 7.5)]),1),1)),IF(OR(CN294="Пост",CN294="Отоп"),1,IF(CN294="ВНГ",0.7,0))))))</f>
        <v>0.8</v>
      </c>
      <c r="CP294">
        <f t="shared" si="372"/>
        <v>1</v>
      </c>
      <c r="CQ294">
        <f t="shared" si="373"/>
        <v>0.54</v>
      </c>
      <c r="CR294">
        <f t="shared" si="374"/>
        <v>0.54</v>
      </c>
      <c r="CS294">
        <f t="shared" si="375"/>
        <v>0</v>
      </c>
      <c r="CT294">
        <f t="shared" si="376"/>
        <v>0</v>
      </c>
      <c r="CU294">
        <f t="shared" si="377"/>
        <v>0</v>
      </c>
      <c r="CV294">
        <f t="shared" si="378"/>
        <v>0</v>
      </c>
      <c r="CW294">
        <f t="shared" si="379"/>
        <v>0.54</v>
      </c>
      <c r="CX294">
        <f t="shared" si="380"/>
        <v>0.51300000000000001</v>
      </c>
      <c r="CY294">
        <f t="shared" si="381"/>
        <v>3</v>
      </c>
      <c r="CZ294" t="str">
        <f t="shared" si="382"/>
        <v>L3</v>
      </c>
      <c r="DA294" cm="1">
        <f t="array" ref="DA294">IFERROR(IF(BL294=2,_xlfn.IFS(BH294=3,VLOOKUP(BF294,Справочная_двигатели,3,FALSE),BH294=1,VLOOKUP(BF294,Справочная_двигатели,5,TRUE)),0),0)</f>
        <v>0</v>
      </c>
      <c r="DB294">
        <f>IFERROR(IF(BL294=3,VLOOKUP(BF294,Справочная_ЛЭД,2,TRUE),0),0)</f>
        <v>0</v>
      </c>
      <c r="DC294">
        <f t="shared" si="383"/>
        <v>0</v>
      </c>
      <c r="DD294" t="str">
        <f t="shared" si="384"/>
        <v>L3</v>
      </c>
      <c r="DE294" t="str" cm="1">
        <f t="array" ref="DE294">IF(D294="","",IFERROR(INDEX({"I особая","I","II","III"},MATCH(TRIM(AA294&amp;""),{"I особая","I","II","III"},0)),"III"))</f>
        <v>II</v>
      </c>
      <c r="DF294" t="str">
        <f>IF(D294="","",IF(TRIM(AB294&amp;"")&lt;&gt;"",IF(LOWER(TRIM(AB294&amp;""))="да","да","нет"),IF(IFERROR(_xlfn.XLOOKUP(AT294,Коды_код,Коды_пожарная),"")="да","да","нет")))</f>
        <v>нет</v>
      </c>
      <c r="DG294" t="str">
        <f t="shared" si="385"/>
        <v/>
      </c>
      <c r="DH294" t="str">
        <f t="shared" si="386"/>
        <v>основная</v>
      </c>
      <c r="DI294">
        <f t="shared" si="387"/>
        <v>1</v>
      </c>
      <c r="DJ294" t="str" cm="1">
        <f t="array" ref="DJ294">IF(D294="","",_xlfn.LET(_xlpm.t,IFERROR(_xlfn.XLOOKUP(1,(Шины[Шина]=DH294)*(((Шины[Щит]=A294)+(Шины[Щит]=""))&gt;0),Шины[Тип]),"")&amp;"",IF(_xlpm.t&lt;&gt;"",_xlpm.t,IF(ISNUMBER(SEARCH("ИБП",DH294)),"ИБП",IF(ISNUMBER(SEARCH("ДГУ",DH294)),"ДГУ","Ввод "&amp;DI294)))))</f>
        <v>Ввод 1</v>
      </c>
      <c r="DK294" t="str">
        <f t="shared" si="388"/>
        <v>Ввод 1</v>
      </c>
      <c r="DL294" t="str">
        <f>IF(D294="","",IF(OR(DJ294="ИБП",DJ294="ДГУ"),"I особая",IF(DJ294="Одиночная","III",_xlfn.XLOOKUP(A294,Щиты[Щит],Щиты[Категория шины «Ввод»],"III"))))</f>
        <v>II</v>
      </c>
      <c r="DM294">
        <f>IF(D294="",0,IFERROR(MATCH(DE294,{"III","II","I","I особая"},0),1))</f>
        <v>2</v>
      </c>
      <c r="DN294">
        <f t="shared" si="389"/>
        <v>2</v>
      </c>
      <c r="DO294" t="str">
        <f>IF(D294="","",IF(DM294&gt;IFERROR(MATCH(DL294,{"III","II","I","I особая"},0),1),"НЕ ОБЕСПЕЧЕНА","ОК"))</f>
        <v>ОК</v>
      </c>
      <c r="DP294" t="str">
        <f>IF(A294="","",_xlfn.XLOOKUP(A294,Щиты[Щит],Щиты[Путь],""))</f>
        <v>|ГРЩ-ЖД|ЩР-2|</v>
      </c>
      <c r="DQ294" t="str">
        <f>IF(D294="","",IF(Z294&lt;&gt;"",Z294,IF(IFERROR(_xlfn.XLOOKUP(AT294,Коды_код,Коды_вид)&amp;"","")="","Прочее",_xlfn.XLOOKUP(AT294,Коды_код,Коды_вид)&amp;"")))</f>
        <v>Розеточная сеть и бытовые приборы</v>
      </c>
      <c r="DR294">
        <f>IF(BD294="","",INT((BD294-1)/Столбцов_на_лист)+1)</f>
        <v>2</v>
      </c>
      <c r="DS294" t="str">
        <f t="shared" si="390"/>
        <v>ВВГнг(А)-LS (3х2,5) L=65-1,19%</v>
      </c>
      <c r="DT294">
        <f t="shared" si="391"/>
        <v>0.54</v>
      </c>
      <c r="DU294">
        <f t="shared" si="392"/>
        <v>2.4699999999999998</v>
      </c>
      <c r="DV294">
        <f t="shared" si="393"/>
        <v>1</v>
      </c>
      <c r="DW294">
        <f>IF(AT294="",0,_xlfn.LET(_xlpm.v,IFERROR(VLOOKUP(D294,УГО_спр,3,FALSE),IFERROR(VLOOKUP(AT294,УГО_спр,3,FALSE),IFERROR(VLOOKUP(LEFT(AT294,2),УГО_спр,3,FALSE),""))),IF(_xlpm.v="да",30,IF(ISNUMBER(_xlpm.v),_xlpm.v,0))))</f>
        <v>30</v>
      </c>
      <c r="DX294">
        <f t="shared" si="394"/>
        <v>0</v>
      </c>
      <c r="DY294">
        <f>IF(BD294="","",IF(AD294&lt;&gt;"",COUNTIFS(A$3:A294,A294,AD$3:AD294,"?*"),IF(OR(OR(AS294=1,A294&lt;&gt;A293),AL294="вручную"),"",IF(AS294=1,"",DZ293))))</f>
        <v>11</v>
      </c>
      <c r="DZ294">
        <f t="shared" si="395"/>
        <v>11</v>
      </c>
      <c r="EA294">
        <f>IF(D294="",0,MAX(IFERROR(--X294,0),IFERROR(--VLOOKUP(D294,УГО_спр,4,FALSE),IFERROR(--VLOOKUP(AT294,УГО_спр,4,FALSE),IFERROR(--VLOOKUP(LEFT(AT294,2),УГО_спр,4,FALSE),0)))))</f>
        <v>16</v>
      </c>
      <c r="EB294">
        <f>IF(D294="","",IFERROR(LOOKUP(INDEX(CHOOSE(BR294,Iдоп_1ж,Iдоп_2ж,Iдоп_3ж),MATCH(BS294,Iдоп_S,0))*BP294*BQ294,{6,10,16,20,25,32,40,50,63,80,100,125,160,200,250,315,400,500,630}),""))</f>
        <v>25</v>
      </c>
      <c r="EC294">
        <f>IF(AD294="","",SUMIFS(Линии[_Ток схемы],Линии[_гр.],DY294,Линии[Щит],A294,Линии[_в кабель выше],0))</f>
        <v>2.4699999999999998</v>
      </c>
      <c r="ED294">
        <f>IF(AD294="","",IFERROR(VLOOKUP(EC294,Автомат_номиналы,2,TRUE),""))</f>
        <v>6</v>
      </c>
      <c r="EE294">
        <f>IF(AD294="","",MAX(N(ED294),_xlfn.MAXIFS(Линии[_мин. по типу],Линии[_гр.],DY294,Линии[Щит],A294)))</f>
        <v>16</v>
      </c>
      <c r="EF294">
        <f>IF(AD294="","",_xlfn.MINIFS(Линии[_макс. автомат по кабелю],Линии[_гр.],DY294,Линии[Щит],A294))</f>
        <v>25</v>
      </c>
      <c r="EG294">
        <f>IF(AD294="","",MAX(1,_xlfn.MAXIFS(Линии[_фаз],Линии[_гр.],DY294,Линии[Щит],A294)))</f>
        <v>1</v>
      </c>
      <c r="EH294">
        <f>IF(AD294="","",IF(AND(AD294&lt;&gt;"авто",AD294&lt;&gt;"+"),IF(ISNUMBER(SEARCH("мА",AD294)),IFERROR(--TRIM(RIGHT(SUBSTITUTE(LEFT(AD294,SEARCH("мА",AD294)-1)," ",REPT(" ",9)),6)),30),0),IF(AE294="нет",0,IF(ISNUMBER(AE294),AE294,IF(AE294="да",30,_xlfn.MINIFS(Линии[_дифзащита по коду, мА],Линии[_гр.],DY294,Линии[Щит],A294,Линии[_дифзащита по коду, мА],"&gt;0"))))))</f>
        <v>30</v>
      </c>
      <c r="EI294">
        <f t="shared" si="396"/>
        <v>1</v>
      </c>
      <c r="EJ294" t="str">
        <f t="shared" si="397"/>
        <v>QFD11</v>
      </c>
      <c r="EK294" t="str">
        <f t="shared" si="398"/>
        <v>QFD11</v>
      </c>
      <c r="EL294" t="str">
        <f t="shared" si="399"/>
        <v/>
      </c>
      <c r="EM294">
        <f t="shared" si="400"/>
        <v>0</v>
      </c>
      <c r="EN294">
        <f>IF(AD294="","",IF(EM294=1,MAX(EE294,Мин_автомат_БП),EE294))</f>
        <v>16</v>
      </c>
      <c r="EO294" t="str">
        <f t="shared" si="401"/>
        <v>2P</v>
      </c>
      <c r="EP294" t="str">
        <f t="shared" si="402"/>
        <v>2P С16А 30мА</v>
      </c>
      <c r="EQ294">
        <f t="shared" si="403"/>
        <v>16</v>
      </c>
      <c r="ER294" t="str">
        <f>IF(OR(AI294="",AI294="-"),"",IFERROR(VLOOKUP(AI294,Модули_спр,2,FALSE),"R"))</f>
        <v/>
      </c>
      <c r="ES294" t="str">
        <f>IF(ER294="","",ER294&amp;"."&amp;COUNTIFS(A$3:A294,A294,ER$3:ER294,ER294))</f>
        <v/>
      </c>
      <c r="ET294" t="str">
        <f t="shared" si="404"/>
        <v/>
      </c>
      <c r="EU294" t="str">
        <f t="shared" si="405"/>
        <v/>
      </c>
      <c r="EV294" t="str">
        <f t="shared" si="406"/>
        <v/>
      </c>
      <c r="EW294" t="str">
        <f t="shared" si="407"/>
        <v/>
      </c>
      <c r="EX294">
        <f t="shared" si="408"/>
        <v>1</v>
      </c>
      <c r="EY294" t="str">
        <f>IF(AK294="нет","",IF(AK294&lt;&gt;"",AK294,IF(EX294=1,"XT"&amp;COUNTIFS(A$3:A294,A294,EX$3:EX294,1),"")))</f>
        <v/>
      </c>
      <c r="EZ294" t="str">
        <f t="shared" si="409"/>
        <v>QFD11</v>
      </c>
      <c r="FA294" t="str">
        <f t="shared" si="410"/>
        <v/>
      </c>
      <c r="FB294" t="str">
        <f t="shared" si="411"/>
        <v>ok</v>
      </c>
      <c r="FC294" t="str">
        <f>IF(OR(EV294="",ET294=""),"",IF(EV294&gt;IFERROR(VLOOKUP(EU294,Модули_спр,3,FALSE),99),"ЛИШНИЙ КАНАЛ",IF(AND(AJ294&lt;&gt;"=",COUNTIFS(Линии[_модуль гр.],ET294,Линии[Канал (итог)],EV294,Линии[Канал],"&lt;&gt;=",Линии[Щит],A294)&gt;1),"ДУБЛЬ КАНАЛА","")))</f>
        <v/>
      </c>
      <c r="FD294">
        <f t="shared" si="412"/>
        <v>16</v>
      </c>
      <c r="FE294" t="str">
        <f t="shared" si="413"/>
        <v>2P С16А 30мА</v>
      </c>
      <c r="FF294">
        <f t="shared" si="414"/>
        <v>1</v>
      </c>
      <c r="FG294">
        <f t="shared" si="415"/>
        <v>30</v>
      </c>
      <c r="FH294" t="str">
        <f t="shared" si="416"/>
        <v/>
      </c>
      <c r="FI294">
        <f t="shared" si="417"/>
        <v>10</v>
      </c>
      <c r="FJ294" t="str">
        <f t="shared" si="418"/>
        <v/>
      </c>
      <c r="FK294" t="str">
        <f>IF(AND(D294="",EZ294=""),"",_xlfn.TEXTJOIN("; ",TRUE,IF(AND(D294&lt;&gt;"",DD294=""),"нет фазы",""),IF(AND(D294&lt;&gt;"",N(DT294)=0,CN294&lt;&gt;"Нет"),"нет мощности",""),IF(AND(EY294&lt;&gt;"",COUNTIFS(Линии[Щит],A294,Линии[Клемма (итог)],EY294)&gt;1),"дубль клеммы "&amp;EY294,""),IF(AND(FB294&lt;&gt;"",FB294&lt;&gt;"ok"),FB294,""),IF(FC294&lt;&gt;"",FC294,""),IF(AND(ISNUMBER(SEARCH("(5х",DS294)),N(DV294)=1),"5 жил на 1 фазе",""),IF(AND(AT294="R",AD294&lt;&gt;"",OR(N(EH294)=0,N(EH294)&gt;30)),"розетка без дифзащиты до 30 мА",""),IFERROR(IF(AND(ISNUMBER(CD294),CD294&gt;CE294),"потери "&amp;FIXED(CD294,1)&amp;" % &gt; "&amp;CE294&amp;" %",""),""),IFERROR(IF(LEFT(FJ294,4)="мало","Iкз мало — отключение &gt; 0,4 с",""),""),IF(AND(D294&lt;&gt;"",BD294=""),"не на схеме","")))</f>
        <v/>
      </c>
      <c r="FL294">
        <f>IF(AD294="","",_xlfn.LET(_xlpm.t,IFERROR(_xlfn.XLOOKUP(EP294,Каталог!$U$4:$U$500,Каталог!$G$4:$G$500),""),_xlpm.k,SEARCH("кА",_xlpm.t),IFERROR(--TRIM(RIGHT(SUBSTITUTE(MID(_xlpm.t,MAX(1,_xlpm.k-4),_xlpm.k-MAX(1,_xlpm.k-4))," ",REPT(" ",9)),5)),"")))</f>
        <v>6</v>
      </c>
      <c r="FM294" t="str">
        <f>IF(OR(FL294="",AD294=""),"",IF(_xlfn.XLOOKUP(A294,Щиты[Щит],Щиты[Iкз max на шинах, кА],"")="","",IF(FL294&lt;_xlfn.XLOOKUP(A294,Щиты[Щит],Щиты[Iкз max на шинах, кА]),"Icu "&amp;FL294&amp;" кА &lt; Iкз max","ok")))</f>
        <v/>
      </c>
      <c r="FN294" t="str">
        <f t="shared" si="419"/>
        <v>QFD11</v>
      </c>
      <c r="FO294" t="str">
        <f t="shared" si="420"/>
        <v>QFD11|кабель ВВГнг(А)-LS (3х2,5) → Розеточная группа Второй этаж Пом. №013А, 012А</v>
      </c>
      <c r="FP294" t="str" cm="1">
        <f t="array" ref="FP294">IF(FO294="","",_xlfn.LET(_xlpm.nd,_xlfn.TEXTSPLIT(FO294,"|"),IF(COLUMNS(_xlpm.nd)&gt;1,A294&amp;"¦"&amp;INDEX(_xlpm.nd,1)&amp;"¦"&amp;INDEX(_xlpm.nd,2),"")))</f>
        <v>ЩР-2¦QFD11¦кабель ВВГнг(А)-LS (3х2,5) → Розеточная группа Второй этаж Пом. №013А, 012А</v>
      </c>
      <c r="FQ294" t="str">
        <f t="shared" si="421"/>
        <v>R.2.014А.1¦Розеточная группа Второй этаж Пом. №013А, 012А</v>
      </c>
      <c r="FR294" t="str" cm="1">
        <f t="array" ref="FR294">IF(FO294="","",_xlfn.LET(_xlpm.nd,_xlfn.TEXTSPLIT(FO294,"|"),IF(COLUMNS(_xlpm.nd)&gt;2,A294&amp;"¦"&amp;INDEX(_xlpm.nd,2)&amp;"¦"&amp;INDEX(_xlpm.nd,3),"")))</f>
        <v/>
      </c>
      <c r="FS294" t="str">
        <f t="shared" si="422"/>
        <v/>
      </c>
      <c r="FT294" t="str" cm="1">
        <f t="array" ref="FT294">IF(FO294="","",_xlfn.LET(_xlpm.nd,_xlfn.TEXTSPLIT(FO294,"|"),IF(COLUMNS(_xlpm.nd)&gt;3,A294&amp;"¦"&amp;INDEX(_xlpm.nd,3)&amp;"¦"&amp;INDEX(_xlpm.nd,4),"")))</f>
        <v/>
      </c>
      <c r="FU294" t="str">
        <f t="shared" si="423"/>
        <v/>
      </c>
      <c r="FV294" t="str" cm="1">
        <f t="array" ref="FV294">IF(FO294="","",_xlfn.LET(_xlpm.nd,_xlfn.TEXTSPLIT(FO294,"|"),IF(COLUMNS(_xlpm.nd)&gt;4,A294&amp;"¦"&amp;INDEX(_xlpm.nd,4)&amp;"¦"&amp;INDEX(_xlpm.nd,5),"")))</f>
        <v/>
      </c>
      <c r="FW294" t="str">
        <f t="shared" si="424"/>
        <v/>
      </c>
      <c r="FX294" t="str" cm="1">
        <f t="array" ref="FX294">IF(FO294="","",_xlfn.LET(_xlpm.nd,_xlfn.TEXTSPLIT(FO294,"|"),IF(COLUMNS(_xlpm.nd)&gt;5,A294&amp;"¦"&amp;INDEX(_xlpm.nd,5)&amp;"¦"&amp;INDEX(_xlpm.nd,6),"")))</f>
        <v/>
      </c>
      <c r="FY294" t="str">
        <f t="shared" si="425"/>
        <v/>
      </c>
      <c r="FZ294" t="str" cm="1">
        <f t="array" ref="FZ294">IF(FO294="","",_xlfn.LET(_xlpm.nd,_xlfn.TEXTSPLIT(FO294,"|"),IF(COLUMNS(_xlpm.nd)&gt;6,A294&amp;"¦"&amp;INDEX(_xlpm.nd,6)&amp;"¦"&amp;INDEX(_xlpm.nd,7),"")))</f>
        <v/>
      </c>
      <c r="GA294" t="str">
        <f t="shared" si="426"/>
        <v/>
      </c>
      <c r="GB294" t="str">
        <f t="shared" si="427"/>
        <v/>
      </c>
      <c r="GC294" t="str">
        <f t="shared" si="428"/>
        <v>QFD11</v>
      </c>
      <c r="GD294">
        <f t="shared" si="429"/>
        <v>1</v>
      </c>
      <c r="GE294">
        <f t="shared" si="430"/>
        <v>0</v>
      </c>
      <c r="GF294">
        <f t="shared" si="431"/>
        <v>1</v>
      </c>
      <c r="GG294" t="str">
        <f t="shared" si="432"/>
        <v/>
      </c>
      <c r="GH294" t="str">
        <f t="shared" si="433"/>
        <v/>
      </c>
      <c r="GI294" t="str">
        <f t="shared" si="434"/>
        <v/>
      </c>
      <c r="GJ294" t="str">
        <f t="shared" si="435"/>
        <v/>
      </c>
      <c r="GK294" t="str">
        <f>IF(D294="","",IFERROR(VLOOKUP(D294,УГО_спр,2,FALSE),IFERROR(VLOOKUP(AT294,УГО_спр,2,FALSE),IFERROR(VLOOKUP(LEFT(AT294,2),УГО_спр,2,FALSE),""))))</f>
        <v>Розетка</v>
      </c>
      <c r="GL294" t="str">
        <f>IF(D294="","",IF(OR(GK294="",GK294=0),"BOX",IFERROR(IF(VLOOKUP(GK294,УГО_блоки,3,FALSE)&amp;""&lt;&gt;"",VLOOKUP(GK294,УГО_блоки,3,FALSE),VLOOKUP(GK294,УГО_блоки,2,FALSE)),GK294)))</f>
        <v>SOCKET</v>
      </c>
      <c r="GM294">
        <f t="shared" si="436"/>
        <v>1</v>
      </c>
      <c r="GN294" t="str">
        <f>IF(EP294="","",IF(COUNTIF(EP$3:EP294,EP294)=1,MAX(GN$2:GN293)+1,""))</f>
        <v/>
      </c>
      <c r="GO294" t="str">
        <f>IF(AF294="","",IF(COUNTIF(AF$3:AF294,AF294)+COUNTIF(AG$2:AG293,AF294)+COUNTIF(AH$2:AH293,AF294)=1,MAX(GO$2:GQ293)+1,""))</f>
        <v/>
      </c>
      <c r="GP294" t="str">
        <f>IF(AG294="","",IF(COUNTIF(AF$3:AF294,AG294)+COUNTIF(AG$3:AG294,AG294)+COUNTIF(AH$2:AH293,AG294)=1,MAX(GO$2:GQ293,GO294)+1,""))</f>
        <v/>
      </c>
      <c r="GQ294" t="str">
        <f>IF(AH294="","",IF(COUNTIF(AF$3:AF294,AH294)+COUNTIF(AG$3:AG294,AH294)+COUNTIF(AH$3:AH294,AH294)=1,MAX(GO$2:GQ293,GO294,GP294)+1,""))</f>
        <v/>
      </c>
      <c r="GR294" t="str">
        <f t="shared" si="437"/>
        <v>3х2,5</v>
      </c>
      <c r="GS294" t="str">
        <f>IF(GR294="","",IF(COUNTIF(GR$3:GR294,GR294)=1,MAX(GS$2:GS293)+1,""))</f>
        <v/>
      </c>
      <c r="GT294" t="str">
        <f>IF(ES294="","",COUNTIF(ES$3:ES294,"?*"))</f>
        <v/>
      </c>
      <c r="GU294" t="str">
        <f>IF(OR(ES294="",EU294=""),"",IF(COUNTIFS(ES$3:ES294,"?*",EU$3:EU294,EU294)=1,MAX(GU$2:GU293)+1,""))</f>
        <v/>
      </c>
      <c r="GV294">
        <f t="shared" si="438"/>
        <v>0</v>
      </c>
      <c r="GW294">
        <f>IF(D294="","",COUNTIF(D$3:D294,"?*"))</f>
        <v>292</v>
      </c>
      <c r="GX294">
        <f>IF(EX294&lt;&gt;1,0,_xlfn.LET(_xlpm.k,MAX(IFERROR(--VLOOKUP(D294,УГО_спр,5,FALSE),0),IFERROR(--VLOOKUP(AT294,УГО_спр,5,FALSE),0),IFERROR(--VLOOKUP(LEFT(AT294,2),УГО_спр,5,FALSE),0)),IF(_xlpm.k&gt;0,_xlpm.k,IF(IFERROR(--LEFT(SUBSTITUTE(GR294,"x","х"),FIND("х",SUBSTITUTE(GR294,"x","х"))-1),3)&gt;3,Каталог!$S$9,1))))</f>
        <v>1</v>
      </c>
      <c r="GY294">
        <f t="shared" si="439"/>
        <v>0</v>
      </c>
    </row>
    <row r="295" spans="1:207" x14ac:dyDescent="0.3">
      <c r="A295" t="s">
        <v>764</v>
      </c>
      <c r="B295">
        <v>22</v>
      </c>
      <c r="C295" t="str">
        <f>IF(BD295="","",IF(BE295="вводной узел","узел ","")&amp;"л."&amp;(INT((BD295-1)/Столбцов_на_лист)+1)&amp;" / "&amp;(MOD(BD295-1,Столбцов_на_лист)+1))</f>
        <v>л.2 / 5</v>
      </c>
      <c r="D295" t="s">
        <v>1629</v>
      </c>
      <c r="E295" s="133" t="str">
        <f t="shared" si="352"/>
        <v>Розеточная группа Второй этаж Пом. №014А</v>
      </c>
      <c r="G295">
        <v>0.18</v>
      </c>
      <c r="H295">
        <v>2</v>
      </c>
      <c r="I295">
        <v>1</v>
      </c>
      <c r="J295">
        <v>230</v>
      </c>
      <c r="K295" t="s">
        <v>566</v>
      </c>
      <c r="O295">
        <v>2</v>
      </c>
      <c r="P295">
        <v>41</v>
      </c>
      <c r="Q295">
        <v>12</v>
      </c>
      <c r="R295">
        <v>24</v>
      </c>
      <c r="S295">
        <v>8</v>
      </c>
      <c r="T295">
        <v>2</v>
      </c>
      <c r="U295" t="s">
        <v>11</v>
      </c>
      <c r="V295">
        <v>3</v>
      </c>
      <c r="W295">
        <v>2.5</v>
      </c>
      <c r="X295">
        <v>16</v>
      </c>
      <c r="Z295" t="s">
        <v>565</v>
      </c>
      <c r="AA295" t="s">
        <v>818</v>
      </c>
      <c r="AD295" t="s">
        <v>517</v>
      </c>
      <c r="AK295" t="s">
        <v>488</v>
      </c>
      <c r="AR295" t="str">
        <f t="shared" si="353"/>
        <v/>
      </c>
      <c r="AS295" cm="1">
        <f t="array" ref="AS295">ROW()-ROW(Линии[#Headers])</f>
        <v>293</v>
      </c>
      <c r="AT295" t="str">
        <f t="shared" si="354"/>
        <v>R</v>
      </c>
      <c r="AU295" t="str">
        <f t="shared" si="355"/>
        <v>2.014А.2</v>
      </c>
      <c r="AV295" t="str">
        <f t="shared" si="356"/>
        <v>2</v>
      </c>
      <c r="AW295" t="str">
        <f t="shared" si="357"/>
        <v>014А.2</v>
      </c>
      <c r="AX295" t="str">
        <f t="shared" si="358"/>
        <v>014А</v>
      </c>
      <c r="AY295" t="str">
        <f>IF(D295="","",IF(ISERROR(SEARCH(".",D295)),IFERROR(VLOOKUP(D295,Потребители_обозначение,2,FALSE)&amp;"",""),IFERROR(IF(VLOOKUP(AT295,Потребители_обозначение,4,FALSE)=1,VLOOKUP(AT295,Потребители_обозначение,2,FALSE)&amp;" "&amp;VLOOKUP(AV295,Этаж_обозначение,2,FALSE)&amp;" Пом. №"&amp;AX295,VLOOKUP(AT295,Потребители_обозначение,2,FALSE)&amp;" Шлейф №"&amp;AV295),IFERROR(VLOOKUP(D295,Потребители_обозначение,2,FALSE),""))))</f>
        <v>Розеточная группа Второй этаж Пом. №014А</v>
      </c>
      <c r="AZ295" t="str">
        <f t="shared" si="359"/>
        <v>Розеточная группа Второй этаж Пом. №014А</v>
      </c>
      <c r="BA295" t="str">
        <f>IF(F295&lt;&gt;"",F295,IF(AND(D295&lt;&gt;"",D295&lt;&gt;A295,ISNUMBER(_xlfn.XMATCH(D295,Щиты[Щит]))),D295,""))</f>
        <v/>
      </c>
      <c r="BB295">
        <f>IFERROR(_xlfn.XMATCH(A295,Щиты[Щит]),0)</f>
        <v>11</v>
      </c>
      <c r="BC295">
        <f>IFERROR(N(_xlfn.XLOOKUP(A295,Щиты[Щит],Щиты[Мест под вводной узел])),15)</f>
        <v>8</v>
      </c>
      <c r="BD295">
        <f t="shared" si="360"/>
        <v>22</v>
      </c>
      <c r="BE295" t="str">
        <f t="shared" si="361"/>
        <v>линии</v>
      </c>
      <c r="BF295">
        <f>IF(D295="","",IF(BA295&lt;&gt;"",IFERROR(_xlfn.XLOOKUP(BA295,Щиты[Щит],Щиты[Руст, кВт]),0),N(G295)))</f>
        <v>0.18</v>
      </c>
      <c r="BG295">
        <f>IF(J295&lt;&gt;"",J295,IF(D295="","",IFERROR(IF(VLOOKUP(AT295,Потребители_обозначение,8,FALSE)=0,"",VLOOKUP(AT295,Потребители_обозначение,8,FALSE)),"")))</f>
        <v>230</v>
      </c>
      <c r="BH295">
        <f>IF(I295&lt;&gt;"",I295,IF(D295="","",IFERROR(IF(VLOOKUP(AT295,Потребители_обозначение,9,FALSE)=0,"",VLOOKUP(AT295,Потребители_обозначение,9,FALSE)),"")))</f>
        <v>1</v>
      </c>
      <c r="BI295" t="str">
        <f>IF(U295&lt;&gt;"",U295,IF(D295="","",IFERROR(IF(VLOOKUP(AT295,Потребители_обозначение,6,FALSE)=0,"",VLOOKUP(AT295,Потребители_обозначение,6,FALSE)),"")))</f>
        <v>мс</v>
      </c>
      <c r="BJ295">
        <f>IF(V295&lt;&gt;"",V295,IF(D295="","",IFERROR(IF(VLOOKUP(AT295,Потребители_обозначение,7,FALSE)=0,"",VLOOKUP(AT295,Потребители_обозначение,7,FALSE)),"")))</f>
        <v>3</v>
      </c>
      <c r="BK295">
        <f>IF(W295&lt;&gt;"",W295,IF(D295="","",IFERROR(IF(VLOOKUP(AT295,Потребители_обозначение,10,FALSE)=0,"",VLOOKUP(AT295,Потребители_обозначение,10,FALSE)),"")))</f>
        <v>2.5</v>
      </c>
      <c r="BL295">
        <f>IFERROR(VLOOKUP(AT295,Потребители_обозначение,5,FALSE),0)</f>
        <v>1</v>
      </c>
      <c r="BM295" cm="1">
        <f t="array" ref="BM295">IF(D295="","",IF(BA295&lt;&gt;"",IFERROR(_xlfn.XLOOKUP(BA295,Щиты[Щит],Щиты[cos φ]),0.95),IF(ISNUMBER(M295),M295,IFERROR(IF(BL295=2,_xlfn.IFS(BH295=3,VLOOKUP(BF295,Справочная_двигатели,8,FALSE),BH295=1,VLOOKUP(BF295,Справочная_двигатели,10,TRUE)),IF(AND(Методика="нормы 2026",CN295="Сил"),0.8,0.95)),0.95))))</f>
        <v>0.95</v>
      </c>
      <c r="BN295" cm="1">
        <f t="array" ref="BN295">IF(D295="","",IF(BA295&lt;&gt;"",IFERROR(_xlfn.XLOOKUP(BA295,Щиты[Щит],Щиты[Iр, А]),""),IFERROR(_xlfn.IFS(BH295=1,BF295/((Uн_лин/SQRT(3))*BM295),BH295=3,BF295/(SQRT(3)*Uн_лин*BM295)),"")))</f>
        <v>0.8204451193747313</v>
      </c>
      <c r="BO295">
        <f>IF(D295="","",IF(N(X295)=0,IFERROR(VLOOKUP(BN295,Автомат_номиналы,2,TRUE),""),X295))</f>
        <v>16</v>
      </c>
      <c r="BP295">
        <f t="shared" si="362"/>
        <v>1</v>
      </c>
      <c r="BQ295">
        <f>IF(ISNUMBER(Y295),Y295,К_прокл)</f>
        <v>1</v>
      </c>
      <c r="BR295">
        <f t="shared" si="363"/>
        <v>2</v>
      </c>
      <c r="BS295" cm="1">
        <f t="array" ref="BS295">IF(D295="","",IF(N(BK295)&lt;&gt;0,BK295,IFERROR(_xlfn.LET(_xlpm.need,BO295/(BP295*BQ295),_xlpm.t,CHOOSE(BR295,Iдоп_1ж,Iдоп_2ж,Iдоп_3ж),_xlpm.k,_xlfn.XMATCH(_xlpm.need,_xlpm.t,1),IF(ISNA(_xlpm.k),"Не исп",INDEX(Iдоп_S,_xlpm.k))),"Не исп")))</f>
        <v>2.5</v>
      </c>
      <c r="BT295">
        <f>IFERROR(VLOOKUP(BS295,Кабель_сопротивление,3,FALSE),"")</f>
        <v>2.2499999999999999E-2</v>
      </c>
      <c r="BU295">
        <f>IFERROR(VLOOKUP(BS295,Кабель_сопротивление,2,FALSE),"")</f>
        <v>0.1</v>
      </c>
      <c r="BV295">
        <f t="shared" si="364"/>
        <v>41</v>
      </c>
      <c r="BW295">
        <f>IF(D295="","",IFERROR(IF(VLOOKUP(AT295,Потребители_обозначение,4,FALSE)=1,VLOOKUP(AT295,Потребители_обозначение,3,FALSE)*(H295*2-1)+BV295+VLOOKUP(AV295,Этаж_обозначение,3,FALSE)+VLOOKUP(AV295,Этаж_обозначение,4,FALSE),VLOOKUP(AT295,Потребители_обозначение,3,FALSE)*(H295*2-1)+BV295),BV295))</f>
        <v>50</v>
      </c>
      <c r="BX295">
        <f t="shared" si="365"/>
        <v>24</v>
      </c>
      <c r="BY295">
        <f t="shared" si="366"/>
        <v>8</v>
      </c>
      <c r="BZ295">
        <f t="shared" si="367"/>
        <v>2</v>
      </c>
      <c r="CA295">
        <f t="shared" si="368"/>
        <v>0.31</v>
      </c>
      <c r="CB295">
        <f t="shared" si="369"/>
        <v>0.70402395693545694</v>
      </c>
      <c r="CC295">
        <f>IFERROR(ROUNDUP(CB295/((Uн_лин/SQRT(3))*1000)*100,2),"")</f>
        <v>0.31</v>
      </c>
      <c r="CD295">
        <f>IF(ISNUMBER(CC295),CC295+IFERROR(_xlfn.XLOOKUP(A295,Щиты[Щит],Щиты[ΔU до шин, %]),0),"")</f>
        <v>2.1</v>
      </c>
      <c r="CE295">
        <f>IF(D295="","",IF(IFERROR(VLOOKUP(AT295,УГО_спр,2,FALSE),"")="Светильник",3,4)+IF(Методика="нормы 2026",MIN(0.5,MAX(0,N(BW295)-100)*0.005),0))</f>
        <v>4</v>
      </c>
      <c r="CF295" t="str">
        <f>IFERROR(VLOOKUP(BI295,Кабель_обозначение,2,FALSE),"")</f>
        <v>ВВГнг(А)-LS</v>
      </c>
      <c r="CG295" t="str">
        <f>IFERROR(IF(VLOOKUP(BI295,Кабель_обозначение,3,FALSE)=1,CF295&amp;" ("&amp;BJ295&amp;"х"&amp;BS295&amp;")",CF295),"")</f>
        <v>ВВГнг(А)-LS (3х2,5)</v>
      </c>
      <c r="CH295" t="str">
        <f t="shared" si="370"/>
        <v>ВВГнг(А)-LS (3х2,5)
L=50-0,31%</v>
      </c>
      <c r="CI295">
        <f>IFERROR(2*ρкз_Cu*BW295/BS295,"")</f>
        <v>1.052</v>
      </c>
      <c r="CJ295">
        <f t="shared" si="371"/>
        <v>0.35000000000000003</v>
      </c>
      <c r="CK295" t="str">
        <f>IFERROR(IF(OR(D295="",NOT(ISNUMBER(BS295)),N(BW295)=0),"",_xlfn.XLOOKUP(A295,Щиты[Щит],Щиты[Zпетли на шинах, Ом])+CI295),"")</f>
        <v/>
      </c>
      <c r="CL295" t="str">
        <f>IF(ISNUMBER(CK295),c_min*(Uн_лин*1000/SQRT(3))/CK295,"")</f>
        <v/>
      </c>
      <c r="CM295" t="str">
        <f>IFERROR(IF(OR(D295="",NOT(ISNUMBER(BS295))),"",1.05*(Uн_лин*1000/SQRT(3))/(_xlfn.XLOOKUP(A295,Щиты[Щит],Щиты[Zmax на шинах, Ом])+CJ295)/1000),"")</f>
        <v/>
      </c>
      <c r="CN295" t="str">
        <f>IF(D295="","",IF(BA295&lt;&gt;"","Щит",IF(K295&lt;&gt;"",K295,IF(ISNUMBER(L295),"Сил",IF(IFERROR(_xlfn.XLOOKUP(AT295,Коды_код,Коды_группа)&amp;"","")="","Быт",_xlfn.XLOOKUP(AT295,Коды_код,Коды_группа)&amp;"")))))</f>
        <v>Быт</v>
      </c>
      <c r="CO295">
        <f>IF(CN295="Щит","щит",IF(CN295="","",IF(CN295="Быт",IFERROR(_xlfn.XLOOKUP(A295,Щиты[Щит],Щиты[Кс быт]),1),IF(CN295="Сил",IF(ISNUMBER(L295),L295,IF(Методика="нормы 2026",IFERROR(_xlfn.XLOOKUP(A295,Щиты[Щит],Щиты[Кс силовых (табл. 7.5)]),1),1)),IF(OR(CN295="Пост",CN295="Отоп"),1,IF(CN295="ВНГ",0.7,0))))))</f>
        <v>0.8</v>
      </c>
      <c r="CP295">
        <f t="shared" si="372"/>
        <v>1</v>
      </c>
      <c r="CQ295">
        <f t="shared" si="373"/>
        <v>0.18</v>
      </c>
      <c r="CR295">
        <f t="shared" si="374"/>
        <v>0.18</v>
      </c>
      <c r="CS295">
        <f t="shared" si="375"/>
        <v>0</v>
      </c>
      <c r="CT295">
        <f t="shared" si="376"/>
        <v>0</v>
      </c>
      <c r="CU295">
        <f t="shared" si="377"/>
        <v>0</v>
      </c>
      <c r="CV295">
        <f t="shared" si="378"/>
        <v>0</v>
      </c>
      <c r="CW295">
        <f t="shared" si="379"/>
        <v>0.18</v>
      </c>
      <c r="CX295">
        <f t="shared" si="380"/>
        <v>0.17099999999999999</v>
      </c>
      <c r="CY295">
        <f t="shared" si="381"/>
        <v>1</v>
      </c>
      <c r="CZ295" t="str">
        <f t="shared" si="382"/>
        <v>L1</v>
      </c>
      <c r="DA295" cm="1">
        <f t="array" ref="DA295">IFERROR(IF(BL295=2,_xlfn.IFS(BH295=3,VLOOKUP(BF295,Справочная_двигатели,3,FALSE),BH295=1,VLOOKUP(BF295,Справочная_двигатели,5,TRUE)),0),0)</f>
        <v>0</v>
      </c>
      <c r="DB295">
        <f>IFERROR(IF(BL295=3,VLOOKUP(BF295,Справочная_ЛЭД,2,TRUE),0),0)</f>
        <v>0</v>
      </c>
      <c r="DC295">
        <f t="shared" si="383"/>
        <v>0</v>
      </c>
      <c r="DD295" t="str">
        <f t="shared" si="384"/>
        <v>L2</v>
      </c>
      <c r="DE295" t="str" cm="1">
        <f t="array" ref="DE295">IF(D295="","",IFERROR(INDEX({"I особая","I","II","III"},MATCH(TRIM(AA295&amp;""),{"I особая","I","II","III"},0)),"III"))</f>
        <v>II</v>
      </c>
      <c r="DF295" t="str">
        <f>IF(D295="","",IF(TRIM(AB295&amp;"")&lt;&gt;"",IF(LOWER(TRIM(AB295&amp;""))="да","да","нет"),IF(IFERROR(_xlfn.XLOOKUP(AT295,Коды_код,Коды_пожарная),"")="да","да","нет")))</f>
        <v>нет</v>
      </c>
      <c r="DG295" t="str">
        <f t="shared" si="385"/>
        <v/>
      </c>
      <c r="DH295" t="str">
        <f t="shared" si="386"/>
        <v>основная</v>
      </c>
      <c r="DI295">
        <f t="shared" si="387"/>
        <v>1</v>
      </c>
      <c r="DJ295" t="str" cm="1">
        <f t="array" ref="DJ295">IF(D295="","",_xlfn.LET(_xlpm.t,IFERROR(_xlfn.XLOOKUP(1,(Шины[Шина]=DH295)*(((Шины[Щит]=A295)+(Шины[Щит]=""))&gt;0),Шины[Тип]),"")&amp;"",IF(_xlpm.t&lt;&gt;"",_xlpm.t,IF(ISNUMBER(SEARCH("ИБП",DH295)),"ИБП",IF(ISNUMBER(SEARCH("ДГУ",DH295)),"ДГУ","Ввод "&amp;DI295)))))</f>
        <v>Ввод 1</v>
      </c>
      <c r="DK295" t="str">
        <f t="shared" si="388"/>
        <v>Ввод 1</v>
      </c>
      <c r="DL295" t="str">
        <f>IF(D295="","",IF(OR(DJ295="ИБП",DJ295="ДГУ"),"I особая",IF(DJ295="Одиночная","III",_xlfn.XLOOKUP(A295,Щиты[Щит],Щиты[Категория шины «Ввод»],"III"))))</f>
        <v>II</v>
      </c>
      <c r="DM295">
        <f>IF(D295="",0,IFERROR(MATCH(DE295,{"III","II","I","I особая"},0),1))</f>
        <v>2</v>
      </c>
      <c r="DN295">
        <f t="shared" si="389"/>
        <v>2</v>
      </c>
      <c r="DO295" t="str">
        <f>IF(D295="","",IF(DM295&gt;IFERROR(MATCH(DL295,{"III","II","I","I особая"},0),1),"НЕ ОБЕСПЕЧЕНА","ОК"))</f>
        <v>ОК</v>
      </c>
      <c r="DP295" t="str">
        <f>IF(A295="","",_xlfn.XLOOKUP(A295,Щиты[Щит],Щиты[Путь],""))</f>
        <v>|ГРЩ-ЖД|ЩР-2|</v>
      </c>
      <c r="DQ295" t="str">
        <f>IF(D295="","",IF(Z295&lt;&gt;"",Z295,IF(IFERROR(_xlfn.XLOOKUP(AT295,Коды_код,Коды_вид)&amp;"","")="","Прочее",_xlfn.XLOOKUP(AT295,Коды_код,Коды_вид)&amp;"")))</f>
        <v>Розеточная сеть и бытовые приборы</v>
      </c>
      <c r="DR295">
        <f>IF(BD295="","",INT((BD295-1)/Столбцов_на_лист)+1)</f>
        <v>2</v>
      </c>
      <c r="DS295" t="str">
        <f t="shared" si="390"/>
        <v>ВВГнг(А)-LS (3х2,5) L=50-0,31%</v>
      </c>
      <c r="DT295">
        <f t="shared" si="391"/>
        <v>0.18</v>
      </c>
      <c r="DU295">
        <f t="shared" si="392"/>
        <v>0.83</v>
      </c>
      <c r="DV295">
        <f t="shared" si="393"/>
        <v>1</v>
      </c>
      <c r="DW295">
        <f>IF(AT295="",0,_xlfn.LET(_xlpm.v,IFERROR(VLOOKUP(D295,УГО_спр,3,FALSE),IFERROR(VLOOKUP(AT295,УГО_спр,3,FALSE),IFERROR(VLOOKUP(LEFT(AT295,2),УГО_спр,3,FALSE),""))),IF(_xlpm.v="да",30,IF(ISNUMBER(_xlpm.v),_xlpm.v,0))))</f>
        <v>30</v>
      </c>
      <c r="DX295">
        <f t="shared" si="394"/>
        <v>0</v>
      </c>
      <c r="DY295">
        <f>IF(BD295="","",IF(AD295&lt;&gt;"",COUNTIFS(A$3:A295,A295,AD$3:AD295,"?*"),IF(OR(OR(AS295=1,A295&lt;&gt;A294),AL295="вручную"),"",IF(AS295=1,"",DZ294))))</f>
        <v>12</v>
      </c>
      <c r="DZ295">
        <f t="shared" si="395"/>
        <v>12</v>
      </c>
      <c r="EA295">
        <f>IF(D295="",0,MAX(IFERROR(--X295,0),IFERROR(--VLOOKUP(D295,УГО_спр,4,FALSE),IFERROR(--VLOOKUP(AT295,УГО_спр,4,FALSE),IFERROR(--VLOOKUP(LEFT(AT295,2),УГО_спр,4,FALSE),0)))))</f>
        <v>16</v>
      </c>
      <c r="EB295">
        <f>IF(D295="","",IFERROR(LOOKUP(INDEX(CHOOSE(BR295,Iдоп_1ж,Iдоп_2ж,Iдоп_3ж),MATCH(BS295,Iдоп_S,0))*BP295*BQ295,{6,10,16,20,25,32,40,50,63,80,100,125,160,200,250,315,400,500,630}),""))</f>
        <v>25</v>
      </c>
      <c r="EC295">
        <f>IF(AD295="","",SUMIFS(Линии[_Ток схемы],Линии[_гр.],DY295,Линии[Щит],A295,Линии[_в кабель выше],0))</f>
        <v>0.83</v>
      </c>
      <c r="ED295">
        <f>IF(AD295="","",IFERROR(VLOOKUP(EC295,Автомат_номиналы,2,TRUE),""))</f>
        <v>6</v>
      </c>
      <c r="EE295">
        <f>IF(AD295="","",MAX(N(ED295),_xlfn.MAXIFS(Линии[_мин. по типу],Линии[_гр.],DY295,Линии[Щит],A295)))</f>
        <v>16</v>
      </c>
      <c r="EF295">
        <f>IF(AD295="","",_xlfn.MINIFS(Линии[_макс. автомат по кабелю],Линии[_гр.],DY295,Линии[Щит],A295))</f>
        <v>25</v>
      </c>
      <c r="EG295">
        <f>IF(AD295="","",MAX(1,_xlfn.MAXIFS(Линии[_фаз],Линии[_гр.],DY295,Линии[Щит],A295)))</f>
        <v>1</v>
      </c>
      <c r="EH295">
        <f>IF(AD295="","",IF(AND(AD295&lt;&gt;"авто",AD295&lt;&gt;"+"),IF(ISNUMBER(SEARCH("мА",AD295)),IFERROR(--TRIM(RIGHT(SUBSTITUTE(LEFT(AD295,SEARCH("мА",AD295)-1)," ",REPT(" ",9)),6)),30),0),IF(AE295="нет",0,IF(ISNUMBER(AE295),AE295,IF(AE295="да",30,_xlfn.MINIFS(Линии[_дифзащита по коду, мА],Линии[_гр.],DY295,Линии[Щит],A295,Линии[_дифзащита по коду, мА],"&gt;0"))))))</f>
        <v>30</v>
      </c>
      <c r="EI295">
        <f t="shared" si="396"/>
        <v>1</v>
      </c>
      <c r="EJ295" t="str">
        <f t="shared" si="397"/>
        <v>QFD12</v>
      </c>
      <c r="EK295" t="str">
        <f t="shared" si="398"/>
        <v>QFD12</v>
      </c>
      <c r="EL295" t="str">
        <f t="shared" si="399"/>
        <v/>
      </c>
      <c r="EM295">
        <f t="shared" si="400"/>
        <v>0</v>
      </c>
      <c r="EN295">
        <f>IF(AD295="","",IF(EM295=1,MAX(EE295,Мин_автомат_БП),EE295))</f>
        <v>16</v>
      </c>
      <c r="EO295" t="str">
        <f t="shared" si="401"/>
        <v>2P</v>
      </c>
      <c r="EP295" t="str">
        <f t="shared" si="402"/>
        <v>2P С16А 30мА</v>
      </c>
      <c r="EQ295">
        <f t="shared" si="403"/>
        <v>16</v>
      </c>
      <c r="ER295" t="str">
        <f>IF(OR(AI295="",AI295="-"),"",IFERROR(VLOOKUP(AI295,Модули_спр,2,FALSE),"R"))</f>
        <v/>
      </c>
      <c r="ES295" t="str">
        <f>IF(ER295="","",ER295&amp;"."&amp;COUNTIFS(A$3:A295,A295,ER$3:ER295,ER295))</f>
        <v/>
      </c>
      <c r="ET295" t="str">
        <f t="shared" si="404"/>
        <v/>
      </c>
      <c r="EU295" t="str">
        <f t="shared" si="405"/>
        <v/>
      </c>
      <c r="EV295" t="str">
        <f t="shared" si="406"/>
        <v/>
      </c>
      <c r="EW295" t="str">
        <f t="shared" si="407"/>
        <v/>
      </c>
      <c r="EX295">
        <f t="shared" si="408"/>
        <v>1</v>
      </c>
      <c r="EY295" t="str">
        <f>IF(AK295="нет","",IF(AK295&lt;&gt;"",AK295,IF(EX295=1,"XT"&amp;COUNTIFS(A$3:A295,A295,EX$3:EX295,1),"")))</f>
        <v/>
      </c>
      <c r="EZ295" t="str">
        <f t="shared" si="409"/>
        <v>QFD12</v>
      </c>
      <c r="FA295" t="str">
        <f t="shared" si="410"/>
        <v/>
      </c>
      <c r="FB295" t="str">
        <f t="shared" si="411"/>
        <v>ok</v>
      </c>
      <c r="FC295" t="str">
        <f>IF(OR(EV295="",ET295=""),"",IF(EV295&gt;IFERROR(VLOOKUP(EU295,Модули_спр,3,FALSE),99),"ЛИШНИЙ КАНАЛ",IF(AND(AJ295&lt;&gt;"=",COUNTIFS(Линии[_модуль гр.],ET295,Линии[Канал (итог)],EV295,Линии[Канал],"&lt;&gt;=",Линии[Щит],A295)&gt;1),"ДУБЛЬ КАНАЛА","")))</f>
        <v/>
      </c>
      <c r="FD295">
        <f t="shared" si="412"/>
        <v>16</v>
      </c>
      <c r="FE295" t="str">
        <f t="shared" si="413"/>
        <v>2P С16А 30мА</v>
      </c>
      <c r="FF295">
        <f t="shared" si="414"/>
        <v>1</v>
      </c>
      <c r="FG295">
        <f t="shared" si="415"/>
        <v>30</v>
      </c>
      <c r="FH295" t="str">
        <f t="shared" si="416"/>
        <v/>
      </c>
      <c r="FI295">
        <f t="shared" si="417"/>
        <v>10</v>
      </c>
      <c r="FJ295" t="str">
        <f t="shared" si="418"/>
        <v/>
      </c>
      <c r="FK295" t="str">
        <f>IF(AND(D295="",EZ295=""),"",_xlfn.TEXTJOIN("; ",TRUE,IF(AND(D295&lt;&gt;"",DD295=""),"нет фазы",""),IF(AND(D295&lt;&gt;"",N(DT295)=0,CN295&lt;&gt;"Нет"),"нет мощности",""),IF(AND(EY295&lt;&gt;"",COUNTIFS(Линии[Щит],A295,Линии[Клемма (итог)],EY295)&gt;1),"дубль клеммы "&amp;EY295,""),IF(AND(FB295&lt;&gt;"",FB295&lt;&gt;"ok"),FB295,""),IF(FC295&lt;&gt;"",FC295,""),IF(AND(ISNUMBER(SEARCH("(5х",DS295)),N(DV295)=1),"5 жил на 1 фазе",""),IF(AND(AT295="R",AD295&lt;&gt;"",OR(N(EH295)=0,N(EH295)&gt;30)),"розетка без дифзащиты до 30 мА",""),IFERROR(IF(AND(ISNUMBER(CD295),CD295&gt;CE295),"потери "&amp;FIXED(CD295,1)&amp;" % &gt; "&amp;CE295&amp;" %",""),""),IFERROR(IF(LEFT(FJ295,4)="мало","Iкз мало — отключение &gt; 0,4 с",""),""),IF(AND(D295&lt;&gt;"",BD295=""),"не на схеме","")))</f>
        <v/>
      </c>
      <c r="FL295">
        <f>IF(AD295="","",_xlfn.LET(_xlpm.t,IFERROR(_xlfn.XLOOKUP(EP295,Каталог!$U$4:$U$500,Каталог!$G$4:$G$500),""),_xlpm.k,SEARCH("кА",_xlpm.t),IFERROR(--TRIM(RIGHT(SUBSTITUTE(MID(_xlpm.t,MAX(1,_xlpm.k-4),_xlpm.k-MAX(1,_xlpm.k-4))," ",REPT(" ",9)),5)),"")))</f>
        <v>6</v>
      </c>
      <c r="FM295" t="str">
        <f>IF(OR(FL295="",AD295=""),"",IF(_xlfn.XLOOKUP(A295,Щиты[Щит],Щиты[Iкз max на шинах, кА],"")="","",IF(FL295&lt;_xlfn.XLOOKUP(A295,Щиты[Щит],Щиты[Iкз max на шинах, кА]),"Icu "&amp;FL295&amp;" кА &lt; Iкз max","ok")))</f>
        <v/>
      </c>
      <c r="FN295" t="str">
        <f t="shared" si="419"/>
        <v>QFD12</v>
      </c>
      <c r="FO295" t="str">
        <f t="shared" si="420"/>
        <v>QFD12|кабель ВВГнг(А)-LS (3х2,5) → Розеточная группа Второй этаж Пом. №014А</v>
      </c>
      <c r="FP295" t="str" cm="1">
        <f t="array" ref="FP295">IF(FO295="","",_xlfn.LET(_xlpm.nd,_xlfn.TEXTSPLIT(FO295,"|"),IF(COLUMNS(_xlpm.nd)&gt;1,A295&amp;"¦"&amp;INDEX(_xlpm.nd,1)&amp;"¦"&amp;INDEX(_xlpm.nd,2),"")))</f>
        <v>ЩР-2¦QFD12¦кабель ВВГнг(А)-LS (3х2,5) → Розеточная группа Второй этаж Пом. №014А</v>
      </c>
      <c r="FQ295" t="str">
        <f t="shared" si="421"/>
        <v>R.2.014А.2¦Розеточная группа Второй этаж Пом. №014А</v>
      </c>
      <c r="FR295" t="str" cm="1">
        <f t="array" ref="FR295">IF(FO295="","",_xlfn.LET(_xlpm.nd,_xlfn.TEXTSPLIT(FO295,"|"),IF(COLUMNS(_xlpm.nd)&gt;2,A295&amp;"¦"&amp;INDEX(_xlpm.nd,2)&amp;"¦"&amp;INDEX(_xlpm.nd,3),"")))</f>
        <v/>
      </c>
      <c r="FS295" t="str">
        <f t="shared" si="422"/>
        <v/>
      </c>
      <c r="FT295" t="str" cm="1">
        <f t="array" ref="FT295">IF(FO295="","",_xlfn.LET(_xlpm.nd,_xlfn.TEXTSPLIT(FO295,"|"),IF(COLUMNS(_xlpm.nd)&gt;3,A295&amp;"¦"&amp;INDEX(_xlpm.nd,3)&amp;"¦"&amp;INDEX(_xlpm.nd,4),"")))</f>
        <v/>
      </c>
      <c r="FU295" t="str">
        <f t="shared" si="423"/>
        <v/>
      </c>
      <c r="FV295" t="str" cm="1">
        <f t="array" ref="FV295">IF(FO295="","",_xlfn.LET(_xlpm.nd,_xlfn.TEXTSPLIT(FO295,"|"),IF(COLUMNS(_xlpm.nd)&gt;4,A295&amp;"¦"&amp;INDEX(_xlpm.nd,4)&amp;"¦"&amp;INDEX(_xlpm.nd,5),"")))</f>
        <v/>
      </c>
      <c r="FW295" t="str">
        <f t="shared" si="424"/>
        <v/>
      </c>
      <c r="FX295" t="str" cm="1">
        <f t="array" ref="FX295">IF(FO295="","",_xlfn.LET(_xlpm.nd,_xlfn.TEXTSPLIT(FO295,"|"),IF(COLUMNS(_xlpm.nd)&gt;5,A295&amp;"¦"&amp;INDEX(_xlpm.nd,5)&amp;"¦"&amp;INDEX(_xlpm.nd,6),"")))</f>
        <v/>
      </c>
      <c r="FY295" t="str">
        <f t="shared" si="425"/>
        <v/>
      </c>
      <c r="FZ295" t="str" cm="1">
        <f t="array" ref="FZ295">IF(FO295="","",_xlfn.LET(_xlpm.nd,_xlfn.TEXTSPLIT(FO295,"|"),IF(COLUMNS(_xlpm.nd)&gt;6,A295&amp;"¦"&amp;INDEX(_xlpm.nd,6)&amp;"¦"&amp;INDEX(_xlpm.nd,7),"")))</f>
        <v/>
      </c>
      <c r="GA295" t="str">
        <f t="shared" si="426"/>
        <v/>
      </c>
      <c r="GB295" t="str">
        <f t="shared" si="427"/>
        <v/>
      </c>
      <c r="GC295" t="str">
        <f t="shared" si="428"/>
        <v>QFD12</v>
      </c>
      <c r="GD295">
        <f t="shared" si="429"/>
        <v>1</v>
      </c>
      <c r="GE295">
        <f t="shared" si="430"/>
        <v>0</v>
      </c>
      <c r="GF295">
        <f t="shared" si="431"/>
        <v>1</v>
      </c>
      <c r="GG295" t="str">
        <f t="shared" si="432"/>
        <v/>
      </c>
      <c r="GH295" t="str">
        <f t="shared" si="433"/>
        <v/>
      </c>
      <c r="GI295" t="str">
        <f t="shared" si="434"/>
        <v/>
      </c>
      <c r="GJ295" t="str">
        <f t="shared" si="435"/>
        <v/>
      </c>
      <c r="GK295" t="str">
        <f>IF(D295="","",IFERROR(VLOOKUP(D295,УГО_спр,2,FALSE),IFERROR(VLOOKUP(AT295,УГО_спр,2,FALSE),IFERROR(VLOOKUP(LEFT(AT295,2),УГО_спр,2,FALSE),""))))</f>
        <v>Розетка</v>
      </c>
      <c r="GL295" t="str">
        <f>IF(D295="","",IF(OR(GK295="",GK295=0),"BOX",IFERROR(IF(VLOOKUP(GK295,УГО_блоки,3,FALSE)&amp;""&lt;&gt;"",VLOOKUP(GK295,УГО_блоки,3,FALSE),VLOOKUP(GK295,УГО_блоки,2,FALSE)),GK295)))</f>
        <v>SOCKET</v>
      </c>
      <c r="GM295">
        <f t="shared" si="436"/>
        <v>1</v>
      </c>
      <c r="GN295" t="str">
        <f>IF(EP295="","",IF(COUNTIF(EP$3:EP295,EP295)=1,MAX(GN$2:GN294)+1,""))</f>
        <v/>
      </c>
      <c r="GO295" t="str">
        <f>IF(AF295="","",IF(COUNTIF(AF$3:AF295,AF295)+COUNTIF(AG$2:AG294,AF295)+COUNTIF(AH$2:AH294,AF295)=1,MAX(GO$2:GQ294)+1,""))</f>
        <v/>
      </c>
      <c r="GP295" t="str">
        <f>IF(AG295="","",IF(COUNTIF(AF$3:AF295,AG295)+COUNTIF(AG$3:AG295,AG295)+COUNTIF(AH$2:AH294,AG295)=1,MAX(GO$2:GQ294,GO295)+1,""))</f>
        <v/>
      </c>
      <c r="GQ295" t="str">
        <f>IF(AH295="","",IF(COUNTIF(AF$3:AF295,AH295)+COUNTIF(AG$3:AG295,AH295)+COUNTIF(AH$3:AH295,AH295)=1,MAX(GO$2:GQ294,GO295,GP295)+1,""))</f>
        <v/>
      </c>
      <c r="GR295" t="str">
        <f t="shared" si="437"/>
        <v>3х2,5</v>
      </c>
      <c r="GS295" t="str">
        <f>IF(GR295="","",IF(COUNTIF(GR$3:GR295,GR295)=1,MAX(GS$2:GS294)+1,""))</f>
        <v/>
      </c>
      <c r="GT295" t="str">
        <f>IF(ES295="","",COUNTIF(ES$3:ES295,"?*"))</f>
        <v/>
      </c>
      <c r="GU295" t="str">
        <f>IF(OR(ES295="",EU295=""),"",IF(COUNTIFS(ES$3:ES295,"?*",EU$3:EU295,EU295)=1,MAX(GU$2:GU294)+1,""))</f>
        <v/>
      </c>
      <c r="GV295">
        <f t="shared" si="438"/>
        <v>0</v>
      </c>
      <c r="GW295">
        <f>IF(D295="","",COUNTIF(D$3:D295,"?*"))</f>
        <v>293</v>
      </c>
      <c r="GX295">
        <f>IF(EX295&lt;&gt;1,0,_xlfn.LET(_xlpm.k,MAX(IFERROR(--VLOOKUP(D295,УГО_спр,5,FALSE),0),IFERROR(--VLOOKUP(AT295,УГО_спр,5,FALSE),0),IFERROR(--VLOOKUP(LEFT(AT295,2),УГО_спр,5,FALSE),0)),IF(_xlpm.k&gt;0,_xlpm.k,IF(IFERROR(--LEFT(SUBSTITUTE(GR295,"x","х"),FIND("х",SUBSTITUTE(GR295,"x","х"))-1),3)&gt;3,Каталог!$S$9,1))))</f>
        <v>1</v>
      </c>
      <c r="GY295">
        <f t="shared" si="439"/>
        <v>0</v>
      </c>
    </row>
    <row r="296" spans="1:207" x14ac:dyDescent="0.3">
      <c r="A296" t="s">
        <v>764</v>
      </c>
      <c r="B296">
        <v>23</v>
      </c>
      <c r="C296" t="str">
        <f>IF(BD296="","",IF(BE296="вводной узел","узел ","")&amp;"л."&amp;(INT((BD296-1)/Столбцов_на_лист)+1)&amp;" / "&amp;(MOD(BD296-1,Столбцов_на_лист)+1))</f>
        <v>л.2 / 6</v>
      </c>
      <c r="D296" t="s">
        <v>1630</v>
      </c>
      <c r="E296" s="133" t="str">
        <f t="shared" si="352"/>
        <v>Розеточная группа Второй этаж Пом. №015А</v>
      </c>
      <c r="G296">
        <v>0.12</v>
      </c>
      <c r="H296">
        <v>1</v>
      </c>
      <c r="I296">
        <v>1</v>
      </c>
      <c r="J296">
        <v>230</v>
      </c>
      <c r="K296" t="s">
        <v>566</v>
      </c>
      <c r="O296">
        <v>3</v>
      </c>
      <c r="P296">
        <v>36</v>
      </c>
      <c r="Q296">
        <v>12</v>
      </c>
      <c r="R296">
        <v>16</v>
      </c>
      <c r="S296">
        <v>5</v>
      </c>
      <c r="T296">
        <v>2</v>
      </c>
      <c r="U296" t="s">
        <v>11</v>
      </c>
      <c r="V296">
        <v>3</v>
      </c>
      <c r="W296">
        <v>2.5</v>
      </c>
      <c r="X296">
        <v>16</v>
      </c>
      <c r="Z296" t="s">
        <v>565</v>
      </c>
      <c r="AA296" t="s">
        <v>818</v>
      </c>
      <c r="AD296" t="s">
        <v>517</v>
      </c>
      <c r="AK296" t="s">
        <v>488</v>
      </c>
      <c r="AR296" t="str">
        <f t="shared" si="353"/>
        <v/>
      </c>
      <c r="AS296" cm="1">
        <f t="array" ref="AS296">ROW()-ROW(Линии[#Headers])</f>
        <v>294</v>
      </c>
      <c r="AT296" t="str">
        <f t="shared" si="354"/>
        <v>R</v>
      </c>
      <c r="AU296" t="str">
        <f t="shared" si="355"/>
        <v>2.015А.1</v>
      </c>
      <c r="AV296" t="str">
        <f t="shared" si="356"/>
        <v>2</v>
      </c>
      <c r="AW296" t="str">
        <f t="shared" si="357"/>
        <v>015А.1</v>
      </c>
      <c r="AX296" t="str">
        <f t="shared" si="358"/>
        <v>015А</v>
      </c>
      <c r="AY296" t="str">
        <f>IF(D296="","",IF(ISERROR(SEARCH(".",D296)),IFERROR(VLOOKUP(D296,Потребители_обозначение,2,FALSE)&amp;"",""),IFERROR(IF(VLOOKUP(AT296,Потребители_обозначение,4,FALSE)=1,VLOOKUP(AT296,Потребители_обозначение,2,FALSE)&amp;" "&amp;VLOOKUP(AV296,Этаж_обозначение,2,FALSE)&amp;" Пом. №"&amp;AX296,VLOOKUP(AT296,Потребители_обозначение,2,FALSE)&amp;" Шлейф №"&amp;AV296),IFERROR(VLOOKUP(D296,Потребители_обозначение,2,FALSE),""))))</f>
        <v>Розеточная группа Второй этаж Пом. №015А</v>
      </c>
      <c r="AZ296" t="str">
        <f t="shared" si="359"/>
        <v>Розеточная группа Второй этаж Пом. №015А</v>
      </c>
      <c r="BA296" t="str">
        <f>IF(F296&lt;&gt;"",F296,IF(AND(D296&lt;&gt;"",D296&lt;&gt;A296,ISNUMBER(_xlfn.XMATCH(D296,Щиты[Щит]))),D296,""))</f>
        <v/>
      </c>
      <c r="BB296">
        <f>IFERROR(_xlfn.XMATCH(A296,Щиты[Щит]),0)</f>
        <v>11</v>
      </c>
      <c r="BC296">
        <f>IFERROR(N(_xlfn.XLOOKUP(A296,Щиты[Щит],Щиты[Мест под вводной узел])),15)</f>
        <v>8</v>
      </c>
      <c r="BD296">
        <f t="shared" si="360"/>
        <v>23</v>
      </c>
      <c r="BE296" t="str">
        <f t="shared" si="361"/>
        <v>линии</v>
      </c>
      <c r="BF296">
        <f>IF(D296="","",IF(BA296&lt;&gt;"",IFERROR(_xlfn.XLOOKUP(BA296,Щиты[Щит],Щиты[Руст, кВт]),0),N(G296)))</f>
        <v>0.12</v>
      </c>
      <c r="BG296">
        <f>IF(J296&lt;&gt;"",J296,IF(D296="","",IFERROR(IF(VLOOKUP(AT296,Потребители_обозначение,8,FALSE)=0,"",VLOOKUP(AT296,Потребители_обозначение,8,FALSE)),"")))</f>
        <v>230</v>
      </c>
      <c r="BH296">
        <f>IF(I296&lt;&gt;"",I296,IF(D296="","",IFERROR(IF(VLOOKUP(AT296,Потребители_обозначение,9,FALSE)=0,"",VLOOKUP(AT296,Потребители_обозначение,9,FALSE)),"")))</f>
        <v>1</v>
      </c>
      <c r="BI296" t="str">
        <f>IF(U296&lt;&gt;"",U296,IF(D296="","",IFERROR(IF(VLOOKUP(AT296,Потребители_обозначение,6,FALSE)=0,"",VLOOKUP(AT296,Потребители_обозначение,6,FALSE)),"")))</f>
        <v>мс</v>
      </c>
      <c r="BJ296">
        <f>IF(V296&lt;&gt;"",V296,IF(D296="","",IFERROR(IF(VLOOKUP(AT296,Потребители_обозначение,7,FALSE)=0,"",VLOOKUP(AT296,Потребители_обозначение,7,FALSE)),"")))</f>
        <v>3</v>
      </c>
      <c r="BK296">
        <f>IF(W296&lt;&gt;"",W296,IF(D296="","",IFERROR(IF(VLOOKUP(AT296,Потребители_обозначение,10,FALSE)=0,"",VLOOKUP(AT296,Потребители_обозначение,10,FALSE)),"")))</f>
        <v>2.5</v>
      </c>
      <c r="BL296">
        <f>IFERROR(VLOOKUP(AT296,Потребители_обозначение,5,FALSE),0)</f>
        <v>1</v>
      </c>
      <c r="BM296" cm="1">
        <f t="array" ref="BM296">IF(D296="","",IF(BA296&lt;&gt;"",IFERROR(_xlfn.XLOOKUP(BA296,Щиты[Щит],Щиты[cos φ]),0.95),IF(ISNUMBER(M296),M296,IFERROR(IF(BL296=2,_xlfn.IFS(BH296=3,VLOOKUP(BF296,Справочная_двигатели,8,FALSE),BH296=1,VLOOKUP(BF296,Справочная_двигатели,10,TRUE)),IF(AND(Методика="нормы 2026",CN296="Сил"),0.8,0.95)),0.95))))</f>
        <v>0.95</v>
      </c>
      <c r="BN296" cm="1">
        <f t="array" ref="BN296">IF(D296="","",IF(BA296&lt;&gt;"",IFERROR(_xlfn.XLOOKUP(BA296,Щиты[Щит],Щиты[Iр, А]),""),IFERROR(_xlfn.IFS(BH296=1,BF296/((Uн_лин/SQRT(3))*BM296),BH296=3,BF296/(SQRT(3)*Uн_лин*BM296)),"")))</f>
        <v>0.54696341291648753</v>
      </c>
      <c r="BO296">
        <f>IF(D296="","",IF(N(X296)=0,IFERROR(VLOOKUP(BN296,Автомат_номиналы,2,TRUE),""),X296))</f>
        <v>16</v>
      </c>
      <c r="BP296">
        <f t="shared" si="362"/>
        <v>1</v>
      </c>
      <c r="BQ296">
        <f>IF(ISNUMBER(Y296),Y296,К_прокл)</f>
        <v>1</v>
      </c>
      <c r="BR296">
        <f t="shared" si="363"/>
        <v>2</v>
      </c>
      <c r="BS296" cm="1">
        <f t="array" ref="BS296">IF(D296="","",IF(N(BK296)&lt;&gt;0,BK296,IFERROR(_xlfn.LET(_xlpm.need,BO296/(BP296*BQ296),_xlpm.t,CHOOSE(BR296,Iдоп_1ж,Iдоп_2ж,Iдоп_3ж),_xlpm.k,_xlfn.XMATCH(_xlpm.need,_xlpm.t,1),IF(ISNA(_xlpm.k),"Не исп",INDEX(Iдоп_S,_xlpm.k))),"Не исп")))</f>
        <v>2.5</v>
      </c>
      <c r="BT296">
        <f>IFERROR(VLOOKUP(BS296,Кабель_сопротивление,3,FALSE),"")</f>
        <v>2.2499999999999999E-2</v>
      </c>
      <c r="BU296">
        <f>IFERROR(VLOOKUP(BS296,Кабель_сопротивление,2,FALSE),"")</f>
        <v>0.1</v>
      </c>
      <c r="BV296">
        <f t="shared" si="364"/>
        <v>36</v>
      </c>
      <c r="BW296">
        <f>IF(D296="","",IFERROR(IF(VLOOKUP(AT296,Потребители_обозначение,4,FALSE)=1,VLOOKUP(AT296,Потребители_обозначение,3,FALSE)*(H296*2-1)+BV296+VLOOKUP(AV296,Этаж_обозначение,3,FALSE)+VLOOKUP(AV296,Этаж_обозначение,4,FALSE),VLOOKUP(AT296,Потребители_обозначение,3,FALSE)*(H296*2-1)+BV296),BV296))</f>
        <v>39</v>
      </c>
      <c r="BX296">
        <f t="shared" si="365"/>
        <v>16</v>
      </c>
      <c r="BY296">
        <f t="shared" si="366"/>
        <v>5</v>
      </c>
      <c r="BZ296">
        <f t="shared" si="367"/>
        <v>2</v>
      </c>
      <c r="CA296">
        <f t="shared" si="368"/>
        <v>0.31</v>
      </c>
      <c r="CB296">
        <f t="shared" si="369"/>
        <v>0.3660924576064376</v>
      </c>
      <c r="CC296">
        <f>IFERROR(ROUNDUP(CB296/((Uн_лин/SQRT(3))*1000)*100,2),"")</f>
        <v>0.16</v>
      </c>
      <c r="CD296">
        <f>IF(ISNUMBER(CC296),CC296+IFERROR(_xlfn.XLOOKUP(A296,Щиты[Щит],Щиты[ΔU до шин, %]),0),"")</f>
        <v>1.95</v>
      </c>
      <c r="CE296">
        <f>IF(D296="","",IF(IFERROR(VLOOKUP(AT296,УГО_спр,2,FALSE),"")="Светильник",3,4)+IF(Методика="нормы 2026",MIN(0.5,MAX(0,N(BW296)-100)*0.005),0))</f>
        <v>4</v>
      </c>
      <c r="CF296" t="str">
        <f>IFERROR(VLOOKUP(BI296,Кабель_обозначение,2,FALSE),"")</f>
        <v>ВВГнг(А)-LS</v>
      </c>
      <c r="CG296" t="str">
        <f>IFERROR(IF(VLOOKUP(BI296,Кабель_обозначение,3,FALSE)=1,CF296&amp;" ("&amp;BJ296&amp;"х"&amp;BS296&amp;")",CF296),"")</f>
        <v>ВВГнг(А)-LS (3х2,5)</v>
      </c>
      <c r="CH296" t="str">
        <f t="shared" si="370"/>
        <v>ВВГнг(А)-LS (3х2,5)
L=39-0,16%</v>
      </c>
      <c r="CI296">
        <f>IFERROR(2*ρкз_Cu*BW296/BS296,"")</f>
        <v>0.82056000000000007</v>
      </c>
      <c r="CJ296">
        <f t="shared" si="371"/>
        <v>0.27300000000000002</v>
      </c>
      <c r="CK296" t="str">
        <f>IFERROR(IF(OR(D296="",NOT(ISNUMBER(BS296)),N(BW296)=0),"",_xlfn.XLOOKUP(A296,Щиты[Щит],Щиты[Zпетли на шинах, Ом])+CI296),"")</f>
        <v/>
      </c>
      <c r="CL296" t="str">
        <f>IF(ISNUMBER(CK296),c_min*(Uн_лин*1000/SQRT(3))/CK296,"")</f>
        <v/>
      </c>
      <c r="CM296" t="str">
        <f>IFERROR(IF(OR(D296="",NOT(ISNUMBER(BS296))),"",1.05*(Uн_лин*1000/SQRT(3))/(_xlfn.XLOOKUP(A296,Щиты[Щит],Щиты[Zmax на шинах, Ом])+CJ296)/1000),"")</f>
        <v/>
      </c>
      <c r="CN296" t="str">
        <f>IF(D296="","",IF(BA296&lt;&gt;"","Щит",IF(K296&lt;&gt;"",K296,IF(ISNUMBER(L296),"Сил",IF(IFERROR(_xlfn.XLOOKUP(AT296,Коды_код,Коды_группа)&amp;"","")="","Быт",_xlfn.XLOOKUP(AT296,Коды_код,Коды_группа)&amp;"")))))</f>
        <v>Быт</v>
      </c>
      <c r="CO296">
        <f>IF(CN296="Щит","щит",IF(CN296="","",IF(CN296="Быт",IFERROR(_xlfn.XLOOKUP(A296,Щиты[Щит],Щиты[Кс быт]),1),IF(CN296="Сил",IF(ISNUMBER(L296),L296,IF(Методика="нормы 2026",IFERROR(_xlfn.XLOOKUP(A296,Щиты[Щит],Щиты[Кс силовых (табл. 7.5)]),1),1)),IF(OR(CN296="Пост",CN296="Отоп"),1,IF(CN296="ВНГ",0.7,0))))))</f>
        <v>0.8</v>
      </c>
      <c r="CP296">
        <f t="shared" si="372"/>
        <v>1</v>
      </c>
      <c r="CQ296">
        <f t="shared" si="373"/>
        <v>0.12</v>
      </c>
      <c r="CR296">
        <f t="shared" si="374"/>
        <v>0.12</v>
      </c>
      <c r="CS296">
        <f t="shared" si="375"/>
        <v>0</v>
      </c>
      <c r="CT296">
        <f t="shared" si="376"/>
        <v>0</v>
      </c>
      <c r="CU296">
        <f t="shared" si="377"/>
        <v>0</v>
      </c>
      <c r="CV296">
        <f t="shared" si="378"/>
        <v>0</v>
      </c>
      <c r="CW296">
        <f t="shared" si="379"/>
        <v>0.12</v>
      </c>
      <c r="CX296">
        <f t="shared" si="380"/>
        <v>0.11399999999999999</v>
      </c>
      <c r="CY296">
        <f t="shared" si="381"/>
        <v>2</v>
      </c>
      <c r="CZ296" t="str">
        <f t="shared" si="382"/>
        <v>L2</v>
      </c>
      <c r="DA296" cm="1">
        <f t="array" ref="DA296">IFERROR(IF(BL296=2,_xlfn.IFS(BH296=3,VLOOKUP(BF296,Справочная_двигатели,3,FALSE),BH296=1,VLOOKUP(BF296,Справочная_двигатели,5,TRUE)),0),0)</f>
        <v>0</v>
      </c>
      <c r="DB296">
        <f>IFERROR(IF(BL296=3,VLOOKUP(BF296,Справочная_ЛЭД,2,TRUE),0),0)</f>
        <v>0</v>
      </c>
      <c r="DC296">
        <f t="shared" si="383"/>
        <v>0</v>
      </c>
      <c r="DD296" t="str">
        <f t="shared" si="384"/>
        <v>L3</v>
      </c>
      <c r="DE296" t="str" cm="1">
        <f t="array" ref="DE296">IF(D296="","",IFERROR(INDEX({"I особая","I","II","III"},MATCH(TRIM(AA296&amp;""),{"I особая","I","II","III"},0)),"III"))</f>
        <v>II</v>
      </c>
      <c r="DF296" t="str">
        <f>IF(D296="","",IF(TRIM(AB296&amp;"")&lt;&gt;"",IF(LOWER(TRIM(AB296&amp;""))="да","да","нет"),IF(IFERROR(_xlfn.XLOOKUP(AT296,Коды_код,Коды_пожарная),"")="да","да","нет")))</f>
        <v>нет</v>
      </c>
      <c r="DG296" t="str">
        <f t="shared" si="385"/>
        <v/>
      </c>
      <c r="DH296" t="str">
        <f t="shared" si="386"/>
        <v>основная</v>
      </c>
      <c r="DI296">
        <f t="shared" si="387"/>
        <v>1</v>
      </c>
      <c r="DJ296" t="str" cm="1">
        <f t="array" ref="DJ296">IF(D296="","",_xlfn.LET(_xlpm.t,IFERROR(_xlfn.XLOOKUP(1,(Шины[Шина]=DH296)*(((Шины[Щит]=A296)+(Шины[Щит]=""))&gt;0),Шины[Тип]),"")&amp;"",IF(_xlpm.t&lt;&gt;"",_xlpm.t,IF(ISNUMBER(SEARCH("ИБП",DH296)),"ИБП",IF(ISNUMBER(SEARCH("ДГУ",DH296)),"ДГУ","Ввод "&amp;DI296)))))</f>
        <v>Ввод 1</v>
      </c>
      <c r="DK296" t="str">
        <f t="shared" si="388"/>
        <v>Ввод 1</v>
      </c>
      <c r="DL296" t="str">
        <f>IF(D296="","",IF(OR(DJ296="ИБП",DJ296="ДГУ"),"I особая",IF(DJ296="Одиночная","III",_xlfn.XLOOKUP(A296,Щиты[Щит],Щиты[Категория шины «Ввод»],"III"))))</f>
        <v>II</v>
      </c>
      <c r="DM296">
        <f>IF(D296="",0,IFERROR(MATCH(DE296,{"III","II","I","I особая"},0),1))</f>
        <v>2</v>
      </c>
      <c r="DN296">
        <f t="shared" si="389"/>
        <v>2</v>
      </c>
      <c r="DO296" t="str">
        <f>IF(D296="","",IF(DM296&gt;IFERROR(MATCH(DL296,{"III","II","I","I особая"},0),1),"НЕ ОБЕСПЕЧЕНА","ОК"))</f>
        <v>ОК</v>
      </c>
      <c r="DP296" t="str">
        <f>IF(A296="","",_xlfn.XLOOKUP(A296,Щиты[Щит],Щиты[Путь],""))</f>
        <v>|ГРЩ-ЖД|ЩР-2|</v>
      </c>
      <c r="DQ296" t="str">
        <f>IF(D296="","",IF(Z296&lt;&gt;"",Z296,IF(IFERROR(_xlfn.XLOOKUP(AT296,Коды_код,Коды_вид)&amp;"","")="","Прочее",_xlfn.XLOOKUP(AT296,Коды_код,Коды_вид)&amp;"")))</f>
        <v>Розеточная сеть и бытовые приборы</v>
      </c>
      <c r="DR296">
        <f>IF(BD296="","",INT((BD296-1)/Столбцов_на_лист)+1)</f>
        <v>2</v>
      </c>
      <c r="DS296" t="str">
        <f t="shared" si="390"/>
        <v>ВВГнг(А)-LS (3х2,5) L=39-0,16%</v>
      </c>
      <c r="DT296">
        <f t="shared" si="391"/>
        <v>0.12</v>
      </c>
      <c r="DU296">
        <f t="shared" si="392"/>
        <v>0.55000000000000004</v>
      </c>
      <c r="DV296">
        <f t="shared" si="393"/>
        <v>1</v>
      </c>
      <c r="DW296">
        <f>IF(AT296="",0,_xlfn.LET(_xlpm.v,IFERROR(VLOOKUP(D296,УГО_спр,3,FALSE),IFERROR(VLOOKUP(AT296,УГО_спр,3,FALSE),IFERROR(VLOOKUP(LEFT(AT296,2),УГО_спр,3,FALSE),""))),IF(_xlpm.v="да",30,IF(ISNUMBER(_xlpm.v),_xlpm.v,0))))</f>
        <v>30</v>
      </c>
      <c r="DX296">
        <f t="shared" si="394"/>
        <v>0</v>
      </c>
      <c r="DY296">
        <f>IF(BD296="","",IF(AD296&lt;&gt;"",COUNTIFS(A$3:A296,A296,AD$3:AD296,"?*"),IF(OR(OR(AS296=1,A296&lt;&gt;A295),AL296="вручную"),"",IF(AS296=1,"",DZ295))))</f>
        <v>13</v>
      </c>
      <c r="DZ296">
        <f t="shared" si="395"/>
        <v>13</v>
      </c>
      <c r="EA296">
        <f>IF(D296="",0,MAX(IFERROR(--X296,0),IFERROR(--VLOOKUP(D296,УГО_спр,4,FALSE),IFERROR(--VLOOKUP(AT296,УГО_спр,4,FALSE),IFERROR(--VLOOKUP(LEFT(AT296,2),УГО_спр,4,FALSE),0)))))</f>
        <v>16</v>
      </c>
      <c r="EB296">
        <f>IF(D296="","",IFERROR(LOOKUP(INDEX(CHOOSE(BR296,Iдоп_1ж,Iдоп_2ж,Iдоп_3ж),MATCH(BS296,Iдоп_S,0))*BP296*BQ296,{6,10,16,20,25,32,40,50,63,80,100,125,160,200,250,315,400,500,630}),""))</f>
        <v>25</v>
      </c>
      <c r="EC296">
        <f>IF(AD296="","",SUMIFS(Линии[_Ток схемы],Линии[_гр.],DY296,Линии[Щит],A296,Линии[_в кабель выше],0))</f>
        <v>0.55000000000000004</v>
      </c>
      <c r="ED296">
        <f>IF(AD296="","",IFERROR(VLOOKUP(EC296,Автомат_номиналы,2,TRUE),""))</f>
        <v>6</v>
      </c>
      <c r="EE296">
        <f>IF(AD296="","",MAX(N(ED296),_xlfn.MAXIFS(Линии[_мин. по типу],Линии[_гр.],DY296,Линии[Щит],A296)))</f>
        <v>16</v>
      </c>
      <c r="EF296">
        <f>IF(AD296="","",_xlfn.MINIFS(Линии[_макс. автомат по кабелю],Линии[_гр.],DY296,Линии[Щит],A296))</f>
        <v>25</v>
      </c>
      <c r="EG296">
        <f>IF(AD296="","",MAX(1,_xlfn.MAXIFS(Линии[_фаз],Линии[_гр.],DY296,Линии[Щит],A296)))</f>
        <v>1</v>
      </c>
      <c r="EH296">
        <f>IF(AD296="","",IF(AND(AD296&lt;&gt;"авто",AD296&lt;&gt;"+"),IF(ISNUMBER(SEARCH("мА",AD296)),IFERROR(--TRIM(RIGHT(SUBSTITUTE(LEFT(AD296,SEARCH("мА",AD296)-1)," ",REPT(" ",9)),6)),30),0),IF(AE296="нет",0,IF(ISNUMBER(AE296),AE296,IF(AE296="да",30,_xlfn.MINIFS(Линии[_дифзащита по коду, мА],Линии[_гр.],DY296,Линии[Щит],A296,Линии[_дифзащита по коду, мА],"&gt;0"))))))</f>
        <v>30</v>
      </c>
      <c r="EI296">
        <f t="shared" si="396"/>
        <v>1</v>
      </c>
      <c r="EJ296" t="str">
        <f t="shared" si="397"/>
        <v>QFD13</v>
      </c>
      <c r="EK296" t="str">
        <f t="shared" si="398"/>
        <v>QFD13</v>
      </c>
      <c r="EL296" t="str">
        <f t="shared" si="399"/>
        <v/>
      </c>
      <c r="EM296">
        <f t="shared" si="400"/>
        <v>0</v>
      </c>
      <c r="EN296">
        <f>IF(AD296="","",IF(EM296=1,MAX(EE296,Мин_автомат_БП),EE296))</f>
        <v>16</v>
      </c>
      <c r="EO296" t="str">
        <f t="shared" si="401"/>
        <v>2P</v>
      </c>
      <c r="EP296" t="str">
        <f t="shared" si="402"/>
        <v>2P С16А 30мА</v>
      </c>
      <c r="EQ296">
        <f t="shared" si="403"/>
        <v>16</v>
      </c>
      <c r="ER296" t="str">
        <f>IF(OR(AI296="",AI296="-"),"",IFERROR(VLOOKUP(AI296,Модули_спр,2,FALSE),"R"))</f>
        <v/>
      </c>
      <c r="ES296" t="str">
        <f>IF(ER296="","",ER296&amp;"."&amp;COUNTIFS(A$3:A296,A296,ER$3:ER296,ER296))</f>
        <v/>
      </c>
      <c r="ET296" t="str">
        <f t="shared" si="404"/>
        <v/>
      </c>
      <c r="EU296" t="str">
        <f t="shared" si="405"/>
        <v/>
      </c>
      <c r="EV296" t="str">
        <f t="shared" si="406"/>
        <v/>
      </c>
      <c r="EW296" t="str">
        <f t="shared" si="407"/>
        <v/>
      </c>
      <c r="EX296">
        <f t="shared" si="408"/>
        <v>1</v>
      </c>
      <c r="EY296" t="str">
        <f>IF(AK296="нет","",IF(AK296&lt;&gt;"",AK296,IF(EX296=1,"XT"&amp;COUNTIFS(A$3:A296,A296,EX$3:EX296,1),"")))</f>
        <v/>
      </c>
      <c r="EZ296" t="str">
        <f t="shared" si="409"/>
        <v>QFD13</v>
      </c>
      <c r="FA296" t="str">
        <f t="shared" si="410"/>
        <v/>
      </c>
      <c r="FB296" t="str">
        <f t="shared" si="411"/>
        <v>ok</v>
      </c>
      <c r="FC296" t="str">
        <f>IF(OR(EV296="",ET296=""),"",IF(EV296&gt;IFERROR(VLOOKUP(EU296,Модули_спр,3,FALSE),99),"ЛИШНИЙ КАНАЛ",IF(AND(AJ296&lt;&gt;"=",COUNTIFS(Линии[_модуль гр.],ET296,Линии[Канал (итог)],EV296,Линии[Канал],"&lt;&gt;=",Линии[Щит],A296)&gt;1),"ДУБЛЬ КАНАЛА","")))</f>
        <v/>
      </c>
      <c r="FD296">
        <f t="shared" si="412"/>
        <v>16</v>
      </c>
      <c r="FE296" t="str">
        <f t="shared" si="413"/>
        <v>2P С16А 30мА</v>
      </c>
      <c r="FF296">
        <f t="shared" si="414"/>
        <v>1</v>
      </c>
      <c r="FG296">
        <f t="shared" si="415"/>
        <v>30</v>
      </c>
      <c r="FH296" t="str">
        <f t="shared" si="416"/>
        <v/>
      </c>
      <c r="FI296">
        <f t="shared" si="417"/>
        <v>10</v>
      </c>
      <c r="FJ296" t="str">
        <f t="shared" si="418"/>
        <v/>
      </c>
      <c r="FK296" t="str">
        <f>IF(AND(D296="",EZ296=""),"",_xlfn.TEXTJOIN("; ",TRUE,IF(AND(D296&lt;&gt;"",DD296=""),"нет фазы",""),IF(AND(D296&lt;&gt;"",N(DT296)=0,CN296&lt;&gt;"Нет"),"нет мощности",""),IF(AND(EY296&lt;&gt;"",COUNTIFS(Линии[Щит],A296,Линии[Клемма (итог)],EY296)&gt;1),"дубль клеммы "&amp;EY296,""),IF(AND(FB296&lt;&gt;"",FB296&lt;&gt;"ok"),FB296,""),IF(FC296&lt;&gt;"",FC296,""),IF(AND(ISNUMBER(SEARCH("(5х",DS296)),N(DV296)=1),"5 жил на 1 фазе",""),IF(AND(AT296="R",AD296&lt;&gt;"",OR(N(EH296)=0,N(EH296)&gt;30)),"розетка без дифзащиты до 30 мА",""),IFERROR(IF(AND(ISNUMBER(CD296),CD296&gt;CE296),"потери "&amp;FIXED(CD296,1)&amp;" % &gt; "&amp;CE296&amp;" %",""),""),IFERROR(IF(LEFT(FJ296,4)="мало","Iкз мало — отключение &gt; 0,4 с",""),""),IF(AND(D296&lt;&gt;"",BD296=""),"не на схеме","")))</f>
        <v/>
      </c>
      <c r="FL296">
        <f>IF(AD296="","",_xlfn.LET(_xlpm.t,IFERROR(_xlfn.XLOOKUP(EP296,Каталог!$U$4:$U$500,Каталог!$G$4:$G$500),""),_xlpm.k,SEARCH("кА",_xlpm.t),IFERROR(--TRIM(RIGHT(SUBSTITUTE(MID(_xlpm.t,MAX(1,_xlpm.k-4),_xlpm.k-MAX(1,_xlpm.k-4))," ",REPT(" ",9)),5)),"")))</f>
        <v>6</v>
      </c>
      <c r="FM296" t="str">
        <f>IF(OR(FL296="",AD296=""),"",IF(_xlfn.XLOOKUP(A296,Щиты[Щит],Щиты[Iкз max на шинах, кА],"")="","",IF(FL296&lt;_xlfn.XLOOKUP(A296,Щиты[Щит],Щиты[Iкз max на шинах, кА]),"Icu "&amp;FL296&amp;" кА &lt; Iкз max","ok")))</f>
        <v/>
      </c>
      <c r="FN296" t="str">
        <f t="shared" si="419"/>
        <v>QFD13</v>
      </c>
      <c r="FO296" t="str">
        <f t="shared" si="420"/>
        <v>QFD13|кабель ВВГнг(А)-LS (3х2,5) → Розеточная группа Второй этаж Пом. №015А</v>
      </c>
      <c r="FP296" t="str" cm="1">
        <f t="array" ref="FP296">IF(FO296="","",_xlfn.LET(_xlpm.nd,_xlfn.TEXTSPLIT(FO296,"|"),IF(COLUMNS(_xlpm.nd)&gt;1,A296&amp;"¦"&amp;INDEX(_xlpm.nd,1)&amp;"¦"&amp;INDEX(_xlpm.nd,2),"")))</f>
        <v>ЩР-2¦QFD13¦кабель ВВГнг(А)-LS (3х2,5) → Розеточная группа Второй этаж Пом. №015А</v>
      </c>
      <c r="FQ296" t="str">
        <f t="shared" si="421"/>
        <v>R.2.015А.1¦Розеточная группа Второй этаж Пом. №015А</v>
      </c>
      <c r="FR296" t="str" cm="1">
        <f t="array" ref="FR296">IF(FO296="","",_xlfn.LET(_xlpm.nd,_xlfn.TEXTSPLIT(FO296,"|"),IF(COLUMNS(_xlpm.nd)&gt;2,A296&amp;"¦"&amp;INDEX(_xlpm.nd,2)&amp;"¦"&amp;INDEX(_xlpm.nd,3),"")))</f>
        <v/>
      </c>
      <c r="FS296" t="str">
        <f t="shared" si="422"/>
        <v/>
      </c>
      <c r="FT296" t="str" cm="1">
        <f t="array" ref="FT296">IF(FO296="","",_xlfn.LET(_xlpm.nd,_xlfn.TEXTSPLIT(FO296,"|"),IF(COLUMNS(_xlpm.nd)&gt;3,A296&amp;"¦"&amp;INDEX(_xlpm.nd,3)&amp;"¦"&amp;INDEX(_xlpm.nd,4),"")))</f>
        <v/>
      </c>
      <c r="FU296" t="str">
        <f t="shared" si="423"/>
        <v/>
      </c>
      <c r="FV296" t="str" cm="1">
        <f t="array" ref="FV296">IF(FO296="","",_xlfn.LET(_xlpm.nd,_xlfn.TEXTSPLIT(FO296,"|"),IF(COLUMNS(_xlpm.nd)&gt;4,A296&amp;"¦"&amp;INDEX(_xlpm.nd,4)&amp;"¦"&amp;INDEX(_xlpm.nd,5),"")))</f>
        <v/>
      </c>
      <c r="FW296" t="str">
        <f t="shared" si="424"/>
        <v/>
      </c>
      <c r="FX296" t="str" cm="1">
        <f t="array" ref="FX296">IF(FO296="","",_xlfn.LET(_xlpm.nd,_xlfn.TEXTSPLIT(FO296,"|"),IF(COLUMNS(_xlpm.nd)&gt;5,A296&amp;"¦"&amp;INDEX(_xlpm.nd,5)&amp;"¦"&amp;INDEX(_xlpm.nd,6),"")))</f>
        <v/>
      </c>
      <c r="FY296" t="str">
        <f t="shared" si="425"/>
        <v/>
      </c>
      <c r="FZ296" t="str" cm="1">
        <f t="array" ref="FZ296">IF(FO296="","",_xlfn.LET(_xlpm.nd,_xlfn.TEXTSPLIT(FO296,"|"),IF(COLUMNS(_xlpm.nd)&gt;6,A296&amp;"¦"&amp;INDEX(_xlpm.nd,6)&amp;"¦"&amp;INDEX(_xlpm.nd,7),"")))</f>
        <v/>
      </c>
      <c r="GA296" t="str">
        <f t="shared" si="426"/>
        <v/>
      </c>
      <c r="GB296" t="str">
        <f t="shared" si="427"/>
        <v/>
      </c>
      <c r="GC296" t="str">
        <f t="shared" si="428"/>
        <v>QFD13</v>
      </c>
      <c r="GD296">
        <f t="shared" si="429"/>
        <v>1</v>
      </c>
      <c r="GE296">
        <f t="shared" si="430"/>
        <v>0</v>
      </c>
      <c r="GF296">
        <f t="shared" si="431"/>
        <v>1</v>
      </c>
      <c r="GG296" t="str">
        <f t="shared" si="432"/>
        <v/>
      </c>
      <c r="GH296" t="str">
        <f t="shared" si="433"/>
        <v/>
      </c>
      <c r="GI296" t="str">
        <f t="shared" si="434"/>
        <v/>
      </c>
      <c r="GJ296" t="str">
        <f t="shared" si="435"/>
        <v/>
      </c>
      <c r="GK296" t="str">
        <f>IF(D296="","",IFERROR(VLOOKUP(D296,УГО_спр,2,FALSE),IFERROR(VLOOKUP(AT296,УГО_спр,2,FALSE),IFERROR(VLOOKUP(LEFT(AT296,2),УГО_спр,2,FALSE),""))))</f>
        <v>Розетка</v>
      </c>
      <c r="GL296" t="str">
        <f>IF(D296="","",IF(OR(GK296="",GK296=0),"BOX",IFERROR(IF(VLOOKUP(GK296,УГО_блоки,3,FALSE)&amp;""&lt;&gt;"",VLOOKUP(GK296,УГО_блоки,3,FALSE),VLOOKUP(GK296,УГО_блоки,2,FALSE)),GK296)))</f>
        <v>SOCKET</v>
      </c>
      <c r="GM296">
        <f t="shared" si="436"/>
        <v>1</v>
      </c>
      <c r="GN296" t="str">
        <f>IF(EP296="","",IF(COUNTIF(EP$3:EP296,EP296)=1,MAX(GN$2:GN295)+1,""))</f>
        <v/>
      </c>
      <c r="GO296" t="str">
        <f>IF(AF296="","",IF(COUNTIF(AF$3:AF296,AF296)+COUNTIF(AG$2:AG295,AF296)+COUNTIF(AH$2:AH295,AF296)=1,MAX(GO$2:GQ295)+1,""))</f>
        <v/>
      </c>
      <c r="GP296" t="str">
        <f>IF(AG296="","",IF(COUNTIF(AF$3:AF296,AG296)+COUNTIF(AG$3:AG296,AG296)+COUNTIF(AH$2:AH295,AG296)=1,MAX(GO$2:GQ295,GO296)+1,""))</f>
        <v/>
      </c>
      <c r="GQ296" t="str">
        <f>IF(AH296="","",IF(COUNTIF(AF$3:AF296,AH296)+COUNTIF(AG$3:AG296,AH296)+COUNTIF(AH$3:AH296,AH296)=1,MAX(GO$2:GQ295,GO296,GP296)+1,""))</f>
        <v/>
      </c>
      <c r="GR296" t="str">
        <f t="shared" si="437"/>
        <v>3х2,5</v>
      </c>
      <c r="GS296" t="str">
        <f>IF(GR296="","",IF(COUNTIF(GR$3:GR296,GR296)=1,MAX(GS$2:GS295)+1,""))</f>
        <v/>
      </c>
      <c r="GT296" t="str">
        <f>IF(ES296="","",COUNTIF(ES$3:ES296,"?*"))</f>
        <v/>
      </c>
      <c r="GU296" t="str">
        <f>IF(OR(ES296="",EU296=""),"",IF(COUNTIFS(ES$3:ES296,"?*",EU$3:EU296,EU296)=1,MAX(GU$2:GU295)+1,""))</f>
        <v/>
      </c>
      <c r="GV296">
        <f t="shared" si="438"/>
        <v>0</v>
      </c>
      <c r="GW296">
        <f>IF(D296="","",COUNTIF(D$3:D296,"?*"))</f>
        <v>294</v>
      </c>
      <c r="GX296">
        <f>IF(EX296&lt;&gt;1,0,_xlfn.LET(_xlpm.k,MAX(IFERROR(--VLOOKUP(D296,УГО_спр,5,FALSE),0),IFERROR(--VLOOKUP(AT296,УГО_спр,5,FALSE),0),IFERROR(--VLOOKUP(LEFT(AT296,2),УГО_спр,5,FALSE),0)),IF(_xlpm.k&gt;0,_xlpm.k,IF(IFERROR(--LEFT(SUBSTITUTE(GR296,"x","х"),FIND("х",SUBSTITUTE(GR296,"x","х"))-1),3)&gt;3,Каталог!$S$9,1))))</f>
        <v>1</v>
      </c>
      <c r="GY296">
        <f t="shared" si="439"/>
        <v>0</v>
      </c>
    </row>
    <row r="297" spans="1:207" x14ac:dyDescent="0.3">
      <c r="A297" t="s">
        <v>764</v>
      </c>
      <c r="B297">
        <v>24</v>
      </c>
      <c r="C297" t="str">
        <f>IF(BD297="","",IF(BE297="вводной узел","узел ","")&amp;"л."&amp;(INT((BD297-1)/Столбцов_на_лист)+1)&amp;" / "&amp;(MOD(BD297-1,Столбцов_на_лист)+1))</f>
        <v>л.2 / 7</v>
      </c>
      <c r="D297" t="s">
        <v>1631</v>
      </c>
      <c r="E297" s="133" t="str">
        <f t="shared" si="352"/>
        <v>Розеточная группа Второй этаж Пом. №016А</v>
      </c>
      <c r="G297">
        <v>0.06</v>
      </c>
      <c r="H297">
        <v>1</v>
      </c>
      <c r="I297">
        <v>1</v>
      </c>
      <c r="J297">
        <v>230</v>
      </c>
      <c r="K297" t="s">
        <v>566</v>
      </c>
      <c r="O297">
        <v>2</v>
      </c>
      <c r="P297">
        <v>31</v>
      </c>
      <c r="Q297">
        <v>12</v>
      </c>
      <c r="R297">
        <v>16</v>
      </c>
      <c r="S297">
        <v>0</v>
      </c>
      <c r="T297">
        <v>2</v>
      </c>
      <c r="U297" t="s">
        <v>11</v>
      </c>
      <c r="V297">
        <v>3</v>
      </c>
      <c r="W297">
        <v>2.5</v>
      </c>
      <c r="X297">
        <v>16</v>
      </c>
      <c r="Z297" t="s">
        <v>565</v>
      </c>
      <c r="AA297" t="s">
        <v>818</v>
      </c>
      <c r="AD297" t="s">
        <v>517</v>
      </c>
      <c r="AK297" t="s">
        <v>488</v>
      </c>
      <c r="AR297" t="str">
        <f t="shared" si="353"/>
        <v/>
      </c>
      <c r="AS297" cm="1">
        <f t="array" ref="AS297">ROW()-ROW(Линии[#Headers])</f>
        <v>295</v>
      </c>
      <c r="AT297" t="str">
        <f t="shared" si="354"/>
        <v>R</v>
      </c>
      <c r="AU297" t="str">
        <f t="shared" si="355"/>
        <v>2.016А.1</v>
      </c>
      <c r="AV297" t="str">
        <f t="shared" si="356"/>
        <v>2</v>
      </c>
      <c r="AW297" t="str">
        <f t="shared" si="357"/>
        <v>016А.1</v>
      </c>
      <c r="AX297" t="str">
        <f t="shared" si="358"/>
        <v>016А</v>
      </c>
      <c r="AY297" t="str">
        <f>IF(D297="","",IF(ISERROR(SEARCH(".",D297)),IFERROR(VLOOKUP(D297,Потребители_обозначение,2,FALSE)&amp;"",""),IFERROR(IF(VLOOKUP(AT297,Потребители_обозначение,4,FALSE)=1,VLOOKUP(AT297,Потребители_обозначение,2,FALSE)&amp;" "&amp;VLOOKUP(AV297,Этаж_обозначение,2,FALSE)&amp;" Пом. №"&amp;AX297,VLOOKUP(AT297,Потребители_обозначение,2,FALSE)&amp;" Шлейф №"&amp;AV297),IFERROR(VLOOKUP(D297,Потребители_обозначение,2,FALSE),""))))</f>
        <v>Розеточная группа Второй этаж Пом. №016А</v>
      </c>
      <c r="AZ297" t="str">
        <f t="shared" si="359"/>
        <v>Розеточная группа Второй этаж Пом. №016А</v>
      </c>
      <c r="BA297" t="str">
        <f>IF(F297&lt;&gt;"",F297,IF(AND(D297&lt;&gt;"",D297&lt;&gt;A297,ISNUMBER(_xlfn.XMATCH(D297,Щиты[Щит]))),D297,""))</f>
        <v/>
      </c>
      <c r="BB297">
        <f>IFERROR(_xlfn.XMATCH(A297,Щиты[Щит]),0)</f>
        <v>11</v>
      </c>
      <c r="BC297">
        <f>IFERROR(N(_xlfn.XLOOKUP(A297,Щиты[Щит],Щиты[Мест под вводной узел])),15)</f>
        <v>8</v>
      </c>
      <c r="BD297">
        <f t="shared" si="360"/>
        <v>24</v>
      </c>
      <c r="BE297" t="str">
        <f t="shared" si="361"/>
        <v>линии</v>
      </c>
      <c r="BF297">
        <f>IF(D297="","",IF(BA297&lt;&gt;"",IFERROR(_xlfn.XLOOKUP(BA297,Щиты[Щит],Щиты[Руст, кВт]),0),N(G297)))</f>
        <v>0.06</v>
      </c>
      <c r="BG297">
        <f>IF(J297&lt;&gt;"",J297,IF(D297="","",IFERROR(IF(VLOOKUP(AT297,Потребители_обозначение,8,FALSE)=0,"",VLOOKUP(AT297,Потребители_обозначение,8,FALSE)),"")))</f>
        <v>230</v>
      </c>
      <c r="BH297">
        <f>IF(I297&lt;&gt;"",I297,IF(D297="","",IFERROR(IF(VLOOKUP(AT297,Потребители_обозначение,9,FALSE)=0,"",VLOOKUP(AT297,Потребители_обозначение,9,FALSE)),"")))</f>
        <v>1</v>
      </c>
      <c r="BI297" t="str">
        <f>IF(U297&lt;&gt;"",U297,IF(D297="","",IFERROR(IF(VLOOKUP(AT297,Потребители_обозначение,6,FALSE)=0,"",VLOOKUP(AT297,Потребители_обозначение,6,FALSE)),"")))</f>
        <v>мс</v>
      </c>
      <c r="BJ297">
        <f>IF(V297&lt;&gt;"",V297,IF(D297="","",IFERROR(IF(VLOOKUP(AT297,Потребители_обозначение,7,FALSE)=0,"",VLOOKUP(AT297,Потребители_обозначение,7,FALSE)),"")))</f>
        <v>3</v>
      </c>
      <c r="BK297">
        <f>IF(W297&lt;&gt;"",W297,IF(D297="","",IFERROR(IF(VLOOKUP(AT297,Потребители_обозначение,10,FALSE)=0,"",VLOOKUP(AT297,Потребители_обозначение,10,FALSE)),"")))</f>
        <v>2.5</v>
      </c>
      <c r="BL297">
        <f>IFERROR(VLOOKUP(AT297,Потребители_обозначение,5,FALSE),0)</f>
        <v>1</v>
      </c>
      <c r="BM297" cm="1">
        <f t="array" ref="BM297">IF(D297="","",IF(BA297&lt;&gt;"",IFERROR(_xlfn.XLOOKUP(BA297,Щиты[Щит],Щиты[cos φ]),0.95),IF(ISNUMBER(M297),M297,IFERROR(IF(BL297=2,_xlfn.IFS(BH297=3,VLOOKUP(BF297,Справочная_двигатели,8,FALSE),BH297=1,VLOOKUP(BF297,Справочная_двигатели,10,TRUE)),IF(AND(Методика="нормы 2026",CN297="Сил"),0.8,0.95)),0.95))))</f>
        <v>0.95</v>
      </c>
      <c r="BN297" cm="1">
        <f t="array" ref="BN297">IF(D297="","",IF(BA297&lt;&gt;"",IFERROR(_xlfn.XLOOKUP(BA297,Щиты[Щит],Щиты[Iр, А]),""),IFERROR(_xlfn.IFS(BH297=1,BF297/((Uн_лин/SQRT(3))*BM297),BH297=3,BF297/(SQRT(3)*Uн_лин*BM297)),"")))</f>
        <v>0.27348170645824377</v>
      </c>
      <c r="BO297">
        <f>IF(D297="","",IF(N(X297)=0,IFERROR(VLOOKUP(BN297,Автомат_номиналы,2,TRUE),""),X297))</f>
        <v>16</v>
      </c>
      <c r="BP297">
        <f t="shared" si="362"/>
        <v>1</v>
      </c>
      <c r="BQ297">
        <f>IF(ISNUMBER(Y297),Y297,К_прокл)</f>
        <v>1</v>
      </c>
      <c r="BR297">
        <f t="shared" si="363"/>
        <v>2</v>
      </c>
      <c r="BS297" cm="1">
        <f t="array" ref="BS297">IF(D297="","",IF(N(BK297)&lt;&gt;0,BK297,IFERROR(_xlfn.LET(_xlpm.need,BO297/(BP297*BQ297),_xlpm.t,CHOOSE(BR297,Iдоп_1ж,Iдоп_2ж,Iдоп_3ж),_xlpm.k,_xlfn.XMATCH(_xlpm.need,_xlpm.t,1),IF(ISNA(_xlpm.k),"Не исп",INDEX(Iдоп_S,_xlpm.k))),"Не исп")))</f>
        <v>2.5</v>
      </c>
      <c r="BT297">
        <f>IFERROR(VLOOKUP(BS297,Кабель_сопротивление,3,FALSE),"")</f>
        <v>2.2499999999999999E-2</v>
      </c>
      <c r="BU297">
        <f>IFERROR(VLOOKUP(BS297,Кабель_сопротивление,2,FALSE),"")</f>
        <v>0.1</v>
      </c>
      <c r="BV297">
        <f t="shared" si="364"/>
        <v>31</v>
      </c>
      <c r="BW297">
        <f>IF(D297="","",IFERROR(IF(VLOOKUP(AT297,Потребители_обозначение,4,FALSE)=1,VLOOKUP(AT297,Потребители_обозначение,3,FALSE)*(H297*2-1)+BV297+VLOOKUP(AV297,Этаж_обозначение,3,FALSE)+VLOOKUP(AV297,Этаж_обозначение,4,FALSE),VLOOKUP(AT297,Потребители_обозначение,3,FALSE)*(H297*2-1)+BV297),BV297))</f>
        <v>34</v>
      </c>
      <c r="BX297">
        <f t="shared" si="365"/>
        <v>16</v>
      </c>
      <c r="BY297">
        <f t="shared" si="366"/>
        <v>0</v>
      </c>
      <c r="BZ297">
        <f t="shared" si="367"/>
        <v>2</v>
      </c>
      <c r="CA297">
        <f t="shared" si="368"/>
        <v>0.31</v>
      </c>
      <c r="CB297">
        <f t="shared" si="369"/>
        <v>0.15957876357203687</v>
      </c>
      <c r="CC297">
        <f>IFERROR(ROUNDUP(CB297/((Uн_лин/SQRT(3))*1000)*100,2),"")</f>
        <v>6.9999999999999993E-2</v>
      </c>
      <c r="CD297">
        <f>IF(ISNUMBER(CC297),CC297+IFERROR(_xlfn.XLOOKUP(A297,Щиты[Щит],Щиты[ΔU до шин, %]),0),"")</f>
        <v>1.86</v>
      </c>
      <c r="CE297">
        <f>IF(D297="","",IF(IFERROR(VLOOKUP(AT297,УГО_спр,2,FALSE),"")="Светильник",3,4)+IF(Методика="нормы 2026",MIN(0.5,MAX(0,N(BW297)-100)*0.005),0))</f>
        <v>4</v>
      </c>
      <c r="CF297" t="str">
        <f>IFERROR(VLOOKUP(BI297,Кабель_обозначение,2,FALSE),"")</f>
        <v>ВВГнг(А)-LS</v>
      </c>
      <c r="CG297" t="str">
        <f>IFERROR(IF(VLOOKUP(BI297,Кабель_обозначение,3,FALSE)=1,CF297&amp;" ("&amp;BJ297&amp;"х"&amp;BS297&amp;")",CF297),"")</f>
        <v>ВВГнг(А)-LS (3х2,5)</v>
      </c>
      <c r="CH297" t="str">
        <f t="shared" si="370"/>
        <v>ВВГнг(А)-LS (3х2,5)
L=34-0,07%</v>
      </c>
      <c r="CI297">
        <f>IFERROR(2*ρкз_Cu*BW297/BS297,"")</f>
        <v>0.71536</v>
      </c>
      <c r="CJ297">
        <f t="shared" si="371"/>
        <v>0.23800000000000004</v>
      </c>
      <c r="CK297" t="str">
        <f>IFERROR(IF(OR(D297="",NOT(ISNUMBER(BS297)),N(BW297)=0),"",_xlfn.XLOOKUP(A297,Щиты[Щит],Щиты[Zпетли на шинах, Ом])+CI297),"")</f>
        <v/>
      </c>
      <c r="CL297" t="str">
        <f>IF(ISNUMBER(CK297),c_min*(Uн_лин*1000/SQRT(3))/CK297,"")</f>
        <v/>
      </c>
      <c r="CM297" t="str">
        <f>IFERROR(IF(OR(D297="",NOT(ISNUMBER(BS297))),"",1.05*(Uн_лин*1000/SQRT(3))/(_xlfn.XLOOKUP(A297,Щиты[Щит],Щиты[Zmax на шинах, Ом])+CJ297)/1000),"")</f>
        <v/>
      </c>
      <c r="CN297" t="str">
        <f>IF(D297="","",IF(BA297&lt;&gt;"","Щит",IF(K297&lt;&gt;"",K297,IF(ISNUMBER(L297),"Сил",IF(IFERROR(_xlfn.XLOOKUP(AT297,Коды_код,Коды_группа)&amp;"","")="","Быт",_xlfn.XLOOKUP(AT297,Коды_код,Коды_группа)&amp;"")))))</f>
        <v>Быт</v>
      </c>
      <c r="CO297">
        <f>IF(CN297="Щит","щит",IF(CN297="","",IF(CN297="Быт",IFERROR(_xlfn.XLOOKUP(A297,Щиты[Щит],Щиты[Кс быт]),1),IF(CN297="Сил",IF(ISNUMBER(L297),L297,IF(Методика="нормы 2026",IFERROR(_xlfn.XLOOKUP(A297,Щиты[Щит],Щиты[Кс силовых (табл. 7.5)]),1),1)),IF(OR(CN297="Пост",CN297="Отоп"),1,IF(CN297="ВНГ",0.7,0))))))</f>
        <v>0.8</v>
      </c>
      <c r="CP297">
        <f t="shared" si="372"/>
        <v>1</v>
      </c>
      <c r="CQ297">
        <f t="shared" si="373"/>
        <v>0.06</v>
      </c>
      <c r="CR297">
        <f t="shared" si="374"/>
        <v>0.06</v>
      </c>
      <c r="CS297">
        <f t="shared" si="375"/>
        <v>0</v>
      </c>
      <c r="CT297">
        <f t="shared" si="376"/>
        <v>0</v>
      </c>
      <c r="CU297">
        <f t="shared" si="377"/>
        <v>0</v>
      </c>
      <c r="CV297">
        <f t="shared" si="378"/>
        <v>0</v>
      </c>
      <c r="CW297">
        <f t="shared" si="379"/>
        <v>0.06</v>
      </c>
      <c r="CX297">
        <f t="shared" si="380"/>
        <v>5.6999999999999995E-2</v>
      </c>
      <c r="CY297">
        <f t="shared" si="381"/>
        <v>3</v>
      </c>
      <c r="CZ297" t="str">
        <f t="shared" si="382"/>
        <v>L3</v>
      </c>
      <c r="DA297" cm="1">
        <f t="array" ref="DA297">IFERROR(IF(BL297=2,_xlfn.IFS(BH297=3,VLOOKUP(BF297,Справочная_двигатели,3,FALSE),BH297=1,VLOOKUP(BF297,Справочная_двигатели,5,TRUE)),0),0)</f>
        <v>0</v>
      </c>
      <c r="DB297">
        <f>IFERROR(IF(BL297=3,VLOOKUP(BF297,Справочная_ЛЭД,2,TRUE),0),0)</f>
        <v>0</v>
      </c>
      <c r="DC297">
        <f t="shared" si="383"/>
        <v>0</v>
      </c>
      <c r="DD297" t="str">
        <f t="shared" si="384"/>
        <v>L2</v>
      </c>
      <c r="DE297" t="str" cm="1">
        <f t="array" ref="DE297">IF(D297="","",IFERROR(INDEX({"I особая","I","II","III"},MATCH(TRIM(AA297&amp;""),{"I особая","I","II","III"},0)),"III"))</f>
        <v>II</v>
      </c>
      <c r="DF297" t="str">
        <f>IF(D297="","",IF(TRIM(AB297&amp;"")&lt;&gt;"",IF(LOWER(TRIM(AB297&amp;""))="да","да","нет"),IF(IFERROR(_xlfn.XLOOKUP(AT297,Коды_код,Коды_пожарная),"")="да","да","нет")))</f>
        <v>нет</v>
      </c>
      <c r="DG297" t="str">
        <f t="shared" si="385"/>
        <v/>
      </c>
      <c r="DH297" t="str">
        <f t="shared" si="386"/>
        <v>основная</v>
      </c>
      <c r="DI297">
        <f t="shared" si="387"/>
        <v>1</v>
      </c>
      <c r="DJ297" t="str" cm="1">
        <f t="array" ref="DJ297">IF(D297="","",_xlfn.LET(_xlpm.t,IFERROR(_xlfn.XLOOKUP(1,(Шины[Шина]=DH297)*(((Шины[Щит]=A297)+(Шины[Щит]=""))&gt;0),Шины[Тип]),"")&amp;"",IF(_xlpm.t&lt;&gt;"",_xlpm.t,IF(ISNUMBER(SEARCH("ИБП",DH297)),"ИБП",IF(ISNUMBER(SEARCH("ДГУ",DH297)),"ДГУ","Ввод "&amp;DI297)))))</f>
        <v>Ввод 1</v>
      </c>
      <c r="DK297" t="str">
        <f t="shared" si="388"/>
        <v>Ввод 1</v>
      </c>
      <c r="DL297" t="str">
        <f>IF(D297="","",IF(OR(DJ297="ИБП",DJ297="ДГУ"),"I особая",IF(DJ297="Одиночная","III",_xlfn.XLOOKUP(A297,Щиты[Щит],Щиты[Категория шины «Ввод»],"III"))))</f>
        <v>II</v>
      </c>
      <c r="DM297">
        <f>IF(D297="",0,IFERROR(MATCH(DE297,{"III","II","I","I особая"},0),1))</f>
        <v>2</v>
      </c>
      <c r="DN297">
        <f t="shared" si="389"/>
        <v>2</v>
      </c>
      <c r="DO297" t="str">
        <f>IF(D297="","",IF(DM297&gt;IFERROR(MATCH(DL297,{"III","II","I","I особая"},0),1),"НЕ ОБЕСПЕЧЕНА","ОК"))</f>
        <v>ОК</v>
      </c>
      <c r="DP297" t="str">
        <f>IF(A297="","",_xlfn.XLOOKUP(A297,Щиты[Щит],Щиты[Путь],""))</f>
        <v>|ГРЩ-ЖД|ЩР-2|</v>
      </c>
      <c r="DQ297" t="str">
        <f>IF(D297="","",IF(Z297&lt;&gt;"",Z297,IF(IFERROR(_xlfn.XLOOKUP(AT297,Коды_код,Коды_вид)&amp;"","")="","Прочее",_xlfn.XLOOKUP(AT297,Коды_код,Коды_вид)&amp;"")))</f>
        <v>Розеточная сеть и бытовые приборы</v>
      </c>
      <c r="DR297">
        <f>IF(BD297="","",INT((BD297-1)/Столбцов_на_лист)+1)</f>
        <v>2</v>
      </c>
      <c r="DS297" t="str">
        <f t="shared" si="390"/>
        <v>ВВГнг(А)-LS (3х2,5) L=34-0,07%</v>
      </c>
      <c r="DT297">
        <f t="shared" si="391"/>
        <v>0.06</v>
      </c>
      <c r="DU297">
        <f t="shared" si="392"/>
        <v>0.28000000000000003</v>
      </c>
      <c r="DV297">
        <f t="shared" si="393"/>
        <v>1</v>
      </c>
      <c r="DW297">
        <f>IF(AT297="",0,_xlfn.LET(_xlpm.v,IFERROR(VLOOKUP(D297,УГО_спр,3,FALSE),IFERROR(VLOOKUP(AT297,УГО_спр,3,FALSE),IFERROR(VLOOKUP(LEFT(AT297,2),УГО_спр,3,FALSE),""))),IF(_xlpm.v="да",30,IF(ISNUMBER(_xlpm.v),_xlpm.v,0))))</f>
        <v>30</v>
      </c>
      <c r="DX297">
        <f t="shared" si="394"/>
        <v>0</v>
      </c>
      <c r="DY297">
        <f>IF(BD297="","",IF(AD297&lt;&gt;"",COUNTIFS(A$3:A297,A297,AD$3:AD297,"?*"),IF(OR(OR(AS297=1,A297&lt;&gt;A296),AL297="вручную"),"",IF(AS297=1,"",DZ296))))</f>
        <v>14</v>
      </c>
      <c r="DZ297">
        <f t="shared" si="395"/>
        <v>14</v>
      </c>
      <c r="EA297">
        <f>IF(D297="",0,MAX(IFERROR(--X297,0),IFERROR(--VLOOKUP(D297,УГО_спр,4,FALSE),IFERROR(--VLOOKUP(AT297,УГО_спр,4,FALSE),IFERROR(--VLOOKUP(LEFT(AT297,2),УГО_спр,4,FALSE),0)))))</f>
        <v>16</v>
      </c>
      <c r="EB297">
        <f>IF(D297="","",IFERROR(LOOKUP(INDEX(CHOOSE(BR297,Iдоп_1ж,Iдоп_2ж,Iдоп_3ж),MATCH(BS297,Iдоп_S,0))*BP297*BQ297,{6,10,16,20,25,32,40,50,63,80,100,125,160,200,250,315,400,500,630}),""))</f>
        <v>25</v>
      </c>
      <c r="EC297">
        <f>IF(AD297="","",SUMIFS(Линии[_Ток схемы],Линии[_гр.],DY297,Линии[Щит],A297,Линии[_в кабель выше],0))</f>
        <v>0.28000000000000003</v>
      </c>
      <c r="ED297">
        <f>IF(AD297="","",IFERROR(VLOOKUP(EC297,Автомат_номиналы,2,TRUE),""))</f>
        <v>6</v>
      </c>
      <c r="EE297">
        <f>IF(AD297="","",MAX(N(ED297),_xlfn.MAXIFS(Линии[_мин. по типу],Линии[_гр.],DY297,Линии[Щит],A297)))</f>
        <v>16</v>
      </c>
      <c r="EF297">
        <f>IF(AD297="","",_xlfn.MINIFS(Линии[_макс. автомат по кабелю],Линии[_гр.],DY297,Линии[Щит],A297))</f>
        <v>25</v>
      </c>
      <c r="EG297">
        <f>IF(AD297="","",MAX(1,_xlfn.MAXIFS(Линии[_фаз],Линии[_гр.],DY297,Линии[Щит],A297)))</f>
        <v>1</v>
      </c>
      <c r="EH297">
        <f>IF(AD297="","",IF(AND(AD297&lt;&gt;"авто",AD297&lt;&gt;"+"),IF(ISNUMBER(SEARCH("мА",AD297)),IFERROR(--TRIM(RIGHT(SUBSTITUTE(LEFT(AD297,SEARCH("мА",AD297)-1)," ",REPT(" ",9)),6)),30),0),IF(AE297="нет",0,IF(ISNUMBER(AE297),AE297,IF(AE297="да",30,_xlfn.MINIFS(Линии[_дифзащита по коду, мА],Линии[_гр.],DY297,Линии[Щит],A297,Линии[_дифзащита по коду, мА],"&gt;0"))))))</f>
        <v>30</v>
      </c>
      <c r="EI297">
        <f t="shared" si="396"/>
        <v>1</v>
      </c>
      <c r="EJ297" t="str">
        <f t="shared" si="397"/>
        <v>QFD14</v>
      </c>
      <c r="EK297" t="str">
        <f t="shared" si="398"/>
        <v>QFD14</v>
      </c>
      <c r="EL297" t="str">
        <f t="shared" si="399"/>
        <v/>
      </c>
      <c r="EM297">
        <f t="shared" si="400"/>
        <v>0</v>
      </c>
      <c r="EN297">
        <f>IF(AD297="","",IF(EM297=1,MAX(EE297,Мин_автомат_БП),EE297))</f>
        <v>16</v>
      </c>
      <c r="EO297" t="str">
        <f t="shared" si="401"/>
        <v>2P</v>
      </c>
      <c r="EP297" t="str">
        <f t="shared" si="402"/>
        <v>2P С16А 30мА</v>
      </c>
      <c r="EQ297">
        <f t="shared" si="403"/>
        <v>16</v>
      </c>
      <c r="ER297" t="str">
        <f>IF(OR(AI297="",AI297="-"),"",IFERROR(VLOOKUP(AI297,Модули_спр,2,FALSE),"R"))</f>
        <v/>
      </c>
      <c r="ES297" t="str">
        <f>IF(ER297="","",ER297&amp;"."&amp;COUNTIFS(A$3:A297,A297,ER$3:ER297,ER297))</f>
        <v/>
      </c>
      <c r="ET297" t="str">
        <f t="shared" si="404"/>
        <v/>
      </c>
      <c r="EU297" t="str">
        <f t="shared" si="405"/>
        <v/>
      </c>
      <c r="EV297" t="str">
        <f t="shared" si="406"/>
        <v/>
      </c>
      <c r="EW297" t="str">
        <f t="shared" si="407"/>
        <v/>
      </c>
      <c r="EX297">
        <f t="shared" si="408"/>
        <v>1</v>
      </c>
      <c r="EY297" t="str">
        <f>IF(AK297="нет","",IF(AK297&lt;&gt;"",AK297,IF(EX297=1,"XT"&amp;COUNTIFS(A$3:A297,A297,EX$3:EX297,1),"")))</f>
        <v/>
      </c>
      <c r="EZ297" t="str">
        <f t="shared" si="409"/>
        <v>QFD14</v>
      </c>
      <c r="FA297" t="str">
        <f t="shared" si="410"/>
        <v/>
      </c>
      <c r="FB297" t="str">
        <f t="shared" si="411"/>
        <v>ok</v>
      </c>
      <c r="FC297" t="str">
        <f>IF(OR(EV297="",ET297=""),"",IF(EV297&gt;IFERROR(VLOOKUP(EU297,Модули_спр,3,FALSE),99),"ЛИШНИЙ КАНАЛ",IF(AND(AJ297&lt;&gt;"=",COUNTIFS(Линии[_модуль гр.],ET297,Линии[Канал (итог)],EV297,Линии[Канал],"&lt;&gt;=",Линии[Щит],A297)&gt;1),"ДУБЛЬ КАНАЛА","")))</f>
        <v/>
      </c>
      <c r="FD297">
        <f t="shared" si="412"/>
        <v>16</v>
      </c>
      <c r="FE297" t="str">
        <f t="shared" si="413"/>
        <v>2P С16А 30мА</v>
      </c>
      <c r="FF297">
        <f t="shared" si="414"/>
        <v>1</v>
      </c>
      <c r="FG297">
        <f t="shared" si="415"/>
        <v>30</v>
      </c>
      <c r="FH297" t="str">
        <f t="shared" si="416"/>
        <v/>
      </c>
      <c r="FI297">
        <f t="shared" si="417"/>
        <v>10</v>
      </c>
      <c r="FJ297" t="str">
        <f t="shared" si="418"/>
        <v/>
      </c>
      <c r="FK297" t="str">
        <f>IF(AND(D297="",EZ297=""),"",_xlfn.TEXTJOIN("; ",TRUE,IF(AND(D297&lt;&gt;"",DD297=""),"нет фазы",""),IF(AND(D297&lt;&gt;"",N(DT297)=0,CN297&lt;&gt;"Нет"),"нет мощности",""),IF(AND(EY297&lt;&gt;"",COUNTIFS(Линии[Щит],A297,Линии[Клемма (итог)],EY297)&gt;1),"дубль клеммы "&amp;EY297,""),IF(AND(FB297&lt;&gt;"",FB297&lt;&gt;"ok"),FB297,""),IF(FC297&lt;&gt;"",FC297,""),IF(AND(ISNUMBER(SEARCH("(5х",DS297)),N(DV297)=1),"5 жил на 1 фазе",""),IF(AND(AT297="R",AD297&lt;&gt;"",OR(N(EH297)=0,N(EH297)&gt;30)),"розетка без дифзащиты до 30 мА",""),IFERROR(IF(AND(ISNUMBER(CD297),CD297&gt;CE297),"потери "&amp;FIXED(CD297,1)&amp;" % &gt; "&amp;CE297&amp;" %",""),""),IFERROR(IF(LEFT(FJ297,4)="мало","Iкз мало — отключение &gt; 0,4 с",""),""),IF(AND(D297&lt;&gt;"",BD297=""),"не на схеме","")))</f>
        <v/>
      </c>
      <c r="FL297">
        <f>IF(AD297="","",_xlfn.LET(_xlpm.t,IFERROR(_xlfn.XLOOKUP(EP297,Каталог!$U$4:$U$500,Каталог!$G$4:$G$500),""),_xlpm.k,SEARCH("кА",_xlpm.t),IFERROR(--TRIM(RIGHT(SUBSTITUTE(MID(_xlpm.t,MAX(1,_xlpm.k-4),_xlpm.k-MAX(1,_xlpm.k-4))," ",REPT(" ",9)),5)),"")))</f>
        <v>6</v>
      </c>
      <c r="FM297" t="str">
        <f>IF(OR(FL297="",AD297=""),"",IF(_xlfn.XLOOKUP(A297,Щиты[Щит],Щиты[Iкз max на шинах, кА],"")="","",IF(FL297&lt;_xlfn.XLOOKUP(A297,Щиты[Щит],Щиты[Iкз max на шинах, кА]),"Icu "&amp;FL297&amp;" кА &lt; Iкз max","ok")))</f>
        <v/>
      </c>
      <c r="FN297" t="str">
        <f t="shared" si="419"/>
        <v>QFD14</v>
      </c>
      <c r="FO297" t="str">
        <f t="shared" si="420"/>
        <v>QFD14|кабель ВВГнг(А)-LS (3х2,5) → Розеточная группа Второй этаж Пом. №016А</v>
      </c>
      <c r="FP297" t="str" cm="1">
        <f t="array" ref="FP297">IF(FO297="","",_xlfn.LET(_xlpm.nd,_xlfn.TEXTSPLIT(FO297,"|"),IF(COLUMNS(_xlpm.nd)&gt;1,A297&amp;"¦"&amp;INDEX(_xlpm.nd,1)&amp;"¦"&amp;INDEX(_xlpm.nd,2),"")))</f>
        <v>ЩР-2¦QFD14¦кабель ВВГнг(А)-LS (3х2,5) → Розеточная группа Второй этаж Пом. №016А</v>
      </c>
      <c r="FQ297" t="str">
        <f t="shared" si="421"/>
        <v>R.2.016А.1¦Розеточная группа Второй этаж Пом. №016А</v>
      </c>
      <c r="FR297" t="str" cm="1">
        <f t="array" ref="FR297">IF(FO297="","",_xlfn.LET(_xlpm.nd,_xlfn.TEXTSPLIT(FO297,"|"),IF(COLUMNS(_xlpm.nd)&gt;2,A297&amp;"¦"&amp;INDEX(_xlpm.nd,2)&amp;"¦"&amp;INDEX(_xlpm.nd,3),"")))</f>
        <v/>
      </c>
      <c r="FS297" t="str">
        <f t="shared" si="422"/>
        <v/>
      </c>
      <c r="FT297" t="str" cm="1">
        <f t="array" ref="FT297">IF(FO297="","",_xlfn.LET(_xlpm.nd,_xlfn.TEXTSPLIT(FO297,"|"),IF(COLUMNS(_xlpm.nd)&gt;3,A297&amp;"¦"&amp;INDEX(_xlpm.nd,3)&amp;"¦"&amp;INDEX(_xlpm.nd,4),"")))</f>
        <v/>
      </c>
      <c r="FU297" t="str">
        <f t="shared" si="423"/>
        <v/>
      </c>
      <c r="FV297" t="str" cm="1">
        <f t="array" ref="FV297">IF(FO297="","",_xlfn.LET(_xlpm.nd,_xlfn.TEXTSPLIT(FO297,"|"),IF(COLUMNS(_xlpm.nd)&gt;4,A297&amp;"¦"&amp;INDEX(_xlpm.nd,4)&amp;"¦"&amp;INDEX(_xlpm.nd,5),"")))</f>
        <v/>
      </c>
      <c r="FW297" t="str">
        <f t="shared" si="424"/>
        <v/>
      </c>
      <c r="FX297" t="str" cm="1">
        <f t="array" ref="FX297">IF(FO297="","",_xlfn.LET(_xlpm.nd,_xlfn.TEXTSPLIT(FO297,"|"),IF(COLUMNS(_xlpm.nd)&gt;5,A297&amp;"¦"&amp;INDEX(_xlpm.nd,5)&amp;"¦"&amp;INDEX(_xlpm.nd,6),"")))</f>
        <v/>
      </c>
      <c r="FY297" t="str">
        <f t="shared" si="425"/>
        <v/>
      </c>
      <c r="FZ297" t="str" cm="1">
        <f t="array" ref="FZ297">IF(FO297="","",_xlfn.LET(_xlpm.nd,_xlfn.TEXTSPLIT(FO297,"|"),IF(COLUMNS(_xlpm.nd)&gt;6,A297&amp;"¦"&amp;INDEX(_xlpm.nd,6)&amp;"¦"&amp;INDEX(_xlpm.nd,7),"")))</f>
        <v/>
      </c>
      <c r="GA297" t="str">
        <f t="shared" si="426"/>
        <v/>
      </c>
      <c r="GB297" t="str">
        <f t="shared" si="427"/>
        <v/>
      </c>
      <c r="GC297" t="str">
        <f t="shared" si="428"/>
        <v>QFD14</v>
      </c>
      <c r="GD297">
        <f t="shared" si="429"/>
        <v>1</v>
      </c>
      <c r="GE297">
        <f t="shared" si="430"/>
        <v>0</v>
      </c>
      <c r="GF297">
        <f t="shared" si="431"/>
        <v>1</v>
      </c>
      <c r="GG297" t="str">
        <f t="shared" si="432"/>
        <v/>
      </c>
      <c r="GH297" t="str">
        <f t="shared" si="433"/>
        <v/>
      </c>
      <c r="GI297" t="str">
        <f t="shared" si="434"/>
        <v/>
      </c>
      <c r="GJ297" t="str">
        <f t="shared" si="435"/>
        <v/>
      </c>
      <c r="GK297" t="str">
        <f>IF(D297="","",IFERROR(VLOOKUP(D297,УГО_спр,2,FALSE),IFERROR(VLOOKUP(AT297,УГО_спр,2,FALSE),IFERROR(VLOOKUP(LEFT(AT297,2),УГО_спр,2,FALSE),""))))</f>
        <v>Розетка</v>
      </c>
      <c r="GL297" t="str">
        <f>IF(D297="","",IF(OR(GK297="",GK297=0),"BOX",IFERROR(IF(VLOOKUP(GK297,УГО_блоки,3,FALSE)&amp;""&lt;&gt;"",VLOOKUP(GK297,УГО_блоки,3,FALSE),VLOOKUP(GK297,УГО_блоки,2,FALSE)),GK297)))</f>
        <v>SOCKET</v>
      </c>
      <c r="GM297">
        <f t="shared" si="436"/>
        <v>1</v>
      </c>
      <c r="GN297" t="str">
        <f>IF(EP297="","",IF(COUNTIF(EP$3:EP297,EP297)=1,MAX(GN$2:GN296)+1,""))</f>
        <v/>
      </c>
      <c r="GO297" t="str">
        <f>IF(AF297="","",IF(COUNTIF(AF$3:AF297,AF297)+COUNTIF(AG$2:AG296,AF297)+COUNTIF(AH$2:AH296,AF297)=1,MAX(GO$2:GQ296)+1,""))</f>
        <v/>
      </c>
      <c r="GP297" t="str">
        <f>IF(AG297="","",IF(COUNTIF(AF$3:AF297,AG297)+COUNTIF(AG$3:AG297,AG297)+COUNTIF(AH$2:AH296,AG297)=1,MAX(GO$2:GQ296,GO297)+1,""))</f>
        <v/>
      </c>
      <c r="GQ297" t="str">
        <f>IF(AH297="","",IF(COUNTIF(AF$3:AF297,AH297)+COUNTIF(AG$3:AG297,AH297)+COUNTIF(AH$3:AH297,AH297)=1,MAX(GO$2:GQ296,GO297,GP297)+1,""))</f>
        <v/>
      </c>
      <c r="GR297" t="str">
        <f t="shared" si="437"/>
        <v>3х2,5</v>
      </c>
      <c r="GS297" t="str">
        <f>IF(GR297="","",IF(COUNTIF(GR$3:GR297,GR297)=1,MAX(GS$2:GS296)+1,""))</f>
        <v/>
      </c>
      <c r="GT297" t="str">
        <f>IF(ES297="","",COUNTIF(ES$3:ES297,"?*"))</f>
        <v/>
      </c>
      <c r="GU297" t="str">
        <f>IF(OR(ES297="",EU297=""),"",IF(COUNTIFS(ES$3:ES297,"?*",EU$3:EU297,EU297)=1,MAX(GU$2:GU296)+1,""))</f>
        <v/>
      </c>
      <c r="GV297">
        <f t="shared" si="438"/>
        <v>0</v>
      </c>
      <c r="GW297">
        <f>IF(D297="","",COUNTIF(D$3:D297,"?*"))</f>
        <v>295</v>
      </c>
      <c r="GX297">
        <f>IF(EX297&lt;&gt;1,0,_xlfn.LET(_xlpm.k,MAX(IFERROR(--VLOOKUP(D297,УГО_спр,5,FALSE),0),IFERROR(--VLOOKUP(AT297,УГО_спр,5,FALSE),0),IFERROR(--VLOOKUP(LEFT(AT297,2),УГО_спр,5,FALSE),0)),IF(_xlpm.k&gt;0,_xlpm.k,IF(IFERROR(--LEFT(SUBSTITUTE(GR297,"x","х"),FIND("х",SUBSTITUTE(GR297,"x","х"))-1),3)&gt;3,Каталог!$S$9,1))))</f>
        <v>1</v>
      </c>
      <c r="GY297">
        <f t="shared" si="439"/>
        <v>0</v>
      </c>
    </row>
    <row r="298" spans="1:207" x14ac:dyDescent="0.3">
      <c r="A298" t="s">
        <v>764</v>
      </c>
      <c r="B298">
        <v>25</v>
      </c>
      <c r="C298" t="str">
        <f>IF(BD298="","",IF(BE298="вводной узел","узел ","")&amp;"л."&amp;(INT((BD298-1)/Столбцов_на_лист)+1)&amp;" / "&amp;(MOD(BD298-1,Столбцов_на_лист)+1))</f>
        <v>л.2 / 8</v>
      </c>
      <c r="D298" t="s">
        <v>1632</v>
      </c>
      <c r="E298" s="133" t="str">
        <f t="shared" si="352"/>
        <v>Розеточная группа Второй этаж Пом. №017А</v>
      </c>
      <c r="G298">
        <v>0.42</v>
      </c>
      <c r="H298">
        <v>2</v>
      </c>
      <c r="I298">
        <v>1</v>
      </c>
      <c r="J298">
        <v>230</v>
      </c>
      <c r="K298" t="s">
        <v>566</v>
      </c>
      <c r="O298">
        <v>2</v>
      </c>
      <c r="P298">
        <v>45</v>
      </c>
      <c r="Q298">
        <v>12</v>
      </c>
      <c r="R298">
        <v>28</v>
      </c>
      <c r="S298">
        <v>8</v>
      </c>
      <c r="T298">
        <v>2</v>
      </c>
      <c r="U298" t="s">
        <v>11</v>
      </c>
      <c r="V298">
        <v>3</v>
      </c>
      <c r="W298">
        <v>2.5</v>
      </c>
      <c r="X298">
        <v>16</v>
      </c>
      <c r="Z298" t="s">
        <v>565</v>
      </c>
      <c r="AA298" t="s">
        <v>818</v>
      </c>
      <c r="AD298" t="s">
        <v>517</v>
      </c>
      <c r="AK298" t="s">
        <v>488</v>
      </c>
      <c r="AR298" t="str">
        <f t="shared" si="353"/>
        <v/>
      </c>
      <c r="AS298" cm="1">
        <f t="array" ref="AS298">ROW()-ROW(Линии[#Headers])</f>
        <v>296</v>
      </c>
      <c r="AT298" t="str">
        <f t="shared" si="354"/>
        <v>R</v>
      </c>
      <c r="AU298" t="str">
        <f t="shared" si="355"/>
        <v>2.017А.1</v>
      </c>
      <c r="AV298" t="str">
        <f t="shared" si="356"/>
        <v>2</v>
      </c>
      <c r="AW298" t="str">
        <f t="shared" si="357"/>
        <v>017А.1</v>
      </c>
      <c r="AX298" t="str">
        <f t="shared" si="358"/>
        <v>017А</v>
      </c>
      <c r="AY298" t="str">
        <f>IF(D298="","",IF(ISERROR(SEARCH(".",D298)),IFERROR(VLOOKUP(D298,Потребители_обозначение,2,FALSE)&amp;"",""),IFERROR(IF(VLOOKUP(AT298,Потребители_обозначение,4,FALSE)=1,VLOOKUP(AT298,Потребители_обозначение,2,FALSE)&amp;" "&amp;VLOOKUP(AV298,Этаж_обозначение,2,FALSE)&amp;" Пом. №"&amp;AX298,VLOOKUP(AT298,Потребители_обозначение,2,FALSE)&amp;" Шлейф №"&amp;AV298),IFERROR(VLOOKUP(D298,Потребители_обозначение,2,FALSE),""))))</f>
        <v>Розеточная группа Второй этаж Пом. №017А</v>
      </c>
      <c r="AZ298" t="str">
        <f t="shared" si="359"/>
        <v>Розеточная группа Второй этаж Пом. №017А</v>
      </c>
      <c r="BA298" t="str">
        <f>IF(F298&lt;&gt;"",F298,IF(AND(D298&lt;&gt;"",D298&lt;&gt;A298,ISNUMBER(_xlfn.XMATCH(D298,Щиты[Щит]))),D298,""))</f>
        <v/>
      </c>
      <c r="BB298">
        <f>IFERROR(_xlfn.XMATCH(A298,Щиты[Щит]),0)</f>
        <v>11</v>
      </c>
      <c r="BC298">
        <f>IFERROR(N(_xlfn.XLOOKUP(A298,Щиты[Щит],Щиты[Мест под вводной узел])),15)</f>
        <v>8</v>
      </c>
      <c r="BD298">
        <f t="shared" si="360"/>
        <v>25</v>
      </c>
      <c r="BE298" t="str">
        <f t="shared" si="361"/>
        <v>линии</v>
      </c>
      <c r="BF298">
        <f>IF(D298="","",IF(BA298&lt;&gt;"",IFERROR(_xlfn.XLOOKUP(BA298,Щиты[Щит],Щиты[Руст, кВт]),0),N(G298)))</f>
        <v>0.42</v>
      </c>
      <c r="BG298">
        <f>IF(J298&lt;&gt;"",J298,IF(D298="","",IFERROR(IF(VLOOKUP(AT298,Потребители_обозначение,8,FALSE)=0,"",VLOOKUP(AT298,Потребители_обозначение,8,FALSE)),"")))</f>
        <v>230</v>
      </c>
      <c r="BH298">
        <f>IF(I298&lt;&gt;"",I298,IF(D298="","",IFERROR(IF(VLOOKUP(AT298,Потребители_обозначение,9,FALSE)=0,"",VLOOKUP(AT298,Потребители_обозначение,9,FALSE)),"")))</f>
        <v>1</v>
      </c>
      <c r="BI298" t="str">
        <f>IF(U298&lt;&gt;"",U298,IF(D298="","",IFERROR(IF(VLOOKUP(AT298,Потребители_обозначение,6,FALSE)=0,"",VLOOKUP(AT298,Потребители_обозначение,6,FALSE)),"")))</f>
        <v>мс</v>
      </c>
      <c r="BJ298">
        <f>IF(V298&lt;&gt;"",V298,IF(D298="","",IFERROR(IF(VLOOKUP(AT298,Потребители_обозначение,7,FALSE)=0,"",VLOOKUP(AT298,Потребители_обозначение,7,FALSE)),"")))</f>
        <v>3</v>
      </c>
      <c r="BK298">
        <f>IF(W298&lt;&gt;"",W298,IF(D298="","",IFERROR(IF(VLOOKUP(AT298,Потребители_обозначение,10,FALSE)=0,"",VLOOKUP(AT298,Потребители_обозначение,10,FALSE)),"")))</f>
        <v>2.5</v>
      </c>
      <c r="BL298">
        <f>IFERROR(VLOOKUP(AT298,Потребители_обозначение,5,FALSE),0)</f>
        <v>1</v>
      </c>
      <c r="BM298" cm="1">
        <f t="array" ref="BM298">IF(D298="","",IF(BA298&lt;&gt;"",IFERROR(_xlfn.XLOOKUP(BA298,Щиты[Щит],Щиты[cos φ]),0.95),IF(ISNUMBER(M298),M298,IFERROR(IF(BL298=2,_xlfn.IFS(BH298=3,VLOOKUP(BF298,Справочная_двигатели,8,FALSE),BH298=1,VLOOKUP(BF298,Справочная_двигатели,10,TRUE)),IF(AND(Методика="нормы 2026",CN298="Сил"),0.8,0.95)),0.95))))</f>
        <v>0.95</v>
      </c>
      <c r="BN298" cm="1">
        <f t="array" ref="BN298">IF(D298="","",IF(BA298&lt;&gt;"",IFERROR(_xlfn.XLOOKUP(BA298,Щиты[Щит],Щиты[Iр, А]),""),IFERROR(_xlfn.IFS(BH298=1,BF298/((Uн_лин/SQRT(3))*BM298),BH298=3,BF298/(SQRT(3)*Uн_лин*BM298)),"")))</f>
        <v>1.9143719452077064</v>
      </c>
      <c r="BO298">
        <f>IF(D298="","",IF(N(X298)=0,IFERROR(VLOOKUP(BN298,Автомат_номиналы,2,TRUE),""),X298))</f>
        <v>16</v>
      </c>
      <c r="BP298">
        <f t="shared" si="362"/>
        <v>1</v>
      </c>
      <c r="BQ298">
        <f>IF(ISNUMBER(Y298),Y298,К_прокл)</f>
        <v>1</v>
      </c>
      <c r="BR298">
        <f t="shared" si="363"/>
        <v>2</v>
      </c>
      <c r="BS298" cm="1">
        <f t="array" ref="BS298">IF(D298="","",IF(N(BK298)&lt;&gt;0,BK298,IFERROR(_xlfn.LET(_xlpm.need,BO298/(BP298*BQ298),_xlpm.t,CHOOSE(BR298,Iдоп_1ж,Iдоп_2ж,Iдоп_3ж),_xlpm.k,_xlfn.XMATCH(_xlpm.need,_xlpm.t,1),IF(ISNA(_xlpm.k),"Не исп",INDEX(Iдоп_S,_xlpm.k))),"Не исп")))</f>
        <v>2.5</v>
      </c>
      <c r="BT298">
        <f>IFERROR(VLOOKUP(BS298,Кабель_сопротивление,3,FALSE),"")</f>
        <v>2.2499999999999999E-2</v>
      </c>
      <c r="BU298">
        <f>IFERROR(VLOOKUP(BS298,Кабель_сопротивление,2,FALSE),"")</f>
        <v>0.1</v>
      </c>
      <c r="BV298">
        <f t="shared" si="364"/>
        <v>45</v>
      </c>
      <c r="BW298">
        <f>IF(D298="","",IFERROR(IF(VLOOKUP(AT298,Потребители_обозначение,4,FALSE)=1,VLOOKUP(AT298,Потребители_обозначение,3,FALSE)*(H298*2-1)+BV298+VLOOKUP(AV298,Этаж_обозначение,3,FALSE)+VLOOKUP(AV298,Этаж_обозначение,4,FALSE),VLOOKUP(AT298,Потребители_обозначение,3,FALSE)*(H298*2-1)+BV298),BV298))</f>
        <v>54</v>
      </c>
      <c r="BX298">
        <f t="shared" si="365"/>
        <v>28</v>
      </c>
      <c r="BY298">
        <f t="shared" si="366"/>
        <v>8</v>
      </c>
      <c r="BZ298">
        <f t="shared" si="367"/>
        <v>2</v>
      </c>
      <c r="CA298">
        <f t="shared" si="368"/>
        <v>0.31</v>
      </c>
      <c r="CB298">
        <f t="shared" si="369"/>
        <v>1.7741403714773512</v>
      </c>
      <c r="CC298">
        <f>IFERROR(ROUNDUP(CB298/((Uн_лин/SQRT(3))*1000)*100,2),"")</f>
        <v>0.77</v>
      </c>
      <c r="CD298">
        <f>IF(ISNUMBER(CC298),CC298+IFERROR(_xlfn.XLOOKUP(A298,Щиты[Щит],Щиты[ΔU до шин, %]),0),"")</f>
        <v>2.56</v>
      </c>
      <c r="CE298">
        <f>IF(D298="","",IF(IFERROR(VLOOKUP(AT298,УГО_спр,2,FALSE),"")="Светильник",3,4)+IF(Методика="нормы 2026",MIN(0.5,MAX(0,N(BW298)-100)*0.005),0))</f>
        <v>4</v>
      </c>
      <c r="CF298" t="str">
        <f>IFERROR(VLOOKUP(BI298,Кабель_обозначение,2,FALSE),"")</f>
        <v>ВВГнг(А)-LS</v>
      </c>
      <c r="CG298" t="str">
        <f>IFERROR(IF(VLOOKUP(BI298,Кабель_обозначение,3,FALSE)=1,CF298&amp;" ("&amp;BJ298&amp;"х"&amp;BS298&amp;")",CF298),"")</f>
        <v>ВВГнг(А)-LS (3х2,5)</v>
      </c>
      <c r="CH298" t="str">
        <f t="shared" si="370"/>
        <v>ВВГнг(А)-LS (3х2,5)
L=54-0,77%</v>
      </c>
      <c r="CI298">
        <f>IFERROR(2*ρкз_Cu*BW298/BS298,"")</f>
        <v>1.1361600000000001</v>
      </c>
      <c r="CJ298">
        <f t="shared" si="371"/>
        <v>0.378</v>
      </c>
      <c r="CK298" t="str">
        <f>IFERROR(IF(OR(D298="",NOT(ISNUMBER(BS298)),N(BW298)=0),"",_xlfn.XLOOKUP(A298,Щиты[Щит],Щиты[Zпетли на шинах, Ом])+CI298),"")</f>
        <v/>
      </c>
      <c r="CL298" t="str">
        <f>IF(ISNUMBER(CK298),c_min*(Uн_лин*1000/SQRT(3))/CK298,"")</f>
        <v/>
      </c>
      <c r="CM298" t="str">
        <f>IFERROR(IF(OR(D298="",NOT(ISNUMBER(BS298))),"",1.05*(Uн_лин*1000/SQRT(3))/(_xlfn.XLOOKUP(A298,Щиты[Щит],Щиты[Zmax на шинах, Ом])+CJ298)/1000),"")</f>
        <v/>
      </c>
      <c r="CN298" t="str">
        <f>IF(D298="","",IF(BA298&lt;&gt;"","Щит",IF(K298&lt;&gt;"",K298,IF(ISNUMBER(L298),"Сил",IF(IFERROR(_xlfn.XLOOKUP(AT298,Коды_код,Коды_группа)&amp;"","")="","Быт",_xlfn.XLOOKUP(AT298,Коды_код,Коды_группа)&amp;"")))))</f>
        <v>Быт</v>
      </c>
      <c r="CO298">
        <f>IF(CN298="Щит","щит",IF(CN298="","",IF(CN298="Быт",IFERROR(_xlfn.XLOOKUP(A298,Щиты[Щит],Щиты[Кс быт]),1),IF(CN298="Сил",IF(ISNUMBER(L298),L298,IF(Методика="нормы 2026",IFERROR(_xlfn.XLOOKUP(A298,Щиты[Щит],Щиты[Кс силовых (табл. 7.5)]),1),1)),IF(OR(CN298="Пост",CN298="Отоп"),1,IF(CN298="ВНГ",0.7,0))))))</f>
        <v>0.8</v>
      </c>
      <c r="CP298">
        <f t="shared" si="372"/>
        <v>1</v>
      </c>
      <c r="CQ298">
        <f t="shared" si="373"/>
        <v>0.42</v>
      </c>
      <c r="CR298">
        <f t="shared" si="374"/>
        <v>0.42</v>
      </c>
      <c r="CS298">
        <f t="shared" si="375"/>
        <v>0</v>
      </c>
      <c r="CT298">
        <f t="shared" si="376"/>
        <v>0</v>
      </c>
      <c r="CU298">
        <f t="shared" si="377"/>
        <v>0</v>
      </c>
      <c r="CV298">
        <f t="shared" si="378"/>
        <v>0</v>
      </c>
      <c r="CW298">
        <f t="shared" si="379"/>
        <v>0.42</v>
      </c>
      <c r="CX298">
        <f t="shared" si="380"/>
        <v>0.39899999999999997</v>
      </c>
      <c r="CY298">
        <f t="shared" si="381"/>
        <v>1</v>
      </c>
      <c r="CZ298" t="str">
        <f t="shared" si="382"/>
        <v>L1</v>
      </c>
      <c r="DA298" cm="1">
        <f t="array" ref="DA298">IFERROR(IF(BL298=2,_xlfn.IFS(BH298=3,VLOOKUP(BF298,Справочная_двигатели,3,FALSE),BH298=1,VLOOKUP(BF298,Справочная_двигатели,5,TRUE)),0),0)</f>
        <v>0</v>
      </c>
      <c r="DB298">
        <f>IFERROR(IF(BL298=3,VLOOKUP(BF298,Справочная_ЛЭД,2,TRUE),0),0)</f>
        <v>0</v>
      </c>
      <c r="DC298">
        <f t="shared" si="383"/>
        <v>0</v>
      </c>
      <c r="DD298" t="str">
        <f t="shared" si="384"/>
        <v>L2</v>
      </c>
      <c r="DE298" t="str" cm="1">
        <f t="array" ref="DE298">IF(D298="","",IFERROR(INDEX({"I особая","I","II","III"},MATCH(TRIM(AA298&amp;""),{"I особая","I","II","III"},0)),"III"))</f>
        <v>II</v>
      </c>
      <c r="DF298" t="str">
        <f>IF(D298="","",IF(TRIM(AB298&amp;"")&lt;&gt;"",IF(LOWER(TRIM(AB298&amp;""))="да","да","нет"),IF(IFERROR(_xlfn.XLOOKUP(AT298,Коды_код,Коды_пожарная),"")="да","да","нет")))</f>
        <v>нет</v>
      </c>
      <c r="DG298" t="str">
        <f t="shared" si="385"/>
        <v/>
      </c>
      <c r="DH298" t="str">
        <f t="shared" si="386"/>
        <v>основная</v>
      </c>
      <c r="DI298">
        <f t="shared" si="387"/>
        <v>1</v>
      </c>
      <c r="DJ298" t="str" cm="1">
        <f t="array" ref="DJ298">IF(D298="","",_xlfn.LET(_xlpm.t,IFERROR(_xlfn.XLOOKUP(1,(Шины[Шина]=DH298)*(((Шины[Щит]=A298)+(Шины[Щит]=""))&gt;0),Шины[Тип]),"")&amp;"",IF(_xlpm.t&lt;&gt;"",_xlpm.t,IF(ISNUMBER(SEARCH("ИБП",DH298)),"ИБП",IF(ISNUMBER(SEARCH("ДГУ",DH298)),"ДГУ","Ввод "&amp;DI298)))))</f>
        <v>Ввод 1</v>
      </c>
      <c r="DK298" t="str">
        <f t="shared" si="388"/>
        <v>Ввод 1</v>
      </c>
      <c r="DL298" t="str">
        <f>IF(D298="","",IF(OR(DJ298="ИБП",DJ298="ДГУ"),"I особая",IF(DJ298="Одиночная","III",_xlfn.XLOOKUP(A298,Щиты[Щит],Щиты[Категория шины «Ввод»],"III"))))</f>
        <v>II</v>
      </c>
      <c r="DM298">
        <f>IF(D298="",0,IFERROR(MATCH(DE298,{"III","II","I","I особая"},0),1))</f>
        <v>2</v>
      </c>
      <c r="DN298">
        <f t="shared" si="389"/>
        <v>2</v>
      </c>
      <c r="DO298" t="str">
        <f>IF(D298="","",IF(DM298&gt;IFERROR(MATCH(DL298,{"III","II","I","I особая"},0),1),"НЕ ОБЕСПЕЧЕНА","ОК"))</f>
        <v>ОК</v>
      </c>
      <c r="DP298" t="str">
        <f>IF(A298="","",_xlfn.XLOOKUP(A298,Щиты[Щит],Щиты[Путь],""))</f>
        <v>|ГРЩ-ЖД|ЩР-2|</v>
      </c>
      <c r="DQ298" t="str">
        <f>IF(D298="","",IF(Z298&lt;&gt;"",Z298,IF(IFERROR(_xlfn.XLOOKUP(AT298,Коды_код,Коды_вид)&amp;"","")="","Прочее",_xlfn.XLOOKUP(AT298,Коды_код,Коды_вид)&amp;"")))</f>
        <v>Розеточная сеть и бытовые приборы</v>
      </c>
      <c r="DR298">
        <f>IF(BD298="","",INT((BD298-1)/Столбцов_на_лист)+1)</f>
        <v>2</v>
      </c>
      <c r="DS298" t="str">
        <f t="shared" si="390"/>
        <v>ВВГнг(А)-LS (3х2,5) L=54-0,77%</v>
      </c>
      <c r="DT298">
        <f t="shared" si="391"/>
        <v>0.42</v>
      </c>
      <c r="DU298">
        <f t="shared" si="392"/>
        <v>1.92</v>
      </c>
      <c r="DV298">
        <f t="shared" si="393"/>
        <v>1</v>
      </c>
      <c r="DW298">
        <f>IF(AT298="",0,_xlfn.LET(_xlpm.v,IFERROR(VLOOKUP(D298,УГО_спр,3,FALSE),IFERROR(VLOOKUP(AT298,УГО_спр,3,FALSE),IFERROR(VLOOKUP(LEFT(AT298,2),УГО_спр,3,FALSE),""))),IF(_xlpm.v="да",30,IF(ISNUMBER(_xlpm.v),_xlpm.v,0))))</f>
        <v>30</v>
      </c>
      <c r="DX298">
        <f t="shared" si="394"/>
        <v>0</v>
      </c>
      <c r="DY298">
        <f>IF(BD298="","",IF(AD298&lt;&gt;"",COUNTIFS(A$3:A298,A298,AD$3:AD298,"?*"),IF(OR(OR(AS298=1,A298&lt;&gt;A297),AL298="вручную"),"",IF(AS298=1,"",DZ297))))</f>
        <v>15</v>
      </c>
      <c r="DZ298">
        <f t="shared" si="395"/>
        <v>15</v>
      </c>
      <c r="EA298">
        <f>IF(D298="",0,MAX(IFERROR(--X298,0),IFERROR(--VLOOKUP(D298,УГО_спр,4,FALSE),IFERROR(--VLOOKUP(AT298,УГО_спр,4,FALSE),IFERROR(--VLOOKUP(LEFT(AT298,2),УГО_спр,4,FALSE),0)))))</f>
        <v>16</v>
      </c>
      <c r="EB298">
        <f>IF(D298="","",IFERROR(LOOKUP(INDEX(CHOOSE(BR298,Iдоп_1ж,Iдоп_2ж,Iдоп_3ж),MATCH(BS298,Iдоп_S,0))*BP298*BQ298,{6,10,16,20,25,32,40,50,63,80,100,125,160,200,250,315,400,500,630}),""))</f>
        <v>25</v>
      </c>
      <c r="EC298">
        <f>IF(AD298="","",SUMIFS(Линии[_Ток схемы],Линии[_гр.],DY298,Линии[Щит],A298,Линии[_в кабель выше],0))</f>
        <v>1.92</v>
      </c>
      <c r="ED298">
        <f>IF(AD298="","",IFERROR(VLOOKUP(EC298,Автомат_номиналы,2,TRUE),""))</f>
        <v>6</v>
      </c>
      <c r="EE298">
        <f>IF(AD298="","",MAX(N(ED298),_xlfn.MAXIFS(Линии[_мин. по типу],Линии[_гр.],DY298,Линии[Щит],A298)))</f>
        <v>16</v>
      </c>
      <c r="EF298">
        <f>IF(AD298="","",_xlfn.MINIFS(Линии[_макс. автомат по кабелю],Линии[_гр.],DY298,Линии[Щит],A298))</f>
        <v>25</v>
      </c>
      <c r="EG298">
        <f>IF(AD298="","",MAX(1,_xlfn.MAXIFS(Линии[_фаз],Линии[_гр.],DY298,Линии[Щит],A298)))</f>
        <v>1</v>
      </c>
      <c r="EH298">
        <f>IF(AD298="","",IF(AND(AD298&lt;&gt;"авто",AD298&lt;&gt;"+"),IF(ISNUMBER(SEARCH("мА",AD298)),IFERROR(--TRIM(RIGHT(SUBSTITUTE(LEFT(AD298,SEARCH("мА",AD298)-1)," ",REPT(" ",9)),6)),30),0),IF(AE298="нет",0,IF(ISNUMBER(AE298),AE298,IF(AE298="да",30,_xlfn.MINIFS(Линии[_дифзащита по коду, мА],Линии[_гр.],DY298,Линии[Щит],A298,Линии[_дифзащита по коду, мА],"&gt;0"))))))</f>
        <v>30</v>
      </c>
      <c r="EI298">
        <f t="shared" si="396"/>
        <v>1</v>
      </c>
      <c r="EJ298" t="str">
        <f t="shared" si="397"/>
        <v>QFD15</v>
      </c>
      <c r="EK298" t="str">
        <f t="shared" si="398"/>
        <v>QFD15</v>
      </c>
      <c r="EL298" t="str">
        <f t="shared" si="399"/>
        <v/>
      </c>
      <c r="EM298">
        <f t="shared" si="400"/>
        <v>0</v>
      </c>
      <c r="EN298">
        <f>IF(AD298="","",IF(EM298=1,MAX(EE298,Мин_автомат_БП),EE298))</f>
        <v>16</v>
      </c>
      <c r="EO298" t="str">
        <f t="shared" si="401"/>
        <v>2P</v>
      </c>
      <c r="EP298" t="str">
        <f t="shared" si="402"/>
        <v>2P С16А 30мА</v>
      </c>
      <c r="EQ298">
        <f t="shared" si="403"/>
        <v>16</v>
      </c>
      <c r="ER298" t="str">
        <f>IF(OR(AI298="",AI298="-"),"",IFERROR(VLOOKUP(AI298,Модули_спр,2,FALSE),"R"))</f>
        <v/>
      </c>
      <c r="ES298" t="str">
        <f>IF(ER298="","",ER298&amp;"."&amp;COUNTIFS(A$3:A298,A298,ER$3:ER298,ER298))</f>
        <v/>
      </c>
      <c r="ET298" t="str">
        <f t="shared" si="404"/>
        <v/>
      </c>
      <c r="EU298" t="str">
        <f t="shared" si="405"/>
        <v/>
      </c>
      <c r="EV298" t="str">
        <f t="shared" si="406"/>
        <v/>
      </c>
      <c r="EW298" t="str">
        <f t="shared" si="407"/>
        <v/>
      </c>
      <c r="EX298">
        <f t="shared" si="408"/>
        <v>1</v>
      </c>
      <c r="EY298" t="str">
        <f>IF(AK298="нет","",IF(AK298&lt;&gt;"",AK298,IF(EX298=1,"XT"&amp;COUNTIFS(A$3:A298,A298,EX$3:EX298,1),"")))</f>
        <v/>
      </c>
      <c r="EZ298" t="str">
        <f t="shared" si="409"/>
        <v>QFD15</v>
      </c>
      <c r="FA298" t="str">
        <f t="shared" si="410"/>
        <v/>
      </c>
      <c r="FB298" t="str">
        <f t="shared" si="411"/>
        <v>ok</v>
      </c>
      <c r="FC298" t="str">
        <f>IF(OR(EV298="",ET298=""),"",IF(EV298&gt;IFERROR(VLOOKUP(EU298,Модули_спр,3,FALSE),99),"ЛИШНИЙ КАНАЛ",IF(AND(AJ298&lt;&gt;"=",COUNTIFS(Линии[_модуль гр.],ET298,Линии[Канал (итог)],EV298,Линии[Канал],"&lt;&gt;=",Линии[Щит],A298)&gt;1),"ДУБЛЬ КАНАЛА","")))</f>
        <v/>
      </c>
      <c r="FD298">
        <f t="shared" si="412"/>
        <v>16</v>
      </c>
      <c r="FE298" t="str">
        <f t="shared" si="413"/>
        <v>2P С16А 30мА</v>
      </c>
      <c r="FF298">
        <f t="shared" si="414"/>
        <v>1</v>
      </c>
      <c r="FG298">
        <f t="shared" si="415"/>
        <v>30</v>
      </c>
      <c r="FH298" t="str">
        <f t="shared" si="416"/>
        <v/>
      </c>
      <c r="FI298">
        <f t="shared" si="417"/>
        <v>10</v>
      </c>
      <c r="FJ298" t="str">
        <f t="shared" si="418"/>
        <v/>
      </c>
      <c r="FK298" t="str">
        <f>IF(AND(D298="",EZ298=""),"",_xlfn.TEXTJOIN("; ",TRUE,IF(AND(D298&lt;&gt;"",DD298=""),"нет фазы",""),IF(AND(D298&lt;&gt;"",N(DT298)=0,CN298&lt;&gt;"Нет"),"нет мощности",""),IF(AND(EY298&lt;&gt;"",COUNTIFS(Линии[Щит],A298,Линии[Клемма (итог)],EY298)&gt;1),"дубль клеммы "&amp;EY298,""),IF(AND(FB298&lt;&gt;"",FB298&lt;&gt;"ok"),FB298,""),IF(FC298&lt;&gt;"",FC298,""),IF(AND(ISNUMBER(SEARCH("(5х",DS298)),N(DV298)=1),"5 жил на 1 фазе",""),IF(AND(AT298="R",AD298&lt;&gt;"",OR(N(EH298)=0,N(EH298)&gt;30)),"розетка без дифзащиты до 30 мА",""),IFERROR(IF(AND(ISNUMBER(CD298),CD298&gt;CE298),"потери "&amp;FIXED(CD298,1)&amp;" % &gt; "&amp;CE298&amp;" %",""),""),IFERROR(IF(LEFT(FJ298,4)="мало","Iкз мало — отключение &gt; 0,4 с",""),""),IF(AND(D298&lt;&gt;"",BD298=""),"не на схеме","")))</f>
        <v/>
      </c>
      <c r="FL298">
        <f>IF(AD298="","",_xlfn.LET(_xlpm.t,IFERROR(_xlfn.XLOOKUP(EP298,Каталог!$U$4:$U$500,Каталог!$G$4:$G$500),""),_xlpm.k,SEARCH("кА",_xlpm.t),IFERROR(--TRIM(RIGHT(SUBSTITUTE(MID(_xlpm.t,MAX(1,_xlpm.k-4),_xlpm.k-MAX(1,_xlpm.k-4))," ",REPT(" ",9)),5)),"")))</f>
        <v>6</v>
      </c>
      <c r="FM298" t="str">
        <f>IF(OR(FL298="",AD298=""),"",IF(_xlfn.XLOOKUP(A298,Щиты[Щит],Щиты[Iкз max на шинах, кА],"")="","",IF(FL298&lt;_xlfn.XLOOKUP(A298,Щиты[Щит],Щиты[Iкз max на шинах, кА]),"Icu "&amp;FL298&amp;" кА &lt; Iкз max","ok")))</f>
        <v/>
      </c>
      <c r="FN298" t="str">
        <f t="shared" si="419"/>
        <v>QFD15</v>
      </c>
      <c r="FO298" t="str">
        <f t="shared" si="420"/>
        <v>QFD15|кабель ВВГнг(А)-LS (3х2,5) → Розеточная группа Второй этаж Пом. №017А</v>
      </c>
      <c r="FP298" t="str" cm="1">
        <f t="array" ref="FP298">IF(FO298="","",_xlfn.LET(_xlpm.nd,_xlfn.TEXTSPLIT(FO298,"|"),IF(COLUMNS(_xlpm.nd)&gt;1,A298&amp;"¦"&amp;INDEX(_xlpm.nd,1)&amp;"¦"&amp;INDEX(_xlpm.nd,2),"")))</f>
        <v>ЩР-2¦QFD15¦кабель ВВГнг(А)-LS (3х2,5) → Розеточная группа Второй этаж Пом. №017А</v>
      </c>
      <c r="FQ298" t="str">
        <f t="shared" si="421"/>
        <v>R.2.017А.1¦Розеточная группа Второй этаж Пом. №017А</v>
      </c>
      <c r="FR298" t="str" cm="1">
        <f t="array" ref="FR298">IF(FO298="","",_xlfn.LET(_xlpm.nd,_xlfn.TEXTSPLIT(FO298,"|"),IF(COLUMNS(_xlpm.nd)&gt;2,A298&amp;"¦"&amp;INDEX(_xlpm.nd,2)&amp;"¦"&amp;INDEX(_xlpm.nd,3),"")))</f>
        <v/>
      </c>
      <c r="FS298" t="str">
        <f t="shared" si="422"/>
        <v/>
      </c>
      <c r="FT298" t="str" cm="1">
        <f t="array" ref="FT298">IF(FO298="","",_xlfn.LET(_xlpm.nd,_xlfn.TEXTSPLIT(FO298,"|"),IF(COLUMNS(_xlpm.nd)&gt;3,A298&amp;"¦"&amp;INDEX(_xlpm.nd,3)&amp;"¦"&amp;INDEX(_xlpm.nd,4),"")))</f>
        <v/>
      </c>
      <c r="FU298" t="str">
        <f t="shared" si="423"/>
        <v/>
      </c>
      <c r="FV298" t="str" cm="1">
        <f t="array" ref="FV298">IF(FO298="","",_xlfn.LET(_xlpm.nd,_xlfn.TEXTSPLIT(FO298,"|"),IF(COLUMNS(_xlpm.nd)&gt;4,A298&amp;"¦"&amp;INDEX(_xlpm.nd,4)&amp;"¦"&amp;INDEX(_xlpm.nd,5),"")))</f>
        <v/>
      </c>
      <c r="FW298" t="str">
        <f t="shared" si="424"/>
        <v/>
      </c>
      <c r="FX298" t="str" cm="1">
        <f t="array" ref="FX298">IF(FO298="","",_xlfn.LET(_xlpm.nd,_xlfn.TEXTSPLIT(FO298,"|"),IF(COLUMNS(_xlpm.nd)&gt;5,A298&amp;"¦"&amp;INDEX(_xlpm.nd,5)&amp;"¦"&amp;INDEX(_xlpm.nd,6),"")))</f>
        <v/>
      </c>
      <c r="FY298" t="str">
        <f t="shared" si="425"/>
        <v/>
      </c>
      <c r="FZ298" t="str" cm="1">
        <f t="array" ref="FZ298">IF(FO298="","",_xlfn.LET(_xlpm.nd,_xlfn.TEXTSPLIT(FO298,"|"),IF(COLUMNS(_xlpm.nd)&gt;6,A298&amp;"¦"&amp;INDEX(_xlpm.nd,6)&amp;"¦"&amp;INDEX(_xlpm.nd,7),"")))</f>
        <v/>
      </c>
      <c r="GA298" t="str">
        <f t="shared" si="426"/>
        <v/>
      </c>
      <c r="GB298" t="str">
        <f t="shared" si="427"/>
        <v/>
      </c>
      <c r="GC298" t="str">
        <f t="shared" si="428"/>
        <v>QFD15</v>
      </c>
      <c r="GD298">
        <f t="shared" si="429"/>
        <v>1</v>
      </c>
      <c r="GE298">
        <f t="shared" si="430"/>
        <v>0</v>
      </c>
      <c r="GF298">
        <f t="shared" si="431"/>
        <v>1</v>
      </c>
      <c r="GG298" t="str">
        <f t="shared" si="432"/>
        <v/>
      </c>
      <c r="GH298" t="str">
        <f t="shared" si="433"/>
        <v/>
      </c>
      <c r="GI298" t="str">
        <f t="shared" si="434"/>
        <v/>
      </c>
      <c r="GJ298" t="str">
        <f t="shared" si="435"/>
        <v/>
      </c>
      <c r="GK298" t="str">
        <f>IF(D298="","",IFERROR(VLOOKUP(D298,УГО_спр,2,FALSE),IFERROR(VLOOKUP(AT298,УГО_спр,2,FALSE),IFERROR(VLOOKUP(LEFT(AT298,2),УГО_спр,2,FALSE),""))))</f>
        <v>Розетка</v>
      </c>
      <c r="GL298" t="str">
        <f>IF(D298="","",IF(OR(GK298="",GK298=0),"BOX",IFERROR(IF(VLOOKUP(GK298,УГО_блоки,3,FALSE)&amp;""&lt;&gt;"",VLOOKUP(GK298,УГО_блоки,3,FALSE),VLOOKUP(GK298,УГО_блоки,2,FALSE)),GK298)))</f>
        <v>SOCKET</v>
      </c>
      <c r="GM298">
        <f t="shared" si="436"/>
        <v>1</v>
      </c>
      <c r="GN298" t="str">
        <f>IF(EP298="","",IF(COUNTIF(EP$3:EP298,EP298)=1,MAX(GN$2:GN297)+1,""))</f>
        <v/>
      </c>
      <c r="GO298" t="str">
        <f>IF(AF298="","",IF(COUNTIF(AF$3:AF298,AF298)+COUNTIF(AG$2:AG297,AF298)+COUNTIF(AH$2:AH297,AF298)=1,MAX(GO$2:GQ297)+1,""))</f>
        <v/>
      </c>
      <c r="GP298" t="str">
        <f>IF(AG298="","",IF(COUNTIF(AF$3:AF298,AG298)+COUNTIF(AG$3:AG298,AG298)+COUNTIF(AH$2:AH297,AG298)=1,MAX(GO$2:GQ297,GO298)+1,""))</f>
        <v/>
      </c>
      <c r="GQ298" t="str">
        <f>IF(AH298="","",IF(COUNTIF(AF$3:AF298,AH298)+COUNTIF(AG$3:AG298,AH298)+COUNTIF(AH$3:AH298,AH298)=1,MAX(GO$2:GQ297,GO298,GP298)+1,""))</f>
        <v/>
      </c>
      <c r="GR298" t="str">
        <f t="shared" si="437"/>
        <v>3х2,5</v>
      </c>
      <c r="GS298" t="str">
        <f>IF(GR298="","",IF(COUNTIF(GR$3:GR298,GR298)=1,MAX(GS$2:GS297)+1,""))</f>
        <v/>
      </c>
      <c r="GT298" t="str">
        <f>IF(ES298="","",COUNTIF(ES$3:ES298,"?*"))</f>
        <v/>
      </c>
      <c r="GU298" t="str">
        <f>IF(OR(ES298="",EU298=""),"",IF(COUNTIFS(ES$3:ES298,"?*",EU$3:EU298,EU298)=1,MAX(GU$2:GU297)+1,""))</f>
        <v/>
      </c>
      <c r="GV298">
        <f t="shared" si="438"/>
        <v>0</v>
      </c>
      <c r="GW298">
        <f>IF(D298="","",COUNTIF(D$3:D298,"?*"))</f>
        <v>296</v>
      </c>
      <c r="GX298">
        <f>IF(EX298&lt;&gt;1,0,_xlfn.LET(_xlpm.k,MAX(IFERROR(--VLOOKUP(D298,УГО_спр,5,FALSE),0),IFERROR(--VLOOKUP(AT298,УГО_спр,5,FALSE),0),IFERROR(--VLOOKUP(LEFT(AT298,2),УГО_спр,5,FALSE),0)),IF(_xlpm.k&gt;0,_xlpm.k,IF(IFERROR(--LEFT(SUBSTITUTE(GR298,"x","х"),FIND("х",SUBSTITUTE(GR298,"x","х"))-1),3)&gt;3,Каталог!$S$9,1))))</f>
        <v>1</v>
      </c>
      <c r="GY298">
        <f t="shared" si="439"/>
        <v>0</v>
      </c>
    </row>
    <row r="299" spans="1:207" x14ac:dyDescent="0.3">
      <c r="A299" t="s">
        <v>764</v>
      </c>
      <c r="B299">
        <v>26</v>
      </c>
      <c r="C299" t="str">
        <f>IF(BD299="","",IF(BE299="вводной узел","узел ","")&amp;"л."&amp;(INT((BD299-1)/Столбцов_на_лист)+1)&amp;" / "&amp;(MOD(BD299-1,Столбцов_на_лист)+1))</f>
        <v>л.2 / 9</v>
      </c>
      <c r="D299" t="s">
        <v>1633</v>
      </c>
      <c r="E299" s="133" t="str">
        <f t="shared" si="352"/>
        <v>Розеточная группа Второй этаж Пом. №019А</v>
      </c>
      <c r="G299">
        <v>0.24</v>
      </c>
      <c r="H299">
        <v>2</v>
      </c>
      <c r="I299">
        <v>1</v>
      </c>
      <c r="J299">
        <v>230</v>
      </c>
      <c r="K299" t="s">
        <v>566</v>
      </c>
      <c r="O299">
        <v>3</v>
      </c>
      <c r="P299">
        <v>46</v>
      </c>
      <c r="Q299">
        <v>12</v>
      </c>
      <c r="R299">
        <v>11</v>
      </c>
      <c r="S299">
        <v>26</v>
      </c>
      <c r="T299">
        <v>2</v>
      </c>
      <c r="U299" t="s">
        <v>11</v>
      </c>
      <c r="V299">
        <v>3</v>
      </c>
      <c r="W299">
        <v>2.5</v>
      </c>
      <c r="X299">
        <v>16</v>
      </c>
      <c r="Z299" t="s">
        <v>565</v>
      </c>
      <c r="AA299" t="s">
        <v>818</v>
      </c>
      <c r="AD299" t="s">
        <v>517</v>
      </c>
      <c r="AK299" t="s">
        <v>488</v>
      </c>
      <c r="AR299" t="str">
        <f t="shared" si="353"/>
        <v/>
      </c>
      <c r="AS299" cm="1">
        <f t="array" ref="AS299">ROW()-ROW(Линии[#Headers])</f>
        <v>297</v>
      </c>
      <c r="AT299" t="str">
        <f t="shared" si="354"/>
        <v>R</v>
      </c>
      <c r="AU299" t="str">
        <f t="shared" si="355"/>
        <v>2.019А.1</v>
      </c>
      <c r="AV299" t="str">
        <f t="shared" si="356"/>
        <v>2</v>
      </c>
      <c r="AW299" t="str">
        <f t="shared" si="357"/>
        <v>019А.1</v>
      </c>
      <c r="AX299" t="str">
        <f t="shared" si="358"/>
        <v>019А</v>
      </c>
      <c r="AY299" t="str">
        <f>IF(D299="","",IF(ISERROR(SEARCH(".",D299)),IFERROR(VLOOKUP(D299,Потребители_обозначение,2,FALSE)&amp;"",""),IFERROR(IF(VLOOKUP(AT299,Потребители_обозначение,4,FALSE)=1,VLOOKUP(AT299,Потребители_обозначение,2,FALSE)&amp;" "&amp;VLOOKUP(AV299,Этаж_обозначение,2,FALSE)&amp;" Пом. №"&amp;AX299,VLOOKUP(AT299,Потребители_обозначение,2,FALSE)&amp;" Шлейф №"&amp;AV299),IFERROR(VLOOKUP(D299,Потребители_обозначение,2,FALSE),""))))</f>
        <v>Розеточная группа Второй этаж Пом. №019А</v>
      </c>
      <c r="AZ299" t="str">
        <f t="shared" si="359"/>
        <v>Розеточная группа Второй этаж Пом. №019А</v>
      </c>
      <c r="BA299" t="str">
        <f>IF(F299&lt;&gt;"",F299,IF(AND(D299&lt;&gt;"",D299&lt;&gt;A299,ISNUMBER(_xlfn.XMATCH(D299,Щиты[Щит]))),D299,""))</f>
        <v/>
      </c>
      <c r="BB299">
        <f>IFERROR(_xlfn.XMATCH(A299,Щиты[Щит]),0)</f>
        <v>11</v>
      </c>
      <c r="BC299">
        <f>IFERROR(N(_xlfn.XLOOKUP(A299,Щиты[Щит],Щиты[Мест под вводной узел])),15)</f>
        <v>8</v>
      </c>
      <c r="BD299">
        <f t="shared" si="360"/>
        <v>26</v>
      </c>
      <c r="BE299" t="str">
        <f t="shared" si="361"/>
        <v>линии</v>
      </c>
      <c r="BF299">
        <f>IF(D299="","",IF(BA299&lt;&gt;"",IFERROR(_xlfn.XLOOKUP(BA299,Щиты[Щит],Щиты[Руст, кВт]),0),N(G299)))</f>
        <v>0.24</v>
      </c>
      <c r="BG299">
        <f>IF(J299&lt;&gt;"",J299,IF(D299="","",IFERROR(IF(VLOOKUP(AT299,Потребители_обозначение,8,FALSE)=0,"",VLOOKUP(AT299,Потребители_обозначение,8,FALSE)),"")))</f>
        <v>230</v>
      </c>
      <c r="BH299">
        <f>IF(I299&lt;&gt;"",I299,IF(D299="","",IFERROR(IF(VLOOKUP(AT299,Потребители_обозначение,9,FALSE)=0,"",VLOOKUP(AT299,Потребители_обозначение,9,FALSE)),"")))</f>
        <v>1</v>
      </c>
      <c r="BI299" t="str">
        <f>IF(U299&lt;&gt;"",U299,IF(D299="","",IFERROR(IF(VLOOKUP(AT299,Потребители_обозначение,6,FALSE)=0,"",VLOOKUP(AT299,Потребители_обозначение,6,FALSE)),"")))</f>
        <v>мс</v>
      </c>
      <c r="BJ299">
        <f>IF(V299&lt;&gt;"",V299,IF(D299="","",IFERROR(IF(VLOOKUP(AT299,Потребители_обозначение,7,FALSE)=0,"",VLOOKUP(AT299,Потребители_обозначение,7,FALSE)),"")))</f>
        <v>3</v>
      </c>
      <c r="BK299">
        <f>IF(W299&lt;&gt;"",W299,IF(D299="","",IFERROR(IF(VLOOKUP(AT299,Потребители_обозначение,10,FALSE)=0,"",VLOOKUP(AT299,Потребители_обозначение,10,FALSE)),"")))</f>
        <v>2.5</v>
      </c>
      <c r="BL299">
        <f>IFERROR(VLOOKUP(AT299,Потребители_обозначение,5,FALSE),0)</f>
        <v>1</v>
      </c>
      <c r="BM299" cm="1">
        <f t="array" ref="BM299">IF(D299="","",IF(BA299&lt;&gt;"",IFERROR(_xlfn.XLOOKUP(BA299,Щиты[Щит],Щиты[cos φ]),0.95),IF(ISNUMBER(M299),M299,IFERROR(IF(BL299=2,_xlfn.IFS(BH299=3,VLOOKUP(BF299,Справочная_двигатели,8,FALSE),BH299=1,VLOOKUP(BF299,Справочная_двигатели,10,TRUE)),IF(AND(Методика="нормы 2026",CN299="Сил"),0.8,0.95)),0.95))))</f>
        <v>0.95</v>
      </c>
      <c r="BN299" cm="1">
        <f t="array" ref="BN299">IF(D299="","",IF(BA299&lt;&gt;"",IFERROR(_xlfn.XLOOKUP(BA299,Щиты[Щит],Щиты[Iр, А]),""),IFERROR(_xlfn.IFS(BH299=1,BF299/((Uн_лин/SQRT(3))*BM299),BH299=3,BF299/(SQRT(3)*Uн_лин*BM299)),"")))</f>
        <v>1.0939268258329751</v>
      </c>
      <c r="BO299">
        <f>IF(D299="","",IF(N(X299)=0,IFERROR(VLOOKUP(BN299,Автомат_номиналы,2,TRUE),""),X299))</f>
        <v>16</v>
      </c>
      <c r="BP299">
        <f t="shared" si="362"/>
        <v>1</v>
      </c>
      <c r="BQ299">
        <f>IF(ISNUMBER(Y299),Y299,К_прокл)</f>
        <v>1</v>
      </c>
      <c r="BR299">
        <f t="shared" si="363"/>
        <v>2</v>
      </c>
      <c r="BS299" cm="1">
        <f t="array" ref="BS299">IF(D299="","",IF(N(BK299)&lt;&gt;0,BK299,IFERROR(_xlfn.LET(_xlpm.need,BO299/(BP299*BQ299),_xlpm.t,CHOOSE(BR299,Iдоп_1ж,Iдоп_2ж,Iдоп_3ж),_xlpm.k,_xlfn.XMATCH(_xlpm.need,_xlpm.t,1),IF(ISNA(_xlpm.k),"Не исп",INDEX(Iдоп_S,_xlpm.k))),"Не исп")))</f>
        <v>2.5</v>
      </c>
      <c r="BT299">
        <f>IFERROR(VLOOKUP(BS299,Кабель_сопротивление,3,FALSE),"")</f>
        <v>2.2499999999999999E-2</v>
      </c>
      <c r="BU299">
        <f>IFERROR(VLOOKUP(BS299,Кабель_сопротивление,2,FALSE),"")</f>
        <v>0.1</v>
      </c>
      <c r="BV299">
        <f t="shared" si="364"/>
        <v>46</v>
      </c>
      <c r="BW299">
        <f>IF(D299="","",IFERROR(IF(VLOOKUP(AT299,Потребители_обозначение,4,FALSE)=1,VLOOKUP(AT299,Потребители_обозначение,3,FALSE)*(H299*2-1)+BV299+VLOOKUP(AV299,Этаж_обозначение,3,FALSE)+VLOOKUP(AV299,Этаж_обозначение,4,FALSE),VLOOKUP(AT299,Потребители_обозначение,3,FALSE)*(H299*2-1)+BV299),BV299))</f>
        <v>55</v>
      </c>
      <c r="BX299">
        <f t="shared" si="365"/>
        <v>11</v>
      </c>
      <c r="BY299">
        <f t="shared" si="366"/>
        <v>26</v>
      </c>
      <c r="BZ299">
        <f t="shared" si="367"/>
        <v>2</v>
      </c>
      <c r="CA299">
        <f t="shared" si="368"/>
        <v>0.31</v>
      </c>
      <c r="CB299">
        <f t="shared" si="369"/>
        <v>1.0325684701720035</v>
      </c>
      <c r="CC299">
        <f>IFERROR(ROUNDUP(CB299/((Uн_лин/SQRT(3))*1000)*100,2),"")</f>
        <v>0.45</v>
      </c>
      <c r="CD299">
        <f>IF(ISNUMBER(CC299),CC299+IFERROR(_xlfn.XLOOKUP(A299,Щиты[Щит],Щиты[ΔU до шин, %]),0),"")</f>
        <v>2.2400000000000002</v>
      </c>
      <c r="CE299">
        <f>IF(D299="","",IF(IFERROR(VLOOKUP(AT299,УГО_спр,2,FALSE),"")="Светильник",3,4)+IF(Методика="нормы 2026",MIN(0.5,MAX(0,N(BW299)-100)*0.005),0))</f>
        <v>4</v>
      </c>
      <c r="CF299" t="str">
        <f>IFERROR(VLOOKUP(BI299,Кабель_обозначение,2,FALSE),"")</f>
        <v>ВВГнг(А)-LS</v>
      </c>
      <c r="CG299" t="str">
        <f>IFERROR(IF(VLOOKUP(BI299,Кабель_обозначение,3,FALSE)=1,CF299&amp;" ("&amp;BJ299&amp;"х"&amp;BS299&amp;")",CF299),"")</f>
        <v>ВВГнг(А)-LS (3х2,5)</v>
      </c>
      <c r="CH299" t="str">
        <f t="shared" si="370"/>
        <v>ВВГнг(А)-LS (3х2,5)
L=55-0,45%</v>
      </c>
      <c r="CI299">
        <f>IFERROR(2*ρкз_Cu*BW299/BS299,"")</f>
        <v>1.1572</v>
      </c>
      <c r="CJ299">
        <f t="shared" si="371"/>
        <v>0.38500000000000006</v>
      </c>
      <c r="CK299" t="str">
        <f>IFERROR(IF(OR(D299="",NOT(ISNUMBER(BS299)),N(BW299)=0),"",_xlfn.XLOOKUP(A299,Щиты[Щит],Щиты[Zпетли на шинах, Ом])+CI299),"")</f>
        <v/>
      </c>
      <c r="CL299" t="str">
        <f>IF(ISNUMBER(CK299),c_min*(Uн_лин*1000/SQRT(3))/CK299,"")</f>
        <v/>
      </c>
      <c r="CM299" t="str">
        <f>IFERROR(IF(OR(D299="",NOT(ISNUMBER(BS299))),"",1.05*(Uн_лин*1000/SQRT(3))/(_xlfn.XLOOKUP(A299,Щиты[Щит],Щиты[Zmax на шинах, Ом])+CJ299)/1000),"")</f>
        <v/>
      </c>
      <c r="CN299" t="str">
        <f>IF(D299="","",IF(BA299&lt;&gt;"","Щит",IF(K299&lt;&gt;"",K299,IF(ISNUMBER(L299),"Сил",IF(IFERROR(_xlfn.XLOOKUP(AT299,Коды_код,Коды_группа)&amp;"","")="","Быт",_xlfn.XLOOKUP(AT299,Коды_код,Коды_группа)&amp;"")))))</f>
        <v>Быт</v>
      </c>
      <c r="CO299">
        <f>IF(CN299="Щит","щит",IF(CN299="","",IF(CN299="Быт",IFERROR(_xlfn.XLOOKUP(A299,Щиты[Щит],Щиты[Кс быт]),1),IF(CN299="Сил",IF(ISNUMBER(L299),L299,IF(Методика="нормы 2026",IFERROR(_xlfn.XLOOKUP(A299,Щиты[Щит],Щиты[Кс силовых (табл. 7.5)]),1),1)),IF(OR(CN299="Пост",CN299="Отоп"),1,IF(CN299="ВНГ",0.7,0))))))</f>
        <v>0.8</v>
      </c>
      <c r="CP299">
        <f t="shared" si="372"/>
        <v>1</v>
      </c>
      <c r="CQ299">
        <f t="shared" si="373"/>
        <v>0.24</v>
      </c>
      <c r="CR299">
        <f t="shared" si="374"/>
        <v>0.24</v>
      </c>
      <c r="CS299">
        <f t="shared" si="375"/>
        <v>0</v>
      </c>
      <c r="CT299">
        <f t="shared" si="376"/>
        <v>0</v>
      </c>
      <c r="CU299">
        <f t="shared" si="377"/>
        <v>0</v>
      </c>
      <c r="CV299">
        <f t="shared" si="378"/>
        <v>0</v>
      </c>
      <c r="CW299">
        <f t="shared" si="379"/>
        <v>0.24</v>
      </c>
      <c r="CX299">
        <f t="shared" si="380"/>
        <v>0.22799999999999998</v>
      </c>
      <c r="CY299">
        <f t="shared" si="381"/>
        <v>2</v>
      </c>
      <c r="CZ299" t="str">
        <f t="shared" si="382"/>
        <v>L2</v>
      </c>
      <c r="DA299" cm="1">
        <f t="array" ref="DA299">IFERROR(IF(BL299=2,_xlfn.IFS(BH299=3,VLOOKUP(BF299,Справочная_двигатели,3,FALSE),BH299=1,VLOOKUP(BF299,Справочная_двигатели,5,TRUE)),0),0)</f>
        <v>0</v>
      </c>
      <c r="DB299">
        <f>IFERROR(IF(BL299=3,VLOOKUP(BF299,Справочная_ЛЭД,2,TRUE),0),0)</f>
        <v>0</v>
      </c>
      <c r="DC299">
        <f t="shared" si="383"/>
        <v>0</v>
      </c>
      <c r="DD299" t="str">
        <f t="shared" si="384"/>
        <v>L3</v>
      </c>
      <c r="DE299" t="str" cm="1">
        <f t="array" ref="DE299">IF(D299="","",IFERROR(INDEX({"I особая","I","II","III"},MATCH(TRIM(AA299&amp;""),{"I особая","I","II","III"},0)),"III"))</f>
        <v>II</v>
      </c>
      <c r="DF299" t="str">
        <f>IF(D299="","",IF(TRIM(AB299&amp;"")&lt;&gt;"",IF(LOWER(TRIM(AB299&amp;""))="да","да","нет"),IF(IFERROR(_xlfn.XLOOKUP(AT299,Коды_код,Коды_пожарная),"")="да","да","нет")))</f>
        <v>нет</v>
      </c>
      <c r="DG299" t="str">
        <f t="shared" si="385"/>
        <v/>
      </c>
      <c r="DH299" t="str">
        <f t="shared" si="386"/>
        <v>основная</v>
      </c>
      <c r="DI299">
        <f t="shared" si="387"/>
        <v>1</v>
      </c>
      <c r="DJ299" t="str" cm="1">
        <f t="array" ref="DJ299">IF(D299="","",_xlfn.LET(_xlpm.t,IFERROR(_xlfn.XLOOKUP(1,(Шины[Шина]=DH299)*(((Шины[Щит]=A299)+(Шины[Щит]=""))&gt;0),Шины[Тип]),"")&amp;"",IF(_xlpm.t&lt;&gt;"",_xlpm.t,IF(ISNUMBER(SEARCH("ИБП",DH299)),"ИБП",IF(ISNUMBER(SEARCH("ДГУ",DH299)),"ДГУ","Ввод "&amp;DI299)))))</f>
        <v>Ввод 1</v>
      </c>
      <c r="DK299" t="str">
        <f t="shared" si="388"/>
        <v>Ввод 1</v>
      </c>
      <c r="DL299" t="str">
        <f>IF(D299="","",IF(OR(DJ299="ИБП",DJ299="ДГУ"),"I особая",IF(DJ299="Одиночная","III",_xlfn.XLOOKUP(A299,Щиты[Щит],Щиты[Категория шины «Ввод»],"III"))))</f>
        <v>II</v>
      </c>
      <c r="DM299">
        <f>IF(D299="",0,IFERROR(MATCH(DE299,{"III","II","I","I особая"},0),1))</f>
        <v>2</v>
      </c>
      <c r="DN299">
        <f t="shared" si="389"/>
        <v>2</v>
      </c>
      <c r="DO299" t="str">
        <f>IF(D299="","",IF(DM299&gt;IFERROR(MATCH(DL299,{"III","II","I","I особая"},0),1),"НЕ ОБЕСПЕЧЕНА","ОК"))</f>
        <v>ОК</v>
      </c>
      <c r="DP299" t="str">
        <f>IF(A299="","",_xlfn.XLOOKUP(A299,Щиты[Щит],Щиты[Путь],""))</f>
        <v>|ГРЩ-ЖД|ЩР-2|</v>
      </c>
      <c r="DQ299" t="str">
        <f>IF(D299="","",IF(Z299&lt;&gt;"",Z299,IF(IFERROR(_xlfn.XLOOKUP(AT299,Коды_код,Коды_вид)&amp;"","")="","Прочее",_xlfn.XLOOKUP(AT299,Коды_код,Коды_вид)&amp;"")))</f>
        <v>Розеточная сеть и бытовые приборы</v>
      </c>
      <c r="DR299">
        <f>IF(BD299="","",INT((BD299-1)/Столбцов_на_лист)+1)</f>
        <v>2</v>
      </c>
      <c r="DS299" t="str">
        <f t="shared" si="390"/>
        <v>ВВГнг(А)-LS (3х2,5) L=55-0,45%</v>
      </c>
      <c r="DT299">
        <f t="shared" si="391"/>
        <v>0.24</v>
      </c>
      <c r="DU299">
        <f t="shared" si="392"/>
        <v>1.1000000000000001</v>
      </c>
      <c r="DV299">
        <f t="shared" si="393"/>
        <v>1</v>
      </c>
      <c r="DW299">
        <f>IF(AT299="",0,_xlfn.LET(_xlpm.v,IFERROR(VLOOKUP(D299,УГО_спр,3,FALSE),IFERROR(VLOOKUP(AT299,УГО_спр,3,FALSE),IFERROR(VLOOKUP(LEFT(AT299,2),УГО_спр,3,FALSE),""))),IF(_xlpm.v="да",30,IF(ISNUMBER(_xlpm.v),_xlpm.v,0))))</f>
        <v>30</v>
      </c>
      <c r="DX299">
        <f t="shared" si="394"/>
        <v>0</v>
      </c>
      <c r="DY299">
        <f>IF(BD299="","",IF(AD299&lt;&gt;"",COUNTIFS(A$3:A299,A299,AD$3:AD299,"?*"),IF(OR(OR(AS299=1,A299&lt;&gt;A298),AL299="вручную"),"",IF(AS299=1,"",DZ298))))</f>
        <v>16</v>
      </c>
      <c r="DZ299">
        <f t="shared" si="395"/>
        <v>16</v>
      </c>
      <c r="EA299">
        <f>IF(D299="",0,MAX(IFERROR(--X299,0),IFERROR(--VLOOKUP(D299,УГО_спр,4,FALSE),IFERROR(--VLOOKUP(AT299,УГО_спр,4,FALSE),IFERROR(--VLOOKUP(LEFT(AT299,2),УГО_спр,4,FALSE),0)))))</f>
        <v>16</v>
      </c>
      <c r="EB299">
        <f>IF(D299="","",IFERROR(LOOKUP(INDEX(CHOOSE(BR299,Iдоп_1ж,Iдоп_2ж,Iдоп_3ж),MATCH(BS299,Iдоп_S,0))*BP299*BQ299,{6,10,16,20,25,32,40,50,63,80,100,125,160,200,250,315,400,500,630}),""))</f>
        <v>25</v>
      </c>
      <c r="EC299">
        <f>IF(AD299="","",SUMIFS(Линии[_Ток схемы],Линии[_гр.],DY299,Линии[Щит],A299,Линии[_в кабель выше],0))</f>
        <v>1.1000000000000001</v>
      </c>
      <c r="ED299">
        <f>IF(AD299="","",IFERROR(VLOOKUP(EC299,Автомат_номиналы,2,TRUE),""))</f>
        <v>6</v>
      </c>
      <c r="EE299">
        <f>IF(AD299="","",MAX(N(ED299),_xlfn.MAXIFS(Линии[_мин. по типу],Линии[_гр.],DY299,Линии[Щит],A299)))</f>
        <v>16</v>
      </c>
      <c r="EF299">
        <f>IF(AD299="","",_xlfn.MINIFS(Линии[_макс. автомат по кабелю],Линии[_гр.],DY299,Линии[Щит],A299))</f>
        <v>25</v>
      </c>
      <c r="EG299">
        <f>IF(AD299="","",MAX(1,_xlfn.MAXIFS(Линии[_фаз],Линии[_гр.],DY299,Линии[Щит],A299)))</f>
        <v>1</v>
      </c>
      <c r="EH299">
        <f>IF(AD299="","",IF(AND(AD299&lt;&gt;"авто",AD299&lt;&gt;"+"),IF(ISNUMBER(SEARCH("мА",AD299)),IFERROR(--TRIM(RIGHT(SUBSTITUTE(LEFT(AD299,SEARCH("мА",AD299)-1)," ",REPT(" ",9)),6)),30),0),IF(AE299="нет",0,IF(ISNUMBER(AE299),AE299,IF(AE299="да",30,_xlfn.MINIFS(Линии[_дифзащита по коду, мА],Линии[_гр.],DY299,Линии[Щит],A299,Линии[_дифзащита по коду, мА],"&gt;0"))))))</f>
        <v>30</v>
      </c>
      <c r="EI299">
        <f t="shared" si="396"/>
        <v>1</v>
      </c>
      <c r="EJ299" t="str">
        <f t="shared" si="397"/>
        <v>QFD16</v>
      </c>
      <c r="EK299" t="str">
        <f t="shared" si="398"/>
        <v>QFD16</v>
      </c>
      <c r="EL299" t="str">
        <f t="shared" si="399"/>
        <v/>
      </c>
      <c r="EM299">
        <f t="shared" si="400"/>
        <v>0</v>
      </c>
      <c r="EN299">
        <f>IF(AD299="","",IF(EM299=1,MAX(EE299,Мин_автомат_БП),EE299))</f>
        <v>16</v>
      </c>
      <c r="EO299" t="str">
        <f t="shared" si="401"/>
        <v>2P</v>
      </c>
      <c r="EP299" t="str">
        <f t="shared" si="402"/>
        <v>2P С16А 30мА</v>
      </c>
      <c r="EQ299">
        <f t="shared" si="403"/>
        <v>16</v>
      </c>
      <c r="ER299" t="str">
        <f>IF(OR(AI299="",AI299="-"),"",IFERROR(VLOOKUP(AI299,Модули_спр,2,FALSE),"R"))</f>
        <v/>
      </c>
      <c r="ES299" t="str">
        <f>IF(ER299="","",ER299&amp;"."&amp;COUNTIFS(A$3:A299,A299,ER$3:ER299,ER299))</f>
        <v/>
      </c>
      <c r="ET299" t="str">
        <f t="shared" si="404"/>
        <v/>
      </c>
      <c r="EU299" t="str">
        <f t="shared" si="405"/>
        <v/>
      </c>
      <c r="EV299" t="str">
        <f t="shared" si="406"/>
        <v/>
      </c>
      <c r="EW299" t="str">
        <f t="shared" si="407"/>
        <v/>
      </c>
      <c r="EX299">
        <f t="shared" si="408"/>
        <v>1</v>
      </c>
      <c r="EY299" t="str">
        <f>IF(AK299="нет","",IF(AK299&lt;&gt;"",AK299,IF(EX299=1,"XT"&amp;COUNTIFS(A$3:A299,A299,EX$3:EX299,1),"")))</f>
        <v/>
      </c>
      <c r="EZ299" t="str">
        <f t="shared" si="409"/>
        <v>QFD16</v>
      </c>
      <c r="FA299" t="str">
        <f t="shared" si="410"/>
        <v/>
      </c>
      <c r="FB299" t="str">
        <f t="shared" si="411"/>
        <v>ok</v>
      </c>
      <c r="FC299" t="str">
        <f>IF(OR(EV299="",ET299=""),"",IF(EV299&gt;IFERROR(VLOOKUP(EU299,Модули_спр,3,FALSE),99),"ЛИШНИЙ КАНАЛ",IF(AND(AJ299&lt;&gt;"=",COUNTIFS(Линии[_модуль гр.],ET299,Линии[Канал (итог)],EV299,Линии[Канал],"&lt;&gt;=",Линии[Щит],A299)&gt;1),"ДУБЛЬ КАНАЛА","")))</f>
        <v/>
      </c>
      <c r="FD299">
        <f t="shared" si="412"/>
        <v>16</v>
      </c>
      <c r="FE299" t="str">
        <f t="shared" si="413"/>
        <v>2P С16А 30мА</v>
      </c>
      <c r="FF299">
        <f t="shared" si="414"/>
        <v>1</v>
      </c>
      <c r="FG299">
        <f t="shared" si="415"/>
        <v>30</v>
      </c>
      <c r="FH299" t="str">
        <f t="shared" si="416"/>
        <v/>
      </c>
      <c r="FI299">
        <f t="shared" si="417"/>
        <v>10</v>
      </c>
      <c r="FJ299" t="str">
        <f t="shared" si="418"/>
        <v/>
      </c>
      <c r="FK299" t="str">
        <f>IF(AND(D299="",EZ299=""),"",_xlfn.TEXTJOIN("; ",TRUE,IF(AND(D299&lt;&gt;"",DD299=""),"нет фазы",""),IF(AND(D299&lt;&gt;"",N(DT299)=0,CN299&lt;&gt;"Нет"),"нет мощности",""),IF(AND(EY299&lt;&gt;"",COUNTIFS(Линии[Щит],A299,Линии[Клемма (итог)],EY299)&gt;1),"дубль клеммы "&amp;EY299,""),IF(AND(FB299&lt;&gt;"",FB299&lt;&gt;"ok"),FB299,""),IF(FC299&lt;&gt;"",FC299,""),IF(AND(ISNUMBER(SEARCH("(5х",DS299)),N(DV299)=1),"5 жил на 1 фазе",""),IF(AND(AT299="R",AD299&lt;&gt;"",OR(N(EH299)=0,N(EH299)&gt;30)),"розетка без дифзащиты до 30 мА",""),IFERROR(IF(AND(ISNUMBER(CD299),CD299&gt;CE299),"потери "&amp;FIXED(CD299,1)&amp;" % &gt; "&amp;CE299&amp;" %",""),""),IFERROR(IF(LEFT(FJ299,4)="мало","Iкз мало — отключение &gt; 0,4 с",""),""),IF(AND(D299&lt;&gt;"",BD299=""),"не на схеме","")))</f>
        <v/>
      </c>
      <c r="FL299">
        <f>IF(AD299="","",_xlfn.LET(_xlpm.t,IFERROR(_xlfn.XLOOKUP(EP299,Каталог!$U$4:$U$500,Каталог!$G$4:$G$500),""),_xlpm.k,SEARCH("кА",_xlpm.t),IFERROR(--TRIM(RIGHT(SUBSTITUTE(MID(_xlpm.t,MAX(1,_xlpm.k-4),_xlpm.k-MAX(1,_xlpm.k-4))," ",REPT(" ",9)),5)),"")))</f>
        <v>6</v>
      </c>
      <c r="FM299" t="str">
        <f>IF(OR(FL299="",AD299=""),"",IF(_xlfn.XLOOKUP(A299,Щиты[Щит],Щиты[Iкз max на шинах, кА],"")="","",IF(FL299&lt;_xlfn.XLOOKUP(A299,Щиты[Щит],Щиты[Iкз max на шинах, кА]),"Icu "&amp;FL299&amp;" кА &lt; Iкз max","ok")))</f>
        <v/>
      </c>
      <c r="FN299" t="str">
        <f t="shared" si="419"/>
        <v>QFD16</v>
      </c>
      <c r="FO299" t="str">
        <f t="shared" si="420"/>
        <v>QFD16|кабель ВВГнг(А)-LS (3х2,5) → Розеточная группа Второй этаж Пом. №019А</v>
      </c>
      <c r="FP299" t="str" cm="1">
        <f t="array" ref="FP299">IF(FO299="","",_xlfn.LET(_xlpm.nd,_xlfn.TEXTSPLIT(FO299,"|"),IF(COLUMNS(_xlpm.nd)&gt;1,A299&amp;"¦"&amp;INDEX(_xlpm.nd,1)&amp;"¦"&amp;INDEX(_xlpm.nd,2),"")))</f>
        <v>ЩР-2¦QFD16¦кабель ВВГнг(А)-LS (3х2,5) → Розеточная группа Второй этаж Пом. №019А</v>
      </c>
      <c r="FQ299" t="str">
        <f t="shared" si="421"/>
        <v>R.2.019А.1¦Розеточная группа Второй этаж Пом. №019А</v>
      </c>
      <c r="FR299" t="str" cm="1">
        <f t="array" ref="FR299">IF(FO299="","",_xlfn.LET(_xlpm.nd,_xlfn.TEXTSPLIT(FO299,"|"),IF(COLUMNS(_xlpm.nd)&gt;2,A299&amp;"¦"&amp;INDEX(_xlpm.nd,2)&amp;"¦"&amp;INDEX(_xlpm.nd,3),"")))</f>
        <v/>
      </c>
      <c r="FS299" t="str">
        <f t="shared" si="422"/>
        <v/>
      </c>
      <c r="FT299" t="str" cm="1">
        <f t="array" ref="FT299">IF(FO299="","",_xlfn.LET(_xlpm.nd,_xlfn.TEXTSPLIT(FO299,"|"),IF(COLUMNS(_xlpm.nd)&gt;3,A299&amp;"¦"&amp;INDEX(_xlpm.nd,3)&amp;"¦"&amp;INDEX(_xlpm.nd,4),"")))</f>
        <v/>
      </c>
      <c r="FU299" t="str">
        <f t="shared" si="423"/>
        <v/>
      </c>
      <c r="FV299" t="str" cm="1">
        <f t="array" ref="FV299">IF(FO299="","",_xlfn.LET(_xlpm.nd,_xlfn.TEXTSPLIT(FO299,"|"),IF(COLUMNS(_xlpm.nd)&gt;4,A299&amp;"¦"&amp;INDEX(_xlpm.nd,4)&amp;"¦"&amp;INDEX(_xlpm.nd,5),"")))</f>
        <v/>
      </c>
      <c r="FW299" t="str">
        <f t="shared" si="424"/>
        <v/>
      </c>
      <c r="FX299" t="str" cm="1">
        <f t="array" ref="FX299">IF(FO299="","",_xlfn.LET(_xlpm.nd,_xlfn.TEXTSPLIT(FO299,"|"),IF(COLUMNS(_xlpm.nd)&gt;5,A299&amp;"¦"&amp;INDEX(_xlpm.nd,5)&amp;"¦"&amp;INDEX(_xlpm.nd,6),"")))</f>
        <v/>
      </c>
      <c r="FY299" t="str">
        <f t="shared" si="425"/>
        <v/>
      </c>
      <c r="FZ299" t="str" cm="1">
        <f t="array" ref="FZ299">IF(FO299="","",_xlfn.LET(_xlpm.nd,_xlfn.TEXTSPLIT(FO299,"|"),IF(COLUMNS(_xlpm.nd)&gt;6,A299&amp;"¦"&amp;INDEX(_xlpm.nd,6)&amp;"¦"&amp;INDEX(_xlpm.nd,7),"")))</f>
        <v/>
      </c>
      <c r="GA299" t="str">
        <f t="shared" si="426"/>
        <v/>
      </c>
      <c r="GB299" t="str">
        <f t="shared" si="427"/>
        <v/>
      </c>
      <c r="GC299" t="str">
        <f t="shared" si="428"/>
        <v>QFD16</v>
      </c>
      <c r="GD299">
        <f t="shared" si="429"/>
        <v>1</v>
      </c>
      <c r="GE299">
        <f t="shared" si="430"/>
        <v>0</v>
      </c>
      <c r="GF299">
        <f t="shared" si="431"/>
        <v>1</v>
      </c>
      <c r="GG299" t="str">
        <f t="shared" si="432"/>
        <v/>
      </c>
      <c r="GH299" t="str">
        <f t="shared" si="433"/>
        <v/>
      </c>
      <c r="GI299" t="str">
        <f t="shared" si="434"/>
        <v/>
      </c>
      <c r="GJ299" t="str">
        <f t="shared" si="435"/>
        <v/>
      </c>
      <c r="GK299" t="str">
        <f>IF(D299="","",IFERROR(VLOOKUP(D299,УГО_спр,2,FALSE),IFERROR(VLOOKUP(AT299,УГО_спр,2,FALSE),IFERROR(VLOOKUP(LEFT(AT299,2),УГО_спр,2,FALSE),""))))</f>
        <v>Розетка</v>
      </c>
      <c r="GL299" t="str">
        <f>IF(D299="","",IF(OR(GK299="",GK299=0),"BOX",IFERROR(IF(VLOOKUP(GK299,УГО_блоки,3,FALSE)&amp;""&lt;&gt;"",VLOOKUP(GK299,УГО_блоки,3,FALSE),VLOOKUP(GK299,УГО_блоки,2,FALSE)),GK299)))</f>
        <v>SOCKET</v>
      </c>
      <c r="GM299">
        <f t="shared" si="436"/>
        <v>1</v>
      </c>
      <c r="GN299" t="str">
        <f>IF(EP299="","",IF(COUNTIF(EP$3:EP299,EP299)=1,MAX(GN$2:GN298)+1,""))</f>
        <v/>
      </c>
      <c r="GO299" t="str">
        <f>IF(AF299="","",IF(COUNTIF(AF$3:AF299,AF299)+COUNTIF(AG$2:AG298,AF299)+COUNTIF(AH$2:AH298,AF299)=1,MAX(GO$2:GQ298)+1,""))</f>
        <v/>
      </c>
      <c r="GP299" t="str">
        <f>IF(AG299="","",IF(COUNTIF(AF$3:AF299,AG299)+COUNTIF(AG$3:AG299,AG299)+COUNTIF(AH$2:AH298,AG299)=1,MAX(GO$2:GQ298,GO299)+1,""))</f>
        <v/>
      </c>
      <c r="GQ299" t="str">
        <f>IF(AH299="","",IF(COUNTIF(AF$3:AF299,AH299)+COUNTIF(AG$3:AG299,AH299)+COUNTIF(AH$3:AH299,AH299)=1,MAX(GO$2:GQ298,GO299,GP299)+1,""))</f>
        <v/>
      </c>
      <c r="GR299" t="str">
        <f t="shared" si="437"/>
        <v>3х2,5</v>
      </c>
      <c r="GS299" t="str">
        <f>IF(GR299="","",IF(COUNTIF(GR$3:GR299,GR299)=1,MAX(GS$2:GS298)+1,""))</f>
        <v/>
      </c>
      <c r="GT299" t="str">
        <f>IF(ES299="","",COUNTIF(ES$3:ES299,"?*"))</f>
        <v/>
      </c>
      <c r="GU299" t="str">
        <f>IF(OR(ES299="",EU299=""),"",IF(COUNTIFS(ES$3:ES299,"?*",EU$3:EU299,EU299)=1,MAX(GU$2:GU298)+1,""))</f>
        <v/>
      </c>
      <c r="GV299">
        <f t="shared" si="438"/>
        <v>0</v>
      </c>
      <c r="GW299">
        <f>IF(D299="","",COUNTIF(D$3:D299,"?*"))</f>
        <v>297</v>
      </c>
      <c r="GX299">
        <f>IF(EX299&lt;&gt;1,0,_xlfn.LET(_xlpm.k,MAX(IFERROR(--VLOOKUP(D299,УГО_спр,5,FALSE),0),IFERROR(--VLOOKUP(AT299,УГО_спр,5,FALSE),0),IFERROR(--VLOOKUP(LEFT(AT299,2),УГО_спр,5,FALSE),0)),IF(_xlpm.k&gt;0,_xlpm.k,IF(IFERROR(--LEFT(SUBSTITUTE(GR299,"x","х"),FIND("х",SUBSTITUTE(GR299,"x","х"))-1),3)&gt;3,Каталог!$S$9,1))))</f>
        <v>1</v>
      </c>
      <c r="GY299">
        <f t="shared" si="439"/>
        <v>0</v>
      </c>
    </row>
    <row r="300" spans="1:207" x14ac:dyDescent="0.3">
      <c r="A300" t="s">
        <v>764</v>
      </c>
      <c r="B300">
        <v>27</v>
      </c>
      <c r="C300" t="str">
        <f>IF(BD300="","",IF(BE300="вводной узел","узел ","")&amp;"л."&amp;(INT((BD300-1)/Столбцов_на_лист)+1)&amp;" / "&amp;(MOD(BD300-1,Столбцов_на_лист)+1))</f>
        <v>л.2 / 10</v>
      </c>
      <c r="D300" t="s">
        <v>1634</v>
      </c>
      <c r="E300" s="133" t="str">
        <f t="shared" si="352"/>
        <v>Розеточная группа Второй этаж Пом. №019А</v>
      </c>
      <c r="G300">
        <v>0.65999999999999992</v>
      </c>
      <c r="H300">
        <v>6</v>
      </c>
      <c r="I300">
        <v>1</v>
      </c>
      <c r="J300">
        <v>230</v>
      </c>
      <c r="K300" t="s">
        <v>566</v>
      </c>
      <c r="O300">
        <v>3</v>
      </c>
      <c r="P300">
        <v>55</v>
      </c>
      <c r="Q300">
        <v>12</v>
      </c>
      <c r="R300">
        <v>70</v>
      </c>
      <c r="T300">
        <v>2</v>
      </c>
      <c r="U300" t="s">
        <v>11</v>
      </c>
      <c r="V300">
        <v>3</v>
      </c>
      <c r="W300">
        <v>2.5</v>
      </c>
      <c r="X300">
        <v>16</v>
      </c>
      <c r="Z300" t="s">
        <v>565</v>
      </c>
      <c r="AA300" t="s">
        <v>818</v>
      </c>
      <c r="AD300" t="s">
        <v>517</v>
      </c>
      <c r="AK300" t="s">
        <v>488</v>
      </c>
      <c r="AR300" t="str">
        <f t="shared" si="353"/>
        <v/>
      </c>
      <c r="AS300" cm="1">
        <f t="array" ref="AS300">ROW()-ROW(Линии[#Headers])</f>
        <v>298</v>
      </c>
      <c r="AT300" t="str">
        <f t="shared" si="354"/>
        <v>R</v>
      </c>
      <c r="AU300" t="str">
        <f t="shared" si="355"/>
        <v>2.019А.2</v>
      </c>
      <c r="AV300" t="str">
        <f t="shared" si="356"/>
        <v>2</v>
      </c>
      <c r="AW300" t="str">
        <f t="shared" si="357"/>
        <v>019А.2</v>
      </c>
      <c r="AX300" t="str">
        <f t="shared" si="358"/>
        <v>019А</v>
      </c>
      <c r="AY300" t="str">
        <f>IF(D300="","",IF(ISERROR(SEARCH(".",D300)),IFERROR(VLOOKUP(D300,Потребители_обозначение,2,FALSE)&amp;"",""),IFERROR(IF(VLOOKUP(AT300,Потребители_обозначение,4,FALSE)=1,VLOOKUP(AT300,Потребители_обозначение,2,FALSE)&amp;" "&amp;VLOOKUP(AV300,Этаж_обозначение,2,FALSE)&amp;" Пом. №"&amp;AX300,VLOOKUP(AT300,Потребители_обозначение,2,FALSE)&amp;" Шлейф №"&amp;AV300),IFERROR(VLOOKUP(D300,Потребители_обозначение,2,FALSE),""))))</f>
        <v>Розеточная группа Второй этаж Пом. №019А</v>
      </c>
      <c r="AZ300" t="str">
        <f t="shared" si="359"/>
        <v>Розеточная группа Второй этаж Пом. №019А</v>
      </c>
      <c r="BA300" t="str">
        <f>IF(F300&lt;&gt;"",F300,IF(AND(D300&lt;&gt;"",D300&lt;&gt;A300,ISNUMBER(_xlfn.XMATCH(D300,Щиты[Щит]))),D300,""))</f>
        <v/>
      </c>
      <c r="BB300">
        <f>IFERROR(_xlfn.XMATCH(A300,Щиты[Щит]),0)</f>
        <v>11</v>
      </c>
      <c r="BC300">
        <f>IFERROR(N(_xlfn.XLOOKUP(A300,Щиты[Щит],Щиты[Мест под вводной узел])),15)</f>
        <v>8</v>
      </c>
      <c r="BD300">
        <f t="shared" si="360"/>
        <v>27</v>
      </c>
      <c r="BE300" t="str">
        <f t="shared" si="361"/>
        <v>линии</v>
      </c>
      <c r="BF300">
        <f>IF(D300="","",IF(BA300&lt;&gt;"",IFERROR(_xlfn.XLOOKUP(BA300,Щиты[Щит],Щиты[Руст, кВт]),0),N(G300)))</f>
        <v>0.65999999999999992</v>
      </c>
      <c r="BG300">
        <f>IF(J300&lt;&gt;"",J300,IF(D300="","",IFERROR(IF(VLOOKUP(AT300,Потребители_обозначение,8,FALSE)=0,"",VLOOKUP(AT300,Потребители_обозначение,8,FALSE)),"")))</f>
        <v>230</v>
      </c>
      <c r="BH300">
        <f>IF(I300&lt;&gt;"",I300,IF(D300="","",IFERROR(IF(VLOOKUP(AT300,Потребители_обозначение,9,FALSE)=0,"",VLOOKUP(AT300,Потребители_обозначение,9,FALSE)),"")))</f>
        <v>1</v>
      </c>
      <c r="BI300" t="str">
        <f>IF(U300&lt;&gt;"",U300,IF(D300="","",IFERROR(IF(VLOOKUP(AT300,Потребители_обозначение,6,FALSE)=0,"",VLOOKUP(AT300,Потребители_обозначение,6,FALSE)),"")))</f>
        <v>мс</v>
      </c>
      <c r="BJ300">
        <f>IF(V300&lt;&gt;"",V300,IF(D300="","",IFERROR(IF(VLOOKUP(AT300,Потребители_обозначение,7,FALSE)=0,"",VLOOKUP(AT300,Потребители_обозначение,7,FALSE)),"")))</f>
        <v>3</v>
      </c>
      <c r="BK300">
        <f>IF(W300&lt;&gt;"",W300,IF(D300="","",IFERROR(IF(VLOOKUP(AT300,Потребители_обозначение,10,FALSE)=0,"",VLOOKUP(AT300,Потребители_обозначение,10,FALSE)),"")))</f>
        <v>2.5</v>
      </c>
      <c r="BL300">
        <f>IFERROR(VLOOKUP(AT300,Потребители_обозначение,5,FALSE),0)</f>
        <v>1</v>
      </c>
      <c r="BM300" cm="1">
        <f t="array" ref="BM300">IF(D300="","",IF(BA300&lt;&gt;"",IFERROR(_xlfn.XLOOKUP(BA300,Щиты[Щит],Щиты[cos φ]),0.95),IF(ISNUMBER(M300),M300,IFERROR(IF(BL300=2,_xlfn.IFS(BH300=3,VLOOKUP(BF300,Справочная_двигатели,8,FALSE),BH300=1,VLOOKUP(BF300,Справочная_двигатели,10,TRUE)),IF(AND(Методика="нормы 2026",CN300="Сил"),0.8,0.95)),0.95))))</f>
        <v>0.95</v>
      </c>
      <c r="BN300" cm="1">
        <f t="array" ref="BN300">IF(D300="","",IF(BA300&lt;&gt;"",IFERROR(_xlfn.XLOOKUP(BA300,Щиты[Щит],Щиты[Iр, А]),""),IFERROR(_xlfn.IFS(BH300=1,BF300/((Uн_лин/SQRT(3))*BM300),BH300=3,BF300/(SQRT(3)*Uн_лин*BM300)),"")))</f>
        <v>3.008298771040681</v>
      </c>
      <c r="BO300">
        <f>IF(D300="","",IF(N(X300)=0,IFERROR(VLOOKUP(BN300,Автомат_номиналы,2,TRUE),""),X300))</f>
        <v>16</v>
      </c>
      <c r="BP300">
        <f t="shared" si="362"/>
        <v>1</v>
      </c>
      <c r="BQ300">
        <f>IF(ISNUMBER(Y300),Y300,К_прокл)</f>
        <v>1</v>
      </c>
      <c r="BR300">
        <f t="shared" si="363"/>
        <v>2</v>
      </c>
      <c r="BS300" cm="1">
        <f t="array" ref="BS300">IF(D300="","",IF(N(BK300)&lt;&gt;0,BK300,IFERROR(_xlfn.LET(_xlpm.need,BO300/(BP300*BQ300),_xlpm.t,CHOOSE(BR300,Iдоп_1ж,Iдоп_2ж,Iдоп_3ж),_xlpm.k,_xlfn.XMATCH(_xlpm.need,_xlpm.t,1),IF(ISNA(_xlpm.k),"Не исп",INDEX(Iдоп_S,_xlpm.k))),"Не исп")))</f>
        <v>2.5</v>
      </c>
      <c r="BT300">
        <f>IFERROR(VLOOKUP(BS300,Кабель_сопротивление,3,FALSE),"")</f>
        <v>2.2499999999999999E-2</v>
      </c>
      <c r="BU300">
        <f>IFERROR(VLOOKUP(BS300,Кабель_сопротивление,2,FALSE),"")</f>
        <v>0.1</v>
      </c>
      <c r="BV300">
        <f t="shared" si="364"/>
        <v>55</v>
      </c>
      <c r="BW300">
        <f>IF(D300="","",IFERROR(IF(VLOOKUP(AT300,Потребители_обозначение,4,FALSE)=1,VLOOKUP(AT300,Потребители_обозначение,3,FALSE)*(H300*2-1)+BV300+VLOOKUP(AV300,Этаж_обозначение,3,FALSE)+VLOOKUP(AV300,Этаж_обозначение,4,FALSE),VLOOKUP(AT300,Потребители_обозначение,3,FALSE)*(H300*2-1)+BV300),BV300))</f>
        <v>88</v>
      </c>
      <c r="BX300">
        <f t="shared" si="365"/>
        <v>70</v>
      </c>
      <c r="BY300">
        <f t="shared" si="366"/>
        <v>84</v>
      </c>
      <c r="BZ300">
        <f t="shared" si="367"/>
        <v>2</v>
      </c>
      <c r="CA300">
        <f t="shared" si="368"/>
        <v>0.31</v>
      </c>
      <c r="CB300">
        <f t="shared" si="369"/>
        <v>4.5433012687568146</v>
      </c>
      <c r="CC300">
        <f>IFERROR(ROUNDUP(CB300/((Uн_лин/SQRT(3))*1000)*100,2),"")</f>
        <v>1.97</v>
      </c>
      <c r="CD300">
        <f>IF(ISNUMBER(CC300),CC300+IFERROR(_xlfn.XLOOKUP(A300,Щиты[Щит],Щиты[ΔU до шин, %]),0),"")</f>
        <v>3.76</v>
      </c>
      <c r="CE300">
        <f>IF(D300="","",IF(IFERROR(VLOOKUP(AT300,УГО_спр,2,FALSE),"")="Светильник",3,4)+IF(Методика="нормы 2026",MIN(0.5,MAX(0,N(BW300)-100)*0.005),0))</f>
        <v>4</v>
      </c>
      <c r="CF300" t="str">
        <f>IFERROR(VLOOKUP(BI300,Кабель_обозначение,2,FALSE),"")</f>
        <v>ВВГнг(А)-LS</v>
      </c>
      <c r="CG300" t="str">
        <f>IFERROR(IF(VLOOKUP(BI300,Кабель_обозначение,3,FALSE)=1,CF300&amp;" ("&amp;BJ300&amp;"х"&amp;BS300&amp;")",CF300),"")</f>
        <v>ВВГнг(А)-LS (3х2,5)</v>
      </c>
      <c r="CH300" t="str">
        <f t="shared" si="370"/>
        <v>ВВГнг(А)-LS (3х2,5)
L=88-1,97%</v>
      </c>
      <c r="CI300">
        <f>IFERROR(2*ρкз_Cu*BW300/BS300,"")</f>
        <v>1.8515200000000001</v>
      </c>
      <c r="CJ300">
        <f t="shared" si="371"/>
        <v>0.61599999999999999</v>
      </c>
      <c r="CK300" t="str">
        <f>IFERROR(IF(OR(D300="",NOT(ISNUMBER(BS300)),N(BW300)=0),"",_xlfn.XLOOKUP(A300,Щиты[Щит],Щиты[Zпетли на шинах, Ом])+CI300),"")</f>
        <v/>
      </c>
      <c r="CL300" t="str">
        <f>IF(ISNUMBER(CK300),c_min*(Uн_лин*1000/SQRT(3))/CK300,"")</f>
        <v/>
      </c>
      <c r="CM300" t="str">
        <f>IFERROR(IF(OR(D300="",NOT(ISNUMBER(BS300))),"",1.05*(Uн_лин*1000/SQRT(3))/(_xlfn.XLOOKUP(A300,Щиты[Щит],Щиты[Zmax на шинах, Ом])+CJ300)/1000),"")</f>
        <v/>
      </c>
      <c r="CN300" t="str">
        <f>IF(D300="","",IF(BA300&lt;&gt;"","Щит",IF(K300&lt;&gt;"",K300,IF(ISNUMBER(L300),"Сил",IF(IFERROR(_xlfn.XLOOKUP(AT300,Коды_код,Коды_группа)&amp;"","")="","Быт",_xlfn.XLOOKUP(AT300,Коды_код,Коды_группа)&amp;"")))))</f>
        <v>Быт</v>
      </c>
      <c r="CO300">
        <f>IF(CN300="Щит","щит",IF(CN300="","",IF(CN300="Быт",IFERROR(_xlfn.XLOOKUP(A300,Щиты[Щит],Щиты[Кс быт]),1),IF(CN300="Сил",IF(ISNUMBER(L300),L300,IF(Методика="нормы 2026",IFERROR(_xlfn.XLOOKUP(A300,Щиты[Щит],Щиты[Кс силовых (табл. 7.5)]),1),1)),IF(OR(CN300="Пост",CN300="Отоп"),1,IF(CN300="ВНГ",0.7,0))))))</f>
        <v>0.8</v>
      </c>
      <c r="CP300">
        <f t="shared" si="372"/>
        <v>1</v>
      </c>
      <c r="CQ300">
        <f t="shared" si="373"/>
        <v>0.65999999999999992</v>
      </c>
      <c r="CR300">
        <f t="shared" si="374"/>
        <v>0.65999999999999992</v>
      </c>
      <c r="CS300">
        <f t="shared" si="375"/>
        <v>0</v>
      </c>
      <c r="CT300">
        <f t="shared" si="376"/>
        <v>0</v>
      </c>
      <c r="CU300">
        <f t="shared" si="377"/>
        <v>0</v>
      </c>
      <c r="CV300">
        <f t="shared" si="378"/>
        <v>0</v>
      </c>
      <c r="CW300">
        <f t="shared" si="379"/>
        <v>0.65999999999999992</v>
      </c>
      <c r="CX300">
        <f t="shared" si="380"/>
        <v>0.62699999999999989</v>
      </c>
      <c r="CY300">
        <f t="shared" si="381"/>
        <v>3</v>
      </c>
      <c r="CZ300" t="str">
        <f t="shared" si="382"/>
        <v>L3</v>
      </c>
      <c r="DA300" cm="1">
        <f t="array" ref="DA300">IFERROR(IF(BL300=2,_xlfn.IFS(BH300=3,VLOOKUP(BF300,Справочная_двигатели,3,FALSE),BH300=1,VLOOKUP(BF300,Справочная_двигатели,5,TRUE)),0),0)</f>
        <v>0</v>
      </c>
      <c r="DB300">
        <f>IFERROR(IF(BL300=3,VLOOKUP(BF300,Справочная_ЛЭД,2,TRUE),0),0)</f>
        <v>0</v>
      </c>
      <c r="DC300">
        <f t="shared" si="383"/>
        <v>0</v>
      </c>
      <c r="DD300" t="str">
        <f t="shared" si="384"/>
        <v>L3</v>
      </c>
      <c r="DE300" t="str" cm="1">
        <f t="array" ref="DE300">IF(D300="","",IFERROR(INDEX({"I особая","I","II","III"},MATCH(TRIM(AA300&amp;""),{"I особая","I","II","III"},0)),"III"))</f>
        <v>II</v>
      </c>
      <c r="DF300" t="str">
        <f>IF(D300="","",IF(TRIM(AB300&amp;"")&lt;&gt;"",IF(LOWER(TRIM(AB300&amp;""))="да","да","нет"),IF(IFERROR(_xlfn.XLOOKUP(AT300,Коды_код,Коды_пожарная),"")="да","да","нет")))</f>
        <v>нет</v>
      </c>
      <c r="DG300" t="str">
        <f t="shared" si="385"/>
        <v/>
      </c>
      <c r="DH300" t="str">
        <f t="shared" si="386"/>
        <v>основная</v>
      </c>
      <c r="DI300">
        <f t="shared" si="387"/>
        <v>1</v>
      </c>
      <c r="DJ300" t="str" cm="1">
        <f t="array" ref="DJ300">IF(D300="","",_xlfn.LET(_xlpm.t,IFERROR(_xlfn.XLOOKUP(1,(Шины[Шина]=DH300)*(((Шины[Щит]=A300)+(Шины[Щит]=""))&gt;0),Шины[Тип]),"")&amp;"",IF(_xlpm.t&lt;&gt;"",_xlpm.t,IF(ISNUMBER(SEARCH("ИБП",DH300)),"ИБП",IF(ISNUMBER(SEARCH("ДГУ",DH300)),"ДГУ","Ввод "&amp;DI300)))))</f>
        <v>Ввод 1</v>
      </c>
      <c r="DK300" t="str">
        <f t="shared" si="388"/>
        <v>Ввод 1</v>
      </c>
      <c r="DL300" t="str">
        <f>IF(D300="","",IF(OR(DJ300="ИБП",DJ300="ДГУ"),"I особая",IF(DJ300="Одиночная","III",_xlfn.XLOOKUP(A300,Щиты[Щит],Щиты[Категория шины «Ввод»],"III"))))</f>
        <v>II</v>
      </c>
      <c r="DM300">
        <f>IF(D300="",0,IFERROR(MATCH(DE300,{"III","II","I","I особая"},0),1))</f>
        <v>2</v>
      </c>
      <c r="DN300">
        <f t="shared" si="389"/>
        <v>2</v>
      </c>
      <c r="DO300" t="str">
        <f>IF(D300="","",IF(DM300&gt;IFERROR(MATCH(DL300,{"III","II","I","I особая"},0),1),"НЕ ОБЕСПЕЧЕНА","ОК"))</f>
        <v>ОК</v>
      </c>
      <c r="DP300" t="str">
        <f>IF(A300="","",_xlfn.XLOOKUP(A300,Щиты[Щит],Щиты[Путь],""))</f>
        <v>|ГРЩ-ЖД|ЩР-2|</v>
      </c>
      <c r="DQ300" t="str">
        <f>IF(D300="","",IF(Z300&lt;&gt;"",Z300,IF(IFERROR(_xlfn.XLOOKUP(AT300,Коды_код,Коды_вид)&amp;"","")="","Прочее",_xlfn.XLOOKUP(AT300,Коды_код,Коды_вид)&amp;"")))</f>
        <v>Розеточная сеть и бытовые приборы</v>
      </c>
      <c r="DR300">
        <f>IF(BD300="","",INT((BD300-1)/Столбцов_на_лист)+1)</f>
        <v>2</v>
      </c>
      <c r="DS300" t="str">
        <f t="shared" si="390"/>
        <v>ВВГнг(А)-LS (3х2,5) L=88-1,97%</v>
      </c>
      <c r="DT300">
        <f t="shared" si="391"/>
        <v>0.65999999999999992</v>
      </c>
      <c r="DU300">
        <f t="shared" si="392"/>
        <v>3.01</v>
      </c>
      <c r="DV300">
        <f t="shared" si="393"/>
        <v>1</v>
      </c>
      <c r="DW300">
        <f>IF(AT300="",0,_xlfn.LET(_xlpm.v,IFERROR(VLOOKUP(D300,УГО_спр,3,FALSE),IFERROR(VLOOKUP(AT300,УГО_спр,3,FALSE),IFERROR(VLOOKUP(LEFT(AT300,2),УГО_спр,3,FALSE),""))),IF(_xlpm.v="да",30,IF(ISNUMBER(_xlpm.v),_xlpm.v,0))))</f>
        <v>30</v>
      </c>
      <c r="DX300">
        <f t="shared" si="394"/>
        <v>0</v>
      </c>
      <c r="DY300">
        <f>IF(BD300="","",IF(AD300&lt;&gt;"",COUNTIFS(A$3:A300,A300,AD$3:AD300,"?*"),IF(OR(OR(AS300=1,A300&lt;&gt;A299),AL300="вручную"),"",IF(AS300=1,"",DZ299))))</f>
        <v>17</v>
      </c>
      <c r="DZ300">
        <f t="shared" si="395"/>
        <v>17</v>
      </c>
      <c r="EA300">
        <f>IF(D300="",0,MAX(IFERROR(--X300,0),IFERROR(--VLOOKUP(D300,УГО_спр,4,FALSE),IFERROR(--VLOOKUP(AT300,УГО_спр,4,FALSE),IFERROR(--VLOOKUP(LEFT(AT300,2),УГО_спр,4,FALSE),0)))))</f>
        <v>16</v>
      </c>
      <c r="EB300">
        <f>IF(D300="","",IFERROR(LOOKUP(INDEX(CHOOSE(BR300,Iдоп_1ж,Iдоп_2ж,Iдоп_3ж),MATCH(BS300,Iдоп_S,0))*BP300*BQ300,{6,10,16,20,25,32,40,50,63,80,100,125,160,200,250,315,400,500,630}),""))</f>
        <v>25</v>
      </c>
      <c r="EC300">
        <f>IF(AD300="","",SUMIFS(Линии[_Ток схемы],Линии[_гр.],DY300,Линии[Щит],A300,Линии[_в кабель выше],0))</f>
        <v>3.01</v>
      </c>
      <c r="ED300">
        <f>IF(AD300="","",IFERROR(VLOOKUP(EC300,Автомат_номиналы,2,TRUE),""))</f>
        <v>6</v>
      </c>
      <c r="EE300">
        <f>IF(AD300="","",MAX(N(ED300),_xlfn.MAXIFS(Линии[_мин. по типу],Линии[_гр.],DY300,Линии[Щит],A300)))</f>
        <v>16</v>
      </c>
      <c r="EF300">
        <f>IF(AD300="","",_xlfn.MINIFS(Линии[_макс. автомат по кабелю],Линии[_гр.],DY300,Линии[Щит],A300))</f>
        <v>25</v>
      </c>
      <c r="EG300">
        <f>IF(AD300="","",MAX(1,_xlfn.MAXIFS(Линии[_фаз],Линии[_гр.],DY300,Линии[Щит],A300)))</f>
        <v>1</v>
      </c>
      <c r="EH300">
        <f>IF(AD300="","",IF(AND(AD300&lt;&gt;"авто",AD300&lt;&gt;"+"),IF(ISNUMBER(SEARCH("мА",AD300)),IFERROR(--TRIM(RIGHT(SUBSTITUTE(LEFT(AD300,SEARCH("мА",AD300)-1)," ",REPT(" ",9)),6)),30),0),IF(AE300="нет",0,IF(ISNUMBER(AE300),AE300,IF(AE300="да",30,_xlfn.MINIFS(Линии[_дифзащита по коду, мА],Линии[_гр.],DY300,Линии[Щит],A300,Линии[_дифзащита по коду, мА],"&gt;0"))))))</f>
        <v>30</v>
      </c>
      <c r="EI300">
        <f t="shared" si="396"/>
        <v>1</v>
      </c>
      <c r="EJ300" t="str">
        <f t="shared" si="397"/>
        <v>QFD17</v>
      </c>
      <c r="EK300" t="str">
        <f t="shared" si="398"/>
        <v>QFD17</v>
      </c>
      <c r="EL300" t="str">
        <f t="shared" si="399"/>
        <v/>
      </c>
      <c r="EM300">
        <f t="shared" si="400"/>
        <v>0</v>
      </c>
      <c r="EN300">
        <f>IF(AD300="","",IF(EM300=1,MAX(EE300,Мин_автомат_БП),EE300))</f>
        <v>16</v>
      </c>
      <c r="EO300" t="str">
        <f t="shared" si="401"/>
        <v>2P</v>
      </c>
      <c r="EP300" t="str">
        <f t="shared" si="402"/>
        <v>2P С16А 30мА</v>
      </c>
      <c r="EQ300">
        <f t="shared" si="403"/>
        <v>16</v>
      </c>
      <c r="ER300" t="str">
        <f>IF(OR(AI300="",AI300="-"),"",IFERROR(VLOOKUP(AI300,Модули_спр,2,FALSE),"R"))</f>
        <v/>
      </c>
      <c r="ES300" t="str">
        <f>IF(ER300="","",ER300&amp;"."&amp;COUNTIFS(A$3:A300,A300,ER$3:ER300,ER300))</f>
        <v/>
      </c>
      <c r="ET300" t="str">
        <f t="shared" si="404"/>
        <v/>
      </c>
      <c r="EU300" t="str">
        <f t="shared" si="405"/>
        <v/>
      </c>
      <c r="EV300" t="str">
        <f t="shared" si="406"/>
        <v/>
      </c>
      <c r="EW300" t="str">
        <f t="shared" si="407"/>
        <v/>
      </c>
      <c r="EX300">
        <f t="shared" si="408"/>
        <v>1</v>
      </c>
      <c r="EY300" t="str">
        <f>IF(AK300="нет","",IF(AK300&lt;&gt;"",AK300,IF(EX300=1,"XT"&amp;COUNTIFS(A$3:A300,A300,EX$3:EX300,1),"")))</f>
        <v/>
      </c>
      <c r="EZ300" t="str">
        <f t="shared" si="409"/>
        <v>QFD17</v>
      </c>
      <c r="FA300" t="str">
        <f t="shared" si="410"/>
        <v/>
      </c>
      <c r="FB300" t="str">
        <f t="shared" si="411"/>
        <v>ok</v>
      </c>
      <c r="FC300" t="str">
        <f>IF(OR(EV300="",ET300=""),"",IF(EV300&gt;IFERROR(VLOOKUP(EU300,Модули_спр,3,FALSE),99),"ЛИШНИЙ КАНАЛ",IF(AND(AJ300&lt;&gt;"=",COUNTIFS(Линии[_модуль гр.],ET300,Линии[Канал (итог)],EV300,Линии[Канал],"&lt;&gt;=",Линии[Щит],A300)&gt;1),"ДУБЛЬ КАНАЛА","")))</f>
        <v/>
      </c>
      <c r="FD300">
        <f t="shared" si="412"/>
        <v>16</v>
      </c>
      <c r="FE300" t="str">
        <f t="shared" si="413"/>
        <v>2P С16А 30мА</v>
      </c>
      <c r="FF300">
        <f t="shared" si="414"/>
        <v>1</v>
      </c>
      <c r="FG300">
        <f t="shared" si="415"/>
        <v>30</v>
      </c>
      <c r="FH300" t="str">
        <f t="shared" si="416"/>
        <v/>
      </c>
      <c r="FI300">
        <f t="shared" si="417"/>
        <v>10</v>
      </c>
      <c r="FJ300" t="str">
        <f t="shared" si="418"/>
        <v/>
      </c>
      <c r="FK300" t="str">
        <f>IF(AND(D300="",EZ300=""),"",_xlfn.TEXTJOIN("; ",TRUE,IF(AND(D300&lt;&gt;"",DD300=""),"нет фазы",""),IF(AND(D300&lt;&gt;"",N(DT300)=0,CN300&lt;&gt;"Нет"),"нет мощности",""),IF(AND(EY300&lt;&gt;"",COUNTIFS(Линии[Щит],A300,Линии[Клемма (итог)],EY300)&gt;1),"дубль клеммы "&amp;EY300,""),IF(AND(FB300&lt;&gt;"",FB300&lt;&gt;"ok"),FB300,""),IF(FC300&lt;&gt;"",FC300,""),IF(AND(ISNUMBER(SEARCH("(5х",DS300)),N(DV300)=1),"5 жил на 1 фазе",""),IF(AND(AT300="R",AD300&lt;&gt;"",OR(N(EH300)=0,N(EH300)&gt;30)),"розетка без дифзащиты до 30 мА",""),IFERROR(IF(AND(ISNUMBER(CD300),CD300&gt;CE300),"потери "&amp;FIXED(CD300,1)&amp;" % &gt; "&amp;CE300&amp;" %",""),""),IFERROR(IF(LEFT(FJ300,4)="мало","Iкз мало — отключение &gt; 0,4 с",""),""),IF(AND(D300&lt;&gt;"",BD300=""),"не на схеме","")))</f>
        <v/>
      </c>
      <c r="FL300">
        <f>IF(AD300="","",_xlfn.LET(_xlpm.t,IFERROR(_xlfn.XLOOKUP(EP300,Каталог!$U$4:$U$500,Каталог!$G$4:$G$500),""),_xlpm.k,SEARCH("кА",_xlpm.t),IFERROR(--TRIM(RIGHT(SUBSTITUTE(MID(_xlpm.t,MAX(1,_xlpm.k-4),_xlpm.k-MAX(1,_xlpm.k-4))," ",REPT(" ",9)),5)),"")))</f>
        <v>6</v>
      </c>
      <c r="FM300" t="str">
        <f>IF(OR(FL300="",AD300=""),"",IF(_xlfn.XLOOKUP(A300,Щиты[Щит],Щиты[Iкз max на шинах, кА],"")="","",IF(FL300&lt;_xlfn.XLOOKUP(A300,Щиты[Щит],Щиты[Iкз max на шинах, кА]),"Icu "&amp;FL300&amp;" кА &lt; Iкз max","ok")))</f>
        <v/>
      </c>
      <c r="FN300" t="str">
        <f t="shared" si="419"/>
        <v>QFD17</v>
      </c>
      <c r="FO300" t="str">
        <f t="shared" si="420"/>
        <v>QFD17|кабель ВВГнг(А)-LS (3х2,5) → Розеточная группа Второй этаж Пом. №019А</v>
      </c>
      <c r="FP300" t="str" cm="1">
        <f t="array" ref="FP300">IF(FO300="","",_xlfn.LET(_xlpm.nd,_xlfn.TEXTSPLIT(FO300,"|"),IF(COLUMNS(_xlpm.nd)&gt;1,A300&amp;"¦"&amp;INDEX(_xlpm.nd,1)&amp;"¦"&amp;INDEX(_xlpm.nd,2),"")))</f>
        <v>ЩР-2¦QFD17¦кабель ВВГнг(А)-LS (3х2,5) → Розеточная группа Второй этаж Пом. №019А</v>
      </c>
      <c r="FQ300" t="str">
        <f t="shared" si="421"/>
        <v>R.2.019А.2¦Розеточная группа Второй этаж Пом. №019А</v>
      </c>
      <c r="FR300" t="str" cm="1">
        <f t="array" ref="FR300">IF(FO300="","",_xlfn.LET(_xlpm.nd,_xlfn.TEXTSPLIT(FO300,"|"),IF(COLUMNS(_xlpm.nd)&gt;2,A300&amp;"¦"&amp;INDEX(_xlpm.nd,2)&amp;"¦"&amp;INDEX(_xlpm.nd,3),"")))</f>
        <v/>
      </c>
      <c r="FS300" t="str">
        <f t="shared" si="422"/>
        <v/>
      </c>
      <c r="FT300" t="str" cm="1">
        <f t="array" ref="FT300">IF(FO300="","",_xlfn.LET(_xlpm.nd,_xlfn.TEXTSPLIT(FO300,"|"),IF(COLUMNS(_xlpm.nd)&gt;3,A300&amp;"¦"&amp;INDEX(_xlpm.nd,3)&amp;"¦"&amp;INDEX(_xlpm.nd,4),"")))</f>
        <v/>
      </c>
      <c r="FU300" t="str">
        <f t="shared" si="423"/>
        <v/>
      </c>
      <c r="FV300" t="str" cm="1">
        <f t="array" ref="FV300">IF(FO300="","",_xlfn.LET(_xlpm.nd,_xlfn.TEXTSPLIT(FO300,"|"),IF(COLUMNS(_xlpm.nd)&gt;4,A300&amp;"¦"&amp;INDEX(_xlpm.nd,4)&amp;"¦"&amp;INDEX(_xlpm.nd,5),"")))</f>
        <v/>
      </c>
      <c r="FW300" t="str">
        <f t="shared" si="424"/>
        <v/>
      </c>
      <c r="FX300" t="str" cm="1">
        <f t="array" ref="FX300">IF(FO300="","",_xlfn.LET(_xlpm.nd,_xlfn.TEXTSPLIT(FO300,"|"),IF(COLUMNS(_xlpm.nd)&gt;5,A300&amp;"¦"&amp;INDEX(_xlpm.nd,5)&amp;"¦"&amp;INDEX(_xlpm.nd,6),"")))</f>
        <v/>
      </c>
      <c r="FY300" t="str">
        <f t="shared" si="425"/>
        <v/>
      </c>
      <c r="FZ300" t="str" cm="1">
        <f t="array" ref="FZ300">IF(FO300="","",_xlfn.LET(_xlpm.nd,_xlfn.TEXTSPLIT(FO300,"|"),IF(COLUMNS(_xlpm.nd)&gt;6,A300&amp;"¦"&amp;INDEX(_xlpm.nd,6)&amp;"¦"&amp;INDEX(_xlpm.nd,7),"")))</f>
        <v/>
      </c>
      <c r="GA300" t="str">
        <f t="shared" si="426"/>
        <v/>
      </c>
      <c r="GB300" t="str">
        <f t="shared" si="427"/>
        <v/>
      </c>
      <c r="GC300" t="str">
        <f t="shared" si="428"/>
        <v>QFD17</v>
      </c>
      <c r="GD300">
        <f t="shared" si="429"/>
        <v>1</v>
      </c>
      <c r="GE300">
        <f t="shared" si="430"/>
        <v>0</v>
      </c>
      <c r="GF300">
        <f t="shared" si="431"/>
        <v>1</v>
      </c>
      <c r="GG300" t="str">
        <f t="shared" si="432"/>
        <v/>
      </c>
      <c r="GH300" t="str">
        <f t="shared" si="433"/>
        <v/>
      </c>
      <c r="GI300" t="str">
        <f t="shared" si="434"/>
        <v/>
      </c>
      <c r="GJ300" t="str">
        <f t="shared" si="435"/>
        <v/>
      </c>
      <c r="GK300" t="str">
        <f>IF(D300="","",IFERROR(VLOOKUP(D300,УГО_спр,2,FALSE),IFERROR(VLOOKUP(AT300,УГО_спр,2,FALSE),IFERROR(VLOOKUP(LEFT(AT300,2),УГО_спр,2,FALSE),""))))</f>
        <v>Розетка</v>
      </c>
      <c r="GL300" t="str">
        <f>IF(D300="","",IF(OR(GK300="",GK300=0),"BOX",IFERROR(IF(VLOOKUP(GK300,УГО_блоки,3,FALSE)&amp;""&lt;&gt;"",VLOOKUP(GK300,УГО_блоки,3,FALSE),VLOOKUP(GK300,УГО_блоки,2,FALSE)),GK300)))</f>
        <v>SOCKET</v>
      </c>
      <c r="GM300">
        <f t="shared" si="436"/>
        <v>1</v>
      </c>
      <c r="GN300" t="str">
        <f>IF(EP300="","",IF(COUNTIF(EP$3:EP300,EP300)=1,MAX(GN$2:GN299)+1,""))</f>
        <v/>
      </c>
      <c r="GO300" t="str">
        <f>IF(AF300="","",IF(COUNTIF(AF$3:AF300,AF300)+COUNTIF(AG$2:AG299,AF300)+COUNTIF(AH$2:AH299,AF300)=1,MAX(GO$2:GQ299)+1,""))</f>
        <v/>
      </c>
      <c r="GP300" t="str">
        <f>IF(AG300="","",IF(COUNTIF(AF$3:AF300,AG300)+COUNTIF(AG$3:AG300,AG300)+COUNTIF(AH$2:AH299,AG300)=1,MAX(GO$2:GQ299,GO300)+1,""))</f>
        <v/>
      </c>
      <c r="GQ300" t="str">
        <f>IF(AH300="","",IF(COUNTIF(AF$3:AF300,AH300)+COUNTIF(AG$3:AG300,AH300)+COUNTIF(AH$3:AH300,AH300)=1,MAX(GO$2:GQ299,GO300,GP300)+1,""))</f>
        <v/>
      </c>
      <c r="GR300" t="str">
        <f t="shared" si="437"/>
        <v>3х2,5</v>
      </c>
      <c r="GS300" t="str">
        <f>IF(GR300="","",IF(COUNTIF(GR$3:GR300,GR300)=1,MAX(GS$2:GS299)+1,""))</f>
        <v/>
      </c>
      <c r="GT300" t="str">
        <f>IF(ES300="","",COUNTIF(ES$3:ES300,"?*"))</f>
        <v/>
      </c>
      <c r="GU300" t="str">
        <f>IF(OR(ES300="",EU300=""),"",IF(COUNTIFS(ES$3:ES300,"?*",EU$3:EU300,EU300)=1,MAX(GU$2:GU299)+1,""))</f>
        <v/>
      </c>
      <c r="GV300">
        <f t="shared" si="438"/>
        <v>0</v>
      </c>
      <c r="GW300">
        <f>IF(D300="","",COUNTIF(D$3:D300,"?*"))</f>
        <v>298</v>
      </c>
      <c r="GX300">
        <f>IF(EX300&lt;&gt;1,0,_xlfn.LET(_xlpm.k,MAX(IFERROR(--VLOOKUP(D300,УГО_спр,5,FALSE),0),IFERROR(--VLOOKUP(AT300,УГО_спр,5,FALSE),0),IFERROR(--VLOOKUP(LEFT(AT300,2),УГО_спр,5,FALSE),0)),IF(_xlpm.k&gt;0,_xlpm.k,IF(IFERROR(--LEFT(SUBSTITUTE(GR300,"x","х"),FIND("х",SUBSTITUTE(GR300,"x","х"))-1),3)&gt;3,Каталог!$S$9,1))))</f>
        <v>1</v>
      </c>
      <c r="GY300">
        <f t="shared" si="439"/>
        <v>0</v>
      </c>
    </row>
    <row r="301" spans="1:207" x14ac:dyDescent="0.3">
      <c r="A301" t="s">
        <v>764</v>
      </c>
      <c r="B301">
        <v>28</v>
      </c>
      <c r="C301" t="str">
        <f>IF(BD301="","",IF(BE301="вводной узел","узел ","")&amp;"л."&amp;(INT((BD301-1)/Столбцов_на_лист)+1)&amp;" / "&amp;(MOD(BD301-1,Столбцов_на_лист)+1))</f>
        <v>л.2 / 11</v>
      </c>
      <c r="D301" t="s">
        <v>1635</v>
      </c>
      <c r="E301" s="133" t="str">
        <f t="shared" si="352"/>
        <v>Розеточная группа Второй этаж Пом. №020А</v>
      </c>
      <c r="G301">
        <v>0.18</v>
      </c>
      <c r="H301">
        <v>3</v>
      </c>
      <c r="I301">
        <v>1</v>
      </c>
      <c r="J301">
        <v>230</v>
      </c>
      <c r="K301" t="s">
        <v>566</v>
      </c>
      <c r="O301">
        <v>3</v>
      </c>
      <c r="P301">
        <v>48</v>
      </c>
      <c r="Q301">
        <v>12</v>
      </c>
      <c r="R301">
        <v>45</v>
      </c>
      <c r="T301">
        <v>2</v>
      </c>
      <c r="U301" t="s">
        <v>11</v>
      </c>
      <c r="V301">
        <v>3</v>
      </c>
      <c r="W301">
        <v>2.5</v>
      </c>
      <c r="X301">
        <v>16</v>
      </c>
      <c r="Z301" t="s">
        <v>565</v>
      </c>
      <c r="AA301" t="s">
        <v>818</v>
      </c>
      <c r="AD301" t="s">
        <v>517</v>
      </c>
      <c r="AK301" t="s">
        <v>488</v>
      </c>
      <c r="AR301" t="str">
        <f t="shared" si="353"/>
        <v/>
      </c>
      <c r="AS301" cm="1">
        <f t="array" ref="AS301">ROW()-ROW(Линии[#Headers])</f>
        <v>299</v>
      </c>
      <c r="AT301" t="str">
        <f t="shared" si="354"/>
        <v>R</v>
      </c>
      <c r="AU301" t="str">
        <f t="shared" si="355"/>
        <v>2.020А.1</v>
      </c>
      <c r="AV301" t="str">
        <f t="shared" si="356"/>
        <v>2</v>
      </c>
      <c r="AW301" t="str">
        <f t="shared" si="357"/>
        <v>020А.1</v>
      </c>
      <c r="AX301" t="str">
        <f t="shared" si="358"/>
        <v>020А</v>
      </c>
      <c r="AY301" t="str">
        <f>IF(D301="","",IF(ISERROR(SEARCH(".",D301)),IFERROR(VLOOKUP(D301,Потребители_обозначение,2,FALSE)&amp;"",""),IFERROR(IF(VLOOKUP(AT301,Потребители_обозначение,4,FALSE)=1,VLOOKUP(AT301,Потребители_обозначение,2,FALSE)&amp;" "&amp;VLOOKUP(AV301,Этаж_обозначение,2,FALSE)&amp;" Пом. №"&amp;AX301,VLOOKUP(AT301,Потребители_обозначение,2,FALSE)&amp;" Шлейф №"&amp;AV301),IFERROR(VLOOKUP(D301,Потребители_обозначение,2,FALSE),""))))</f>
        <v>Розеточная группа Второй этаж Пом. №020А</v>
      </c>
      <c r="AZ301" t="str">
        <f t="shared" si="359"/>
        <v>Розеточная группа Второй этаж Пом. №020А</v>
      </c>
      <c r="BA301" t="str">
        <f>IF(F301&lt;&gt;"",F301,IF(AND(D301&lt;&gt;"",D301&lt;&gt;A301,ISNUMBER(_xlfn.XMATCH(D301,Щиты[Щит]))),D301,""))</f>
        <v/>
      </c>
      <c r="BB301">
        <f>IFERROR(_xlfn.XMATCH(A301,Щиты[Щит]),0)</f>
        <v>11</v>
      </c>
      <c r="BC301">
        <f>IFERROR(N(_xlfn.XLOOKUP(A301,Щиты[Щит],Щиты[Мест под вводной узел])),15)</f>
        <v>8</v>
      </c>
      <c r="BD301">
        <f t="shared" si="360"/>
        <v>28</v>
      </c>
      <c r="BE301" t="str">
        <f t="shared" si="361"/>
        <v>линии</v>
      </c>
      <c r="BF301">
        <f>IF(D301="","",IF(BA301&lt;&gt;"",IFERROR(_xlfn.XLOOKUP(BA301,Щиты[Щит],Щиты[Руст, кВт]),0),N(G301)))</f>
        <v>0.18</v>
      </c>
      <c r="BG301">
        <f>IF(J301&lt;&gt;"",J301,IF(D301="","",IFERROR(IF(VLOOKUP(AT301,Потребители_обозначение,8,FALSE)=0,"",VLOOKUP(AT301,Потребители_обозначение,8,FALSE)),"")))</f>
        <v>230</v>
      </c>
      <c r="BH301">
        <f>IF(I301&lt;&gt;"",I301,IF(D301="","",IFERROR(IF(VLOOKUP(AT301,Потребители_обозначение,9,FALSE)=0,"",VLOOKUP(AT301,Потребители_обозначение,9,FALSE)),"")))</f>
        <v>1</v>
      </c>
      <c r="BI301" t="str">
        <f>IF(U301&lt;&gt;"",U301,IF(D301="","",IFERROR(IF(VLOOKUP(AT301,Потребители_обозначение,6,FALSE)=0,"",VLOOKUP(AT301,Потребители_обозначение,6,FALSE)),"")))</f>
        <v>мс</v>
      </c>
      <c r="BJ301">
        <f>IF(V301&lt;&gt;"",V301,IF(D301="","",IFERROR(IF(VLOOKUP(AT301,Потребители_обозначение,7,FALSE)=0,"",VLOOKUP(AT301,Потребители_обозначение,7,FALSE)),"")))</f>
        <v>3</v>
      </c>
      <c r="BK301">
        <f>IF(W301&lt;&gt;"",W301,IF(D301="","",IFERROR(IF(VLOOKUP(AT301,Потребители_обозначение,10,FALSE)=0,"",VLOOKUP(AT301,Потребители_обозначение,10,FALSE)),"")))</f>
        <v>2.5</v>
      </c>
      <c r="BL301">
        <f>IFERROR(VLOOKUP(AT301,Потребители_обозначение,5,FALSE),0)</f>
        <v>1</v>
      </c>
      <c r="BM301" cm="1">
        <f t="array" ref="BM301">IF(D301="","",IF(BA301&lt;&gt;"",IFERROR(_xlfn.XLOOKUP(BA301,Щиты[Щит],Щиты[cos φ]),0.95),IF(ISNUMBER(M301),M301,IFERROR(IF(BL301=2,_xlfn.IFS(BH301=3,VLOOKUP(BF301,Справочная_двигатели,8,FALSE),BH301=1,VLOOKUP(BF301,Справочная_двигатели,10,TRUE)),IF(AND(Методика="нормы 2026",CN301="Сил"),0.8,0.95)),0.95))))</f>
        <v>0.95</v>
      </c>
      <c r="BN301" cm="1">
        <f t="array" ref="BN301">IF(D301="","",IF(BA301&lt;&gt;"",IFERROR(_xlfn.XLOOKUP(BA301,Щиты[Щит],Щиты[Iр, А]),""),IFERROR(_xlfn.IFS(BH301=1,BF301/((Uн_лин/SQRT(3))*BM301),BH301=3,BF301/(SQRT(3)*Uн_лин*BM301)),"")))</f>
        <v>0.8204451193747313</v>
      </c>
      <c r="BO301">
        <f>IF(D301="","",IF(N(X301)=0,IFERROR(VLOOKUP(BN301,Автомат_номиналы,2,TRUE),""),X301))</f>
        <v>16</v>
      </c>
      <c r="BP301">
        <f t="shared" si="362"/>
        <v>1</v>
      </c>
      <c r="BQ301">
        <f>IF(ISNUMBER(Y301),Y301,К_прокл)</f>
        <v>1</v>
      </c>
      <c r="BR301">
        <f t="shared" si="363"/>
        <v>2</v>
      </c>
      <c r="BS301" cm="1">
        <f t="array" ref="BS301">IF(D301="","",IF(N(BK301)&lt;&gt;0,BK301,IFERROR(_xlfn.LET(_xlpm.need,BO301/(BP301*BQ301),_xlpm.t,CHOOSE(BR301,Iдоп_1ж,Iдоп_2ж,Iдоп_3ж),_xlpm.k,_xlfn.XMATCH(_xlpm.need,_xlpm.t,1),IF(ISNA(_xlpm.k),"Не исп",INDEX(Iдоп_S,_xlpm.k))),"Не исп")))</f>
        <v>2.5</v>
      </c>
      <c r="BT301">
        <f>IFERROR(VLOOKUP(BS301,Кабель_сопротивление,3,FALSE),"")</f>
        <v>2.2499999999999999E-2</v>
      </c>
      <c r="BU301">
        <f>IFERROR(VLOOKUP(BS301,Кабель_сопротивление,2,FALSE),"")</f>
        <v>0.1</v>
      </c>
      <c r="BV301">
        <f t="shared" si="364"/>
        <v>48</v>
      </c>
      <c r="BW301">
        <f>IF(D301="","",IFERROR(IF(VLOOKUP(AT301,Потребители_обозначение,4,FALSE)=1,VLOOKUP(AT301,Потребители_обозначение,3,FALSE)*(H301*2-1)+BV301+VLOOKUP(AV301,Этаж_обозначение,3,FALSE)+VLOOKUP(AV301,Этаж_обозначение,4,FALSE),VLOOKUP(AT301,Потребители_обозначение,3,FALSE)*(H301*2-1)+BV301),BV301))</f>
        <v>63</v>
      </c>
      <c r="BX301">
        <f t="shared" si="365"/>
        <v>45</v>
      </c>
      <c r="BY301">
        <f t="shared" si="366"/>
        <v>59</v>
      </c>
      <c r="BZ301">
        <f t="shared" si="367"/>
        <v>2</v>
      </c>
      <c r="CA301">
        <f t="shared" si="368"/>
        <v>0.31</v>
      </c>
      <c r="CB301">
        <f t="shared" si="369"/>
        <v>0.88707018573867569</v>
      </c>
      <c r="CC301">
        <f>IFERROR(ROUNDUP(CB301/((Uн_лин/SQRT(3))*1000)*100,2),"")</f>
        <v>0.39</v>
      </c>
      <c r="CD301">
        <f>IF(ISNUMBER(CC301),CC301+IFERROR(_xlfn.XLOOKUP(A301,Щиты[Щит],Щиты[ΔU до шин, %]),0),"")</f>
        <v>2.1800000000000002</v>
      </c>
      <c r="CE301">
        <f>IF(D301="","",IF(IFERROR(VLOOKUP(AT301,УГО_спр,2,FALSE),"")="Светильник",3,4)+IF(Методика="нормы 2026",MIN(0.5,MAX(0,N(BW301)-100)*0.005),0))</f>
        <v>4</v>
      </c>
      <c r="CF301" t="str">
        <f>IFERROR(VLOOKUP(BI301,Кабель_обозначение,2,FALSE),"")</f>
        <v>ВВГнг(А)-LS</v>
      </c>
      <c r="CG301" t="str">
        <f>IFERROR(IF(VLOOKUP(BI301,Кабель_обозначение,3,FALSE)=1,CF301&amp;" ("&amp;BJ301&amp;"х"&amp;BS301&amp;")",CF301),"")</f>
        <v>ВВГнг(А)-LS (3х2,5)</v>
      </c>
      <c r="CH301" t="str">
        <f t="shared" si="370"/>
        <v>ВВГнг(А)-LS (3х2,5)
L=63-0,39%</v>
      </c>
      <c r="CI301">
        <f>IFERROR(2*ρкз_Cu*BW301/BS301,"")</f>
        <v>1.32552</v>
      </c>
      <c r="CJ301">
        <f t="shared" si="371"/>
        <v>0.441</v>
      </c>
      <c r="CK301" t="str">
        <f>IFERROR(IF(OR(D301="",NOT(ISNUMBER(BS301)),N(BW301)=0),"",_xlfn.XLOOKUP(A301,Щиты[Щит],Щиты[Zпетли на шинах, Ом])+CI301),"")</f>
        <v/>
      </c>
      <c r="CL301" t="str">
        <f>IF(ISNUMBER(CK301),c_min*(Uн_лин*1000/SQRT(3))/CK301,"")</f>
        <v/>
      </c>
      <c r="CM301" t="str">
        <f>IFERROR(IF(OR(D301="",NOT(ISNUMBER(BS301))),"",1.05*(Uн_лин*1000/SQRT(3))/(_xlfn.XLOOKUP(A301,Щиты[Щит],Щиты[Zmax на шинах, Ом])+CJ301)/1000),"")</f>
        <v/>
      </c>
      <c r="CN301" t="str">
        <f>IF(D301="","",IF(BA301&lt;&gt;"","Щит",IF(K301&lt;&gt;"",K301,IF(ISNUMBER(L301),"Сил",IF(IFERROR(_xlfn.XLOOKUP(AT301,Коды_код,Коды_группа)&amp;"","")="","Быт",_xlfn.XLOOKUP(AT301,Коды_код,Коды_группа)&amp;"")))))</f>
        <v>Быт</v>
      </c>
      <c r="CO301">
        <f>IF(CN301="Щит","щит",IF(CN301="","",IF(CN301="Быт",IFERROR(_xlfn.XLOOKUP(A301,Щиты[Щит],Щиты[Кс быт]),1),IF(CN301="Сил",IF(ISNUMBER(L301),L301,IF(Методика="нормы 2026",IFERROR(_xlfn.XLOOKUP(A301,Щиты[Щит],Щиты[Кс силовых (табл. 7.5)]),1),1)),IF(OR(CN301="Пост",CN301="Отоп"),1,IF(CN301="ВНГ",0.7,0))))))</f>
        <v>0.8</v>
      </c>
      <c r="CP301">
        <f t="shared" si="372"/>
        <v>1</v>
      </c>
      <c r="CQ301">
        <f t="shared" si="373"/>
        <v>0.18</v>
      </c>
      <c r="CR301">
        <f t="shared" si="374"/>
        <v>0.18</v>
      </c>
      <c r="CS301">
        <f t="shared" si="375"/>
        <v>0</v>
      </c>
      <c r="CT301">
        <f t="shared" si="376"/>
        <v>0</v>
      </c>
      <c r="CU301">
        <f t="shared" si="377"/>
        <v>0</v>
      </c>
      <c r="CV301">
        <f t="shared" si="378"/>
        <v>0</v>
      </c>
      <c r="CW301">
        <f t="shared" si="379"/>
        <v>0.18</v>
      </c>
      <c r="CX301">
        <f t="shared" si="380"/>
        <v>0.17099999999999999</v>
      </c>
      <c r="CY301">
        <f t="shared" si="381"/>
        <v>1</v>
      </c>
      <c r="CZ301" t="str">
        <f t="shared" si="382"/>
        <v>L1</v>
      </c>
      <c r="DA301" cm="1">
        <f t="array" ref="DA301">IFERROR(IF(BL301=2,_xlfn.IFS(BH301=3,VLOOKUP(BF301,Справочная_двигатели,3,FALSE),BH301=1,VLOOKUP(BF301,Справочная_двигатели,5,TRUE)),0),0)</f>
        <v>0</v>
      </c>
      <c r="DB301">
        <f>IFERROR(IF(BL301=3,VLOOKUP(BF301,Справочная_ЛЭД,2,TRUE),0),0)</f>
        <v>0</v>
      </c>
      <c r="DC301">
        <f t="shared" si="383"/>
        <v>0</v>
      </c>
      <c r="DD301" t="str">
        <f t="shared" si="384"/>
        <v>L3</v>
      </c>
      <c r="DE301" t="str" cm="1">
        <f t="array" ref="DE301">IF(D301="","",IFERROR(INDEX({"I особая","I","II","III"},MATCH(TRIM(AA301&amp;""),{"I особая","I","II","III"},0)),"III"))</f>
        <v>II</v>
      </c>
      <c r="DF301" t="str">
        <f>IF(D301="","",IF(TRIM(AB301&amp;"")&lt;&gt;"",IF(LOWER(TRIM(AB301&amp;""))="да","да","нет"),IF(IFERROR(_xlfn.XLOOKUP(AT301,Коды_код,Коды_пожарная),"")="да","да","нет")))</f>
        <v>нет</v>
      </c>
      <c r="DG301" t="str">
        <f t="shared" si="385"/>
        <v/>
      </c>
      <c r="DH301" t="str">
        <f t="shared" si="386"/>
        <v>основная</v>
      </c>
      <c r="DI301">
        <f t="shared" si="387"/>
        <v>1</v>
      </c>
      <c r="DJ301" t="str" cm="1">
        <f t="array" ref="DJ301">IF(D301="","",_xlfn.LET(_xlpm.t,IFERROR(_xlfn.XLOOKUP(1,(Шины[Шина]=DH301)*(((Шины[Щит]=A301)+(Шины[Щит]=""))&gt;0),Шины[Тип]),"")&amp;"",IF(_xlpm.t&lt;&gt;"",_xlpm.t,IF(ISNUMBER(SEARCH("ИБП",DH301)),"ИБП",IF(ISNUMBER(SEARCH("ДГУ",DH301)),"ДГУ","Ввод "&amp;DI301)))))</f>
        <v>Ввод 1</v>
      </c>
      <c r="DK301" t="str">
        <f t="shared" si="388"/>
        <v>Ввод 1</v>
      </c>
      <c r="DL301" t="str">
        <f>IF(D301="","",IF(OR(DJ301="ИБП",DJ301="ДГУ"),"I особая",IF(DJ301="Одиночная","III",_xlfn.XLOOKUP(A301,Щиты[Щит],Щиты[Категория шины «Ввод»],"III"))))</f>
        <v>II</v>
      </c>
      <c r="DM301">
        <f>IF(D301="",0,IFERROR(MATCH(DE301,{"III","II","I","I особая"},0),1))</f>
        <v>2</v>
      </c>
      <c r="DN301">
        <f t="shared" si="389"/>
        <v>2</v>
      </c>
      <c r="DO301" t="str">
        <f>IF(D301="","",IF(DM301&gt;IFERROR(MATCH(DL301,{"III","II","I","I особая"},0),1),"НЕ ОБЕСПЕЧЕНА","ОК"))</f>
        <v>ОК</v>
      </c>
      <c r="DP301" t="str">
        <f>IF(A301="","",_xlfn.XLOOKUP(A301,Щиты[Щит],Щиты[Путь],""))</f>
        <v>|ГРЩ-ЖД|ЩР-2|</v>
      </c>
      <c r="DQ301" t="str">
        <f>IF(D301="","",IF(Z301&lt;&gt;"",Z301,IF(IFERROR(_xlfn.XLOOKUP(AT301,Коды_код,Коды_вид)&amp;"","")="","Прочее",_xlfn.XLOOKUP(AT301,Коды_код,Коды_вид)&amp;"")))</f>
        <v>Розеточная сеть и бытовые приборы</v>
      </c>
      <c r="DR301">
        <f>IF(BD301="","",INT((BD301-1)/Столбцов_на_лист)+1)</f>
        <v>2</v>
      </c>
      <c r="DS301" t="str">
        <f t="shared" si="390"/>
        <v>ВВГнг(А)-LS (3х2,5) L=63-0,39%</v>
      </c>
      <c r="DT301">
        <f t="shared" si="391"/>
        <v>0.18</v>
      </c>
      <c r="DU301">
        <f t="shared" si="392"/>
        <v>0.83</v>
      </c>
      <c r="DV301">
        <f t="shared" si="393"/>
        <v>1</v>
      </c>
      <c r="DW301">
        <f>IF(AT301="",0,_xlfn.LET(_xlpm.v,IFERROR(VLOOKUP(D301,УГО_спр,3,FALSE),IFERROR(VLOOKUP(AT301,УГО_спр,3,FALSE),IFERROR(VLOOKUP(LEFT(AT301,2),УГО_спр,3,FALSE),""))),IF(_xlpm.v="да",30,IF(ISNUMBER(_xlpm.v),_xlpm.v,0))))</f>
        <v>30</v>
      </c>
      <c r="DX301">
        <f t="shared" si="394"/>
        <v>0</v>
      </c>
      <c r="DY301">
        <f>IF(BD301="","",IF(AD301&lt;&gt;"",COUNTIFS(A$3:A301,A301,AD$3:AD301,"?*"),IF(OR(OR(AS301=1,A301&lt;&gt;A300),AL301="вручную"),"",IF(AS301=1,"",DZ300))))</f>
        <v>18</v>
      </c>
      <c r="DZ301">
        <f t="shared" si="395"/>
        <v>18</v>
      </c>
      <c r="EA301">
        <f>IF(D301="",0,MAX(IFERROR(--X301,0),IFERROR(--VLOOKUP(D301,УГО_спр,4,FALSE),IFERROR(--VLOOKUP(AT301,УГО_спр,4,FALSE),IFERROR(--VLOOKUP(LEFT(AT301,2),УГО_спр,4,FALSE),0)))))</f>
        <v>16</v>
      </c>
      <c r="EB301">
        <f>IF(D301="","",IFERROR(LOOKUP(INDEX(CHOOSE(BR301,Iдоп_1ж,Iдоп_2ж,Iдоп_3ж),MATCH(BS301,Iдоп_S,0))*BP301*BQ301,{6,10,16,20,25,32,40,50,63,80,100,125,160,200,250,315,400,500,630}),""))</f>
        <v>25</v>
      </c>
      <c r="EC301">
        <f>IF(AD301="","",SUMIFS(Линии[_Ток схемы],Линии[_гр.],DY301,Линии[Щит],A301,Линии[_в кабель выше],0))</f>
        <v>0.83</v>
      </c>
      <c r="ED301">
        <f>IF(AD301="","",IFERROR(VLOOKUP(EC301,Автомат_номиналы,2,TRUE),""))</f>
        <v>6</v>
      </c>
      <c r="EE301">
        <f>IF(AD301="","",MAX(N(ED301),_xlfn.MAXIFS(Линии[_мин. по типу],Линии[_гр.],DY301,Линии[Щит],A301)))</f>
        <v>16</v>
      </c>
      <c r="EF301">
        <f>IF(AD301="","",_xlfn.MINIFS(Линии[_макс. автомат по кабелю],Линии[_гр.],DY301,Линии[Щит],A301))</f>
        <v>25</v>
      </c>
      <c r="EG301">
        <f>IF(AD301="","",MAX(1,_xlfn.MAXIFS(Линии[_фаз],Линии[_гр.],DY301,Линии[Щит],A301)))</f>
        <v>1</v>
      </c>
      <c r="EH301">
        <f>IF(AD301="","",IF(AND(AD301&lt;&gt;"авто",AD301&lt;&gt;"+"),IF(ISNUMBER(SEARCH("мА",AD301)),IFERROR(--TRIM(RIGHT(SUBSTITUTE(LEFT(AD301,SEARCH("мА",AD301)-1)," ",REPT(" ",9)),6)),30),0),IF(AE301="нет",0,IF(ISNUMBER(AE301),AE301,IF(AE301="да",30,_xlfn.MINIFS(Линии[_дифзащита по коду, мА],Линии[_гр.],DY301,Линии[Щит],A301,Линии[_дифзащита по коду, мА],"&gt;0"))))))</f>
        <v>30</v>
      </c>
      <c r="EI301">
        <f t="shared" si="396"/>
        <v>1</v>
      </c>
      <c r="EJ301" t="str">
        <f t="shared" si="397"/>
        <v>QFD18</v>
      </c>
      <c r="EK301" t="str">
        <f t="shared" si="398"/>
        <v>QFD18</v>
      </c>
      <c r="EL301" t="str">
        <f t="shared" si="399"/>
        <v/>
      </c>
      <c r="EM301">
        <f t="shared" si="400"/>
        <v>0</v>
      </c>
      <c r="EN301">
        <f>IF(AD301="","",IF(EM301=1,MAX(EE301,Мин_автомат_БП),EE301))</f>
        <v>16</v>
      </c>
      <c r="EO301" t="str">
        <f t="shared" si="401"/>
        <v>2P</v>
      </c>
      <c r="EP301" t="str">
        <f t="shared" si="402"/>
        <v>2P С16А 30мА</v>
      </c>
      <c r="EQ301">
        <f t="shared" si="403"/>
        <v>16</v>
      </c>
      <c r="ER301" t="str">
        <f>IF(OR(AI301="",AI301="-"),"",IFERROR(VLOOKUP(AI301,Модули_спр,2,FALSE),"R"))</f>
        <v/>
      </c>
      <c r="ES301" t="str">
        <f>IF(ER301="","",ER301&amp;"."&amp;COUNTIFS(A$3:A301,A301,ER$3:ER301,ER301))</f>
        <v/>
      </c>
      <c r="ET301" t="str">
        <f t="shared" si="404"/>
        <v/>
      </c>
      <c r="EU301" t="str">
        <f t="shared" si="405"/>
        <v/>
      </c>
      <c r="EV301" t="str">
        <f t="shared" si="406"/>
        <v/>
      </c>
      <c r="EW301" t="str">
        <f t="shared" si="407"/>
        <v/>
      </c>
      <c r="EX301">
        <f t="shared" si="408"/>
        <v>1</v>
      </c>
      <c r="EY301" t="str">
        <f>IF(AK301="нет","",IF(AK301&lt;&gt;"",AK301,IF(EX301=1,"XT"&amp;COUNTIFS(A$3:A301,A301,EX$3:EX301,1),"")))</f>
        <v/>
      </c>
      <c r="EZ301" t="str">
        <f t="shared" si="409"/>
        <v>QFD18</v>
      </c>
      <c r="FA301" t="str">
        <f t="shared" si="410"/>
        <v/>
      </c>
      <c r="FB301" t="str">
        <f t="shared" si="411"/>
        <v>ok</v>
      </c>
      <c r="FC301" t="str">
        <f>IF(OR(EV301="",ET301=""),"",IF(EV301&gt;IFERROR(VLOOKUP(EU301,Модули_спр,3,FALSE),99),"ЛИШНИЙ КАНАЛ",IF(AND(AJ301&lt;&gt;"=",COUNTIFS(Линии[_модуль гр.],ET301,Линии[Канал (итог)],EV301,Линии[Канал],"&lt;&gt;=",Линии[Щит],A301)&gt;1),"ДУБЛЬ КАНАЛА","")))</f>
        <v/>
      </c>
      <c r="FD301">
        <f t="shared" si="412"/>
        <v>16</v>
      </c>
      <c r="FE301" t="str">
        <f t="shared" si="413"/>
        <v>2P С16А 30мА</v>
      </c>
      <c r="FF301">
        <f t="shared" si="414"/>
        <v>1</v>
      </c>
      <c r="FG301">
        <f t="shared" si="415"/>
        <v>30</v>
      </c>
      <c r="FH301" t="str">
        <f t="shared" si="416"/>
        <v/>
      </c>
      <c r="FI301">
        <f t="shared" si="417"/>
        <v>10</v>
      </c>
      <c r="FJ301" t="str">
        <f t="shared" si="418"/>
        <v/>
      </c>
      <c r="FK301" t="str">
        <f>IF(AND(D301="",EZ301=""),"",_xlfn.TEXTJOIN("; ",TRUE,IF(AND(D301&lt;&gt;"",DD301=""),"нет фазы",""),IF(AND(D301&lt;&gt;"",N(DT301)=0,CN301&lt;&gt;"Нет"),"нет мощности",""),IF(AND(EY301&lt;&gt;"",COUNTIFS(Линии[Щит],A301,Линии[Клемма (итог)],EY301)&gt;1),"дубль клеммы "&amp;EY301,""),IF(AND(FB301&lt;&gt;"",FB301&lt;&gt;"ok"),FB301,""),IF(FC301&lt;&gt;"",FC301,""),IF(AND(ISNUMBER(SEARCH("(5х",DS301)),N(DV301)=1),"5 жил на 1 фазе",""),IF(AND(AT301="R",AD301&lt;&gt;"",OR(N(EH301)=0,N(EH301)&gt;30)),"розетка без дифзащиты до 30 мА",""),IFERROR(IF(AND(ISNUMBER(CD301),CD301&gt;CE301),"потери "&amp;FIXED(CD301,1)&amp;" % &gt; "&amp;CE301&amp;" %",""),""),IFERROR(IF(LEFT(FJ301,4)="мало","Iкз мало — отключение &gt; 0,4 с",""),""),IF(AND(D301&lt;&gt;"",BD301=""),"не на схеме","")))</f>
        <v/>
      </c>
      <c r="FL301">
        <f>IF(AD301="","",_xlfn.LET(_xlpm.t,IFERROR(_xlfn.XLOOKUP(EP301,Каталог!$U$4:$U$500,Каталог!$G$4:$G$500),""),_xlpm.k,SEARCH("кА",_xlpm.t),IFERROR(--TRIM(RIGHT(SUBSTITUTE(MID(_xlpm.t,MAX(1,_xlpm.k-4),_xlpm.k-MAX(1,_xlpm.k-4))," ",REPT(" ",9)),5)),"")))</f>
        <v>6</v>
      </c>
      <c r="FM301" t="str">
        <f>IF(OR(FL301="",AD301=""),"",IF(_xlfn.XLOOKUP(A301,Щиты[Щит],Щиты[Iкз max на шинах, кА],"")="","",IF(FL301&lt;_xlfn.XLOOKUP(A301,Щиты[Щит],Щиты[Iкз max на шинах, кА]),"Icu "&amp;FL301&amp;" кА &lt; Iкз max","ok")))</f>
        <v/>
      </c>
      <c r="FN301" t="str">
        <f t="shared" si="419"/>
        <v>QFD18</v>
      </c>
      <c r="FO301" t="str">
        <f t="shared" si="420"/>
        <v>QFD18|кабель ВВГнг(А)-LS (3х2,5) → Розеточная группа Второй этаж Пом. №020А</v>
      </c>
      <c r="FP301" t="str" cm="1">
        <f t="array" ref="FP301">IF(FO301="","",_xlfn.LET(_xlpm.nd,_xlfn.TEXTSPLIT(FO301,"|"),IF(COLUMNS(_xlpm.nd)&gt;1,A301&amp;"¦"&amp;INDEX(_xlpm.nd,1)&amp;"¦"&amp;INDEX(_xlpm.nd,2),"")))</f>
        <v>ЩР-2¦QFD18¦кабель ВВГнг(А)-LS (3х2,5) → Розеточная группа Второй этаж Пом. №020А</v>
      </c>
      <c r="FQ301" t="str">
        <f t="shared" si="421"/>
        <v>R.2.020А.1¦Розеточная группа Второй этаж Пом. №020А</v>
      </c>
      <c r="FR301" t="str" cm="1">
        <f t="array" ref="FR301">IF(FO301="","",_xlfn.LET(_xlpm.nd,_xlfn.TEXTSPLIT(FO301,"|"),IF(COLUMNS(_xlpm.nd)&gt;2,A301&amp;"¦"&amp;INDEX(_xlpm.nd,2)&amp;"¦"&amp;INDEX(_xlpm.nd,3),"")))</f>
        <v/>
      </c>
      <c r="FS301" t="str">
        <f t="shared" si="422"/>
        <v/>
      </c>
      <c r="FT301" t="str" cm="1">
        <f t="array" ref="FT301">IF(FO301="","",_xlfn.LET(_xlpm.nd,_xlfn.TEXTSPLIT(FO301,"|"),IF(COLUMNS(_xlpm.nd)&gt;3,A301&amp;"¦"&amp;INDEX(_xlpm.nd,3)&amp;"¦"&amp;INDEX(_xlpm.nd,4),"")))</f>
        <v/>
      </c>
      <c r="FU301" t="str">
        <f t="shared" si="423"/>
        <v/>
      </c>
      <c r="FV301" t="str" cm="1">
        <f t="array" ref="FV301">IF(FO301="","",_xlfn.LET(_xlpm.nd,_xlfn.TEXTSPLIT(FO301,"|"),IF(COLUMNS(_xlpm.nd)&gt;4,A301&amp;"¦"&amp;INDEX(_xlpm.nd,4)&amp;"¦"&amp;INDEX(_xlpm.nd,5),"")))</f>
        <v/>
      </c>
      <c r="FW301" t="str">
        <f t="shared" si="424"/>
        <v/>
      </c>
      <c r="FX301" t="str" cm="1">
        <f t="array" ref="FX301">IF(FO301="","",_xlfn.LET(_xlpm.nd,_xlfn.TEXTSPLIT(FO301,"|"),IF(COLUMNS(_xlpm.nd)&gt;5,A301&amp;"¦"&amp;INDEX(_xlpm.nd,5)&amp;"¦"&amp;INDEX(_xlpm.nd,6),"")))</f>
        <v/>
      </c>
      <c r="FY301" t="str">
        <f t="shared" si="425"/>
        <v/>
      </c>
      <c r="FZ301" t="str" cm="1">
        <f t="array" ref="FZ301">IF(FO301="","",_xlfn.LET(_xlpm.nd,_xlfn.TEXTSPLIT(FO301,"|"),IF(COLUMNS(_xlpm.nd)&gt;6,A301&amp;"¦"&amp;INDEX(_xlpm.nd,6)&amp;"¦"&amp;INDEX(_xlpm.nd,7),"")))</f>
        <v/>
      </c>
      <c r="GA301" t="str">
        <f t="shared" si="426"/>
        <v/>
      </c>
      <c r="GB301" t="str">
        <f t="shared" si="427"/>
        <v/>
      </c>
      <c r="GC301" t="str">
        <f t="shared" si="428"/>
        <v>QFD18</v>
      </c>
      <c r="GD301">
        <f t="shared" si="429"/>
        <v>1</v>
      </c>
      <c r="GE301">
        <f t="shared" si="430"/>
        <v>0</v>
      </c>
      <c r="GF301">
        <f t="shared" si="431"/>
        <v>1</v>
      </c>
      <c r="GG301" t="str">
        <f t="shared" si="432"/>
        <v/>
      </c>
      <c r="GH301" t="str">
        <f t="shared" si="433"/>
        <v/>
      </c>
      <c r="GI301" t="str">
        <f t="shared" si="434"/>
        <v/>
      </c>
      <c r="GJ301" t="str">
        <f t="shared" si="435"/>
        <v/>
      </c>
      <c r="GK301" t="str">
        <f>IF(D301="","",IFERROR(VLOOKUP(D301,УГО_спр,2,FALSE),IFERROR(VLOOKUP(AT301,УГО_спр,2,FALSE),IFERROR(VLOOKUP(LEFT(AT301,2),УГО_спр,2,FALSE),""))))</f>
        <v>Розетка</v>
      </c>
      <c r="GL301" t="str">
        <f>IF(D301="","",IF(OR(GK301="",GK301=0),"BOX",IFERROR(IF(VLOOKUP(GK301,УГО_блоки,3,FALSE)&amp;""&lt;&gt;"",VLOOKUP(GK301,УГО_блоки,3,FALSE),VLOOKUP(GK301,УГО_блоки,2,FALSE)),GK301)))</f>
        <v>SOCKET</v>
      </c>
      <c r="GM301">
        <f t="shared" si="436"/>
        <v>1</v>
      </c>
      <c r="GN301" t="str">
        <f>IF(EP301="","",IF(COUNTIF(EP$3:EP301,EP301)=1,MAX(GN$2:GN300)+1,""))</f>
        <v/>
      </c>
      <c r="GO301" t="str">
        <f>IF(AF301="","",IF(COUNTIF(AF$3:AF301,AF301)+COUNTIF(AG$2:AG300,AF301)+COUNTIF(AH$2:AH300,AF301)=1,MAX(GO$2:GQ300)+1,""))</f>
        <v/>
      </c>
      <c r="GP301" t="str">
        <f>IF(AG301="","",IF(COUNTIF(AF$3:AF301,AG301)+COUNTIF(AG$3:AG301,AG301)+COUNTIF(AH$2:AH300,AG301)=1,MAX(GO$2:GQ300,GO301)+1,""))</f>
        <v/>
      </c>
      <c r="GQ301" t="str">
        <f>IF(AH301="","",IF(COUNTIF(AF$3:AF301,AH301)+COUNTIF(AG$3:AG301,AH301)+COUNTIF(AH$3:AH301,AH301)=1,MAX(GO$2:GQ300,GO301,GP301)+1,""))</f>
        <v/>
      </c>
      <c r="GR301" t="str">
        <f t="shared" si="437"/>
        <v>3х2,5</v>
      </c>
      <c r="GS301" t="str">
        <f>IF(GR301="","",IF(COUNTIF(GR$3:GR301,GR301)=1,MAX(GS$2:GS300)+1,""))</f>
        <v/>
      </c>
      <c r="GT301" t="str">
        <f>IF(ES301="","",COUNTIF(ES$3:ES301,"?*"))</f>
        <v/>
      </c>
      <c r="GU301" t="str">
        <f>IF(OR(ES301="",EU301=""),"",IF(COUNTIFS(ES$3:ES301,"?*",EU$3:EU301,EU301)=1,MAX(GU$2:GU300)+1,""))</f>
        <v/>
      </c>
      <c r="GV301">
        <f t="shared" si="438"/>
        <v>0</v>
      </c>
      <c r="GW301">
        <f>IF(D301="","",COUNTIF(D$3:D301,"?*"))</f>
        <v>299</v>
      </c>
      <c r="GX301">
        <f>IF(EX301&lt;&gt;1,0,_xlfn.LET(_xlpm.k,MAX(IFERROR(--VLOOKUP(D301,УГО_спр,5,FALSE),0),IFERROR(--VLOOKUP(AT301,УГО_спр,5,FALSE),0),IFERROR(--VLOOKUP(LEFT(AT301,2),УГО_спр,5,FALSE),0)),IF(_xlpm.k&gt;0,_xlpm.k,IF(IFERROR(--LEFT(SUBSTITUTE(GR301,"x","х"),FIND("х",SUBSTITUTE(GR301,"x","х"))-1),3)&gt;3,Каталог!$S$9,1))))</f>
        <v>1</v>
      </c>
      <c r="GY301">
        <f t="shared" si="439"/>
        <v>0</v>
      </c>
    </row>
    <row r="302" spans="1:207" x14ac:dyDescent="0.3">
      <c r="A302" t="s">
        <v>764</v>
      </c>
      <c r="B302">
        <v>29</v>
      </c>
      <c r="C302" t="str">
        <f>IF(BD302="","",IF(BE302="вводной узел","узел ","")&amp;"л."&amp;(INT((BD302-1)/Столбцов_на_лист)+1)&amp;" / "&amp;(MOD(BD302-1,Столбцов_на_лист)+1))</f>
        <v>л.2 / 12</v>
      </c>
      <c r="D302" t="s">
        <v>1636</v>
      </c>
      <c r="E302" s="133" t="str">
        <f t="shared" si="352"/>
        <v>Розеточная группа Второй этаж Пом. №022Б</v>
      </c>
      <c r="G302">
        <v>0.24</v>
      </c>
      <c r="H302">
        <v>2</v>
      </c>
      <c r="I302">
        <v>1</v>
      </c>
      <c r="J302">
        <v>230</v>
      </c>
      <c r="K302" t="s">
        <v>566</v>
      </c>
      <c r="O302">
        <v>2</v>
      </c>
      <c r="P302">
        <v>35</v>
      </c>
      <c r="Q302">
        <v>12</v>
      </c>
      <c r="R302">
        <v>26</v>
      </c>
      <c r="T302">
        <v>2</v>
      </c>
      <c r="U302" t="s">
        <v>11</v>
      </c>
      <c r="V302">
        <v>3</v>
      </c>
      <c r="W302">
        <v>2.5</v>
      </c>
      <c r="X302">
        <v>16</v>
      </c>
      <c r="Z302" t="s">
        <v>565</v>
      </c>
      <c r="AA302" t="s">
        <v>818</v>
      </c>
      <c r="AD302" t="s">
        <v>517</v>
      </c>
      <c r="AK302" t="s">
        <v>488</v>
      </c>
      <c r="AR302" t="str">
        <f t="shared" si="353"/>
        <v/>
      </c>
      <c r="AS302" cm="1">
        <f t="array" ref="AS302">ROW()-ROW(Линии[#Headers])</f>
        <v>300</v>
      </c>
      <c r="AT302" t="str">
        <f t="shared" si="354"/>
        <v>R</v>
      </c>
      <c r="AU302" t="str">
        <f t="shared" si="355"/>
        <v>2.022Б.1</v>
      </c>
      <c r="AV302" t="str">
        <f t="shared" si="356"/>
        <v>2</v>
      </c>
      <c r="AW302" t="str">
        <f t="shared" si="357"/>
        <v>022Б.1</v>
      </c>
      <c r="AX302" t="str">
        <f t="shared" si="358"/>
        <v>022Б</v>
      </c>
      <c r="AY302" t="str">
        <f>IF(D302="","",IF(ISERROR(SEARCH(".",D302)),IFERROR(VLOOKUP(D302,Потребители_обозначение,2,FALSE)&amp;"",""),IFERROR(IF(VLOOKUP(AT302,Потребители_обозначение,4,FALSE)=1,VLOOKUP(AT302,Потребители_обозначение,2,FALSE)&amp;" "&amp;VLOOKUP(AV302,Этаж_обозначение,2,FALSE)&amp;" Пом. №"&amp;AX302,VLOOKUP(AT302,Потребители_обозначение,2,FALSE)&amp;" Шлейф №"&amp;AV302),IFERROR(VLOOKUP(D302,Потребители_обозначение,2,FALSE),""))))</f>
        <v>Розеточная группа Второй этаж Пом. №022Б</v>
      </c>
      <c r="AZ302" t="str">
        <f t="shared" si="359"/>
        <v>Розеточная группа Второй этаж Пом. №022Б</v>
      </c>
      <c r="BA302" t="str">
        <f>IF(F302&lt;&gt;"",F302,IF(AND(D302&lt;&gt;"",D302&lt;&gt;A302,ISNUMBER(_xlfn.XMATCH(D302,Щиты[Щит]))),D302,""))</f>
        <v/>
      </c>
      <c r="BB302">
        <f>IFERROR(_xlfn.XMATCH(A302,Щиты[Щит]),0)</f>
        <v>11</v>
      </c>
      <c r="BC302">
        <f>IFERROR(N(_xlfn.XLOOKUP(A302,Щиты[Щит],Щиты[Мест под вводной узел])),15)</f>
        <v>8</v>
      </c>
      <c r="BD302">
        <f t="shared" si="360"/>
        <v>29</v>
      </c>
      <c r="BE302" t="str">
        <f t="shared" si="361"/>
        <v>линии</v>
      </c>
      <c r="BF302">
        <f>IF(D302="","",IF(BA302&lt;&gt;"",IFERROR(_xlfn.XLOOKUP(BA302,Щиты[Щит],Щиты[Руст, кВт]),0),N(G302)))</f>
        <v>0.24</v>
      </c>
      <c r="BG302">
        <f>IF(J302&lt;&gt;"",J302,IF(D302="","",IFERROR(IF(VLOOKUP(AT302,Потребители_обозначение,8,FALSE)=0,"",VLOOKUP(AT302,Потребители_обозначение,8,FALSE)),"")))</f>
        <v>230</v>
      </c>
      <c r="BH302">
        <f>IF(I302&lt;&gt;"",I302,IF(D302="","",IFERROR(IF(VLOOKUP(AT302,Потребители_обозначение,9,FALSE)=0,"",VLOOKUP(AT302,Потребители_обозначение,9,FALSE)),"")))</f>
        <v>1</v>
      </c>
      <c r="BI302" t="str">
        <f>IF(U302&lt;&gt;"",U302,IF(D302="","",IFERROR(IF(VLOOKUP(AT302,Потребители_обозначение,6,FALSE)=0,"",VLOOKUP(AT302,Потребители_обозначение,6,FALSE)),"")))</f>
        <v>мс</v>
      </c>
      <c r="BJ302">
        <f>IF(V302&lt;&gt;"",V302,IF(D302="","",IFERROR(IF(VLOOKUP(AT302,Потребители_обозначение,7,FALSE)=0,"",VLOOKUP(AT302,Потребители_обозначение,7,FALSE)),"")))</f>
        <v>3</v>
      </c>
      <c r="BK302">
        <f>IF(W302&lt;&gt;"",W302,IF(D302="","",IFERROR(IF(VLOOKUP(AT302,Потребители_обозначение,10,FALSE)=0,"",VLOOKUP(AT302,Потребители_обозначение,10,FALSE)),"")))</f>
        <v>2.5</v>
      </c>
      <c r="BL302">
        <f>IFERROR(VLOOKUP(AT302,Потребители_обозначение,5,FALSE),0)</f>
        <v>1</v>
      </c>
      <c r="BM302" cm="1">
        <f t="array" ref="BM302">IF(D302="","",IF(BA302&lt;&gt;"",IFERROR(_xlfn.XLOOKUP(BA302,Щиты[Щит],Щиты[cos φ]),0.95),IF(ISNUMBER(M302),M302,IFERROR(IF(BL302=2,_xlfn.IFS(BH302=3,VLOOKUP(BF302,Справочная_двигатели,8,FALSE),BH302=1,VLOOKUP(BF302,Справочная_двигатели,10,TRUE)),IF(AND(Методика="нормы 2026",CN302="Сил"),0.8,0.95)),0.95))))</f>
        <v>0.95</v>
      </c>
      <c r="BN302" cm="1">
        <f t="array" ref="BN302">IF(D302="","",IF(BA302&lt;&gt;"",IFERROR(_xlfn.XLOOKUP(BA302,Щиты[Щит],Щиты[Iр, А]),""),IFERROR(_xlfn.IFS(BH302=1,BF302/((Uн_лин/SQRT(3))*BM302),BH302=3,BF302/(SQRT(3)*Uн_лин*BM302)),"")))</f>
        <v>1.0939268258329751</v>
      </c>
      <c r="BO302">
        <f>IF(D302="","",IF(N(X302)=0,IFERROR(VLOOKUP(BN302,Автомат_номиналы,2,TRUE),""),X302))</f>
        <v>16</v>
      </c>
      <c r="BP302">
        <f t="shared" si="362"/>
        <v>1</v>
      </c>
      <c r="BQ302">
        <f>IF(ISNUMBER(Y302),Y302,К_прокл)</f>
        <v>1</v>
      </c>
      <c r="BR302">
        <f t="shared" si="363"/>
        <v>2</v>
      </c>
      <c r="BS302" cm="1">
        <f t="array" ref="BS302">IF(D302="","",IF(N(BK302)&lt;&gt;0,BK302,IFERROR(_xlfn.LET(_xlpm.need,BO302/(BP302*BQ302),_xlpm.t,CHOOSE(BR302,Iдоп_1ж,Iдоп_2ж,Iдоп_3ж),_xlpm.k,_xlfn.XMATCH(_xlpm.need,_xlpm.t,1),IF(ISNA(_xlpm.k),"Не исп",INDEX(Iдоп_S,_xlpm.k))),"Не исп")))</f>
        <v>2.5</v>
      </c>
      <c r="BT302">
        <f>IFERROR(VLOOKUP(BS302,Кабель_сопротивление,3,FALSE),"")</f>
        <v>2.2499999999999999E-2</v>
      </c>
      <c r="BU302">
        <f>IFERROR(VLOOKUP(BS302,Кабель_сопротивление,2,FALSE),"")</f>
        <v>0.1</v>
      </c>
      <c r="BV302">
        <f t="shared" si="364"/>
        <v>35</v>
      </c>
      <c r="BW302">
        <f>IF(D302="","",IFERROR(IF(VLOOKUP(AT302,Потребители_обозначение,4,FALSE)=1,VLOOKUP(AT302,Потребители_обозначение,3,FALSE)*(H302*2-1)+BV302+VLOOKUP(AV302,Этаж_обозначение,3,FALSE)+VLOOKUP(AV302,Этаж_обозначение,4,FALSE),VLOOKUP(AT302,Потребители_обозначение,3,FALSE)*(H302*2-1)+BV302),BV302))</f>
        <v>44</v>
      </c>
      <c r="BX302">
        <f t="shared" si="365"/>
        <v>26</v>
      </c>
      <c r="BY302">
        <f t="shared" si="366"/>
        <v>40</v>
      </c>
      <c r="BZ302">
        <f t="shared" si="367"/>
        <v>2</v>
      </c>
      <c r="CA302">
        <f t="shared" si="368"/>
        <v>0.31</v>
      </c>
      <c r="CB302">
        <f t="shared" si="369"/>
        <v>0.8260547761376027</v>
      </c>
      <c r="CC302">
        <f>IFERROR(ROUNDUP(CB302/((Uн_лин/SQRT(3))*1000)*100,2),"")</f>
        <v>0.36</v>
      </c>
      <c r="CD302">
        <f>IF(ISNUMBER(CC302),CC302+IFERROR(_xlfn.XLOOKUP(A302,Щиты[Щит],Щиты[ΔU до шин, %]),0),"")</f>
        <v>2.15</v>
      </c>
      <c r="CE302">
        <f>IF(D302="","",IF(IFERROR(VLOOKUP(AT302,УГО_спр,2,FALSE),"")="Светильник",3,4)+IF(Методика="нормы 2026",MIN(0.5,MAX(0,N(BW302)-100)*0.005),0))</f>
        <v>4</v>
      </c>
      <c r="CF302" t="str">
        <f>IFERROR(VLOOKUP(BI302,Кабель_обозначение,2,FALSE),"")</f>
        <v>ВВГнг(А)-LS</v>
      </c>
      <c r="CG302" t="str">
        <f>IFERROR(IF(VLOOKUP(BI302,Кабель_обозначение,3,FALSE)=1,CF302&amp;" ("&amp;BJ302&amp;"х"&amp;BS302&amp;")",CF302),"")</f>
        <v>ВВГнг(А)-LS (3х2,5)</v>
      </c>
      <c r="CH302" t="str">
        <f t="shared" si="370"/>
        <v>ВВГнг(А)-LS (3х2,5)
L=44-0,36%</v>
      </c>
      <c r="CI302">
        <f>IFERROR(2*ρкз_Cu*BW302/BS302,"")</f>
        <v>0.92576000000000003</v>
      </c>
      <c r="CJ302">
        <f t="shared" si="371"/>
        <v>0.308</v>
      </c>
      <c r="CK302" t="str">
        <f>IFERROR(IF(OR(D302="",NOT(ISNUMBER(BS302)),N(BW302)=0),"",_xlfn.XLOOKUP(A302,Щиты[Щит],Щиты[Zпетли на шинах, Ом])+CI302),"")</f>
        <v/>
      </c>
      <c r="CL302" t="str">
        <f>IF(ISNUMBER(CK302),c_min*(Uн_лин*1000/SQRT(3))/CK302,"")</f>
        <v/>
      </c>
      <c r="CM302" t="str">
        <f>IFERROR(IF(OR(D302="",NOT(ISNUMBER(BS302))),"",1.05*(Uн_лин*1000/SQRT(3))/(_xlfn.XLOOKUP(A302,Щиты[Щит],Щиты[Zmax на шинах, Ом])+CJ302)/1000),"")</f>
        <v/>
      </c>
      <c r="CN302" t="str">
        <f>IF(D302="","",IF(BA302&lt;&gt;"","Щит",IF(K302&lt;&gt;"",K302,IF(ISNUMBER(L302),"Сил",IF(IFERROR(_xlfn.XLOOKUP(AT302,Коды_код,Коды_группа)&amp;"","")="","Быт",_xlfn.XLOOKUP(AT302,Коды_код,Коды_группа)&amp;"")))))</f>
        <v>Быт</v>
      </c>
      <c r="CO302">
        <f>IF(CN302="Щит","щит",IF(CN302="","",IF(CN302="Быт",IFERROR(_xlfn.XLOOKUP(A302,Щиты[Щит],Щиты[Кс быт]),1),IF(CN302="Сил",IF(ISNUMBER(L302),L302,IF(Методика="нормы 2026",IFERROR(_xlfn.XLOOKUP(A302,Щиты[Щит],Щиты[Кс силовых (табл. 7.5)]),1),1)),IF(OR(CN302="Пост",CN302="Отоп"),1,IF(CN302="ВНГ",0.7,0))))))</f>
        <v>0.8</v>
      </c>
      <c r="CP302">
        <f t="shared" si="372"/>
        <v>1</v>
      </c>
      <c r="CQ302">
        <f t="shared" si="373"/>
        <v>0.24</v>
      </c>
      <c r="CR302">
        <f t="shared" si="374"/>
        <v>0.24</v>
      </c>
      <c r="CS302">
        <f t="shared" si="375"/>
        <v>0</v>
      </c>
      <c r="CT302">
        <f t="shared" si="376"/>
        <v>0</v>
      </c>
      <c r="CU302">
        <f t="shared" si="377"/>
        <v>0</v>
      </c>
      <c r="CV302">
        <f t="shared" si="378"/>
        <v>0</v>
      </c>
      <c r="CW302">
        <f t="shared" si="379"/>
        <v>0.24</v>
      </c>
      <c r="CX302">
        <f t="shared" si="380"/>
        <v>0.22799999999999998</v>
      </c>
      <c r="CY302">
        <f t="shared" si="381"/>
        <v>2</v>
      </c>
      <c r="CZ302" t="str">
        <f t="shared" si="382"/>
        <v>L2</v>
      </c>
      <c r="DA302" cm="1">
        <f t="array" ref="DA302">IFERROR(IF(BL302=2,_xlfn.IFS(BH302=3,VLOOKUP(BF302,Справочная_двигатели,3,FALSE),BH302=1,VLOOKUP(BF302,Справочная_двигатели,5,TRUE)),0),0)</f>
        <v>0</v>
      </c>
      <c r="DB302">
        <f>IFERROR(IF(BL302=3,VLOOKUP(BF302,Справочная_ЛЭД,2,TRUE),0),0)</f>
        <v>0</v>
      </c>
      <c r="DC302">
        <f t="shared" si="383"/>
        <v>0</v>
      </c>
      <c r="DD302" t="str">
        <f t="shared" si="384"/>
        <v>L2</v>
      </c>
      <c r="DE302" t="str" cm="1">
        <f t="array" ref="DE302">IF(D302="","",IFERROR(INDEX({"I особая","I","II","III"},MATCH(TRIM(AA302&amp;""),{"I особая","I","II","III"},0)),"III"))</f>
        <v>II</v>
      </c>
      <c r="DF302" t="str">
        <f>IF(D302="","",IF(TRIM(AB302&amp;"")&lt;&gt;"",IF(LOWER(TRIM(AB302&amp;""))="да","да","нет"),IF(IFERROR(_xlfn.XLOOKUP(AT302,Коды_код,Коды_пожарная),"")="да","да","нет")))</f>
        <v>нет</v>
      </c>
      <c r="DG302" t="str">
        <f t="shared" si="385"/>
        <v/>
      </c>
      <c r="DH302" t="str">
        <f t="shared" si="386"/>
        <v>основная</v>
      </c>
      <c r="DI302">
        <f t="shared" si="387"/>
        <v>1</v>
      </c>
      <c r="DJ302" t="str" cm="1">
        <f t="array" ref="DJ302">IF(D302="","",_xlfn.LET(_xlpm.t,IFERROR(_xlfn.XLOOKUP(1,(Шины[Шина]=DH302)*(((Шины[Щит]=A302)+(Шины[Щит]=""))&gt;0),Шины[Тип]),"")&amp;"",IF(_xlpm.t&lt;&gt;"",_xlpm.t,IF(ISNUMBER(SEARCH("ИБП",DH302)),"ИБП",IF(ISNUMBER(SEARCH("ДГУ",DH302)),"ДГУ","Ввод "&amp;DI302)))))</f>
        <v>Ввод 1</v>
      </c>
      <c r="DK302" t="str">
        <f t="shared" si="388"/>
        <v>Ввод 1</v>
      </c>
      <c r="DL302" t="str">
        <f>IF(D302="","",IF(OR(DJ302="ИБП",DJ302="ДГУ"),"I особая",IF(DJ302="Одиночная","III",_xlfn.XLOOKUP(A302,Щиты[Щит],Щиты[Категория шины «Ввод»],"III"))))</f>
        <v>II</v>
      </c>
      <c r="DM302">
        <f>IF(D302="",0,IFERROR(MATCH(DE302,{"III","II","I","I особая"},0),1))</f>
        <v>2</v>
      </c>
      <c r="DN302">
        <f t="shared" si="389"/>
        <v>2</v>
      </c>
      <c r="DO302" t="str">
        <f>IF(D302="","",IF(DM302&gt;IFERROR(MATCH(DL302,{"III","II","I","I особая"},0),1),"НЕ ОБЕСПЕЧЕНА","ОК"))</f>
        <v>ОК</v>
      </c>
      <c r="DP302" t="str">
        <f>IF(A302="","",_xlfn.XLOOKUP(A302,Щиты[Щит],Щиты[Путь],""))</f>
        <v>|ГРЩ-ЖД|ЩР-2|</v>
      </c>
      <c r="DQ302" t="str">
        <f>IF(D302="","",IF(Z302&lt;&gt;"",Z302,IF(IFERROR(_xlfn.XLOOKUP(AT302,Коды_код,Коды_вид)&amp;"","")="","Прочее",_xlfn.XLOOKUP(AT302,Коды_код,Коды_вид)&amp;"")))</f>
        <v>Розеточная сеть и бытовые приборы</v>
      </c>
      <c r="DR302">
        <f>IF(BD302="","",INT((BD302-1)/Столбцов_на_лист)+1)</f>
        <v>2</v>
      </c>
      <c r="DS302" t="str">
        <f t="shared" si="390"/>
        <v>ВВГнг(А)-LS (3х2,5) L=44-0,36%</v>
      </c>
      <c r="DT302">
        <f t="shared" si="391"/>
        <v>0.24</v>
      </c>
      <c r="DU302">
        <f t="shared" si="392"/>
        <v>1.1000000000000001</v>
      </c>
      <c r="DV302">
        <f t="shared" si="393"/>
        <v>1</v>
      </c>
      <c r="DW302">
        <f>IF(AT302="",0,_xlfn.LET(_xlpm.v,IFERROR(VLOOKUP(D302,УГО_спр,3,FALSE),IFERROR(VLOOKUP(AT302,УГО_спр,3,FALSE),IFERROR(VLOOKUP(LEFT(AT302,2),УГО_спр,3,FALSE),""))),IF(_xlpm.v="да",30,IF(ISNUMBER(_xlpm.v),_xlpm.v,0))))</f>
        <v>30</v>
      </c>
      <c r="DX302">
        <f t="shared" si="394"/>
        <v>0</v>
      </c>
      <c r="DY302">
        <f>IF(BD302="","",IF(AD302&lt;&gt;"",COUNTIFS(A$3:A302,A302,AD$3:AD302,"?*"),IF(OR(OR(AS302=1,A302&lt;&gt;A301),AL302="вручную"),"",IF(AS302=1,"",DZ301))))</f>
        <v>19</v>
      </c>
      <c r="DZ302">
        <f t="shared" si="395"/>
        <v>19</v>
      </c>
      <c r="EA302">
        <f>IF(D302="",0,MAX(IFERROR(--X302,0),IFERROR(--VLOOKUP(D302,УГО_спр,4,FALSE),IFERROR(--VLOOKUP(AT302,УГО_спр,4,FALSE),IFERROR(--VLOOKUP(LEFT(AT302,2),УГО_спр,4,FALSE),0)))))</f>
        <v>16</v>
      </c>
      <c r="EB302">
        <f>IF(D302="","",IFERROR(LOOKUP(INDEX(CHOOSE(BR302,Iдоп_1ж,Iдоп_2ж,Iдоп_3ж),MATCH(BS302,Iдоп_S,0))*BP302*BQ302,{6,10,16,20,25,32,40,50,63,80,100,125,160,200,250,315,400,500,630}),""))</f>
        <v>25</v>
      </c>
      <c r="EC302">
        <f>IF(AD302="","",SUMIFS(Линии[_Ток схемы],Линии[_гр.],DY302,Линии[Щит],A302,Линии[_в кабель выше],0))</f>
        <v>1.1000000000000001</v>
      </c>
      <c r="ED302">
        <f>IF(AD302="","",IFERROR(VLOOKUP(EC302,Автомат_номиналы,2,TRUE),""))</f>
        <v>6</v>
      </c>
      <c r="EE302">
        <f>IF(AD302="","",MAX(N(ED302),_xlfn.MAXIFS(Линии[_мин. по типу],Линии[_гр.],DY302,Линии[Щит],A302)))</f>
        <v>16</v>
      </c>
      <c r="EF302">
        <f>IF(AD302="","",_xlfn.MINIFS(Линии[_макс. автомат по кабелю],Линии[_гр.],DY302,Линии[Щит],A302))</f>
        <v>25</v>
      </c>
      <c r="EG302">
        <f>IF(AD302="","",MAX(1,_xlfn.MAXIFS(Линии[_фаз],Линии[_гр.],DY302,Линии[Щит],A302)))</f>
        <v>1</v>
      </c>
      <c r="EH302">
        <f>IF(AD302="","",IF(AND(AD302&lt;&gt;"авто",AD302&lt;&gt;"+"),IF(ISNUMBER(SEARCH("мА",AD302)),IFERROR(--TRIM(RIGHT(SUBSTITUTE(LEFT(AD302,SEARCH("мА",AD302)-1)," ",REPT(" ",9)),6)),30),0),IF(AE302="нет",0,IF(ISNUMBER(AE302),AE302,IF(AE302="да",30,_xlfn.MINIFS(Линии[_дифзащита по коду, мА],Линии[_гр.],DY302,Линии[Щит],A302,Линии[_дифзащита по коду, мА],"&gt;0"))))))</f>
        <v>30</v>
      </c>
      <c r="EI302">
        <f t="shared" si="396"/>
        <v>1</v>
      </c>
      <c r="EJ302" t="str">
        <f t="shared" si="397"/>
        <v>QFD19</v>
      </c>
      <c r="EK302" t="str">
        <f t="shared" si="398"/>
        <v>QFD19</v>
      </c>
      <c r="EL302" t="str">
        <f t="shared" si="399"/>
        <v/>
      </c>
      <c r="EM302">
        <f t="shared" si="400"/>
        <v>0</v>
      </c>
      <c r="EN302">
        <f>IF(AD302="","",IF(EM302=1,MAX(EE302,Мин_автомат_БП),EE302))</f>
        <v>16</v>
      </c>
      <c r="EO302" t="str">
        <f t="shared" si="401"/>
        <v>2P</v>
      </c>
      <c r="EP302" t="str">
        <f t="shared" si="402"/>
        <v>2P С16А 30мА</v>
      </c>
      <c r="EQ302">
        <f t="shared" si="403"/>
        <v>16</v>
      </c>
      <c r="ER302" t="str">
        <f>IF(OR(AI302="",AI302="-"),"",IFERROR(VLOOKUP(AI302,Модули_спр,2,FALSE),"R"))</f>
        <v/>
      </c>
      <c r="ES302" t="str">
        <f>IF(ER302="","",ER302&amp;"."&amp;COUNTIFS(A$3:A302,A302,ER$3:ER302,ER302))</f>
        <v/>
      </c>
      <c r="ET302" t="str">
        <f t="shared" si="404"/>
        <v/>
      </c>
      <c r="EU302" t="str">
        <f t="shared" si="405"/>
        <v/>
      </c>
      <c r="EV302" t="str">
        <f t="shared" si="406"/>
        <v/>
      </c>
      <c r="EW302" t="str">
        <f t="shared" si="407"/>
        <v/>
      </c>
      <c r="EX302">
        <f t="shared" si="408"/>
        <v>1</v>
      </c>
      <c r="EY302" t="str">
        <f>IF(AK302="нет","",IF(AK302&lt;&gt;"",AK302,IF(EX302=1,"XT"&amp;COUNTIFS(A$3:A302,A302,EX$3:EX302,1),"")))</f>
        <v/>
      </c>
      <c r="EZ302" t="str">
        <f t="shared" si="409"/>
        <v>QFD19</v>
      </c>
      <c r="FA302" t="str">
        <f t="shared" si="410"/>
        <v/>
      </c>
      <c r="FB302" t="str">
        <f t="shared" si="411"/>
        <v>ok</v>
      </c>
      <c r="FC302" t="str">
        <f>IF(OR(EV302="",ET302=""),"",IF(EV302&gt;IFERROR(VLOOKUP(EU302,Модули_спр,3,FALSE),99),"ЛИШНИЙ КАНАЛ",IF(AND(AJ302&lt;&gt;"=",COUNTIFS(Линии[_модуль гр.],ET302,Линии[Канал (итог)],EV302,Линии[Канал],"&lt;&gt;=",Линии[Щит],A302)&gt;1),"ДУБЛЬ КАНАЛА","")))</f>
        <v/>
      </c>
      <c r="FD302">
        <f t="shared" si="412"/>
        <v>16</v>
      </c>
      <c r="FE302" t="str">
        <f t="shared" si="413"/>
        <v>2P С16А 30мА</v>
      </c>
      <c r="FF302">
        <f t="shared" si="414"/>
        <v>1</v>
      </c>
      <c r="FG302">
        <f t="shared" si="415"/>
        <v>30</v>
      </c>
      <c r="FH302" t="str">
        <f t="shared" si="416"/>
        <v/>
      </c>
      <c r="FI302">
        <f t="shared" si="417"/>
        <v>10</v>
      </c>
      <c r="FJ302" t="str">
        <f t="shared" si="418"/>
        <v/>
      </c>
      <c r="FK302" t="str">
        <f>IF(AND(D302="",EZ302=""),"",_xlfn.TEXTJOIN("; ",TRUE,IF(AND(D302&lt;&gt;"",DD302=""),"нет фазы",""),IF(AND(D302&lt;&gt;"",N(DT302)=0,CN302&lt;&gt;"Нет"),"нет мощности",""),IF(AND(EY302&lt;&gt;"",COUNTIFS(Линии[Щит],A302,Линии[Клемма (итог)],EY302)&gt;1),"дубль клеммы "&amp;EY302,""),IF(AND(FB302&lt;&gt;"",FB302&lt;&gt;"ok"),FB302,""),IF(FC302&lt;&gt;"",FC302,""),IF(AND(ISNUMBER(SEARCH("(5х",DS302)),N(DV302)=1),"5 жил на 1 фазе",""),IF(AND(AT302="R",AD302&lt;&gt;"",OR(N(EH302)=0,N(EH302)&gt;30)),"розетка без дифзащиты до 30 мА",""),IFERROR(IF(AND(ISNUMBER(CD302),CD302&gt;CE302),"потери "&amp;FIXED(CD302,1)&amp;" % &gt; "&amp;CE302&amp;" %",""),""),IFERROR(IF(LEFT(FJ302,4)="мало","Iкз мало — отключение &gt; 0,4 с",""),""),IF(AND(D302&lt;&gt;"",BD302=""),"не на схеме","")))</f>
        <v/>
      </c>
      <c r="FL302">
        <f>IF(AD302="","",_xlfn.LET(_xlpm.t,IFERROR(_xlfn.XLOOKUP(EP302,Каталог!$U$4:$U$500,Каталог!$G$4:$G$500),""),_xlpm.k,SEARCH("кА",_xlpm.t),IFERROR(--TRIM(RIGHT(SUBSTITUTE(MID(_xlpm.t,MAX(1,_xlpm.k-4),_xlpm.k-MAX(1,_xlpm.k-4))," ",REPT(" ",9)),5)),"")))</f>
        <v>6</v>
      </c>
      <c r="FM302" t="str">
        <f>IF(OR(FL302="",AD302=""),"",IF(_xlfn.XLOOKUP(A302,Щиты[Щит],Щиты[Iкз max на шинах, кА],"")="","",IF(FL302&lt;_xlfn.XLOOKUP(A302,Щиты[Щит],Щиты[Iкз max на шинах, кА]),"Icu "&amp;FL302&amp;" кА &lt; Iкз max","ok")))</f>
        <v/>
      </c>
      <c r="FN302" t="str">
        <f t="shared" si="419"/>
        <v>QFD19</v>
      </c>
      <c r="FO302" t="str">
        <f t="shared" si="420"/>
        <v>QFD19|кабель ВВГнг(А)-LS (3х2,5) → Розеточная группа Второй этаж Пом. №022Б</v>
      </c>
      <c r="FP302" t="str" cm="1">
        <f t="array" ref="FP302">IF(FO302="","",_xlfn.LET(_xlpm.nd,_xlfn.TEXTSPLIT(FO302,"|"),IF(COLUMNS(_xlpm.nd)&gt;1,A302&amp;"¦"&amp;INDEX(_xlpm.nd,1)&amp;"¦"&amp;INDEX(_xlpm.nd,2),"")))</f>
        <v>ЩР-2¦QFD19¦кабель ВВГнг(А)-LS (3х2,5) → Розеточная группа Второй этаж Пом. №022Б</v>
      </c>
      <c r="FQ302" t="str">
        <f t="shared" si="421"/>
        <v>R.2.022Б.1¦Розеточная группа Второй этаж Пом. №022Б</v>
      </c>
      <c r="FR302" t="str" cm="1">
        <f t="array" ref="FR302">IF(FO302="","",_xlfn.LET(_xlpm.nd,_xlfn.TEXTSPLIT(FO302,"|"),IF(COLUMNS(_xlpm.nd)&gt;2,A302&amp;"¦"&amp;INDEX(_xlpm.nd,2)&amp;"¦"&amp;INDEX(_xlpm.nd,3),"")))</f>
        <v/>
      </c>
      <c r="FS302" t="str">
        <f t="shared" si="422"/>
        <v/>
      </c>
      <c r="FT302" t="str" cm="1">
        <f t="array" ref="FT302">IF(FO302="","",_xlfn.LET(_xlpm.nd,_xlfn.TEXTSPLIT(FO302,"|"),IF(COLUMNS(_xlpm.nd)&gt;3,A302&amp;"¦"&amp;INDEX(_xlpm.nd,3)&amp;"¦"&amp;INDEX(_xlpm.nd,4),"")))</f>
        <v/>
      </c>
      <c r="FU302" t="str">
        <f t="shared" si="423"/>
        <v/>
      </c>
      <c r="FV302" t="str" cm="1">
        <f t="array" ref="FV302">IF(FO302="","",_xlfn.LET(_xlpm.nd,_xlfn.TEXTSPLIT(FO302,"|"),IF(COLUMNS(_xlpm.nd)&gt;4,A302&amp;"¦"&amp;INDEX(_xlpm.nd,4)&amp;"¦"&amp;INDEX(_xlpm.nd,5),"")))</f>
        <v/>
      </c>
      <c r="FW302" t="str">
        <f t="shared" si="424"/>
        <v/>
      </c>
      <c r="FX302" t="str" cm="1">
        <f t="array" ref="FX302">IF(FO302="","",_xlfn.LET(_xlpm.nd,_xlfn.TEXTSPLIT(FO302,"|"),IF(COLUMNS(_xlpm.nd)&gt;5,A302&amp;"¦"&amp;INDEX(_xlpm.nd,5)&amp;"¦"&amp;INDEX(_xlpm.nd,6),"")))</f>
        <v/>
      </c>
      <c r="FY302" t="str">
        <f t="shared" si="425"/>
        <v/>
      </c>
      <c r="FZ302" t="str" cm="1">
        <f t="array" ref="FZ302">IF(FO302="","",_xlfn.LET(_xlpm.nd,_xlfn.TEXTSPLIT(FO302,"|"),IF(COLUMNS(_xlpm.nd)&gt;6,A302&amp;"¦"&amp;INDEX(_xlpm.nd,6)&amp;"¦"&amp;INDEX(_xlpm.nd,7),"")))</f>
        <v/>
      </c>
      <c r="GA302" t="str">
        <f t="shared" si="426"/>
        <v/>
      </c>
      <c r="GB302" t="str">
        <f t="shared" si="427"/>
        <v/>
      </c>
      <c r="GC302" t="str">
        <f t="shared" si="428"/>
        <v>QFD19</v>
      </c>
      <c r="GD302">
        <f t="shared" si="429"/>
        <v>1</v>
      </c>
      <c r="GE302">
        <f t="shared" si="430"/>
        <v>0</v>
      </c>
      <c r="GF302">
        <f t="shared" si="431"/>
        <v>1</v>
      </c>
      <c r="GG302" t="str">
        <f t="shared" si="432"/>
        <v/>
      </c>
      <c r="GH302" t="str">
        <f t="shared" si="433"/>
        <v/>
      </c>
      <c r="GI302" t="str">
        <f t="shared" si="434"/>
        <v/>
      </c>
      <c r="GJ302" t="str">
        <f t="shared" si="435"/>
        <v/>
      </c>
      <c r="GK302" t="str">
        <f>IF(D302="","",IFERROR(VLOOKUP(D302,УГО_спр,2,FALSE),IFERROR(VLOOKUP(AT302,УГО_спр,2,FALSE),IFERROR(VLOOKUP(LEFT(AT302,2),УГО_спр,2,FALSE),""))))</f>
        <v>Розетка</v>
      </c>
      <c r="GL302" t="str">
        <f>IF(D302="","",IF(OR(GK302="",GK302=0),"BOX",IFERROR(IF(VLOOKUP(GK302,УГО_блоки,3,FALSE)&amp;""&lt;&gt;"",VLOOKUP(GK302,УГО_блоки,3,FALSE),VLOOKUP(GK302,УГО_блоки,2,FALSE)),GK302)))</f>
        <v>SOCKET</v>
      </c>
      <c r="GM302">
        <f t="shared" si="436"/>
        <v>1</v>
      </c>
      <c r="GN302" t="str">
        <f>IF(EP302="","",IF(COUNTIF(EP$3:EP302,EP302)=1,MAX(GN$2:GN301)+1,""))</f>
        <v/>
      </c>
      <c r="GO302" t="str">
        <f>IF(AF302="","",IF(COUNTIF(AF$3:AF302,AF302)+COUNTIF(AG$2:AG301,AF302)+COUNTIF(AH$2:AH301,AF302)=1,MAX(GO$2:GQ301)+1,""))</f>
        <v/>
      </c>
      <c r="GP302" t="str">
        <f>IF(AG302="","",IF(COUNTIF(AF$3:AF302,AG302)+COUNTIF(AG$3:AG302,AG302)+COUNTIF(AH$2:AH301,AG302)=1,MAX(GO$2:GQ301,GO302)+1,""))</f>
        <v/>
      </c>
      <c r="GQ302" t="str">
        <f>IF(AH302="","",IF(COUNTIF(AF$3:AF302,AH302)+COUNTIF(AG$3:AG302,AH302)+COUNTIF(AH$3:AH302,AH302)=1,MAX(GO$2:GQ301,GO302,GP302)+1,""))</f>
        <v/>
      </c>
      <c r="GR302" t="str">
        <f t="shared" si="437"/>
        <v>3х2,5</v>
      </c>
      <c r="GS302" t="str">
        <f>IF(GR302="","",IF(COUNTIF(GR$3:GR302,GR302)=1,MAX(GS$2:GS301)+1,""))</f>
        <v/>
      </c>
      <c r="GT302" t="str">
        <f>IF(ES302="","",COUNTIF(ES$3:ES302,"?*"))</f>
        <v/>
      </c>
      <c r="GU302" t="str">
        <f>IF(OR(ES302="",EU302=""),"",IF(COUNTIFS(ES$3:ES302,"?*",EU$3:EU302,EU302)=1,MAX(GU$2:GU301)+1,""))</f>
        <v/>
      </c>
      <c r="GV302">
        <f t="shared" si="438"/>
        <v>0</v>
      </c>
      <c r="GW302">
        <f>IF(D302="","",COUNTIF(D$3:D302,"?*"))</f>
        <v>300</v>
      </c>
      <c r="GX302">
        <f>IF(EX302&lt;&gt;1,0,_xlfn.LET(_xlpm.k,MAX(IFERROR(--VLOOKUP(D302,УГО_спр,5,FALSE),0),IFERROR(--VLOOKUP(AT302,УГО_спр,5,FALSE),0),IFERROR(--VLOOKUP(LEFT(AT302,2),УГО_спр,5,FALSE),0)),IF(_xlpm.k&gt;0,_xlpm.k,IF(IFERROR(--LEFT(SUBSTITUTE(GR302,"x","х"),FIND("х",SUBSTITUTE(GR302,"x","х"))-1),3)&gt;3,Каталог!$S$9,1))))</f>
        <v>1</v>
      </c>
      <c r="GY302">
        <f t="shared" si="439"/>
        <v>0</v>
      </c>
    </row>
    <row r="303" spans="1:207" x14ac:dyDescent="0.3">
      <c r="A303" t="s">
        <v>764</v>
      </c>
      <c r="B303">
        <v>30</v>
      </c>
      <c r="C303" t="str">
        <f>IF(BD303="","",IF(BE303="вводной узел","узел ","")&amp;"л."&amp;(INT((BD303-1)/Столбцов_на_лист)+1)&amp;" / "&amp;(MOD(BD303-1,Столбцов_на_лист)+1))</f>
        <v>л.2 / 13</v>
      </c>
      <c r="D303" t="s">
        <v>1637</v>
      </c>
      <c r="E303" s="133" t="str">
        <f t="shared" si="352"/>
        <v>Розеточная группа Второй этаж Пом. №001</v>
      </c>
      <c r="G303">
        <v>0.18</v>
      </c>
      <c r="H303">
        <v>1</v>
      </c>
      <c r="I303">
        <v>1</v>
      </c>
      <c r="J303">
        <v>230</v>
      </c>
      <c r="K303" t="s">
        <v>566</v>
      </c>
      <c r="O303">
        <v>1</v>
      </c>
      <c r="P303">
        <v>84</v>
      </c>
      <c r="Q303">
        <v>12</v>
      </c>
      <c r="R303">
        <v>36</v>
      </c>
      <c r="S303">
        <v>33</v>
      </c>
      <c r="T303">
        <v>2</v>
      </c>
      <c r="U303" t="s">
        <v>11</v>
      </c>
      <c r="V303">
        <v>3</v>
      </c>
      <c r="W303">
        <v>2.5</v>
      </c>
      <c r="X303">
        <v>16</v>
      </c>
      <c r="Z303" t="s">
        <v>565</v>
      </c>
      <c r="AA303" t="s">
        <v>818</v>
      </c>
      <c r="AD303" t="s">
        <v>517</v>
      </c>
      <c r="AK303" t="s">
        <v>488</v>
      </c>
      <c r="AR303" t="str">
        <f t="shared" si="353"/>
        <v/>
      </c>
      <c r="AS303" cm="1">
        <f t="array" ref="AS303">ROW()-ROW(Линии[#Headers])</f>
        <v>301</v>
      </c>
      <c r="AT303" t="str">
        <f t="shared" si="354"/>
        <v>R</v>
      </c>
      <c r="AU303" t="str">
        <f t="shared" si="355"/>
        <v>2.001.1</v>
      </c>
      <c r="AV303" t="str">
        <f t="shared" si="356"/>
        <v>2</v>
      </c>
      <c r="AW303" t="str">
        <f t="shared" si="357"/>
        <v>001.1</v>
      </c>
      <c r="AX303" t="str">
        <f t="shared" si="358"/>
        <v>001</v>
      </c>
      <c r="AY303" t="str">
        <f>IF(D303="","",IF(ISERROR(SEARCH(".",D303)),IFERROR(VLOOKUP(D303,Потребители_обозначение,2,FALSE)&amp;"",""),IFERROR(IF(VLOOKUP(AT303,Потребители_обозначение,4,FALSE)=1,VLOOKUP(AT303,Потребители_обозначение,2,FALSE)&amp;" "&amp;VLOOKUP(AV303,Этаж_обозначение,2,FALSE)&amp;" Пом. №"&amp;AX303,VLOOKUP(AT303,Потребители_обозначение,2,FALSE)&amp;" Шлейф №"&amp;AV303),IFERROR(VLOOKUP(D303,Потребители_обозначение,2,FALSE),""))))</f>
        <v>Розеточная группа Второй этаж Пом. №001</v>
      </c>
      <c r="AZ303" t="str">
        <f t="shared" si="359"/>
        <v>Розеточная группа Второй этаж Пом. №001</v>
      </c>
      <c r="BA303" t="str">
        <f>IF(F303&lt;&gt;"",F303,IF(AND(D303&lt;&gt;"",D303&lt;&gt;A303,ISNUMBER(_xlfn.XMATCH(D303,Щиты[Щит]))),D303,""))</f>
        <v/>
      </c>
      <c r="BB303">
        <f>IFERROR(_xlfn.XMATCH(A303,Щиты[Щит]),0)</f>
        <v>11</v>
      </c>
      <c r="BC303">
        <f>IFERROR(N(_xlfn.XLOOKUP(A303,Щиты[Щит],Щиты[Мест под вводной узел])),15)</f>
        <v>8</v>
      </c>
      <c r="BD303">
        <f t="shared" si="360"/>
        <v>30</v>
      </c>
      <c r="BE303" t="str">
        <f t="shared" si="361"/>
        <v>линии</v>
      </c>
      <c r="BF303">
        <f>IF(D303="","",IF(BA303&lt;&gt;"",IFERROR(_xlfn.XLOOKUP(BA303,Щиты[Щит],Щиты[Руст, кВт]),0),N(G303)))</f>
        <v>0.18</v>
      </c>
      <c r="BG303">
        <f>IF(J303&lt;&gt;"",J303,IF(D303="","",IFERROR(IF(VLOOKUP(AT303,Потребители_обозначение,8,FALSE)=0,"",VLOOKUP(AT303,Потребители_обозначение,8,FALSE)),"")))</f>
        <v>230</v>
      </c>
      <c r="BH303">
        <f>IF(I303&lt;&gt;"",I303,IF(D303="","",IFERROR(IF(VLOOKUP(AT303,Потребители_обозначение,9,FALSE)=0,"",VLOOKUP(AT303,Потребители_обозначение,9,FALSE)),"")))</f>
        <v>1</v>
      </c>
      <c r="BI303" t="str">
        <f>IF(U303&lt;&gt;"",U303,IF(D303="","",IFERROR(IF(VLOOKUP(AT303,Потребители_обозначение,6,FALSE)=0,"",VLOOKUP(AT303,Потребители_обозначение,6,FALSE)),"")))</f>
        <v>мс</v>
      </c>
      <c r="BJ303">
        <f>IF(V303&lt;&gt;"",V303,IF(D303="","",IFERROR(IF(VLOOKUP(AT303,Потребители_обозначение,7,FALSE)=0,"",VLOOKUP(AT303,Потребители_обозначение,7,FALSE)),"")))</f>
        <v>3</v>
      </c>
      <c r="BK303">
        <f>IF(W303&lt;&gt;"",W303,IF(D303="","",IFERROR(IF(VLOOKUP(AT303,Потребители_обозначение,10,FALSE)=0,"",VLOOKUP(AT303,Потребители_обозначение,10,FALSE)),"")))</f>
        <v>2.5</v>
      </c>
      <c r="BL303">
        <f>IFERROR(VLOOKUP(AT303,Потребители_обозначение,5,FALSE),0)</f>
        <v>1</v>
      </c>
      <c r="BM303" cm="1">
        <f t="array" ref="BM303">IF(D303="","",IF(BA303&lt;&gt;"",IFERROR(_xlfn.XLOOKUP(BA303,Щиты[Щит],Щиты[cos φ]),0.95),IF(ISNUMBER(M303),M303,IFERROR(IF(BL303=2,_xlfn.IFS(BH303=3,VLOOKUP(BF303,Справочная_двигатели,8,FALSE),BH303=1,VLOOKUP(BF303,Справочная_двигатели,10,TRUE)),IF(AND(Методика="нормы 2026",CN303="Сил"),0.8,0.95)),0.95))))</f>
        <v>0.95</v>
      </c>
      <c r="BN303" cm="1">
        <f t="array" ref="BN303">IF(D303="","",IF(BA303&lt;&gt;"",IFERROR(_xlfn.XLOOKUP(BA303,Щиты[Щит],Щиты[Iр, А]),""),IFERROR(_xlfn.IFS(BH303=1,BF303/((Uн_лин/SQRT(3))*BM303),BH303=3,BF303/(SQRT(3)*Uн_лин*BM303)),"")))</f>
        <v>0.8204451193747313</v>
      </c>
      <c r="BO303">
        <f>IF(D303="","",IF(N(X303)=0,IFERROR(VLOOKUP(BN303,Автомат_номиналы,2,TRUE),""),X303))</f>
        <v>16</v>
      </c>
      <c r="BP303">
        <f t="shared" si="362"/>
        <v>1</v>
      </c>
      <c r="BQ303">
        <f>IF(ISNUMBER(Y303),Y303,К_прокл)</f>
        <v>1</v>
      </c>
      <c r="BR303">
        <f t="shared" si="363"/>
        <v>2</v>
      </c>
      <c r="BS303" cm="1">
        <f t="array" ref="BS303">IF(D303="","",IF(N(BK303)&lt;&gt;0,BK303,IFERROR(_xlfn.LET(_xlpm.need,BO303/(BP303*BQ303),_xlpm.t,CHOOSE(BR303,Iдоп_1ж,Iдоп_2ж,Iдоп_3ж),_xlpm.k,_xlfn.XMATCH(_xlpm.need,_xlpm.t,1),IF(ISNA(_xlpm.k),"Не исп",INDEX(Iдоп_S,_xlpm.k))),"Не исп")))</f>
        <v>2.5</v>
      </c>
      <c r="BT303">
        <f>IFERROR(VLOOKUP(BS303,Кабель_сопротивление,3,FALSE),"")</f>
        <v>2.2499999999999999E-2</v>
      </c>
      <c r="BU303">
        <f>IFERROR(VLOOKUP(BS303,Кабель_сопротивление,2,FALSE),"")</f>
        <v>0.1</v>
      </c>
      <c r="BV303">
        <f t="shared" si="364"/>
        <v>84</v>
      </c>
      <c r="BW303">
        <f>IF(D303="","",IFERROR(IF(VLOOKUP(AT303,Потребители_обозначение,4,FALSE)=1,VLOOKUP(AT303,Потребители_обозначение,3,FALSE)*(H303*2-1)+BV303+VLOOKUP(AV303,Этаж_обозначение,3,FALSE)+VLOOKUP(AV303,Этаж_обозначение,4,FALSE),VLOOKUP(AT303,Потребители_обозначение,3,FALSE)*(H303*2-1)+BV303),BV303))</f>
        <v>87</v>
      </c>
      <c r="BX303">
        <f t="shared" si="365"/>
        <v>36</v>
      </c>
      <c r="BY303">
        <f t="shared" si="366"/>
        <v>33</v>
      </c>
      <c r="BZ303">
        <f t="shared" si="367"/>
        <v>2</v>
      </c>
      <c r="CA303">
        <f t="shared" si="368"/>
        <v>0.31</v>
      </c>
      <c r="CB303">
        <f t="shared" si="369"/>
        <v>1.225001685067695</v>
      </c>
      <c r="CC303">
        <f>IFERROR(ROUNDUP(CB303/((Uн_лин/SQRT(3))*1000)*100,2),"")</f>
        <v>0.54</v>
      </c>
      <c r="CD303">
        <f>IF(ISNUMBER(CC303),CC303+IFERROR(_xlfn.XLOOKUP(A303,Щиты[Щит],Щиты[ΔU до шин, %]),0),"")</f>
        <v>2.33</v>
      </c>
      <c r="CE303">
        <f>IF(D303="","",IF(IFERROR(VLOOKUP(AT303,УГО_спр,2,FALSE),"")="Светильник",3,4)+IF(Методика="нормы 2026",MIN(0.5,MAX(0,N(BW303)-100)*0.005),0))</f>
        <v>4</v>
      </c>
      <c r="CF303" t="str">
        <f>IFERROR(VLOOKUP(BI303,Кабель_обозначение,2,FALSE),"")</f>
        <v>ВВГнг(А)-LS</v>
      </c>
      <c r="CG303" t="str">
        <f>IFERROR(IF(VLOOKUP(BI303,Кабель_обозначение,3,FALSE)=1,CF303&amp;" ("&amp;BJ303&amp;"х"&amp;BS303&amp;")",CF303),"")</f>
        <v>ВВГнг(А)-LS (3х2,5)</v>
      </c>
      <c r="CH303" t="str">
        <f t="shared" si="370"/>
        <v>ВВГнг(А)-LS (3х2,5)
L=87-0,54%</v>
      </c>
      <c r="CI303">
        <f>IFERROR(2*ρкз_Cu*BW303/BS303,"")</f>
        <v>1.8304800000000001</v>
      </c>
      <c r="CJ303">
        <f t="shared" si="371"/>
        <v>0.6090000000000001</v>
      </c>
      <c r="CK303" t="str">
        <f>IFERROR(IF(OR(D303="",NOT(ISNUMBER(BS303)),N(BW303)=0),"",_xlfn.XLOOKUP(A303,Щиты[Щит],Щиты[Zпетли на шинах, Ом])+CI303),"")</f>
        <v/>
      </c>
      <c r="CL303" t="str">
        <f>IF(ISNUMBER(CK303),c_min*(Uн_лин*1000/SQRT(3))/CK303,"")</f>
        <v/>
      </c>
      <c r="CM303" t="str">
        <f>IFERROR(IF(OR(D303="",NOT(ISNUMBER(BS303))),"",1.05*(Uн_лин*1000/SQRT(3))/(_xlfn.XLOOKUP(A303,Щиты[Щит],Щиты[Zmax на шинах, Ом])+CJ303)/1000),"")</f>
        <v/>
      </c>
      <c r="CN303" t="str">
        <f>IF(D303="","",IF(BA303&lt;&gt;"","Щит",IF(K303&lt;&gt;"",K303,IF(ISNUMBER(L303),"Сил",IF(IFERROR(_xlfn.XLOOKUP(AT303,Коды_код,Коды_группа)&amp;"","")="","Быт",_xlfn.XLOOKUP(AT303,Коды_код,Коды_группа)&amp;"")))))</f>
        <v>Быт</v>
      </c>
      <c r="CO303">
        <f>IF(CN303="Щит","щит",IF(CN303="","",IF(CN303="Быт",IFERROR(_xlfn.XLOOKUP(A303,Щиты[Щит],Щиты[Кс быт]),1),IF(CN303="Сил",IF(ISNUMBER(L303),L303,IF(Методика="нормы 2026",IFERROR(_xlfn.XLOOKUP(A303,Щиты[Щит],Щиты[Кс силовых (табл. 7.5)]),1),1)),IF(OR(CN303="Пост",CN303="Отоп"),1,IF(CN303="ВНГ",0.7,0))))))</f>
        <v>0.8</v>
      </c>
      <c r="CP303">
        <f t="shared" si="372"/>
        <v>1</v>
      </c>
      <c r="CQ303">
        <f t="shared" si="373"/>
        <v>0.18</v>
      </c>
      <c r="CR303">
        <f t="shared" si="374"/>
        <v>0.18</v>
      </c>
      <c r="CS303">
        <f t="shared" si="375"/>
        <v>0</v>
      </c>
      <c r="CT303">
        <f t="shared" si="376"/>
        <v>0</v>
      </c>
      <c r="CU303">
        <f t="shared" si="377"/>
        <v>0</v>
      </c>
      <c r="CV303">
        <f t="shared" si="378"/>
        <v>0</v>
      </c>
      <c r="CW303">
        <f t="shared" si="379"/>
        <v>0.18</v>
      </c>
      <c r="CX303">
        <f t="shared" si="380"/>
        <v>0.17099999999999999</v>
      </c>
      <c r="CY303">
        <f t="shared" si="381"/>
        <v>3</v>
      </c>
      <c r="CZ303" t="str">
        <f t="shared" si="382"/>
        <v>L3</v>
      </c>
      <c r="DA303" cm="1">
        <f t="array" ref="DA303">IFERROR(IF(BL303=2,_xlfn.IFS(BH303=3,VLOOKUP(BF303,Справочная_двигатели,3,FALSE),BH303=1,VLOOKUP(BF303,Справочная_двигатели,5,TRUE)),0),0)</f>
        <v>0</v>
      </c>
      <c r="DB303">
        <f>IFERROR(IF(BL303=3,VLOOKUP(BF303,Справочная_ЛЭД,2,TRUE),0),0)</f>
        <v>0</v>
      </c>
      <c r="DC303">
        <f t="shared" si="383"/>
        <v>0</v>
      </c>
      <c r="DD303" t="str">
        <f t="shared" si="384"/>
        <v>L1</v>
      </c>
      <c r="DE303" t="str" cm="1">
        <f t="array" ref="DE303">IF(D303="","",IFERROR(INDEX({"I особая","I","II","III"},MATCH(TRIM(AA303&amp;""),{"I особая","I","II","III"},0)),"III"))</f>
        <v>II</v>
      </c>
      <c r="DF303" t="str">
        <f>IF(D303="","",IF(TRIM(AB303&amp;"")&lt;&gt;"",IF(LOWER(TRIM(AB303&amp;""))="да","да","нет"),IF(IFERROR(_xlfn.XLOOKUP(AT303,Коды_код,Коды_пожарная),"")="да","да","нет")))</f>
        <v>нет</v>
      </c>
      <c r="DG303" t="str">
        <f t="shared" si="385"/>
        <v/>
      </c>
      <c r="DH303" t="str">
        <f t="shared" si="386"/>
        <v>основная</v>
      </c>
      <c r="DI303">
        <f t="shared" si="387"/>
        <v>1</v>
      </c>
      <c r="DJ303" t="str" cm="1">
        <f t="array" ref="DJ303">IF(D303="","",_xlfn.LET(_xlpm.t,IFERROR(_xlfn.XLOOKUP(1,(Шины[Шина]=DH303)*(((Шины[Щит]=A303)+(Шины[Щит]=""))&gt;0),Шины[Тип]),"")&amp;"",IF(_xlpm.t&lt;&gt;"",_xlpm.t,IF(ISNUMBER(SEARCH("ИБП",DH303)),"ИБП",IF(ISNUMBER(SEARCH("ДГУ",DH303)),"ДГУ","Ввод "&amp;DI303)))))</f>
        <v>Ввод 1</v>
      </c>
      <c r="DK303" t="str">
        <f t="shared" si="388"/>
        <v>Ввод 1</v>
      </c>
      <c r="DL303" t="str">
        <f>IF(D303="","",IF(OR(DJ303="ИБП",DJ303="ДГУ"),"I особая",IF(DJ303="Одиночная","III",_xlfn.XLOOKUP(A303,Щиты[Щит],Щиты[Категория шины «Ввод»],"III"))))</f>
        <v>II</v>
      </c>
      <c r="DM303">
        <f>IF(D303="",0,IFERROR(MATCH(DE303,{"III","II","I","I особая"},0),1))</f>
        <v>2</v>
      </c>
      <c r="DN303">
        <f t="shared" si="389"/>
        <v>2</v>
      </c>
      <c r="DO303" t="str">
        <f>IF(D303="","",IF(DM303&gt;IFERROR(MATCH(DL303,{"III","II","I","I особая"},0),1),"НЕ ОБЕСПЕЧЕНА","ОК"))</f>
        <v>ОК</v>
      </c>
      <c r="DP303" t="str">
        <f>IF(A303="","",_xlfn.XLOOKUP(A303,Щиты[Щит],Щиты[Путь],""))</f>
        <v>|ГРЩ-ЖД|ЩР-2|</v>
      </c>
      <c r="DQ303" t="str">
        <f>IF(D303="","",IF(Z303&lt;&gt;"",Z303,IF(IFERROR(_xlfn.XLOOKUP(AT303,Коды_код,Коды_вид)&amp;"","")="","Прочее",_xlfn.XLOOKUP(AT303,Коды_код,Коды_вид)&amp;"")))</f>
        <v>Розеточная сеть и бытовые приборы</v>
      </c>
      <c r="DR303">
        <f>IF(BD303="","",INT((BD303-1)/Столбцов_на_лист)+1)</f>
        <v>2</v>
      </c>
      <c r="DS303" t="str">
        <f t="shared" si="390"/>
        <v>ВВГнг(А)-LS (3х2,5) L=87-0,54%</v>
      </c>
      <c r="DT303">
        <f t="shared" si="391"/>
        <v>0.18</v>
      </c>
      <c r="DU303">
        <f t="shared" si="392"/>
        <v>0.83</v>
      </c>
      <c r="DV303">
        <f t="shared" si="393"/>
        <v>1</v>
      </c>
      <c r="DW303">
        <f>IF(AT303="",0,_xlfn.LET(_xlpm.v,IFERROR(VLOOKUP(D303,УГО_спр,3,FALSE),IFERROR(VLOOKUP(AT303,УГО_спр,3,FALSE),IFERROR(VLOOKUP(LEFT(AT303,2),УГО_спр,3,FALSE),""))),IF(_xlpm.v="да",30,IF(ISNUMBER(_xlpm.v),_xlpm.v,0))))</f>
        <v>30</v>
      </c>
      <c r="DX303">
        <f t="shared" si="394"/>
        <v>0</v>
      </c>
      <c r="DY303">
        <f>IF(BD303="","",IF(AD303&lt;&gt;"",COUNTIFS(A$3:A303,A303,AD$3:AD303,"?*"),IF(OR(OR(AS303=1,A303&lt;&gt;A302),AL303="вручную"),"",IF(AS303=1,"",DZ302))))</f>
        <v>20</v>
      </c>
      <c r="DZ303">
        <f t="shared" si="395"/>
        <v>20</v>
      </c>
      <c r="EA303">
        <f>IF(D303="",0,MAX(IFERROR(--X303,0),IFERROR(--VLOOKUP(D303,УГО_спр,4,FALSE),IFERROR(--VLOOKUP(AT303,УГО_спр,4,FALSE),IFERROR(--VLOOKUP(LEFT(AT303,2),УГО_спр,4,FALSE),0)))))</f>
        <v>16</v>
      </c>
      <c r="EB303">
        <f>IF(D303="","",IFERROR(LOOKUP(INDEX(CHOOSE(BR303,Iдоп_1ж,Iдоп_2ж,Iдоп_3ж),MATCH(BS303,Iдоп_S,0))*BP303*BQ303,{6,10,16,20,25,32,40,50,63,80,100,125,160,200,250,315,400,500,630}),""))</f>
        <v>25</v>
      </c>
      <c r="EC303">
        <f>IF(AD303="","",SUMIFS(Линии[_Ток схемы],Линии[_гр.],DY303,Линии[Щит],A303,Линии[_в кабель выше],0))</f>
        <v>0.83</v>
      </c>
      <c r="ED303">
        <f>IF(AD303="","",IFERROR(VLOOKUP(EC303,Автомат_номиналы,2,TRUE),""))</f>
        <v>6</v>
      </c>
      <c r="EE303">
        <f>IF(AD303="","",MAX(N(ED303),_xlfn.MAXIFS(Линии[_мин. по типу],Линии[_гр.],DY303,Линии[Щит],A303)))</f>
        <v>16</v>
      </c>
      <c r="EF303">
        <f>IF(AD303="","",_xlfn.MINIFS(Линии[_макс. автомат по кабелю],Линии[_гр.],DY303,Линии[Щит],A303))</f>
        <v>25</v>
      </c>
      <c r="EG303">
        <f>IF(AD303="","",MAX(1,_xlfn.MAXIFS(Линии[_фаз],Линии[_гр.],DY303,Линии[Щит],A303)))</f>
        <v>1</v>
      </c>
      <c r="EH303">
        <f>IF(AD303="","",IF(AND(AD303&lt;&gt;"авто",AD303&lt;&gt;"+"),IF(ISNUMBER(SEARCH("мА",AD303)),IFERROR(--TRIM(RIGHT(SUBSTITUTE(LEFT(AD303,SEARCH("мА",AD303)-1)," ",REPT(" ",9)),6)),30),0),IF(AE303="нет",0,IF(ISNUMBER(AE303),AE303,IF(AE303="да",30,_xlfn.MINIFS(Линии[_дифзащита по коду, мА],Линии[_гр.],DY303,Линии[Щит],A303,Линии[_дифзащита по коду, мА],"&gt;0"))))))</f>
        <v>30</v>
      </c>
      <c r="EI303">
        <f t="shared" si="396"/>
        <v>1</v>
      </c>
      <c r="EJ303" t="str">
        <f t="shared" si="397"/>
        <v>QFD20</v>
      </c>
      <c r="EK303" t="str">
        <f t="shared" si="398"/>
        <v>QFD20</v>
      </c>
      <c r="EL303" t="str">
        <f t="shared" si="399"/>
        <v/>
      </c>
      <c r="EM303">
        <f t="shared" si="400"/>
        <v>0</v>
      </c>
      <c r="EN303">
        <f>IF(AD303="","",IF(EM303=1,MAX(EE303,Мин_автомат_БП),EE303))</f>
        <v>16</v>
      </c>
      <c r="EO303" t="str">
        <f t="shared" si="401"/>
        <v>2P</v>
      </c>
      <c r="EP303" t="str">
        <f t="shared" si="402"/>
        <v>2P С16А 30мА</v>
      </c>
      <c r="EQ303">
        <f t="shared" si="403"/>
        <v>16</v>
      </c>
      <c r="ER303" t="str">
        <f>IF(OR(AI303="",AI303="-"),"",IFERROR(VLOOKUP(AI303,Модули_спр,2,FALSE),"R"))</f>
        <v/>
      </c>
      <c r="ES303" t="str">
        <f>IF(ER303="","",ER303&amp;"."&amp;COUNTIFS(A$3:A303,A303,ER$3:ER303,ER303))</f>
        <v/>
      </c>
      <c r="ET303" t="str">
        <f t="shared" si="404"/>
        <v/>
      </c>
      <c r="EU303" t="str">
        <f t="shared" si="405"/>
        <v/>
      </c>
      <c r="EV303" t="str">
        <f t="shared" si="406"/>
        <v/>
      </c>
      <c r="EW303" t="str">
        <f t="shared" si="407"/>
        <v/>
      </c>
      <c r="EX303">
        <f t="shared" si="408"/>
        <v>1</v>
      </c>
      <c r="EY303" t="str">
        <f>IF(AK303="нет","",IF(AK303&lt;&gt;"",AK303,IF(EX303=1,"XT"&amp;COUNTIFS(A$3:A303,A303,EX$3:EX303,1),"")))</f>
        <v/>
      </c>
      <c r="EZ303" t="str">
        <f t="shared" si="409"/>
        <v>QFD20</v>
      </c>
      <c r="FA303" t="str">
        <f t="shared" si="410"/>
        <v/>
      </c>
      <c r="FB303" t="str">
        <f t="shared" si="411"/>
        <v>ok</v>
      </c>
      <c r="FC303" t="str">
        <f>IF(OR(EV303="",ET303=""),"",IF(EV303&gt;IFERROR(VLOOKUP(EU303,Модули_спр,3,FALSE),99),"ЛИШНИЙ КАНАЛ",IF(AND(AJ303&lt;&gt;"=",COUNTIFS(Линии[_модуль гр.],ET303,Линии[Канал (итог)],EV303,Линии[Канал],"&lt;&gt;=",Линии[Щит],A303)&gt;1),"ДУБЛЬ КАНАЛА","")))</f>
        <v/>
      </c>
      <c r="FD303">
        <f t="shared" si="412"/>
        <v>16</v>
      </c>
      <c r="FE303" t="str">
        <f t="shared" si="413"/>
        <v>2P С16А 30мА</v>
      </c>
      <c r="FF303">
        <f t="shared" si="414"/>
        <v>1</v>
      </c>
      <c r="FG303">
        <f t="shared" si="415"/>
        <v>30</v>
      </c>
      <c r="FH303" t="str">
        <f t="shared" si="416"/>
        <v/>
      </c>
      <c r="FI303">
        <f t="shared" si="417"/>
        <v>10</v>
      </c>
      <c r="FJ303" t="str">
        <f t="shared" si="418"/>
        <v/>
      </c>
      <c r="FK303" t="str">
        <f>IF(AND(D303="",EZ303=""),"",_xlfn.TEXTJOIN("; ",TRUE,IF(AND(D303&lt;&gt;"",DD303=""),"нет фазы",""),IF(AND(D303&lt;&gt;"",N(DT303)=0,CN303&lt;&gt;"Нет"),"нет мощности",""),IF(AND(EY303&lt;&gt;"",COUNTIFS(Линии[Щит],A303,Линии[Клемма (итог)],EY303)&gt;1),"дубль клеммы "&amp;EY303,""),IF(AND(FB303&lt;&gt;"",FB303&lt;&gt;"ok"),FB303,""),IF(FC303&lt;&gt;"",FC303,""),IF(AND(ISNUMBER(SEARCH("(5х",DS303)),N(DV303)=1),"5 жил на 1 фазе",""),IF(AND(AT303="R",AD303&lt;&gt;"",OR(N(EH303)=0,N(EH303)&gt;30)),"розетка без дифзащиты до 30 мА",""),IFERROR(IF(AND(ISNUMBER(CD303),CD303&gt;CE303),"потери "&amp;FIXED(CD303,1)&amp;" % &gt; "&amp;CE303&amp;" %",""),""),IFERROR(IF(LEFT(FJ303,4)="мало","Iкз мало — отключение &gt; 0,4 с",""),""),IF(AND(D303&lt;&gt;"",BD303=""),"не на схеме","")))</f>
        <v/>
      </c>
      <c r="FL303">
        <f>IF(AD303="","",_xlfn.LET(_xlpm.t,IFERROR(_xlfn.XLOOKUP(EP303,Каталог!$U$4:$U$500,Каталог!$G$4:$G$500),""),_xlpm.k,SEARCH("кА",_xlpm.t),IFERROR(--TRIM(RIGHT(SUBSTITUTE(MID(_xlpm.t,MAX(1,_xlpm.k-4),_xlpm.k-MAX(1,_xlpm.k-4))," ",REPT(" ",9)),5)),"")))</f>
        <v>6</v>
      </c>
      <c r="FM303" t="str">
        <f>IF(OR(FL303="",AD303=""),"",IF(_xlfn.XLOOKUP(A303,Щиты[Щит],Щиты[Iкз max на шинах, кА],"")="","",IF(FL303&lt;_xlfn.XLOOKUP(A303,Щиты[Щит],Щиты[Iкз max на шинах, кА]),"Icu "&amp;FL303&amp;" кА &lt; Iкз max","ok")))</f>
        <v/>
      </c>
      <c r="FN303" t="str">
        <f t="shared" si="419"/>
        <v>QFD20</v>
      </c>
      <c r="FO303" t="str">
        <f t="shared" si="420"/>
        <v>QFD20|кабель ВВГнг(А)-LS (3х2,5) → Розеточная группа Второй этаж Пом. №001</v>
      </c>
      <c r="FP303" t="str" cm="1">
        <f t="array" ref="FP303">IF(FO303="","",_xlfn.LET(_xlpm.nd,_xlfn.TEXTSPLIT(FO303,"|"),IF(COLUMNS(_xlpm.nd)&gt;1,A303&amp;"¦"&amp;INDEX(_xlpm.nd,1)&amp;"¦"&amp;INDEX(_xlpm.nd,2),"")))</f>
        <v>ЩР-2¦QFD20¦кабель ВВГнг(А)-LS (3х2,5) → Розеточная группа Второй этаж Пом. №001</v>
      </c>
      <c r="FQ303" t="str">
        <f t="shared" si="421"/>
        <v>R.2.001.1¦Розеточная группа Второй этаж Пом. №001</v>
      </c>
      <c r="FR303" t="str" cm="1">
        <f t="array" ref="FR303">IF(FO303="","",_xlfn.LET(_xlpm.nd,_xlfn.TEXTSPLIT(FO303,"|"),IF(COLUMNS(_xlpm.nd)&gt;2,A303&amp;"¦"&amp;INDEX(_xlpm.nd,2)&amp;"¦"&amp;INDEX(_xlpm.nd,3),"")))</f>
        <v/>
      </c>
      <c r="FS303" t="str">
        <f t="shared" si="422"/>
        <v/>
      </c>
      <c r="FT303" t="str" cm="1">
        <f t="array" ref="FT303">IF(FO303="","",_xlfn.LET(_xlpm.nd,_xlfn.TEXTSPLIT(FO303,"|"),IF(COLUMNS(_xlpm.nd)&gt;3,A303&amp;"¦"&amp;INDEX(_xlpm.nd,3)&amp;"¦"&amp;INDEX(_xlpm.nd,4),"")))</f>
        <v/>
      </c>
      <c r="FU303" t="str">
        <f t="shared" si="423"/>
        <v/>
      </c>
      <c r="FV303" t="str" cm="1">
        <f t="array" ref="FV303">IF(FO303="","",_xlfn.LET(_xlpm.nd,_xlfn.TEXTSPLIT(FO303,"|"),IF(COLUMNS(_xlpm.nd)&gt;4,A303&amp;"¦"&amp;INDEX(_xlpm.nd,4)&amp;"¦"&amp;INDEX(_xlpm.nd,5),"")))</f>
        <v/>
      </c>
      <c r="FW303" t="str">
        <f t="shared" si="424"/>
        <v/>
      </c>
      <c r="FX303" t="str" cm="1">
        <f t="array" ref="FX303">IF(FO303="","",_xlfn.LET(_xlpm.nd,_xlfn.TEXTSPLIT(FO303,"|"),IF(COLUMNS(_xlpm.nd)&gt;5,A303&amp;"¦"&amp;INDEX(_xlpm.nd,5)&amp;"¦"&amp;INDEX(_xlpm.nd,6),"")))</f>
        <v/>
      </c>
      <c r="FY303" t="str">
        <f t="shared" si="425"/>
        <v/>
      </c>
      <c r="FZ303" t="str" cm="1">
        <f t="array" ref="FZ303">IF(FO303="","",_xlfn.LET(_xlpm.nd,_xlfn.TEXTSPLIT(FO303,"|"),IF(COLUMNS(_xlpm.nd)&gt;6,A303&amp;"¦"&amp;INDEX(_xlpm.nd,6)&amp;"¦"&amp;INDEX(_xlpm.nd,7),"")))</f>
        <v/>
      </c>
      <c r="GA303" t="str">
        <f t="shared" si="426"/>
        <v/>
      </c>
      <c r="GB303" t="str">
        <f t="shared" si="427"/>
        <v/>
      </c>
      <c r="GC303" t="str">
        <f t="shared" si="428"/>
        <v>QFD20</v>
      </c>
      <c r="GD303">
        <f t="shared" si="429"/>
        <v>1</v>
      </c>
      <c r="GE303">
        <f t="shared" si="430"/>
        <v>0</v>
      </c>
      <c r="GF303">
        <f t="shared" si="431"/>
        <v>1</v>
      </c>
      <c r="GG303" t="str">
        <f t="shared" si="432"/>
        <v/>
      </c>
      <c r="GH303" t="str">
        <f t="shared" si="433"/>
        <v/>
      </c>
      <c r="GI303" t="str">
        <f t="shared" si="434"/>
        <v/>
      </c>
      <c r="GJ303" t="str">
        <f t="shared" si="435"/>
        <v/>
      </c>
      <c r="GK303" t="str">
        <f>IF(D303="","",IFERROR(VLOOKUP(D303,УГО_спр,2,FALSE),IFERROR(VLOOKUP(AT303,УГО_спр,2,FALSE),IFERROR(VLOOKUP(LEFT(AT303,2),УГО_спр,2,FALSE),""))))</f>
        <v>Розетка</v>
      </c>
      <c r="GL303" t="str">
        <f>IF(D303="","",IF(OR(GK303="",GK303=0),"BOX",IFERROR(IF(VLOOKUP(GK303,УГО_блоки,3,FALSE)&amp;""&lt;&gt;"",VLOOKUP(GK303,УГО_блоки,3,FALSE),VLOOKUP(GK303,УГО_блоки,2,FALSE)),GK303)))</f>
        <v>SOCKET</v>
      </c>
      <c r="GM303">
        <f t="shared" si="436"/>
        <v>1</v>
      </c>
      <c r="GN303" t="str">
        <f>IF(EP303="","",IF(COUNTIF(EP$3:EP303,EP303)=1,MAX(GN$2:GN302)+1,""))</f>
        <v/>
      </c>
      <c r="GO303" t="str">
        <f>IF(AF303="","",IF(COUNTIF(AF$3:AF303,AF303)+COUNTIF(AG$2:AG302,AF303)+COUNTIF(AH$2:AH302,AF303)=1,MAX(GO$2:GQ302)+1,""))</f>
        <v/>
      </c>
      <c r="GP303" t="str">
        <f>IF(AG303="","",IF(COUNTIF(AF$3:AF303,AG303)+COUNTIF(AG$3:AG303,AG303)+COUNTIF(AH$2:AH302,AG303)=1,MAX(GO$2:GQ302,GO303)+1,""))</f>
        <v/>
      </c>
      <c r="GQ303" t="str">
        <f>IF(AH303="","",IF(COUNTIF(AF$3:AF303,AH303)+COUNTIF(AG$3:AG303,AH303)+COUNTIF(AH$3:AH303,AH303)=1,MAX(GO$2:GQ302,GO303,GP303)+1,""))</f>
        <v/>
      </c>
      <c r="GR303" t="str">
        <f t="shared" si="437"/>
        <v>3х2,5</v>
      </c>
      <c r="GS303" t="str">
        <f>IF(GR303="","",IF(COUNTIF(GR$3:GR303,GR303)=1,MAX(GS$2:GS302)+1,""))</f>
        <v/>
      </c>
      <c r="GT303" t="str">
        <f>IF(ES303="","",COUNTIF(ES$3:ES303,"?*"))</f>
        <v/>
      </c>
      <c r="GU303" t="str">
        <f>IF(OR(ES303="",EU303=""),"",IF(COUNTIFS(ES$3:ES303,"?*",EU$3:EU303,EU303)=1,MAX(GU$2:GU302)+1,""))</f>
        <v/>
      </c>
      <c r="GV303">
        <f t="shared" si="438"/>
        <v>0</v>
      </c>
      <c r="GW303">
        <f>IF(D303="","",COUNTIF(D$3:D303,"?*"))</f>
        <v>301</v>
      </c>
      <c r="GX303">
        <f>IF(EX303&lt;&gt;1,0,_xlfn.LET(_xlpm.k,MAX(IFERROR(--VLOOKUP(D303,УГО_спр,5,FALSE),0),IFERROR(--VLOOKUP(AT303,УГО_спр,5,FALSE),0),IFERROR(--VLOOKUP(LEFT(AT303,2),УГО_спр,5,FALSE),0)),IF(_xlpm.k&gt;0,_xlpm.k,IF(IFERROR(--LEFT(SUBSTITUTE(GR303,"x","х"),FIND("х",SUBSTITUTE(GR303,"x","х"))-1),3)&gt;3,Каталог!$S$9,1))))</f>
        <v>1</v>
      </c>
      <c r="GY303">
        <f t="shared" si="439"/>
        <v>0</v>
      </c>
    </row>
    <row r="304" spans="1:207" x14ac:dyDescent="0.3">
      <c r="A304" t="s">
        <v>764</v>
      </c>
      <c r="B304">
        <v>31</v>
      </c>
      <c r="C304" t="str">
        <f>IF(BD304="","",IF(BE304="вводной узел","узел ","")&amp;"л."&amp;(INT((BD304-1)/Столбцов_на_лист)+1)&amp;" / "&amp;(MOD(BD304-1,Столбцов_на_лист)+1))</f>
        <v>л.2 / 14</v>
      </c>
      <c r="D304" t="s">
        <v>1638</v>
      </c>
      <c r="E304" s="133" t="str">
        <f t="shared" si="352"/>
        <v>Розеточная группа Второй этаж Пом. №003Г</v>
      </c>
      <c r="G304">
        <v>0.12</v>
      </c>
      <c r="H304">
        <v>1</v>
      </c>
      <c r="I304">
        <v>1</v>
      </c>
      <c r="J304">
        <v>230</v>
      </c>
      <c r="K304" t="s">
        <v>566</v>
      </c>
      <c r="O304">
        <v>1</v>
      </c>
      <c r="P304">
        <v>44</v>
      </c>
      <c r="Q304">
        <v>12</v>
      </c>
      <c r="R304">
        <v>27</v>
      </c>
      <c r="S304">
        <v>8</v>
      </c>
      <c r="T304">
        <v>2</v>
      </c>
      <c r="U304" t="s">
        <v>11</v>
      </c>
      <c r="V304">
        <v>3</v>
      </c>
      <c r="W304">
        <v>2.5</v>
      </c>
      <c r="X304">
        <v>16</v>
      </c>
      <c r="Z304" t="s">
        <v>565</v>
      </c>
      <c r="AA304" t="s">
        <v>818</v>
      </c>
      <c r="AD304" t="s">
        <v>517</v>
      </c>
      <c r="AK304" t="s">
        <v>488</v>
      </c>
      <c r="AR304" t="str">
        <f t="shared" si="353"/>
        <v/>
      </c>
      <c r="AS304" cm="1">
        <f t="array" ref="AS304">ROW()-ROW(Линии[#Headers])</f>
        <v>302</v>
      </c>
      <c r="AT304" t="str">
        <f t="shared" si="354"/>
        <v>R</v>
      </c>
      <c r="AU304" t="str">
        <f t="shared" si="355"/>
        <v>2.003Г.1</v>
      </c>
      <c r="AV304" t="str">
        <f t="shared" si="356"/>
        <v>2</v>
      </c>
      <c r="AW304" t="str">
        <f t="shared" si="357"/>
        <v>003Г.1</v>
      </c>
      <c r="AX304" t="str">
        <f t="shared" si="358"/>
        <v>003Г</v>
      </c>
      <c r="AY304" t="str">
        <f>IF(D304="","",IF(ISERROR(SEARCH(".",D304)),IFERROR(VLOOKUP(D304,Потребители_обозначение,2,FALSE)&amp;"",""),IFERROR(IF(VLOOKUP(AT304,Потребители_обозначение,4,FALSE)=1,VLOOKUP(AT304,Потребители_обозначение,2,FALSE)&amp;" "&amp;VLOOKUP(AV304,Этаж_обозначение,2,FALSE)&amp;" Пом. №"&amp;AX304,VLOOKUP(AT304,Потребители_обозначение,2,FALSE)&amp;" Шлейф №"&amp;AV304),IFERROR(VLOOKUP(D304,Потребители_обозначение,2,FALSE),""))))</f>
        <v>Розеточная группа Второй этаж Пом. №003Г</v>
      </c>
      <c r="AZ304" t="str">
        <f t="shared" si="359"/>
        <v>Розеточная группа Второй этаж Пом. №003Г</v>
      </c>
      <c r="BA304" t="str">
        <f>IF(F304&lt;&gt;"",F304,IF(AND(D304&lt;&gt;"",D304&lt;&gt;A304,ISNUMBER(_xlfn.XMATCH(D304,Щиты[Щит]))),D304,""))</f>
        <v/>
      </c>
      <c r="BB304">
        <f>IFERROR(_xlfn.XMATCH(A304,Щиты[Щит]),0)</f>
        <v>11</v>
      </c>
      <c r="BC304">
        <f>IFERROR(N(_xlfn.XLOOKUP(A304,Щиты[Щит],Щиты[Мест под вводной узел])),15)</f>
        <v>8</v>
      </c>
      <c r="BD304">
        <f t="shared" si="360"/>
        <v>31</v>
      </c>
      <c r="BE304" t="str">
        <f t="shared" si="361"/>
        <v>линии</v>
      </c>
      <c r="BF304">
        <f>IF(D304="","",IF(BA304&lt;&gt;"",IFERROR(_xlfn.XLOOKUP(BA304,Щиты[Щит],Щиты[Руст, кВт]),0),N(G304)))</f>
        <v>0.12</v>
      </c>
      <c r="BG304">
        <f>IF(J304&lt;&gt;"",J304,IF(D304="","",IFERROR(IF(VLOOKUP(AT304,Потребители_обозначение,8,FALSE)=0,"",VLOOKUP(AT304,Потребители_обозначение,8,FALSE)),"")))</f>
        <v>230</v>
      </c>
      <c r="BH304">
        <f>IF(I304&lt;&gt;"",I304,IF(D304="","",IFERROR(IF(VLOOKUP(AT304,Потребители_обозначение,9,FALSE)=0,"",VLOOKUP(AT304,Потребители_обозначение,9,FALSE)),"")))</f>
        <v>1</v>
      </c>
      <c r="BI304" t="str">
        <f>IF(U304&lt;&gt;"",U304,IF(D304="","",IFERROR(IF(VLOOKUP(AT304,Потребители_обозначение,6,FALSE)=0,"",VLOOKUP(AT304,Потребители_обозначение,6,FALSE)),"")))</f>
        <v>мс</v>
      </c>
      <c r="BJ304">
        <f>IF(V304&lt;&gt;"",V304,IF(D304="","",IFERROR(IF(VLOOKUP(AT304,Потребители_обозначение,7,FALSE)=0,"",VLOOKUP(AT304,Потребители_обозначение,7,FALSE)),"")))</f>
        <v>3</v>
      </c>
      <c r="BK304">
        <f>IF(W304&lt;&gt;"",W304,IF(D304="","",IFERROR(IF(VLOOKUP(AT304,Потребители_обозначение,10,FALSE)=0,"",VLOOKUP(AT304,Потребители_обозначение,10,FALSE)),"")))</f>
        <v>2.5</v>
      </c>
      <c r="BL304">
        <f>IFERROR(VLOOKUP(AT304,Потребители_обозначение,5,FALSE),0)</f>
        <v>1</v>
      </c>
      <c r="BM304" cm="1">
        <f t="array" ref="BM304">IF(D304="","",IF(BA304&lt;&gt;"",IFERROR(_xlfn.XLOOKUP(BA304,Щиты[Щит],Щиты[cos φ]),0.95),IF(ISNUMBER(M304),M304,IFERROR(IF(BL304=2,_xlfn.IFS(BH304=3,VLOOKUP(BF304,Справочная_двигатели,8,FALSE),BH304=1,VLOOKUP(BF304,Справочная_двигатели,10,TRUE)),IF(AND(Методика="нормы 2026",CN304="Сил"),0.8,0.95)),0.95))))</f>
        <v>0.95</v>
      </c>
      <c r="BN304" cm="1">
        <f t="array" ref="BN304">IF(D304="","",IF(BA304&lt;&gt;"",IFERROR(_xlfn.XLOOKUP(BA304,Щиты[Щит],Щиты[Iр, А]),""),IFERROR(_xlfn.IFS(BH304=1,BF304/((Uн_лин/SQRT(3))*BM304),BH304=3,BF304/(SQRT(3)*Uн_лин*BM304)),"")))</f>
        <v>0.54696341291648753</v>
      </c>
      <c r="BO304">
        <f>IF(D304="","",IF(N(X304)=0,IFERROR(VLOOKUP(BN304,Автомат_номиналы,2,TRUE),""),X304))</f>
        <v>16</v>
      </c>
      <c r="BP304">
        <f t="shared" si="362"/>
        <v>1</v>
      </c>
      <c r="BQ304">
        <f>IF(ISNUMBER(Y304),Y304,К_прокл)</f>
        <v>1</v>
      </c>
      <c r="BR304">
        <f t="shared" si="363"/>
        <v>2</v>
      </c>
      <c r="BS304" cm="1">
        <f t="array" ref="BS304">IF(D304="","",IF(N(BK304)&lt;&gt;0,BK304,IFERROR(_xlfn.LET(_xlpm.need,BO304/(BP304*BQ304),_xlpm.t,CHOOSE(BR304,Iдоп_1ж,Iдоп_2ж,Iдоп_3ж),_xlpm.k,_xlfn.XMATCH(_xlpm.need,_xlpm.t,1),IF(ISNA(_xlpm.k),"Не исп",INDEX(Iдоп_S,_xlpm.k))),"Не исп")))</f>
        <v>2.5</v>
      </c>
      <c r="BT304">
        <f>IFERROR(VLOOKUP(BS304,Кабель_сопротивление,3,FALSE),"")</f>
        <v>2.2499999999999999E-2</v>
      </c>
      <c r="BU304">
        <f>IFERROR(VLOOKUP(BS304,Кабель_сопротивление,2,FALSE),"")</f>
        <v>0.1</v>
      </c>
      <c r="BV304">
        <f t="shared" si="364"/>
        <v>44</v>
      </c>
      <c r="BW304">
        <f>IF(D304="","",IFERROR(IF(VLOOKUP(AT304,Потребители_обозначение,4,FALSE)=1,VLOOKUP(AT304,Потребители_обозначение,3,FALSE)*(H304*2-1)+BV304+VLOOKUP(AV304,Этаж_обозначение,3,FALSE)+VLOOKUP(AV304,Этаж_обозначение,4,FALSE),VLOOKUP(AT304,Потребители_обозначение,3,FALSE)*(H304*2-1)+BV304),BV304))</f>
        <v>47</v>
      </c>
      <c r="BX304">
        <f t="shared" si="365"/>
        <v>27</v>
      </c>
      <c r="BY304">
        <f t="shared" si="366"/>
        <v>8</v>
      </c>
      <c r="BZ304">
        <f t="shared" si="367"/>
        <v>2</v>
      </c>
      <c r="CA304">
        <f t="shared" si="368"/>
        <v>0.31</v>
      </c>
      <c r="CB304">
        <f t="shared" si="369"/>
        <v>0.44118834634621956</v>
      </c>
      <c r="CC304">
        <f>IFERROR(ROUNDUP(CB304/((Uн_лин/SQRT(3))*1000)*100,2),"")</f>
        <v>0.2</v>
      </c>
      <c r="CD304">
        <f>IF(ISNUMBER(CC304),CC304+IFERROR(_xlfn.XLOOKUP(A304,Щиты[Щит],Щиты[ΔU до шин, %]),0),"")</f>
        <v>1.99</v>
      </c>
      <c r="CE304">
        <f>IF(D304="","",IF(IFERROR(VLOOKUP(AT304,УГО_спр,2,FALSE),"")="Светильник",3,4)+IF(Методика="нормы 2026",MIN(0.5,MAX(0,N(BW304)-100)*0.005),0))</f>
        <v>4</v>
      </c>
      <c r="CF304" t="str">
        <f>IFERROR(VLOOKUP(BI304,Кабель_обозначение,2,FALSE),"")</f>
        <v>ВВГнг(А)-LS</v>
      </c>
      <c r="CG304" t="str">
        <f>IFERROR(IF(VLOOKUP(BI304,Кабель_обозначение,3,FALSE)=1,CF304&amp;" ("&amp;BJ304&amp;"х"&amp;BS304&amp;")",CF304),"")</f>
        <v>ВВГнг(А)-LS (3х2,5)</v>
      </c>
      <c r="CH304" t="str">
        <f t="shared" si="370"/>
        <v>ВВГнг(А)-LS (3х2,5)
L=47-0,2%</v>
      </c>
      <c r="CI304">
        <f>IFERROR(2*ρкз_Cu*BW304/BS304,"")</f>
        <v>0.98887999999999998</v>
      </c>
      <c r="CJ304">
        <f t="shared" si="371"/>
        <v>0.32900000000000007</v>
      </c>
      <c r="CK304" t="str">
        <f>IFERROR(IF(OR(D304="",NOT(ISNUMBER(BS304)),N(BW304)=0),"",_xlfn.XLOOKUP(A304,Щиты[Щит],Щиты[Zпетли на шинах, Ом])+CI304),"")</f>
        <v/>
      </c>
      <c r="CL304" t="str">
        <f>IF(ISNUMBER(CK304),c_min*(Uн_лин*1000/SQRT(3))/CK304,"")</f>
        <v/>
      </c>
      <c r="CM304" t="str">
        <f>IFERROR(IF(OR(D304="",NOT(ISNUMBER(BS304))),"",1.05*(Uн_лин*1000/SQRT(3))/(_xlfn.XLOOKUP(A304,Щиты[Щит],Щиты[Zmax на шинах, Ом])+CJ304)/1000),"")</f>
        <v/>
      </c>
      <c r="CN304" t="str">
        <f>IF(D304="","",IF(BA304&lt;&gt;"","Щит",IF(K304&lt;&gt;"",K304,IF(ISNUMBER(L304),"Сил",IF(IFERROR(_xlfn.XLOOKUP(AT304,Коды_код,Коды_группа)&amp;"","")="","Быт",_xlfn.XLOOKUP(AT304,Коды_код,Коды_группа)&amp;"")))))</f>
        <v>Быт</v>
      </c>
      <c r="CO304">
        <f>IF(CN304="Щит","щит",IF(CN304="","",IF(CN304="Быт",IFERROR(_xlfn.XLOOKUP(A304,Щиты[Щит],Щиты[Кс быт]),1),IF(CN304="Сил",IF(ISNUMBER(L304),L304,IF(Методика="нормы 2026",IFERROR(_xlfn.XLOOKUP(A304,Щиты[Щит],Щиты[Кс силовых (табл. 7.5)]),1),1)),IF(OR(CN304="Пост",CN304="Отоп"),1,IF(CN304="ВНГ",0.7,0))))))</f>
        <v>0.8</v>
      </c>
      <c r="CP304">
        <f t="shared" si="372"/>
        <v>1</v>
      </c>
      <c r="CQ304">
        <f t="shared" si="373"/>
        <v>0.12</v>
      </c>
      <c r="CR304">
        <f t="shared" si="374"/>
        <v>0.12</v>
      </c>
      <c r="CS304">
        <f t="shared" si="375"/>
        <v>0</v>
      </c>
      <c r="CT304">
        <f t="shared" si="376"/>
        <v>0</v>
      </c>
      <c r="CU304">
        <f t="shared" si="377"/>
        <v>0</v>
      </c>
      <c r="CV304">
        <f t="shared" si="378"/>
        <v>0</v>
      </c>
      <c r="CW304">
        <f t="shared" si="379"/>
        <v>0.12</v>
      </c>
      <c r="CX304">
        <f t="shared" si="380"/>
        <v>0.11399999999999999</v>
      </c>
      <c r="CY304">
        <f t="shared" si="381"/>
        <v>1</v>
      </c>
      <c r="CZ304" t="str">
        <f t="shared" si="382"/>
        <v>L1</v>
      </c>
      <c r="DA304" cm="1">
        <f t="array" ref="DA304">IFERROR(IF(BL304=2,_xlfn.IFS(BH304=3,VLOOKUP(BF304,Справочная_двигатели,3,FALSE),BH304=1,VLOOKUP(BF304,Справочная_двигатели,5,TRUE)),0),0)</f>
        <v>0</v>
      </c>
      <c r="DB304">
        <f>IFERROR(IF(BL304=3,VLOOKUP(BF304,Справочная_ЛЭД,2,TRUE),0),0)</f>
        <v>0</v>
      </c>
      <c r="DC304">
        <f t="shared" si="383"/>
        <v>0</v>
      </c>
      <c r="DD304" t="str">
        <f t="shared" si="384"/>
        <v>L1</v>
      </c>
      <c r="DE304" t="str" cm="1">
        <f t="array" ref="DE304">IF(D304="","",IFERROR(INDEX({"I особая","I","II","III"},MATCH(TRIM(AA304&amp;""),{"I особая","I","II","III"},0)),"III"))</f>
        <v>II</v>
      </c>
      <c r="DF304" t="str">
        <f>IF(D304="","",IF(TRIM(AB304&amp;"")&lt;&gt;"",IF(LOWER(TRIM(AB304&amp;""))="да","да","нет"),IF(IFERROR(_xlfn.XLOOKUP(AT304,Коды_код,Коды_пожарная),"")="да","да","нет")))</f>
        <v>нет</v>
      </c>
      <c r="DG304" t="str">
        <f t="shared" si="385"/>
        <v/>
      </c>
      <c r="DH304" t="str">
        <f t="shared" si="386"/>
        <v>основная</v>
      </c>
      <c r="DI304">
        <f t="shared" si="387"/>
        <v>1</v>
      </c>
      <c r="DJ304" t="str" cm="1">
        <f t="array" ref="DJ304">IF(D304="","",_xlfn.LET(_xlpm.t,IFERROR(_xlfn.XLOOKUP(1,(Шины[Шина]=DH304)*(((Шины[Щит]=A304)+(Шины[Щит]=""))&gt;0),Шины[Тип]),"")&amp;"",IF(_xlpm.t&lt;&gt;"",_xlpm.t,IF(ISNUMBER(SEARCH("ИБП",DH304)),"ИБП",IF(ISNUMBER(SEARCH("ДГУ",DH304)),"ДГУ","Ввод "&amp;DI304)))))</f>
        <v>Ввод 1</v>
      </c>
      <c r="DK304" t="str">
        <f t="shared" si="388"/>
        <v>Ввод 1</v>
      </c>
      <c r="DL304" t="str">
        <f>IF(D304="","",IF(OR(DJ304="ИБП",DJ304="ДГУ"),"I особая",IF(DJ304="Одиночная","III",_xlfn.XLOOKUP(A304,Щиты[Щит],Щиты[Категория шины «Ввод»],"III"))))</f>
        <v>II</v>
      </c>
      <c r="DM304">
        <f>IF(D304="",0,IFERROR(MATCH(DE304,{"III","II","I","I особая"},0),1))</f>
        <v>2</v>
      </c>
      <c r="DN304">
        <f t="shared" si="389"/>
        <v>2</v>
      </c>
      <c r="DO304" t="str">
        <f>IF(D304="","",IF(DM304&gt;IFERROR(MATCH(DL304,{"III","II","I","I особая"},0),1),"НЕ ОБЕСПЕЧЕНА","ОК"))</f>
        <v>ОК</v>
      </c>
      <c r="DP304" t="str">
        <f>IF(A304="","",_xlfn.XLOOKUP(A304,Щиты[Щит],Щиты[Путь],""))</f>
        <v>|ГРЩ-ЖД|ЩР-2|</v>
      </c>
      <c r="DQ304" t="str">
        <f>IF(D304="","",IF(Z304&lt;&gt;"",Z304,IF(IFERROR(_xlfn.XLOOKUP(AT304,Коды_код,Коды_вид)&amp;"","")="","Прочее",_xlfn.XLOOKUP(AT304,Коды_код,Коды_вид)&amp;"")))</f>
        <v>Розеточная сеть и бытовые приборы</v>
      </c>
      <c r="DR304">
        <f>IF(BD304="","",INT((BD304-1)/Столбцов_на_лист)+1)</f>
        <v>2</v>
      </c>
      <c r="DS304" t="str">
        <f t="shared" si="390"/>
        <v>ВВГнг(А)-LS (3х2,5) L=47-0,2%</v>
      </c>
      <c r="DT304">
        <f t="shared" si="391"/>
        <v>0.12</v>
      </c>
      <c r="DU304">
        <f t="shared" si="392"/>
        <v>0.55000000000000004</v>
      </c>
      <c r="DV304">
        <f t="shared" si="393"/>
        <v>1</v>
      </c>
      <c r="DW304">
        <f>IF(AT304="",0,_xlfn.LET(_xlpm.v,IFERROR(VLOOKUP(D304,УГО_спр,3,FALSE),IFERROR(VLOOKUP(AT304,УГО_спр,3,FALSE),IFERROR(VLOOKUP(LEFT(AT304,2),УГО_спр,3,FALSE),""))),IF(_xlpm.v="да",30,IF(ISNUMBER(_xlpm.v),_xlpm.v,0))))</f>
        <v>30</v>
      </c>
      <c r="DX304">
        <f t="shared" si="394"/>
        <v>0</v>
      </c>
      <c r="DY304">
        <f>IF(BD304="","",IF(AD304&lt;&gt;"",COUNTIFS(A$3:A304,A304,AD$3:AD304,"?*"),IF(OR(OR(AS304=1,A304&lt;&gt;A303),AL304="вручную"),"",IF(AS304=1,"",DZ303))))</f>
        <v>21</v>
      </c>
      <c r="DZ304">
        <f t="shared" si="395"/>
        <v>21</v>
      </c>
      <c r="EA304">
        <f>IF(D304="",0,MAX(IFERROR(--X304,0),IFERROR(--VLOOKUP(D304,УГО_спр,4,FALSE),IFERROR(--VLOOKUP(AT304,УГО_спр,4,FALSE),IFERROR(--VLOOKUP(LEFT(AT304,2),УГО_спр,4,FALSE),0)))))</f>
        <v>16</v>
      </c>
      <c r="EB304">
        <f>IF(D304="","",IFERROR(LOOKUP(INDEX(CHOOSE(BR304,Iдоп_1ж,Iдоп_2ж,Iдоп_3ж),MATCH(BS304,Iдоп_S,0))*BP304*BQ304,{6,10,16,20,25,32,40,50,63,80,100,125,160,200,250,315,400,500,630}),""))</f>
        <v>25</v>
      </c>
      <c r="EC304">
        <f>IF(AD304="","",SUMIFS(Линии[_Ток схемы],Линии[_гр.],DY304,Линии[Щит],A304,Линии[_в кабель выше],0))</f>
        <v>0.55000000000000004</v>
      </c>
      <c r="ED304">
        <f>IF(AD304="","",IFERROR(VLOOKUP(EC304,Автомат_номиналы,2,TRUE),""))</f>
        <v>6</v>
      </c>
      <c r="EE304">
        <f>IF(AD304="","",MAX(N(ED304),_xlfn.MAXIFS(Линии[_мин. по типу],Линии[_гр.],DY304,Линии[Щит],A304)))</f>
        <v>16</v>
      </c>
      <c r="EF304">
        <f>IF(AD304="","",_xlfn.MINIFS(Линии[_макс. автомат по кабелю],Линии[_гр.],DY304,Линии[Щит],A304))</f>
        <v>25</v>
      </c>
      <c r="EG304">
        <f>IF(AD304="","",MAX(1,_xlfn.MAXIFS(Линии[_фаз],Линии[_гр.],DY304,Линии[Щит],A304)))</f>
        <v>1</v>
      </c>
      <c r="EH304">
        <f>IF(AD304="","",IF(AND(AD304&lt;&gt;"авто",AD304&lt;&gt;"+"),IF(ISNUMBER(SEARCH("мА",AD304)),IFERROR(--TRIM(RIGHT(SUBSTITUTE(LEFT(AD304,SEARCH("мА",AD304)-1)," ",REPT(" ",9)),6)),30),0),IF(AE304="нет",0,IF(ISNUMBER(AE304),AE304,IF(AE304="да",30,_xlfn.MINIFS(Линии[_дифзащита по коду, мА],Линии[_гр.],DY304,Линии[Щит],A304,Линии[_дифзащита по коду, мА],"&gt;0"))))))</f>
        <v>30</v>
      </c>
      <c r="EI304">
        <f t="shared" si="396"/>
        <v>1</v>
      </c>
      <c r="EJ304" t="str">
        <f t="shared" si="397"/>
        <v>QFD21</v>
      </c>
      <c r="EK304" t="str">
        <f t="shared" si="398"/>
        <v>QFD21</v>
      </c>
      <c r="EL304" t="str">
        <f t="shared" si="399"/>
        <v/>
      </c>
      <c r="EM304">
        <f t="shared" si="400"/>
        <v>0</v>
      </c>
      <c r="EN304">
        <f>IF(AD304="","",IF(EM304=1,MAX(EE304,Мин_автомат_БП),EE304))</f>
        <v>16</v>
      </c>
      <c r="EO304" t="str">
        <f t="shared" si="401"/>
        <v>2P</v>
      </c>
      <c r="EP304" t="str">
        <f t="shared" si="402"/>
        <v>2P С16А 30мА</v>
      </c>
      <c r="EQ304">
        <f t="shared" si="403"/>
        <v>16</v>
      </c>
      <c r="ER304" t="str">
        <f>IF(OR(AI304="",AI304="-"),"",IFERROR(VLOOKUP(AI304,Модули_спр,2,FALSE),"R"))</f>
        <v/>
      </c>
      <c r="ES304" t="str">
        <f>IF(ER304="","",ER304&amp;"."&amp;COUNTIFS(A$3:A304,A304,ER$3:ER304,ER304))</f>
        <v/>
      </c>
      <c r="ET304" t="str">
        <f t="shared" si="404"/>
        <v/>
      </c>
      <c r="EU304" t="str">
        <f t="shared" si="405"/>
        <v/>
      </c>
      <c r="EV304" t="str">
        <f t="shared" si="406"/>
        <v/>
      </c>
      <c r="EW304" t="str">
        <f t="shared" si="407"/>
        <v/>
      </c>
      <c r="EX304">
        <f t="shared" si="408"/>
        <v>1</v>
      </c>
      <c r="EY304" t="str">
        <f>IF(AK304="нет","",IF(AK304&lt;&gt;"",AK304,IF(EX304=1,"XT"&amp;COUNTIFS(A$3:A304,A304,EX$3:EX304,1),"")))</f>
        <v/>
      </c>
      <c r="EZ304" t="str">
        <f t="shared" si="409"/>
        <v>QFD21</v>
      </c>
      <c r="FA304" t="str">
        <f t="shared" si="410"/>
        <v/>
      </c>
      <c r="FB304" t="str">
        <f t="shared" si="411"/>
        <v>ok</v>
      </c>
      <c r="FC304" t="str">
        <f>IF(OR(EV304="",ET304=""),"",IF(EV304&gt;IFERROR(VLOOKUP(EU304,Модули_спр,3,FALSE),99),"ЛИШНИЙ КАНАЛ",IF(AND(AJ304&lt;&gt;"=",COUNTIFS(Линии[_модуль гр.],ET304,Линии[Канал (итог)],EV304,Линии[Канал],"&lt;&gt;=",Линии[Щит],A304)&gt;1),"ДУБЛЬ КАНАЛА","")))</f>
        <v/>
      </c>
      <c r="FD304">
        <f t="shared" si="412"/>
        <v>16</v>
      </c>
      <c r="FE304" t="str">
        <f t="shared" si="413"/>
        <v>2P С16А 30мА</v>
      </c>
      <c r="FF304">
        <f t="shared" si="414"/>
        <v>1</v>
      </c>
      <c r="FG304">
        <f t="shared" si="415"/>
        <v>30</v>
      </c>
      <c r="FH304" t="str">
        <f t="shared" si="416"/>
        <v/>
      </c>
      <c r="FI304">
        <f t="shared" si="417"/>
        <v>10</v>
      </c>
      <c r="FJ304" t="str">
        <f t="shared" si="418"/>
        <v/>
      </c>
      <c r="FK304" t="str">
        <f>IF(AND(D304="",EZ304=""),"",_xlfn.TEXTJOIN("; ",TRUE,IF(AND(D304&lt;&gt;"",DD304=""),"нет фазы",""),IF(AND(D304&lt;&gt;"",N(DT304)=0,CN304&lt;&gt;"Нет"),"нет мощности",""),IF(AND(EY304&lt;&gt;"",COUNTIFS(Линии[Щит],A304,Линии[Клемма (итог)],EY304)&gt;1),"дубль клеммы "&amp;EY304,""),IF(AND(FB304&lt;&gt;"",FB304&lt;&gt;"ok"),FB304,""),IF(FC304&lt;&gt;"",FC304,""),IF(AND(ISNUMBER(SEARCH("(5х",DS304)),N(DV304)=1),"5 жил на 1 фазе",""),IF(AND(AT304="R",AD304&lt;&gt;"",OR(N(EH304)=0,N(EH304)&gt;30)),"розетка без дифзащиты до 30 мА",""),IFERROR(IF(AND(ISNUMBER(CD304),CD304&gt;CE304),"потери "&amp;FIXED(CD304,1)&amp;" % &gt; "&amp;CE304&amp;" %",""),""),IFERROR(IF(LEFT(FJ304,4)="мало","Iкз мало — отключение &gt; 0,4 с",""),""),IF(AND(D304&lt;&gt;"",BD304=""),"не на схеме","")))</f>
        <v/>
      </c>
      <c r="FL304">
        <f>IF(AD304="","",_xlfn.LET(_xlpm.t,IFERROR(_xlfn.XLOOKUP(EP304,Каталог!$U$4:$U$500,Каталог!$G$4:$G$500),""),_xlpm.k,SEARCH("кА",_xlpm.t),IFERROR(--TRIM(RIGHT(SUBSTITUTE(MID(_xlpm.t,MAX(1,_xlpm.k-4),_xlpm.k-MAX(1,_xlpm.k-4))," ",REPT(" ",9)),5)),"")))</f>
        <v>6</v>
      </c>
      <c r="FM304" t="str">
        <f>IF(OR(FL304="",AD304=""),"",IF(_xlfn.XLOOKUP(A304,Щиты[Щит],Щиты[Iкз max на шинах, кА],"")="","",IF(FL304&lt;_xlfn.XLOOKUP(A304,Щиты[Щит],Щиты[Iкз max на шинах, кА]),"Icu "&amp;FL304&amp;" кА &lt; Iкз max","ok")))</f>
        <v/>
      </c>
      <c r="FN304" t="str">
        <f t="shared" si="419"/>
        <v>QFD21</v>
      </c>
      <c r="FO304" t="str">
        <f t="shared" si="420"/>
        <v>QFD21|кабель ВВГнг(А)-LS (3х2,5) → Розеточная группа Второй этаж Пом. №003Г</v>
      </c>
      <c r="FP304" t="str" cm="1">
        <f t="array" ref="FP304">IF(FO304="","",_xlfn.LET(_xlpm.nd,_xlfn.TEXTSPLIT(FO304,"|"),IF(COLUMNS(_xlpm.nd)&gt;1,A304&amp;"¦"&amp;INDEX(_xlpm.nd,1)&amp;"¦"&amp;INDEX(_xlpm.nd,2),"")))</f>
        <v>ЩР-2¦QFD21¦кабель ВВГнг(А)-LS (3х2,5) → Розеточная группа Второй этаж Пом. №003Г</v>
      </c>
      <c r="FQ304" t="str">
        <f t="shared" si="421"/>
        <v>R.2.003Г.1¦Розеточная группа Второй этаж Пом. №003Г</v>
      </c>
      <c r="FR304" t="str" cm="1">
        <f t="array" ref="FR304">IF(FO304="","",_xlfn.LET(_xlpm.nd,_xlfn.TEXTSPLIT(FO304,"|"),IF(COLUMNS(_xlpm.nd)&gt;2,A304&amp;"¦"&amp;INDEX(_xlpm.nd,2)&amp;"¦"&amp;INDEX(_xlpm.nd,3),"")))</f>
        <v/>
      </c>
      <c r="FS304" t="str">
        <f t="shared" si="422"/>
        <v/>
      </c>
      <c r="FT304" t="str" cm="1">
        <f t="array" ref="FT304">IF(FO304="","",_xlfn.LET(_xlpm.nd,_xlfn.TEXTSPLIT(FO304,"|"),IF(COLUMNS(_xlpm.nd)&gt;3,A304&amp;"¦"&amp;INDEX(_xlpm.nd,3)&amp;"¦"&amp;INDEX(_xlpm.nd,4),"")))</f>
        <v/>
      </c>
      <c r="FU304" t="str">
        <f t="shared" si="423"/>
        <v/>
      </c>
      <c r="FV304" t="str" cm="1">
        <f t="array" ref="FV304">IF(FO304="","",_xlfn.LET(_xlpm.nd,_xlfn.TEXTSPLIT(FO304,"|"),IF(COLUMNS(_xlpm.nd)&gt;4,A304&amp;"¦"&amp;INDEX(_xlpm.nd,4)&amp;"¦"&amp;INDEX(_xlpm.nd,5),"")))</f>
        <v/>
      </c>
      <c r="FW304" t="str">
        <f t="shared" si="424"/>
        <v/>
      </c>
      <c r="FX304" t="str" cm="1">
        <f t="array" ref="FX304">IF(FO304="","",_xlfn.LET(_xlpm.nd,_xlfn.TEXTSPLIT(FO304,"|"),IF(COLUMNS(_xlpm.nd)&gt;5,A304&amp;"¦"&amp;INDEX(_xlpm.nd,5)&amp;"¦"&amp;INDEX(_xlpm.nd,6),"")))</f>
        <v/>
      </c>
      <c r="FY304" t="str">
        <f t="shared" si="425"/>
        <v/>
      </c>
      <c r="FZ304" t="str" cm="1">
        <f t="array" ref="FZ304">IF(FO304="","",_xlfn.LET(_xlpm.nd,_xlfn.TEXTSPLIT(FO304,"|"),IF(COLUMNS(_xlpm.nd)&gt;6,A304&amp;"¦"&amp;INDEX(_xlpm.nd,6)&amp;"¦"&amp;INDEX(_xlpm.nd,7),"")))</f>
        <v/>
      </c>
      <c r="GA304" t="str">
        <f t="shared" si="426"/>
        <v/>
      </c>
      <c r="GB304" t="str">
        <f t="shared" si="427"/>
        <v/>
      </c>
      <c r="GC304" t="str">
        <f t="shared" si="428"/>
        <v>QFD21</v>
      </c>
      <c r="GD304">
        <f t="shared" si="429"/>
        <v>1</v>
      </c>
      <c r="GE304">
        <f t="shared" si="430"/>
        <v>0</v>
      </c>
      <c r="GF304">
        <f t="shared" si="431"/>
        <v>1</v>
      </c>
      <c r="GG304" t="str">
        <f t="shared" si="432"/>
        <v/>
      </c>
      <c r="GH304" t="str">
        <f t="shared" si="433"/>
        <v/>
      </c>
      <c r="GI304" t="str">
        <f t="shared" si="434"/>
        <v/>
      </c>
      <c r="GJ304" t="str">
        <f t="shared" si="435"/>
        <v/>
      </c>
      <c r="GK304" t="str">
        <f>IF(D304="","",IFERROR(VLOOKUP(D304,УГО_спр,2,FALSE),IFERROR(VLOOKUP(AT304,УГО_спр,2,FALSE),IFERROR(VLOOKUP(LEFT(AT304,2),УГО_спр,2,FALSE),""))))</f>
        <v>Розетка</v>
      </c>
      <c r="GL304" t="str">
        <f>IF(D304="","",IF(OR(GK304="",GK304=0),"BOX",IFERROR(IF(VLOOKUP(GK304,УГО_блоки,3,FALSE)&amp;""&lt;&gt;"",VLOOKUP(GK304,УГО_блоки,3,FALSE),VLOOKUP(GK304,УГО_блоки,2,FALSE)),GK304)))</f>
        <v>SOCKET</v>
      </c>
      <c r="GM304">
        <f t="shared" si="436"/>
        <v>1</v>
      </c>
      <c r="GN304" t="str">
        <f>IF(EP304="","",IF(COUNTIF(EP$3:EP304,EP304)=1,MAX(GN$2:GN303)+1,""))</f>
        <v/>
      </c>
      <c r="GO304" t="str">
        <f>IF(AF304="","",IF(COUNTIF(AF$3:AF304,AF304)+COUNTIF(AG$2:AG303,AF304)+COUNTIF(AH$2:AH303,AF304)=1,MAX(GO$2:GQ303)+1,""))</f>
        <v/>
      </c>
      <c r="GP304" t="str">
        <f>IF(AG304="","",IF(COUNTIF(AF$3:AF304,AG304)+COUNTIF(AG$3:AG304,AG304)+COUNTIF(AH$2:AH303,AG304)=1,MAX(GO$2:GQ303,GO304)+1,""))</f>
        <v/>
      </c>
      <c r="GQ304" t="str">
        <f>IF(AH304="","",IF(COUNTIF(AF$3:AF304,AH304)+COUNTIF(AG$3:AG304,AH304)+COUNTIF(AH$3:AH304,AH304)=1,MAX(GO$2:GQ303,GO304,GP304)+1,""))</f>
        <v/>
      </c>
      <c r="GR304" t="str">
        <f t="shared" si="437"/>
        <v>3х2,5</v>
      </c>
      <c r="GS304" t="str">
        <f>IF(GR304="","",IF(COUNTIF(GR$3:GR304,GR304)=1,MAX(GS$2:GS303)+1,""))</f>
        <v/>
      </c>
      <c r="GT304" t="str">
        <f>IF(ES304="","",COUNTIF(ES$3:ES304,"?*"))</f>
        <v/>
      </c>
      <c r="GU304" t="str">
        <f>IF(OR(ES304="",EU304=""),"",IF(COUNTIFS(ES$3:ES304,"?*",EU$3:EU304,EU304)=1,MAX(GU$2:GU303)+1,""))</f>
        <v/>
      </c>
      <c r="GV304">
        <f t="shared" si="438"/>
        <v>0</v>
      </c>
      <c r="GW304">
        <f>IF(D304="","",COUNTIF(D$3:D304,"?*"))</f>
        <v>302</v>
      </c>
      <c r="GX304">
        <f>IF(EX304&lt;&gt;1,0,_xlfn.LET(_xlpm.k,MAX(IFERROR(--VLOOKUP(D304,УГО_спр,5,FALSE),0),IFERROR(--VLOOKUP(AT304,УГО_спр,5,FALSE),0),IFERROR(--VLOOKUP(LEFT(AT304,2),УГО_спр,5,FALSE),0)),IF(_xlpm.k&gt;0,_xlpm.k,IF(IFERROR(--LEFT(SUBSTITUTE(GR304,"x","х"),FIND("х",SUBSTITUTE(GR304,"x","х"))-1),3)&gt;3,Каталог!$S$9,1))))</f>
        <v>1</v>
      </c>
      <c r="GY304">
        <f t="shared" si="439"/>
        <v>0</v>
      </c>
    </row>
    <row r="305" spans="1:207" x14ac:dyDescent="0.3">
      <c r="A305" t="s">
        <v>764</v>
      </c>
      <c r="B305">
        <v>32</v>
      </c>
      <c r="C305" t="str">
        <f>IF(BD305="","",IF(BE305="вводной узел","узел ","")&amp;"л."&amp;(INT((BD305-1)/Столбцов_на_лист)+1)&amp;" / "&amp;(MOD(BD305-1,Столбцов_на_лист)+1))</f>
        <v>л.2 / 15</v>
      </c>
      <c r="D305" t="s">
        <v>1639</v>
      </c>
      <c r="E305" s="133" t="str">
        <f t="shared" si="352"/>
        <v>Розеточная группа Второй этаж Пом. №005А</v>
      </c>
      <c r="G305">
        <v>0.12</v>
      </c>
      <c r="H305">
        <v>1</v>
      </c>
      <c r="I305">
        <v>1</v>
      </c>
      <c r="J305">
        <v>230</v>
      </c>
      <c r="K305" t="s">
        <v>566</v>
      </c>
      <c r="O305">
        <v>2</v>
      </c>
      <c r="P305">
        <v>37</v>
      </c>
      <c r="Q305">
        <v>12</v>
      </c>
      <c r="R305">
        <v>28</v>
      </c>
      <c r="T305">
        <v>2</v>
      </c>
      <c r="U305" t="s">
        <v>11</v>
      </c>
      <c r="V305">
        <v>3</v>
      </c>
      <c r="W305">
        <v>2.5</v>
      </c>
      <c r="X305">
        <v>16</v>
      </c>
      <c r="Z305" t="s">
        <v>565</v>
      </c>
      <c r="AA305" t="s">
        <v>818</v>
      </c>
      <c r="AD305" t="s">
        <v>517</v>
      </c>
      <c r="AK305" t="s">
        <v>488</v>
      </c>
      <c r="AR305" t="str">
        <f t="shared" si="353"/>
        <v/>
      </c>
      <c r="AS305" cm="1">
        <f t="array" ref="AS305">ROW()-ROW(Линии[#Headers])</f>
        <v>303</v>
      </c>
      <c r="AT305" t="str">
        <f t="shared" si="354"/>
        <v>R</v>
      </c>
      <c r="AU305" t="str">
        <f t="shared" si="355"/>
        <v>2.005А.3</v>
      </c>
      <c r="AV305" t="str">
        <f t="shared" si="356"/>
        <v>2</v>
      </c>
      <c r="AW305" t="str">
        <f t="shared" si="357"/>
        <v>005А.3</v>
      </c>
      <c r="AX305" t="str">
        <f t="shared" si="358"/>
        <v>005А</v>
      </c>
      <c r="AY305" t="str">
        <f>IF(D305="","",IF(ISERROR(SEARCH(".",D305)),IFERROR(VLOOKUP(D305,Потребители_обозначение,2,FALSE)&amp;"",""),IFERROR(IF(VLOOKUP(AT305,Потребители_обозначение,4,FALSE)=1,VLOOKUP(AT305,Потребители_обозначение,2,FALSE)&amp;" "&amp;VLOOKUP(AV305,Этаж_обозначение,2,FALSE)&amp;" Пом. №"&amp;AX305,VLOOKUP(AT305,Потребители_обозначение,2,FALSE)&amp;" Шлейф №"&amp;AV305),IFERROR(VLOOKUP(D305,Потребители_обозначение,2,FALSE),""))))</f>
        <v>Розеточная группа Второй этаж Пом. №005А</v>
      </c>
      <c r="AZ305" t="str">
        <f t="shared" si="359"/>
        <v>Розеточная группа Второй этаж Пом. №005А</v>
      </c>
      <c r="BA305" t="str">
        <f>IF(F305&lt;&gt;"",F305,IF(AND(D305&lt;&gt;"",D305&lt;&gt;A305,ISNUMBER(_xlfn.XMATCH(D305,Щиты[Щит]))),D305,""))</f>
        <v/>
      </c>
      <c r="BB305">
        <f>IFERROR(_xlfn.XMATCH(A305,Щиты[Щит]),0)</f>
        <v>11</v>
      </c>
      <c r="BC305">
        <f>IFERROR(N(_xlfn.XLOOKUP(A305,Щиты[Щит],Щиты[Мест под вводной узел])),15)</f>
        <v>8</v>
      </c>
      <c r="BD305">
        <f t="shared" si="360"/>
        <v>32</v>
      </c>
      <c r="BE305" t="str">
        <f t="shared" si="361"/>
        <v>линии</v>
      </c>
      <c r="BF305">
        <f>IF(D305="","",IF(BA305&lt;&gt;"",IFERROR(_xlfn.XLOOKUP(BA305,Щиты[Щит],Щиты[Руст, кВт]),0),N(G305)))</f>
        <v>0.12</v>
      </c>
      <c r="BG305">
        <f>IF(J305&lt;&gt;"",J305,IF(D305="","",IFERROR(IF(VLOOKUP(AT305,Потребители_обозначение,8,FALSE)=0,"",VLOOKUP(AT305,Потребители_обозначение,8,FALSE)),"")))</f>
        <v>230</v>
      </c>
      <c r="BH305">
        <f>IF(I305&lt;&gt;"",I305,IF(D305="","",IFERROR(IF(VLOOKUP(AT305,Потребители_обозначение,9,FALSE)=0,"",VLOOKUP(AT305,Потребители_обозначение,9,FALSE)),"")))</f>
        <v>1</v>
      </c>
      <c r="BI305" t="str">
        <f>IF(U305&lt;&gt;"",U305,IF(D305="","",IFERROR(IF(VLOOKUP(AT305,Потребители_обозначение,6,FALSE)=0,"",VLOOKUP(AT305,Потребители_обозначение,6,FALSE)),"")))</f>
        <v>мс</v>
      </c>
      <c r="BJ305">
        <f>IF(V305&lt;&gt;"",V305,IF(D305="","",IFERROR(IF(VLOOKUP(AT305,Потребители_обозначение,7,FALSE)=0,"",VLOOKUP(AT305,Потребители_обозначение,7,FALSE)),"")))</f>
        <v>3</v>
      </c>
      <c r="BK305">
        <f>IF(W305&lt;&gt;"",W305,IF(D305="","",IFERROR(IF(VLOOKUP(AT305,Потребители_обозначение,10,FALSE)=0,"",VLOOKUP(AT305,Потребители_обозначение,10,FALSE)),"")))</f>
        <v>2.5</v>
      </c>
      <c r="BL305">
        <f>IFERROR(VLOOKUP(AT305,Потребители_обозначение,5,FALSE),0)</f>
        <v>1</v>
      </c>
      <c r="BM305" cm="1">
        <f t="array" ref="BM305">IF(D305="","",IF(BA305&lt;&gt;"",IFERROR(_xlfn.XLOOKUP(BA305,Щиты[Щит],Щиты[cos φ]),0.95),IF(ISNUMBER(M305),M305,IFERROR(IF(BL305=2,_xlfn.IFS(BH305=3,VLOOKUP(BF305,Справочная_двигатели,8,FALSE),BH305=1,VLOOKUP(BF305,Справочная_двигатели,10,TRUE)),IF(AND(Методика="нормы 2026",CN305="Сил"),0.8,0.95)),0.95))))</f>
        <v>0.95</v>
      </c>
      <c r="BN305" cm="1">
        <f t="array" ref="BN305">IF(D305="","",IF(BA305&lt;&gt;"",IFERROR(_xlfn.XLOOKUP(BA305,Щиты[Щит],Щиты[Iр, А]),""),IFERROR(_xlfn.IFS(BH305=1,BF305/((Uн_лин/SQRT(3))*BM305),BH305=3,BF305/(SQRT(3)*Uн_лин*BM305)),"")))</f>
        <v>0.54696341291648753</v>
      </c>
      <c r="BO305">
        <f>IF(D305="","",IF(N(X305)=0,IFERROR(VLOOKUP(BN305,Автомат_номиналы,2,TRUE),""),X305))</f>
        <v>16</v>
      </c>
      <c r="BP305">
        <f t="shared" si="362"/>
        <v>1</v>
      </c>
      <c r="BQ305">
        <f>IF(ISNUMBER(Y305),Y305,К_прокл)</f>
        <v>1</v>
      </c>
      <c r="BR305">
        <f t="shared" si="363"/>
        <v>2</v>
      </c>
      <c r="BS305" cm="1">
        <f t="array" ref="BS305">IF(D305="","",IF(N(BK305)&lt;&gt;0,BK305,IFERROR(_xlfn.LET(_xlpm.need,BO305/(BP305*BQ305),_xlpm.t,CHOOSE(BR305,Iдоп_1ж,Iдоп_2ж,Iдоп_3ж),_xlpm.k,_xlfn.XMATCH(_xlpm.need,_xlpm.t,1),IF(ISNA(_xlpm.k),"Не исп",INDEX(Iдоп_S,_xlpm.k))),"Не исп")))</f>
        <v>2.5</v>
      </c>
      <c r="BT305">
        <f>IFERROR(VLOOKUP(BS305,Кабель_сопротивление,3,FALSE),"")</f>
        <v>2.2499999999999999E-2</v>
      </c>
      <c r="BU305">
        <f>IFERROR(VLOOKUP(BS305,Кабель_сопротивление,2,FALSE),"")</f>
        <v>0.1</v>
      </c>
      <c r="BV305">
        <f t="shared" si="364"/>
        <v>37</v>
      </c>
      <c r="BW305">
        <f>IF(D305="","",IFERROR(IF(VLOOKUP(AT305,Потребители_обозначение,4,FALSE)=1,VLOOKUP(AT305,Потребители_обозначение,3,FALSE)*(H305*2-1)+BV305+VLOOKUP(AV305,Этаж_обозначение,3,FALSE)+VLOOKUP(AV305,Этаж_обозначение,4,FALSE),VLOOKUP(AT305,Потребители_обозначение,3,FALSE)*(H305*2-1)+BV305),BV305))</f>
        <v>40</v>
      </c>
      <c r="BX305">
        <f t="shared" si="365"/>
        <v>28</v>
      </c>
      <c r="BY305">
        <f t="shared" si="366"/>
        <v>36</v>
      </c>
      <c r="BZ305">
        <f t="shared" si="367"/>
        <v>2</v>
      </c>
      <c r="CA305">
        <f t="shared" si="368"/>
        <v>0.31</v>
      </c>
      <c r="CB305">
        <f t="shared" si="369"/>
        <v>0.37547944369891034</v>
      </c>
      <c r="CC305">
        <f>IFERROR(ROUNDUP(CB305/((Uн_лин/SQRT(3))*1000)*100,2),"")</f>
        <v>0.17</v>
      </c>
      <c r="CD305">
        <f>IF(ISNUMBER(CC305),CC305+IFERROR(_xlfn.XLOOKUP(A305,Щиты[Щит],Щиты[ΔU до шин, %]),0),"")</f>
        <v>1.96</v>
      </c>
      <c r="CE305">
        <f>IF(D305="","",IF(IFERROR(VLOOKUP(AT305,УГО_спр,2,FALSE),"")="Светильник",3,4)+IF(Методика="нормы 2026",MIN(0.5,MAX(0,N(BW305)-100)*0.005),0))</f>
        <v>4</v>
      </c>
      <c r="CF305" t="str">
        <f>IFERROR(VLOOKUP(BI305,Кабель_обозначение,2,FALSE),"")</f>
        <v>ВВГнг(А)-LS</v>
      </c>
      <c r="CG305" t="str">
        <f>IFERROR(IF(VLOOKUP(BI305,Кабель_обозначение,3,FALSE)=1,CF305&amp;" ("&amp;BJ305&amp;"х"&amp;BS305&amp;")",CF305),"")</f>
        <v>ВВГнг(А)-LS (3х2,5)</v>
      </c>
      <c r="CH305" t="str">
        <f t="shared" si="370"/>
        <v>ВВГнг(А)-LS (3х2,5)
L=40-0,17%</v>
      </c>
      <c r="CI305">
        <f>IFERROR(2*ρкз_Cu*BW305/BS305,"")</f>
        <v>0.84160000000000001</v>
      </c>
      <c r="CJ305">
        <f t="shared" si="371"/>
        <v>0.28000000000000003</v>
      </c>
      <c r="CK305" t="str">
        <f>IFERROR(IF(OR(D305="",NOT(ISNUMBER(BS305)),N(BW305)=0),"",_xlfn.XLOOKUP(A305,Щиты[Щит],Щиты[Zпетли на шинах, Ом])+CI305),"")</f>
        <v/>
      </c>
      <c r="CL305" t="str">
        <f>IF(ISNUMBER(CK305),c_min*(Uн_лин*1000/SQRT(3))/CK305,"")</f>
        <v/>
      </c>
      <c r="CM305" t="str">
        <f>IFERROR(IF(OR(D305="",NOT(ISNUMBER(BS305))),"",1.05*(Uн_лин*1000/SQRT(3))/(_xlfn.XLOOKUP(A305,Щиты[Щит],Щиты[Zmax на шинах, Ом])+CJ305)/1000),"")</f>
        <v/>
      </c>
      <c r="CN305" t="str">
        <f>IF(D305="","",IF(BA305&lt;&gt;"","Щит",IF(K305&lt;&gt;"",K305,IF(ISNUMBER(L305),"Сил",IF(IFERROR(_xlfn.XLOOKUP(AT305,Коды_код,Коды_группа)&amp;"","")="","Быт",_xlfn.XLOOKUP(AT305,Коды_код,Коды_группа)&amp;"")))))</f>
        <v>Быт</v>
      </c>
      <c r="CO305">
        <f>IF(CN305="Щит","щит",IF(CN305="","",IF(CN305="Быт",IFERROR(_xlfn.XLOOKUP(A305,Щиты[Щит],Щиты[Кс быт]),1),IF(CN305="Сил",IF(ISNUMBER(L305),L305,IF(Методика="нормы 2026",IFERROR(_xlfn.XLOOKUP(A305,Щиты[Щит],Щиты[Кс силовых (табл. 7.5)]),1),1)),IF(OR(CN305="Пост",CN305="Отоп"),1,IF(CN305="ВНГ",0.7,0))))))</f>
        <v>0.8</v>
      </c>
      <c r="CP305">
        <f t="shared" si="372"/>
        <v>1</v>
      </c>
      <c r="CQ305">
        <f t="shared" si="373"/>
        <v>0.12</v>
      </c>
      <c r="CR305">
        <f t="shared" si="374"/>
        <v>0.12</v>
      </c>
      <c r="CS305">
        <f t="shared" si="375"/>
        <v>0</v>
      </c>
      <c r="CT305">
        <f t="shared" si="376"/>
        <v>0</v>
      </c>
      <c r="CU305">
        <f t="shared" si="377"/>
        <v>0</v>
      </c>
      <c r="CV305">
        <f t="shared" si="378"/>
        <v>0</v>
      </c>
      <c r="CW305">
        <f t="shared" si="379"/>
        <v>0.12</v>
      </c>
      <c r="CX305">
        <f t="shared" si="380"/>
        <v>0.11399999999999999</v>
      </c>
      <c r="CY305">
        <f t="shared" si="381"/>
        <v>2</v>
      </c>
      <c r="CZ305" t="str">
        <f t="shared" si="382"/>
        <v>L2</v>
      </c>
      <c r="DA305" cm="1">
        <f t="array" ref="DA305">IFERROR(IF(BL305=2,_xlfn.IFS(BH305=3,VLOOKUP(BF305,Справочная_двигатели,3,FALSE),BH305=1,VLOOKUP(BF305,Справочная_двигатели,5,TRUE)),0),0)</f>
        <v>0</v>
      </c>
      <c r="DB305">
        <f>IFERROR(IF(BL305=3,VLOOKUP(BF305,Справочная_ЛЭД,2,TRUE),0),0)</f>
        <v>0</v>
      </c>
      <c r="DC305">
        <f t="shared" si="383"/>
        <v>0</v>
      </c>
      <c r="DD305" t="str">
        <f t="shared" si="384"/>
        <v>L2</v>
      </c>
      <c r="DE305" t="str" cm="1">
        <f t="array" ref="DE305">IF(D305="","",IFERROR(INDEX({"I особая","I","II","III"},MATCH(TRIM(AA305&amp;""),{"I особая","I","II","III"},0)),"III"))</f>
        <v>II</v>
      </c>
      <c r="DF305" t="str">
        <f>IF(D305="","",IF(TRIM(AB305&amp;"")&lt;&gt;"",IF(LOWER(TRIM(AB305&amp;""))="да","да","нет"),IF(IFERROR(_xlfn.XLOOKUP(AT305,Коды_код,Коды_пожарная),"")="да","да","нет")))</f>
        <v>нет</v>
      </c>
      <c r="DG305" t="str">
        <f t="shared" si="385"/>
        <v/>
      </c>
      <c r="DH305" t="str">
        <f t="shared" si="386"/>
        <v>основная</v>
      </c>
      <c r="DI305">
        <f t="shared" si="387"/>
        <v>1</v>
      </c>
      <c r="DJ305" t="str" cm="1">
        <f t="array" ref="DJ305">IF(D305="","",_xlfn.LET(_xlpm.t,IFERROR(_xlfn.XLOOKUP(1,(Шины[Шина]=DH305)*(((Шины[Щит]=A305)+(Шины[Щит]=""))&gt;0),Шины[Тип]),"")&amp;"",IF(_xlpm.t&lt;&gt;"",_xlpm.t,IF(ISNUMBER(SEARCH("ИБП",DH305)),"ИБП",IF(ISNUMBER(SEARCH("ДГУ",DH305)),"ДГУ","Ввод "&amp;DI305)))))</f>
        <v>Ввод 1</v>
      </c>
      <c r="DK305" t="str">
        <f t="shared" si="388"/>
        <v>Ввод 1</v>
      </c>
      <c r="DL305" t="str">
        <f>IF(D305="","",IF(OR(DJ305="ИБП",DJ305="ДГУ"),"I особая",IF(DJ305="Одиночная","III",_xlfn.XLOOKUP(A305,Щиты[Щит],Щиты[Категория шины «Ввод»],"III"))))</f>
        <v>II</v>
      </c>
      <c r="DM305">
        <f>IF(D305="",0,IFERROR(MATCH(DE305,{"III","II","I","I особая"},0),1))</f>
        <v>2</v>
      </c>
      <c r="DN305">
        <f t="shared" si="389"/>
        <v>2</v>
      </c>
      <c r="DO305" t="str">
        <f>IF(D305="","",IF(DM305&gt;IFERROR(MATCH(DL305,{"III","II","I","I особая"},0),1),"НЕ ОБЕСПЕЧЕНА","ОК"))</f>
        <v>ОК</v>
      </c>
      <c r="DP305" t="str">
        <f>IF(A305="","",_xlfn.XLOOKUP(A305,Щиты[Щит],Щиты[Путь],""))</f>
        <v>|ГРЩ-ЖД|ЩР-2|</v>
      </c>
      <c r="DQ305" t="str">
        <f>IF(D305="","",IF(Z305&lt;&gt;"",Z305,IF(IFERROR(_xlfn.XLOOKUP(AT305,Коды_код,Коды_вид)&amp;"","")="","Прочее",_xlfn.XLOOKUP(AT305,Коды_код,Коды_вид)&amp;"")))</f>
        <v>Розеточная сеть и бытовые приборы</v>
      </c>
      <c r="DR305">
        <f>IF(BD305="","",INT((BD305-1)/Столбцов_на_лист)+1)</f>
        <v>2</v>
      </c>
      <c r="DS305" t="str">
        <f t="shared" si="390"/>
        <v>ВВГнг(А)-LS (3х2,5) L=40-0,17%</v>
      </c>
      <c r="DT305">
        <f t="shared" si="391"/>
        <v>0.12</v>
      </c>
      <c r="DU305">
        <f t="shared" si="392"/>
        <v>0.55000000000000004</v>
      </c>
      <c r="DV305">
        <f t="shared" si="393"/>
        <v>1</v>
      </c>
      <c r="DW305">
        <f>IF(AT305="",0,_xlfn.LET(_xlpm.v,IFERROR(VLOOKUP(D305,УГО_спр,3,FALSE),IFERROR(VLOOKUP(AT305,УГО_спр,3,FALSE),IFERROR(VLOOKUP(LEFT(AT305,2),УГО_спр,3,FALSE),""))),IF(_xlpm.v="да",30,IF(ISNUMBER(_xlpm.v),_xlpm.v,0))))</f>
        <v>30</v>
      </c>
      <c r="DX305">
        <f t="shared" si="394"/>
        <v>0</v>
      </c>
      <c r="DY305">
        <f>IF(BD305="","",IF(AD305&lt;&gt;"",COUNTIFS(A$3:A305,A305,AD$3:AD305,"?*"),IF(OR(OR(AS305=1,A305&lt;&gt;A304),AL305="вручную"),"",IF(AS305=1,"",DZ304))))</f>
        <v>22</v>
      </c>
      <c r="DZ305">
        <f t="shared" si="395"/>
        <v>22</v>
      </c>
      <c r="EA305">
        <f>IF(D305="",0,MAX(IFERROR(--X305,0),IFERROR(--VLOOKUP(D305,УГО_спр,4,FALSE),IFERROR(--VLOOKUP(AT305,УГО_спр,4,FALSE),IFERROR(--VLOOKUP(LEFT(AT305,2),УГО_спр,4,FALSE),0)))))</f>
        <v>16</v>
      </c>
      <c r="EB305">
        <f>IF(D305="","",IFERROR(LOOKUP(INDEX(CHOOSE(BR305,Iдоп_1ж,Iдоп_2ж,Iдоп_3ж),MATCH(BS305,Iдоп_S,0))*BP305*BQ305,{6,10,16,20,25,32,40,50,63,80,100,125,160,200,250,315,400,500,630}),""))</f>
        <v>25</v>
      </c>
      <c r="EC305">
        <f>IF(AD305="","",SUMIFS(Линии[_Ток схемы],Линии[_гр.],DY305,Линии[Щит],A305,Линии[_в кабель выше],0))</f>
        <v>0.55000000000000004</v>
      </c>
      <c r="ED305">
        <f>IF(AD305="","",IFERROR(VLOOKUP(EC305,Автомат_номиналы,2,TRUE),""))</f>
        <v>6</v>
      </c>
      <c r="EE305">
        <f>IF(AD305="","",MAX(N(ED305),_xlfn.MAXIFS(Линии[_мин. по типу],Линии[_гр.],DY305,Линии[Щит],A305)))</f>
        <v>16</v>
      </c>
      <c r="EF305">
        <f>IF(AD305="","",_xlfn.MINIFS(Линии[_макс. автомат по кабелю],Линии[_гр.],DY305,Линии[Щит],A305))</f>
        <v>25</v>
      </c>
      <c r="EG305">
        <f>IF(AD305="","",MAX(1,_xlfn.MAXIFS(Линии[_фаз],Линии[_гр.],DY305,Линии[Щит],A305)))</f>
        <v>1</v>
      </c>
      <c r="EH305">
        <f>IF(AD305="","",IF(AND(AD305&lt;&gt;"авто",AD305&lt;&gt;"+"),IF(ISNUMBER(SEARCH("мА",AD305)),IFERROR(--TRIM(RIGHT(SUBSTITUTE(LEFT(AD305,SEARCH("мА",AD305)-1)," ",REPT(" ",9)),6)),30),0),IF(AE305="нет",0,IF(ISNUMBER(AE305),AE305,IF(AE305="да",30,_xlfn.MINIFS(Линии[_дифзащита по коду, мА],Линии[_гр.],DY305,Линии[Щит],A305,Линии[_дифзащита по коду, мА],"&gt;0"))))))</f>
        <v>30</v>
      </c>
      <c r="EI305">
        <f t="shared" si="396"/>
        <v>1</v>
      </c>
      <c r="EJ305" t="str">
        <f t="shared" si="397"/>
        <v>QFD22</v>
      </c>
      <c r="EK305" t="str">
        <f t="shared" si="398"/>
        <v>QFD22</v>
      </c>
      <c r="EL305" t="str">
        <f t="shared" si="399"/>
        <v/>
      </c>
      <c r="EM305">
        <f t="shared" si="400"/>
        <v>0</v>
      </c>
      <c r="EN305">
        <f>IF(AD305="","",IF(EM305=1,MAX(EE305,Мин_автомат_БП),EE305))</f>
        <v>16</v>
      </c>
      <c r="EO305" t="str">
        <f t="shared" si="401"/>
        <v>2P</v>
      </c>
      <c r="EP305" t="str">
        <f t="shared" si="402"/>
        <v>2P С16А 30мА</v>
      </c>
      <c r="EQ305">
        <f t="shared" si="403"/>
        <v>16</v>
      </c>
      <c r="ER305" t="str">
        <f>IF(OR(AI305="",AI305="-"),"",IFERROR(VLOOKUP(AI305,Модули_спр,2,FALSE),"R"))</f>
        <v/>
      </c>
      <c r="ES305" t="str">
        <f>IF(ER305="","",ER305&amp;"."&amp;COUNTIFS(A$3:A305,A305,ER$3:ER305,ER305))</f>
        <v/>
      </c>
      <c r="ET305" t="str">
        <f t="shared" si="404"/>
        <v/>
      </c>
      <c r="EU305" t="str">
        <f t="shared" si="405"/>
        <v/>
      </c>
      <c r="EV305" t="str">
        <f t="shared" si="406"/>
        <v/>
      </c>
      <c r="EW305" t="str">
        <f t="shared" si="407"/>
        <v/>
      </c>
      <c r="EX305">
        <f t="shared" si="408"/>
        <v>1</v>
      </c>
      <c r="EY305" t="str">
        <f>IF(AK305="нет","",IF(AK305&lt;&gt;"",AK305,IF(EX305=1,"XT"&amp;COUNTIFS(A$3:A305,A305,EX$3:EX305,1),"")))</f>
        <v/>
      </c>
      <c r="EZ305" t="str">
        <f t="shared" si="409"/>
        <v>QFD22</v>
      </c>
      <c r="FA305" t="str">
        <f t="shared" si="410"/>
        <v/>
      </c>
      <c r="FB305" t="str">
        <f t="shared" si="411"/>
        <v>ok</v>
      </c>
      <c r="FC305" t="str">
        <f>IF(OR(EV305="",ET305=""),"",IF(EV305&gt;IFERROR(VLOOKUP(EU305,Модули_спр,3,FALSE),99),"ЛИШНИЙ КАНАЛ",IF(AND(AJ305&lt;&gt;"=",COUNTIFS(Линии[_модуль гр.],ET305,Линии[Канал (итог)],EV305,Линии[Канал],"&lt;&gt;=",Линии[Щит],A305)&gt;1),"ДУБЛЬ КАНАЛА","")))</f>
        <v/>
      </c>
      <c r="FD305">
        <f t="shared" si="412"/>
        <v>16</v>
      </c>
      <c r="FE305" t="str">
        <f t="shared" si="413"/>
        <v>2P С16А 30мА</v>
      </c>
      <c r="FF305">
        <f t="shared" si="414"/>
        <v>1</v>
      </c>
      <c r="FG305">
        <f t="shared" si="415"/>
        <v>30</v>
      </c>
      <c r="FH305" t="str">
        <f t="shared" si="416"/>
        <v/>
      </c>
      <c r="FI305">
        <f t="shared" si="417"/>
        <v>10</v>
      </c>
      <c r="FJ305" t="str">
        <f t="shared" si="418"/>
        <v/>
      </c>
      <c r="FK305" t="str">
        <f>IF(AND(D305="",EZ305=""),"",_xlfn.TEXTJOIN("; ",TRUE,IF(AND(D305&lt;&gt;"",DD305=""),"нет фазы",""),IF(AND(D305&lt;&gt;"",N(DT305)=0,CN305&lt;&gt;"Нет"),"нет мощности",""),IF(AND(EY305&lt;&gt;"",COUNTIFS(Линии[Щит],A305,Линии[Клемма (итог)],EY305)&gt;1),"дубль клеммы "&amp;EY305,""),IF(AND(FB305&lt;&gt;"",FB305&lt;&gt;"ok"),FB305,""),IF(FC305&lt;&gt;"",FC305,""),IF(AND(ISNUMBER(SEARCH("(5х",DS305)),N(DV305)=1),"5 жил на 1 фазе",""),IF(AND(AT305="R",AD305&lt;&gt;"",OR(N(EH305)=0,N(EH305)&gt;30)),"розетка без дифзащиты до 30 мА",""),IFERROR(IF(AND(ISNUMBER(CD305),CD305&gt;CE305),"потери "&amp;FIXED(CD305,1)&amp;" % &gt; "&amp;CE305&amp;" %",""),""),IFERROR(IF(LEFT(FJ305,4)="мало","Iкз мало — отключение &gt; 0,4 с",""),""),IF(AND(D305&lt;&gt;"",BD305=""),"не на схеме","")))</f>
        <v/>
      </c>
      <c r="FL305">
        <f>IF(AD305="","",_xlfn.LET(_xlpm.t,IFERROR(_xlfn.XLOOKUP(EP305,Каталог!$U$4:$U$500,Каталог!$G$4:$G$500),""),_xlpm.k,SEARCH("кА",_xlpm.t),IFERROR(--TRIM(RIGHT(SUBSTITUTE(MID(_xlpm.t,MAX(1,_xlpm.k-4),_xlpm.k-MAX(1,_xlpm.k-4))," ",REPT(" ",9)),5)),"")))</f>
        <v>6</v>
      </c>
      <c r="FM305" t="str">
        <f>IF(OR(FL305="",AD305=""),"",IF(_xlfn.XLOOKUP(A305,Щиты[Щит],Щиты[Iкз max на шинах, кА],"")="","",IF(FL305&lt;_xlfn.XLOOKUP(A305,Щиты[Щит],Щиты[Iкз max на шинах, кА]),"Icu "&amp;FL305&amp;" кА &lt; Iкз max","ok")))</f>
        <v/>
      </c>
      <c r="FN305" t="str">
        <f t="shared" si="419"/>
        <v>QFD22</v>
      </c>
      <c r="FO305" t="str">
        <f t="shared" si="420"/>
        <v>QFD22|кабель ВВГнг(А)-LS (3х2,5) → Розеточная группа Второй этаж Пом. №005А</v>
      </c>
      <c r="FP305" t="str" cm="1">
        <f t="array" ref="FP305">IF(FO305="","",_xlfn.LET(_xlpm.nd,_xlfn.TEXTSPLIT(FO305,"|"),IF(COLUMNS(_xlpm.nd)&gt;1,A305&amp;"¦"&amp;INDEX(_xlpm.nd,1)&amp;"¦"&amp;INDEX(_xlpm.nd,2),"")))</f>
        <v>ЩР-2¦QFD22¦кабель ВВГнг(А)-LS (3х2,5) → Розеточная группа Второй этаж Пом. №005А</v>
      </c>
      <c r="FQ305" t="str">
        <f t="shared" si="421"/>
        <v>R.2.005А.3¦Розеточная группа Второй этаж Пом. №005А</v>
      </c>
      <c r="FR305" t="str" cm="1">
        <f t="array" ref="FR305">IF(FO305="","",_xlfn.LET(_xlpm.nd,_xlfn.TEXTSPLIT(FO305,"|"),IF(COLUMNS(_xlpm.nd)&gt;2,A305&amp;"¦"&amp;INDEX(_xlpm.nd,2)&amp;"¦"&amp;INDEX(_xlpm.nd,3),"")))</f>
        <v/>
      </c>
      <c r="FS305" t="str">
        <f t="shared" si="422"/>
        <v/>
      </c>
      <c r="FT305" t="str" cm="1">
        <f t="array" ref="FT305">IF(FO305="","",_xlfn.LET(_xlpm.nd,_xlfn.TEXTSPLIT(FO305,"|"),IF(COLUMNS(_xlpm.nd)&gt;3,A305&amp;"¦"&amp;INDEX(_xlpm.nd,3)&amp;"¦"&amp;INDEX(_xlpm.nd,4),"")))</f>
        <v/>
      </c>
      <c r="FU305" t="str">
        <f t="shared" si="423"/>
        <v/>
      </c>
      <c r="FV305" t="str" cm="1">
        <f t="array" ref="FV305">IF(FO305="","",_xlfn.LET(_xlpm.nd,_xlfn.TEXTSPLIT(FO305,"|"),IF(COLUMNS(_xlpm.nd)&gt;4,A305&amp;"¦"&amp;INDEX(_xlpm.nd,4)&amp;"¦"&amp;INDEX(_xlpm.nd,5),"")))</f>
        <v/>
      </c>
      <c r="FW305" t="str">
        <f t="shared" si="424"/>
        <v/>
      </c>
      <c r="FX305" t="str" cm="1">
        <f t="array" ref="FX305">IF(FO305="","",_xlfn.LET(_xlpm.nd,_xlfn.TEXTSPLIT(FO305,"|"),IF(COLUMNS(_xlpm.nd)&gt;5,A305&amp;"¦"&amp;INDEX(_xlpm.nd,5)&amp;"¦"&amp;INDEX(_xlpm.nd,6),"")))</f>
        <v/>
      </c>
      <c r="FY305" t="str">
        <f t="shared" si="425"/>
        <v/>
      </c>
      <c r="FZ305" t="str" cm="1">
        <f t="array" ref="FZ305">IF(FO305="","",_xlfn.LET(_xlpm.nd,_xlfn.TEXTSPLIT(FO305,"|"),IF(COLUMNS(_xlpm.nd)&gt;6,A305&amp;"¦"&amp;INDEX(_xlpm.nd,6)&amp;"¦"&amp;INDEX(_xlpm.nd,7),"")))</f>
        <v/>
      </c>
      <c r="GA305" t="str">
        <f t="shared" si="426"/>
        <v/>
      </c>
      <c r="GB305" t="str">
        <f t="shared" si="427"/>
        <v/>
      </c>
      <c r="GC305" t="str">
        <f t="shared" si="428"/>
        <v>QFD22</v>
      </c>
      <c r="GD305">
        <f t="shared" si="429"/>
        <v>1</v>
      </c>
      <c r="GE305">
        <f t="shared" si="430"/>
        <v>0</v>
      </c>
      <c r="GF305">
        <f t="shared" si="431"/>
        <v>1</v>
      </c>
      <c r="GG305" t="str">
        <f t="shared" si="432"/>
        <v/>
      </c>
      <c r="GH305" t="str">
        <f t="shared" si="433"/>
        <v/>
      </c>
      <c r="GI305" t="str">
        <f t="shared" si="434"/>
        <v/>
      </c>
      <c r="GJ305" t="str">
        <f t="shared" si="435"/>
        <v/>
      </c>
      <c r="GK305" t="str">
        <f>IF(D305="","",IFERROR(VLOOKUP(D305,УГО_спр,2,FALSE),IFERROR(VLOOKUP(AT305,УГО_спр,2,FALSE),IFERROR(VLOOKUP(LEFT(AT305,2),УГО_спр,2,FALSE),""))))</f>
        <v>Розетка</v>
      </c>
      <c r="GL305" t="str">
        <f>IF(D305="","",IF(OR(GK305="",GK305=0),"BOX",IFERROR(IF(VLOOKUP(GK305,УГО_блоки,3,FALSE)&amp;""&lt;&gt;"",VLOOKUP(GK305,УГО_блоки,3,FALSE),VLOOKUP(GK305,УГО_блоки,2,FALSE)),GK305)))</f>
        <v>SOCKET</v>
      </c>
      <c r="GM305">
        <f t="shared" si="436"/>
        <v>1</v>
      </c>
      <c r="GN305" t="str">
        <f>IF(EP305="","",IF(COUNTIF(EP$3:EP305,EP305)=1,MAX(GN$2:GN304)+1,""))</f>
        <v/>
      </c>
      <c r="GO305" t="str">
        <f>IF(AF305="","",IF(COUNTIF(AF$3:AF305,AF305)+COUNTIF(AG$2:AG304,AF305)+COUNTIF(AH$2:AH304,AF305)=1,MAX(GO$2:GQ304)+1,""))</f>
        <v/>
      </c>
      <c r="GP305" t="str">
        <f>IF(AG305="","",IF(COUNTIF(AF$3:AF305,AG305)+COUNTIF(AG$3:AG305,AG305)+COUNTIF(AH$2:AH304,AG305)=1,MAX(GO$2:GQ304,GO305)+1,""))</f>
        <v/>
      </c>
      <c r="GQ305" t="str">
        <f>IF(AH305="","",IF(COUNTIF(AF$3:AF305,AH305)+COUNTIF(AG$3:AG305,AH305)+COUNTIF(AH$3:AH305,AH305)=1,MAX(GO$2:GQ304,GO305,GP305)+1,""))</f>
        <v/>
      </c>
      <c r="GR305" t="str">
        <f t="shared" si="437"/>
        <v>3х2,5</v>
      </c>
      <c r="GS305" t="str">
        <f>IF(GR305="","",IF(COUNTIF(GR$3:GR305,GR305)=1,MAX(GS$2:GS304)+1,""))</f>
        <v/>
      </c>
      <c r="GT305" t="str">
        <f>IF(ES305="","",COUNTIF(ES$3:ES305,"?*"))</f>
        <v/>
      </c>
      <c r="GU305" t="str">
        <f>IF(OR(ES305="",EU305=""),"",IF(COUNTIFS(ES$3:ES305,"?*",EU$3:EU305,EU305)=1,MAX(GU$2:GU304)+1,""))</f>
        <v/>
      </c>
      <c r="GV305">
        <f t="shared" si="438"/>
        <v>0</v>
      </c>
      <c r="GW305">
        <f>IF(D305="","",COUNTIF(D$3:D305,"?*"))</f>
        <v>303</v>
      </c>
      <c r="GX305">
        <f>IF(EX305&lt;&gt;1,0,_xlfn.LET(_xlpm.k,MAX(IFERROR(--VLOOKUP(D305,УГО_спр,5,FALSE),0),IFERROR(--VLOOKUP(AT305,УГО_спр,5,FALSE),0),IFERROR(--VLOOKUP(LEFT(AT305,2),УГО_спр,5,FALSE),0)),IF(_xlpm.k&gt;0,_xlpm.k,IF(IFERROR(--LEFT(SUBSTITUTE(GR305,"x","х"),FIND("х",SUBSTITUTE(GR305,"x","х"))-1),3)&gt;3,Каталог!$S$9,1))))</f>
        <v>1</v>
      </c>
      <c r="GY305">
        <f t="shared" si="439"/>
        <v>0</v>
      </c>
    </row>
    <row r="306" spans="1:207" x14ac:dyDescent="0.3">
      <c r="A306" t="s">
        <v>764</v>
      </c>
      <c r="B306">
        <v>33</v>
      </c>
      <c r="C306" t="str">
        <f>IF(BD306="","",IF(BE306="вводной узел","узел ","")&amp;"л."&amp;(INT((BD306-1)/Столбцов_на_лист)+1)&amp;" / "&amp;(MOD(BD306-1,Столбцов_на_лист)+1))</f>
        <v>л.2 / 16</v>
      </c>
      <c r="D306" t="s">
        <v>1640</v>
      </c>
      <c r="E306" s="133" t="str">
        <f t="shared" si="352"/>
        <v>Розеточная группа Второй этаж Пом. №009А</v>
      </c>
      <c r="G306">
        <v>0.06</v>
      </c>
      <c r="H306">
        <v>1</v>
      </c>
      <c r="I306">
        <v>1</v>
      </c>
      <c r="J306">
        <v>230</v>
      </c>
      <c r="K306" t="s">
        <v>566</v>
      </c>
      <c r="O306">
        <v>3</v>
      </c>
      <c r="P306">
        <v>32</v>
      </c>
      <c r="Q306">
        <v>12</v>
      </c>
      <c r="R306">
        <v>17</v>
      </c>
      <c r="T306">
        <v>2</v>
      </c>
      <c r="U306" t="s">
        <v>11</v>
      </c>
      <c r="V306">
        <v>3</v>
      </c>
      <c r="W306">
        <v>2.5</v>
      </c>
      <c r="X306">
        <v>16</v>
      </c>
      <c r="Z306" t="s">
        <v>565</v>
      </c>
      <c r="AA306" t="s">
        <v>818</v>
      </c>
      <c r="AD306" t="s">
        <v>517</v>
      </c>
      <c r="AK306" t="s">
        <v>488</v>
      </c>
      <c r="AR306" t="str">
        <f t="shared" si="353"/>
        <v/>
      </c>
      <c r="AS306" cm="1">
        <f t="array" ref="AS306">ROW()-ROW(Линии[#Headers])</f>
        <v>304</v>
      </c>
      <c r="AT306" t="str">
        <f t="shared" si="354"/>
        <v>R</v>
      </c>
      <c r="AU306" t="str">
        <f t="shared" si="355"/>
        <v>2.009А.3</v>
      </c>
      <c r="AV306" t="str">
        <f t="shared" si="356"/>
        <v>2</v>
      </c>
      <c r="AW306" t="str">
        <f t="shared" si="357"/>
        <v>009А.3</v>
      </c>
      <c r="AX306" t="str">
        <f t="shared" si="358"/>
        <v>009А</v>
      </c>
      <c r="AY306" t="str">
        <f>IF(D306="","",IF(ISERROR(SEARCH(".",D306)),IFERROR(VLOOKUP(D306,Потребители_обозначение,2,FALSE)&amp;"",""),IFERROR(IF(VLOOKUP(AT306,Потребители_обозначение,4,FALSE)=1,VLOOKUP(AT306,Потребители_обозначение,2,FALSE)&amp;" "&amp;VLOOKUP(AV306,Этаж_обозначение,2,FALSE)&amp;" Пом. №"&amp;AX306,VLOOKUP(AT306,Потребители_обозначение,2,FALSE)&amp;" Шлейф №"&amp;AV306),IFERROR(VLOOKUP(D306,Потребители_обозначение,2,FALSE),""))))</f>
        <v>Розеточная группа Второй этаж Пом. №009А</v>
      </c>
      <c r="AZ306" t="str">
        <f t="shared" si="359"/>
        <v>Розеточная группа Второй этаж Пом. №009А</v>
      </c>
      <c r="BA306" t="str">
        <f>IF(F306&lt;&gt;"",F306,IF(AND(D306&lt;&gt;"",D306&lt;&gt;A306,ISNUMBER(_xlfn.XMATCH(D306,Щиты[Щит]))),D306,""))</f>
        <v/>
      </c>
      <c r="BB306">
        <f>IFERROR(_xlfn.XMATCH(A306,Щиты[Щит]),0)</f>
        <v>11</v>
      </c>
      <c r="BC306">
        <f>IFERROR(N(_xlfn.XLOOKUP(A306,Щиты[Щит],Щиты[Мест под вводной узел])),15)</f>
        <v>8</v>
      </c>
      <c r="BD306">
        <f t="shared" si="360"/>
        <v>33</v>
      </c>
      <c r="BE306" t="str">
        <f t="shared" si="361"/>
        <v>линии</v>
      </c>
      <c r="BF306">
        <f>IF(D306="","",IF(BA306&lt;&gt;"",IFERROR(_xlfn.XLOOKUP(BA306,Щиты[Щит],Щиты[Руст, кВт]),0),N(G306)))</f>
        <v>0.06</v>
      </c>
      <c r="BG306">
        <f>IF(J306&lt;&gt;"",J306,IF(D306="","",IFERROR(IF(VLOOKUP(AT306,Потребители_обозначение,8,FALSE)=0,"",VLOOKUP(AT306,Потребители_обозначение,8,FALSE)),"")))</f>
        <v>230</v>
      </c>
      <c r="BH306">
        <f>IF(I306&lt;&gt;"",I306,IF(D306="","",IFERROR(IF(VLOOKUP(AT306,Потребители_обозначение,9,FALSE)=0,"",VLOOKUP(AT306,Потребители_обозначение,9,FALSE)),"")))</f>
        <v>1</v>
      </c>
      <c r="BI306" t="str">
        <f>IF(U306&lt;&gt;"",U306,IF(D306="","",IFERROR(IF(VLOOKUP(AT306,Потребители_обозначение,6,FALSE)=0,"",VLOOKUP(AT306,Потребители_обозначение,6,FALSE)),"")))</f>
        <v>мс</v>
      </c>
      <c r="BJ306">
        <f>IF(V306&lt;&gt;"",V306,IF(D306="","",IFERROR(IF(VLOOKUP(AT306,Потребители_обозначение,7,FALSE)=0,"",VLOOKUP(AT306,Потребители_обозначение,7,FALSE)),"")))</f>
        <v>3</v>
      </c>
      <c r="BK306">
        <f>IF(W306&lt;&gt;"",W306,IF(D306="","",IFERROR(IF(VLOOKUP(AT306,Потребители_обозначение,10,FALSE)=0,"",VLOOKUP(AT306,Потребители_обозначение,10,FALSE)),"")))</f>
        <v>2.5</v>
      </c>
      <c r="BL306">
        <f>IFERROR(VLOOKUP(AT306,Потребители_обозначение,5,FALSE),0)</f>
        <v>1</v>
      </c>
      <c r="BM306" cm="1">
        <f t="array" ref="BM306">IF(D306="","",IF(BA306&lt;&gt;"",IFERROR(_xlfn.XLOOKUP(BA306,Щиты[Щит],Щиты[cos φ]),0.95),IF(ISNUMBER(M306),M306,IFERROR(IF(BL306=2,_xlfn.IFS(BH306=3,VLOOKUP(BF306,Справочная_двигатели,8,FALSE),BH306=1,VLOOKUP(BF306,Справочная_двигатели,10,TRUE)),IF(AND(Методика="нормы 2026",CN306="Сил"),0.8,0.95)),0.95))))</f>
        <v>0.95</v>
      </c>
      <c r="BN306" cm="1">
        <f t="array" ref="BN306">IF(D306="","",IF(BA306&lt;&gt;"",IFERROR(_xlfn.XLOOKUP(BA306,Щиты[Щит],Щиты[Iр, А]),""),IFERROR(_xlfn.IFS(BH306=1,BF306/((Uн_лин/SQRT(3))*BM306),BH306=3,BF306/(SQRT(3)*Uн_лин*BM306)),"")))</f>
        <v>0.27348170645824377</v>
      </c>
      <c r="BO306">
        <f>IF(D306="","",IF(N(X306)=0,IFERROR(VLOOKUP(BN306,Автомат_номиналы,2,TRUE),""),X306))</f>
        <v>16</v>
      </c>
      <c r="BP306">
        <f t="shared" si="362"/>
        <v>1</v>
      </c>
      <c r="BQ306">
        <f>IF(ISNUMBER(Y306),Y306,К_прокл)</f>
        <v>1</v>
      </c>
      <c r="BR306">
        <f t="shared" si="363"/>
        <v>2</v>
      </c>
      <c r="BS306" cm="1">
        <f t="array" ref="BS306">IF(D306="","",IF(N(BK306)&lt;&gt;0,BK306,IFERROR(_xlfn.LET(_xlpm.need,BO306/(BP306*BQ306),_xlpm.t,CHOOSE(BR306,Iдоп_1ж,Iдоп_2ж,Iдоп_3ж),_xlpm.k,_xlfn.XMATCH(_xlpm.need,_xlpm.t,1),IF(ISNA(_xlpm.k),"Не исп",INDEX(Iдоп_S,_xlpm.k))),"Не исп")))</f>
        <v>2.5</v>
      </c>
      <c r="BT306">
        <f>IFERROR(VLOOKUP(BS306,Кабель_сопротивление,3,FALSE),"")</f>
        <v>2.2499999999999999E-2</v>
      </c>
      <c r="BU306">
        <f>IFERROR(VLOOKUP(BS306,Кабель_сопротивление,2,FALSE),"")</f>
        <v>0.1</v>
      </c>
      <c r="BV306">
        <f t="shared" si="364"/>
        <v>32</v>
      </c>
      <c r="BW306">
        <f>IF(D306="","",IFERROR(IF(VLOOKUP(AT306,Потребители_обозначение,4,FALSE)=1,VLOOKUP(AT306,Потребители_обозначение,3,FALSE)*(H306*2-1)+BV306+VLOOKUP(AV306,Этаж_обозначение,3,FALSE)+VLOOKUP(AV306,Этаж_обозначение,4,FALSE),VLOOKUP(AT306,Потребители_обозначение,3,FALSE)*(H306*2-1)+BV306),BV306))</f>
        <v>35</v>
      </c>
      <c r="BX306">
        <f t="shared" si="365"/>
        <v>17</v>
      </c>
      <c r="BY306">
        <f t="shared" si="366"/>
        <v>31</v>
      </c>
      <c r="BZ306">
        <f t="shared" si="367"/>
        <v>2</v>
      </c>
      <c r="CA306">
        <f t="shared" si="368"/>
        <v>0.31</v>
      </c>
      <c r="CB306">
        <f t="shared" si="369"/>
        <v>0.16427225661827327</v>
      </c>
      <c r="CC306">
        <f>IFERROR(ROUNDUP(CB306/((Uн_лин/SQRT(3))*1000)*100,2),"")</f>
        <v>0.08</v>
      </c>
      <c r="CD306">
        <f>IF(ISNUMBER(CC306),CC306+IFERROR(_xlfn.XLOOKUP(A306,Щиты[Щит],Щиты[ΔU до шин, %]),0),"")</f>
        <v>1.87</v>
      </c>
      <c r="CE306">
        <f>IF(D306="","",IF(IFERROR(VLOOKUP(AT306,УГО_спр,2,FALSE),"")="Светильник",3,4)+IF(Методика="нормы 2026",MIN(0.5,MAX(0,N(BW306)-100)*0.005),0))</f>
        <v>4</v>
      </c>
      <c r="CF306" t="str">
        <f>IFERROR(VLOOKUP(BI306,Кабель_обозначение,2,FALSE),"")</f>
        <v>ВВГнг(А)-LS</v>
      </c>
      <c r="CG306" t="str">
        <f>IFERROR(IF(VLOOKUP(BI306,Кабель_обозначение,3,FALSE)=1,CF306&amp;" ("&amp;BJ306&amp;"х"&amp;BS306&amp;")",CF306),"")</f>
        <v>ВВГнг(А)-LS (3х2,5)</v>
      </c>
      <c r="CH306" t="str">
        <f t="shared" si="370"/>
        <v>ВВГнг(А)-LS (3х2,5)
L=35-0,08%</v>
      </c>
      <c r="CI306">
        <f>IFERROR(2*ρкз_Cu*BW306/BS306,"")</f>
        <v>0.73639999999999994</v>
      </c>
      <c r="CJ306">
        <f t="shared" si="371"/>
        <v>0.24500000000000002</v>
      </c>
      <c r="CK306" t="str">
        <f>IFERROR(IF(OR(D306="",NOT(ISNUMBER(BS306)),N(BW306)=0),"",_xlfn.XLOOKUP(A306,Щиты[Щит],Щиты[Zпетли на шинах, Ом])+CI306),"")</f>
        <v/>
      </c>
      <c r="CL306" t="str">
        <f>IF(ISNUMBER(CK306),c_min*(Uн_лин*1000/SQRT(3))/CK306,"")</f>
        <v/>
      </c>
      <c r="CM306" t="str">
        <f>IFERROR(IF(OR(D306="",NOT(ISNUMBER(BS306))),"",1.05*(Uн_лин*1000/SQRT(3))/(_xlfn.XLOOKUP(A306,Щиты[Щит],Щиты[Zmax на шинах, Ом])+CJ306)/1000),"")</f>
        <v/>
      </c>
      <c r="CN306" t="str">
        <f>IF(D306="","",IF(BA306&lt;&gt;"","Щит",IF(K306&lt;&gt;"",K306,IF(ISNUMBER(L306),"Сил",IF(IFERROR(_xlfn.XLOOKUP(AT306,Коды_код,Коды_группа)&amp;"","")="","Быт",_xlfn.XLOOKUP(AT306,Коды_код,Коды_группа)&amp;"")))))</f>
        <v>Быт</v>
      </c>
      <c r="CO306">
        <f>IF(CN306="Щит","щит",IF(CN306="","",IF(CN306="Быт",IFERROR(_xlfn.XLOOKUP(A306,Щиты[Щит],Щиты[Кс быт]),1),IF(CN306="Сил",IF(ISNUMBER(L306),L306,IF(Методика="нормы 2026",IFERROR(_xlfn.XLOOKUP(A306,Щиты[Щит],Щиты[Кс силовых (табл. 7.5)]),1),1)),IF(OR(CN306="Пост",CN306="Отоп"),1,IF(CN306="ВНГ",0.7,0))))))</f>
        <v>0.8</v>
      </c>
      <c r="CP306">
        <f t="shared" si="372"/>
        <v>1</v>
      </c>
      <c r="CQ306">
        <f t="shared" si="373"/>
        <v>0.06</v>
      </c>
      <c r="CR306">
        <f t="shared" si="374"/>
        <v>0.06</v>
      </c>
      <c r="CS306">
        <f t="shared" si="375"/>
        <v>0</v>
      </c>
      <c r="CT306">
        <f t="shared" si="376"/>
        <v>0</v>
      </c>
      <c r="CU306">
        <f t="shared" si="377"/>
        <v>0</v>
      </c>
      <c r="CV306">
        <f t="shared" si="378"/>
        <v>0</v>
      </c>
      <c r="CW306">
        <f t="shared" si="379"/>
        <v>0.06</v>
      </c>
      <c r="CX306">
        <f t="shared" si="380"/>
        <v>5.6999999999999995E-2</v>
      </c>
      <c r="CY306">
        <f t="shared" si="381"/>
        <v>3</v>
      </c>
      <c r="CZ306" t="str">
        <f t="shared" si="382"/>
        <v>L3</v>
      </c>
      <c r="DA306" cm="1">
        <f t="array" ref="DA306">IFERROR(IF(BL306=2,_xlfn.IFS(BH306=3,VLOOKUP(BF306,Справочная_двигатели,3,FALSE),BH306=1,VLOOKUP(BF306,Справочная_двигатели,5,TRUE)),0),0)</f>
        <v>0</v>
      </c>
      <c r="DB306">
        <f>IFERROR(IF(BL306=3,VLOOKUP(BF306,Справочная_ЛЭД,2,TRUE),0),0)</f>
        <v>0</v>
      </c>
      <c r="DC306">
        <f t="shared" si="383"/>
        <v>0</v>
      </c>
      <c r="DD306" t="str">
        <f t="shared" si="384"/>
        <v>L3</v>
      </c>
      <c r="DE306" t="str" cm="1">
        <f t="array" ref="DE306">IF(D306="","",IFERROR(INDEX({"I особая","I","II","III"},MATCH(TRIM(AA306&amp;""),{"I особая","I","II","III"},0)),"III"))</f>
        <v>II</v>
      </c>
      <c r="DF306" t="str">
        <f>IF(D306="","",IF(TRIM(AB306&amp;"")&lt;&gt;"",IF(LOWER(TRIM(AB306&amp;""))="да","да","нет"),IF(IFERROR(_xlfn.XLOOKUP(AT306,Коды_код,Коды_пожарная),"")="да","да","нет")))</f>
        <v>нет</v>
      </c>
      <c r="DG306" t="str">
        <f t="shared" si="385"/>
        <v/>
      </c>
      <c r="DH306" t="str">
        <f t="shared" si="386"/>
        <v>основная</v>
      </c>
      <c r="DI306">
        <f t="shared" si="387"/>
        <v>1</v>
      </c>
      <c r="DJ306" t="str" cm="1">
        <f t="array" ref="DJ306">IF(D306="","",_xlfn.LET(_xlpm.t,IFERROR(_xlfn.XLOOKUP(1,(Шины[Шина]=DH306)*(((Шины[Щит]=A306)+(Шины[Щит]=""))&gt;0),Шины[Тип]),"")&amp;"",IF(_xlpm.t&lt;&gt;"",_xlpm.t,IF(ISNUMBER(SEARCH("ИБП",DH306)),"ИБП",IF(ISNUMBER(SEARCH("ДГУ",DH306)),"ДГУ","Ввод "&amp;DI306)))))</f>
        <v>Ввод 1</v>
      </c>
      <c r="DK306" t="str">
        <f t="shared" si="388"/>
        <v>Ввод 1</v>
      </c>
      <c r="DL306" t="str">
        <f>IF(D306="","",IF(OR(DJ306="ИБП",DJ306="ДГУ"),"I особая",IF(DJ306="Одиночная","III",_xlfn.XLOOKUP(A306,Щиты[Щит],Щиты[Категория шины «Ввод»],"III"))))</f>
        <v>II</v>
      </c>
      <c r="DM306">
        <f>IF(D306="",0,IFERROR(MATCH(DE306,{"III","II","I","I особая"},0),1))</f>
        <v>2</v>
      </c>
      <c r="DN306">
        <f t="shared" si="389"/>
        <v>2</v>
      </c>
      <c r="DO306" t="str">
        <f>IF(D306="","",IF(DM306&gt;IFERROR(MATCH(DL306,{"III","II","I","I особая"},0),1),"НЕ ОБЕСПЕЧЕНА","ОК"))</f>
        <v>ОК</v>
      </c>
      <c r="DP306" t="str">
        <f>IF(A306="","",_xlfn.XLOOKUP(A306,Щиты[Щит],Щиты[Путь],""))</f>
        <v>|ГРЩ-ЖД|ЩР-2|</v>
      </c>
      <c r="DQ306" t="str">
        <f>IF(D306="","",IF(Z306&lt;&gt;"",Z306,IF(IFERROR(_xlfn.XLOOKUP(AT306,Коды_код,Коды_вид)&amp;"","")="","Прочее",_xlfn.XLOOKUP(AT306,Коды_код,Коды_вид)&amp;"")))</f>
        <v>Розеточная сеть и бытовые приборы</v>
      </c>
      <c r="DR306">
        <f>IF(BD306="","",INT((BD306-1)/Столбцов_на_лист)+1)</f>
        <v>2</v>
      </c>
      <c r="DS306" t="str">
        <f t="shared" si="390"/>
        <v>ВВГнг(А)-LS (3х2,5) L=35-0,08%</v>
      </c>
      <c r="DT306">
        <f t="shared" si="391"/>
        <v>0.06</v>
      </c>
      <c r="DU306">
        <f t="shared" si="392"/>
        <v>0.28000000000000003</v>
      </c>
      <c r="DV306">
        <f t="shared" si="393"/>
        <v>1</v>
      </c>
      <c r="DW306">
        <f>IF(AT306="",0,_xlfn.LET(_xlpm.v,IFERROR(VLOOKUP(D306,УГО_спр,3,FALSE),IFERROR(VLOOKUP(AT306,УГО_спр,3,FALSE),IFERROR(VLOOKUP(LEFT(AT306,2),УГО_спр,3,FALSE),""))),IF(_xlpm.v="да",30,IF(ISNUMBER(_xlpm.v),_xlpm.v,0))))</f>
        <v>30</v>
      </c>
      <c r="DX306">
        <f t="shared" si="394"/>
        <v>0</v>
      </c>
      <c r="DY306">
        <f>IF(BD306="","",IF(AD306&lt;&gt;"",COUNTIFS(A$3:A306,A306,AD$3:AD306,"?*"),IF(OR(OR(AS306=1,A306&lt;&gt;A305),AL306="вручную"),"",IF(AS306=1,"",DZ305))))</f>
        <v>23</v>
      </c>
      <c r="DZ306">
        <f t="shared" si="395"/>
        <v>23</v>
      </c>
      <c r="EA306">
        <f>IF(D306="",0,MAX(IFERROR(--X306,0),IFERROR(--VLOOKUP(D306,УГО_спр,4,FALSE),IFERROR(--VLOOKUP(AT306,УГО_спр,4,FALSE),IFERROR(--VLOOKUP(LEFT(AT306,2),УГО_спр,4,FALSE),0)))))</f>
        <v>16</v>
      </c>
      <c r="EB306">
        <f>IF(D306="","",IFERROR(LOOKUP(INDEX(CHOOSE(BR306,Iдоп_1ж,Iдоп_2ж,Iдоп_3ж),MATCH(BS306,Iдоп_S,0))*BP306*BQ306,{6,10,16,20,25,32,40,50,63,80,100,125,160,200,250,315,400,500,630}),""))</f>
        <v>25</v>
      </c>
      <c r="EC306">
        <f>IF(AD306="","",SUMIFS(Линии[_Ток схемы],Линии[_гр.],DY306,Линии[Щит],A306,Линии[_в кабель выше],0))</f>
        <v>0.28000000000000003</v>
      </c>
      <c r="ED306">
        <f>IF(AD306="","",IFERROR(VLOOKUP(EC306,Автомат_номиналы,2,TRUE),""))</f>
        <v>6</v>
      </c>
      <c r="EE306">
        <f>IF(AD306="","",MAX(N(ED306),_xlfn.MAXIFS(Линии[_мин. по типу],Линии[_гр.],DY306,Линии[Щит],A306)))</f>
        <v>16</v>
      </c>
      <c r="EF306">
        <f>IF(AD306="","",_xlfn.MINIFS(Линии[_макс. автомат по кабелю],Линии[_гр.],DY306,Линии[Щит],A306))</f>
        <v>25</v>
      </c>
      <c r="EG306">
        <f>IF(AD306="","",MAX(1,_xlfn.MAXIFS(Линии[_фаз],Линии[_гр.],DY306,Линии[Щит],A306)))</f>
        <v>1</v>
      </c>
      <c r="EH306">
        <f>IF(AD306="","",IF(AND(AD306&lt;&gt;"авто",AD306&lt;&gt;"+"),IF(ISNUMBER(SEARCH("мА",AD306)),IFERROR(--TRIM(RIGHT(SUBSTITUTE(LEFT(AD306,SEARCH("мА",AD306)-1)," ",REPT(" ",9)),6)),30),0),IF(AE306="нет",0,IF(ISNUMBER(AE306),AE306,IF(AE306="да",30,_xlfn.MINIFS(Линии[_дифзащита по коду, мА],Линии[_гр.],DY306,Линии[Щит],A306,Линии[_дифзащита по коду, мА],"&gt;0"))))))</f>
        <v>30</v>
      </c>
      <c r="EI306">
        <f t="shared" si="396"/>
        <v>1</v>
      </c>
      <c r="EJ306" t="str">
        <f t="shared" si="397"/>
        <v>QFD23</v>
      </c>
      <c r="EK306" t="str">
        <f t="shared" si="398"/>
        <v>QFD23</v>
      </c>
      <c r="EL306" t="str">
        <f t="shared" si="399"/>
        <v/>
      </c>
      <c r="EM306">
        <f t="shared" si="400"/>
        <v>0</v>
      </c>
      <c r="EN306">
        <f>IF(AD306="","",IF(EM306=1,MAX(EE306,Мин_автомат_БП),EE306))</f>
        <v>16</v>
      </c>
      <c r="EO306" t="str">
        <f t="shared" si="401"/>
        <v>2P</v>
      </c>
      <c r="EP306" t="str">
        <f t="shared" si="402"/>
        <v>2P С16А 30мА</v>
      </c>
      <c r="EQ306">
        <f t="shared" si="403"/>
        <v>16</v>
      </c>
      <c r="ER306" t="str">
        <f>IF(OR(AI306="",AI306="-"),"",IFERROR(VLOOKUP(AI306,Модули_спр,2,FALSE),"R"))</f>
        <v/>
      </c>
      <c r="ES306" t="str">
        <f>IF(ER306="","",ER306&amp;"."&amp;COUNTIFS(A$3:A306,A306,ER$3:ER306,ER306))</f>
        <v/>
      </c>
      <c r="ET306" t="str">
        <f t="shared" si="404"/>
        <v/>
      </c>
      <c r="EU306" t="str">
        <f t="shared" si="405"/>
        <v/>
      </c>
      <c r="EV306" t="str">
        <f t="shared" si="406"/>
        <v/>
      </c>
      <c r="EW306" t="str">
        <f t="shared" si="407"/>
        <v/>
      </c>
      <c r="EX306">
        <f t="shared" si="408"/>
        <v>1</v>
      </c>
      <c r="EY306" t="str">
        <f>IF(AK306="нет","",IF(AK306&lt;&gt;"",AK306,IF(EX306=1,"XT"&amp;COUNTIFS(A$3:A306,A306,EX$3:EX306,1),"")))</f>
        <v/>
      </c>
      <c r="EZ306" t="str">
        <f t="shared" si="409"/>
        <v>QFD23</v>
      </c>
      <c r="FA306" t="str">
        <f t="shared" si="410"/>
        <v/>
      </c>
      <c r="FB306" t="str">
        <f t="shared" si="411"/>
        <v>ok</v>
      </c>
      <c r="FC306" t="str">
        <f>IF(OR(EV306="",ET306=""),"",IF(EV306&gt;IFERROR(VLOOKUP(EU306,Модули_спр,3,FALSE),99),"ЛИШНИЙ КАНАЛ",IF(AND(AJ306&lt;&gt;"=",COUNTIFS(Линии[_модуль гр.],ET306,Линии[Канал (итог)],EV306,Линии[Канал],"&lt;&gt;=",Линии[Щит],A306)&gt;1),"ДУБЛЬ КАНАЛА","")))</f>
        <v/>
      </c>
      <c r="FD306">
        <f t="shared" si="412"/>
        <v>16</v>
      </c>
      <c r="FE306" t="str">
        <f t="shared" si="413"/>
        <v>2P С16А 30мА</v>
      </c>
      <c r="FF306">
        <f t="shared" si="414"/>
        <v>1</v>
      </c>
      <c r="FG306">
        <f t="shared" si="415"/>
        <v>30</v>
      </c>
      <c r="FH306" t="str">
        <f t="shared" si="416"/>
        <v/>
      </c>
      <c r="FI306">
        <f t="shared" si="417"/>
        <v>10</v>
      </c>
      <c r="FJ306" t="str">
        <f t="shared" si="418"/>
        <v/>
      </c>
      <c r="FK306" t="str">
        <f>IF(AND(D306="",EZ306=""),"",_xlfn.TEXTJOIN("; ",TRUE,IF(AND(D306&lt;&gt;"",DD306=""),"нет фазы",""),IF(AND(D306&lt;&gt;"",N(DT306)=0,CN306&lt;&gt;"Нет"),"нет мощности",""),IF(AND(EY306&lt;&gt;"",COUNTIFS(Линии[Щит],A306,Линии[Клемма (итог)],EY306)&gt;1),"дубль клеммы "&amp;EY306,""),IF(AND(FB306&lt;&gt;"",FB306&lt;&gt;"ok"),FB306,""),IF(FC306&lt;&gt;"",FC306,""),IF(AND(ISNUMBER(SEARCH("(5х",DS306)),N(DV306)=1),"5 жил на 1 фазе",""),IF(AND(AT306="R",AD306&lt;&gt;"",OR(N(EH306)=0,N(EH306)&gt;30)),"розетка без дифзащиты до 30 мА",""),IFERROR(IF(AND(ISNUMBER(CD306),CD306&gt;CE306),"потери "&amp;FIXED(CD306,1)&amp;" % &gt; "&amp;CE306&amp;" %",""),""),IFERROR(IF(LEFT(FJ306,4)="мало","Iкз мало — отключение &gt; 0,4 с",""),""),IF(AND(D306&lt;&gt;"",BD306=""),"не на схеме","")))</f>
        <v/>
      </c>
      <c r="FL306">
        <f>IF(AD306="","",_xlfn.LET(_xlpm.t,IFERROR(_xlfn.XLOOKUP(EP306,Каталог!$U$4:$U$500,Каталог!$G$4:$G$500),""),_xlpm.k,SEARCH("кА",_xlpm.t),IFERROR(--TRIM(RIGHT(SUBSTITUTE(MID(_xlpm.t,MAX(1,_xlpm.k-4),_xlpm.k-MAX(1,_xlpm.k-4))," ",REPT(" ",9)),5)),"")))</f>
        <v>6</v>
      </c>
      <c r="FM306" t="str">
        <f>IF(OR(FL306="",AD306=""),"",IF(_xlfn.XLOOKUP(A306,Щиты[Щит],Щиты[Iкз max на шинах, кА],"")="","",IF(FL306&lt;_xlfn.XLOOKUP(A306,Щиты[Щит],Щиты[Iкз max на шинах, кА]),"Icu "&amp;FL306&amp;" кА &lt; Iкз max","ok")))</f>
        <v/>
      </c>
      <c r="FN306" t="str">
        <f t="shared" si="419"/>
        <v>QFD23</v>
      </c>
      <c r="FO306" t="str">
        <f t="shared" si="420"/>
        <v>QFD23|кабель ВВГнг(А)-LS (3х2,5) → Розеточная группа Второй этаж Пом. №009А</v>
      </c>
      <c r="FP306" t="str" cm="1">
        <f t="array" ref="FP306">IF(FO306="","",_xlfn.LET(_xlpm.nd,_xlfn.TEXTSPLIT(FO306,"|"),IF(COLUMNS(_xlpm.nd)&gt;1,A306&amp;"¦"&amp;INDEX(_xlpm.nd,1)&amp;"¦"&amp;INDEX(_xlpm.nd,2),"")))</f>
        <v>ЩР-2¦QFD23¦кабель ВВГнг(А)-LS (3х2,5) → Розеточная группа Второй этаж Пом. №009А</v>
      </c>
      <c r="FQ306" t="str">
        <f t="shared" si="421"/>
        <v>R.2.009А.3¦Розеточная группа Второй этаж Пом. №009А</v>
      </c>
      <c r="FR306" t="str" cm="1">
        <f t="array" ref="FR306">IF(FO306="","",_xlfn.LET(_xlpm.nd,_xlfn.TEXTSPLIT(FO306,"|"),IF(COLUMNS(_xlpm.nd)&gt;2,A306&amp;"¦"&amp;INDEX(_xlpm.nd,2)&amp;"¦"&amp;INDEX(_xlpm.nd,3),"")))</f>
        <v/>
      </c>
      <c r="FS306" t="str">
        <f t="shared" si="422"/>
        <v/>
      </c>
      <c r="FT306" t="str" cm="1">
        <f t="array" ref="FT306">IF(FO306="","",_xlfn.LET(_xlpm.nd,_xlfn.TEXTSPLIT(FO306,"|"),IF(COLUMNS(_xlpm.nd)&gt;3,A306&amp;"¦"&amp;INDEX(_xlpm.nd,3)&amp;"¦"&amp;INDEX(_xlpm.nd,4),"")))</f>
        <v/>
      </c>
      <c r="FU306" t="str">
        <f t="shared" si="423"/>
        <v/>
      </c>
      <c r="FV306" t="str" cm="1">
        <f t="array" ref="FV306">IF(FO306="","",_xlfn.LET(_xlpm.nd,_xlfn.TEXTSPLIT(FO306,"|"),IF(COLUMNS(_xlpm.nd)&gt;4,A306&amp;"¦"&amp;INDEX(_xlpm.nd,4)&amp;"¦"&amp;INDEX(_xlpm.nd,5),"")))</f>
        <v/>
      </c>
      <c r="FW306" t="str">
        <f t="shared" si="424"/>
        <v/>
      </c>
      <c r="FX306" t="str" cm="1">
        <f t="array" ref="FX306">IF(FO306="","",_xlfn.LET(_xlpm.nd,_xlfn.TEXTSPLIT(FO306,"|"),IF(COLUMNS(_xlpm.nd)&gt;5,A306&amp;"¦"&amp;INDEX(_xlpm.nd,5)&amp;"¦"&amp;INDEX(_xlpm.nd,6),"")))</f>
        <v/>
      </c>
      <c r="FY306" t="str">
        <f t="shared" si="425"/>
        <v/>
      </c>
      <c r="FZ306" t="str" cm="1">
        <f t="array" ref="FZ306">IF(FO306="","",_xlfn.LET(_xlpm.nd,_xlfn.TEXTSPLIT(FO306,"|"),IF(COLUMNS(_xlpm.nd)&gt;6,A306&amp;"¦"&amp;INDEX(_xlpm.nd,6)&amp;"¦"&amp;INDEX(_xlpm.nd,7),"")))</f>
        <v/>
      </c>
      <c r="GA306" t="str">
        <f t="shared" si="426"/>
        <v/>
      </c>
      <c r="GB306" t="str">
        <f t="shared" si="427"/>
        <v/>
      </c>
      <c r="GC306" t="str">
        <f t="shared" si="428"/>
        <v>QFD23</v>
      </c>
      <c r="GD306">
        <f t="shared" si="429"/>
        <v>1</v>
      </c>
      <c r="GE306">
        <f t="shared" si="430"/>
        <v>0</v>
      </c>
      <c r="GF306">
        <f t="shared" si="431"/>
        <v>1</v>
      </c>
      <c r="GG306" t="str">
        <f t="shared" si="432"/>
        <v/>
      </c>
      <c r="GH306" t="str">
        <f t="shared" si="433"/>
        <v/>
      </c>
      <c r="GI306" t="str">
        <f t="shared" si="434"/>
        <v/>
      </c>
      <c r="GJ306" t="str">
        <f t="shared" si="435"/>
        <v/>
      </c>
      <c r="GK306" t="str">
        <f>IF(D306="","",IFERROR(VLOOKUP(D306,УГО_спр,2,FALSE),IFERROR(VLOOKUP(AT306,УГО_спр,2,FALSE),IFERROR(VLOOKUP(LEFT(AT306,2),УГО_спр,2,FALSE),""))))</f>
        <v>Розетка</v>
      </c>
      <c r="GL306" t="str">
        <f>IF(D306="","",IF(OR(GK306="",GK306=0),"BOX",IFERROR(IF(VLOOKUP(GK306,УГО_блоки,3,FALSE)&amp;""&lt;&gt;"",VLOOKUP(GK306,УГО_блоки,3,FALSE),VLOOKUP(GK306,УГО_блоки,2,FALSE)),GK306)))</f>
        <v>SOCKET</v>
      </c>
      <c r="GM306">
        <f t="shared" si="436"/>
        <v>1</v>
      </c>
      <c r="GN306" t="str">
        <f>IF(EP306="","",IF(COUNTIF(EP$3:EP306,EP306)=1,MAX(GN$2:GN305)+1,""))</f>
        <v/>
      </c>
      <c r="GO306" t="str">
        <f>IF(AF306="","",IF(COUNTIF(AF$3:AF306,AF306)+COUNTIF(AG$2:AG305,AF306)+COUNTIF(AH$2:AH305,AF306)=1,MAX(GO$2:GQ305)+1,""))</f>
        <v/>
      </c>
      <c r="GP306" t="str">
        <f>IF(AG306="","",IF(COUNTIF(AF$3:AF306,AG306)+COUNTIF(AG$3:AG306,AG306)+COUNTIF(AH$2:AH305,AG306)=1,MAX(GO$2:GQ305,GO306)+1,""))</f>
        <v/>
      </c>
      <c r="GQ306" t="str">
        <f>IF(AH306="","",IF(COUNTIF(AF$3:AF306,AH306)+COUNTIF(AG$3:AG306,AH306)+COUNTIF(AH$3:AH306,AH306)=1,MAX(GO$2:GQ305,GO306,GP306)+1,""))</f>
        <v/>
      </c>
      <c r="GR306" t="str">
        <f t="shared" si="437"/>
        <v>3х2,5</v>
      </c>
      <c r="GS306" t="str">
        <f>IF(GR306="","",IF(COUNTIF(GR$3:GR306,GR306)=1,MAX(GS$2:GS305)+1,""))</f>
        <v/>
      </c>
      <c r="GT306" t="str">
        <f>IF(ES306="","",COUNTIF(ES$3:ES306,"?*"))</f>
        <v/>
      </c>
      <c r="GU306" t="str">
        <f>IF(OR(ES306="",EU306=""),"",IF(COUNTIFS(ES$3:ES306,"?*",EU$3:EU306,EU306)=1,MAX(GU$2:GU305)+1,""))</f>
        <v/>
      </c>
      <c r="GV306">
        <f t="shared" si="438"/>
        <v>0</v>
      </c>
      <c r="GW306">
        <f>IF(D306="","",COUNTIF(D$3:D306,"?*"))</f>
        <v>304</v>
      </c>
      <c r="GX306">
        <f>IF(EX306&lt;&gt;1,0,_xlfn.LET(_xlpm.k,MAX(IFERROR(--VLOOKUP(D306,УГО_спр,5,FALSE),0),IFERROR(--VLOOKUP(AT306,УГО_спр,5,FALSE),0),IFERROR(--VLOOKUP(LEFT(AT306,2),УГО_спр,5,FALSE),0)),IF(_xlpm.k&gt;0,_xlpm.k,IF(IFERROR(--LEFT(SUBSTITUTE(GR306,"x","х"),FIND("х",SUBSTITUTE(GR306,"x","х"))-1),3)&gt;3,Каталог!$S$9,1))))</f>
        <v>1</v>
      </c>
      <c r="GY306">
        <f t="shared" si="439"/>
        <v>0</v>
      </c>
    </row>
    <row r="307" spans="1:207" x14ac:dyDescent="0.3">
      <c r="A307" t="s">
        <v>764</v>
      </c>
      <c r="B307">
        <v>36</v>
      </c>
      <c r="C307" t="str">
        <f>IF(BD307="","",IF(BE307="вводной узел","узел ","")&amp;"л."&amp;(INT((BD307-1)/Столбцов_на_лист)+1)&amp;" / "&amp;(MOD(BD307-1,Столбцов_на_лист)+1))</f>
        <v>л.3 / 2</v>
      </c>
      <c r="D307" t="s">
        <v>1641</v>
      </c>
      <c r="E307" s="133" t="str">
        <f t="shared" si="352"/>
        <v>Розеточная группа Второй этаж Пом. №020А</v>
      </c>
      <c r="G307">
        <v>0.12</v>
      </c>
      <c r="H307">
        <v>2</v>
      </c>
      <c r="I307">
        <v>1</v>
      </c>
      <c r="J307">
        <v>230</v>
      </c>
      <c r="K307" t="s">
        <v>566</v>
      </c>
      <c r="O307">
        <v>3</v>
      </c>
      <c r="P307">
        <v>50</v>
      </c>
      <c r="Q307">
        <v>12</v>
      </c>
      <c r="R307">
        <v>41</v>
      </c>
      <c r="T307">
        <v>2</v>
      </c>
      <c r="U307" t="s">
        <v>11</v>
      </c>
      <c r="V307">
        <v>3</v>
      </c>
      <c r="W307">
        <v>2.5</v>
      </c>
      <c r="X307">
        <v>16</v>
      </c>
      <c r="Z307" t="s">
        <v>565</v>
      </c>
      <c r="AA307" t="s">
        <v>818</v>
      </c>
      <c r="AD307" t="s">
        <v>517</v>
      </c>
      <c r="AR307" t="str">
        <f t="shared" si="353"/>
        <v/>
      </c>
      <c r="AS307" cm="1">
        <f t="array" ref="AS307">ROW()-ROW(Линии[#Headers])</f>
        <v>305</v>
      </c>
      <c r="AT307" t="str">
        <f t="shared" si="354"/>
        <v>R</v>
      </c>
      <c r="AU307" t="str">
        <f t="shared" si="355"/>
        <v>2.020А.2</v>
      </c>
      <c r="AV307" t="str">
        <f t="shared" si="356"/>
        <v>2</v>
      </c>
      <c r="AW307" t="str">
        <f t="shared" si="357"/>
        <v>020А.2</v>
      </c>
      <c r="AX307" t="str">
        <f t="shared" si="358"/>
        <v>020А</v>
      </c>
      <c r="AY307" t="str">
        <f>IF(D307="","",IF(ISERROR(SEARCH(".",D307)),IFERROR(VLOOKUP(D307,Потребители_обозначение,2,FALSE)&amp;"",""),IFERROR(IF(VLOOKUP(AT307,Потребители_обозначение,4,FALSE)=1,VLOOKUP(AT307,Потребители_обозначение,2,FALSE)&amp;" "&amp;VLOOKUP(AV307,Этаж_обозначение,2,FALSE)&amp;" Пом. №"&amp;AX307,VLOOKUP(AT307,Потребители_обозначение,2,FALSE)&amp;" Шлейф №"&amp;AV307),IFERROR(VLOOKUP(D307,Потребители_обозначение,2,FALSE),""))))</f>
        <v>Розеточная группа Второй этаж Пом. №020А</v>
      </c>
      <c r="AZ307" t="str">
        <f t="shared" si="359"/>
        <v>Розеточная группа Второй этаж Пом. №020А</v>
      </c>
      <c r="BA307" t="str">
        <f>IF(F307&lt;&gt;"",F307,IF(AND(D307&lt;&gt;"",D307&lt;&gt;A307,ISNUMBER(_xlfn.XMATCH(D307,Щиты[Щит]))),D307,""))</f>
        <v/>
      </c>
      <c r="BB307">
        <f>IFERROR(_xlfn.XMATCH(A307,Щиты[Щит]),0)</f>
        <v>11</v>
      </c>
      <c r="BC307">
        <f>IFERROR(N(_xlfn.XLOOKUP(A307,Щиты[Щит],Щиты[Мест под вводной узел])),15)</f>
        <v>8</v>
      </c>
      <c r="BD307">
        <f t="shared" si="360"/>
        <v>36</v>
      </c>
      <c r="BE307" t="str">
        <f t="shared" si="361"/>
        <v>линии</v>
      </c>
      <c r="BF307">
        <f>IF(D307="","",IF(BA307&lt;&gt;"",IFERROR(_xlfn.XLOOKUP(BA307,Щиты[Щит],Щиты[Руст, кВт]),0),N(G307)))</f>
        <v>0.12</v>
      </c>
      <c r="BG307">
        <f>IF(J307&lt;&gt;"",J307,IF(D307="","",IFERROR(IF(VLOOKUP(AT307,Потребители_обозначение,8,FALSE)=0,"",VLOOKUP(AT307,Потребители_обозначение,8,FALSE)),"")))</f>
        <v>230</v>
      </c>
      <c r="BH307">
        <f>IF(I307&lt;&gt;"",I307,IF(D307="","",IFERROR(IF(VLOOKUP(AT307,Потребители_обозначение,9,FALSE)=0,"",VLOOKUP(AT307,Потребители_обозначение,9,FALSE)),"")))</f>
        <v>1</v>
      </c>
      <c r="BI307" t="str">
        <f>IF(U307&lt;&gt;"",U307,IF(D307="","",IFERROR(IF(VLOOKUP(AT307,Потребители_обозначение,6,FALSE)=0,"",VLOOKUP(AT307,Потребители_обозначение,6,FALSE)),"")))</f>
        <v>мс</v>
      </c>
      <c r="BJ307">
        <f>IF(V307&lt;&gt;"",V307,IF(D307="","",IFERROR(IF(VLOOKUP(AT307,Потребители_обозначение,7,FALSE)=0,"",VLOOKUP(AT307,Потребители_обозначение,7,FALSE)),"")))</f>
        <v>3</v>
      </c>
      <c r="BK307">
        <f>IF(W307&lt;&gt;"",W307,IF(D307="","",IFERROR(IF(VLOOKUP(AT307,Потребители_обозначение,10,FALSE)=0,"",VLOOKUP(AT307,Потребители_обозначение,10,FALSE)),"")))</f>
        <v>2.5</v>
      </c>
      <c r="BL307">
        <f>IFERROR(VLOOKUP(AT307,Потребители_обозначение,5,FALSE),0)</f>
        <v>1</v>
      </c>
      <c r="BM307" cm="1">
        <f t="array" ref="BM307">IF(D307="","",IF(BA307&lt;&gt;"",IFERROR(_xlfn.XLOOKUP(BA307,Щиты[Щит],Щиты[cos φ]),0.95),IF(ISNUMBER(M307),M307,IFERROR(IF(BL307=2,_xlfn.IFS(BH307=3,VLOOKUP(BF307,Справочная_двигатели,8,FALSE),BH307=1,VLOOKUP(BF307,Справочная_двигатели,10,TRUE)),IF(AND(Методика="нормы 2026",CN307="Сил"),0.8,0.95)),0.95))))</f>
        <v>0.95</v>
      </c>
      <c r="BN307" cm="1">
        <f t="array" ref="BN307">IF(D307="","",IF(BA307&lt;&gt;"",IFERROR(_xlfn.XLOOKUP(BA307,Щиты[Щит],Щиты[Iр, А]),""),IFERROR(_xlfn.IFS(BH307=1,BF307/((Uн_лин/SQRT(3))*BM307),BH307=3,BF307/(SQRT(3)*Uн_лин*BM307)),"")))</f>
        <v>0.54696341291648753</v>
      </c>
      <c r="BO307">
        <f>IF(D307="","",IF(N(X307)=0,IFERROR(VLOOKUP(BN307,Автомат_номиналы,2,TRUE),""),X307))</f>
        <v>16</v>
      </c>
      <c r="BP307">
        <f t="shared" si="362"/>
        <v>1</v>
      </c>
      <c r="BQ307">
        <f>IF(ISNUMBER(Y307),Y307,К_прокл)</f>
        <v>1</v>
      </c>
      <c r="BR307">
        <f t="shared" si="363"/>
        <v>2</v>
      </c>
      <c r="BS307" cm="1">
        <f t="array" ref="BS307">IF(D307="","",IF(N(BK307)&lt;&gt;0,BK307,IFERROR(_xlfn.LET(_xlpm.need,BO307/(BP307*BQ307),_xlpm.t,CHOOSE(BR307,Iдоп_1ж,Iдоп_2ж,Iдоп_3ж),_xlpm.k,_xlfn.XMATCH(_xlpm.need,_xlpm.t,1),IF(ISNA(_xlpm.k),"Не исп",INDEX(Iдоп_S,_xlpm.k))),"Не исп")))</f>
        <v>2.5</v>
      </c>
      <c r="BT307">
        <f>IFERROR(VLOOKUP(BS307,Кабель_сопротивление,3,FALSE),"")</f>
        <v>2.2499999999999999E-2</v>
      </c>
      <c r="BU307">
        <f>IFERROR(VLOOKUP(BS307,Кабель_сопротивление,2,FALSE),"")</f>
        <v>0.1</v>
      </c>
      <c r="BV307">
        <f t="shared" si="364"/>
        <v>50</v>
      </c>
      <c r="BW307">
        <f>IF(D307="","",IFERROR(IF(VLOOKUP(AT307,Потребители_обозначение,4,FALSE)=1,VLOOKUP(AT307,Потребители_обозначение,3,FALSE)*(H307*2-1)+BV307+VLOOKUP(AV307,Этаж_обозначение,3,FALSE)+VLOOKUP(AV307,Этаж_обозначение,4,FALSE),VLOOKUP(AT307,Потребители_обозначение,3,FALSE)*(H307*2-1)+BV307),BV307))</f>
        <v>59</v>
      </c>
      <c r="BX307">
        <f t="shared" si="365"/>
        <v>41</v>
      </c>
      <c r="BY307">
        <f t="shared" si="366"/>
        <v>55</v>
      </c>
      <c r="BZ307">
        <f t="shared" si="367"/>
        <v>2</v>
      </c>
      <c r="CA307">
        <f t="shared" si="368"/>
        <v>0.31</v>
      </c>
      <c r="CB307">
        <f t="shared" si="369"/>
        <v>0.55383217945589258</v>
      </c>
      <c r="CC307">
        <f>IFERROR(ROUNDUP(CB307/((Uн_лин/SQRT(3))*1000)*100,2),"")</f>
        <v>0.24000000000000002</v>
      </c>
      <c r="CD307">
        <f>IF(ISNUMBER(CC307),CC307+IFERROR(_xlfn.XLOOKUP(A307,Щиты[Щит],Щиты[ΔU до шин, %]),0),"")</f>
        <v>2.0300000000000002</v>
      </c>
      <c r="CE307">
        <f>IF(D307="","",IF(IFERROR(VLOOKUP(AT307,УГО_спр,2,FALSE),"")="Светильник",3,4)+IF(Методика="нормы 2026",MIN(0.5,MAX(0,N(BW307)-100)*0.005),0))</f>
        <v>4</v>
      </c>
      <c r="CF307" t="str">
        <f>IFERROR(VLOOKUP(BI307,Кабель_обозначение,2,FALSE),"")</f>
        <v>ВВГнг(А)-LS</v>
      </c>
      <c r="CG307" t="str">
        <f>IFERROR(IF(VLOOKUP(BI307,Кабель_обозначение,3,FALSE)=1,CF307&amp;" ("&amp;BJ307&amp;"х"&amp;BS307&amp;")",CF307),"")</f>
        <v>ВВГнг(А)-LS (3х2,5)</v>
      </c>
      <c r="CH307" t="str">
        <f t="shared" si="370"/>
        <v>ВВГнг(А)-LS (3х2,5)
L=59-0,24%</v>
      </c>
      <c r="CI307">
        <f>IFERROR(2*ρкз_Cu*BW307/BS307,"")</f>
        <v>1.24136</v>
      </c>
      <c r="CJ307">
        <f t="shared" si="371"/>
        <v>0.41300000000000009</v>
      </c>
      <c r="CK307" t="str">
        <f>IFERROR(IF(OR(D307="",NOT(ISNUMBER(BS307)),N(BW307)=0),"",_xlfn.XLOOKUP(A307,Щиты[Щит],Щиты[Zпетли на шинах, Ом])+CI307),"")</f>
        <v/>
      </c>
      <c r="CL307" t="str">
        <f>IF(ISNUMBER(CK307),c_min*(Uн_лин*1000/SQRT(3))/CK307,"")</f>
        <v/>
      </c>
      <c r="CM307" t="str">
        <f>IFERROR(IF(OR(D307="",NOT(ISNUMBER(BS307))),"",1.05*(Uн_лин*1000/SQRT(3))/(_xlfn.XLOOKUP(A307,Щиты[Щит],Щиты[Zmax на шинах, Ом])+CJ307)/1000),"")</f>
        <v/>
      </c>
      <c r="CN307" t="str">
        <f>IF(D307="","",IF(BA307&lt;&gt;"","Щит",IF(K307&lt;&gt;"",K307,IF(ISNUMBER(L307),"Сил",IF(IFERROR(_xlfn.XLOOKUP(AT307,Коды_код,Коды_группа)&amp;"","")="","Быт",_xlfn.XLOOKUP(AT307,Коды_код,Коды_группа)&amp;"")))))</f>
        <v>Быт</v>
      </c>
      <c r="CO307">
        <f>IF(CN307="Щит","щит",IF(CN307="","",IF(CN307="Быт",IFERROR(_xlfn.XLOOKUP(A307,Щиты[Щит],Щиты[Кс быт]),1),IF(CN307="Сил",IF(ISNUMBER(L307),L307,IF(Методика="нормы 2026",IFERROR(_xlfn.XLOOKUP(A307,Щиты[Щит],Щиты[Кс силовых (табл. 7.5)]),1),1)),IF(OR(CN307="Пост",CN307="Отоп"),1,IF(CN307="ВНГ",0.7,0))))))</f>
        <v>0.8</v>
      </c>
      <c r="CP307">
        <f t="shared" si="372"/>
        <v>1</v>
      </c>
      <c r="CQ307">
        <f t="shared" si="373"/>
        <v>0.12</v>
      </c>
      <c r="CR307">
        <f t="shared" si="374"/>
        <v>0.12</v>
      </c>
      <c r="CS307">
        <f t="shared" si="375"/>
        <v>0</v>
      </c>
      <c r="CT307">
        <f t="shared" si="376"/>
        <v>0</v>
      </c>
      <c r="CU307">
        <f t="shared" si="377"/>
        <v>0</v>
      </c>
      <c r="CV307">
        <f t="shared" si="378"/>
        <v>0</v>
      </c>
      <c r="CW307">
        <f t="shared" si="379"/>
        <v>0.12</v>
      </c>
      <c r="CX307">
        <f t="shared" si="380"/>
        <v>0.11399999999999999</v>
      </c>
      <c r="CY307">
        <f t="shared" si="381"/>
        <v>1</v>
      </c>
      <c r="CZ307" t="str">
        <f t="shared" si="382"/>
        <v>L1</v>
      </c>
      <c r="DA307" cm="1">
        <f t="array" ref="DA307">IFERROR(IF(BL307=2,_xlfn.IFS(BH307=3,VLOOKUP(BF307,Справочная_двигатели,3,FALSE),BH307=1,VLOOKUP(BF307,Справочная_двигатели,5,TRUE)),0),0)</f>
        <v>0</v>
      </c>
      <c r="DB307">
        <f>IFERROR(IF(BL307=3,VLOOKUP(BF307,Справочная_ЛЭД,2,TRUE),0),0)</f>
        <v>0</v>
      </c>
      <c r="DC307">
        <f t="shared" si="383"/>
        <v>0</v>
      </c>
      <c r="DD307" t="str">
        <f t="shared" si="384"/>
        <v>L3</v>
      </c>
      <c r="DE307" t="str" cm="1">
        <f t="array" ref="DE307">IF(D307="","",IFERROR(INDEX({"I особая","I","II","III"},MATCH(TRIM(AA307&amp;""),{"I особая","I","II","III"},0)),"III"))</f>
        <v>II</v>
      </c>
      <c r="DF307" t="str">
        <f>IF(D307="","",IF(TRIM(AB307&amp;"")&lt;&gt;"",IF(LOWER(TRIM(AB307&amp;""))="да","да","нет"),IF(IFERROR(_xlfn.XLOOKUP(AT307,Коды_код,Коды_пожарная),"")="да","да","нет")))</f>
        <v>нет</v>
      </c>
      <c r="DG307" t="str">
        <f t="shared" si="385"/>
        <v/>
      </c>
      <c r="DH307" t="str">
        <f t="shared" si="386"/>
        <v>основная</v>
      </c>
      <c r="DI307">
        <f t="shared" si="387"/>
        <v>1</v>
      </c>
      <c r="DJ307" t="str" cm="1">
        <f t="array" ref="DJ307">IF(D307="","",_xlfn.LET(_xlpm.t,IFERROR(_xlfn.XLOOKUP(1,(Шины[Шина]=DH307)*(((Шины[Щит]=A307)+(Шины[Щит]=""))&gt;0),Шины[Тип]),"")&amp;"",IF(_xlpm.t&lt;&gt;"",_xlpm.t,IF(ISNUMBER(SEARCH("ИБП",DH307)),"ИБП",IF(ISNUMBER(SEARCH("ДГУ",DH307)),"ДГУ","Ввод "&amp;DI307)))))</f>
        <v>Ввод 1</v>
      </c>
      <c r="DK307" t="str">
        <f t="shared" si="388"/>
        <v>Ввод 1</v>
      </c>
      <c r="DL307" t="str">
        <f>IF(D307="","",IF(OR(DJ307="ИБП",DJ307="ДГУ"),"I особая",IF(DJ307="Одиночная","III",_xlfn.XLOOKUP(A307,Щиты[Щит],Щиты[Категория шины «Ввод»],"III"))))</f>
        <v>II</v>
      </c>
      <c r="DM307">
        <f>IF(D307="",0,IFERROR(MATCH(DE307,{"III","II","I","I особая"},0),1))</f>
        <v>2</v>
      </c>
      <c r="DN307">
        <f t="shared" si="389"/>
        <v>2</v>
      </c>
      <c r="DO307" t="str">
        <f>IF(D307="","",IF(DM307&gt;IFERROR(MATCH(DL307,{"III","II","I","I особая"},0),1),"НЕ ОБЕСПЕЧЕНА","ОК"))</f>
        <v>ОК</v>
      </c>
      <c r="DP307" t="str">
        <f>IF(A307="","",_xlfn.XLOOKUP(A307,Щиты[Щит],Щиты[Путь],""))</f>
        <v>|ГРЩ-ЖД|ЩР-2|</v>
      </c>
      <c r="DQ307" t="str">
        <f>IF(D307="","",IF(Z307&lt;&gt;"",Z307,IF(IFERROR(_xlfn.XLOOKUP(AT307,Коды_код,Коды_вид)&amp;"","")="","Прочее",_xlfn.XLOOKUP(AT307,Коды_код,Коды_вид)&amp;"")))</f>
        <v>Розеточная сеть и бытовые приборы</v>
      </c>
      <c r="DR307">
        <f>IF(BD307="","",INT((BD307-1)/Столбцов_на_лист)+1)</f>
        <v>3</v>
      </c>
      <c r="DS307" t="str">
        <f t="shared" si="390"/>
        <v>ВВГнг(А)-LS (3х2,5) L=59-0,24%</v>
      </c>
      <c r="DT307">
        <f t="shared" si="391"/>
        <v>0.12</v>
      </c>
      <c r="DU307">
        <f t="shared" si="392"/>
        <v>0.55000000000000004</v>
      </c>
      <c r="DV307">
        <f t="shared" si="393"/>
        <v>1</v>
      </c>
      <c r="DW307">
        <f>IF(AT307="",0,_xlfn.LET(_xlpm.v,IFERROR(VLOOKUP(D307,УГО_спр,3,FALSE),IFERROR(VLOOKUP(AT307,УГО_спр,3,FALSE),IFERROR(VLOOKUP(LEFT(AT307,2),УГО_спр,3,FALSE),""))),IF(_xlpm.v="да",30,IF(ISNUMBER(_xlpm.v),_xlpm.v,0))))</f>
        <v>30</v>
      </c>
      <c r="DX307">
        <f t="shared" si="394"/>
        <v>0</v>
      </c>
      <c r="DY307">
        <f>IF(BD307="","",IF(AD307&lt;&gt;"",COUNTIFS(A$3:A307,A307,AD$3:AD307,"?*"),IF(OR(OR(AS307=1,A307&lt;&gt;A306),AL307="вручную"),"",IF(AS307=1,"",DZ306))))</f>
        <v>24</v>
      </c>
      <c r="DZ307">
        <f t="shared" si="395"/>
        <v>24</v>
      </c>
      <c r="EA307">
        <f>IF(D307="",0,MAX(IFERROR(--X307,0),IFERROR(--VLOOKUP(D307,УГО_спр,4,FALSE),IFERROR(--VLOOKUP(AT307,УГО_спр,4,FALSE),IFERROR(--VLOOKUP(LEFT(AT307,2),УГО_спр,4,FALSE),0)))))</f>
        <v>16</v>
      </c>
      <c r="EB307">
        <f>IF(D307="","",IFERROR(LOOKUP(INDEX(CHOOSE(BR307,Iдоп_1ж,Iдоп_2ж,Iдоп_3ж),MATCH(BS307,Iдоп_S,0))*BP307*BQ307,{6,10,16,20,25,32,40,50,63,80,100,125,160,200,250,315,400,500,630}),""))</f>
        <v>25</v>
      </c>
      <c r="EC307">
        <f>IF(AD307="","",SUMIFS(Линии[_Ток схемы],Линии[_гр.],DY307,Линии[Щит],A307,Линии[_в кабель выше],0))</f>
        <v>0.55000000000000004</v>
      </c>
      <c r="ED307">
        <f>IF(AD307="","",IFERROR(VLOOKUP(EC307,Автомат_номиналы,2,TRUE),""))</f>
        <v>6</v>
      </c>
      <c r="EE307">
        <f>IF(AD307="","",MAX(N(ED307),_xlfn.MAXIFS(Линии[_мин. по типу],Линии[_гр.],DY307,Линии[Щит],A307)))</f>
        <v>16</v>
      </c>
      <c r="EF307">
        <f>IF(AD307="","",_xlfn.MINIFS(Линии[_макс. автомат по кабелю],Линии[_гр.],DY307,Линии[Щит],A307))</f>
        <v>25</v>
      </c>
      <c r="EG307">
        <f>IF(AD307="","",MAX(1,_xlfn.MAXIFS(Линии[_фаз],Линии[_гр.],DY307,Линии[Щит],A307)))</f>
        <v>1</v>
      </c>
      <c r="EH307">
        <f>IF(AD307="","",IF(AND(AD307&lt;&gt;"авто",AD307&lt;&gt;"+"),IF(ISNUMBER(SEARCH("мА",AD307)),IFERROR(--TRIM(RIGHT(SUBSTITUTE(LEFT(AD307,SEARCH("мА",AD307)-1)," ",REPT(" ",9)),6)),30),0),IF(AE307="нет",0,IF(ISNUMBER(AE307),AE307,IF(AE307="да",30,_xlfn.MINIFS(Линии[_дифзащита по коду, мА],Линии[_гр.],DY307,Линии[Щит],A307,Линии[_дифзащита по коду, мА],"&gt;0"))))))</f>
        <v>30</v>
      </c>
      <c r="EI307">
        <f t="shared" si="396"/>
        <v>1</v>
      </c>
      <c r="EJ307" t="str">
        <f t="shared" si="397"/>
        <v>QFD24</v>
      </c>
      <c r="EK307" t="str">
        <f t="shared" si="398"/>
        <v>QFD24</v>
      </c>
      <c r="EL307" t="str">
        <f t="shared" si="399"/>
        <v/>
      </c>
      <c r="EM307">
        <f t="shared" si="400"/>
        <v>0</v>
      </c>
      <c r="EN307">
        <f>IF(AD307="","",IF(EM307=1,MAX(EE307,Мин_автомат_БП),EE307))</f>
        <v>16</v>
      </c>
      <c r="EO307" t="str">
        <f t="shared" si="401"/>
        <v>2P</v>
      </c>
      <c r="EP307" t="str">
        <f t="shared" si="402"/>
        <v>2P С16А 30мА</v>
      </c>
      <c r="EQ307">
        <f t="shared" si="403"/>
        <v>16</v>
      </c>
      <c r="ER307" t="str">
        <f>IF(OR(AI307="",AI307="-"),"",IFERROR(VLOOKUP(AI307,Модули_спр,2,FALSE),"R"))</f>
        <v/>
      </c>
      <c r="ES307" t="str">
        <f>IF(ER307="","",ER307&amp;"."&amp;COUNTIFS(A$3:A307,A307,ER$3:ER307,ER307))</f>
        <v/>
      </c>
      <c r="ET307" t="str">
        <f t="shared" si="404"/>
        <v/>
      </c>
      <c r="EU307" t="str">
        <f t="shared" si="405"/>
        <v/>
      </c>
      <c r="EV307" t="str">
        <f t="shared" si="406"/>
        <v/>
      </c>
      <c r="EW307" t="str">
        <f t="shared" si="407"/>
        <v/>
      </c>
      <c r="EX307">
        <f t="shared" si="408"/>
        <v>1</v>
      </c>
      <c r="EY307" t="str">
        <f>IF(AK307="нет","",IF(AK307&lt;&gt;"",AK307,IF(EX307=1,"XT"&amp;COUNTIFS(A$3:A307,A307,EX$3:EX307,1),"")))</f>
        <v>XT24</v>
      </c>
      <c r="EZ307" t="str">
        <f t="shared" si="409"/>
        <v>QFD24</v>
      </c>
      <c r="FA307" t="str">
        <f t="shared" si="410"/>
        <v/>
      </c>
      <c r="FB307" t="str">
        <f t="shared" si="411"/>
        <v>ok</v>
      </c>
      <c r="FC307" t="str">
        <f>IF(OR(EV307="",ET307=""),"",IF(EV307&gt;IFERROR(VLOOKUP(EU307,Модули_спр,3,FALSE),99),"ЛИШНИЙ КАНАЛ",IF(AND(AJ307&lt;&gt;"=",COUNTIFS(Линии[_модуль гр.],ET307,Линии[Канал (итог)],EV307,Линии[Канал],"&lt;&gt;=",Линии[Щит],A307)&gt;1),"ДУБЛЬ КАНАЛА","")))</f>
        <v/>
      </c>
      <c r="FD307">
        <f t="shared" si="412"/>
        <v>16</v>
      </c>
      <c r="FE307" t="str">
        <f t="shared" si="413"/>
        <v>2P С16А 30мА</v>
      </c>
      <c r="FF307">
        <f t="shared" si="414"/>
        <v>1</v>
      </c>
      <c r="FG307">
        <f t="shared" si="415"/>
        <v>30</v>
      </c>
      <c r="FH307" t="str">
        <f t="shared" si="416"/>
        <v/>
      </c>
      <c r="FI307">
        <f t="shared" si="417"/>
        <v>10</v>
      </c>
      <c r="FJ307" t="str">
        <f t="shared" si="418"/>
        <v/>
      </c>
      <c r="FK307" t="str">
        <f>IF(AND(D307="",EZ307=""),"",_xlfn.TEXTJOIN("; ",TRUE,IF(AND(D307&lt;&gt;"",DD307=""),"нет фазы",""),IF(AND(D307&lt;&gt;"",N(DT307)=0,CN307&lt;&gt;"Нет"),"нет мощности",""),IF(AND(EY307&lt;&gt;"",COUNTIFS(Линии[Щит],A307,Линии[Клемма (итог)],EY307)&gt;1),"дубль клеммы "&amp;EY307,""),IF(AND(FB307&lt;&gt;"",FB307&lt;&gt;"ok"),FB307,""),IF(FC307&lt;&gt;"",FC307,""),IF(AND(ISNUMBER(SEARCH("(5х",DS307)),N(DV307)=1),"5 жил на 1 фазе",""),IF(AND(AT307="R",AD307&lt;&gt;"",OR(N(EH307)=0,N(EH307)&gt;30)),"розетка без дифзащиты до 30 мА",""),IFERROR(IF(AND(ISNUMBER(CD307),CD307&gt;CE307),"потери "&amp;FIXED(CD307,1)&amp;" % &gt; "&amp;CE307&amp;" %",""),""),IFERROR(IF(LEFT(FJ307,4)="мало","Iкз мало — отключение &gt; 0,4 с",""),""),IF(AND(D307&lt;&gt;"",BD307=""),"не на схеме","")))</f>
        <v/>
      </c>
      <c r="FL307">
        <f>IF(AD307="","",_xlfn.LET(_xlpm.t,IFERROR(_xlfn.XLOOKUP(EP307,Каталог!$U$4:$U$500,Каталог!$G$4:$G$500),""),_xlpm.k,SEARCH("кА",_xlpm.t),IFERROR(--TRIM(RIGHT(SUBSTITUTE(MID(_xlpm.t,MAX(1,_xlpm.k-4),_xlpm.k-MAX(1,_xlpm.k-4))," ",REPT(" ",9)),5)),"")))</f>
        <v>6</v>
      </c>
      <c r="FM307" t="str">
        <f>IF(OR(FL307="",AD307=""),"",IF(_xlfn.XLOOKUP(A307,Щиты[Щит],Щиты[Iкз max на шинах, кА],"")="","",IF(FL307&lt;_xlfn.XLOOKUP(A307,Щиты[Щит],Щиты[Iкз max на шинах, кА]),"Icu "&amp;FL307&amp;" кА &lt; Iкз max","ok")))</f>
        <v/>
      </c>
      <c r="FN307" t="str">
        <f t="shared" si="419"/>
        <v>QFD24|XT24</v>
      </c>
      <c r="FO307" t="str">
        <f t="shared" si="420"/>
        <v>QFD24|XT24|кабель ВВГнг(А)-LS (3х2,5) → Розеточная группа Второй этаж Пом. №020А</v>
      </c>
      <c r="FP307" t="str" cm="1">
        <f t="array" ref="FP307">IF(FO307="","",_xlfn.LET(_xlpm.nd,_xlfn.TEXTSPLIT(FO307,"|"),IF(COLUMNS(_xlpm.nd)&gt;1,A307&amp;"¦"&amp;INDEX(_xlpm.nd,1)&amp;"¦"&amp;INDEX(_xlpm.nd,2),"")))</f>
        <v>ЩР-2¦QFD24¦XT24</v>
      </c>
      <c r="FQ307" t="str">
        <f t="shared" si="421"/>
        <v>R.2.020А.2¦Розеточная группа Второй этаж Пом. №020А</v>
      </c>
      <c r="FR307" t="str" cm="1">
        <f t="array" ref="FR307">IF(FO307="","",_xlfn.LET(_xlpm.nd,_xlfn.TEXTSPLIT(FO307,"|"),IF(COLUMNS(_xlpm.nd)&gt;2,A307&amp;"¦"&amp;INDEX(_xlpm.nd,2)&amp;"¦"&amp;INDEX(_xlpm.nd,3),"")))</f>
        <v>ЩР-2¦XT24¦кабель ВВГнг(А)-LS (3х2,5) → Розеточная группа Второй этаж Пом. №020А</v>
      </c>
      <c r="FS307" t="str">
        <f t="shared" si="422"/>
        <v>R.2.020А.2¦Розеточная группа Второй этаж Пом. №020А</v>
      </c>
      <c r="FT307" t="str" cm="1">
        <f t="array" ref="FT307">IF(FO307="","",_xlfn.LET(_xlpm.nd,_xlfn.TEXTSPLIT(FO307,"|"),IF(COLUMNS(_xlpm.nd)&gt;3,A307&amp;"¦"&amp;INDEX(_xlpm.nd,3)&amp;"¦"&amp;INDEX(_xlpm.nd,4),"")))</f>
        <v/>
      </c>
      <c r="FU307" t="str">
        <f t="shared" si="423"/>
        <v/>
      </c>
      <c r="FV307" t="str" cm="1">
        <f t="array" ref="FV307">IF(FO307="","",_xlfn.LET(_xlpm.nd,_xlfn.TEXTSPLIT(FO307,"|"),IF(COLUMNS(_xlpm.nd)&gt;4,A307&amp;"¦"&amp;INDEX(_xlpm.nd,4)&amp;"¦"&amp;INDEX(_xlpm.nd,5),"")))</f>
        <v/>
      </c>
      <c r="FW307" t="str">
        <f t="shared" si="424"/>
        <v/>
      </c>
      <c r="FX307" t="str" cm="1">
        <f t="array" ref="FX307">IF(FO307="","",_xlfn.LET(_xlpm.nd,_xlfn.TEXTSPLIT(FO307,"|"),IF(COLUMNS(_xlpm.nd)&gt;5,A307&amp;"¦"&amp;INDEX(_xlpm.nd,5)&amp;"¦"&amp;INDEX(_xlpm.nd,6),"")))</f>
        <v/>
      </c>
      <c r="FY307" t="str">
        <f t="shared" si="425"/>
        <v/>
      </c>
      <c r="FZ307" t="str" cm="1">
        <f t="array" ref="FZ307">IF(FO307="","",_xlfn.LET(_xlpm.nd,_xlfn.TEXTSPLIT(FO307,"|"),IF(COLUMNS(_xlpm.nd)&gt;6,A307&amp;"¦"&amp;INDEX(_xlpm.nd,6)&amp;"¦"&amp;INDEX(_xlpm.nd,7),"")))</f>
        <v/>
      </c>
      <c r="GA307" t="str">
        <f t="shared" si="426"/>
        <v/>
      </c>
      <c r="GB307" t="str">
        <f t="shared" si="427"/>
        <v/>
      </c>
      <c r="GC307" t="str">
        <f t="shared" si="428"/>
        <v>QFD24 → XT24</v>
      </c>
      <c r="GD307">
        <f t="shared" si="429"/>
        <v>1</v>
      </c>
      <c r="GE307">
        <f t="shared" si="430"/>
        <v>0</v>
      </c>
      <c r="GF307">
        <f t="shared" si="431"/>
        <v>1</v>
      </c>
      <c r="GG307" t="str">
        <f t="shared" si="432"/>
        <v/>
      </c>
      <c r="GH307" t="str">
        <f t="shared" si="433"/>
        <v/>
      </c>
      <c r="GI307" t="str">
        <f t="shared" si="434"/>
        <v/>
      </c>
      <c r="GJ307" t="str">
        <f t="shared" si="435"/>
        <v/>
      </c>
      <c r="GK307" t="str">
        <f>IF(D307="","",IFERROR(VLOOKUP(D307,УГО_спр,2,FALSE),IFERROR(VLOOKUP(AT307,УГО_спр,2,FALSE),IFERROR(VLOOKUP(LEFT(AT307,2),УГО_спр,2,FALSE),""))))</f>
        <v>Розетка</v>
      </c>
      <c r="GL307" t="str">
        <f>IF(D307="","",IF(OR(GK307="",GK307=0),"BOX",IFERROR(IF(VLOOKUP(GK307,УГО_блоки,3,FALSE)&amp;""&lt;&gt;"",VLOOKUP(GK307,УГО_блоки,3,FALSE),VLOOKUP(GK307,УГО_блоки,2,FALSE)),GK307)))</f>
        <v>SOCKET</v>
      </c>
      <c r="GM307">
        <f t="shared" si="436"/>
        <v>1</v>
      </c>
      <c r="GN307" t="str">
        <f>IF(EP307="","",IF(COUNTIF(EP$3:EP307,EP307)=1,MAX(GN$2:GN306)+1,""))</f>
        <v/>
      </c>
      <c r="GO307" t="str">
        <f>IF(AF307="","",IF(COUNTIF(AF$3:AF307,AF307)+COUNTIF(AG$2:AG306,AF307)+COUNTIF(AH$2:AH306,AF307)=1,MAX(GO$2:GQ306)+1,""))</f>
        <v/>
      </c>
      <c r="GP307" t="str">
        <f>IF(AG307="","",IF(COUNTIF(AF$3:AF307,AG307)+COUNTIF(AG$3:AG307,AG307)+COUNTIF(AH$2:AH306,AG307)=1,MAX(GO$2:GQ306,GO307)+1,""))</f>
        <v/>
      </c>
      <c r="GQ307" t="str">
        <f>IF(AH307="","",IF(COUNTIF(AF$3:AF307,AH307)+COUNTIF(AG$3:AG307,AH307)+COUNTIF(AH$3:AH307,AH307)=1,MAX(GO$2:GQ306,GO307,GP307)+1,""))</f>
        <v/>
      </c>
      <c r="GR307" t="str">
        <f t="shared" si="437"/>
        <v>3х2,5</v>
      </c>
      <c r="GS307" t="str">
        <f>IF(GR307="","",IF(COUNTIF(GR$3:GR307,GR307)=1,MAX(GS$2:GS306)+1,""))</f>
        <v/>
      </c>
      <c r="GT307" t="str">
        <f>IF(ES307="","",COUNTIF(ES$3:ES307,"?*"))</f>
        <v/>
      </c>
      <c r="GU307" t="str">
        <f>IF(OR(ES307="",EU307=""),"",IF(COUNTIFS(ES$3:ES307,"?*",EU$3:EU307,EU307)=1,MAX(GU$2:GU306)+1,""))</f>
        <v/>
      </c>
      <c r="GV307">
        <f t="shared" si="438"/>
        <v>0</v>
      </c>
      <c r="GW307">
        <f>IF(D307="","",COUNTIF(D$3:D307,"?*"))</f>
        <v>305</v>
      </c>
      <c r="GX307">
        <f>IF(EX307&lt;&gt;1,0,_xlfn.LET(_xlpm.k,MAX(IFERROR(--VLOOKUP(D307,УГО_спр,5,FALSE),0),IFERROR(--VLOOKUP(AT307,УГО_спр,5,FALSE),0),IFERROR(--VLOOKUP(LEFT(AT307,2),УГО_спр,5,FALSE),0)),IF(_xlpm.k&gt;0,_xlpm.k,IF(IFERROR(--LEFT(SUBSTITUTE(GR307,"x","х"),FIND("х",SUBSTITUTE(GR307,"x","х"))-1),3)&gt;3,Каталог!$S$9,1))))</f>
        <v>1</v>
      </c>
      <c r="GY307">
        <f t="shared" si="439"/>
        <v>0</v>
      </c>
    </row>
    <row r="308" spans="1:207" x14ac:dyDescent="0.3">
      <c r="A308" t="s">
        <v>764</v>
      </c>
      <c r="B308">
        <v>37</v>
      </c>
      <c r="C308" t="str">
        <f>IF(BD308="","",IF(BE308="вводной узел","узел ","")&amp;"л."&amp;(INT((BD308-1)/Столбцов_на_лист)+1)&amp;" / "&amp;(MOD(BD308-1,Столбцов_на_лист)+1))</f>
        <v>л.3 / 3</v>
      </c>
      <c r="D308" t="s">
        <v>1642</v>
      </c>
      <c r="E308" s="133" t="str">
        <f t="shared" si="352"/>
        <v>Розеточная группа Третий этаж Пом. №001T</v>
      </c>
      <c r="G308">
        <v>0.06</v>
      </c>
      <c r="H308">
        <v>1</v>
      </c>
      <c r="I308">
        <v>1</v>
      </c>
      <c r="J308">
        <v>230</v>
      </c>
      <c r="K308" t="s">
        <v>566</v>
      </c>
      <c r="O308">
        <v>1</v>
      </c>
      <c r="P308">
        <v>19</v>
      </c>
      <c r="Q308">
        <v>0</v>
      </c>
      <c r="R308">
        <v>16</v>
      </c>
      <c r="T308">
        <v>2</v>
      </c>
      <c r="U308" t="s">
        <v>11</v>
      </c>
      <c r="V308">
        <v>3</v>
      </c>
      <c r="W308">
        <v>2.5</v>
      </c>
      <c r="X308">
        <v>16</v>
      </c>
      <c r="Z308" t="s">
        <v>565</v>
      </c>
      <c r="AA308" t="s">
        <v>818</v>
      </c>
      <c r="AD308" t="s">
        <v>517</v>
      </c>
      <c r="AR308" t="str">
        <f t="shared" si="353"/>
        <v/>
      </c>
      <c r="AS308" cm="1">
        <f t="array" ref="AS308">ROW()-ROW(Линии[#Headers])</f>
        <v>306</v>
      </c>
      <c r="AT308" t="str">
        <f t="shared" si="354"/>
        <v>R</v>
      </c>
      <c r="AU308" t="str">
        <f t="shared" si="355"/>
        <v>3.001T.1</v>
      </c>
      <c r="AV308" t="str">
        <f t="shared" si="356"/>
        <v>3</v>
      </c>
      <c r="AW308" t="str">
        <f t="shared" si="357"/>
        <v>001T.1</v>
      </c>
      <c r="AX308" t="str">
        <f t="shared" si="358"/>
        <v>001T</v>
      </c>
      <c r="AY308" t="str">
        <f>IF(D308="","",IF(ISERROR(SEARCH(".",D308)),IFERROR(VLOOKUP(D308,Потребители_обозначение,2,FALSE)&amp;"",""),IFERROR(IF(VLOOKUP(AT308,Потребители_обозначение,4,FALSE)=1,VLOOKUP(AT308,Потребители_обозначение,2,FALSE)&amp;" "&amp;VLOOKUP(AV308,Этаж_обозначение,2,FALSE)&amp;" Пом. №"&amp;AX308,VLOOKUP(AT308,Потребители_обозначение,2,FALSE)&amp;" Шлейф №"&amp;AV308),IFERROR(VLOOKUP(D308,Потребители_обозначение,2,FALSE),""))))</f>
        <v>Розеточная группа Третий этаж Пом. №001T</v>
      </c>
      <c r="AZ308" t="str">
        <f t="shared" si="359"/>
        <v>Розеточная группа Третий этаж Пом. №001T</v>
      </c>
      <c r="BA308" t="str">
        <f>IF(F308&lt;&gt;"",F308,IF(AND(D308&lt;&gt;"",D308&lt;&gt;A308,ISNUMBER(_xlfn.XMATCH(D308,Щиты[Щит]))),D308,""))</f>
        <v/>
      </c>
      <c r="BB308">
        <f>IFERROR(_xlfn.XMATCH(A308,Щиты[Щит]),0)</f>
        <v>11</v>
      </c>
      <c r="BC308">
        <f>IFERROR(N(_xlfn.XLOOKUP(A308,Щиты[Щит],Щиты[Мест под вводной узел])),15)</f>
        <v>8</v>
      </c>
      <c r="BD308">
        <f t="shared" si="360"/>
        <v>37</v>
      </c>
      <c r="BE308" t="str">
        <f t="shared" si="361"/>
        <v>линии</v>
      </c>
      <c r="BF308">
        <f>IF(D308="","",IF(BA308&lt;&gt;"",IFERROR(_xlfn.XLOOKUP(BA308,Щиты[Щит],Щиты[Руст, кВт]),0),N(G308)))</f>
        <v>0.06</v>
      </c>
      <c r="BG308">
        <f>IF(J308&lt;&gt;"",J308,IF(D308="","",IFERROR(IF(VLOOKUP(AT308,Потребители_обозначение,8,FALSE)=0,"",VLOOKUP(AT308,Потребители_обозначение,8,FALSE)),"")))</f>
        <v>230</v>
      </c>
      <c r="BH308">
        <f>IF(I308&lt;&gt;"",I308,IF(D308="","",IFERROR(IF(VLOOKUP(AT308,Потребители_обозначение,9,FALSE)=0,"",VLOOKUP(AT308,Потребители_обозначение,9,FALSE)),"")))</f>
        <v>1</v>
      </c>
      <c r="BI308" t="str">
        <f>IF(U308&lt;&gt;"",U308,IF(D308="","",IFERROR(IF(VLOOKUP(AT308,Потребители_обозначение,6,FALSE)=0,"",VLOOKUP(AT308,Потребители_обозначение,6,FALSE)),"")))</f>
        <v>мс</v>
      </c>
      <c r="BJ308">
        <f>IF(V308&lt;&gt;"",V308,IF(D308="","",IFERROR(IF(VLOOKUP(AT308,Потребители_обозначение,7,FALSE)=0,"",VLOOKUP(AT308,Потребители_обозначение,7,FALSE)),"")))</f>
        <v>3</v>
      </c>
      <c r="BK308">
        <f>IF(W308&lt;&gt;"",W308,IF(D308="","",IFERROR(IF(VLOOKUP(AT308,Потребители_обозначение,10,FALSE)=0,"",VLOOKUP(AT308,Потребители_обозначение,10,FALSE)),"")))</f>
        <v>2.5</v>
      </c>
      <c r="BL308">
        <f>IFERROR(VLOOKUP(AT308,Потребители_обозначение,5,FALSE),0)</f>
        <v>1</v>
      </c>
      <c r="BM308" cm="1">
        <f t="array" ref="BM308">IF(D308="","",IF(BA308&lt;&gt;"",IFERROR(_xlfn.XLOOKUP(BA308,Щиты[Щит],Щиты[cos φ]),0.95),IF(ISNUMBER(M308),M308,IFERROR(IF(BL308=2,_xlfn.IFS(BH308=3,VLOOKUP(BF308,Справочная_двигатели,8,FALSE),BH308=1,VLOOKUP(BF308,Справочная_двигатели,10,TRUE)),IF(AND(Методика="нормы 2026",CN308="Сил"),0.8,0.95)),0.95))))</f>
        <v>0.95</v>
      </c>
      <c r="BN308" cm="1">
        <f t="array" ref="BN308">IF(D308="","",IF(BA308&lt;&gt;"",IFERROR(_xlfn.XLOOKUP(BA308,Щиты[Щит],Щиты[Iр, А]),""),IFERROR(_xlfn.IFS(BH308=1,BF308/((Uн_лин/SQRT(3))*BM308),BH308=3,BF308/(SQRT(3)*Uн_лин*BM308)),"")))</f>
        <v>0.27348170645824377</v>
      </c>
      <c r="BO308">
        <f>IF(D308="","",IF(N(X308)=0,IFERROR(VLOOKUP(BN308,Автомат_номиналы,2,TRUE),""),X308))</f>
        <v>16</v>
      </c>
      <c r="BP308">
        <f t="shared" si="362"/>
        <v>1</v>
      </c>
      <c r="BQ308">
        <f>IF(ISNUMBER(Y308),Y308,К_прокл)</f>
        <v>1</v>
      </c>
      <c r="BR308">
        <f t="shared" si="363"/>
        <v>2</v>
      </c>
      <c r="BS308" cm="1">
        <f t="array" ref="BS308">IF(D308="","",IF(N(BK308)&lt;&gt;0,BK308,IFERROR(_xlfn.LET(_xlpm.need,BO308/(BP308*BQ308),_xlpm.t,CHOOSE(BR308,Iдоп_1ж,Iдоп_2ж,Iдоп_3ж),_xlpm.k,_xlfn.XMATCH(_xlpm.need,_xlpm.t,1),IF(ISNA(_xlpm.k),"Не исп",INDEX(Iдоп_S,_xlpm.k))),"Не исп")))</f>
        <v>2.5</v>
      </c>
      <c r="BT308">
        <f>IFERROR(VLOOKUP(BS308,Кабель_сопротивление,3,FALSE),"")</f>
        <v>2.2499999999999999E-2</v>
      </c>
      <c r="BU308">
        <f>IFERROR(VLOOKUP(BS308,Кабель_сопротивление,2,FALSE),"")</f>
        <v>0.1</v>
      </c>
      <c r="BV308">
        <f t="shared" si="364"/>
        <v>19</v>
      </c>
      <c r="BW308">
        <f>IF(D308="","",IFERROR(IF(VLOOKUP(AT308,Потребители_обозначение,4,FALSE)=1,VLOOKUP(AT308,Потребители_обозначение,3,FALSE)*(H308*2-1)+BV308+VLOOKUP(AV308,Этаж_обозначение,3,FALSE)+VLOOKUP(AV308,Этаж_обозначение,4,FALSE),VLOOKUP(AT308,Потребители_обозначение,3,FALSE)*(H308*2-1)+BV308),BV308))</f>
        <v>22</v>
      </c>
      <c r="BX308">
        <f t="shared" si="365"/>
        <v>16</v>
      </c>
      <c r="BY308">
        <f t="shared" si="366"/>
        <v>18</v>
      </c>
      <c r="BZ308">
        <f t="shared" si="367"/>
        <v>2</v>
      </c>
      <c r="CA308">
        <f t="shared" si="368"/>
        <v>0.31</v>
      </c>
      <c r="CB308">
        <f t="shared" si="369"/>
        <v>0.10325684701720034</v>
      </c>
      <c r="CC308">
        <f>IFERROR(ROUNDUP(CB308/((Uн_лин/SQRT(3))*1000)*100,2),"")</f>
        <v>0.05</v>
      </c>
      <c r="CD308">
        <f>IF(ISNUMBER(CC308),CC308+IFERROR(_xlfn.XLOOKUP(A308,Щиты[Щит],Щиты[ΔU до шин, %]),0),"")</f>
        <v>1.84</v>
      </c>
      <c r="CE308">
        <f>IF(D308="","",IF(IFERROR(VLOOKUP(AT308,УГО_спр,2,FALSE),"")="Светильник",3,4)+IF(Методика="нормы 2026",MIN(0.5,MAX(0,N(BW308)-100)*0.005),0))</f>
        <v>4</v>
      </c>
      <c r="CF308" t="str">
        <f>IFERROR(VLOOKUP(BI308,Кабель_обозначение,2,FALSE),"")</f>
        <v>ВВГнг(А)-LS</v>
      </c>
      <c r="CG308" t="str">
        <f>IFERROR(IF(VLOOKUP(BI308,Кабель_обозначение,3,FALSE)=1,CF308&amp;" ("&amp;BJ308&amp;"х"&amp;BS308&amp;")",CF308),"")</f>
        <v>ВВГнг(А)-LS (3х2,5)</v>
      </c>
      <c r="CH308" t="str">
        <f t="shared" si="370"/>
        <v>ВВГнг(А)-LS (3х2,5)
L=22-0,05%</v>
      </c>
      <c r="CI308">
        <f>IFERROR(2*ρкз_Cu*BW308/BS308,"")</f>
        <v>0.46288000000000001</v>
      </c>
      <c r="CJ308">
        <f t="shared" si="371"/>
        <v>0.154</v>
      </c>
      <c r="CK308" t="str">
        <f>IFERROR(IF(OR(D308="",NOT(ISNUMBER(BS308)),N(BW308)=0),"",_xlfn.XLOOKUP(A308,Щиты[Щит],Щиты[Zпетли на шинах, Ом])+CI308),"")</f>
        <v/>
      </c>
      <c r="CL308" t="str">
        <f>IF(ISNUMBER(CK308),c_min*(Uн_лин*1000/SQRT(3))/CK308,"")</f>
        <v/>
      </c>
      <c r="CM308" t="str">
        <f>IFERROR(IF(OR(D308="",NOT(ISNUMBER(BS308))),"",1.05*(Uн_лин*1000/SQRT(3))/(_xlfn.XLOOKUP(A308,Щиты[Щит],Щиты[Zmax на шинах, Ом])+CJ308)/1000),"")</f>
        <v/>
      </c>
      <c r="CN308" t="str">
        <f>IF(D308="","",IF(BA308&lt;&gt;"","Щит",IF(K308&lt;&gt;"",K308,IF(ISNUMBER(L308),"Сил",IF(IFERROR(_xlfn.XLOOKUP(AT308,Коды_код,Коды_группа)&amp;"","")="","Быт",_xlfn.XLOOKUP(AT308,Коды_код,Коды_группа)&amp;"")))))</f>
        <v>Быт</v>
      </c>
      <c r="CO308">
        <f>IF(CN308="Щит","щит",IF(CN308="","",IF(CN308="Быт",IFERROR(_xlfn.XLOOKUP(A308,Щиты[Щит],Щиты[Кс быт]),1),IF(CN308="Сил",IF(ISNUMBER(L308),L308,IF(Методика="нормы 2026",IFERROR(_xlfn.XLOOKUP(A308,Щиты[Щит],Щиты[Кс силовых (табл. 7.5)]),1),1)),IF(OR(CN308="Пост",CN308="Отоп"),1,IF(CN308="ВНГ",0.7,0))))))</f>
        <v>0.8</v>
      </c>
      <c r="CP308">
        <f t="shared" si="372"/>
        <v>1</v>
      </c>
      <c r="CQ308">
        <f t="shared" si="373"/>
        <v>0.06</v>
      </c>
      <c r="CR308">
        <f t="shared" si="374"/>
        <v>0.06</v>
      </c>
      <c r="CS308">
        <f t="shared" si="375"/>
        <v>0</v>
      </c>
      <c r="CT308">
        <f t="shared" si="376"/>
        <v>0</v>
      </c>
      <c r="CU308">
        <f t="shared" si="377"/>
        <v>0</v>
      </c>
      <c r="CV308">
        <f t="shared" si="378"/>
        <v>0</v>
      </c>
      <c r="CW308">
        <f t="shared" si="379"/>
        <v>0.06</v>
      </c>
      <c r="CX308">
        <f t="shared" si="380"/>
        <v>5.6999999999999995E-2</v>
      </c>
      <c r="CY308">
        <f t="shared" si="381"/>
        <v>2</v>
      </c>
      <c r="CZ308" t="str">
        <f t="shared" si="382"/>
        <v>L2</v>
      </c>
      <c r="DA308" cm="1">
        <f t="array" ref="DA308">IFERROR(IF(BL308=2,_xlfn.IFS(BH308=3,VLOOKUP(BF308,Справочная_двигатели,3,FALSE),BH308=1,VLOOKUP(BF308,Справочная_двигатели,5,TRUE)),0),0)</f>
        <v>0</v>
      </c>
      <c r="DB308">
        <f>IFERROR(IF(BL308=3,VLOOKUP(BF308,Справочная_ЛЭД,2,TRUE),0),0)</f>
        <v>0</v>
      </c>
      <c r="DC308">
        <f t="shared" si="383"/>
        <v>0</v>
      </c>
      <c r="DD308" t="str">
        <f t="shared" si="384"/>
        <v>L1</v>
      </c>
      <c r="DE308" t="str" cm="1">
        <f t="array" ref="DE308">IF(D308="","",IFERROR(INDEX({"I особая","I","II","III"},MATCH(TRIM(AA308&amp;""),{"I особая","I","II","III"},0)),"III"))</f>
        <v>II</v>
      </c>
      <c r="DF308" t="str">
        <f>IF(D308="","",IF(TRIM(AB308&amp;"")&lt;&gt;"",IF(LOWER(TRIM(AB308&amp;""))="да","да","нет"),IF(IFERROR(_xlfn.XLOOKUP(AT308,Коды_код,Коды_пожарная),"")="да","да","нет")))</f>
        <v>нет</v>
      </c>
      <c r="DG308" t="str">
        <f t="shared" si="385"/>
        <v/>
      </c>
      <c r="DH308" t="str">
        <f t="shared" si="386"/>
        <v>основная</v>
      </c>
      <c r="DI308">
        <f t="shared" si="387"/>
        <v>1</v>
      </c>
      <c r="DJ308" t="str" cm="1">
        <f t="array" ref="DJ308">IF(D308="","",_xlfn.LET(_xlpm.t,IFERROR(_xlfn.XLOOKUP(1,(Шины[Шина]=DH308)*(((Шины[Щит]=A308)+(Шины[Щит]=""))&gt;0),Шины[Тип]),"")&amp;"",IF(_xlpm.t&lt;&gt;"",_xlpm.t,IF(ISNUMBER(SEARCH("ИБП",DH308)),"ИБП",IF(ISNUMBER(SEARCH("ДГУ",DH308)),"ДГУ","Ввод "&amp;DI308)))))</f>
        <v>Ввод 1</v>
      </c>
      <c r="DK308" t="str">
        <f t="shared" si="388"/>
        <v>Ввод 1</v>
      </c>
      <c r="DL308" t="str">
        <f>IF(D308="","",IF(OR(DJ308="ИБП",DJ308="ДГУ"),"I особая",IF(DJ308="Одиночная","III",_xlfn.XLOOKUP(A308,Щиты[Щит],Щиты[Категория шины «Ввод»],"III"))))</f>
        <v>II</v>
      </c>
      <c r="DM308">
        <f>IF(D308="",0,IFERROR(MATCH(DE308,{"III","II","I","I особая"},0),1))</f>
        <v>2</v>
      </c>
      <c r="DN308">
        <f t="shared" si="389"/>
        <v>2</v>
      </c>
      <c r="DO308" t="str">
        <f>IF(D308="","",IF(DM308&gt;IFERROR(MATCH(DL308,{"III","II","I","I особая"},0),1),"НЕ ОБЕСПЕЧЕНА","ОК"))</f>
        <v>ОК</v>
      </c>
      <c r="DP308" t="str">
        <f>IF(A308="","",_xlfn.XLOOKUP(A308,Щиты[Щит],Щиты[Путь],""))</f>
        <v>|ГРЩ-ЖД|ЩР-2|</v>
      </c>
      <c r="DQ308" t="str">
        <f>IF(D308="","",IF(Z308&lt;&gt;"",Z308,IF(IFERROR(_xlfn.XLOOKUP(AT308,Коды_код,Коды_вид)&amp;"","")="","Прочее",_xlfn.XLOOKUP(AT308,Коды_код,Коды_вид)&amp;"")))</f>
        <v>Розеточная сеть и бытовые приборы</v>
      </c>
      <c r="DR308">
        <f>IF(BD308="","",INT((BD308-1)/Столбцов_на_лист)+1)</f>
        <v>3</v>
      </c>
      <c r="DS308" t="str">
        <f t="shared" si="390"/>
        <v>ВВГнг(А)-LS (3х2,5) L=22-0,05%</v>
      </c>
      <c r="DT308">
        <f t="shared" si="391"/>
        <v>0.06</v>
      </c>
      <c r="DU308">
        <f t="shared" si="392"/>
        <v>0.28000000000000003</v>
      </c>
      <c r="DV308">
        <f t="shared" si="393"/>
        <v>1</v>
      </c>
      <c r="DW308">
        <f>IF(AT308="",0,_xlfn.LET(_xlpm.v,IFERROR(VLOOKUP(D308,УГО_спр,3,FALSE),IFERROR(VLOOKUP(AT308,УГО_спр,3,FALSE),IFERROR(VLOOKUP(LEFT(AT308,2),УГО_спр,3,FALSE),""))),IF(_xlpm.v="да",30,IF(ISNUMBER(_xlpm.v),_xlpm.v,0))))</f>
        <v>30</v>
      </c>
      <c r="DX308">
        <f t="shared" si="394"/>
        <v>0</v>
      </c>
      <c r="DY308">
        <f>IF(BD308="","",IF(AD308&lt;&gt;"",COUNTIFS(A$3:A308,A308,AD$3:AD308,"?*"),IF(OR(OR(AS308=1,A308&lt;&gt;A307),AL308="вручную"),"",IF(AS308=1,"",DZ307))))</f>
        <v>25</v>
      </c>
      <c r="DZ308">
        <f t="shared" si="395"/>
        <v>25</v>
      </c>
      <c r="EA308">
        <f>IF(D308="",0,MAX(IFERROR(--X308,0),IFERROR(--VLOOKUP(D308,УГО_спр,4,FALSE),IFERROR(--VLOOKUP(AT308,УГО_спр,4,FALSE),IFERROR(--VLOOKUP(LEFT(AT308,2),УГО_спр,4,FALSE),0)))))</f>
        <v>16</v>
      </c>
      <c r="EB308">
        <f>IF(D308="","",IFERROR(LOOKUP(INDEX(CHOOSE(BR308,Iдоп_1ж,Iдоп_2ж,Iдоп_3ж),MATCH(BS308,Iдоп_S,0))*BP308*BQ308,{6,10,16,20,25,32,40,50,63,80,100,125,160,200,250,315,400,500,630}),""))</f>
        <v>25</v>
      </c>
      <c r="EC308">
        <f>IF(AD308="","",SUMIFS(Линии[_Ток схемы],Линии[_гр.],DY308,Линии[Щит],A308,Линии[_в кабель выше],0))</f>
        <v>0.28000000000000003</v>
      </c>
      <c r="ED308">
        <f>IF(AD308="","",IFERROR(VLOOKUP(EC308,Автомат_номиналы,2,TRUE),""))</f>
        <v>6</v>
      </c>
      <c r="EE308">
        <f>IF(AD308="","",MAX(N(ED308),_xlfn.MAXIFS(Линии[_мин. по типу],Линии[_гр.],DY308,Линии[Щит],A308)))</f>
        <v>16</v>
      </c>
      <c r="EF308">
        <f>IF(AD308="","",_xlfn.MINIFS(Линии[_макс. автомат по кабелю],Линии[_гр.],DY308,Линии[Щит],A308))</f>
        <v>25</v>
      </c>
      <c r="EG308">
        <f>IF(AD308="","",MAX(1,_xlfn.MAXIFS(Линии[_фаз],Линии[_гр.],DY308,Линии[Щит],A308)))</f>
        <v>1</v>
      </c>
      <c r="EH308">
        <f>IF(AD308="","",IF(AND(AD308&lt;&gt;"авто",AD308&lt;&gt;"+"),IF(ISNUMBER(SEARCH("мА",AD308)),IFERROR(--TRIM(RIGHT(SUBSTITUTE(LEFT(AD308,SEARCH("мА",AD308)-1)," ",REPT(" ",9)),6)),30),0),IF(AE308="нет",0,IF(ISNUMBER(AE308),AE308,IF(AE308="да",30,_xlfn.MINIFS(Линии[_дифзащита по коду, мА],Линии[_гр.],DY308,Линии[Щит],A308,Линии[_дифзащита по коду, мА],"&gt;0"))))))</f>
        <v>30</v>
      </c>
      <c r="EI308">
        <f t="shared" si="396"/>
        <v>1</v>
      </c>
      <c r="EJ308" t="str">
        <f t="shared" si="397"/>
        <v>QFD25</v>
      </c>
      <c r="EK308" t="str">
        <f t="shared" si="398"/>
        <v>QFD25</v>
      </c>
      <c r="EL308" t="str">
        <f t="shared" si="399"/>
        <v/>
      </c>
      <c r="EM308">
        <f t="shared" si="400"/>
        <v>0</v>
      </c>
      <c r="EN308">
        <f>IF(AD308="","",IF(EM308=1,MAX(EE308,Мин_автомат_БП),EE308))</f>
        <v>16</v>
      </c>
      <c r="EO308" t="str">
        <f t="shared" si="401"/>
        <v>2P</v>
      </c>
      <c r="EP308" t="str">
        <f t="shared" si="402"/>
        <v>2P С16А 30мА</v>
      </c>
      <c r="EQ308">
        <f t="shared" si="403"/>
        <v>16</v>
      </c>
      <c r="ER308" t="str">
        <f>IF(OR(AI308="",AI308="-"),"",IFERROR(VLOOKUP(AI308,Модули_спр,2,FALSE),"R"))</f>
        <v/>
      </c>
      <c r="ES308" t="str">
        <f>IF(ER308="","",ER308&amp;"."&amp;COUNTIFS(A$3:A308,A308,ER$3:ER308,ER308))</f>
        <v/>
      </c>
      <c r="ET308" t="str">
        <f t="shared" si="404"/>
        <v/>
      </c>
      <c r="EU308" t="str">
        <f t="shared" si="405"/>
        <v/>
      </c>
      <c r="EV308" t="str">
        <f t="shared" si="406"/>
        <v/>
      </c>
      <c r="EW308" t="str">
        <f t="shared" si="407"/>
        <v/>
      </c>
      <c r="EX308">
        <f t="shared" si="408"/>
        <v>1</v>
      </c>
      <c r="EY308" t="str">
        <f>IF(AK308="нет","",IF(AK308&lt;&gt;"",AK308,IF(EX308=1,"XT"&amp;COUNTIFS(A$3:A308,A308,EX$3:EX308,1),"")))</f>
        <v>XT25</v>
      </c>
      <c r="EZ308" t="str">
        <f t="shared" si="409"/>
        <v>QFD25</v>
      </c>
      <c r="FA308" t="str">
        <f t="shared" si="410"/>
        <v/>
      </c>
      <c r="FB308" t="str">
        <f t="shared" si="411"/>
        <v>ok</v>
      </c>
      <c r="FC308" t="str">
        <f>IF(OR(EV308="",ET308=""),"",IF(EV308&gt;IFERROR(VLOOKUP(EU308,Модули_спр,3,FALSE),99),"ЛИШНИЙ КАНАЛ",IF(AND(AJ308&lt;&gt;"=",COUNTIFS(Линии[_модуль гр.],ET308,Линии[Канал (итог)],EV308,Линии[Канал],"&lt;&gt;=",Линии[Щит],A308)&gt;1),"ДУБЛЬ КАНАЛА","")))</f>
        <v/>
      </c>
      <c r="FD308">
        <f t="shared" si="412"/>
        <v>16</v>
      </c>
      <c r="FE308" t="str">
        <f t="shared" si="413"/>
        <v>2P С16А 30мА</v>
      </c>
      <c r="FF308">
        <f t="shared" si="414"/>
        <v>1</v>
      </c>
      <c r="FG308">
        <f t="shared" si="415"/>
        <v>30</v>
      </c>
      <c r="FH308" t="str">
        <f t="shared" si="416"/>
        <v/>
      </c>
      <c r="FI308">
        <f t="shared" si="417"/>
        <v>10</v>
      </c>
      <c r="FJ308" t="str">
        <f t="shared" si="418"/>
        <v/>
      </c>
      <c r="FK308" t="str">
        <f>IF(AND(D308="",EZ308=""),"",_xlfn.TEXTJOIN("; ",TRUE,IF(AND(D308&lt;&gt;"",DD308=""),"нет фазы",""),IF(AND(D308&lt;&gt;"",N(DT308)=0,CN308&lt;&gt;"Нет"),"нет мощности",""),IF(AND(EY308&lt;&gt;"",COUNTIFS(Линии[Щит],A308,Линии[Клемма (итог)],EY308)&gt;1),"дубль клеммы "&amp;EY308,""),IF(AND(FB308&lt;&gt;"",FB308&lt;&gt;"ok"),FB308,""),IF(FC308&lt;&gt;"",FC308,""),IF(AND(ISNUMBER(SEARCH("(5х",DS308)),N(DV308)=1),"5 жил на 1 фазе",""),IF(AND(AT308="R",AD308&lt;&gt;"",OR(N(EH308)=0,N(EH308)&gt;30)),"розетка без дифзащиты до 30 мА",""),IFERROR(IF(AND(ISNUMBER(CD308),CD308&gt;CE308),"потери "&amp;FIXED(CD308,1)&amp;" % &gt; "&amp;CE308&amp;" %",""),""),IFERROR(IF(LEFT(FJ308,4)="мало","Iкз мало — отключение &gt; 0,4 с",""),""),IF(AND(D308&lt;&gt;"",BD308=""),"не на схеме","")))</f>
        <v/>
      </c>
      <c r="FL308">
        <f>IF(AD308="","",_xlfn.LET(_xlpm.t,IFERROR(_xlfn.XLOOKUP(EP308,Каталог!$U$4:$U$500,Каталог!$G$4:$G$500),""),_xlpm.k,SEARCH("кА",_xlpm.t),IFERROR(--TRIM(RIGHT(SUBSTITUTE(MID(_xlpm.t,MAX(1,_xlpm.k-4),_xlpm.k-MAX(1,_xlpm.k-4))," ",REPT(" ",9)),5)),"")))</f>
        <v>6</v>
      </c>
      <c r="FM308" t="str">
        <f>IF(OR(FL308="",AD308=""),"",IF(_xlfn.XLOOKUP(A308,Щиты[Щит],Щиты[Iкз max на шинах, кА],"")="","",IF(FL308&lt;_xlfn.XLOOKUP(A308,Щиты[Щит],Щиты[Iкз max на шинах, кА]),"Icu "&amp;FL308&amp;" кА &lt; Iкз max","ok")))</f>
        <v/>
      </c>
      <c r="FN308" t="str">
        <f t="shared" si="419"/>
        <v>QFD25|XT25</v>
      </c>
      <c r="FO308" t="str">
        <f t="shared" si="420"/>
        <v>QFD25|XT25|кабель ВВГнг(А)-LS (3х2,5) → Розеточная группа Третий этаж Пом. №001T</v>
      </c>
      <c r="FP308" t="str" cm="1">
        <f t="array" ref="FP308">IF(FO308="","",_xlfn.LET(_xlpm.nd,_xlfn.TEXTSPLIT(FO308,"|"),IF(COLUMNS(_xlpm.nd)&gt;1,A308&amp;"¦"&amp;INDEX(_xlpm.nd,1)&amp;"¦"&amp;INDEX(_xlpm.nd,2),"")))</f>
        <v>ЩР-2¦QFD25¦XT25</v>
      </c>
      <c r="FQ308" t="str">
        <f t="shared" si="421"/>
        <v>R.3.001T.1¦Розеточная группа Третий этаж Пом. №001T</v>
      </c>
      <c r="FR308" t="str" cm="1">
        <f t="array" ref="FR308">IF(FO308="","",_xlfn.LET(_xlpm.nd,_xlfn.TEXTSPLIT(FO308,"|"),IF(COLUMNS(_xlpm.nd)&gt;2,A308&amp;"¦"&amp;INDEX(_xlpm.nd,2)&amp;"¦"&amp;INDEX(_xlpm.nd,3),"")))</f>
        <v>ЩР-2¦XT25¦кабель ВВГнг(А)-LS (3х2,5) → Розеточная группа Третий этаж Пом. №001T</v>
      </c>
      <c r="FS308" t="str">
        <f t="shared" si="422"/>
        <v>R.3.001T.1¦Розеточная группа Третий этаж Пом. №001T</v>
      </c>
      <c r="FT308" t="str" cm="1">
        <f t="array" ref="FT308">IF(FO308="","",_xlfn.LET(_xlpm.nd,_xlfn.TEXTSPLIT(FO308,"|"),IF(COLUMNS(_xlpm.nd)&gt;3,A308&amp;"¦"&amp;INDEX(_xlpm.nd,3)&amp;"¦"&amp;INDEX(_xlpm.nd,4),"")))</f>
        <v/>
      </c>
      <c r="FU308" t="str">
        <f t="shared" si="423"/>
        <v/>
      </c>
      <c r="FV308" t="str" cm="1">
        <f t="array" ref="FV308">IF(FO308="","",_xlfn.LET(_xlpm.nd,_xlfn.TEXTSPLIT(FO308,"|"),IF(COLUMNS(_xlpm.nd)&gt;4,A308&amp;"¦"&amp;INDEX(_xlpm.nd,4)&amp;"¦"&amp;INDEX(_xlpm.nd,5),"")))</f>
        <v/>
      </c>
      <c r="FW308" t="str">
        <f t="shared" si="424"/>
        <v/>
      </c>
      <c r="FX308" t="str" cm="1">
        <f t="array" ref="FX308">IF(FO308="","",_xlfn.LET(_xlpm.nd,_xlfn.TEXTSPLIT(FO308,"|"),IF(COLUMNS(_xlpm.nd)&gt;5,A308&amp;"¦"&amp;INDEX(_xlpm.nd,5)&amp;"¦"&amp;INDEX(_xlpm.nd,6),"")))</f>
        <v/>
      </c>
      <c r="FY308" t="str">
        <f t="shared" si="425"/>
        <v/>
      </c>
      <c r="FZ308" t="str" cm="1">
        <f t="array" ref="FZ308">IF(FO308="","",_xlfn.LET(_xlpm.nd,_xlfn.TEXTSPLIT(FO308,"|"),IF(COLUMNS(_xlpm.nd)&gt;6,A308&amp;"¦"&amp;INDEX(_xlpm.nd,6)&amp;"¦"&amp;INDEX(_xlpm.nd,7),"")))</f>
        <v/>
      </c>
      <c r="GA308" t="str">
        <f t="shared" si="426"/>
        <v/>
      </c>
      <c r="GB308" t="str">
        <f t="shared" si="427"/>
        <v/>
      </c>
      <c r="GC308" t="str">
        <f t="shared" si="428"/>
        <v>QFD25 → XT25</v>
      </c>
      <c r="GD308">
        <f t="shared" si="429"/>
        <v>1</v>
      </c>
      <c r="GE308">
        <f t="shared" si="430"/>
        <v>0</v>
      </c>
      <c r="GF308">
        <f t="shared" si="431"/>
        <v>1</v>
      </c>
      <c r="GG308" t="str">
        <f t="shared" si="432"/>
        <v/>
      </c>
      <c r="GH308" t="str">
        <f t="shared" si="433"/>
        <v/>
      </c>
      <c r="GI308" t="str">
        <f t="shared" si="434"/>
        <v/>
      </c>
      <c r="GJ308" t="str">
        <f t="shared" si="435"/>
        <v/>
      </c>
      <c r="GK308" t="str">
        <f>IF(D308="","",IFERROR(VLOOKUP(D308,УГО_спр,2,FALSE),IFERROR(VLOOKUP(AT308,УГО_спр,2,FALSE),IFERROR(VLOOKUP(LEFT(AT308,2),УГО_спр,2,FALSE),""))))</f>
        <v>Розетка</v>
      </c>
      <c r="GL308" t="str">
        <f>IF(D308="","",IF(OR(GK308="",GK308=0),"BOX",IFERROR(IF(VLOOKUP(GK308,УГО_блоки,3,FALSE)&amp;""&lt;&gt;"",VLOOKUP(GK308,УГО_блоки,3,FALSE),VLOOKUP(GK308,УГО_блоки,2,FALSE)),GK308)))</f>
        <v>SOCKET</v>
      </c>
      <c r="GM308">
        <f t="shared" si="436"/>
        <v>1</v>
      </c>
      <c r="GN308" t="str">
        <f>IF(EP308="","",IF(COUNTIF(EP$3:EP308,EP308)=1,MAX(GN$2:GN307)+1,""))</f>
        <v/>
      </c>
      <c r="GO308" t="str">
        <f>IF(AF308="","",IF(COUNTIF(AF$3:AF308,AF308)+COUNTIF(AG$2:AG307,AF308)+COUNTIF(AH$2:AH307,AF308)=1,MAX(GO$2:GQ307)+1,""))</f>
        <v/>
      </c>
      <c r="GP308" t="str">
        <f>IF(AG308="","",IF(COUNTIF(AF$3:AF308,AG308)+COUNTIF(AG$3:AG308,AG308)+COUNTIF(AH$2:AH307,AG308)=1,MAX(GO$2:GQ307,GO308)+1,""))</f>
        <v/>
      </c>
      <c r="GQ308" t="str">
        <f>IF(AH308="","",IF(COUNTIF(AF$3:AF308,AH308)+COUNTIF(AG$3:AG308,AH308)+COUNTIF(AH$3:AH308,AH308)=1,MAX(GO$2:GQ307,GO308,GP308)+1,""))</f>
        <v/>
      </c>
      <c r="GR308" t="str">
        <f t="shared" si="437"/>
        <v>3х2,5</v>
      </c>
      <c r="GS308" t="str">
        <f>IF(GR308="","",IF(COUNTIF(GR$3:GR308,GR308)=1,MAX(GS$2:GS307)+1,""))</f>
        <v/>
      </c>
      <c r="GT308" t="str">
        <f>IF(ES308="","",COUNTIF(ES$3:ES308,"?*"))</f>
        <v/>
      </c>
      <c r="GU308" t="str">
        <f>IF(OR(ES308="",EU308=""),"",IF(COUNTIFS(ES$3:ES308,"?*",EU$3:EU308,EU308)=1,MAX(GU$2:GU307)+1,""))</f>
        <v/>
      </c>
      <c r="GV308">
        <f t="shared" si="438"/>
        <v>0</v>
      </c>
      <c r="GW308">
        <f>IF(D308="","",COUNTIF(D$3:D308,"?*"))</f>
        <v>306</v>
      </c>
      <c r="GX308">
        <f>IF(EX308&lt;&gt;1,0,_xlfn.LET(_xlpm.k,MAX(IFERROR(--VLOOKUP(D308,УГО_спр,5,FALSE),0),IFERROR(--VLOOKUP(AT308,УГО_спр,5,FALSE),0),IFERROR(--VLOOKUP(LEFT(AT308,2),УГО_спр,5,FALSE),0)),IF(_xlpm.k&gt;0,_xlpm.k,IF(IFERROR(--LEFT(SUBSTITUTE(GR308,"x","х"),FIND("х",SUBSTITUTE(GR308,"x","х"))-1),3)&gt;3,Каталог!$S$9,1))))</f>
        <v>1</v>
      </c>
      <c r="GY308">
        <f t="shared" si="439"/>
        <v>0</v>
      </c>
    </row>
    <row r="309" spans="1:207" x14ac:dyDescent="0.3">
      <c r="A309" t="s">
        <v>764</v>
      </c>
      <c r="B309">
        <v>38</v>
      </c>
      <c r="C309" t="str">
        <f>IF(BD309="","",IF(BE309="вводной узел","узел ","")&amp;"л."&amp;(INT((BD309-1)/Столбцов_на_лист)+1)&amp;" / "&amp;(MOD(BD309-1,Столбцов_на_лист)+1))</f>
        <v>л.3 / 4</v>
      </c>
      <c r="D309" t="s">
        <v>1643</v>
      </c>
      <c r="E309" s="133" t="str">
        <f t="shared" si="352"/>
        <v>Розеточная группа Третий этаж Пом. №001Б</v>
      </c>
      <c r="G309">
        <v>0.18</v>
      </c>
      <c r="H309">
        <v>3</v>
      </c>
      <c r="I309">
        <v>1</v>
      </c>
      <c r="J309">
        <v>230</v>
      </c>
      <c r="K309" t="s">
        <v>566</v>
      </c>
      <c r="O309">
        <v>2</v>
      </c>
      <c r="P309">
        <v>26</v>
      </c>
      <c r="Q309">
        <v>0</v>
      </c>
      <c r="R309">
        <v>35</v>
      </c>
      <c r="T309">
        <v>2</v>
      </c>
      <c r="U309" t="s">
        <v>11</v>
      </c>
      <c r="V309">
        <v>3</v>
      </c>
      <c r="W309">
        <v>2.5</v>
      </c>
      <c r="X309">
        <v>16</v>
      </c>
      <c r="Z309" t="s">
        <v>565</v>
      </c>
      <c r="AA309" t="s">
        <v>818</v>
      </c>
      <c r="AD309" t="s">
        <v>517</v>
      </c>
      <c r="AK309" t="s">
        <v>488</v>
      </c>
      <c r="AR309" t="str">
        <f t="shared" si="353"/>
        <v/>
      </c>
      <c r="AS309" cm="1">
        <f t="array" ref="AS309">ROW()-ROW(Линии[#Headers])</f>
        <v>307</v>
      </c>
      <c r="AT309" t="str">
        <f t="shared" si="354"/>
        <v>R</v>
      </c>
      <c r="AU309" t="str">
        <f t="shared" si="355"/>
        <v>3.001Б.1</v>
      </c>
      <c r="AV309" t="str">
        <f t="shared" si="356"/>
        <v>3</v>
      </c>
      <c r="AW309" t="str">
        <f t="shared" si="357"/>
        <v>001Б.1</v>
      </c>
      <c r="AX309" t="str">
        <f t="shared" si="358"/>
        <v>001Б</v>
      </c>
      <c r="AY309" t="str">
        <f>IF(D309="","",IF(ISERROR(SEARCH(".",D309)),IFERROR(VLOOKUP(D309,Потребители_обозначение,2,FALSE)&amp;"",""),IFERROR(IF(VLOOKUP(AT309,Потребители_обозначение,4,FALSE)=1,VLOOKUP(AT309,Потребители_обозначение,2,FALSE)&amp;" "&amp;VLOOKUP(AV309,Этаж_обозначение,2,FALSE)&amp;" Пом. №"&amp;AX309,VLOOKUP(AT309,Потребители_обозначение,2,FALSE)&amp;" Шлейф №"&amp;AV309),IFERROR(VLOOKUP(D309,Потребители_обозначение,2,FALSE),""))))</f>
        <v>Розеточная группа Третий этаж Пом. №001Б</v>
      </c>
      <c r="AZ309" t="str">
        <f t="shared" si="359"/>
        <v>Розеточная группа Третий этаж Пом. №001Б</v>
      </c>
      <c r="BA309" t="str">
        <f>IF(F309&lt;&gt;"",F309,IF(AND(D309&lt;&gt;"",D309&lt;&gt;A309,ISNUMBER(_xlfn.XMATCH(D309,Щиты[Щит]))),D309,""))</f>
        <v/>
      </c>
      <c r="BB309">
        <f>IFERROR(_xlfn.XMATCH(A309,Щиты[Щит]),0)</f>
        <v>11</v>
      </c>
      <c r="BC309">
        <f>IFERROR(N(_xlfn.XLOOKUP(A309,Щиты[Щит],Щиты[Мест под вводной узел])),15)</f>
        <v>8</v>
      </c>
      <c r="BD309">
        <f t="shared" si="360"/>
        <v>38</v>
      </c>
      <c r="BE309" t="str">
        <f t="shared" si="361"/>
        <v>линии</v>
      </c>
      <c r="BF309">
        <f>IF(D309="","",IF(BA309&lt;&gt;"",IFERROR(_xlfn.XLOOKUP(BA309,Щиты[Щит],Щиты[Руст, кВт]),0),N(G309)))</f>
        <v>0.18</v>
      </c>
      <c r="BG309">
        <f>IF(J309&lt;&gt;"",J309,IF(D309="","",IFERROR(IF(VLOOKUP(AT309,Потребители_обозначение,8,FALSE)=0,"",VLOOKUP(AT309,Потребители_обозначение,8,FALSE)),"")))</f>
        <v>230</v>
      </c>
      <c r="BH309">
        <f>IF(I309&lt;&gt;"",I309,IF(D309="","",IFERROR(IF(VLOOKUP(AT309,Потребители_обозначение,9,FALSE)=0,"",VLOOKUP(AT309,Потребители_обозначение,9,FALSE)),"")))</f>
        <v>1</v>
      </c>
      <c r="BI309" t="str">
        <f>IF(U309&lt;&gt;"",U309,IF(D309="","",IFERROR(IF(VLOOKUP(AT309,Потребители_обозначение,6,FALSE)=0,"",VLOOKUP(AT309,Потребители_обозначение,6,FALSE)),"")))</f>
        <v>мс</v>
      </c>
      <c r="BJ309">
        <f>IF(V309&lt;&gt;"",V309,IF(D309="","",IFERROR(IF(VLOOKUP(AT309,Потребители_обозначение,7,FALSE)=0,"",VLOOKUP(AT309,Потребители_обозначение,7,FALSE)),"")))</f>
        <v>3</v>
      </c>
      <c r="BK309">
        <f>IF(W309&lt;&gt;"",W309,IF(D309="","",IFERROR(IF(VLOOKUP(AT309,Потребители_обозначение,10,FALSE)=0,"",VLOOKUP(AT309,Потребители_обозначение,10,FALSE)),"")))</f>
        <v>2.5</v>
      </c>
      <c r="BL309">
        <f>IFERROR(VLOOKUP(AT309,Потребители_обозначение,5,FALSE),0)</f>
        <v>1</v>
      </c>
      <c r="BM309" cm="1">
        <f t="array" ref="BM309">IF(D309="","",IF(BA309&lt;&gt;"",IFERROR(_xlfn.XLOOKUP(BA309,Щиты[Щит],Щиты[cos φ]),0.95),IF(ISNUMBER(M309),M309,IFERROR(IF(BL309=2,_xlfn.IFS(BH309=3,VLOOKUP(BF309,Справочная_двигатели,8,FALSE),BH309=1,VLOOKUP(BF309,Справочная_двигатели,10,TRUE)),IF(AND(Методика="нормы 2026",CN309="Сил"),0.8,0.95)),0.95))))</f>
        <v>0.95</v>
      </c>
      <c r="BN309" cm="1">
        <f t="array" ref="BN309">IF(D309="","",IF(BA309&lt;&gt;"",IFERROR(_xlfn.XLOOKUP(BA309,Щиты[Щит],Щиты[Iр, А]),""),IFERROR(_xlfn.IFS(BH309=1,BF309/((Uн_лин/SQRT(3))*BM309),BH309=3,BF309/(SQRT(3)*Uн_лин*BM309)),"")))</f>
        <v>0.8204451193747313</v>
      </c>
      <c r="BO309">
        <f>IF(D309="","",IF(N(X309)=0,IFERROR(VLOOKUP(BN309,Автомат_номиналы,2,TRUE),""),X309))</f>
        <v>16</v>
      </c>
      <c r="BP309">
        <f t="shared" si="362"/>
        <v>1</v>
      </c>
      <c r="BQ309">
        <f>IF(ISNUMBER(Y309),Y309,К_прокл)</f>
        <v>1</v>
      </c>
      <c r="BR309">
        <f t="shared" si="363"/>
        <v>2</v>
      </c>
      <c r="BS309" cm="1">
        <f t="array" ref="BS309">IF(D309="","",IF(N(BK309)&lt;&gt;0,BK309,IFERROR(_xlfn.LET(_xlpm.need,BO309/(BP309*BQ309),_xlpm.t,CHOOSE(BR309,Iдоп_1ж,Iдоп_2ж,Iдоп_3ж),_xlpm.k,_xlfn.XMATCH(_xlpm.need,_xlpm.t,1),IF(ISNA(_xlpm.k),"Не исп",INDEX(Iдоп_S,_xlpm.k))),"Не исп")))</f>
        <v>2.5</v>
      </c>
      <c r="BT309">
        <f>IFERROR(VLOOKUP(BS309,Кабель_сопротивление,3,FALSE),"")</f>
        <v>2.2499999999999999E-2</v>
      </c>
      <c r="BU309">
        <f>IFERROR(VLOOKUP(BS309,Кабель_сопротивление,2,FALSE),"")</f>
        <v>0.1</v>
      </c>
      <c r="BV309">
        <f t="shared" si="364"/>
        <v>26</v>
      </c>
      <c r="BW309">
        <f>IF(D309="","",IFERROR(IF(VLOOKUP(AT309,Потребители_обозначение,4,FALSE)=1,VLOOKUP(AT309,Потребители_обозначение,3,FALSE)*(H309*2-1)+BV309+VLOOKUP(AV309,Этаж_обозначение,3,FALSE)+VLOOKUP(AV309,Этаж_обозначение,4,FALSE),VLOOKUP(AT309,Потребители_обозначение,3,FALSE)*(H309*2-1)+BV309),BV309))</f>
        <v>41</v>
      </c>
      <c r="BX309">
        <f t="shared" si="365"/>
        <v>35</v>
      </c>
      <c r="BY309">
        <f t="shared" si="366"/>
        <v>37</v>
      </c>
      <c r="BZ309">
        <f t="shared" si="367"/>
        <v>2</v>
      </c>
      <c r="CA309">
        <f t="shared" si="368"/>
        <v>0.31</v>
      </c>
      <c r="CB309">
        <f t="shared" si="369"/>
        <v>0.57729964468707462</v>
      </c>
      <c r="CC309">
        <f>IFERROR(ROUNDUP(CB309/((Uн_лин/SQRT(3))*1000)*100,2),"")</f>
        <v>0.25</v>
      </c>
      <c r="CD309">
        <f>IF(ISNUMBER(CC309),CC309+IFERROR(_xlfn.XLOOKUP(A309,Щиты[Щит],Щиты[ΔU до шин, %]),0),"")</f>
        <v>2.04</v>
      </c>
      <c r="CE309">
        <f>IF(D309="","",IF(IFERROR(VLOOKUP(AT309,УГО_спр,2,FALSE),"")="Светильник",3,4)+IF(Методика="нормы 2026",MIN(0.5,MAX(0,N(BW309)-100)*0.005),0))</f>
        <v>4</v>
      </c>
      <c r="CF309" t="str">
        <f>IFERROR(VLOOKUP(BI309,Кабель_обозначение,2,FALSE),"")</f>
        <v>ВВГнг(А)-LS</v>
      </c>
      <c r="CG309" t="str">
        <f>IFERROR(IF(VLOOKUP(BI309,Кабель_обозначение,3,FALSE)=1,CF309&amp;" ("&amp;BJ309&amp;"х"&amp;BS309&amp;")",CF309),"")</f>
        <v>ВВГнг(А)-LS (3х2,5)</v>
      </c>
      <c r="CH309" t="str">
        <f t="shared" si="370"/>
        <v>ВВГнг(А)-LS (3х2,5)
L=41-0,25%</v>
      </c>
      <c r="CI309">
        <f>IFERROR(2*ρкз_Cu*BW309/BS309,"")</f>
        <v>0.86264000000000007</v>
      </c>
      <c r="CJ309">
        <f t="shared" si="371"/>
        <v>0.28700000000000003</v>
      </c>
      <c r="CK309" t="str">
        <f>IFERROR(IF(OR(D309="",NOT(ISNUMBER(BS309)),N(BW309)=0),"",_xlfn.XLOOKUP(A309,Щиты[Щит],Щиты[Zпетли на шинах, Ом])+CI309),"")</f>
        <v/>
      </c>
      <c r="CL309" t="str">
        <f>IF(ISNUMBER(CK309),c_min*(Uн_лин*1000/SQRT(3))/CK309,"")</f>
        <v/>
      </c>
      <c r="CM309" t="str">
        <f>IFERROR(IF(OR(D309="",NOT(ISNUMBER(BS309))),"",1.05*(Uн_лин*1000/SQRT(3))/(_xlfn.XLOOKUP(A309,Щиты[Щит],Щиты[Zmax на шинах, Ом])+CJ309)/1000),"")</f>
        <v/>
      </c>
      <c r="CN309" t="str">
        <f>IF(D309="","",IF(BA309&lt;&gt;"","Щит",IF(K309&lt;&gt;"",K309,IF(ISNUMBER(L309),"Сил",IF(IFERROR(_xlfn.XLOOKUP(AT309,Коды_код,Коды_группа)&amp;"","")="","Быт",_xlfn.XLOOKUP(AT309,Коды_код,Коды_группа)&amp;"")))))</f>
        <v>Быт</v>
      </c>
      <c r="CO309">
        <f>IF(CN309="Щит","щит",IF(CN309="","",IF(CN309="Быт",IFERROR(_xlfn.XLOOKUP(A309,Щиты[Щит],Щиты[Кс быт]),1),IF(CN309="Сил",IF(ISNUMBER(L309),L309,IF(Методика="нормы 2026",IFERROR(_xlfn.XLOOKUP(A309,Щиты[Щит],Щиты[Кс силовых (табл. 7.5)]),1),1)),IF(OR(CN309="Пост",CN309="Отоп"),1,IF(CN309="ВНГ",0.7,0))))))</f>
        <v>0.8</v>
      </c>
      <c r="CP309">
        <f t="shared" si="372"/>
        <v>1</v>
      </c>
      <c r="CQ309">
        <f t="shared" si="373"/>
        <v>0.18</v>
      </c>
      <c r="CR309">
        <f t="shared" si="374"/>
        <v>0.18</v>
      </c>
      <c r="CS309">
        <f t="shared" si="375"/>
        <v>0</v>
      </c>
      <c r="CT309">
        <f t="shared" si="376"/>
        <v>0</v>
      </c>
      <c r="CU309">
        <f t="shared" si="377"/>
        <v>0</v>
      </c>
      <c r="CV309">
        <f t="shared" si="378"/>
        <v>0</v>
      </c>
      <c r="CW309">
        <f t="shared" si="379"/>
        <v>0.18</v>
      </c>
      <c r="CX309">
        <f t="shared" si="380"/>
        <v>0.17099999999999999</v>
      </c>
      <c r="CY309">
        <f t="shared" si="381"/>
        <v>3</v>
      </c>
      <c r="CZ309" t="str">
        <f t="shared" si="382"/>
        <v>L3</v>
      </c>
      <c r="DA309" cm="1">
        <f t="array" ref="DA309">IFERROR(IF(BL309=2,_xlfn.IFS(BH309=3,VLOOKUP(BF309,Справочная_двигатели,3,FALSE),BH309=1,VLOOKUP(BF309,Справочная_двигатели,5,TRUE)),0),0)</f>
        <v>0</v>
      </c>
      <c r="DB309">
        <f>IFERROR(IF(BL309=3,VLOOKUP(BF309,Справочная_ЛЭД,2,TRUE),0),0)</f>
        <v>0</v>
      </c>
      <c r="DC309">
        <f t="shared" si="383"/>
        <v>0</v>
      </c>
      <c r="DD309" t="str">
        <f t="shared" si="384"/>
        <v>L2</v>
      </c>
      <c r="DE309" t="str" cm="1">
        <f t="array" ref="DE309">IF(D309="","",IFERROR(INDEX({"I особая","I","II","III"},MATCH(TRIM(AA309&amp;""),{"I особая","I","II","III"},0)),"III"))</f>
        <v>II</v>
      </c>
      <c r="DF309" t="str">
        <f>IF(D309="","",IF(TRIM(AB309&amp;"")&lt;&gt;"",IF(LOWER(TRIM(AB309&amp;""))="да","да","нет"),IF(IFERROR(_xlfn.XLOOKUP(AT309,Коды_код,Коды_пожарная),"")="да","да","нет")))</f>
        <v>нет</v>
      </c>
      <c r="DG309" t="str">
        <f t="shared" si="385"/>
        <v/>
      </c>
      <c r="DH309" t="str">
        <f t="shared" si="386"/>
        <v>основная</v>
      </c>
      <c r="DI309">
        <f t="shared" si="387"/>
        <v>1</v>
      </c>
      <c r="DJ309" t="str" cm="1">
        <f t="array" ref="DJ309">IF(D309="","",_xlfn.LET(_xlpm.t,IFERROR(_xlfn.XLOOKUP(1,(Шины[Шина]=DH309)*(((Шины[Щит]=A309)+(Шины[Щит]=""))&gt;0),Шины[Тип]),"")&amp;"",IF(_xlpm.t&lt;&gt;"",_xlpm.t,IF(ISNUMBER(SEARCH("ИБП",DH309)),"ИБП",IF(ISNUMBER(SEARCH("ДГУ",DH309)),"ДГУ","Ввод "&amp;DI309)))))</f>
        <v>Ввод 1</v>
      </c>
      <c r="DK309" t="str">
        <f t="shared" si="388"/>
        <v>Ввод 1</v>
      </c>
      <c r="DL309" t="str">
        <f>IF(D309="","",IF(OR(DJ309="ИБП",DJ309="ДГУ"),"I особая",IF(DJ309="Одиночная","III",_xlfn.XLOOKUP(A309,Щиты[Щит],Щиты[Категория шины «Ввод»],"III"))))</f>
        <v>II</v>
      </c>
      <c r="DM309">
        <f>IF(D309="",0,IFERROR(MATCH(DE309,{"III","II","I","I особая"},0),1))</f>
        <v>2</v>
      </c>
      <c r="DN309">
        <f t="shared" si="389"/>
        <v>2</v>
      </c>
      <c r="DO309" t="str">
        <f>IF(D309="","",IF(DM309&gt;IFERROR(MATCH(DL309,{"III","II","I","I особая"},0),1),"НЕ ОБЕСПЕЧЕНА","ОК"))</f>
        <v>ОК</v>
      </c>
      <c r="DP309" t="str">
        <f>IF(A309="","",_xlfn.XLOOKUP(A309,Щиты[Щит],Щиты[Путь],""))</f>
        <v>|ГРЩ-ЖД|ЩР-2|</v>
      </c>
      <c r="DQ309" t="str">
        <f>IF(D309="","",IF(Z309&lt;&gt;"",Z309,IF(IFERROR(_xlfn.XLOOKUP(AT309,Коды_код,Коды_вид)&amp;"","")="","Прочее",_xlfn.XLOOKUP(AT309,Коды_код,Коды_вид)&amp;"")))</f>
        <v>Розеточная сеть и бытовые приборы</v>
      </c>
      <c r="DR309">
        <f>IF(BD309="","",INT((BD309-1)/Столбцов_на_лист)+1)</f>
        <v>3</v>
      </c>
      <c r="DS309" t="str">
        <f t="shared" si="390"/>
        <v>ВВГнг(А)-LS (3х2,5) L=41-0,25%</v>
      </c>
      <c r="DT309">
        <f t="shared" si="391"/>
        <v>0.18</v>
      </c>
      <c r="DU309">
        <f t="shared" si="392"/>
        <v>0.83</v>
      </c>
      <c r="DV309">
        <f t="shared" si="393"/>
        <v>1</v>
      </c>
      <c r="DW309">
        <f>IF(AT309="",0,_xlfn.LET(_xlpm.v,IFERROR(VLOOKUP(D309,УГО_спр,3,FALSE),IFERROR(VLOOKUP(AT309,УГО_спр,3,FALSE),IFERROR(VLOOKUP(LEFT(AT309,2),УГО_спр,3,FALSE),""))),IF(_xlpm.v="да",30,IF(ISNUMBER(_xlpm.v),_xlpm.v,0))))</f>
        <v>30</v>
      </c>
      <c r="DX309">
        <f t="shared" si="394"/>
        <v>0</v>
      </c>
      <c r="DY309">
        <f>IF(BD309="","",IF(AD309&lt;&gt;"",COUNTIFS(A$3:A309,A309,AD$3:AD309,"?*"),IF(OR(OR(AS309=1,A309&lt;&gt;A308),AL309="вручную"),"",IF(AS309=1,"",DZ308))))</f>
        <v>26</v>
      </c>
      <c r="DZ309">
        <f t="shared" si="395"/>
        <v>26</v>
      </c>
      <c r="EA309">
        <f>IF(D309="",0,MAX(IFERROR(--X309,0),IFERROR(--VLOOKUP(D309,УГО_спр,4,FALSE),IFERROR(--VLOOKUP(AT309,УГО_спр,4,FALSE),IFERROR(--VLOOKUP(LEFT(AT309,2),УГО_спр,4,FALSE),0)))))</f>
        <v>16</v>
      </c>
      <c r="EB309">
        <f>IF(D309="","",IFERROR(LOOKUP(INDEX(CHOOSE(BR309,Iдоп_1ж,Iдоп_2ж,Iдоп_3ж),MATCH(BS309,Iдоп_S,0))*BP309*BQ309,{6,10,16,20,25,32,40,50,63,80,100,125,160,200,250,315,400,500,630}),""))</f>
        <v>25</v>
      </c>
      <c r="EC309">
        <f>IF(AD309="","",SUMIFS(Линии[_Ток схемы],Линии[_гр.],DY309,Линии[Щит],A309,Линии[_в кабель выше],0))</f>
        <v>0.83</v>
      </c>
      <c r="ED309">
        <f>IF(AD309="","",IFERROR(VLOOKUP(EC309,Автомат_номиналы,2,TRUE),""))</f>
        <v>6</v>
      </c>
      <c r="EE309">
        <f>IF(AD309="","",MAX(N(ED309),_xlfn.MAXIFS(Линии[_мин. по типу],Линии[_гр.],DY309,Линии[Щит],A309)))</f>
        <v>16</v>
      </c>
      <c r="EF309">
        <f>IF(AD309="","",_xlfn.MINIFS(Линии[_макс. автомат по кабелю],Линии[_гр.],DY309,Линии[Щит],A309))</f>
        <v>25</v>
      </c>
      <c r="EG309">
        <f>IF(AD309="","",MAX(1,_xlfn.MAXIFS(Линии[_фаз],Линии[_гр.],DY309,Линии[Щит],A309)))</f>
        <v>1</v>
      </c>
      <c r="EH309">
        <f>IF(AD309="","",IF(AND(AD309&lt;&gt;"авто",AD309&lt;&gt;"+"),IF(ISNUMBER(SEARCH("мА",AD309)),IFERROR(--TRIM(RIGHT(SUBSTITUTE(LEFT(AD309,SEARCH("мА",AD309)-1)," ",REPT(" ",9)),6)),30),0),IF(AE309="нет",0,IF(ISNUMBER(AE309),AE309,IF(AE309="да",30,_xlfn.MINIFS(Линии[_дифзащита по коду, мА],Линии[_гр.],DY309,Линии[Щит],A309,Линии[_дифзащита по коду, мА],"&gt;0"))))))</f>
        <v>30</v>
      </c>
      <c r="EI309">
        <f t="shared" si="396"/>
        <v>1</v>
      </c>
      <c r="EJ309" t="str">
        <f t="shared" si="397"/>
        <v>QFD26</v>
      </c>
      <c r="EK309" t="str">
        <f t="shared" si="398"/>
        <v>QFD26</v>
      </c>
      <c r="EL309" t="str">
        <f t="shared" si="399"/>
        <v/>
      </c>
      <c r="EM309">
        <f t="shared" si="400"/>
        <v>0</v>
      </c>
      <c r="EN309">
        <f>IF(AD309="","",IF(EM309=1,MAX(EE309,Мин_автомат_БП),EE309))</f>
        <v>16</v>
      </c>
      <c r="EO309" t="str">
        <f t="shared" si="401"/>
        <v>2P</v>
      </c>
      <c r="EP309" t="str">
        <f t="shared" si="402"/>
        <v>2P С16А 30мА</v>
      </c>
      <c r="EQ309">
        <f t="shared" si="403"/>
        <v>16</v>
      </c>
      <c r="ER309" t="str">
        <f>IF(OR(AI309="",AI309="-"),"",IFERROR(VLOOKUP(AI309,Модули_спр,2,FALSE),"R"))</f>
        <v/>
      </c>
      <c r="ES309" t="str">
        <f>IF(ER309="","",ER309&amp;"."&amp;COUNTIFS(A$3:A309,A309,ER$3:ER309,ER309))</f>
        <v/>
      </c>
      <c r="ET309" t="str">
        <f t="shared" si="404"/>
        <v/>
      </c>
      <c r="EU309" t="str">
        <f t="shared" si="405"/>
        <v/>
      </c>
      <c r="EV309" t="str">
        <f t="shared" si="406"/>
        <v/>
      </c>
      <c r="EW309" t="str">
        <f t="shared" si="407"/>
        <v/>
      </c>
      <c r="EX309">
        <f t="shared" si="408"/>
        <v>1</v>
      </c>
      <c r="EY309" t="str">
        <f>IF(AK309="нет","",IF(AK309&lt;&gt;"",AK309,IF(EX309=1,"XT"&amp;COUNTIFS(A$3:A309,A309,EX$3:EX309,1),"")))</f>
        <v/>
      </c>
      <c r="EZ309" t="str">
        <f t="shared" si="409"/>
        <v>QFD26</v>
      </c>
      <c r="FA309" t="str">
        <f t="shared" si="410"/>
        <v/>
      </c>
      <c r="FB309" t="str">
        <f t="shared" si="411"/>
        <v>ok</v>
      </c>
      <c r="FC309" t="str">
        <f>IF(OR(EV309="",ET309=""),"",IF(EV309&gt;IFERROR(VLOOKUP(EU309,Модули_спр,3,FALSE),99),"ЛИШНИЙ КАНАЛ",IF(AND(AJ309&lt;&gt;"=",COUNTIFS(Линии[_модуль гр.],ET309,Линии[Канал (итог)],EV309,Линии[Канал],"&lt;&gt;=",Линии[Щит],A309)&gt;1),"ДУБЛЬ КАНАЛА","")))</f>
        <v/>
      </c>
      <c r="FD309">
        <f t="shared" si="412"/>
        <v>16</v>
      </c>
      <c r="FE309" t="str">
        <f t="shared" si="413"/>
        <v>2P С16А 30мА</v>
      </c>
      <c r="FF309">
        <f t="shared" si="414"/>
        <v>1</v>
      </c>
      <c r="FG309">
        <f t="shared" si="415"/>
        <v>30</v>
      </c>
      <c r="FH309" t="str">
        <f t="shared" si="416"/>
        <v/>
      </c>
      <c r="FI309">
        <f t="shared" si="417"/>
        <v>10</v>
      </c>
      <c r="FJ309" t="str">
        <f t="shared" si="418"/>
        <v/>
      </c>
      <c r="FK309" t="str">
        <f>IF(AND(D309="",EZ309=""),"",_xlfn.TEXTJOIN("; ",TRUE,IF(AND(D309&lt;&gt;"",DD309=""),"нет фазы",""),IF(AND(D309&lt;&gt;"",N(DT309)=0,CN309&lt;&gt;"Нет"),"нет мощности",""),IF(AND(EY309&lt;&gt;"",COUNTIFS(Линии[Щит],A309,Линии[Клемма (итог)],EY309)&gt;1),"дубль клеммы "&amp;EY309,""),IF(AND(FB309&lt;&gt;"",FB309&lt;&gt;"ok"),FB309,""),IF(FC309&lt;&gt;"",FC309,""),IF(AND(ISNUMBER(SEARCH("(5х",DS309)),N(DV309)=1),"5 жил на 1 фазе",""),IF(AND(AT309="R",AD309&lt;&gt;"",OR(N(EH309)=0,N(EH309)&gt;30)),"розетка без дифзащиты до 30 мА",""),IFERROR(IF(AND(ISNUMBER(CD309),CD309&gt;CE309),"потери "&amp;FIXED(CD309,1)&amp;" % &gt; "&amp;CE309&amp;" %",""),""),IFERROR(IF(LEFT(FJ309,4)="мало","Iкз мало — отключение &gt; 0,4 с",""),""),IF(AND(D309&lt;&gt;"",BD309=""),"не на схеме","")))</f>
        <v/>
      </c>
      <c r="FL309">
        <f>IF(AD309="","",_xlfn.LET(_xlpm.t,IFERROR(_xlfn.XLOOKUP(EP309,Каталог!$U$4:$U$500,Каталог!$G$4:$G$500),""),_xlpm.k,SEARCH("кА",_xlpm.t),IFERROR(--TRIM(RIGHT(SUBSTITUTE(MID(_xlpm.t,MAX(1,_xlpm.k-4),_xlpm.k-MAX(1,_xlpm.k-4))," ",REPT(" ",9)),5)),"")))</f>
        <v>6</v>
      </c>
      <c r="FM309" t="str">
        <f>IF(OR(FL309="",AD309=""),"",IF(_xlfn.XLOOKUP(A309,Щиты[Щит],Щиты[Iкз max на шинах, кА],"")="","",IF(FL309&lt;_xlfn.XLOOKUP(A309,Щиты[Щит],Щиты[Iкз max на шинах, кА]),"Icu "&amp;FL309&amp;" кА &lt; Iкз max","ok")))</f>
        <v/>
      </c>
      <c r="FN309" t="str">
        <f t="shared" si="419"/>
        <v>QFD26</v>
      </c>
      <c r="FO309" t="str">
        <f t="shared" si="420"/>
        <v>QFD26|кабель ВВГнг(А)-LS (3х2,5) → Розеточная группа Третий этаж Пом. №001Б</v>
      </c>
      <c r="FP309" t="str" cm="1">
        <f t="array" ref="FP309">IF(FO309="","",_xlfn.LET(_xlpm.nd,_xlfn.TEXTSPLIT(FO309,"|"),IF(COLUMNS(_xlpm.nd)&gt;1,A309&amp;"¦"&amp;INDEX(_xlpm.nd,1)&amp;"¦"&amp;INDEX(_xlpm.nd,2),"")))</f>
        <v>ЩР-2¦QFD26¦кабель ВВГнг(А)-LS (3х2,5) → Розеточная группа Третий этаж Пом. №001Б</v>
      </c>
      <c r="FQ309" t="str">
        <f t="shared" si="421"/>
        <v>R.3.001Б.1¦Розеточная группа Третий этаж Пом. №001Б</v>
      </c>
      <c r="FR309" t="str" cm="1">
        <f t="array" ref="FR309">IF(FO309="","",_xlfn.LET(_xlpm.nd,_xlfn.TEXTSPLIT(FO309,"|"),IF(COLUMNS(_xlpm.nd)&gt;2,A309&amp;"¦"&amp;INDEX(_xlpm.nd,2)&amp;"¦"&amp;INDEX(_xlpm.nd,3),"")))</f>
        <v/>
      </c>
      <c r="FS309" t="str">
        <f t="shared" si="422"/>
        <v/>
      </c>
      <c r="FT309" t="str" cm="1">
        <f t="array" ref="FT309">IF(FO309="","",_xlfn.LET(_xlpm.nd,_xlfn.TEXTSPLIT(FO309,"|"),IF(COLUMNS(_xlpm.nd)&gt;3,A309&amp;"¦"&amp;INDEX(_xlpm.nd,3)&amp;"¦"&amp;INDEX(_xlpm.nd,4),"")))</f>
        <v/>
      </c>
      <c r="FU309" t="str">
        <f t="shared" si="423"/>
        <v/>
      </c>
      <c r="FV309" t="str" cm="1">
        <f t="array" ref="FV309">IF(FO309="","",_xlfn.LET(_xlpm.nd,_xlfn.TEXTSPLIT(FO309,"|"),IF(COLUMNS(_xlpm.nd)&gt;4,A309&amp;"¦"&amp;INDEX(_xlpm.nd,4)&amp;"¦"&amp;INDEX(_xlpm.nd,5),"")))</f>
        <v/>
      </c>
      <c r="FW309" t="str">
        <f t="shared" si="424"/>
        <v/>
      </c>
      <c r="FX309" t="str" cm="1">
        <f t="array" ref="FX309">IF(FO309="","",_xlfn.LET(_xlpm.nd,_xlfn.TEXTSPLIT(FO309,"|"),IF(COLUMNS(_xlpm.nd)&gt;5,A309&amp;"¦"&amp;INDEX(_xlpm.nd,5)&amp;"¦"&amp;INDEX(_xlpm.nd,6),"")))</f>
        <v/>
      </c>
      <c r="FY309" t="str">
        <f t="shared" si="425"/>
        <v/>
      </c>
      <c r="FZ309" t="str" cm="1">
        <f t="array" ref="FZ309">IF(FO309="","",_xlfn.LET(_xlpm.nd,_xlfn.TEXTSPLIT(FO309,"|"),IF(COLUMNS(_xlpm.nd)&gt;6,A309&amp;"¦"&amp;INDEX(_xlpm.nd,6)&amp;"¦"&amp;INDEX(_xlpm.nd,7),"")))</f>
        <v/>
      </c>
      <c r="GA309" t="str">
        <f t="shared" si="426"/>
        <v/>
      </c>
      <c r="GB309" t="str">
        <f t="shared" si="427"/>
        <v/>
      </c>
      <c r="GC309" t="str">
        <f t="shared" si="428"/>
        <v>QFD26</v>
      </c>
      <c r="GD309">
        <f t="shared" si="429"/>
        <v>1</v>
      </c>
      <c r="GE309">
        <f t="shared" si="430"/>
        <v>0</v>
      </c>
      <c r="GF309">
        <f t="shared" si="431"/>
        <v>1</v>
      </c>
      <c r="GG309" t="str">
        <f t="shared" si="432"/>
        <v/>
      </c>
      <c r="GH309" t="str">
        <f t="shared" si="433"/>
        <v/>
      </c>
      <c r="GI309" t="str">
        <f t="shared" si="434"/>
        <v/>
      </c>
      <c r="GJ309" t="str">
        <f t="shared" si="435"/>
        <v/>
      </c>
      <c r="GK309" t="str">
        <f>IF(D309="","",IFERROR(VLOOKUP(D309,УГО_спр,2,FALSE),IFERROR(VLOOKUP(AT309,УГО_спр,2,FALSE),IFERROR(VLOOKUP(LEFT(AT309,2),УГО_спр,2,FALSE),""))))</f>
        <v>Розетка</v>
      </c>
      <c r="GL309" t="str">
        <f>IF(D309="","",IF(OR(GK309="",GK309=0),"BOX",IFERROR(IF(VLOOKUP(GK309,УГО_блоки,3,FALSE)&amp;""&lt;&gt;"",VLOOKUP(GK309,УГО_блоки,3,FALSE),VLOOKUP(GK309,УГО_блоки,2,FALSE)),GK309)))</f>
        <v>SOCKET</v>
      </c>
      <c r="GM309">
        <f t="shared" si="436"/>
        <v>1</v>
      </c>
      <c r="GN309" t="str">
        <f>IF(EP309="","",IF(COUNTIF(EP$3:EP309,EP309)=1,MAX(GN$2:GN308)+1,""))</f>
        <v/>
      </c>
      <c r="GO309" t="str">
        <f>IF(AF309="","",IF(COUNTIF(AF$3:AF309,AF309)+COUNTIF(AG$2:AG308,AF309)+COUNTIF(AH$2:AH308,AF309)=1,MAX(GO$2:GQ308)+1,""))</f>
        <v/>
      </c>
      <c r="GP309" t="str">
        <f>IF(AG309="","",IF(COUNTIF(AF$3:AF309,AG309)+COUNTIF(AG$3:AG309,AG309)+COUNTIF(AH$2:AH308,AG309)=1,MAX(GO$2:GQ308,GO309)+1,""))</f>
        <v/>
      </c>
      <c r="GQ309" t="str">
        <f>IF(AH309="","",IF(COUNTIF(AF$3:AF309,AH309)+COUNTIF(AG$3:AG309,AH309)+COUNTIF(AH$3:AH309,AH309)=1,MAX(GO$2:GQ308,GO309,GP309)+1,""))</f>
        <v/>
      </c>
      <c r="GR309" t="str">
        <f t="shared" si="437"/>
        <v>3х2,5</v>
      </c>
      <c r="GS309" t="str">
        <f>IF(GR309="","",IF(COUNTIF(GR$3:GR309,GR309)=1,MAX(GS$2:GS308)+1,""))</f>
        <v/>
      </c>
      <c r="GT309" t="str">
        <f>IF(ES309="","",COUNTIF(ES$3:ES309,"?*"))</f>
        <v/>
      </c>
      <c r="GU309" t="str">
        <f>IF(OR(ES309="",EU309=""),"",IF(COUNTIFS(ES$3:ES309,"?*",EU$3:EU309,EU309)=1,MAX(GU$2:GU308)+1,""))</f>
        <v/>
      </c>
      <c r="GV309">
        <f t="shared" si="438"/>
        <v>0</v>
      </c>
      <c r="GW309">
        <f>IF(D309="","",COUNTIF(D$3:D309,"?*"))</f>
        <v>307</v>
      </c>
      <c r="GX309">
        <f>IF(EX309&lt;&gt;1,0,_xlfn.LET(_xlpm.k,MAX(IFERROR(--VLOOKUP(D309,УГО_спр,5,FALSE),0),IFERROR(--VLOOKUP(AT309,УГО_спр,5,FALSE),0),IFERROR(--VLOOKUP(LEFT(AT309,2),УГО_спр,5,FALSE),0)),IF(_xlpm.k&gt;0,_xlpm.k,IF(IFERROR(--LEFT(SUBSTITUTE(GR309,"x","х"),FIND("х",SUBSTITUTE(GR309,"x","х"))-1),3)&gt;3,Каталог!$S$9,1))))</f>
        <v>1</v>
      </c>
      <c r="GY309">
        <f t="shared" si="439"/>
        <v>0</v>
      </c>
    </row>
    <row r="310" spans="1:207" x14ac:dyDescent="0.3">
      <c r="A310" t="s">
        <v>764</v>
      </c>
      <c r="B310">
        <v>40</v>
      </c>
      <c r="C310" t="str">
        <f>IF(BD310="","",IF(BE310="вводной узел","узел ","")&amp;"л."&amp;(INT((BD310-1)/Столбцов_на_лист)+1)&amp;" / "&amp;(MOD(BD310-1,Столбцов_на_лист)+1))</f>
        <v>л.3 / 6</v>
      </c>
      <c r="D310" t="s">
        <v>1644</v>
      </c>
      <c r="E310" s="133" t="s">
        <v>1645</v>
      </c>
      <c r="G310">
        <v>1.5</v>
      </c>
      <c r="H310">
        <v>1</v>
      </c>
      <c r="I310">
        <v>1</v>
      </c>
      <c r="J310">
        <v>230</v>
      </c>
      <c r="K310" t="s">
        <v>577</v>
      </c>
      <c r="O310">
        <v>2</v>
      </c>
      <c r="P310">
        <v>38</v>
      </c>
      <c r="R310">
        <v>32</v>
      </c>
      <c r="T310">
        <v>1</v>
      </c>
      <c r="U310" t="s">
        <v>11</v>
      </c>
      <c r="V310">
        <v>3</v>
      </c>
      <c r="W310">
        <v>2.5</v>
      </c>
      <c r="X310">
        <v>16</v>
      </c>
      <c r="Z310" t="s">
        <v>576</v>
      </c>
      <c r="AA310" t="s">
        <v>818</v>
      </c>
      <c r="AD310" t="s">
        <v>517</v>
      </c>
      <c r="AK310" t="s">
        <v>488</v>
      </c>
      <c r="AR310" t="str">
        <f t="shared" si="353"/>
        <v/>
      </c>
      <c r="AS310" cm="1">
        <f t="array" ref="AS310">ROW()-ROW(Линии[#Headers])</f>
        <v>308</v>
      </c>
      <c r="AT310" t="str">
        <f t="shared" si="354"/>
        <v>ШТК-2</v>
      </c>
      <c r="AU310" t="str">
        <f t="shared" si="355"/>
        <v/>
      </c>
      <c r="AV310" t="str">
        <f t="shared" si="356"/>
        <v/>
      </c>
      <c r="AW310" t="str">
        <f t="shared" si="357"/>
        <v/>
      </c>
      <c r="AX310" t="str">
        <f t="shared" si="358"/>
        <v/>
      </c>
      <c r="AY310" t="str">
        <f>IF(D310="","",IF(ISERROR(SEARCH(".",D310)),IFERROR(VLOOKUP(D310,Потребители_обозначение,2,FALSE)&amp;"",""),IFERROR(IF(VLOOKUP(AT310,Потребители_обозначение,4,FALSE)=1,VLOOKUP(AT310,Потребители_обозначение,2,FALSE)&amp;" "&amp;VLOOKUP(AV310,Этаж_обозначение,2,FALSE)&amp;" Пом. №"&amp;AX310,VLOOKUP(AT310,Потребители_обозначение,2,FALSE)&amp;" Шлейф №"&amp;AV310),IFERROR(VLOOKUP(D310,Потребители_обозначение,2,FALSE),""))))</f>
        <v/>
      </c>
      <c r="AZ310" t="str">
        <f t="shared" si="359"/>
        <v>Шкаф телекоммуникационный ШТК-2  Тех. Этаж Пом №004T</v>
      </c>
      <c r="BA310" t="str">
        <f>IF(F310&lt;&gt;"",F310,IF(AND(D310&lt;&gt;"",D310&lt;&gt;A310,ISNUMBER(_xlfn.XMATCH(D310,Щиты[Щит]))),D310,""))</f>
        <v/>
      </c>
      <c r="BB310">
        <f>IFERROR(_xlfn.XMATCH(A310,Щиты[Щит]),0)</f>
        <v>11</v>
      </c>
      <c r="BC310">
        <f>IFERROR(N(_xlfn.XLOOKUP(A310,Щиты[Щит],Щиты[Мест под вводной узел])),15)</f>
        <v>8</v>
      </c>
      <c r="BD310">
        <f t="shared" si="360"/>
        <v>40</v>
      </c>
      <c r="BE310" t="str">
        <f t="shared" si="361"/>
        <v>линии</v>
      </c>
      <c r="BF310">
        <f>IF(D310="","",IF(BA310&lt;&gt;"",IFERROR(_xlfn.XLOOKUP(BA310,Щиты[Щит],Щиты[Руст, кВт]),0),N(G310)))</f>
        <v>1.5</v>
      </c>
      <c r="BG310">
        <f>IF(J310&lt;&gt;"",J310,IF(D310="","",IFERROR(IF(VLOOKUP(AT310,Потребители_обозначение,8,FALSE)=0,"",VLOOKUP(AT310,Потребители_обозначение,8,FALSE)),"")))</f>
        <v>230</v>
      </c>
      <c r="BH310">
        <f>IF(I310&lt;&gt;"",I310,IF(D310="","",IFERROR(IF(VLOOKUP(AT310,Потребители_обозначение,9,FALSE)=0,"",VLOOKUP(AT310,Потребители_обозначение,9,FALSE)),"")))</f>
        <v>1</v>
      </c>
      <c r="BI310" t="str">
        <f>IF(U310&lt;&gt;"",U310,IF(D310="","",IFERROR(IF(VLOOKUP(AT310,Потребители_обозначение,6,FALSE)=0,"",VLOOKUP(AT310,Потребители_обозначение,6,FALSE)),"")))</f>
        <v>мс</v>
      </c>
      <c r="BJ310">
        <f>IF(V310&lt;&gt;"",V310,IF(D310="","",IFERROR(IF(VLOOKUP(AT310,Потребители_обозначение,7,FALSE)=0,"",VLOOKUP(AT310,Потребители_обозначение,7,FALSE)),"")))</f>
        <v>3</v>
      </c>
      <c r="BK310">
        <f>IF(W310&lt;&gt;"",W310,IF(D310="","",IFERROR(IF(VLOOKUP(AT310,Потребители_обозначение,10,FALSE)=0,"",VLOOKUP(AT310,Потребители_обозначение,10,FALSE)),"")))</f>
        <v>2.5</v>
      </c>
      <c r="BL310">
        <f>IFERROR(VLOOKUP(AT310,Потребители_обозначение,5,FALSE),0)</f>
        <v>0</v>
      </c>
      <c r="BM310" cm="1">
        <f t="array" ref="BM310">IF(D310="","",IF(BA310&lt;&gt;"",IFERROR(_xlfn.XLOOKUP(BA310,Щиты[Щит],Щиты[cos φ]),0.95),IF(ISNUMBER(M310),M310,IFERROR(IF(BL310=2,_xlfn.IFS(BH310=3,VLOOKUP(BF310,Справочная_двигатели,8,FALSE),BH310=1,VLOOKUP(BF310,Справочная_двигатели,10,TRUE)),IF(AND(Методика="нормы 2026",CN310="Сил"),0.8,0.95)),0.95))))</f>
        <v>0.95</v>
      </c>
      <c r="BN310" cm="1">
        <f t="array" ref="BN310">IF(D310="","",IF(BA310&lt;&gt;"",IFERROR(_xlfn.XLOOKUP(BA310,Щиты[Щит],Щиты[Iр, А]),""),IFERROR(_xlfn.IFS(BH310=1,BF310/((Uн_лин/SQRT(3))*BM310),BH310=3,BF310/(SQRT(3)*Uн_лин*BM310)),"")))</f>
        <v>6.8370426614560946</v>
      </c>
      <c r="BO310">
        <f>IF(D310="","",IF(N(X310)=0,IFERROR(VLOOKUP(BN310,Автомат_номиналы,2,TRUE),""),X310))</f>
        <v>16</v>
      </c>
      <c r="BP310">
        <f t="shared" si="362"/>
        <v>1</v>
      </c>
      <c r="BQ310">
        <f>IF(ISNUMBER(Y310),Y310,К_прокл)</f>
        <v>1</v>
      </c>
      <c r="BR310">
        <f t="shared" si="363"/>
        <v>2</v>
      </c>
      <c r="BS310" cm="1">
        <f t="array" ref="BS310">IF(D310="","",IF(N(BK310)&lt;&gt;0,BK310,IFERROR(_xlfn.LET(_xlpm.need,BO310/(BP310*BQ310),_xlpm.t,CHOOSE(BR310,Iдоп_1ж,Iдоп_2ж,Iдоп_3ж),_xlpm.k,_xlfn.XMATCH(_xlpm.need,_xlpm.t,1),IF(ISNA(_xlpm.k),"Не исп",INDEX(Iдоп_S,_xlpm.k))),"Не исп")))</f>
        <v>2.5</v>
      </c>
      <c r="BT310">
        <f>IFERROR(VLOOKUP(BS310,Кабель_сопротивление,3,FALSE),"")</f>
        <v>2.2499999999999999E-2</v>
      </c>
      <c r="BU310">
        <f>IFERROR(VLOOKUP(BS310,Кабель_сопротивление,2,FALSE),"")</f>
        <v>0.1</v>
      </c>
      <c r="BV310">
        <f t="shared" si="364"/>
        <v>38</v>
      </c>
      <c r="BW310">
        <f>IF(D310="","",IFERROR(IF(VLOOKUP(AT310,Потребители_обозначение,4,FALSE)=1,VLOOKUP(AT310,Потребители_обозначение,3,FALSE)*(H310*2-1)+BV310+VLOOKUP(AV310,Этаж_обозначение,3,FALSE)+VLOOKUP(AV310,Этаж_обозначение,4,FALSE),VLOOKUP(AT310,Потребители_обозначение,3,FALSE)*(H310*2-1)+BV310),BV310))</f>
        <v>38</v>
      </c>
      <c r="BX310">
        <f t="shared" si="365"/>
        <v>32</v>
      </c>
      <c r="BY310">
        <f t="shared" si="366"/>
        <v>0</v>
      </c>
      <c r="BZ310">
        <f t="shared" si="367"/>
        <v>2</v>
      </c>
      <c r="CA310">
        <f t="shared" si="368"/>
        <v>0.31</v>
      </c>
      <c r="CB310">
        <f t="shared" si="369"/>
        <v>4.4588183939245605</v>
      </c>
      <c r="CC310">
        <f>IFERROR(ROUNDUP(CB310/((Uн_лин/SQRT(3))*1000)*100,2),"")</f>
        <v>1.94</v>
      </c>
      <c r="CD310">
        <f>IF(ISNUMBER(CC310),CC310+IFERROR(_xlfn.XLOOKUP(A310,Щиты[Щит],Щиты[ΔU до шин, %]),0),"")</f>
        <v>3.73</v>
      </c>
      <c r="CE310">
        <f>IF(D310="","",IF(IFERROR(VLOOKUP(AT310,УГО_спр,2,FALSE),"")="Светильник",3,4)+IF(Методика="нормы 2026",MIN(0.5,MAX(0,N(BW310)-100)*0.005),0))</f>
        <v>4</v>
      </c>
      <c r="CF310" t="str">
        <f>IFERROR(VLOOKUP(BI310,Кабель_обозначение,2,FALSE),"")</f>
        <v>ВВГнг(А)-LS</v>
      </c>
      <c r="CG310" t="str">
        <f>IFERROR(IF(VLOOKUP(BI310,Кабель_обозначение,3,FALSE)=1,CF310&amp;" ("&amp;BJ310&amp;"х"&amp;BS310&amp;")",CF310),"")</f>
        <v>ВВГнг(А)-LS (3х2,5)</v>
      </c>
      <c r="CH310" t="str">
        <f t="shared" si="370"/>
        <v>ВВГнг(А)-LS (3х2,5)
L=38-1,94%</v>
      </c>
      <c r="CI310">
        <f>IFERROR(2*ρкз_Cu*BW310/BS310,"")</f>
        <v>0.79952000000000001</v>
      </c>
      <c r="CJ310">
        <f t="shared" si="371"/>
        <v>0.26600000000000001</v>
      </c>
      <c r="CK310" t="str">
        <f>IFERROR(IF(OR(D310="",NOT(ISNUMBER(BS310)),N(BW310)=0),"",_xlfn.XLOOKUP(A310,Щиты[Щит],Щиты[Zпетли на шинах, Ом])+CI310),"")</f>
        <v/>
      </c>
      <c r="CL310" t="str">
        <f>IF(ISNUMBER(CK310),c_min*(Uн_лин*1000/SQRT(3))/CK310,"")</f>
        <v/>
      </c>
      <c r="CM310" t="str">
        <f>IFERROR(IF(OR(D310="",NOT(ISNUMBER(BS310))),"",1.05*(Uн_лин*1000/SQRT(3))/(_xlfn.XLOOKUP(A310,Щиты[Щит],Щиты[Zmax на шинах, Ом])+CJ310)/1000),"")</f>
        <v/>
      </c>
      <c r="CN310" t="str">
        <f>IF(D310="","",IF(BA310&lt;&gt;"","Щит",IF(K310&lt;&gt;"",K310,IF(ISNUMBER(L310),"Сил",IF(IFERROR(_xlfn.XLOOKUP(AT310,Коды_код,Коды_группа)&amp;"","")="","Быт",_xlfn.XLOOKUP(AT310,Коды_код,Коды_группа)&amp;"")))))</f>
        <v>Пост</v>
      </c>
      <c r="CO310">
        <f>IF(CN310="Щит","щит",IF(CN310="","",IF(CN310="Быт",IFERROR(_xlfn.XLOOKUP(A310,Щиты[Щит],Щиты[Кс быт]),1),IF(CN310="Сил",IF(ISNUMBER(L310),L310,IF(Методика="нормы 2026",IFERROR(_xlfn.XLOOKUP(A310,Щиты[Щит],Щиты[Кс силовых (табл. 7.5)]),1),1)),IF(OR(CN310="Пост",CN310="Отоп"),1,IF(CN310="ВНГ",0.7,0))))))</f>
        <v>1</v>
      </c>
      <c r="CP310">
        <f t="shared" si="372"/>
        <v>1</v>
      </c>
      <c r="CQ310">
        <f t="shared" si="373"/>
        <v>1.5</v>
      </c>
      <c r="CR310">
        <f t="shared" si="374"/>
        <v>0</v>
      </c>
      <c r="CS310">
        <f t="shared" si="375"/>
        <v>0</v>
      </c>
      <c r="CT310">
        <f t="shared" si="376"/>
        <v>1.5</v>
      </c>
      <c r="CU310">
        <f t="shared" si="377"/>
        <v>0</v>
      </c>
      <c r="CV310">
        <f t="shared" si="378"/>
        <v>0</v>
      </c>
      <c r="CW310">
        <f t="shared" si="379"/>
        <v>1.5</v>
      </c>
      <c r="CX310">
        <f t="shared" si="380"/>
        <v>1.4249999999999998</v>
      </c>
      <c r="CY310">
        <f t="shared" si="381"/>
        <v>1</v>
      </c>
      <c r="CZ310" t="str">
        <f t="shared" si="382"/>
        <v>L1</v>
      </c>
      <c r="DA310" cm="1">
        <f t="array" ref="DA310">IFERROR(IF(BL310=2,_xlfn.IFS(BH310=3,VLOOKUP(BF310,Справочная_двигатели,3,FALSE),BH310=1,VLOOKUP(BF310,Справочная_двигатели,5,TRUE)),0),0)</f>
        <v>0</v>
      </c>
      <c r="DB310">
        <f>IFERROR(IF(BL310=3,VLOOKUP(BF310,Справочная_ЛЭД,2,TRUE),0),0)</f>
        <v>0</v>
      </c>
      <c r="DC310">
        <f t="shared" si="383"/>
        <v>0</v>
      </c>
      <c r="DD310" t="str">
        <f t="shared" si="384"/>
        <v>L2</v>
      </c>
      <c r="DE310" t="str" cm="1">
        <f t="array" ref="DE310">IF(D310="","",IFERROR(INDEX({"I особая","I","II","III"},MATCH(TRIM(AA310&amp;""),{"I особая","I","II","III"},0)),"III"))</f>
        <v>II</v>
      </c>
      <c r="DF310" t="str">
        <f>IF(D310="","",IF(TRIM(AB310&amp;"")&lt;&gt;"",IF(LOWER(TRIM(AB310&amp;""))="да","да","нет"),IF(IFERROR(_xlfn.XLOOKUP(AT310,Коды_код,Коды_пожарная),"")="да","да","нет")))</f>
        <v>нет</v>
      </c>
      <c r="DG310" t="str">
        <f t="shared" si="385"/>
        <v/>
      </c>
      <c r="DH310" t="str">
        <f t="shared" si="386"/>
        <v>основная</v>
      </c>
      <c r="DI310">
        <f t="shared" si="387"/>
        <v>1</v>
      </c>
      <c r="DJ310" t="str" cm="1">
        <f t="array" ref="DJ310">IF(D310="","",_xlfn.LET(_xlpm.t,IFERROR(_xlfn.XLOOKUP(1,(Шины[Шина]=DH310)*(((Шины[Щит]=A310)+(Шины[Щит]=""))&gt;0),Шины[Тип]),"")&amp;"",IF(_xlpm.t&lt;&gt;"",_xlpm.t,IF(ISNUMBER(SEARCH("ИБП",DH310)),"ИБП",IF(ISNUMBER(SEARCH("ДГУ",DH310)),"ДГУ","Ввод "&amp;DI310)))))</f>
        <v>Ввод 1</v>
      </c>
      <c r="DK310" t="str">
        <f t="shared" si="388"/>
        <v>Ввод 1</v>
      </c>
      <c r="DL310" t="str">
        <f>IF(D310="","",IF(OR(DJ310="ИБП",DJ310="ДГУ"),"I особая",IF(DJ310="Одиночная","III",_xlfn.XLOOKUP(A310,Щиты[Щит],Щиты[Категория шины «Ввод»],"III"))))</f>
        <v>II</v>
      </c>
      <c r="DM310">
        <f>IF(D310="",0,IFERROR(MATCH(DE310,{"III","II","I","I особая"},0),1))</f>
        <v>2</v>
      </c>
      <c r="DN310">
        <f t="shared" si="389"/>
        <v>2</v>
      </c>
      <c r="DO310" t="str">
        <f>IF(D310="","",IF(DM310&gt;IFERROR(MATCH(DL310,{"III","II","I","I особая"},0),1),"НЕ ОБЕСПЕЧЕНА","ОК"))</f>
        <v>ОК</v>
      </c>
      <c r="DP310" t="str">
        <f>IF(A310="","",_xlfn.XLOOKUP(A310,Щиты[Щит],Щиты[Путь],""))</f>
        <v>|ГРЩ-ЖД|ЩР-2|</v>
      </c>
      <c r="DQ310" t="str">
        <f>IF(D310="","",IF(Z310&lt;&gt;"",Z310,IF(IFERROR(_xlfn.XLOOKUP(AT310,Коды_код,Коды_вид)&amp;"","")="","Прочее",_xlfn.XLOOKUP(AT310,Коды_код,Коды_вид)&amp;"")))</f>
        <v>Слаботочные системы, автоматизация, KNX</v>
      </c>
      <c r="DR310">
        <f>IF(BD310="","",INT((BD310-1)/Столбцов_на_лист)+1)</f>
        <v>3</v>
      </c>
      <c r="DS310" t="str">
        <f t="shared" si="390"/>
        <v>ВВГнг(А)-LS (3х2,5) L=38-1,94%</v>
      </c>
      <c r="DT310">
        <f t="shared" si="391"/>
        <v>1.5</v>
      </c>
      <c r="DU310">
        <f t="shared" si="392"/>
        <v>6.84</v>
      </c>
      <c r="DV310">
        <f t="shared" si="393"/>
        <v>1</v>
      </c>
      <c r="DW310">
        <f>IF(AT310="",0,_xlfn.LET(_xlpm.v,IFERROR(VLOOKUP(D310,УГО_спр,3,FALSE),IFERROR(VLOOKUP(AT310,УГО_спр,3,FALSE),IFERROR(VLOOKUP(LEFT(AT310,2),УГО_спр,3,FALSE),""))),IF(_xlpm.v="да",30,IF(ISNUMBER(_xlpm.v),_xlpm.v,0))))</f>
        <v>0</v>
      </c>
      <c r="DX310">
        <f t="shared" si="394"/>
        <v>0</v>
      </c>
      <c r="DY310">
        <f>IF(BD310="","",IF(AD310&lt;&gt;"",COUNTIFS(A$3:A310,A310,AD$3:AD310,"?*"),IF(OR(OR(AS310=1,A310&lt;&gt;A309),AL310="вручную"),"",IF(AS310=1,"",DZ309))))</f>
        <v>27</v>
      </c>
      <c r="DZ310">
        <f t="shared" si="395"/>
        <v>27</v>
      </c>
      <c r="EA310">
        <f>IF(D310="",0,MAX(IFERROR(--X310,0),IFERROR(--VLOOKUP(D310,УГО_спр,4,FALSE),IFERROR(--VLOOKUP(AT310,УГО_спр,4,FALSE),IFERROR(--VLOOKUP(LEFT(AT310,2),УГО_спр,4,FALSE),0)))))</f>
        <v>16</v>
      </c>
      <c r="EB310">
        <f>IF(D310="","",IFERROR(LOOKUP(INDEX(CHOOSE(BR310,Iдоп_1ж,Iдоп_2ж,Iдоп_3ж),MATCH(BS310,Iдоп_S,0))*BP310*BQ310,{6,10,16,20,25,32,40,50,63,80,100,125,160,200,250,315,400,500,630}),""))</f>
        <v>25</v>
      </c>
      <c r="EC310">
        <f>IF(AD310="","",SUMIFS(Линии[_Ток схемы],Линии[_гр.],DY310,Линии[Щит],A310,Линии[_в кабель выше],0))</f>
        <v>6.84</v>
      </c>
      <c r="ED310">
        <f>IF(AD310="","",IFERROR(VLOOKUP(EC310,Автомат_номиналы,2,TRUE),""))</f>
        <v>10</v>
      </c>
      <c r="EE310">
        <f>IF(AD310="","",MAX(N(ED310),_xlfn.MAXIFS(Линии[_мин. по типу],Линии[_гр.],DY310,Линии[Щит],A310)))</f>
        <v>16</v>
      </c>
      <c r="EF310">
        <f>IF(AD310="","",_xlfn.MINIFS(Линии[_макс. автомат по кабелю],Линии[_гр.],DY310,Линии[Щит],A310))</f>
        <v>25</v>
      </c>
      <c r="EG310">
        <f>IF(AD310="","",MAX(1,_xlfn.MAXIFS(Линии[_фаз],Линии[_гр.],DY310,Линии[Щит],A310)))</f>
        <v>1</v>
      </c>
      <c r="EH310">
        <f>IF(AD310="","",IF(AND(AD310&lt;&gt;"авто",AD310&lt;&gt;"+"),IF(ISNUMBER(SEARCH("мА",AD310)),IFERROR(--TRIM(RIGHT(SUBSTITUTE(LEFT(AD310,SEARCH("мА",AD310)-1)," ",REPT(" ",9)),6)),30),0),IF(AE310="нет",0,IF(ISNUMBER(AE310),AE310,IF(AE310="да",30,_xlfn.MINIFS(Линии[_дифзащита по коду, мА],Линии[_гр.],DY310,Линии[Щит],A310,Линии[_дифзащита по коду, мА],"&gt;0"))))))</f>
        <v>0</v>
      </c>
      <c r="EI310">
        <f t="shared" si="396"/>
        <v>0</v>
      </c>
      <c r="EJ310" t="str">
        <f t="shared" si="397"/>
        <v>QF27</v>
      </c>
      <c r="EK310" t="str">
        <f t="shared" si="398"/>
        <v>QF27</v>
      </c>
      <c r="EL310" t="str">
        <f t="shared" si="399"/>
        <v/>
      </c>
      <c r="EM310">
        <f t="shared" si="400"/>
        <v>0</v>
      </c>
      <c r="EN310">
        <f>IF(AD310="","",IF(EM310=1,MAX(EE310,Мин_автомат_БП),EE310))</f>
        <v>16</v>
      </c>
      <c r="EO310" t="str">
        <f t="shared" si="401"/>
        <v>1P</v>
      </c>
      <c r="EP310" t="str">
        <f t="shared" si="402"/>
        <v>1P С16А</v>
      </c>
      <c r="EQ310">
        <f t="shared" si="403"/>
        <v>16</v>
      </c>
      <c r="ER310" t="str">
        <f>IF(OR(AI310="",AI310="-"),"",IFERROR(VLOOKUP(AI310,Модули_спр,2,FALSE),"R"))</f>
        <v/>
      </c>
      <c r="ES310" t="str">
        <f>IF(ER310="","",ER310&amp;"."&amp;COUNTIFS(A$3:A310,A310,ER$3:ER310,ER310))</f>
        <v/>
      </c>
      <c r="ET310" t="str">
        <f t="shared" si="404"/>
        <v/>
      </c>
      <c r="EU310" t="str">
        <f t="shared" si="405"/>
        <v/>
      </c>
      <c r="EV310" t="str">
        <f t="shared" si="406"/>
        <v/>
      </c>
      <c r="EW310" t="str">
        <f t="shared" si="407"/>
        <v/>
      </c>
      <c r="EX310">
        <f t="shared" si="408"/>
        <v>1</v>
      </c>
      <c r="EY310" t="str">
        <f>IF(AK310="нет","",IF(AK310&lt;&gt;"",AK310,IF(EX310=1,"XT"&amp;COUNTIFS(A$3:A310,A310,EX$3:EX310,1),"")))</f>
        <v/>
      </c>
      <c r="EZ310" t="str">
        <f t="shared" si="409"/>
        <v>QF27</v>
      </c>
      <c r="FA310" t="str">
        <f t="shared" si="410"/>
        <v/>
      </c>
      <c r="FB310" t="str">
        <f t="shared" si="411"/>
        <v>ok</v>
      </c>
      <c r="FC310" t="str">
        <f>IF(OR(EV310="",ET310=""),"",IF(EV310&gt;IFERROR(VLOOKUP(EU310,Модули_спр,3,FALSE),99),"ЛИШНИЙ КАНАЛ",IF(AND(AJ310&lt;&gt;"=",COUNTIFS(Линии[_модуль гр.],ET310,Линии[Канал (итог)],EV310,Линии[Канал],"&lt;&gt;=",Линии[Щит],A310)&gt;1),"ДУБЛЬ КАНАЛА","")))</f>
        <v/>
      </c>
      <c r="FD310">
        <f t="shared" si="412"/>
        <v>16</v>
      </c>
      <c r="FE310" t="str">
        <f t="shared" si="413"/>
        <v>1P С16А</v>
      </c>
      <c r="FF310">
        <f t="shared" si="414"/>
        <v>0</v>
      </c>
      <c r="FG310">
        <f t="shared" si="415"/>
        <v>0</v>
      </c>
      <c r="FH310" t="str">
        <f t="shared" si="416"/>
        <v/>
      </c>
      <c r="FI310">
        <f t="shared" si="417"/>
        <v>10</v>
      </c>
      <c r="FJ310" t="str">
        <f t="shared" si="418"/>
        <v/>
      </c>
      <c r="FK310" t="str">
        <f>IF(AND(D310="",EZ310=""),"",_xlfn.TEXTJOIN("; ",TRUE,IF(AND(D310&lt;&gt;"",DD310=""),"нет фазы",""),IF(AND(D310&lt;&gt;"",N(DT310)=0,CN310&lt;&gt;"Нет"),"нет мощности",""),IF(AND(EY310&lt;&gt;"",COUNTIFS(Линии[Щит],A310,Линии[Клемма (итог)],EY310)&gt;1),"дубль клеммы "&amp;EY310,""),IF(AND(FB310&lt;&gt;"",FB310&lt;&gt;"ok"),FB310,""),IF(FC310&lt;&gt;"",FC310,""),IF(AND(ISNUMBER(SEARCH("(5х",DS310)),N(DV310)=1),"5 жил на 1 фазе",""),IF(AND(AT310="R",AD310&lt;&gt;"",OR(N(EH310)=0,N(EH310)&gt;30)),"розетка без дифзащиты до 30 мА",""),IFERROR(IF(AND(ISNUMBER(CD310),CD310&gt;CE310),"потери "&amp;FIXED(CD310,1)&amp;" % &gt; "&amp;CE310&amp;" %",""),""),IFERROR(IF(LEFT(FJ310,4)="мало","Iкз мало — отключение &gt; 0,4 с",""),""),IF(AND(D310&lt;&gt;"",BD310=""),"не на схеме","")))</f>
        <v/>
      </c>
      <c r="FL310">
        <f>IF(AD310="","",_xlfn.LET(_xlpm.t,IFERROR(_xlfn.XLOOKUP(EP310,Каталог!$U$4:$U$500,Каталог!$G$4:$G$500),""),_xlpm.k,SEARCH("кА",_xlpm.t),IFERROR(--TRIM(RIGHT(SUBSTITUTE(MID(_xlpm.t,MAX(1,_xlpm.k-4),_xlpm.k-MAX(1,_xlpm.k-4))," ",REPT(" ",9)),5)),"")))</f>
        <v>6</v>
      </c>
      <c r="FM310" t="str">
        <f>IF(OR(FL310="",AD310=""),"",IF(_xlfn.XLOOKUP(A310,Щиты[Щит],Щиты[Iкз max на шинах, кА],"")="","",IF(FL310&lt;_xlfn.XLOOKUP(A310,Щиты[Щит],Щиты[Iкз max на шинах, кА]),"Icu "&amp;FL310&amp;" кА &lt; Iкз max","ok")))</f>
        <v/>
      </c>
      <c r="FN310" t="str">
        <f t="shared" si="419"/>
        <v>QF27</v>
      </c>
      <c r="FO310" t="str">
        <f t="shared" si="420"/>
        <v>QF27|кабель ВВГнг(А)-LS (3х2,5) → Шкаф телекоммуникационный ШТК-2  Тех. Этаж Пом №004T</v>
      </c>
      <c r="FP310" t="str" cm="1">
        <f t="array" ref="FP310">IF(FO310="","",_xlfn.LET(_xlpm.nd,_xlfn.TEXTSPLIT(FO310,"|"),IF(COLUMNS(_xlpm.nd)&gt;1,A310&amp;"¦"&amp;INDEX(_xlpm.nd,1)&amp;"¦"&amp;INDEX(_xlpm.nd,2),"")))</f>
        <v>ЩР-2¦QF27¦кабель ВВГнг(А)-LS (3х2,5) → Шкаф телекоммуникационный ШТК-2  Тех. Этаж Пом №004T</v>
      </c>
      <c r="FQ310" t="str">
        <f t="shared" si="421"/>
        <v>ШТК-2¦Шкаф телекоммуникационный ШТК-2  Тех. Этаж Пом №004T</v>
      </c>
      <c r="FR310" t="str" cm="1">
        <f t="array" ref="FR310">IF(FO310="","",_xlfn.LET(_xlpm.nd,_xlfn.TEXTSPLIT(FO310,"|"),IF(COLUMNS(_xlpm.nd)&gt;2,A310&amp;"¦"&amp;INDEX(_xlpm.nd,2)&amp;"¦"&amp;INDEX(_xlpm.nd,3),"")))</f>
        <v/>
      </c>
      <c r="FS310" t="str">
        <f t="shared" si="422"/>
        <v/>
      </c>
      <c r="FT310" t="str" cm="1">
        <f t="array" ref="FT310">IF(FO310="","",_xlfn.LET(_xlpm.nd,_xlfn.TEXTSPLIT(FO310,"|"),IF(COLUMNS(_xlpm.nd)&gt;3,A310&amp;"¦"&amp;INDEX(_xlpm.nd,3)&amp;"¦"&amp;INDEX(_xlpm.nd,4),"")))</f>
        <v/>
      </c>
      <c r="FU310" t="str">
        <f t="shared" si="423"/>
        <v/>
      </c>
      <c r="FV310" t="str" cm="1">
        <f t="array" ref="FV310">IF(FO310="","",_xlfn.LET(_xlpm.nd,_xlfn.TEXTSPLIT(FO310,"|"),IF(COLUMNS(_xlpm.nd)&gt;4,A310&amp;"¦"&amp;INDEX(_xlpm.nd,4)&amp;"¦"&amp;INDEX(_xlpm.nd,5),"")))</f>
        <v/>
      </c>
      <c r="FW310" t="str">
        <f t="shared" si="424"/>
        <v/>
      </c>
      <c r="FX310" t="str" cm="1">
        <f t="array" ref="FX310">IF(FO310="","",_xlfn.LET(_xlpm.nd,_xlfn.TEXTSPLIT(FO310,"|"),IF(COLUMNS(_xlpm.nd)&gt;5,A310&amp;"¦"&amp;INDEX(_xlpm.nd,5)&amp;"¦"&amp;INDEX(_xlpm.nd,6),"")))</f>
        <v/>
      </c>
      <c r="FY310" t="str">
        <f t="shared" si="425"/>
        <v/>
      </c>
      <c r="FZ310" t="str" cm="1">
        <f t="array" ref="FZ310">IF(FO310="","",_xlfn.LET(_xlpm.nd,_xlfn.TEXTSPLIT(FO310,"|"),IF(COLUMNS(_xlpm.nd)&gt;6,A310&amp;"¦"&amp;INDEX(_xlpm.nd,6)&amp;"¦"&amp;INDEX(_xlpm.nd,7),"")))</f>
        <v/>
      </c>
      <c r="GA310" t="str">
        <f t="shared" si="426"/>
        <v/>
      </c>
      <c r="GB310" t="str">
        <f t="shared" si="427"/>
        <v/>
      </c>
      <c r="GC310" t="str">
        <f t="shared" si="428"/>
        <v>QF27</v>
      </c>
      <c r="GD310">
        <f t="shared" si="429"/>
        <v>1</v>
      </c>
      <c r="GE310">
        <f t="shared" si="430"/>
        <v>0</v>
      </c>
      <c r="GF310">
        <f t="shared" si="431"/>
        <v>0</v>
      </c>
      <c r="GG310" t="str">
        <f t="shared" si="432"/>
        <v/>
      </c>
      <c r="GH310" t="str">
        <f t="shared" si="433"/>
        <v/>
      </c>
      <c r="GI310" t="str">
        <f t="shared" si="434"/>
        <v/>
      </c>
      <c r="GJ310" t="str">
        <f t="shared" si="435"/>
        <v/>
      </c>
      <c r="GK310" t="str">
        <f>IF(D310="","",IFERROR(VLOOKUP(D310,УГО_спр,2,FALSE),IFERROR(VLOOKUP(AT310,УГО_спр,2,FALSE),IFERROR(VLOOKUP(LEFT(AT310,2),УГО_спр,2,FALSE),""))))</f>
        <v/>
      </c>
      <c r="GL310" t="str">
        <f>IF(D310="","",IF(OR(GK310="",GK310=0),"BOX",IFERROR(IF(VLOOKUP(GK310,УГО_блоки,3,FALSE)&amp;""&lt;&gt;"",VLOOKUP(GK310,УГО_блоки,3,FALSE),VLOOKUP(GK310,УГО_блоки,2,FALSE)),GK310)))</f>
        <v>BOX</v>
      </c>
      <c r="GM310">
        <f t="shared" si="436"/>
        <v>1</v>
      </c>
      <c r="GN310" t="str">
        <f>IF(EP310="","",IF(COUNTIF(EP$3:EP310,EP310)=1,MAX(GN$2:GN309)+1,""))</f>
        <v/>
      </c>
      <c r="GO310" t="str">
        <f>IF(AF310="","",IF(COUNTIF(AF$3:AF310,AF310)+COUNTIF(AG$2:AG309,AF310)+COUNTIF(AH$2:AH309,AF310)=1,MAX(GO$2:GQ309)+1,""))</f>
        <v/>
      </c>
      <c r="GP310" t="str">
        <f>IF(AG310="","",IF(COUNTIF(AF$3:AF310,AG310)+COUNTIF(AG$3:AG310,AG310)+COUNTIF(AH$2:AH309,AG310)=1,MAX(GO$2:GQ309,GO310)+1,""))</f>
        <v/>
      </c>
      <c r="GQ310" t="str">
        <f>IF(AH310="","",IF(COUNTIF(AF$3:AF310,AH310)+COUNTIF(AG$3:AG310,AH310)+COUNTIF(AH$3:AH310,AH310)=1,MAX(GO$2:GQ309,GO310,GP310)+1,""))</f>
        <v/>
      </c>
      <c r="GR310" t="str">
        <f t="shared" si="437"/>
        <v>3х2,5</v>
      </c>
      <c r="GS310" t="str">
        <f>IF(GR310="","",IF(COUNTIF(GR$3:GR310,GR310)=1,MAX(GS$2:GS309)+1,""))</f>
        <v/>
      </c>
      <c r="GT310" t="str">
        <f>IF(ES310="","",COUNTIF(ES$3:ES310,"?*"))</f>
        <v/>
      </c>
      <c r="GU310" t="str">
        <f>IF(OR(ES310="",EU310=""),"",IF(COUNTIFS(ES$3:ES310,"?*",EU$3:EU310,EU310)=1,MAX(GU$2:GU309)+1,""))</f>
        <v/>
      </c>
      <c r="GV310">
        <f t="shared" si="438"/>
        <v>0</v>
      </c>
      <c r="GW310">
        <f>IF(D310="","",COUNTIF(D$3:D310,"?*"))</f>
        <v>308</v>
      </c>
      <c r="GX310">
        <f>IF(EX310&lt;&gt;1,0,_xlfn.LET(_xlpm.k,MAX(IFERROR(--VLOOKUP(D310,УГО_спр,5,FALSE),0),IFERROR(--VLOOKUP(AT310,УГО_спр,5,FALSE),0),IFERROR(--VLOOKUP(LEFT(AT310,2),УГО_спр,5,FALSE),0)),IF(_xlpm.k&gt;0,_xlpm.k,IF(IFERROR(--LEFT(SUBSTITUTE(GR310,"x","х"),FIND("х",SUBSTITUTE(GR310,"x","х"))-1),3)&gt;3,Каталог!$S$9,1))))</f>
        <v>1</v>
      </c>
      <c r="GY310">
        <f t="shared" si="439"/>
        <v>0</v>
      </c>
    </row>
    <row r="311" spans="1:207" x14ac:dyDescent="0.3">
      <c r="A311" t="s">
        <v>764</v>
      </c>
      <c r="B311">
        <v>41</v>
      </c>
      <c r="C311" t="str">
        <f>IF(BD311="","",IF(BE311="вводной узел","узел ","")&amp;"л."&amp;(INT((BD311-1)/Столбцов_на_лист)+1)&amp;" / "&amp;(MOD(BD311-1,Столбцов_на_лист)+1))</f>
        <v>л.3 / 7</v>
      </c>
      <c r="D311" t="s">
        <v>1646</v>
      </c>
      <c r="E311" s="133" t="s">
        <v>1645</v>
      </c>
      <c r="G311">
        <v>2.7</v>
      </c>
      <c r="H311">
        <v>1</v>
      </c>
      <c r="I311">
        <v>1</v>
      </c>
      <c r="J311">
        <v>230</v>
      </c>
      <c r="K311" t="s">
        <v>577</v>
      </c>
      <c r="O311">
        <v>1</v>
      </c>
      <c r="P311">
        <v>36</v>
      </c>
      <c r="R311">
        <v>33</v>
      </c>
      <c r="T311">
        <v>1</v>
      </c>
      <c r="U311" t="s">
        <v>11</v>
      </c>
      <c r="V311">
        <v>3</v>
      </c>
      <c r="W311">
        <v>2.5</v>
      </c>
      <c r="X311">
        <v>16</v>
      </c>
      <c r="Z311" t="s">
        <v>576</v>
      </c>
      <c r="AA311" t="s">
        <v>818</v>
      </c>
      <c r="AD311" t="s">
        <v>517</v>
      </c>
      <c r="AK311" t="s">
        <v>488</v>
      </c>
      <c r="AR311" t="str">
        <f t="shared" si="353"/>
        <v>потери 5,4 % &gt; 4 %</v>
      </c>
      <c r="AS311" cm="1">
        <f t="array" ref="AS311">ROW()-ROW(Линии[#Headers])</f>
        <v>309</v>
      </c>
      <c r="AT311" t="str">
        <f t="shared" si="354"/>
        <v>ШТК-ЛВС</v>
      </c>
      <c r="AU311" t="str">
        <f t="shared" si="355"/>
        <v>3</v>
      </c>
      <c r="AV311" t="str">
        <f t="shared" si="356"/>
        <v>3</v>
      </c>
      <c r="AW311" t="str">
        <f t="shared" si="357"/>
        <v/>
      </c>
      <c r="AX311" t="str">
        <f t="shared" si="358"/>
        <v/>
      </c>
      <c r="AY311" t="str">
        <f>IF(D311="","",IF(ISERROR(SEARCH(".",D311)),IFERROR(VLOOKUP(D311,Потребители_обозначение,2,FALSE)&amp;"",""),IFERROR(IF(VLOOKUP(AT311,Потребители_обозначение,4,FALSE)=1,VLOOKUP(AT311,Потребители_обозначение,2,FALSE)&amp;" "&amp;VLOOKUP(AV311,Этаж_обозначение,2,FALSE)&amp;" Пом. №"&amp;AX311,VLOOKUP(AT311,Потребители_обозначение,2,FALSE)&amp;" Шлейф №"&amp;AV311),IFERROR(VLOOKUP(D311,Потребители_обозначение,2,FALSE),""))))</f>
        <v>Шкаф телекоммуникационный ЛВС Шлейф №3</v>
      </c>
      <c r="AZ311" t="str">
        <f t="shared" si="359"/>
        <v>Шкаф телекоммуникационный ШТК-2  Тех. Этаж Пом №004T</v>
      </c>
      <c r="BA311" t="str">
        <f>IF(F311&lt;&gt;"",F311,IF(AND(D311&lt;&gt;"",D311&lt;&gt;A311,ISNUMBER(_xlfn.XMATCH(D311,Щиты[Щит]))),D311,""))</f>
        <v/>
      </c>
      <c r="BB311">
        <f>IFERROR(_xlfn.XMATCH(A311,Щиты[Щит]),0)</f>
        <v>11</v>
      </c>
      <c r="BC311">
        <f>IFERROR(N(_xlfn.XLOOKUP(A311,Щиты[Щит],Щиты[Мест под вводной узел])),15)</f>
        <v>8</v>
      </c>
      <c r="BD311">
        <f t="shared" si="360"/>
        <v>41</v>
      </c>
      <c r="BE311" t="str">
        <f t="shared" si="361"/>
        <v>линии</v>
      </c>
      <c r="BF311">
        <f>IF(D311="","",IF(BA311&lt;&gt;"",IFERROR(_xlfn.XLOOKUP(BA311,Щиты[Щит],Щиты[Руст, кВт]),0),N(G311)))</f>
        <v>2.7</v>
      </c>
      <c r="BG311">
        <f>IF(J311&lt;&gt;"",J311,IF(D311="","",IFERROR(IF(VLOOKUP(AT311,Потребители_обозначение,8,FALSE)=0,"",VLOOKUP(AT311,Потребители_обозначение,8,FALSE)),"")))</f>
        <v>230</v>
      </c>
      <c r="BH311">
        <f>IF(I311&lt;&gt;"",I311,IF(D311="","",IFERROR(IF(VLOOKUP(AT311,Потребители_обозначение,9,FALSE)=0,"",VLOOKUP(AT311,Потребители_обозначение,9,FALSE)),"")))</f>
        <v>1</v>
      </c>
      <c r="BI311" t="str">
        <f>IF(U311&lt;&gt;"",U311,IF(D311="","",IFERROR(IF(VLOOKUP(AT311,Потребители_обозначение,6,FALSE)=0,"",VLOOKUP(AT311,Потребители_обозначение,6,FALSE)),"")))</f>
        <v>мс</v>
      </c>
      <c r="BJ311">
        <f>IF(V311&lt;&gt;"",V311,IF(D311="","",IFERROR(IF(VLOOKUP(AT311,Потребители_обозначение,7,FALSE)=0,"",VLOOKUP(AT311,Потребители_обозначение,7,FALSE)),"")))</f>
        <v>3</v>
      </c>
      <c r="BK311">
        <f>IF(W311&lt;&gt;"",W311,IF(D311="","",IFERROR(IF(VLOOKUP(AT311,Потребители_обозначение,10,FALSE)=0,"",VLOOKUP(AT311,Потребители_обозначение,10,FALSE)),"")))</f>
        <v>2.5</v>
      </c>
      <c r="BL311">
        <f>IFERROR(VLOOKUP(AT311,Потребители_обозначение,5,FALSE),0)</f>
        <v>1</v>
      </c>
      <c r="BM311" cm="1">
        <f t="array" ref="BM311">IF(D311="","",IF(BA311&lt;&gt;"",IFERROR(_xlfn.XLOOKUP(BA311,Щиты[Щит],Щиты[cos φ]),0.95),IF(ISNUMBER(M311),M311,IFERROR(IF(BL311=2,_xlfn.IFS(BH311=3,VLOOKUP(BF311,Справочная_двигатели,8,FALSE),BH311=1,VLOOKUP(BF311,Справочная_двигатели,10,TRUE)),IF(AND(Методика="нормы 2026",CN311="Сил"),0.8,0.95)),0.95))))</f>
        <v>0.95</v>
      </c>
      <c r="BN311" cm="1">
        <f t="array" ref="BN311">IF(D311="","",IF(BA311&lt;&gt;"",IFERROR(_xlfn.XLOOKUP(BA311,Щиты[Щит],Щиты[Iр, А]),""),IFERROR(_xlfn.IFS(BH311=1,BF311/((Uн_лин/SQRT(3))*BM311),BH311=3,BF311/(SQRT(3)*Uн_лин*BM311)),"")))</f>
        <v>12.306676790620971</v>
      </c>
      <c r="BO311">
        <f>IF(D311="","",IF(N(X311)=0,IFERROR(VLOOKUP(BN311,Автомат_номиналы,2,TRUE),""),X311))</f>
        <v>16</v>
      </c>
      <c r="BP311">
        <f t="shared" si="362"/>
        <v>1</v>
      </c>
      <c r="BQ311">
        <f>IF(ISNUMBER(Y311),Y311,К_прокл)</f>
        <v>1</v>
      </c>
      <c r="BR311">
        <f t="shared" si="363"/>
        <v>2</v>
      </c>
      <c r="BS311" cm="1">
        <f t="array" ref="BS311">IF(D311="","",IF(N(BK311)&lt;&gt;0,BK311,IFERROR(_xlfn.LET(_xlpm.need,BO311/(BP311*BQ311),_xlpm.t,CHOOSE(BR311,Iдоп_1ж,Iдоп_2ж,Iдоп_3ж),_xlpm.k,_xlfn.XMATCH(_xlpm.need,_xlpm.t,1),IF(ISNA(_xlpm.k),"Не исп",INDEX(Iдоп_S,_xlpm.k))),"Не исп")))</f>
        <v>2.5</v>
      </c>
      <c r="BT311">
        <f>IFERROR(VLOOKUP(BS311,Кабель_сопротивление,3,FALSE),"")</f>
        <v>2.2499999999999999E-2</v>
      </c>
      <c r="BU311">
        <f>IFERROR(VLOOKUP(BS311,Кабель_сопротивление,2,FALSE),"")</f>
        <v>0.1</v>
      </c>
      <c r="BV311">
        <f t="shared" si="364"/>
        <v>36</v>
      </c>
      <c r="BW311">
        <f>IF(D311="","",IFERROR(IF(VLOOKUP(AT311,Потребители_обозначение,4,FALSE)=1,VLOOKUP(AT311,Потребители_обозначение,3,FALSE)*(H311*2-1)+BV311+VLOOKUP(AV311,Этаж_обозначение,3,FALSE)+VLOOKUP(AV311,Этаж_обозначение,4,FALSE),VLOOKUP(AT311,Потребители_обозначение,3,FALSE)*(H311*2-1)+BV311),BV311))</f>
        <v>39</v>
      </c>
      <c r="BX311">
        <f t="shared" si="365"/>
        <v>33</v>
      </c>
      <c r="BY311">
        <f t="shared" si="366"/>
        <v>0</v>
      </c>
      <c r="BZ311">
        <f t="shared" si="367"/>
        <v>2</v>
      </c>
      <c r="CA311">
        <f t="shared" si="368"/>
        <v>0.31</v>
      </c>
      <c r="CB311">
        <f t="shared" si="369"/>
        <v>8.2370802961448462</v>
      </c>
      <c r="CC311">
        <f>IFERROR(ROUNDUP(CB311/((Uн_лин/SQRT(3))*1000)*100,2),"")</f>
        <v>3.57</v>
      </c>
      <c r="CD311">
        <f>IF(ISNUMBER(CC311),CC311+IFERROR(_xlfn.XLOOKUP(A311,Щиты[Щит],Щиты[ΔU до шин, %]),0),"")</f>
        <v>5.3599999999999994</v>
      </c>
      <c r="CE311">
        <f>IF(D311="","",IF(IFERROR(VLOOKUP(AT311,УГО_спр,2,FALSE),"")="Светильник",3,4)+IF(Методика="нормы 2026",MIN(0.5,MAX(0,N(BW311)-100)*0.005),0))</f>
        <v>4</v>
      </c>
      <c r="CF311" t="str">
        <f>IFERROR(VLOOKUP(BI311,Кабель_обозначение,2,FALSE),"")</f>
        <v>ВВГнг(А)-LS</v>
      </c>
      <c r="CG311" t="str">
        <f>IFERROR(IF(VLOOKUP(BI311,Кабель_обозначение,3,FALSE)=1,CF311&amp;" ("&amp;BJ311&amp;"х"&amp;BS311&amp;")",CF311),"")</f>
        <v>ВВГнг(А)-LS (3х2,5)</v>
      </c>
      <c r="CH311" t="str">
        <f t="shared" si="370"/>
        <v>ВВГнг(А)-LS (3х2,5)
L=39-3,57%</v>
      </c>
      <c r="CI311">
        <f>IFERROR(2*ρкз_Cu*BW311/BS311,"")</f>
        <v>0.82056000000000007</v>
      </c>
      <c r="CJ311">
        <f t="shared" si="371"/>
        <v>0.27300000000000002</v>
      </c>
      <c r="CK311" t="str">
        <f>IFERROR(IF(OR(D311="",NOT(ISNUMBER(BS311)),N(BW311)=0),"",_xlfn.XLOOKUP(A311,Щиты[Щит],Щиты[Zпетли на шинах, Ом])+CI311),"")</f>
        <v/>
      </c>
      <c r="CL311" t="str">
        <f>IF(ISNUMBER(CK311),c_min*(Uн_лин*1000/SQRT(3))/CK311,"")</f>
        <v/>
      </c>
      <c r="CM311" t="str">
        <f>IFERROR(IF(OR(D311="",NOT(ISNUMBER(BS311))),"",1.05*(Uн_лин*1000/SQRT(3))/(_xlfn.XLOOKUP(A311,Щиты[Щит],Щиты[Zmax на шинах, Ом])+CJ311)/1000),"")</f>
        <v/>
      </c>
      <c r="CN311" t="str">
        <f>IF(D311="","",IF(BA311&lt;&gt;"","Щит",IF(K311&lt;&gt;"",K311,IF(ISNUMBER(L311),"Сил",IF(IFERROR(_xlfn.XLOOKUP(AT311,Коды_код,Коды_группа)&amp;"","")="","Быт",_xlfn.XLOOKUP(AT311,Коды_код,Коды_группа)&amp;"")))))</f>
        <v>Пост</v>
      </c>
      <c r="CO311">
        <f>IF(CN311="Щит","щит",IF(CN311="","",IF(CN311="Быт",IFERROR(_xlfn.XLOOKUP(A311,Щиты[Щит],Щиты[Кс быт]),1),IF(CN311="Сил",IF(ISNUMBER(L311),L311,IF(Методика="нормы 2026",IFERROR(_xlfn.XLOOKUP(A311,Щиты[Щит],Щиты[Кс силовых (табл. 7.5)]),1),1)),IF(OR(CN311="Пост",CN311="Отоп"),1,IF(CN311="ВНГ",0.7,0))))))</f>
        <v>1</v>
      </c>
      <c r="CP311">
        <f t="shared" si="372"/>
        <v>1</v>
      </c>
      <c r="CQ311">
        <f t="shared" si="373"/>
        <v>2.7</v>
      </c>
      <c r="CR311">
        <f t="shared" si="374"/>
        <v>0</v>
      </c>
      <c r="CS311">
        <f t="shared" si="375"/>
        <v>0</v>
      </c>
      <c r="CT311">
        <f t="shared" si="376"/>
        <v>2.7</v>
      </c>
      <c r="CU311">
        <f t="shared" si="377"/>
        <v>0</v>
      </c>
      <c r="CV311">
        <f t="shared" si="378"/>
        <v>0</v>
      </c>
      <c r="CW311">
        <f t="shared" si="379"/>
        <v>2.7</v>
      </c>
      <c r="CX311">
        <f t="shared" si="380"/>
        <v>2.5649999999999999</v>
      </c>
      <c r="CY311">
        <f t="shared" si="381"/>
        <v>2</v>
      </c>
      <c r="CZ311" t="str">
        <f t="shared" si="382"/>
        <v>L2</v>
      </c>
      <c r="DA311" cm="1">
        <f t="array" ref="DA311">IFERROR(IF(BL311=2,_xlfn.IFS(BH311=3,VLOOKUP(BF311,Справочная_двигатели,3,FALSE),BH311=1,VLOOKUP(BF311,Справочная_двигатели,5,TRUE)),0),0)</f>
        <v>0</v>
      </c>
      <c r="DB311">
        <f>IFERROR(IF(BL311=3,VLOOKUP(BF311,Справочная_ЛЭД,2,TRUE),0),0)</f>
        <v>0</v>
      </c>
      <c r="DC311">
        <f t="shared" si="383"/>
        <v>0</v>
      </c>
      <c r="DD311" t="str">
        <f t="shared" si="384"/>
        <v>L1</v>
      </c>
      <c r="DE311" t="str" cm="1">
        <f t="array" ref="DE311">IF(D311="","",IFERROR(INDEX({"I особая","I","II","III"},MATCH(TRIM(AA311&amp;""),{"I особая","I","II","III"},0)),"III"))</f>
        <v>II</v>
      </c>
      <c r="DF311" t="str">
        <f>IF(D311="","",IF(TRIM(AB311&amp;"")&lt;&gt;"",IF(LOWER(TRIM(AB311&amp;""))="да","да","нет"),IF(IFERROR(_xlfn.XLOOKUP(AT311,Коды_код,Коды_пожарная),"")="да","да","нет")))</f>
        <v>нет</v>
      </c>
      <c r="DG311" t="str">
        <f t="shared" si="385"/>
        <v/>
      </c>
      <c r="DH311" t="str">
        <f t="shared" si="386"/>
        <v>основная</v>
      </c>
      <c r="DI311">
        <f t="shared" si="387"/>
        <v>1</v>
      </c>
      <c r="DJ311" t="str" cm="1">
        <f t="array" ref="DJ311">IF(D311="","",_xlfn.LET(_xlpm.t,IFERROR(_xlfn.XLOOKUP(1,(Шины[Шина]=DH311)*(((Шины[Щит]=A311)+(Шины[Щит]=""))&gt;0),Шины[Тип]),"")&amp;"",IF(_xlpm.t&lt;&gt;"",_xlpm.t,IF(ISNUMBER(SEARCH("ИБП",DH311)),"ИБП",IF(ISNUMBER(SEARCH("ДГУ",DH311)),"ДГУ","Ввод "&amp;DI311)))))</f>
        <v>Ввод 1</v>
      </c>
      <c r="DK311" t="str">
        <f t="shared" si="388"/>
        <v>Ввод 1</v>
      </c>
      <c r="DL311" t="str">
        <f>IF(D311="","",IF(OR(DJ311="ИБП",DJ311="ДГУ"),"I особая",IF(DJ311="Одиночная","III",_xlfn.XLOOKUP(A311,Щиты[Щит],Щиты[Категория шины «Ввод»],"III"))))</f>
        <v>II</v>
      </c>
      <c r="DM311">
        <f>IF(D311="",0,IFERROR(MATCH(DE311,{"III","II","I","I особая"},0),1))</f>
        <v>2</v>
      </c>
      <c r="DN311">
        <f t="shared" si="389"/>
        <v>2</v>
      </c>
      <c r="DO311" t="str">
        <f>IF(D311="","",IF(DM311&gt;IFERROR(MATCH(DL311,{"III","II","I","I особая"},0),1),"НЕ ОБЕСПЕЧЕНА","ОК"))</f>
        <v>ОК</v>
      </c>
      <c r="DP311" t="str">
        <f>IF(A311="","",_xlfn.XLOOKUP(A311,Щиты[Щит],Щиты[Путь],""))</f>
        <v>|ГРЩ-ЖД|ЩР-2|</v>
      </c>
      <c r="DQ311" t="str">
        <f>IF(D311="","",IF(Z311&lt;&gt;"",Z311,IF(IFERROR(_xlfn.XLOOKUP(AT311,Коды_код,Коды_вид)&amp;"","")="","Прочее",_xlfn.XLOOKUP(AT311,Коды_код,Коды_вид)&amp;"")))</f>
        <v>Слаботочные системы, автоматизация, KNX</v>
      </c>
      <c r="DR311">
        <f>IF(BD311="","",INT((BD311-1)/Столбцов_на_лист)+1)</f>
        <v>3</v>
      </c>
      <c r="DS311" t="str">
        <f t="shared" si="390"/>
        <v>ВВГнг(А)-LS (3х2,5) L=39-3,57%</v>
      </c>
      <c r="DT311">
        <f t="shared" si="391"/>
        <v>2.7</v>
      </c>
      <c r="DU311">
        <f t="shared" si="392"/>
        <v>12.31</v>
      </c>
      <c r="DV311">
        <f t="shared" si="393"/>
        <v>1</v>
      </c>
      <c r="DW311">
        <f>IF(AT311="",0,_xlfn.LET(_xlpm.v,IFERROR(VLOOKUP(D311,УГО_спр,3,FALSE),IFERROR(VLOOKUP(AT311,УГО_спр,3,FALSE),IFERROR(VLOOKUP(LEFT(AT311,2),УГО_спр,3,FALSE),""))),IF(_xlpm.v="да",30,IF(ISNUMBER(_xlpm.v),_xlpm.v,0))))</f>
        <v>0</v>
      </c>
      <c r="DX311">
        <f t="shared" si="394"/>
        <v>0</v>
      </c>
      <c r="DY311">
        <f>IF(BD311="","",IF(AD311&lt;&gt;"",COUNTIFS(A$3:A311,A311,AD$3:AD311,"?*"),IF(OR(OR(AS311=1,A311&lt;&gt;A310),AL311="вручную"),"",IF(AS311=1,"",DZ310))))</f>
        <v>28</v>
      </c>
      <c r="DZ311">
        <f t="shared" si="395"/>
        <v>28</v>
      </c>
      <c r="EA311">
        <f>IF(D311="",0,MAX(IFERROR(--X311,0),IFERROR(--VLOOKUP(D311,УГО_спр,4,FALSE),IFERROR(--VLOOKUP(AT311,УГО_спр,4,FALSE),IFERROR(--VLOOKUP(LEFT(AT311,2),УГО_спр,4,FALSE),0)))))</f>
        <v>16</v>
      </c>
      <c r="EB311">
        <f>IF(D311="","",IFERROR(LOOKUP(INDEX(CHOOSE(BR311,Iдоп_1ж,Iдоп_2ж,Iдоп_3ж),MATCH(BS311,Iдоп_S,0))*BP311*BQ311,{6,10,16,20,25,32,40,50,63,80,100,125,160,200,250,315,400,500,630}),""))</f>
        <v>25</v>
      </c>
      <c r="EC311">
        <f>IF(AD311="","",SUMIFS(Линии[_Ток схемы],Линии[_гр.],DY311,Линии[Щит],A311,Линии[_в кабель выше],0))</f>
        <v>12.31</v>
      </c>
      <c r="ED311">
        <f>IF(AD311="","",IFERROR(VLOOKUP(EC311,Автомат_номиналы,2,TRUE),""))</f>
        <v>16</v>
      </c>
      <c r="EE311">
        <f>IF(AD311="","",MAX(N(ED311),_xlfn.MAXIFS(Линии[_мин. по типу],Линии[_гр.],DY311,Линии[Щит],A311)))</f>
        <v>16</v>
      </c>
      <c r="EF311">
        <f>IF(AD311="","",_xlfn.MINIFS(Линии[_макс. автомат по кабелю],Линии[_гр.],DY311,Линии[Щит],A311))</f>
        <v>25</v>
      </c>
      <c r="EG311">
        <f>IF(AD311="","",MAX(1,_xlfn.MAXIFS(Линии[_фаз],Линии[_гр.],DY311,Линии[Щит],A311)))</f>
        <v>1</v>
      </c>
      <c r="EH311">
        <f>IF(AD311="","",IF(AND(AD311&lt;&gt;"авто",AD311&lt;&gt;"+"),IF(ISNUMBER(SEARCH("мА",AD311)),IFERROR(--TRIM(RIGHT(SUBSTITUTE(LEFT(AD311,SEARCH("мА",AD311)-1)," ",REPT(" ",9)),6)),30),0),IF(AE311="нет",0,IF(ISNUMBER(AE311),AE311,IF(AE311="да",30,_xlfn.MINIFS(Линии[_дифзащита по коду, мА],Линии[_гр.],DY311,Линии[Щит],A311,Линии[_дифзащита по коду, мА],"&gt;0"))))))</f>
        <v>0</v>
      </c>
      <c r="EI311">
        <f t="shared" si="396"/>
        <v>0</v>
      </c>
      <c r="EJ311" t="str">
        <f t="shared" si="397"/>
        <v>QF28</v>
      </c>
      <c r="EK311" t="str">
        <f t="shared" si="398"/>
        <v>QF28</v>
      </c>
      <c r="EL311" t="str">
        <f t="shared" si="399"/>
        <v/>
      </c>
      <c r="EM311">
        <f t="shared" si="400"/>
        <v>0</v>
      </c>
      <c r="EN311">
        <f>IF(AD311="","",IF(EM311=1,MAX(EE311,Мин_автомат_БП),EE311))</f>
        <v>16</v>
      </c>
      <c r="EO311" t="str">
        <f t="shared" si="401"/>
        <v>1P</v>
      </c>
      <c r="EP311" t="str">
        <f t="shared" si="402"/>
        <v>1P С16А</v>
      </c>
      <c r="EQ311">
        <f t="shared" si="403"/>
        <v>16</v>
      </c>
      <c r="ER311" t="str">
        <f>IF(OR(AI311="",AI311="-"),"",IFERROR(VLOOKUP(AI311,Модули_спр,2,FALSE),"R"))</f>
        <v/>
      </c>
      <c r="ES311" t="str">
        <f>IF(ER311="","",ER311&amp;"."&amp;COUNTIFS(A$3:A311,A311,ER$3:ER311,ER311))</f>
        <v/>
      </c>
      <c r="ET311" t="str">
        <f t="shared" si="404"/>
        <v/>
      </c>
      <c r="EU311" t="str">
        <f t="shared" si="405"/>
        <v/>
      </c>
      <c r="EV311" t="str">
        <f t="shared" si="406"/>
        <v/>
      </c>
      <c r="EW311" t="str">
        <f t="shared" si="407"/>
        <v/>
      </c>
      <c r="EX311">
        <f t="shared" si="408"/>
        <v>1</v>
      </c>
      <c r="EY311" t="str">
        <f>IF(AK311="нет","",IF(AK311&lt;&gt;"",AK311,IF(EX311=1,"XT"&amp;COUNTIFS(A$3:A311,A311,EX$3:EX311,1),"")))</f>
        <v/>
      </c>
      <c r="EZ311" t="str">
        <f t="shared" si="409"/>
        <v>QF28</v>
      </c>
      <c r="FA311" t="str">
        <f t="shared" si="410"/>
        <v/>
      </c>
      <c r="FB311" t="str">
        <f t="shared" si="411"/>
        <v>ok</v>
      </c>
      <c r="FC311" t="str">
        <f>IF(OR(EV311="",ET311=""),"",IF(EV311&gt;IFERROR(VLOOKUP(EU311,Модули_спр,3,FALSE),99),"ЛИШНИЙ КАНАЛ",IF(AND(AJ311&lt;&gt;"=",COUNTIFS(Линии[_модуль гр.],ET311,Линии[Канал (итог)],EV311,Линии[Канал],"&lt;&gt;=",Линии[Щит],A311)&gt;1),"ДУБЛЬ КАНАЛА","")))</f>
        <v/>
      </c>
      <c r="FD311">
        <f t="shared" si="412"/>
        <v>16</v>
      </c>
      <c r="FE311" t="str">
        <f t="shared" si="413"/>
        <v>1P С16А</v>
      </c>
      <c r="FF311">
        <f t="shared" si="414"/>
        <v>0</v>
      </c>
      <c r="FG311">
        <f t="shared" si="415"/>
        <v>0</v>
      </c>
      <c r="FH311" t="str">
        <f t="shared" si="416"/>
        <v/>
      </c>
      <c r="FI311">
        <f t="shared" si="417"/>
        <v>10</v>
      </c>
      <c r="FJ311" t="str">
        <f t="shared" si="418"/>
        <v/>
      </c>
      <c r="FK311" t="str">
        <f>IF(AND(D311="",EZ311=""),"",_xlfn.TEXTJOIN("; ",TRUE,IF(AND(D311&lt;&gt;"",DD311=""),"нет фазы",""),IF(AND(D311&lt;&gt;"",N(DT311)=0,CN311&lt;&gt;"Нет"),"нет мощности",""),IF(AND(EY311&lt;&gt;"",COUNTIFS(Линии[Щит],A311,Линии[Клемма (итог)],EY311)&gt;1),"дубль клеммы "&amp;EY311,""),IF(AND(FB311&lt;&gt;"",FB311&lt;&gt;"ok"),FB311,""),IF(FC311&lt;&gt;"",FC311,""),IF(AND(ISNUMBER(SEARCH("(5х",DS311)),N(DV311)=1),"5 жил на 1 фазе",""),IF(AND(AT311="R",AD311&lt;&gt;"",OR(N(EH311)=0,N(EH311)&gt;30)),"розетка без дифзащиты до 30 мА",""),IFERROR(IF(AND(ISNUMBER(CD311),CD311&gt;CE311),"потери "&amp;FIXED(CD311,1)&amp;" % &gt; "&amp;CE311&amp;" %",""),""),IFERROR(IF(LEFT(FJ311,4)="мало","Iкз мало — отключение &gt; 0,4 с",""),""),IF(AND(D311&lt;&gt;"",BD311=""),"не на схеме","")))</f>
        <v>потери 5,4 % &gt; 4 %</v>
      </c>
      <c r="FL311">
        <f>IF(AD311="","",_xlfn.LET(_xlpm.t,IFERROR(_xlfn.XLOOKUP(EP311,Каталог!$U$4:$U$500,Каталог!$G$4:$G$500),""),_xlpm.k,SEARCH("кА",_xlpm.t),IFERROR(--TRIM(RIGHT(SUBSTITUTE(MID(_xlpm.t,MAX(1,_xlpm.k-4),_xlpm.k-MAX(1,_xlpm.k-4))," ",REPT(" ",9)),5)),"")))</f>
        <v>6</v>
      </c>
      <c r="FM311" t="str">
        <f>IF(OR(FL311="",AD311=""),"",IF(_xlfn.XLOOKUP(A311,Щиты[Щит],Щиты[Iкз max на шинах, кА],"")="","",IF(FL311&lt;_xlfn.XLOOKUP(A311,Щиты[Щит],Щиты[Iкз max на шинах, кА]),"Icu "&amp;FL311&amp;" кА &lt; Iкз max","ok")))</f>
        <v/>
      </c>
      <c r="FN311" t="str">
        <f t="shared" si="419"/>
        <v>QF28</v>
      </c>
      <c r="FO311" t="str">
        <f t="shared" si="420"/>
        <v>QF28|кабель ВВГнг(А)-LS (3х2,5) → Шкаф телекоммуникационный ШТК-2  Тех. Этаж Пом №004T</v>
      </c>
      <c r="FP311" t="str" cm="1">
        <f t="array" ref="FP311">IF(FO311="","",_xlfn.LET(_xlpm.nd,_xlfn.TEXTSPLIT(FO311,"|"),IF(COLUMNS(_xlpm.nd)&gt;1,A311&amp;"¦"&amp;INDEX(_xlpm.nd,1)&amp;"¦"&amp;INDEX(_xlpm.nd,2),"")))</f>
        <v>ЩР-2¦QF28¦кабель ВВГнг(А)-LS (3х2,5) → Шкаф телекоммуникационный ШТК-2  Тех. Этаж Пом №004T</v>
      </c>
      <c r="FQ311" t="str">
        <f t="shared" si="421"/>
        <v>ШТК-ЛВС.3¦Шкаф телекоммуникационный ШТК-2  Тех. Этаж Пом №004T</v>
      </c>
      <c r="FR311" t="str" cm="1">
        <f t="array" ref="FR311">IF(FO311="","",_xlfn.LET(_xlpm.nd,_xlfn.TEXTSPLIT(FO311,"|"),IF(COLUMNS(_xlpm.nd)&gt;2,A311&amp;"¦"&amp;INDEX(_xlpm.nd,2)&amp;"¦"&amp;INDEX(_xlpm.nd,3),"")))</f>
        <v/>
      </c>
      <c r="FS311" t="str">
        <f t="shared" si="422"/>
        <v/>
      </c>
      <c r="FT311" t="str" cm="1">
        <f t="array" ref="FT311">IF(FO311="","",_xlfn.LET(_xlpm.nd,_xlfn.TEXTSPLIT(FO311,"|"),IF(COLUMNS(_xlpm.nd)&gt;3,A311&amp;"¦"&amp;INDEX(_xlpm.nd,3)&amp;"¦"&amp;INDEX(_xlpm.nd,4),"")))</f>
        <v/>
      </c>
      <c r="FU311" t="str">
        <f t="shared" si="423"/>
        <v/>
      </c>
      <c r="FV311" t="str" cm="1">
        <f t="array" ref="FV311">IF(FO311="","",_xlfn.LET(_xlpm.nd,_xlfn.TEXTSPLIT(FO311,"|"),IF(COLUMNS(_xlpm.nd)&gt;4,A311&amp;"¦"&amp;INDEX(_xlpm.nd,4)&amp;"¦"&amp;INDEX(_xlpm.nd,5),"")))</f>
        <v/>
      </c>
      <c r="FW311" t="str">
        <f t="shared" si="424"/>
        <v/>
      </c>
      <c r="FX311" t="str" cm="1">
        <f t="array" ref="FX311">IF(FO311="","",_xlfn.LET(_xlpm.nd,_xlfn.TEXTSPLIT(FO311,"|"),IF(COLUMNS(_xlpm.nd)&gt;5,A311&amp;"¦"&amp;INDEX(_xlpm.nd,5)&amp;"¦"&amp;INDEX(_xlpm.nd,6),"")))</f>
        <v/>
      </c>
      <c r="FY311" t="str">
        <f t="shared" si="425"/>
        <v/>
      </c>
      <c r="FZ311" t="str" cm="1">
        <f t="array" ref="FZ311">IF(FO311="","",_xlfn.LET(_xlpm.nd,_xlfn.TEXTSPLIT(FO311,"|"),IF(COLUMNS(_xlpm.nd)&gt;6,A311&amp;"¦"&amp;INDEX(_xlpm.nd,6)&amp;"¦"&amp;INDEX(_xlpm.nd,7),"")))</f>
        <v/>
      </c>
      <c r="GA311" t="str">
        <f t="shared" si="426"/>
        <v/>
      </c>
      <c r="GB311" t="str">
        <f t="shared" si="427"/>
        <v/>
      </c>
      <c r="GC311" t="str">
        <f t="shared" si="428"/>
        <v>QF28</v>
      </c>
      <c r="GD311">
        <f t="shared" si="429"/>
        <v>1</v>
      </c>
      <c r="GE311">
        <f t="shared" si="430"/>
        <v>0</v>
      </c>
      <c r="GF311">
        <f t="shared" si="431"/>
        <v>0</v>
      </c>
      <c r="GG311" t="str">
        <f t="shared" si="432"/>
        <v/>
      </c>
      <c r="GH311" t="str">
        <f t="shared" si="433"/>
        <v/>
      </c>
      <c r="GI311" t="str">
        <f t="shared" si="434"/>
        <v/>
      </c>
      <c r="GJ311" t="str">
        <f t="shared" si="435"/>
        <v/>
      </c>
      <c r="GK311">
        <f>IF(D311="","",IFERROR(VLOOKUP(D311,УГО_спр,2,FALSE),IFERROR(VLOOKUP(AT311,УГО_спр,2,FALSE),IFERROR(VLOOKUP(LEFT(AT311,2),УГО_спр,2,FALSE),""))))</f>
        <v>0</v>
      </c>
      <c r="GL311" t="str">
        <f>IF(D311="","",IF(OR(GK311="",GK311=0),"BOX",IFERROR(IF(VLOOKUP(GK311,УГО_блоки,3,FALSE)&amp;""&lt;&gt;"",VLOOKUP(GK311,УГО_блоки,3,FALSE),VLOOKUP(GK311,УГО_блоки,2,FALSE)),GK311)))</f>
        <v>BOX</v>
      </c>
      <c r="GM311">
        <f t="shared" si="436"/>
        <v>1</v>
      </c>
      <c r="GN311" t="str">
        <f>IF(EP311="","",IF(COUNTIF(EP$3:EP311,EP311)=1,MAX(GN$2:GN310)+1,""))</f>
        <v/>
      </c>
      <c r="GO311" t="str">
        <f>IF(AF311="","",IF(COUNTIF(AF$3:AF311,AF311)+COUNTIF(AG$2:AG310,AF311)+COUNTIF(AH$2:AH310,AF311)=1,MAX(GO$2:GQ310)+1,""))</f>
        <v/>
      </c>
      <c r="GP311" t="str">
        <f>IF(AG311="","",IF(COUNTIF(AF$3:AF311,AG311)+COUNTIF(AG$3:AG311,AG311)+COUNTIF(AH$2:AH310,AG311)=1,MAX(GO$2:GQ310,GO311)+1,""))</f>
        <v/>
      </c>
      <c r="GQ311" t="str">
        <f>IF(AH311="","",IF(COUNTIF(AF$3:AF311,AH311)+COUNTIF(AG$3:AG311,AH311)+COUNTIF(AH$3:AH311,AH311)=1,MAX(GO$2:GQ310,GO311,GP311)+1,""))</f>
        <v/>
      </c>
      <c r="GR311" t="str">
        <f t="shared" si="437"/>
        <v>3х2,5</v>
      </c>
      <c r="GS311" t="str">
        <f>IF(GR311="","",IF(COUNTIF(GR$3:GR311,GR311)=1,MAX(GS$2:GS310)+1,""))</f>
        <v/>
      </c>
      <c r="GT311" t="str">
        <f>IF(ES311="","",COUNTIF(ES$3:ES311,"?*"))</f>
        <v/>
      </c>
      <c r="GU311" t="str">
        <f>IF(OR(ES311="",EU311=""),"",IF(COUNTIFS(ES$3:ES311,"?*",EU$3:EU311,EU311)=1,MAX(GU$2:GU310)+1,""))</f>
        <v/>
      </c>
      <c r="GV311">
        <f t="shared" si="438"/>
        <v>1</v>
      </c>
      <c r="GW311">
        <f>IF(D311="","",COUNTIF(D$3:D311,"?*"))</f>
        <v>309</v>
      </c>
      <c r="GX311">
        <f>IF(EX311&lt;&gt;1,0,_xlfn.LET(_xlpm.k,MAX(IFERROR(--VLOOKUP(D311,УГО_спр,5,FALSE),0),IFERROR(--VLOOKUP(AT311,УГО_спр,5,FALSE),0),IFERROR(--VLOOKUP(LEFT(AT311,2),УГО_спр,5,FALSE),0)),IF(_xlpm.k&gt;0,_xlpm.k,IF(IFERROR(--LEFT(SUBSTITUTE(GR311,"x","х"),FIND("х",SUBSTITUTE(GR311,"x","х"))-1),3)&gt;3,Каталог!$S$9,1))))</f>
        <v>1</v>
      </c>
      <c r="GY311">
        <f t="shared" si="439"/>
        <v>0</v>
      </c>
    </row>
    <row r="312" spans="1:207" x14ac:dyDescent="0.3">
      <c r="A312" t="s">
        <v>764</v>
      </c>
      <c r="B312">
        <v>43</v>
      </c>
      <c r="C312" t="str">
        <f>IF(BD312="","",IF(BE312="вводной узел","узел ","")&amp;"л."&amp;(INT((BD312-1)/Столбцов_на_лист)+1)&amp;" / "&amp;(MOD(BD312-1,Столбцов_на_лист)+1))</f>
        <v>л.3 / 9</v>
      </c>
      <c r="D312" t="s">
        <v>1647</v>
      </c>
      <c r="E312" s="133" t="s">
        <v>1648</v>
      </c>
      <c r="G312">
        <v>0.5</v>
      </c>
      <c r="H312">
        <v>1</v>
      </c>
      <c r="I312">
        <v>1</v>
      </c>
      <c r="J312">
        <v>230</v>
      </c>
      <c r="K312" t="s">
        <v>577</v>
      </c>
      <c r="O312">
        <v>3</v>
      </c>
      <c r="P312">
        <v>8</v>
      </c>
      <c r="R312">
        <v>8</v>
      </c>
      <c r="T312">
        <v>1</v>
      </c>
      <c r="U312" t="s">
        <v>11</v>
      </c>
      <c r="V312">
        <v>3</v>
      </c>
      <c r="W312">
        <v>2.5</v>
      </c>
      <c r="X312">
        <v>16</v>
      </c>
      <c r="Z312" t="s">
        <v>581</v>
      </c>
      <c r="AA312" t="s">
        <v>818</v>
      </c>
      <c r="AD312" t="s">
        <v>517</v>
      </c>
      <c r="AK312" t="s">
        <v>488</v>
      </c>
      <c r="AR312" t="str">
        <f t="shared" si="353"/>
        <v/>
      </c>
      <c r="AS312" cm="1">
        <f t="array" ref="AS312">ROW()-ROW(Линии[#Headers])</f>
        <v>310</v>
      </c>
      <c r="AT312" t="str">
        <f t="shared" si="354"/>
        <v>ШКД</v>
      </c>
      <c r="AU312" t="str">
        <f t="shared" si="355"/>
        <v>3</v>
      </c>
      <c r="AV312" t="str">
        <f t="shared" si="356"/>
        <v>3</v>
      </c>
      <c r="AW312" t="str">
        <f t="shared" si="357"/>
        <v/>
      </c>
      <c r="AX312" t="str">
        <f t="shared" si="358"/>
        <v/>
      </c>
      <c r="AY312" t="str">
        <f>IF(D312="","",IF(ISERROR(SEARCH(".",D312)),IFERROR(VLOOKUP(D312,Потребители_обозначение,2,FALSE)&amp;"",""),IFERROR(IF(VLOOKUP(AT312,Потребители_обозначение,4,FALSE)=1,VLOOKUP(AT312,Потребители_обозначение,2,FALSE)&amp;" "&amp;VLOOKUP(AV312,Этаж_обозначение,2,FALSE)&amp;" Пом. №"&amp;AX312,VLOOKUP(AT312,Потребители_обозначение,2,FALSE)&amp;" Шлейф №"&amp;AV312),IFERROR(VLOOKUP(D312,Потребители_обозначение,2,FALSE),""))))</f>
        <v/>
      </c>
      <c r="AZ312" t="str">
        <f t="shared" si="359"/>
        <v>Щит контроля доступа ЩКД-2  Тех. Этаж Пом №001T</v>
      </c>
      <c r="BA312" t="str">
        <f>IF(F312&lt;&gt;"",F312,IF(AND(D312&lt;&gt;"",D312&lt;&gt;A312,ISNUMBER(_xlfn.XMATCH(D312,Щиты[Щит]))),D312,""))</f>
        <v/>
      </c>
      <c r="BB312">
        <f>IFERROR(_xlfn.XMATCH(A312,Щиты[Щит]),0)</f>
        <v>11</v>
      </c>
      <c r="BC312">
        <f>IFERROR(N(_xlfn.XLOOKUP(A312,Щиты[Щит],Щиты[Мест под вводной узел])),15)</f>
        <v>8</v>
      </c>
      <c r="BD312">
        <f t="shared" si="360"/>
        <v>43</v>
      </c>
      <c r="BE312" t="str">
        <f t="shared" si="361"/>
        <v>линии</v>
      </c>
      <c r="BF312">
        <f>IF(D312="","",IF(BA312&lt;&gt;"",IFERROR(_xlfn.XLOOKUP(BA312,Щиты[Щит],Щиты[Руст, кВт]),0),N(G312)))</f>
        <v>0.5</v>
      </c>
      <c r="BG312">
        <f>IF(J312&lt;&gt;"",J312,IF(D312="","",IFERROR(IF(VLOOKUP(AT312,Потребители_обозначение,8,FALSE)=0,"",VLOOKUP(AT312,Потребители_обозначение,8,FALSE)),"")))</f>
        <v>230</v>
      </c>
      <c r="BH312">
        <f>IF(I312&lt;&gt;"",I312,IF(D312="","",IFERROR(IF(VLOOKUP(AT312,Потребители_обозначение,9,FALSE)=0,"",VLOOKUP(AT312,Потребители_обозначение,9,FALSE)),"")))</f>
        <v>1</v>
      </c>
      <c r="BI312" t="str">
        <f>IF(U312&lt;&gt;"",U312,IF(D312="","",IFERROR(IF(VLOOKUP(AT312,Потребители_обозначение,6,FALSE)=0,"",VLOOKUP(AT312,Потребители_обозначение,6,FALSE)),"")))</f>
        <v>мс</v>
      </c>
      <c r="BJ312">
        <f>IF(V312&lt;&gt;"",V312,IF(D312="","",IFERROR(IF(VLOOKUP(AT312,Потребители_обозначение,7,FALSE)=0,"",VLOOKUP(AT312,Потребители_обозначение,7,FALSE)),"")))</f>
        <v>3</v>
      </c>
      <c r="BK312">
        <f>IF(W312&lt;&gt;"",W312,IF(D312="","",IFERROR(IF(VLOOKUP(AT312,Потребители_обозначение,10,FALSE)=0,"",VLOOKUP(AT312,Потребители_обозначение,10,FALSE)),"")))</f>
        <v>2.5</v>
      </c>
      <c r="BL312">
        <f>IFERROR(VLOOKUP(AT312,Потребители_обозначение,5,FALSE),0)</f>
        <v>0</v>
      </c>
      <c r="BM312" cm="1">
        <f t="array" ref="BM312">IF(D312="","",IF(BA312&lt;&gt;"",IFERROR(_xlfn.XLOOKUP(BA312,Щиты[Щит],Щиты[cos φ]),0.95),IF(ISNUMBER(M312),M312,IFERROR(IF(BL312=2,_xlfn.IFS(BH312=3,VLOOKUP(BF312,Справочная_двигатели,8,FALSE),BH312=1,VLOOKUP(BF312,Справочная_двигатели,10,TRUE)),IF(AND(Методика="нормы 2026",CN312="Сил"),0.8,0.95)),0.95))))</f>
        <v>0.95</v>
      </c>
      <c r="BN312" cm="1">
        <f t="array" ref="BN312">IF(D312="","",IF(BA312&lt;&gt;"",IFERROR(_xlfn.XLOOKUP(BA312,Щиты[Щит],Щиты[Iр, А]),""),IFERROR(_xlfn.IFS(BH312=1,BF312/((Uн_лин/SQRT(3))*BM312),BH312=3,BF312/(SQRT(3)*Uн_лин*BM312)),"")))</f>
        <v>2.2790142204853647</v>
      </c>
      <c r="BO312">
        <f>IF(D312="","",IF(N(X312)=0,IFERROR(VLOOKUP(BN312,Автомат_номиналы,2,TRUE),""),X312))</f>
        <v>16</v>
      </c>
      <c r="BP312">
        <f t="shared" si="362"/>
        <v>1</v>
      </c>
      <c r="BQ312">
        <f>IF(ISNUMBER(Y312),Y312,К_прокл)</f>
        <v>1</v>
      </c>
      <c r="BR312">
        <f t="shared" si="363"/>
        <v>2</v>
      </c>
      <c r="BS312" cm="1">
        <f t="array" ref="BS312">IF(D312="","",IF(N(BK312)&lt;&gt;0,BK312,IFERROR(_xlfn.LET(_xlpm.need,BO312/(BP312*BQ312),_xlpm.t,CHOOSE(BR312,Iдоп_1ж,Iдоп_2ж,Iдоп_3ж),_xlpm.k,_xlfn.XMATCH(_xlpm.need,_xlpm.t,1),IF(ISNA(_xlpm.k),"Не исп",INDEX(Iдоп_S,_xlpm.k))),"Не исп")))</f>
        <v>2.5</v>
      </c>
      <c r="BT312">
        <f>IFERROR(VLOOKUP(BS312,Кабель_сопротивление,3,FALSE),"")</f>
        <v>2.2499999999999999E-2</v>
      </c>
      <c r="BU312">
        <f>IFERROR(VLOOKUP(BS312,Кабель_сопротивление,2,FALSE),"")</f>
        <v>0.1</v>
      </c>
      <c r="BV312">
        <f t="shared" si="364"/>
        <v>8</v>
      </c>
      <c r="BW312">
        <f>IF(D312="","",IFERROR(IF(VLOOKUP(AT312,Потребители_обозначение,4,FALSE)=1,VLOOKUP(AT312,Потребители_обозначение,3,FALSE)*(H312*2-1)+BV312+VLOOKUP(AV312,Этаж_обозначение,3,FALSE)+VLOOKUP(AV312,Этаж_обозначение,4,FALSE),VLOOKUP(AT312,Потребители_обозначение,3,FALSE)*(H312*2-1)+BV312),BV312))</f>
        <v>8</v>
      </c>
      <c r="BX312">
        <f t="shared" si="365"/>
        <v>8</v>
      </c>
      <c r="BY312">
        <f t="shared" si="366"/>
        <v>0</v>
      </c>
      <c r="BZ312">
        <f t="shared" si="367"/>
        <v>2</v>
      </c>
      <c r="CA312">
        <f t="shared" si="368"/>
        <v>0.31</v>
      </c>
      <c r="CB312">
        <f t="shared" si="369"/>
        <v>0.31289953641575857</v>
      </c>
      <c r="CC312">
        <f>IFERROR(ROUNDUP(CB312/((Uн_лин/SQRT(3))*1000)*100,2),"")</f>
        <v>0.14000000000000001</v>
      </c>
      <c r="CD312">
        <f>IF(ISNUMBER(CC312),CC312+IFERROR(_xlfn.XLOOKUP(A312,Щиты[Щит],Щиты[ΔU до шин, %]),0),"")</f>
        <v>1.9300000000000002</v>
      </c>
      <c r="CE312">
        <f>IF(D312="","",IF(IFERROR(VLOOKUP(AT312,УГО_спр,2,FALSE),"")="Светильник",3,4)+IF(Методика="нормы 2026",MIN(0.5,MAX(0,N(BW312)-100)*0.005),0))</f>
        <v>4</v>
      </c>
      <c r="CF312" t="str">
        <f>IFERROR(VLOOKUP(BI312,Кабель_обозначение,2,FALSE),"")</f>
        <v>ВВГнг(А)-LS</v>
      </c>
      <c r="CG312" t="str">
        <f>IFERROR(IF(VLOOKUP(BI312,Кабель_обозначение,3,FALSE)=1,CF312&amp;" ("&amp;BJ312&amp;"х"&amp;BS312&amp;")",CF312),"")</f>
        <v>ВВГнг(А)-LS (3х2,5)</v>
      </c>
      <c r="CH312" t="str">
        <f t="shared" si="370"/>
        <v>ВВГнг(А)-LS (3х2,5)
L=8-0,14%</v>
      </c>
      <c r="CI312">
        <f>IFERROR(2*ρкз_Cu*BW312/BS312,"")</f>
        <v>0.16832</v>
      </c>
      <c r="CJ312">
        <f t="shared" si="371"/>
        <v>5.6000000000000008E-2</v>
      </c>
      <c r="CK312" t="str">
        <f>IFERROR(IF(OR(D312="",NOT(ISNUMBER(BS312)),N(BW312)=0),"",_xlfn.XLOOKUP(A312,Щиты[Щит],Щиты[Zпетли на шинах, Ом])+CI312),"")</f>
        <v/>
      </c>
      <c r="CL312" t="str">
        <f>IF(ISNUMBER(CK312),c_min*(Uн_лин*1000/SQRT(3))/CK312,"")</f>
        <v/>
      </c>
      <c r="CM312" t="str">
        <f>IFERROR(IF(OR(D312="",NOT(ISNUMBER(BS312))),"",1.05*(Uн_лин*1000/SQRT(3))/(_xlfn.XLOOKUP(A312,Щиты[Щит],Щиты[Zmax на шинах, Ом])+CJ312)/1000),"")</f>
        <v/>
      </c>
      <c r="CN312" t="str">
        <f>IF(D312="","",IF(BA312&lt;&gt;"","Щит",IF(K312&lt;&gt;"",K312,IF(ISNUMBER(L312),"Сил",IF(IFERROR(_xlfn.XLOOKUP(AT312,Коды_код,Коды_группа)&amp;"","")="","Быт",_xlfn.XLOOKUP(AT312,Коды_код,Коды_группа)&amp;"")))))</f>
        <v>Пост</v>
      </c>
      <c r="CO312">
        <f>IF(CN312="Щит","щит",IF(CN312="","",IF(CN312="Быт",IFERROR(_xlfn.XLOOKUP(A312,Щиты[Щит],Щиты[Кс быт]),1),IF(CN312="Сил",IF(ISNUMBER(L312),L312,IF(Методика="нормы 2026",IFERROR(_xlfn.XLOOKUP(A312,Щиты[Щит],Щиты[Кс силовых (табл. 7.5)]),1),1)),IF(OR(CN312="Пост",CN312="Отоп"),1,IF(CN312="ВНГ",0.7,0))))))</f>
        <v>1</v>
      </c>
      <c r="CP312">
        <f t="shared" si="372"/>
        <v>1</v>
      </c>
      <c r="CQ312">
        <f t="shared" si="373"/>
        <v>0.5</v>
      </c>
      <c r="CR312">
        <f t="shared" si="374"/>
        <v>0</v>
      </c>
      <c r="CS312">
        <f t="shared" si="375"/>
        <v>0</v>
      </c>
      <c r="CT312">
        <f t="shared" si="376"/>
        <v>0.5</v>
      </c>
      <c r="CU312">
        <f t="shared" si="377"/>
        <v>0</v>
      </c>
      <c r="CV312">
        <f t="shared" si="378"/>
        <v>0</v>
      </c>
      <c r="CW312">
        <f t="shared" si="379"/>
        <v>0.5</v>
      </c>
      <c r="CX312">
        <f t="shared" si="380"/>
        <v>0.47499999999999998</v>
      </c>
      <c r="CY312">
        <f t="shared" si="381"/>
        <v>3</v>
      </c>
      <c r="CZ312" t="str">
        <f t="shared" si="382"/>
        <v>L3</v>
      </c>
      <c r="DA312" cm="1">
        <f t="array" ref="DA312">IFERROR(IF(BL312=2,_xlfn.IFS(BH312=3,VLOOKUP(BF312,Справочная_двигатели,3,FALSE),BH312=1,VLOOKUP(BF312,Справочная_двигатели,5,TRUE)),0),0)</f>
        <v>0</v>
      </c>
      <c r="DB312">
        <f>IFERROR(IF(BL312=3,VLOOKUP(BF312,Справочная_ЛЭД,2,TRUE),0),0)</f>
        <v>0</v>
      </c>
      <c r="DC312">
        <f t="shared" si="383"/>
        <v>0</v>
      </c>
      <c r="DD312" t="str">
        <f t="shared" si="384"/>
        <v>L3</v>
      </c>
      <c r="DE312" t="str" cm="1">
        <f t="array" ref="DE312">IF(D312="","",IFERROR(INDEX({"I особая","I","II","III"},MATCH(TRIM(AA312&amp;""),{"I особая","I","II","III"},0)),"III"))</f>
        <v>II</v>
      </c>
      <c r="DF312" t="str">
        <f>IF(D312="","",IF(TRIM(AB312&amp;"")&lt;&gt;"",IF(LOWER(TRIM(AB312&amp;""))="да","да","нет"),IF(IFERROR(_xlfn.XLOOKUP(AT312,Коды_код,Коды_пожарная),"")="да","да","нет")))</f>
        <v>нет</v>
      </c>
      <c r="DG312" t="str">
        <f t="shared" si="385"/>
        <v/>
      </c>
      <c r="DH312" t="str">
        <f t="shared" si="386"/>
        <v>основная</v>
      </c>
      <c r="DI312">
        <f t="shared" si="387"/>
        <v>1</v>
      </c>
      <c r="DJ312" t="str" cm="1">
        <f t="array" ref="DJ312">IF(D312="","",_xlfn.LET(_xlpm.t,IFERROR(_xlfn.XLOOKUP(1,(Шины[Шина]=DH312)*(((Шины[Щит]=A312)+(Шины[Щит]=""))&gt;0),Шины[Тип]),"")&amp;"",IF(_xlpm.t&lt;&gt;"",_xlpm.t,IF(ISNUMBER(SEARCH("ИБП",DH312)),"ИБП",IF(ISNUMBER(SEARCH("ДГУ",DH312)),"ДГУ","Ввод "&amp;DI312)))))</f>
        <v>Ввод 1</v>
      </c>
      <c r="DK312" t="str">
        <f t="shared" si="388"/>
        <v>Ввод 1</v>
      </c>
      <c r="DL312" t="str">
        <f>IF(D312="","",IF(OR(DJ312="ИБП",DJ312="ДГУ"),"I особая",IF(DJ312="Одиночная","III",_xlfn.XLOOKUP(A312,Щиты[Щит],Щиты[Категория шины «Ввод»],"III"))))</f>
        <v>II</v>
      </c>
      <c r="DM312">
        <f>IF(D312="",0,IFERROR(MATCH(DE312,{"III","II","I","I особая"},0),1))</f>
        <v>2</v>
      </c>
      <c r="DN312">
        <f t="shared" si="389"/>
        <v>2</v>
      </c>
      <c r="DO312" t="str">
        <f>IF(D312="","",IF(DM312&gt;IFERROR(MATCH(DL312,{"III","II","I","I особая"},0),1),"НЕ ОБЕСПЕЧЕНА","ОК"))</f>
        <v>ОК</v>
      </c>
      <c r="DP312" t="str">
        <f>IF(A312="","",_xlfn.XLOOKUP(A312,Щиты[Щит],Щиты[Путь],""))</f>
        <v>|ГРЩ-ЖД|ЩР-2|</v>
      </c>
      <c r="DQ312" t="str">
        <f>IF(D312="","",IF(Z312&lt;&gt;"",Z312,IF(IFERROR(_xlfn.XLOOKUP(AT312,Коды_код,Коды_вид)&amp;"","")="","Прочее",_xlfn.XLOOKUP(AT312,Коды_код,Коды_вид)&amp;"")))</f>
        <v>Системы безопасности и связи</v>
      </c>
      <c r="DR312">
        <f>IF(BD312="","",INT((BD312-1)/Столбцов_на_лист)+1)</f>
        <v>3</v>
      </c>
      <c r="DS312" t="str">
        <f t="shared" si="390"/>
        <v>ВВГнг(А)-LS (3х2,5) L=8-0,14%</v>
      </c>
      <c r="DT312">
        <f t="shared" si="391"/>
        <v>0.5</v>
      </c>
      <c r="DU312">
        <f t="shared" si="392"/>
        <v>2.2799999999999998</v>
      </c>
      <c r="DV312">
        <f t="shared" si="393"/>
        <v>1</v>
      </c>
      <c r="DW312">
        <f>IF(AT312="",0,_xlfn.LET(_xlpm.v,IFERROR(VLOOKUP(D312,УГО_спр,3,FALSE),IFERROR(VLOOKUP(AT312,УГО_спр,3,FALSE),IFERROR(VLOOKUP(LEFT(AT312,2),УГО_спр,3,FALSE),""))),IF(_xlpm.v="да",30,IF(ISNUMBER(_xlpm.v),_xlpm.v,0))))</f>
        <v>0</v>
      </c>
      <c r="DX312">
        <f t="shared" si="394"/>
        <v>0</v>
      </c>
      <c r="DY312">
        <f>IF(BD312="","",IF(AD312&lt;&gt;"",COUNTIFS(A$3:A312,A312,AD$3:AD312,"?*"),IF(OR(OR(AS312=1,A312&lt;&gt;A311),AL312="вручную"),"",IF(AS312=1,"",DZ311))))</f>
        <v>29</v>
      </c>
      <c r="DZ312">
        <f t="shared" si="395"/>
        <v>29</v>
      </c>
      <c r="EA312">
        <f>IF(D312="",0,MAX(IFERROR(--X312,0),IFERROR(--VLOOKUP(D312,УГО_спр,4,FALSE),IFERROR(--VLOOKUP(AT312,УГО_спр,4,FALSE),IFERROR(--VLOOKUP(LEFT(AT312,2),УГО_спр,4,FALSE),0)))))</f>
        <v>16</v>
      </c>
      <c r="EB312">
        <f>IF(D312="","",IFERROR(LOOKUP(INDEX(CHOOSE(BR312,Iдоп_1ж,Iдоп_2ж,Iдоп_3ж),MATCH(BS312,Iдоп_S,0))*BP312*BQ312,{6,10,16,20,25,32,40,50,63,80,100,125,160,200,250,315,400,500,630}),""))</f>
        <v>25</v>
      </c>
      <c r="EC312">
        <f>IF(AD312="","",SUMIFS(Линии[_Ток схемы],Линии[_гр.],DY312,Линии[Щит],A312,Линии[_в кабель выше],0))</f>
        <v>2.2799999999999998</v>
      </c>
      <c r="ED312">
        <f>IF(AD312="","",IFERROR(VLOOKUP(EC312,Автомат_номиналы,2,TRUE),""))</f>
        <v>6</v>
      </c>
      <c r="EE312">
        <f>IF(AD312="","",MAX(N(ED312),_xlfn.MAXIFS(Линии[_мин. по типу],Линии[_гр.],DY312,Линии[Щит],A312)))</f>
        <v>16</v>
      </c>
      <c r="EF312">
        <f>IF(AD312="","",_xlfn.MINIFS(Линии[_макс. автомат по кабелю],Линии[_гр.],DY312,Линии[Щит],A312))</f>
        <v>25</v>
      </c>
      <c r="EG312">
        <f>IF(AD312="","",MAX(1,_xlfn.MAXIFS(Линии[_фаз],Линии[_гр.],DY312,Линии[Щит],A312)))</f>
        <v>1</v>
      </c>
      <c r="EH312">
        <f>IF(AD312="","",IF(AND(AD312&lt;&gt;"авто",AD312&lt;&gt;"+"),IF(ISNUMBER(SEARCH("мА",AD312)),IFERROR(--TRIM(RIGHT(SUBSTITUTE(LEFT(AD312,SEARCH("мА",AD312)-1)," ",REPT(" ",9)),6)),30),0),IF(AE312="нет",0,IF(ISNUMBER(AE312),AE312,IF(AE312="да",30,_xlfn.MINIFS(Линии[_дифзащита по коду, мА],Линии[_гр.],DY312,Линии[Щит],A312,Линии[_дифзащита по коду, мА],"&gt;0"))))))</f>
        <v>0</v>
      </c>
      <c r="EI312">
        <f t="shared" si="396"/>
        <v>0</v>
      </c>
      <c r="EJ312" t="str">
        <f t="shared" si="397"/>
        <v>QF29</v>
      </c>
      <c r="EK312" t="str">
        <f t="shared" si="398"/>
        <v>QF29</v>
      </c>
      <c r="EL312" t="str">
        <f t="shared" si="399"/>
        <v/>
      </c>
      <c r="EM312">
        <f t="shared" si="400"/>
        <v>0</v>
      </c>
      <c r="EN312">
        <f>IF(AD312="","",IF(EM312=1,MAX(EE312,Мин_автомат_БП),EE312))</f>
        <v>16</v>
      </c>
      <c r="EO312" t="str">
        <f t="shared" si="401"/>
        <v>1P</v>
      </c>
      <c r="EP312" t="str">
        <f t="shared" si="402"/>
        <v>1P С16А</v>
      </c>
      <c r="EQ312">
        <f t="shared" si="403"/>
        <v>16</v>
      </c>
      <c r="ER312" t="str">
        <f>IF(OR(AI312="",AI312="-"),"",IFERROR(VLOOKUP(AI312,Модули_спр,2,FALSE),"R"))</f>
        <v/>
      </c>
      <c r="ES312" t="str">
        <f>IF(ER312="","",ER312&amp;"."&amp;COUNTIFS(A$3:A312,A312,ER$3:ER312,ER312))</f>
        <v/>
      </c>
      <c r="ET312" t="str">
        <f t="shared" si="404"/>
        <v/>
      </c>
      <c r="EU312" t="str">
        <f t="shared" si="405"/>
        <v/>
      </c>
      <c r="EV312" t="str">
        <f t="shared" si="406"/>
        <v/>
      </c>
      <c r="EW312" t="str">
        <f t="shared" si="407"/>
        <v/>
      </c>
      <c r="EX312">
        <f t="shared" si="408"/>
        <v>1</v>
      </c>
      <c r="EY312" t="str">
        <f>IF(AK312="нет","",IF(AK312&lt;&gt;"",AK312,IF(EX312=1,"XT"&amp;COUNTIFS(A$3:A312,A312,EX$3:EX312,1),"")))</f>
        <v/>
      </c>
      <c r="EZ312" t="str">
        <f t="shared" si="409"/>
        <v>QF29</v>
      </c>
      <c r="FA312" t="str">
        <f t="shared" si="410"/>
        <v/>
      </c>
      <c r="FB312" t="str">
        <f t="shared" si="411"/>
        <v>ok</v>
      </c>
      <c r="FC312" t="str">
        <f>IF(OR(EV312="",ET312=""),"",IF(EV312&gt;IFERROR(VLOOKUP(EU312,Модули_спр,3,FALSE),99),"ЛИШНИЙ КАНАЛ",IF(AND(AJ312&lt;&gt;"=",COUNTIFS(Линии[_модуль гр.],ET312,Линии[Канал (итог)],EV312,Линии[Канал],"&lt;&gt;=",Линии[Щит],A312)&gt;1),"ДУБЛЬ КАНАЛА","")))</f>
        <v/>
      </c>
      <c r="FD312">
        <f t="shared" si="412"/>
        <v>16</v>
      </c>
      <c r="FE312" t="str">
        <f t="shared" si="413"/>
        <v>1P С16А</v>
      </c>
      <c r="FF312">
        <f t="shared" si="414"/>
        <v>0</v>
      </c>
      <c r="FG312">
        <f t="shared" si="415"/>
        <v>0</v>
      </c>
      <c r="FH312" t="str">
        <f t="shared" si="416"/>
        <v/>
      </c>
      <c r="FI312">
        <f t="shared" si="417"/>
        <v>10</v>
      </c>
      <c r="FJ312" t="str">
        <f t="shared" si="418"/>
        <v/>
      </c>
      <c r="FK312" t="str">
        <f>IF(AND(D312="",EZ312=""),"",_xlfn.TEXTJOIN("; ",TRUE,IF(AND(D312&lt;&gt;"",DD312=""),"нет фазы",""),IF(AND(D312&lt;&gt;"",N(DT312)=0,CN312&lt;&gt;"Нет"),"нет мощности",""),IF(AND(EY312&lt;&gt;"",COUNTIFS(Линии[Щит],A312,Линии[Клемма (итог)],EY312)&gt;1),"дубль клеммы "&amp;EY312,""),IF(AND(FB312&lt;&gt;"",FB312&lt;&gt;"ok"),FB312,""),IF(FC312&lt;&gt;"",FC312,""),IF(AND(ISNUMBER(SEARCH("(5х",DS312)),N(DV312)=1),"5 жил на 1 фазе",""),IF(AND(AT312="R",AD312&lt;&gt;"",OR(N(EH312)=0,N(EH312)&gt;30)),"розетка без дифзащиты до 30 мА",""),IFERROR(IF(AND(ISNUMBER(CD312),CD312&gt;CE312),"потери "&amp;FIXED(CD312,1)&amp;" % &gt; "&amp;CE312&amp;" %",""),""),IFERROR(IF(LEFT(FJ312,4)="мало","Iкз мало — отключение &gt; 0,4 с",""),""),IF(AND(D312&lt;&gt;"",BD312=""),"не на схеме","")))</f>
        <v/>
      </c>
      <c r="FL312">
        <f>IF(AD312="","",_xlfn.LET(_xlpm.t,IFERROR(_xlfn.XLOOKUP(EP312,Каталог!$U$4:$U$500,Каталог!$G$4:$G$500),""),_xlpm.k,SEARCH("кА",_xlpm.t),IFERROR(--TRIM(RIGHT(SUBSTITUTE(MID(_xlpm.t,MAX(1,_xlpm.k-4),_xlpm.k-MAX(1,_xlpm.k-4))," ",REPT(" ",9)),5)),"")))</f>
        <v>6</v>
      </c>
      <c r="FM312" t="str">
        <f>IF(OR(FL312="",AD312=""),"",IF(_xlfn.XLOOKUP(A312,Щиты[Щит],Щиты[Iкз max на шинах, кА],"")="","",IF(FL312&lt;_xlfn.XLOOKUP(A312,Щиты[Щит],Щиты[Iкз max на шинах, кА]),"Icu "&amp;FL312&amp;" кА &lt; Iкз max","ok")))</f>
        <v/>
      </c>
      <c r="FN312" t="str">
        <f t="shared" si="419"/>
        <v>QF29</v>
      </c>
      <c r="FO312" t="str">
        <f t="shared" si="420"/>
        <v>QF29|кабель ВВГнг(А)-LS (3х2,5) → Щит контроля доступа ЩКД-2  Тех. Этаж Пом №001T</v>
      </c>
      <c r="FP312" t="str" cm="1">
        <f t="array" ref="FP312">IF(FO312="","",_xlfn.LET(_xlpm.nd,_xlfn.TEXTSPLIT(FO312,"|"),IF(COLUMNS(_xlpm.nd)&gt;1,A312&amp;"¦"&amp;INDEX(_xlpm.nd,1)&amp;"¦"&amp;INDEX(_xlpm.nd,2),"")))</f>
        <v>ЩР-2¦QF29¦кабель ВВГнг(А)-LS (3х2,5) → Щит контроля доступа ЩКД-2  Тех. Этаж Пом №001T</v>
      </c>
      <c r="FQ312" t="str">
        <f t="shared" si="421"/>
        <v>ШКД.3¦Щит контроля доступа ЩКД-2  Тех. Этаж Пом №001T</v>
      </c>
      <c r="FR312" t="str" cm="1">
        <f t="array" ref="FR312">IF(FO312="","",_xlfn.LET(_xlpm.nd,_xlfn.TEXTSPLIT(FO312,"|"),IF(COLUMNS(_xlpm.nd)&gt;2,A312&amp;"¦"&amp;INDEX(_xlpm.nd,2)&amp;"¦"&amp;INDEX(_xlpm.nd,3),"")))</f>
        <v/>
      </c>
      <c r="FS312" t="str">
        <f t="shared" si="422"/>
        <v/>
      </c>
      <c r="FT312" t="str" cm="1">
        <f t="array" ref="FT312">IF(FO312="","",_xlfn.LET(_xlpm.nd,_xlfn.TEXTSPLIT(FO312,"|"),IF(COLUMNS(_xlpm.nd)&gt;3,A312&amp;"¦"&amp;INDEX(_xlpm.nd,3)&amp;"¦"&amp;INDEX(_xlpm.nd,4),"")))</f>
        <v/>
      </c>
      <c r="FU312" t="str">
        <f t="shared" si="423"/>
        <v/>
      </c>
      <c r="FV312" t="str" cm="1">
        <f t="array" ref="FV312">IF(FO312="","",_xlfn.LET(_xlpm.nd,_xlfn.TEXTSPLIT(FO312,"|"),IF(COLUMNS(_xlpm.nd)&gt;4,A312&amp;"¦"&amp;INDEX(_xlpm.nd,4)&amp;"¦"&amp;INDEX(_xlpm.nd,5),"")))</f>
        <v/>
      </c>
      <c r="FW312" t="str">
        <f t="shared" si="424"/>
        <v/>
      </c>
      <c r="FX312" t="str" cm="1">
        <f t="array" ref="FX312">IF(FO312="","",_xlfn.LET(_xlpm.nd,_xlfn.TEXTSPLIT(FO312,"|"),IF(COLUMNS(_xlpm.nd)&gt;5,A312&amp;"¦"&amp;INDEX(_xlpm.nd,5)&amp;"¦"&amp;INDEX(_xlpm.nd,6),"")))</f>
        <v/>
      </c>
      <c r="FY312" t="str">
        <f t="shared" si="425"/>
        <v/>
      </c>
      <c r="FZ312" t="str" cm="1">
        <f t="array" ref="FZ312">IF(FO312="","",_xlfn.LET(_xlpm.nd,_xlfn.TEXTSPLIT(FO312,"|"),IF(COLUMNS(_xlpm.nd)&gt;6,A312&amp;"¦"&amp;INDEX(_xlpm.nd,6)&amp;"¦"&amp;INDEX(_xlpm.nd,7),"")))</f>
        <v/>
      </c>
      <c r="GA312" t="str">
        <f t="shared" si="426"/>
        <v/>
      </c>
      <c r="GB312" t="str">
        <f t="shared" si="427"/>
        <v/>
      </c>
      <c r="GC312" t="str">
        <f t="shared" si="428"/>
        <v>QF29</v>
      </c>
      <c r="GD312">
        <f t="shared" si="429"/>
        <v>1</v>
      </c>
      <c r="GE312">
        <f t="shared" si="430"/>
        <v>0</v>
      </c>
      <c r="GF312">
        <f t="shared" si="431"/>
        <v>0</v>
      </c>
      <c r="GG312" t="str">
        <f t="shared" si="432"/>
        <v/>
      </c>
      <c r="GH312" t="str">
        <f t="shared" si="433"/>
        <v/>
      </c>
      <c r="GI312" t="str">
        <f t="shared" si="434"/>
        <v/>
      </c>
      <c r="GJ312" t="str">
        <f t="shared" si="435"/>
        <v/>
      </c>
      <c r="GK312" t="str">
        <f>IF(D312="","",IFERROR(VLOOKUP(D312,УГО_спр,2,FALSE),IFERROR(VLOOKUP(AT312,УГО_спр,2,FALSE),IFERROR(VLOOKUP(LEFT(AT312,2),УГО_спр,2,FALSE),""))))</f>
        <v/>
      </c>
      <c r="GL312" t="str">
        <f>IF(D312="","",IF(OR(GK312="",GK312=0),"BOX",IFERROR(IF(VLOOKUP(GK312,УГО_блоки,3,FALSE)&amp;""&lt;&gt;"",VLOOKUP(GK312,УГО_блоки,3,FALSE),VLOOKUP(GK312,УГО_блоки,2,FALSE)),GK312)))</f>
        <v>BOX</v>
      </c>
      <c r="GM312">
        <f t="shared" si="436"/>
        <v>1</v>
      </c>
      <c r="GN312" t="str">
        <f>IF(EP312="","",IF(COUNTIF(EP$3:EP312,EP312)=1,MAX(GN$2:GN311)+1,""))</f>
        <v/>
      </c>
      <c r="GO312" t="str">
        <f>IF(AF312="","",IF(COUNTIF(AF$3:AF312,AF312)+COUNTIF(AG$2:AG311,AF312)+COUNTIF(AH$2:AH311,AF312)=1,MAX(GO$2:GQ311)+1,""))</f>
        <v/>
      </c>
      <c r="GP312" t="str">
        <f>IF(AG312="","",IF(COUNTIF(AF$3:AF312,AG312)+COUNTIF(AG$3:AG312,AG312)+COUNTIF(AH$2:AH311,AG312)=1,MAX(GO$2:GQ311,GO312)+1,""))</f>
        <v/>
      </c>
      <c r="GQ312" t="str">
        <f>IF(AH312="","",IF(COUNTIF(AF$3:AF312,AH312)+COUNTIF(AG$3:AG312,AH312)+COUNTIF(AH$3:AH312,AH312)=1,MAX(GO$2:GQ311,GO312,GP312)+1,""))</f>
        <v/>
      </c>
      <c r="GR312" t="str">
        <f t="shared" si="437"/>
        <v>3х2,5</v>
      </c>
      <c r="GS312" t="str">
        <f>IF(GR312="","",IF(COUNTIF(GR$3:GR312,GR312)=1,MAX(GS$2:GS311)+1,""))</f>
        <v/>
      </c>
      <c r="GT312" t="str">
        <f>IF(ES312="","",COUNTIF(ES$3:ES312,"?*"))</f>
        <v/>
      </c>
      <c r="GU312" t="str">
        <f>IF(OR(ES312="",EU312=""),"",IF(COUNTIFS(ES$3:ES312,"?*",EU$3:EU312,EU312)=1,MAX(GU$2:GU311)+1,""))</f>
        <v/>
      </c>
      <c r="GV312">
        <f t="shared" si="438"/>
        <v>0</v>
      </c>
      <c r="GW312">
        <f>IF(D312="","",COUNTIF(D$3:D312,"?*"))</f>
        <v>310</v>
      </c>
      <c r="GX312">
        <f>IF(EX312&lt;&gt;1,0,_xlfn.LET(_xlpm.k,MAX(IFERROR(--VLOOKUP(D312,УГО_спр,5,FALSE),0),IFERROR(--VLOOKUP(AT312,УГО_спр,5,FALSE),0),IFERROR(--VLOOKUP(LEFT(AT312,2),УГО_спр,5,FALSE),0)),IF(_xlpm.k&gt;0,_xlpm.k,IF(IFERROR(--LEFT(SUBSTITUTE(GR312,"x","х"),FIND("х",SUBSTITUTE(GR312,"x","х"))-1),3)&gt;3,Каталог!$S$9,1))))</f>
        <v>1</v>
      </c>
      <c r="GY312">
        <f t="shared" si="439"/>
        <v>0</v>
      </c>
    </row>
    <row r="313" spans="1:207" x14ac:dyDescent="0.3">
      <c r="A313" t="s">
        <v>766</v>
      </c>
      <c r="B313">
        <v>2</v>
      </c>
      <c r="C313" t="str">
        <f>IF(BD313="","",IF(BE313="вводной узел","узел ","")&amp;"л."&amp;(INT((BD313-1)/Столбцов_на_лист)+1)&amp;" / "&amp;(MOD(BD313-1,Столбцов_на_лист)+1))</f>
        <v>узел л.1 / 2</v>
      </c>
      <c r="D313" t="s">
        <v>746</v>
      </c>
      <c r="E313" s="133" t="str">
        <f t="shared" si="352"/>
        <v>Вводной кабель Шлейф №1</v>
      </c>
      <c r="G313" t="s">
        <v>18</v>
      </c>
      <c r="H313">
        <v>1</v>
      </c>
      <c r="I313">
        <v>3</v>
      </c>
      <c r="J313">
        <v>400</v>
      </c>
      <c r="K313" t="s">
        <v>551</v>
      </c>
      <c r="O313" t="s">
        <v>1298</v>
      </c>
      <c r="P313">
        <v>51</v>
      </c>
      <c r="Q313">
        <v>34</v>
      </c>
      <c r="R313">
        <v>12</v>
      </c>
      <c r="T313">
        <v>1</v>
      </c>
      <c r="U313" t="s">
        <v>11</v>
      </c>
      <c r="V313">
        <v>5</v>
      </c>
      <c r="W313">
        <v>10</v>
      </c>
      <c r="X313">
        <v>40</v>
      </c>
      <c r="AL313" t="s">
        <v>1301</v>
      </c>
      <c r="AR313" t="str">
        <f t="shared" si="353"/>
        <v/>
      </c>
      <c r="AS313" cm="1">
        <f t="array" ref="AS313">ROW()-ROW(Линии[#Headers])</f>
        <v>311</v>
      </c>
      <c r="AT313" t="str">
        <f t="shared" si="354"/>
        <v>Ввод</v>
      </c>
      <c r="AU313" t="str">
        <f t="shared" si="355"/>
        <v>1</v>
      </c>
      <c r="AV313" t="str">
        <f t="shared" si="356"/>
        <v>1</v>
      </c>
      <c r="AW313" t="str">
        <f t="shared" si="357"/>
        <v/>
      </c>
      <c r="AX313" t="str">
        <f t="shared" si="358"/>
        <v/>
      </c>
      <c r="AY313" t="str">
        <f>IF(D313="","",IF(ISERROR(SEARCH(".",D313)),IFERROR(VLOOKUP(D313,Потребители_обозначение,2,FALSE)&amp;"",""),IFERROR(IF(VLOOKUP(AT313,Потребители_обозначение,4,FALSE)=1,VLOOKUP(AT313,Потребители_обозначение,2,FALSE)&amp;" "&amp;VLOOKUP(AV313,Этаж_обозначение,2,FALSE)&amp;" Пом. №"&amp;AX313,VLOOKUP(AT313,Потребители_обозначение,2,FALSE)&amp;" Шлейф №"&amp;AV313),IFERROR(VLOOKUP(D313,Потребители_обозначение,2,FALSE),""))))</f>
        <v>Вводной кабель Шлейф №1</v>
      </c>
      <c r="AZ313" t="str">
        <f t="shared" si="359"/>
        <v>Вводной кабель Шлейф №1</v>
      </c>
      <c r="BA313" t="str">
        <f>IF(F313&lt;&gt;"",F313,IF(AND(D313&lt;&gt;"",D313&lt;&gt;A313,ISNUMBER(_xlfn.XMATCH(D313,Щиты[Щит]))),D313,""))</f>
        <v/>
      </c>
      <c r="BB313">
        <f>IFERROR(_xlfn.XMATCH(A313,Щиты[Щит]),0)</f>
        <v>12</v>
      </c>
      <c r="BC313">
        <f>IFERROR(N(_xlfn.XLOOKUP(A313,Щиты[Щит],Щиты[Мест под вводной узел])),15)</f>
        <v>11</v>
      </c>
      <c r="BD313">
        <f t="shared" si="360"/>
        <v>2</v>
      </c>
      <c r="BE313" t="str">
        <f t="shared" si="361"/>
        <v>вводной узел</v>
      </c>
      <c r="BF313">
        <f>IF(D313="","",IF(BA313&lt;&gt;"",IFERROR(_xlfn.XLOOKUP(BA313,Щиты[Щит],Щиты[Руст, кВт]),0),N(G313)))</f>
        <v>0</v>
      </c>
      <c r="BG313">
        <f>IF(J313&lt;&gt;"",J313,IF(D313="","",IFERROR(IF(VLOOKUP(AT313,Потребители_обозначение,8,FALSE)=0,"",VLOOKUP(AT313,Потребители_обозначение,8,FALSE)),"")))</f>
        <v>400</v>
      </c>
      <c r="BH313">
        <f>IF(I313&lt;&gt;"",I313,IF(D313="","",IFERROR(IF(VLOOKUP(AT313,Потребители_обозначение,9,FALSE)=0,"",VLOOKUP(AT313,Потребители_обозначение,9,FALSE)),"")))</f>
        <v>3</v>
      </c>
      <c r="BI313" t="str">
        <f>IF(U313&lt;&gt;"",U313,IF(D313="","",IFERROR(IF(VLOOKUP(AT313,Потребители_обозначение,6,FALSE)=0,"",VLOOKUP(AT313,Потребители_обозначение,6,FALSE)),"")))</f>
        <v>мс</v>
      </c>
      <c r="BJ313">
        <f>IF(V313&lt;&gt;"",V313,IF(D313="","",IFERROR(IF(VLOOKUP(AT313,Потребители_обозначение,7,FALSE)=0,"",VLOOKUP(AT313,Потребители_обозначение,7,FALSE)),"")))</f>
        <v>5</v>
      </c>
      <c r="BK313">
        <f>IF(W313&lt;&gt;"",W313,IF(D313="","",IFERROR(IF(VLOOKUP(AT313,Потребители_обозначение,10,FALSE)=0,"",VLOOKUP(AT313,Потребители_обозначение,10,FALSE)),"")))</f>
        <v>10</v>
      </c>
      <c r="BL313">
        <f>IFERROR(VLOOKUP(AT313,Потребители_обозначение,5,FALSE),0)</f>
        <v>1</v>
      </c>
      <c r="BM313" cm="1">
        <f t="array" ref="BM313">IF(D313="","",IF(BA313&lt;&gt;"",IFERROR(_xlfn.XLOOKUP(BA313,Щиты[Щит],Щиты[cos φ]),0.95),IF(ISNUMBER(M313),M313,IFERROR(IF(BL313=2,_xlfn.IFS(BH313=3,VLOOKUP(BF313,Справочная_двигатели,8,FALSE),BH313=1,VLOOKUP(BF313,Справочная_двигатели,10,TRUE)),IF(AND(Методика="нормы 2026",CN313="Сил"),0.8,0.95)),0.95))))</f>
        <v>0.95</v>
      </c>
      <c r="BN313" cm="1">
        <f t="array" ref="BN313">IF(D313="","",IF(BA313&lt;&gt;"",IFERROR(_xlfn.XLOOKUP(BA313,Щиты[Щит],Щиты[Iр, А]),""),IFERROR(_xlfn.IFS(BH313=1,BF313/((Uн_лин/SQRT(3))*BM313),BH313=3,BF313/(SQRT(3)*Uн_лин*BM313)),"")))</f>
        <v>0</v>
      </c>
      <c r="BO313">
        <f>IF(D313="","",IF(N(X313)=0,IFERROR(VLOOKUP(BN313,Автомат_номиналы,2,TRUE),""),X313))</f>
        <v>40</v>
      </c>
      <c r="BP313">
        <f t="shared" si="362"/>
        <v>0.92</v>
      </c>
      <c r="BQ313">
        <f>IF(ISNUMBER(Y313),Y313,К_прокл)</f>
        <v>1</v>
      </c>
      <c r="BR313">
        <f t="shared" si="363"/>
        <v>3</v>
      </c>
      <c r="BS313" cm="1">
        <f t="array" ref="BS313">IF(D313="","",IF(N(BK313)&lt;&gt;0,BK313,IFERROR(_xlfn.LET(_xlpm.need,BO313/(BP313*BQ313),_xlpm.t,CHOOSE(BR313,Iдоп_1ж,Iдоп_2ж,Iдоп_3ж),_xlpm.k,_xlfn.XMATCH(_xlpm.need,_xlpm.t,1),IF(ISNA(_xlpm.k),"Не исп",INDEX(Iдоп_S,_xlpm.k))),"Не исп")))</f>
        <v>10</v>
      </c>
      <c r="BT313">
        <f>IFERROR(VLOOKUP(BS313,Кабель_сопротивление,3,FALSE),"")</f>
        <v>2.2499999999999999E-2</v>
      </c>
      <c r="BU313">
        <f>IFERROR(VLOOKUP(BS313,Кабель_сопротивление,2,FALSE),"")</f>
        <v>7.2999999999999995E-2</v>
      </c>
      <c r="BV313">
        <f t="shared" si="364"/>
        <v>51</v>
      </c>
      <c r="BW313">
        <f>IF(D313="","",IFERROR(IF(VLOOKUP(AT313,Потребители_обозначение,4,FALSE)=1,VLOOKUP(AT313,Потребители_обозначение,3,FALSE)*(H313*2-1)+BV313+VLOOKUP(AV313,Этаж_обозначение,3,FALSE)+VLOOKUP(AV313,Этаж_обозначение,4,FALSE),VLOOKUP(AT313,Потребители_обозначение,3,FALSE)*(H313*2-1)+BV313),BV313))</f>
        <v>51</v>
      </c>
      <c r="BX313">
        <f t="shared" si="365"/>
        <v>12</v>
      </c>
      <c r="BY313">
        <f t="shared" si="366"/>
        <v>0</v>
      </c>
      <c r="BZ313">
        <f t="shared" si="367"/>
        <v>1</v>
      </c>
      <c r="CA313">
        <f t="shared" si="368"/>
        <v>0.31</v>
      </c>
      <c r="CB313">
        <f t="shared" si="369"/>
        <v>0</v>
      </c>
      <c r="CC313">
        <f>IFERROR(ROUNDUP(CB313/((Uн_лин/SQRT(3))*1000)*100,2),"")</f>
        <v>0</v>
      </c>
      <c r="CD313">
        <f>IF(ISNUMBER(CC313),CC313+IFERROR(_xlfn.XLOOKUP(A313,Щиты[Щит],Щиты[ΔU до шин, %]),0),"")</f>
        <v>0.85</v>
      </c>
      <c r="CE313">
        <f>IF(D313="","",IF(IFERROR(VLOOKUP(AT313,УГО_спр,2,FALSE),"")="Светильник",3,4)+IF(Методика="нормы 2026",MIN(0.5,MAX(0,N(BW313)-100)*0.005),0))</f>
        <v>4</v>
      </c>
      <c r="CF313" t="str">
        <f>IFERROR(VLOOKUP(BI313,Кабель_обозначение,2,FALSE),"")</f>
        <v>ВВГнг(А)-LS</v>
      </c>
      <c r="CG313" t="str">
        <f>IFERROR(IF(VLOOKUP(BI313,Кабель_обозначение,3,FALSE)=1,CF313&amp;" ("&amp;BJ313&amp;"х"&amp;BS313&amp;")",CF313),"")</f>
        <v>ВВГнг(А)-LS (5х10)</v>
      </c>
      <c r="CH313" t="str">
        <f t="shared" si="370"/>
        <v/>
      </c>
      <c r="CI313">
        <f>IFERROR(2*ρкз_Cu*BW313/BS313,"")</f>
        <v>0.26826</v>
      </c>
      <c r="CJ313">
        <f t="shared" si="371"/>
        <v>8.925000000000001E-2</v>
      </c>
      <c r="CK313" t="str">
        <f>IFERROR(IF(OR(D313="",NOT(ISNUMBER(BS313)),N(BW313)=0),"",_xlfn.XLOOKUP(A313,Щиты[Щит],Щиты[Zпетли на шинах, Ом])+CI313),"")</f>
        <v/>
      </c>
      <c r="CL313" t="str">
        <f>IF(ISNUMBER(CK313),c_min*(Uн_лин*1000/SQRT(3))/CK313,"")</f>
        <v/>
      </c>
      <c r="CM313" t="str">
        <f>IFERROR(IF(OR(D313="",NOT(ISNUMBER(BS313))),"",1.05*(Uн_лин*1000/SQRT(3))/(_xlfn.XLOOKUP(A313,Щиты[Щит],Щиты[Zmax на шинах, Ом])+CJ313)/1000),"")</f>
        <v/>
      </c>
      <c r="CN313" t="str">
        <f>IF(D313="","",IF(BA313&lt;&gt;"","Щит",IF(K313&lt;&gt;"",K313,IF(ISNUMBER(L313),"Сил",IF(IFERROR(_xlfn.XLOOKUP(AT313,Коды_код,Коды_группа)&amp;"","")="","Быт",_xlfn.XLOOKUP(AT313,Коды_код,Коды_группа)&amp;"")))))</f>
        <v>Нет</v>
      </c>
      <c r="CO313">
        <f>IF(CN313="Щит","щит",IF(CN313="","",IF(CN313="Быт",IFERROR(_xlfn.XLOOKUP(A313,Щиты[Щит],Щиты[Кс быт]),1),IF(CN313="Сил",IF(ISNUMBER(L313),L313,IF(Методика="нормы 2026",IFERROR(_xlfn.XLOOKUP(A313,Щиты[Щит],Щиты[Кс силовых (табл. 7.5)]),1),1)),IF(OR(CN313="Пост",CN313="Отоп"),1,IF(CN313="ВНГ",0.7,0))))))</f>
        <v>0</v>
      </c>
      <c r="CP313">
        <f t="shared" si="372"/>
        <v>1</v>
      </c>
      <c r="CQ313">
        <f t="shared" si="373"/>
        <v>0</v>
      </c>
      <c r="CR313">
        <f t="shared" si="374"/>
        <v>0</v>
      </c>
      <c r="CS313">
        <f t="shared" si="375"/>
        <v>0</v>
      </c>
      <c r="CT313">
        <f t="shared" si="376"/>
        <v>0</v>
      </c>
      <c r="CU313">
        <f t="shared" si="377"/>
        <v>0</v>
      </c>
      <c r="CV313">
        <f t="shared" si="378"/>
        <v>0</v>
      </c>
      <c r="CW313">
        <f t="shared" si="379"/>
        <v>0</v>
      </c>
      <c r="CX313">
        <f t="shared" si="380"/>
        <v>0</v>
      </c>
      <c r="CY313">
        <f t="shared" si="381"/>
        <v>0</v>
      </c>
      <c r="CZ313" t="str">
        <f t="shared" si="382"/>
        <v>L1,L2,L3</v>
      </c>
      <c r="DA313" cm="1">
        <f t="array" ref="DA313">IFERROR(IF(BL313=2,_xlfn.IFS(BH313=3,VLOOKUP(BF313,Справочная_двигатели,3,FALSE),BH313=1,VLOOKUP(BF313,Справочная_двигатели,5,TRUE)),0),0)</f>
        <v>0</v>
      </c>
      <c r="DB313">
        <f>IFERROR(IF(BL313=3,VLOOKUP(BF313,Справочная_ЛЭД,2,TRUE),0),0)</f>
        <v>0</v>
      </c>
      <c r="DC313">
        <f t="shared" si="383"/>
        <v>0</v>
      </c>
      <c r="DD313" t="str">
        <f t="shared" si="384"/>
        <v>L1,L2,L3</v>
      </c>
      <c r="DE313" t="str" cm="1">
        <f t="array" ref="DE313">IF(D313="","",IFERROR(INDEX({"I особая","I","II","III"},MATCH(TRIM(AA313&amp;""),{"I особая","I","II","III"},0)),"III"))</f>
        <v>III</v>
      </c>
      <c r="DF313" t="str">
        <f>IF(D313="","",IF(TRIM(AB313&amp;"")&lt;&gt;"",IF(LOWER(TRIM(AB313&amp;""))="да","да","нет"),IF(IFERROR(_xlfn.XLOOKUP(AT313,Коды_код,Коды_пожарная),"")="да","да","нет")))</f>
        <v>нет</v>
      </c>
      <c r="DG313" t="str">
        <f t="shared" si="385"/>
        <v/>
      </c>
      <c r="DH313" t="str">
        <f t="shared" si="386"/>
        <v>основная</v>
      </c>
      <c r="DI313">
        <f t="shared" si="387"/>
        <v>1</v>
      </c>
      <c r="DJ313" t="str" cm="1">
        <f t="array" ref="DJ313">IF(D313="","",_xlfn.LET(_xlpm.t,IFERROR(_xlfn.XLOOKUP(1,(Шины[Шина]=DH313)*(((Шины[Щит]=A313)+(Шины[Щит]=""))&gt;0),Шины[Тип]),"")&amp;"",IF(_xlpm.t&lt;&gt;"",_xlpm.t,IF(ISNUMBER(SEARCH("ИБП",DH313)),"ИБП",IF(ISNUMBER(SEARCH("ДГУ",DH313)),"ДГУ","Ввод "&amp;DI313)))))</f>
        <v>Ввод 1</v>
      </c>
      <c r="DK313" t="str">
        <f t="shared" si="388"/>
        <v>Ввод 1</v>
      </c>
      <c r="DL313" t="str">
        <f>IF(D313="","",IF(OR(DJ313="ИБП",DJ313="ДГУ"),"I особая",IF(DJ313="Одиночная","III",_xlfn.XLOOKUP(A313,Щиты[Щит],Щиты[Категория шины «Ввод»],"III"))))</f>
        <v>II</v>
      </c>
      <c r="DM313">
        <f>IF(D313="",0,IFERROR(MATCH(DE313,{"III","II","I","I особая"},0),1))</f>
        <v>1</v>
      </c>
      <c r="DN313">
        <f t="shared" si="389"/>
        <v>1</v>
      </c>
      <c r="DO313" t="str">
        <f>IF(D313="","",IF(DM313&gt;IFERROR(MATCH(DL313,{"III","II","I","I особая"},0),1),"НЕ ОБЕСПЕЧЕНА","ОК"))</f>
        <v>ОК</v>
      </c>
      <c r="DP313" t="str">
        <f>IF(A313="","",_xlfn.XLOOKUP(A313,Щиты[Щит],Щиты[Путь],""))</f>
        <v>|ГРЩ-ЖД|ЩС-Б|</v>
      </c>
      <c r="DQ313" t="str">
        <f>IF(D313="","",IF(Z313&lt;&gt;"",Z313,IF(IFERROR(_xlfn.XLOOKUP(AT313,Коды_код,Коды_вид)&amp;"","")="","Прочее",_xlfn.XLOOKUP(AT313,Коды_код,Коды_вид)&amp;"")))</f>
        <v>Прочее</v>
      </c>
      <c r="DR313">
        <f>IF(BD313="","",INT((BD313-1)/Столбцов_на_лист)+1)</f>
        <v>1</v>
      </c>
      <c r="DS313" t="str">
        <f t="shared" si="390"/>
        <v/>
      </c>
      <c r="DT313">
        <f t="shared" si="391"/>
        <v>0</v>
      </c>
      <c r="DU313">
        <f t="shared" si="392"/>
        <v>0</v>
      </c>
      <c r="DV313">
        <f t="shared" si="393"/>
        <v>3</v>
      </c>
      <c r="DW313">
        <f>IF(AT313="",0,_xlfn.LET(_xlpm.v,IFERROR(VLOOKUP(D313,УГО_спр,3,FALSE),IFERROR(VLOOKUP(AT313,УГО_спр,3,FALSE),IFERROR(VLOOKUP(LEFT(AT313,2),УГО_спр,3,FALSE),""))),IF(_xlpm.v="да",30,IF(ISNUMBER(_xlpm.v),_xlpm.v,0))))</f>
        <v>0</v>
      </c>
      <c r="DX313">
        <f t="shared" si="394"/>
        <v>0</v>
      </c>
      <c r="DY313" t="str">
        <f>IF(BD313="","",IF(AD313&lt;&gt;"",COUNTIFS(A$3:A313,A313,AD$3:AD313,"?*"),IF(OR(OR(AS313=1,A313&lt;&gt;A312),AL313="вручную"),"",IF(AS313=1,"",DZ312))))</f>
        <v/>
      </c>
      <c r="DZ313" t="str">
        <f t="shared" si="395"/>
        <v/>
      </c>
      <c r="EA313">
        <f>IF(D313="",0,MAX(IFERROR(--X313,0),IFERROR(--VLOOKUP(D313,УГО_спр,4,FALSE),IFERROR(--VLOOKUP(AT313,УГО_спр,4,FALSE),IFERROR(--VLOOKUP(LEFT(AT313,2),УГО_спр,4,FALSE),0)))))</f>
        <v>40</v>
      </c>
      <c r="EB313">
        <f>IF(D313="","",IFERROR(LOOKUP(INDEX(CHOOSE(BR313,Iдоп_1ж,Iдоп_2ж,Iдоп_3ж),MATCH(BS313,Iдоп_S,0))*BP313*BQ313,{6,10,16,20,25,32,40,50,63,80,100,125,160,200,250,315,400,500,630}),""))</f>
        <v>50</v>
      </c>
      <c r="EC313" t="str">
        <f>IF(AD313="","",SUMIFS(Линии[_Ток схемы],Линии[_гр.],DY313,Линии[Щит],A313,Линии[_в кабель выше],0))</f>
        <v/>
      </c>
      <c r="ED313" t="str">
        <f>IF(AD313="","",IFERROR(VLOOKUP(EC313,Автомат_номиналы,2,TRUE),""))</f>
        <v/>
      </c>
      <c r="EE313" t="str">
        <f>IF(AD313="","",MAX(N(ED313),_xlfn.MAXIFS(Линии[_мин. по типу],Линии[_гр.],DY313,Линии[Щит],A313)))</f>
        <v/>
      </c>
      <c r="EF313" t="str">
        <f>IF(AD313="","",_xlfn.MINIFS(Линии[_макс. автомат по кабелю],Линии[_гр.],DY313,Линии[Щит],A313))</f>
        <v/>
      </c>
      <c r="EG313" t="str">
        <f>IF(AD313="","",MAX(1,_xlfn.MAXIFS(Линии[_фаз],Линии[_гр.],DY313,Линии[Щит],A313)))</f>
        <v/>
      </c>
      <c r="EH313" t="str">
        <f>IF(AD313="","",IF(AND(AD313&lt;&gt;"авто",AD313&lt;&gt;"+"),IF(ISNUMBER(SEARCH("мА",AD313)),IFERROR(--TRIM(RIGHT(SUBSTITUTE(LEFT(AD313,SEARCH("мА",AD313)-1)," ",REPT(" ",9)),6)),30),0),IF(AE313="нет",0,IF(ISNUMBER(AE313),AE313,IF(AE313="да",30,_xlfn.MINIFS(Линии[_дифзащита по коду, мА],Линии[_гр.],DY313,Линии[Щит],A313,Линии[_дифзащита по коду, мА],"&gt;0"))))))</f>
        <v/>
      </c>
      <c r="EI313" t="str">
        <f t="shared" si="396"/>
        <v/>
      </c>
      <c r="EJ313" t="str">
        <f t="shared" si="397"/>
        <v/>
      </c>
      <c r="EK313" t="str">
        <f t="shared" si="398"/>
        <v/>
      </c>
      <c r="EL313" t="str">
        <f t="shared" si="399"/>
        <v/>
      </c>
      <c r="EM313">
        <f t="shared" si="400"/>
        <v>0</v>
      </c>
      <c r="EN313" t="str">
        <f>IF(AD313="","",IF(EM313=1,MAX(EE313,Мин_автомат_БП),EE313))</f>
        <v/>
      </c>
      <c r="EO313" t="str">
        <f t="shared" si="401"/>
        <v/>
      </c>
      <c r="EP313" t="str">
        <f t="shared" si="402"/>
        <v/>
      </c>
      <c r="EQ313" t="str">
        <f t="shared" si="403"/>
        <v/>
      </c>
      <c r="ER313" t="str">
        <f>IF(OR(AI313="",AI313="-"),"",IFERROR(VLOOKUP(AI313,Модули_спр,2,FALSE),"R"))</f>
        <v/>
      </c>
      <c r="ES313" t="str">
        <f>IF(ER313="","",ER313&amp;"."&amp;COUNTIFS(A$3:A313,A313,ER$3:ER313,ER313))</f>
        <v/>
      </c>
      <c r="ET313" t="str">
        <f t="shared" si="404"/>
        <v/>
      </c>
      <c r="EU313" t="str">
        <f t="shared" si="405"/>
        <v/>
      </c>
      <c r="EV313" t="str">
        <f t="shared" si="406"/>
        <v/>
      </c>
      <c r="EW313" t="str">
        <f t="shared" si="407"/>
        <v/>
      </c>
      <c r="EX313">
        <f t="shared" si="408"/>
        <v>0</v>
      </c>
      <c r="EY313" t="str">
        <f>IF(AK313="нет","",IF(AK313&lt;&gt;"",AK313,IF(EX313=1,"XT"&amp;COUNTIFS(A$3:A313,A313,EX$3:EX313,1),"")))</f>
        <v/>
      </c>
      <c r="EZ313" t="str">
        <f t="shared" si="409"/>
        <v/>
      </c>
      <c r="FA313" t="str">
        <f t="shared" si="410"/>
        <v/>
      </c>
      <c r="FB313" t="str">
        <f t="shared" si="411"/>
        <v/>
      </c>
      <c r="FC313" t="str">
        <f>IF(OR(EV313="",ET313=""),"",IF(EV313&gt;IFERROR(VLOOKUP(EU313,Модули_спр,3,FALSE),99),"ЛИШНИЙ КАНАЛ",IF(AND(AJ313&lt;&gt;"=",COUNTIFS(Линии[_модуль гр.],ET313,Линии[Канал (итог)],EV313,Линии[Канал],"&lt;&gt;=",Линии[Щит],A313)&gt;1),"ДУБЛЬ КАНАЛА","")))</f>
        <v/>
      </c>
      <c r="FD313" t="str">
        <f t="shared" si="412"/>
        <v/>
      </c>
      <c r="FE313" t="str">
        <f t="shared" si="413"/>
        <v/>
      </c>
      <c r="FF313" t="str">
        <f t="shared" si="414"/>
        <v/>
      </c>
      <c r="FG313" t="str">
        <f t="shared" si="415"/>
        <v/>
      </c>
      <c r="FH313" t="str">
        <f t="shared" si="416"/>
        <v/>
      </c>
      <c r="FI313">
        <f t="shared" si="417"/>
        <v>10</v>
      </c>
      <c r="FJ313" t="str">
        <f t="shared" si="418"/>
        <v/>
      </c>
      <c r="FK313" t="str">
        <f>IF(AND(D313="",EZ313=""),"",_xlfn.TEXTJOIN("; ",TRUE,IF(AND(D313&lt;&gt;"",DD313=""),"нет фазы",""),IF(AND(D313&lt;&gt;"",N(DT313)=0,CN313&lt;&gt;"Нет"),"нет мощности",""),IF(AND(EY313&lt;&gt;"",COUNTIFS(Линии[Щит],A313,Линии[Клемма (итог)],EY313)&gt;1),"дубль клеммы "&amp;EY313,""),IF(AND(FB313&lt;&gt;"",FB313&lt;&gt;"ok"),FB313,""),IF(FC313&lt;&gt;"",FC313,""),IF(AND(ISNUMBER(SEARCH("(5х",DS313)),N(DV313)=1),"5 жил на 1 фазе",""),IF(AND(AT313="R",AD313&lt;&gt;"",OR(N(EH313)=0,N(EH313)&gt;30)),"розетка без дифзащиты до 30 мА",""),IFERROR(IF(AND(ISNUMBER(CD313),CD313&gt;CE313),"потери "&amp;FIXED(CD313,1)&amp;" % &gt; "&amp;CE313&amp;" %",""),""),IFERROR(IF(LEFT(FJ313,4)="мало","Iкз мало — отключение &gt; 0,4 с",""),""),IF(AND(D313&lt;&gt;"",BD313=""),"не на схеме","")))</f>
        <v/>
      </c>
      <c r="FL313" t="str">
        <f>IF(AD313="","",_xlfn.LET(_xlpm.t,IFERROR(_xlfn.XLOOKUP(EP313,Каталог!$U$4:$U$500,Каталог!$G$4:$G$500),""),_xlpm.k,SEARCH("кА",_xlpm.t),IFERROR(--TRIM(RIGHT(SUBSTITUTE(MID(_xlpm.t,MAX(1,_xlpm.k-4),_xlpm.k-MAX(1,_xlpm.k-4))," ",REPT(" ",9)),5)),"")))</f>
        <v/>
      </c>
      <c r="FM313" t="str">
        <f>IF(OR(FL313="",AD313=""),"",IF(_xlfn.XLOOKUP(A313,Щиты[Щит],Щиты[Iкз max на шинах, кА],"")="","",IF(FL313&lt;_xlfn.XLOOKUP(A313,Щиты[Щит],Щиты[Iкз max на шинах, кА]),"Icu "&amp;FL313&amp;" кА &lt; Iкз max","ok")))</f>
        <v/>
      </c>
      <c r="FN313" t="str">
        <f t="shared" si="419"/>
        <v/>
      </c>
      <c r="FO313" t="str">
        <f t="shared" si="420"/>
        <v/>
      </c>
      <c r="FP313" t="str" cm="1">
        <f t="array" ref="FP313">IF(FO313="","",_xlfn.LET(_xlpm.nd,_xlfn.TEXTSPLIT(FO313,"|"),IF(COLUMNS(_xlpm.nd)&gt;1,A313&amp;"¦"&amp;INDEX(_xlpm.nd,1)&amp;"¦"&amp;INDEX(_xlpm.nd,2),"")))</f>
        <v/>
      </c>
      <c r="FQ313" t="str">
        <f t="shared" si="421"/>
        <v/>
      </c>
      <c r="FR313" t="str" cm="1">
        <f t="array" ref="FR313">IF(FO313="","",_xlfn.LET(_xlpm.nd,_xlfn.TEXTSPLIT(FO313,"|"),IF(COLUMNS(_xlpm.nd)&gt;2,A313&amp;"¦"&amp;INDEX(_xlpm.nd,2)&amp;"¦"&amp;INDEX(_xlpm.nd,3),"")))</f>
        <v/>
      </c>
      <c r="FS313" t="str">
        <f t="shared" si="422"/>
        <v/>
      </c>
      <c r="FT313" t="str" cm="1">
        <f t="array" ref="FT313">IF(FO313="","",_xlfn.LET(_xlpm.nd,_xlfn.TEXTSPLIT(FO313,"|"),IF(COLUMNS(_xlpm.nd)&gt;3,A313&amp;"¦"&amp;INDEX(_xlpm.nd,3)&amp;"¦"&amp;INDEX(_xlpm.nd,4),"")))</f>
        <v/>
      </c>
      <c r="FU313" t="str">
        <f t="shared" si="423"/>
        <v/>
      </c>
      <c r="FV313" t="str" cm="1">
        <f t="array" ref="FV313">IF(FO313="","",_xlfn.LET(_xlpm.nd,_xlfn.TEXTSPLIT(FO313,"|"),IF(COLUMNS(_xlpm.nd)&gt;4,A313&amp;"¦"&amp;INDEX(_xlpm.nd,4)&amp;"¦"&amp;INDEX(_xlpm.nd,5),"")))</f>
        <v/>
      </c>
      <c r="FW313" t="str">
        <f t="shared" si="424"/>
        <v/>
      </c>
      <c r="FX313" t="str" cm="1">
        <f t="array" ref="FX313">IF(FO313="","",_xlfn.LET(_xlpm.nd,_xlfn.TEXTSPLIT(FO313,"|"),IF(COLUMNS(_xlpm.nd)&gt;5,A313&amp;"¦"&amp;INDEX(_xlpm.nd,5)&amp;"¦"&amp;INDEX(_xlpm.nd,6),"")))</f>
        <v/>
      </c>
      <c r="FY313" t="str">
        <f t="shared" si="425"/>
        <v/>
      </c>
      <c r="FZ313" t="str" cm="1">
        <f t="array" ref="FZ313">IF(FO313="","",_xlfn.LET(_xlpm.nd,_xlfn.TEXTSPLIT(FO313,"|"),IF(COLUMNS(_xlpm.nd)&gt;6,A313&amp;"¦"&amp;INDEX(_xlpm.nd,6)&amp;"¦"&amp;INDEX(_xlpm.nd,7),"")))</f>
        <v/>
      </c>
      <c r="GA313" t="str">
        <f t="shared" si="426"/>
        <v/>
      </c>
      <c r="GB313" t="str">
        <f t="shared" si="427"/>
        <v/>
      </c>
      <c r="GC313" t="str">
        <f t="shared" si="428"/>
        <v/>
      </c>
      <c r="GD313">
        <f t="shared" si="429"/>
        <v>0</v>
      </c>
      <c r="GE313">
        <f t="shared" si="430"/>
        <v>0</v>
      </c>
      <c r="GF313">
        <f t="shared" si="431"/>
        <v>0</v>
      </c>
      <c r="GG313" t="str">
        <f t="shared" si="432"/>
        <v/>
      </c>
      <c r="GH313" t="str">
        <f t="shared" si="433"/>
        <v/>
      </c>
      <c r="GI313" t="str">
        <f t="shared" si="434"/>
        <v/>
      </c>
      <c r="GJ313" t="str">
        <f t="shared" si="435"/>
        <v/>
      </c>
      <c r="GK313">
        <f>IF(D313="","",IFERROR(VLOOKUP(D313,УГО_спр,2,FALSE),IFERROR(VLOOKUP(AT313,УГО_спр,2,FALSE),IFERROR(VLOOKUP(LEFT(AT313,2),УГО_спр,2,FALSE),""))))</f>
        <v>0</v>
      </c>
      <c r="GL313" t="str">
        <f>IF(D313="","",IF(OR(GK313="",GK313=0),"BOX",IFERROR(IF(VLOOKUP(GK313,УГО_блоки,3,FALSE)&amp;""&lt;&gt;"",VLOOKUP(GK313,УГО_блоки,3,FALSE),VLOOKUP(GK313,УГО_блоки,2,FALSE)),GK313)))</f>
        <v>BOX</v>
      </c>
      <c r="GM313">
        <f t="shared" si="436"/>
        <v>1</v>
      </c>
      <c r="GN313" t="str">
        <f>IF(EP313="","",IF(COUNTIF(EP$3:EP313,EP313)=1,MAX(GN$2:GN312)+1,""))</f>
        <v/>
      </c>
      <c r="GO313" t="str">
        <f>IF(AF313="","",IF(COUNTIF(AF$3:AF313,AF313)+COUNTIF(AG$2:AG312,AF313)+COUNTIF(AH$2:AH312,AF313)=1,MAX(GO$2:GQ312)+1,""))</f>
        <v/>
      </c>
      <c r="GP313" t="str">
        <f>IF(AG313="","",IF(COUNTIF(AF$3:AF313,AG313)+COUNTIF(AG$3:AG313,AG313)+COUNTIF(AH$2:AH312,AG313)=1,MAX(GO$2:GQ312,GO313)+1,""))</f>
        <v/>
      </c>
      <c r="GQ313" t="str">
        <f>IF(AH313="","",IF(COUNTIF(AF$3:AF313,AH313)+COUNTIF(AG$3:AG313,AH313)+COUNTIF(AH$3:AH313,AH313)=1,MAX(GO$2:GQ312,GO313,GP313)+1,""))</f>
        <v/>
      </c>
      <c r="GR313" t="str">
        <f t="shared" si="437"/>
        <v/>
      </c>
      <c r="GS313" t="str">
        <f>IF(GR313="","",IF(COUNTIF(GR$3:GR313,GR313)=1,MAX(GS$2:GS312)+1,""))</f>
        <v/>
      </c>
      <c r="GT313" t="str">
        <f>IF(ES313="","",COUNTIF(ES$3:ES313,"?*"))</f>
        <v/>
      </c>
      <c r="GU313" t="str">
        <f>IF(OR(ES313="",EU313=""),"",IF(COUNTIFS(ES$3:ES313,"?*",EU$3:EU313,EU313)=1,MAX(GU$2:GU312)+1,""))</f>
        <v/>
      </c>
      <c r="GV313">
        <f t="shared" si="438"/>
        <v>0</v>
      </c>
      <c r="GW313">
        <f>IF(D313="","",COUNTIF(D$3:D313,"?*"))</f>
        <v>311</v>
      </c>
      <c r="GX313">
        <f>IF(EX313&lt;&gt;1,0,_xlfn.LET(_xlpm.k,MAX(IFERROR(--VLOOKUP(D313,УГО_спр,5,FALSE),0),IFERROR(--VLOOKUP(AT313,УГО_спр,5,FALSE),0),IFERROR(--VLOOKUP(LEFT(AT313,2),УГО_спр,5,FALSE),0)),IF(_xlpm.k&gt;0,_xlpm.k,IF(IFERROR(--LEFT(SUBSTITUTE(GR313,"x","х"),FIND("х",SUBSTITUTE(GR313,"x","х"))-1),3)&gt;3,Каталог!$S$9,1))))</f>
        <v>0</v>
      </c>
      <c r="GY313">
        <f t="shared" si="439"/>
        <v>0</v>
      </c>
    </row>
    <row r="314" spans="1:207" x14ac:dyDescent="0.3">
      <c r="A314" t="s">
        <v>766</v>
      </c>
      <c r="B314">
        <v>12</v>
      </c>
      <c r="C314" t="str">
        <f>IF(BD314="","",IF(BE314="вводной узел","узел ","")&amp;"л."&amp;(INT((BD314-1)/Столбцов_на_лист)+1)&amp;" / "&amp;(MOD(BD314-1,Столбцов_на_лист)+1))</f>
        <v>л.1 / 12</v>
      </c>
      <c r="D314" t="s">
        <v>1649</v>
      </c>
      <c r="E314" s="133" t="s">
        <v>1650</v>
      </c>
      <c r="G314">
        <v>12.45</v>
      </c>
      <c r="H314">
        <v>1</v>
      </c>
      <c r="I314">
        <v>3</v>
      </c>
      <c r="J314">
        <v>400</v>
      </c>
      <c r="K314" t="s">
        <v>602</v>
      </c>
      <c r="L314">
        <v>0.5</v>
      </c>
      <c r="O314" t="s">
        <v>1298</v>
      </c>
      <c r="P314">
        <v>18</v>
      </c>
      <c r="Q314">
        <v>3</v>
      </c>
      <c r="R314">
        <v>15</v>
      </c>
      <c r="T314">
        <v>1</v>
      </c>
      <c r="U314" t="s">
        <v>11</v>
      </c>
      <c r="V314">
        <v>5</v>
      </c>
      <c r="W314">
        <v>4</v>
      </c>
      <c r="X314">
        <v>20</v>
      </c>
      <c r="Z314" t="s">
        <v>604</v>
      </c>
      <c r="AD314" t="s">
        <v>517</v>
      </c>
      <c r="AR314" t="str">
        <f t="shared" si="353"/>
        <v/>
      </c>
      <c r="AS314" cm="1">
        <f t="array" ref="AS314">ROW()-ROW(Линии[#Headers])</f>
        <v>312</v>
      </c>
      <c r="AT314" t="str">
        <f t="shared" si="354"/>
        <v>Э</v>
      </c>
      <c r="AU314" t="str">
        <f t="shared" si="355"/>
        <v>1</v>
      </c>
      <c r="AV314" t="str">
        <f t="shared" si="356"/>
        <v>1</v>
      </c>
      <c r="AW314" t="str">
        <f t="shared" si="357"/>
        <v/>
      </c>
      <c r="AX314" t="str">
        <f t="shared" si="358"/>
        <v/>
      </c>
      <c r="AY314" t="str">
        <f>IF(D314="","",IF(ISERROR(SEARCH(".",D314)),IFERROR(VLOOKUP(D314,Потребители_обозначение,2,FALSE)&amp;"",""),IFERROR(IF(VLOOKUP(AT314,Потребители_обозначение,4,FALSE)=1,VLOOKUP(AT314,Потребители_обозначение,2,FALSE)&amp;" "&amp;VLOOKUP(AV314,Этаж_обозначение,2,FALSE)&amp;" Пом. №"&amp;AX314,VLOOKUP(AT314,Потребители_обозначение,2,FALSE)&amp;" Шлейф №"&amp;AV314),IFERROR(VLOOKUP(D314,Потребители_обозначение,2,FALSE),""))))</f>
        <v>Управляющий электрощит бассейна Первый этаж Пом. №</v>
      </c>
      <c r="AZ314" t="str">
        <f t="shared" si="359"/>
        <v>Управляющий электрощит бассейна Подвальный этаж Пом. 002Тб</v>
      </c>
      <c r="BA314" t="str">
        <f>IF(F314&lt;&gt;"",F314,IF(AND(D314&lt;&gt;"",D314&lt;&gt;A314,ISNUMBER(_xlfn.XMATCH(D314,Щиты[Щит]))),D314,""))</f>
        <v/>
      </c>
      <c r="BB314">
        <f>IFERROR(_xlfn.XMATCH(A314,Щиты[Щит]),0)</f>
        <v>12</v>
      </c>
      <c r="BC314">
        <f>IFERROR(N(_xlfn.XLOOKUP(A314,Щиты[Щит],Щиты[Мест под вводной узел])),15)</f>
        <v>11</v>
      </c>
      <c r="BD314">
        <f t="shared" si="360"/>
        <v>12</v>
      </c>
      <c r="BE314" t="str">
        <f t="shared" si="361"/>
        <v>линии</v>
      </c>
      <c r="BF314">
        <f>IF(D314="","",IF(BA314&lt;&gt;"",IFERROR(_xlfn.XLOOKUP(BA314,Щиты[Щит],Щиты[Руст, кВт]),0),N(G314)))</f>
        <v>12.45</v>
      </c>
      <c r="BG314">
        <f>IF(J314&lt;&gt;"",J314,IF(D314="","",IFERROR(IF(VLOOKUP(AT314,Потребители_обозначение,8,FALSE)=0,"",VLOOKUP(AT314,Потребители_обозначение,8,FALSE)),"")))</f>
        <v>400</v>
      </c>
      <c r="BH314">
        <f>IF(I314&lt;&gt;"",I314,IF(D314="","",IFERROR(IF(VLOOKUP(AT314,Потребители_обозначение,9,FALSE)=0,"",VLOOKUP(AT314,Потребители_обозначение,9,FALSE)),"")))</f>
        <v>3</v>
      </c>
      <c r="BI314" t="str">
        <f>IF(U314&lt;&gt;"",U314,IF(D314="","",IFERROR(IF(VLOOKUP(AT314,Потребители_обозначение,6,FALSE)=0,"",VLOOKUP(AT314,Потребители_обозначение,6,FALSE)),"")))</f>
        <v>мс</v>
      </c>
      <c r="BJ314">
        <f>IF(V314&lt;&gt;"",V314,IF(D314="","",IFERROR(IF(VLOOKUP(AT314,Потребители_обозначение,7,FALSE)=0,"",VLOOKUP(AT314,Потребители_обозначение,7,FALSE)),"")))</f>
        <v>5</v>
      </c>
      <c r="BK314">
        <f>IF(W314&lt;&gt;"",W314,IF(D314="","",IFERROR(IF(VLOOKUP(AT314,Потребители_обозначение,10,FALSE)=0,"",VLOOKUP(AT314,Потребители_обозначение,10,FALSE)),"")))</f>
        <v>4</v>
      </c>
      <c r="BL314">
        <f>IFERROR(VLOOKUP(AT314,Потребители_обозначение,5,FALSE),0)</f>
        <v>1</v>
      </c>
      <c r="BM314" cm="1">
        <f t="array" ref="BM314">IF(D314="","",IF(BA314&lt;&gt;"",IFERROR(_xlfn.XLOOKUP(BA314,Щиты[Щит],Щиты[cos φ]),0.95),IF(ISNUMBER(M314),M314,IFERROR(IF(BL314=2,_xlfn.IFS(BH314=3,VLOOKUP(BF314,Справочная_двигатели,8,FALSE),BH314=1,VLOOKUP(BF314,Справочная_двигатели,10,TRUE)),IF(AND(Методика="нормы 2026",CN314="Сил"),0.8,0.95)),0.95))))</f>
        <v>0.95</v>
      </c>
      <c r="BN314" cm="1">
        <f t="array" ref="BN314">IF(D314="","",IF(BA314&lt;&gt;"",IFERROR(_xlfn.XLOOKUP(BA314,Щиты[Щит],Щиты[Iр, А]),""),IFERROR(_xlfn.IFS(BH314=1,BF314/((Uн_лин/SQRT(3))*BM314),BH314=3,BF314/(SQRT(3)*Uн_лин*BM314)),"")))</f>
        <v>18.915818030028529</v>
      </c>
      <c r="BO314">
        <f>IF(D314="","",IF(N(X314)=0,IFERROR(VLOOKUP(BN314,Автомат_номиналы,2,TRUE),""),X314))</f>
        <v>20</v>
      </c>
      <c r="BP314">
        <f t="shared" si="362"/>
        <v>0.92</v>
      </c>
      <c r="BQ314">
        <f>IF(ISNUMBER(Y314),Y314,К_прокл)</f>
        <v>1</v>
      </c>
      <c r="BR314">
        <f t="shared" si="363"/>
        <v>3</v>
      </c>
      <c r="BS314" cm="1">
        <f t="array" ref="BS314">IF(D314="","",IF(N(BK314)&lt;&gt;0,BK314,IFERROR(_xlfn.LET(_xlpm.need,BO314/(BP314*BQ314),_xlpm.t,CHOOSE(BR314,Iдоп_1ж,Iдоп_2ж,Iдоп_3ж),_xlpm.k,_xlfn.XMATCH(_xlpm.need,_xlpm.t,1),IF(ISNA(_xlpm.k),"Не исп",INDEX(Iдоп_S,_xlpm.k))),"Не исп")))</f>
        <v>4</v>
      </c>
      <c r="BT314">
        <f>IFERROR(VLOOKUP(BS314,Кабель_сопротивление,3,FALSE),"")</f>
        <v>2.2499999999999999E-2</v>
      </c>
      <c r="BU314">
        <f>IFERROR(VLOOKUP(BS314,Кабель_сопротивление,2,FALSE),"")</f>
        <v>9.5000000000000001E-2</v>
      </c>
      <c r="BV314">
        <f t="shared" si="364"/>
        <v>18</v>
      </c>
      <c r="BW314">
        <f>IF(D314="","",IFERROR(IF(VLOOKUP(AT314,Потребители_обозначение,4,FALSE)=1,VLOOKUP(AT314,Потребители_обозначение,3,FALSE)*(H314*2-1)+BV314+VLOOKUP(AV314,Этаж_обозначение,3,FALSE)+VLOOKUP(AV314,Этаж_обозначение,4,FALSE),VLOOKUP(AT314,Потребители_обозначение,3,FALSE)*(H314*2-1)+BV314),BV314))</f>
        <v>21</v>
      </c>
      <c r="BX314">
        <f t="shared" si="365"/>
        <v>15</v>
      </c>
      <c r="BY314">
        <f t="shared" si="366"/>
        <v>0</v>
      </c>
      <c r="BZ314">
        <f t="shared" si="367"/>
        <v>1</v>
      </c>
      <c r="CA314">
        <f t="shared" si="368"/>
        <v>0.31</v>
      </c>
      <c r="CB314">
        <f t="shared" si="369"/>
        <v>2.1344079422179352</v>
      </c>
      <c r="CC314">
        <f>IFERROR(ROUNDUP(CB314/((Uн_лин/SQRT(3))*1000)*100,2),"")</f>
        <v>0.93</v>
      </c>
      <c r="CD314">
        <f>IF(ISNUMBER(CC314),CC314+IFERROR(_xlfn.XLOOKUP(A314,Щиты[Щит],Щиты[ΔU до шин, %]),0),"")</f>
        <v>1.78</v>
      </c>
      <c r="CE314">
        <f>IF(D314="","",IF(IFERROR(VLOOKUP(AT314,УГО_спр,2,FALSE),"")="Светильник",3,4)+IF(Методика="нормы 2026",MIN(0.5,MAX(0,N(BW314)-100)*0.005),0))</f>
        <v>4</v>
      </c>
      <c r="CF314" t="str">
        <f>IFERROR(VLOOKUP(BI314,Кабель_обозначение,2,FALSE),"")</f>
        <v>ВВГнг(А)-LS</v>
      </c>
      <c r="CG314" t="str">
        <f>IFERROR(IF(VLOOKUP(BI314,Кабель_обозначение,3,FALSE)=1,CF314&amp;" ("&amp;BJ314&amp;"х"&amp;BS314&amp;")",CF314),"")</f>
        <v>ВВГнг(А)-LS (5х4)</v>
      </c>
      <c r="CH314" t="str">
        <f t="shared" si="370"/>
        <v>ВВГнг(А)-LS (5х4)
L=21-0,93%</v>
      </c>
      <c r="CI314">
        <f>IFERROR(2*ρкз_Cu*BW314/BS314,"")</f>
        <v>0.27615000000000001</v>
      </c>
      <c r="CJ314">
        <f t="shared" si="371"/>
        <v>9.1875000000000012E-2</v>
      </c>
      <c r="CK314" t="str">
        <f>IFERROR(IF(OR(D314="",NOT(ISNUMBER(BS314)),N(BW314)=0),"",_xlfn.XLOOKUP(A314,Щиты[Щит],Щиты[Zпетли на шинах, Ом])+CI314),"")</f>
        <v/>
      </c>
      <c r="CL314" t="str">
        <f>IF(ISNUMBER(CK314),c_min*(Uн_лин*1000/SQRT(3))/CK314,"")</f>
        <v/>
      </c>
      <c r="CM314" t="str">
        <f>IFERROR(IF(OR(D314="",NOT(ISNUMBER(BS314))),"",1.05*(Uн_лин*1000/SQRT(3))/(_xlfn.XLOOKUP(A314,Щиты[Щит],Щиты[Zmax на шинах, Ом])+CJ314)/1000),"")</f>
        <v/>
      </c>
      <c r="CN314" t="str">
        <f>IF(D314="","",IF(BA314&lt;&gt;"","Щит",IF(K314&lt;&gt;"",K314,IF(ISNUMBER(L314),"Сил",IF(IFERROR(_xlfn.XLOOKUP(AT314,Коды_код,Коды_группа)&amp;"","")="","Быт",_xlfn.XLOOKUP(AT314,Коды_код,Коды_группа)&amp;"")))))</f>
        <v>Сил</v>
      </c>
      <c r="CO314">
        <f>IF(CN314="Щит","щит",IF(CN314="","",IF(CN314="Быт",IFERROR(_xlfn.XLOOKUP(A314,Щиты[Щит],Щиты[Кс быт]),1),IF(CN314="Сил",IF(ISNUMBER(L314),L314,IF(Методика="нормы 2026",IFERROR(_xlfn.XLOOKUP(A314,Щиты[Щит],Щиты[Кс силовых (табл. 7.5)]),1),1)),IF(OR(CN314="Пост",CN314="Отоп"),1,IF(CN314="ВНГ",0.7,0))))))</f>
        <v>0.5</v>
      </c>
      <c r="CP314">
        <f t="shared" si="372"/>
        <v>1</v>
      </c>
      <c r="CQ314">
        <f t="shared" si="373"/>
        <v>12.45</v>
      </c>
      <c r="CR314">
        <f t="shared" si="374"/>
        <v>0</v>
      </c>
      <c r="CS314">
        <f t="shared" si="375"/>
        <v>6.2249999999999996</v>
      </c>
      <c r="CT314">
        <f t="shared" si="376"/>
        <v>0</v>
      </c>
      <c r="CU314">
        <f t="shared" si="377"/>
        <v>0</v>
      </c>
      <c r="CV314">
        <f t="shared" si="378"/>
        <v>0</v>
      </c>
      <c r="CW314">
        <f t="shared" si="379"/>
        <v>12.45</v>
      </c>
      <c r="CX314">
        <f t="shared" si="380"/>
        <v>11.827499999999999</v>
      </c>
      <c r="CY314">
        <f t="shared" si="381"/>
        <v>0</v>
      </c>
      <c r="CZ314" t="str">
        <f t="shared" si="382"/>
        <v>L1,L2,L3</v>
      </c>
      <c r="DA314" cm="1">
        <f t="array" ref="DA314">IFERROR(IF(BL314=2,_xlfn.IFS(BH314=3,VLOOKUP(BF314,Справочная_двигатели,3,FALSE),BH314=1,VLOOKUP(BF314,Справочная_двигатели,5,TRUE)),0),0)</f>
        <v>0</v>
      </c>
      <c r="DB314">
        <f>IFERROR(IF(BL314=3,VLOOKUP(BF314,Справочная_ЛЭД,2,TRUE),0),0)</f>
        <v>0</v>
      </c>
      <c r="DC314">
        <f t="shared" si="383"/>
        <v>0</v>
      </c>
      <c r="DD314" t="str">
        <f t="shared" si="384"/>
        <v>L1,L2,L3</v>
      </c>
      <c r="DE314" t="str" cm="1">
        <f t="array" ref="DE314">IF(D314="","",IFERROR(INDEX({"I особая","I","II","III"},MATCH(TRIM(AA314&amp;""),{"I особая","I","II","III"},0)),"III"))</f>
        <v>III</v>
      </c>
      <c r="DF314" t="str">
        <f>IF(D314="","",IF(TRIM(AB314&amp;"")&lt;&gt;"",IF(LOWER(TRIM(AB314&amp;""))="да","да","нет"),IF(IFERROR(_xlfn.XLOOKUP(AT314,Коды_код,Коды_пожарная),"")="да","да","нет")))</f>
        <v>нет</v>
      </c>
      <c r="DG314" t="str">
        <f t="shared" si="385"/>
        <v/>
      </c>
      <c r="DH314" t="str">
        <f t="shared" si="386"/>
        <v>основная</v>
      </c>
      <c r="DI314">
        <f t="shared" si="387"/>
        <v>1</v>
      </c>
      <c r="DJ314" t="str" cm="1">
        <f t="array" ref="DJ314">IF(D314="","",_xlfn.LET(_xlpm.t,IFERROR(_xlfn.XLOOKUP(1,(Шины[Шина]=DH314)*(((Шины[Щит]=A314)+(Шины[Щит]=""))&gt;0),Шины[Тип]),"")&amp;"",IF(_xlpm.t&lt;&gt;"",_xlpm.t,IF(ISNUMBER(SEARCH("ИБП",DH314)),"ИБП",IF(ISNUMBER(SEARCH("ДГУ",DH314)),"ДГУ","Ввод "&amp;DI314)))))</f>
        <v>Ввод 1</v>
      </c>
      <c r="DK314" t="str">
        <f t="shared" si="388"/>
        <v>Ввод 1</v>
      </c>
      <c r="DL314" t="str">
        <f>IF(D314="","",IF(OR(DJ314="ИБП",DJ314="ДГУ"),"I особая",IF(DJ314="Одиночная","III",_xlfn.XLOOKUP(A314,Щиты[Щит],Щиты[Категория шины «Ввод»],"III"))))</f>
        <v>II</v>
      </c>
      <c r="DM314">
        <f>IF(D314="",0,IFERROR(MATCH(DE314,{"III","II","I","I особая"},0),1))</f>
        <v>1</v>
      </c>
      <c r="DN314">
        <f t="shared" si="389"/>
        <v>1</v>
      </c>
      <c r="DO314" t="str">
        <f>IF(D314="","",IF(DM314&gt;IFERROR(MATCH(DL314,{"III","II","I","I особая"},0),1),"НЕ ОБЕСПЕЧЕНА","ОК"))</f>
        <v>ОК</v>
      </c>
      <c r="DP314" t="str">
        <f>IF(A314="","",_xlfn.XLOOKUP(A314,Щиты[Щит],Щиты[Путь],""))</f>
        <v>|ГРЩ-ЖД|ЩС-Б|</v>
      </c>
      <c r="DQ314" t="str">
        <f>IF(D314="","",IF(Z314&lt;&gt;"",Z314,IF(IFERROR(_xlfn.XLOOKUP(AT314,Коды_код,Коды_вид)&amp;"","")="","Прочее",_xlfn.XLOOKUP(AT314,Коды_код,Коды_вид)&amp;"")))</f>
        <v>Бассейн, SPA, хаммам</v>
      </c>
      <c r="DR314">
        <f>IF(BD314="","",INT((BD314-1)/Столбцов_на_лист)+1)</f>
        <v>1</v>
      </c>
      <c r="DS314" t="str">
        <f t="shared" si="390"/>
        <v>ВВГнг(А)-LS (5х4) L=21-0,93%</v>
      </c>
      <c r="DT314">
        <f t="shared" si="391"/>
        <v>12.45</v>
      </c>
      <c r="DU314">
        <f t="shared" si="392"/>
        <v>18.920000000000002</v>
      </c>
      <c r="DV314">
        <f t="shared" si="393"/>
        <v>3</v>
      </c>
      <c r="DW314">
        <f>IF(AT314="",0,_xlfn.LET(_xlpm.v,IFERROR(VLOOKUP(D314,УГО_спр,3,FALSE),IFERROR(VLOOKUP(AT314,УГО_спр,3,FALSE),IFERROR(VLOOKUP(LEFT(AT314,2),УГО_спр,3,FALSE),""))),IF(_xlpm.v="да",30,IF(ISNUMBER(_xlpm.v),_xlpm.v,0))))</f>
        <v>0</v>
      </c>
      <c r="DX314">
        <f t="shared" si="394"/>
        <v>0</v>
      </c>
      <c r="DY314">
        <f>IF(BD314="","",IF(AD314&lt;&gt;"",COUNTIFS(A$3:A314,A314,AD$3:AD314,"?*"),IF(OR(OR(AS314=1,A314&lt;&gt;A313),AL314="вручную"),"",IF(AS314=1,"",DZ313))))</f>
        <v>1</v>
      </c>
      <c r="DZ314">
        <f t="shared" si="395"/>
        <v>1</v>
      </c>
      <c r="EA314">
        <f>IF(D314="",0,MAX(IFERROR(--X314,0),IFERROR(--VLOOKUP(D314,УГО_спр,4,FALSE),IFERROR(--VLOOKUP(AT314,УГО_спр,4,FALSE),IFERROR(--VLOOKUP(LEFT(AT314,2),УГО_спр,4,FALSE),0)))))</f>
        <v>20</v>
      </c>
      <c r="EB314">
        <f>IF(D314="","",IFERROR(LOOKUP(INDEX(CHOOSE(BR314,Iдоп_1ж,Iдоп_2ж,Iдоп_3ж),MATCH(BS314,Iдоп_S,0))*BP314*BQ314,{6,10,16,20,25,32,40,50,63,80,100,125,160,200,250,315,400,500,630}),""))</f>
        <v>32</v>
      </c>
      <c r="EC314">
        <f>IF(AD314="","",SUMIFS(Линии[_Ток схемы],Линии[_гр.],DY314,Линии[Щит],A314,Линии[_в кабель выше],0))</f>
        <v>18.920000000000002</v>
      </c>
      <c r="ED314">
        <f>IF(AD314="","",IFERROR(VLOOKUP(EC314,Автомат_номиналы,2,TRUE),""))</f>
        <v>25</v>
      </c>
      <c r="EE314">
        <f>IF(AD314="","",MAX(N(ED314),_xlfn.MAXIFS(Линии[_мин. по типу],Линии[_гр.],DY314,Линии[Щит],A314)))</f>
        <v>25</v>
      </c>
      <c r="EF314">
        <f>IF(AD314="","",_xlfn.MINIFS(Линии[_макс. автомат по кабелю],Линии[_гр.],DY314,Линии[Щит],A314))</f>
        <v>32</v>
      </c>
      <c r="EG314">
        <f>IF(AD314="","",MAX(1,_xlfn.MAXIFS(Линии[_фаз],Линии[_гр.],DY314,Линии[Щит],A314)))</f>
        <v>3</v>
      </c>
      <c r="EH314">
        <f>IF(AD314="","",IF(AND(AD314&lt;&gt;"авто",AD314&lt;&gt;"+"),IF(ISNUMBER(SEARCH("мА",AD314)),IFERROR(--TRIM(RIGHT(SUBSTITUTE(LEFT(AD314,SEARCH("мА",AD314)-1)," ",REPT(" ",9)),6)),30),0),IF(AE314="нет",0,IF(ISNUMBER(AE314),AE314,IF(AE314="да",30,_xlfn.MINIFS(Линии[_дифзащита по коду, мА],Линии[_гр.],DY314,Линии[Щит],A314,Линии[_дифзащита по коду, мА],"&gt;0"))))))</f>
        <v>0</v>
      </c>
      <c r="EI314">
        <f t="shared" si="396"/>
        <v>0</v>
      </c>
      <c r="EJ314" t="str">
        <f t="shared" si="397"/>
        <v>QF1</v>
      </c>
      <c r="EK314" t="str">
        <f t="shared" si="398"/>
        <v>QF1</v>
      </c>
      <c r="EL314" t="str">
        <f t="shared" si="399"/>
        <v/>
      </c>
      <c r="EM314">
        <f t="shared" si="400"/>
        <v>0</v>
      </c>
      <c r="EN314">
        <f>IF(AD314="","",IF(EM314=1,MAX(EE314,Мин_автомат_БП),EE314))</f>
        <v>25</v>
      </c>
      <c r="EO314" t="str">
        <f t="shared" si="401"/>
        <v>3P</v>
      </c>
      <c r="EP314" t="str">
        <f t="shared" si="402"/>
        <v>3P С25А</v>
      </c>
      <c r="EQ314">
        <f t="shared" si="403"/>
        <v>25</v>
      </c>
      <c r="ER314" t="str">
        <f>IF(OR(AI314="",AI314="-"),"",IFERROR(VLOOKUP(AI314,Модули_спр,2,FALSE),"R"))</f>
        <v/>
      </c>
      <c r="ES314" t="str">
        <f>IF(ER314="","",ER314&amp;"."&amp;COUNTIFS(A$3:A314,A314,ER$3:ER314,ER314))</f>
        <v/>
      </c>
      <c r="ET314" t="str">
        <f t="shared" si="404"/>
        <v/>
      </c>
      <c r="EU314" t="str">
        <f t="shared" si="405"/>
        <v/>
      </c>
      <c r="EV314" t="str">
        <f t="shared" si="406"/>
        <v/>
      </c>
      <c r="EW314" t="str">
        <f t="shared" si="407"/>
        <v/>
      </c>
      <c r="EX314">
        <f t="shared" si="408"/>
        <v>1</v>
      </c>
      <c r="EY314" t="str">
        <f>IF(AK314="нет","",IF(AK314&lt;&gt;"",AK314,IF(EX314=1,"XT"&amp;COUNTIFS(A$3:A314,A314,EX$3:EX314,1),"")))</f>
        <v>XT1</v>
      </c>
      <c r="EZ314" t="str">
        <f t="shared" si="409"/>
        <v>QF1</v>
      </c>
      <c r="FA314" t="str">
        <f t="shared" si="410"/>
        <v/>
      </c>
      <c r="FB314" t="str">
        <f t="shared" si="411"/>
        <v>ok</v>
      </c>
      <c r="FC314" t="str">
        <f>IF(OR(EV314="",ET314=""),"",IF(EV314&gt;IFERROR(VLOOKUP(EU314,Модули_спр,3,FALSE),99),"ЛИШНИЙ КАНАЛ",IF(AND(AJ314&lt;&gt;"=",COUNTIFS(Линии[_модуль гр.],ET314,Линии[Канал (итог)],EV314,Линии[Канал],"&lt;&gt;=",Линии[Щит],A314)&gt;1),"ДУБЛЬ КАНАЛА","")))</f>
        <v/>
      </c>
      <c r="FD314">
        <f t="shared" si="412"/>
        <v>25</v>
      </c>
      <c r="FE314" t="str">
        <f t="shared" si="413"/>
        <v>3P С25А</v>
      </c>
      <c r="FF314">
        <f t="shared" si="414"/>
        <v>0</v>
      </c>
      <c r="FG314">
        <f t="shared" si="415"/>
        <v>0</v>
      </c>
      <c r="FH314" t="str">
        <f t="shared" si="416"/>
        <v/>
      </c>
      <c r="FI314">
        <f t="shared" si="417"/>
        <v>10</v>
      </c>
      <c r="FJ314" t="str">
        <f t="shared" si="418"/>
        <v/>
      </c>
      <c r="FK314" t="str">
        <f>IF(AND(D314="",EZ314=""),"",_xlfn.TEXTJOIN("; ",TRUE,IF(AND(D314&lt;&gt;"",DD314=""),"нет фазы",""),IF(AND(D314&lt;&gt;"",N(DT314)=0,CN314&lt;&gt;"Нет"),"нет мощности",""),IF(AND(EY314&lt;&gt;"",COUNTIFS(Линии[Щит],A314,Линии[Клемма (итог)],EY314)&gt;1),"дубль клеммы "&amp;EY314,""),IF(AND(FB314&lt;&gt;"",FB314&lt;&gt;"ok"),FB314,""),IF(FC314&lt;&gt;"",FC314,""),IF(AND(ISNUMBER(SEARCH("(5х",DS314)),N(DV314)=1),"5 жил на 1 фазе",""),IF(AND(AT314="R",AD314&lt;&gt;"",OR(N(EH314)=0,N(EH314)&gt;30)),"розетка без дифзащиты до 30 мА",""),IFERROR(IF(AND(ISNUMBER(CD314),CD314&gt;CE314),"потери "&amp;FIXED(CD314,1)&amp;" % &gt; "&amp;CE314&amp;" %",""),""),IFERROR(IF(LEFT(FJ314,4)="мало","Iкз мало — отключение &gt; 0,4 с",""),""),IF(AND(D314&lt;&gt;"",BD314=""),"не на схеме","")))</f>
        <v/>
      </c>
      <c r="FL314" t="str">
        <f>IF(AD314="","",_xlfn.LET(_xlpm.t,IFERROR(_xlfn.XLOOKUP(EP314,Каталог!$U$4:$U$500,Каталог!$G$4:$G$500),""),_xlpm.k,SEARCH("кА",_xlpm.t),IFERROR(--TRIM(RIGHT(SUBSTITUTE(MID(_xlpm.t,MAX(1,_xlpm.k-4),_xlpm.k-MAX(1,_xlpm.k-4))," ",REPT(" ",9)),5)),"")))</f>
        <v/>
      </c>
      <c r="FM314" t="str">
        <f>IF(OR(FL314="",AD314=""),"",IF(_xlfn.XLOOKUP(A314,Щиты[Щит],Щиты[Iкз max на шинах, кА],"")="","",IF(FL314&lt;_xlfn.XLOOKUP(A314,Щиты[Щит],Щиты[Iкз max на шинах, кА]),"Icu "&amp;FL314&amp;" кА &lt; Iкз max","ok")))</f>
        <v/>
      </c>
      <c r="FN314" t="str">
        <f t="shared" si="419"/>
        <v>QF1|XT1</v>
      </c>
      <c r="FO314" t="str">
        <f t="shared" si="420"/>
        <v>QF1|XT1|кабель ВВГнг(А)-LS (5х4) → Управляющий электрощит бассейна Подвальный этаж Пом. 002Тб</v>
      </c>
      <c r="FP314" t="str" cm="1">
        <f t="array" ref="FP314">IF(FO314="","",_xlfn.LET(_xlpm.nd,_xlfn.TEXTSPLIT(FO314,"|"),IF(COLUMNS(_xlpm.nd)&gt;1,A314&amp;"¦"&amp;INDEX(_xlpm.nd,1)&amp;"¦"&amp;INDEX(_xlpm.nd,2),"")))</f>
        <v>ЩС-Б¦QF1¦XT1</v>
      </c>
      <c r="FQ314" t="str">
        <f t="shared" si="421"/>
        <v>Э.1¦Управляющий электрощит бассейна Подвальный этаж Пом. 002Тб</v>
      </c>
      <c r="FR314" t="str" cm="1">
        <f t="array" ref="FR314">IF(FO314="","",_xlfn.LET(_xlpm.nd,_xlfn.TEXTSPLIT(FO314,"|"),IF(COLUMNS(_xlpm.nd)&gt;2,A314&amp;"¦"&amp;INDEX(_xlpm.nd,2)&amp;"¦"&amp;INDEX(_xlpm.nd,3),"")))</f>
        <v>ЩС-Б¦XT1¦кабель ВВГнг(А)-LS (5х4) → Управляющий электрощит бассейна Подвальный этаж Пом. 002Тб</v>
      </c>
      <c r="FS314" t="str">
        <f t="shared" si="422"/>
        <v>Э.1¦Управляющий электрощит бассейна Подвальный этаж Пом. 002Тб</v>
      </c>
      <c r="FT314" t="str" cm="1">
        <f t="array" ref="FT314">IF(FO314="","",_xlfn.LET(_xlpm.nd,_xlfn.TEXTSPLIT(FO314,"|"),IF(COLUMNS(_xlpm.nd)&gt;3,A314&amp;"¦"&amp;INDEX(_xlpm.nd,3)&amp;"¦"&amp;INDEX(_xlpm.nd,4),"")))</f>
        <v/>
      </c>
      <c r="FU314" t="str">
        <f t="shared" si="423"/>
        <v/>
      </c>
      <c r="FV314" t="str" cm="1">
        <f t="array" ref="FV314">IF(FO314="","",_xlfn.LET(_xlpm.nd,_xlfn.TEXTSPLIT(FO314,"|"),IF(COLUMNS(_xlpm.nd)&gt;4,A314&amp;"¦"&amp;INDEX(_xlpm.nd,4)&amp;"¦"&amp;INDEX(_xlpm.nd,5),"")))</f>
        <v/>
      </c>
      <c r="FW314" t="str">
        <f t="shared" si="424"/>
        <v/>
      </c>
      <c r="FX314" t="str" cm="1">
        <f t="array" ref="FX314">IF(FO314="","",_xlfn.LET(_xlpm.nd,_xlfn.TEXTSPLIT(FO314,"|"),IF(COLUMNS(_xlpm.nd)&gt;5,A314&amp;"¦"&amp;INDEX(_xlpm.nd,5)&amp;"¦"&amp;INDEX(_xlpm.nd,6),"")))</f>
        <v/>
      </c>
      <c r="FY314" t="str">
        <f t="shared" si="425"/>
        <v/>
      </c>
      <c r="FZ314" t="str" cm="1">
        <f t="array" ref="FZ314">IF(FO314="","",_xlfn.LET(_xlpm.nd,_xlfn.TEXTSPLIT(FO314,"|"),IF(COLUMNS(_xlpm.nd)&gt;6,A314&amp;"¦"&amp;INDEX(_xlpm.nd,6)&amp;"¦"&amp;INDEX(_xlpm.nd,7),"")))</f>
        <v/>
      </c>
      <c r="GA314" t="str">
        <f t="shared" si="426"/>
        <v/>
      </c>
      <c r="GB314" t="str">
        <f t="shared" si="427"/>
        <v/>
      </c>
      <c r="GC314" t="str">
        <f t="shared" si="428"/>
        <v>QF1 → XT1</v>
      </c>
      <c r="GD314">
        <f t="shared" si="429"/>
        <v>1</v>
      </c>
      <c r="GE314">
        <f t="shared" si="430"/>
        <v>0</v>
      </c>
      <c r="GF314">
        <f t="shared" si="431"/>
        <v>0</v>
      </c>
      <c r="GG314" t="str">
        <f t="shared" si="432"/>
        <v/>
      </c>
      <c r="GH314" t="str">
        <f t="shared" si="433"/>
        <v/>
      </c>
      <c r="GI314" t="str">
        <f t="shared" si="434"/>
        <v/>
      </c>
      <c r="GJ314" t="str">
        <f t="shared" si="435"/>
        <v/>
      </c>
      <c r="GK314">
        <f>IF(D314="","",IFERROR(VLOOKUP(D314,УГО_спр,2,FALSE),IFERROR(VLOOKUP(AT314,УГО_спр,2,FALSE),IFERROR(VLOOKUP(LEFT(AT314,2),УГО_спр,2,FALSE),""))))</f>
        <v>0</v>
      </c>
      <c r="GL314" t="str">
        <f>IF(D314="","",IF(OR(GK314="",GK314=0),"BOX",IFERROR(IF(VLOOKUP(GK314,УГО_блоки,3,FALSE)&amp;""&lt;&gt;"",VLOOKUP(GK314,УГО_блоки,3,FALSE),VLOOKUP(GK314,УГО_блоки,2,FALSE)),GK314)))</f>
        <v>BOX</v>
      </c>
      <c r="GM314">
        <f t="shared" si="436"/>
        <v>1</v>
      </c>
      <c r="GN314" t="str">
        <f>IF(EP314="","",IF(COUNTIF(EP$3:EP314,EP314)=1,MAX(GN$2:GN313)+1,""))</f>
        <v/>
      </c>
      <c r="GO314" t="str">
        <f>IF(AF314="","",IF(COUNTIF(AF$3:AF314,AF314)+COUNTIF(AG$2:AG313,AF314)+COUNTIF(AH$2:AH313,AF314)=1,MAX(GO$2:GQ313)+1,""))</f>
        <v/>
      </c>
      <c r="GP314" t="str">
        <f>IF(AG314="","",IF(COUNTIF(AF$3:AF314,AG314)+COUNTIF(AG$3:AG314,AG314)+COUNTIF(AH$2:AH313,AG314)=1,MAX(GO$2:GQ313,GO314)+1,""))</f>
        <v/>
      </c>
      <c r="GQ314" t="str">
        <f>IF(AH314="","",IF(COUNTIF(AF$3:AF314,AH314)+COUNTIF(AG$3:AG314,AH314)+COUNTIF(AH$3:AH314,AH314)=1,MAX(GO$2:GQ313,GO314,GP314)+1,""))</f>
        <v/>
      </c>
      <c r="GR314" t="str">
        <f t="shared" si="437"/>
        <v>5х4</v>
      </c>
      <c r="GS314" t="str">
        <f>IF(GR314="","",IF(COUNTIF(GR$3:GR314,GR314)=1,MAX(GS$2:GS313)+1,""))</f>
        <v/>
      </c>
      <c r="GT314" t="str">
        <f>IF(ES314="","",COUNTIF(ES$3:ES314,"?*"))</f>
        <v/>
      </c>
      <c r="GU314" t="str">
        <f>IF(OR(ES314="",EU314=""),"",IF(COUNTIFS(ES$3:ES314,"?*",EU$3:EU314,EU314)=1,MAX(GU$2:GU313)+1,""))</f>
        <v/>
      </c>
      <c r="GV314">
        <f t="shared" si="438"/>
        <v>0</v>
      </c>
      <c r="GW314">
        <f>IF(D314="","",COUNTIF(D$3:D314,"?*"))</f>
        <v>312</v>
      </c>
      <c r="GX314">
        <f>IF(EX314&lt;&gt;1,0,_xlfn.LET(_xlpm.k,MAX(IFERROR(--VLOOKUP(D314,УГО_спр,5,FALSE),0),IFERROR(--VLOOKUP(AT314,УГО_спр,5,FALSE),0),IFERROR(--VLOOKUP(LEFT(AT314,2),УГО_спр,5,FALSE),0)),IF(_xlpm.k&gt;0,_xlpm.k,IF(IFERROR(--LEFT(SUBSTITUTE(GR314,"x","х"),FIND("х",SUBSTITUTE(GR314,"x","х"))-1),3)&gt;3,Каталог!$S$9,1))))</f>
        <v>1</v>
      </c>
      <c r="GY314">
        <f t="shared" si="439"/>
        <v>2</v>
      </c>
    </row>
    <row r="315" spans="1:207" x14ac:dyDescent="0.3">
      <c r="A315" t="s">
        <v>766</v>
      </c>
      <c r="B315">
        <v>13</v>
      </c>
      <c r="C315" t="str">
        <f>IF(BD315="","",IF(BE315="вводной узел","узел ","")&amp;"л."&amp;(INT((BD315-1)/Столбцов_на_лист)+1)&amp;" / "&amp;(MOD(BD315-1,Столбцов_на_лист)+1))</f>
        <v>л.1 / 13</v>
      </c>
      <c r="D315" t="s">
        <v>1651</v>
      </c>
      <c r="E315" s="133" t="s">
        <v>1652</v>
      </c>
      <c r="G315">
        <v>4.6500000000000004</v>
      </c>
      <c r="H315">
        <v>1</v>
      </c>
      <c r="I315">
        <v>3</v>
      </c>
      <c r="J315">
        <v>400</v>
      </c>
      <c r="K315" t="s">
        <v>602</v>
      </c>
      <c r="L315">
        <v>0.5</v>
      </c>
      <c r="O315" t="s">
        <v>1298</v>
      </c>
      <c r="P315">
        <v>37</v>
      </c>
      <c r="Q315">
        <v>25</v>
      </c>
      <c r="R315">
        <v>12</v>
      </c>
      <c r="T315">
        <v>1</v>
      </c>
      <c r="U315" t="s">
        <v>11</v>
      </c>
      <c r="V315">
        <v>5</v>
      </c>
      <c r="W315">
        <v>2.5</v>
      </c>
      <c r="X315">
        <v>16</v>
      </c>
      <c r="Z315" t="s">
        <v>604</v>
      </c>
      <c r="AD315" t="s">
        <v>517</v>
      </c>
      <c r="AR315" t="str">
        <f t="shared" si="353"/>
        <v/>
      </c>
      <c r="AS315" cm="1">
        <f t="array" ref="AS315">ROW()-ROW(Линии[#Headers])</f>
        <v>313</v>
      </c>
      <c r="AT315" t="str">
        <f t="shared" si="354"/>
        <v>Э</v>
      </c>
      <c r="AU315" t="str">
        <f t="shared" si="355"/>
        <v>2</v>
      </c>
      <c r="AV315" t="str">
        <f t="shared" si="356"/>
        <v>2</v>
      </c>
      <c r="AW315" t="str">
        <f t="shared" si="357"/>
        <v/>
      </c>
      <c r="AX315" t="str">
        <f t="shared" si="358"/>
        <v/>
      </c>
      <c r="AY315" t="str">
        <f>IF(D315="","",IF(ISERROR(SEARCH(".",D315)),IFERROR(VLOOKUP(D315,Потребители_обозначение,2,FALSE)&amp;"",""),IFERROR(IF(VLOOKUP(AT315,Потребители_обозначение,4,FALSE)=1,VLOOKUP(AT315,Потребители_обозначение,2,FALSE)&amp;" "&amp;VLOOKUP(AV315,Этаж_обозначение,2,FALSE)&amp;" Пом. №"&amp;AX315,VLOOKUP(AT315,Потребители_обозначение,2,FALSE)&amp;" Шлейф №"&amp;AV315),IFERROR(VLOOKUP(D315,Потребители_обозначение,2,FALSE),""))))</f>
        <v>Управляющий электрощит бассейна Второй этаж Пом. №</v>
      </c>
      <c r="AZ315" t="str">
        <f t="shared" si="359"/>
        <v>Горячая купель Подвальный этаж Пом. 002Тб</v>
      </c>
      <c r="BA315" t="str">
        <f>IF(F315&lt;&gt;"",F315,IF(AND(D315&lt;&gt;"",D315&lt;&gt;A315,ISNUMBER(_xlfn.XMATCH(D315,Щиты[Щит]))),D315,""))</f>
        <v/>
      </c>
      <c r="BB315">
        <f>IFERROR(_xlfn.XMATCH(A315,Щиты[Щит]),0)</f>
        <v>12</v>
      </c>
      <c r="BC315">
        <f>IFERROR(N(_xlfn.XLOOKUP(A315,Щиты[Щит],Щиты[Мест под вводной узел])),15)</f>
        <v>11</v>
      </c>
      <c r="BD315">
        <f t="shared" si="360"/>
        <v>13</v>
      </c>
      <c r="BE315" t="str">
        <f t="shared" si="361"/>
        <v>линии</v>
      </c>
      <c r="BF315">
        <f>IF(D315="","",IF(BA315&lt;&gt;"",IFERROR(_xlfn.XLOOKUP(BA315,Щиты[Щит],Щиты[Руст, кВт]),0),N(G315)))</f>
        <v>4.6500000000000004</v>
      </c>
      <c r="BG315">
        <f>IF(J315&lt;&gt;"",J315,IF(D315="","",IFERROR(IF(VLOOKUP(AT315,Потребители_обозначение,8,FALSE)=0,"",VLOOKUP(AT315,Потребители_обозначение,8,FALSE)),"")))</f>
        <v>400</v>
      </c>
      <c r="BH315">
        <f>IF(I315&lt;&gt;"",I315,IF(D315="","",IFERROR(IF(VLOOKUP(AT315,Потребители_обозначение,9,FALSE)=0,"",VLOOKUP(AT315,Потребители_обозначение,9,FALSE)),"")))</f>
        <v>3</v>
      </c>
      <c r="BI315" t="str">
        <f>IF(U315&lt;&gt;"",U315,IF(D315="","",IFERROR(IF(VLOOKUP(AT315,Потребители_обозначение,6,FALSE)=0,"",VLOOKUP(AT315,Потребители_обозначение,6,FALSE)),"")))</f>
        <v>мс</v>
      </c>
      <c r="BJ315">
        <f>IF(V315&lt;&gt;"",V315,IF(D315="","",IFERROR(IF(VLOOKUP(AT315,Потребители_обозначение,7,FALSE)=0,"",VLOOKUP(AT315,Потребители_обозначение,7,FALSE)),"")))</f>
        <v>5</v>
      </c>
      <c r="BK315">
        <f>IF(W315&lt;&gt;"",W315,IF(D315="","",IFERROR(IF(VLOOKUP(AT315,Потребители_обозначение,10,FALSE)=0,"",VLOOKUP(AT315,Потребители_обозначение,10,FALSE)),"")))</f>
        <v>2.5</v>
      </c>
      <c r="BL315">
        <f>IFERROR(VLOOKUP(AT315,Потребители_обозначение,5,FALSE),0)</f>
        <v>1</v>
      </c>
      <c r="BM315" cm="1">
        <f t="array" ref="BM315">IF(D315="","",IF(BA315&lt;&gt;"",IFERROR(_xlfn.XLOOKUP(BA315,Щиты[Щит],Щиты[cos φ]),0.95),IF(ISNUMBER(M315),M315,IFERROR(IF(BL315=2,_xlfn.IFS(BH315=3,VLOOKUP(BF315,Справочная_двигатели,8,FALSE),BH315=1,VLOOKUP(BF315,Справочная_двигатели,10,TRUE)),IF(AND(Методика="нормы 2026",CN315="Сил"),0.8,0.95)),0.95))))</f>
        <v>0.95</v>
      </c>
      <c r="BN315" cm="1">
        <f t="array" ref="BN315">IF(D315="","",IF(BA315&lt;&gt;"",IFERROR(_xlfn.XLOOKUP(BA315,Щиты[Щит],Щиты[Iр, А]),""),IFERROR(_xlfn.IFS(BH315=1,BF315/((Uн_лин/SQRT(3))*BM315),BH315=3,BF315/(SQRT(3)*Uн_лин*BM315)),"")))</f>
        <v>7.0649440835046322</v>
      </c>
      <c r="BO315">
        <f>IF(D315="","",IF(N(X315)=0,IFERROR(VLOOKUP(BN315,Автомат_номиналы,2,TRUE),""),X315))</f>
        <v>16</v>
      </c>
      <c r="BP315">
        <f t="shared" si="362"/>
        <v>0.92</v>
      </c>
      <c r="BQ315">
        <f>IF(ISNUMBER(Y315),Y315,К_прокл)</f>
        <v>1</v>
      </c>
      <c r="BR315">
        <f t="shared" si="363"/>
        <v>3</v>
      </c>
      <c r="BS315" cm="1">
        <f t="array" ref="BS315">IF(D315="","",IF(N(BK315)&lt;&gt;0,BK315,IFERROR(_xlfn.LET(_xlpm.need,BO315/(BP315*BQ315),_xlpm.t,CHOOSE(BR315,Iдоп_1ж,Iдоп_2ж,Iдоп_3ж),_xlpm.k,_xlfn.XMATCH(_xlpm.need,_xlpm.t,1),IF(ISNA(_xlpm.k),"Не исп",INDEX(Iдоп_S,_xlpm.k))),"Не исп")))</f>
        <v>2.5</v>
      </c>
      <c r="BT315">
        <f>IFERROR(VLOOKUP(BS315,Кабель_сопротивление,3,FALSE),"")</f>
        <v>2.2499999999999999E-2</v>
      </c>
      <c r="BU315">
        <f>IFERROR(VLOOKUP(BS315,Кабель_сопротивление,2,FALSE),"")</f>
        <v>0.1</v>
      </c>
      <c r="BV315">
        <f t="shared" si="364"/>
        <v>37</v>
      </c>
      <c r="BW315">
        <f>IF(D315="","",IFERROR(IF(VLOOKUP(AT315,Потребители_обозначение,4,FALSE)=1,VLOOKUP(AT315,Потребители_обозначение,3,FALSE)*(H315*2-1)+BV315+VLOOKUP(AV315,Этаж_обозначение,3,FALSE)+VLOOKUP(AV315,Этаж_обозначение,4,FALSE),VLOOKUP(AT315,Потребители_обозначение,3,FALSE)*(H315*2-1)+BV315),BV315))</f>
        <v>40</v>
      </c>
      <c r="BX315">
        <f t="shared" si="365"/>
        <v>12</v>
      </c>
      <c r="BY315">
        <f t="shared" si="366"/>
        <v>0</v>
      </c>
      <c r="BZ315">
        <f t="shared" si="367"/>
        <v>1</v>
      </c>
      <c r="CA315">
        <f t="shared" si="368"/>
        <v>0.31</v>
      </c>
      <c r="CB315">
        <f t="shared" si="369"/>
        <v>2.42497140722213</v>
      </c>
      <c r="CC315">
        <f>IFERROR(ROUNDUP(CB315/((Uн_лин/SQRT(3))*1000)*100,2),"")</f>
        <v>1.06</v>
      </c>
      <c r="CD315">
        <f>IF(ISNUMBER(CC315),CC315+IFERROR(_xlfn.XLOOKUP(A315,Щиты[Щит],Щиты[ΔU до шин, %]),0),"")</f>
        <v>1.9100000000000001</v>
      </c>
      <c r="CE315">
        <f>IF(D315="","",IF(IFERROR(VLOOKUP(AT315,УГО_спр,2,FALSE),"")="Светильник",3,4)+IF(Методика="нормы 2026",MIN(0.5,MAX(0,N(BW315)-100)*0.005),0))</f>
        <v>4</v>
      </c>
      <c r="CF315" t="str">
        <f>IFERROR(VLOOKUP(BI315,Кабель_обозначение,2,FALSE),"")</f>
        <v>ВВГнг(А)-LS</v>
      </c>
      <c r="CG315" t="str">
        <f>IFERROR(IF(VLOOKUP(BI315,Кабель_обозначение,3,FALSE)=1,CF315&amp;" ("&amp;BJ315&amp;"х"&amp;BS315&amp;")",CF315),"")</f>
        <v>ВВГнг(А)-LS (5х2,5)</v>
      </c>
      <c r="CH315" t="str">
        <f t="shared" si="370"/>
        <v>ВВГнг(А)-LS (5х2,5)
L=40-1,06%</v>
      </c>
      <c r="CI315">
        <f>IFERROR(2*ρкз_Cu*BW315/BS315,"")</f>
        <v>0.84160000000000001</v>
      </c>
      <c r="CJ315">
        <f t="shared" si="371"/>
        <v>0.28000000000000003</v>
      </c>
      <c r="CK315" t="str">
        <f>IFERROR(IF(OR(D315="",NOT(ISNUMBER(BS315)),N(BW315)=0),"",_xlfn.XLOOKUP(A315,Щиты[Щит],Щиты[Zпетли на шинах, Ом])+CI315),"")</f>
        <v/>
      </c>
      <c r="CL315" t="str">
        <f>IF(ISNUMBER(CK315),c_min*(Uн_лин*1000/SQRT(3))/CK315,"")</f>
        <v/>
      </c>
      <c r="CM315" t="str">
        <f>IFERROR(IF(OR(D315="",NOT(ISNUMBER(BS315))),"",1.05*(Uн_лин*1000/SQRT(3))/(_xlfn.XLOOKUP(A315,Щиты[Щит],Щиты[Zmax на шинах, Ом])+CJ315)/1000),"")</f>
        <v/>
      </c>
      <c r="CN315" t="str">
        <f>IF(D315="","",IF(BA315&lt;&gt;"","Щит",IF(K315&lt;&gt;"",K315,IF(ISNUMBER(L315),"Сил",IF(IFERROR(_xlfn.XLOOKUP(AT315,Коды_код,Коды_группа)&amp;"","")="","Быт",_xlfn.XLOOKUP(AT315,Коды_код,Коды_группа)&amp;"")))))</f>
        <v>Сил</v>
      </c>
      <c r="CO315">
        <f>IF(CN315="Щит","щит",IF(CN315="","",IF(CN315="Быт",IFERROR(_xlfn.XLOOKUP(A315,Щиты[Щит],Щиты[Кс быт]),1),IF(CN315="Сил",IF(ISNUMBER(L315),L315,IF(Методика="нормы 2026",IFERROR(_xlfn.XLOOKUP(A315,Щиты[Щит],Щиты[Кс силовых (табл. 7.5)]),1),1)),IF(OR(CN315="Пост",CN315="Отоп"),1,IF(CN315="ВНГ",0.7,0))))))</f>
        <v>0.5</v>
      </c>
      <c r="CP315">
        <f t="shared" si="372"/>
        <v>1</v>
      </c>
      <c r="CQ315">
        <f t="shared" si="373"/>
        <v>4.6500000000000004</v>
      </c>
      <c r="CR315">
        <f t="shared" si="374"/>
        <v>0</v>
      </c>
      <c r="CS315">
        <f t="shared" si="375"/>
        <v>2.3250000000000002</v>
      </c>
      <c r="CT315">
        <f t="shared" si="376"/>
        <v>0</v>
      </c>
      <c r="CU315">
        <f t="shared" si="377"/>
        <v>0</v>
      </c>
      <c r="CV315">
        <f t="shared" si="378"/>
        <v>0</v>
      </c>
      <c r="CW315">
        <f t="shared" si="379"/>
        <v>4.6500000000000004</v>
      </c>
      <c r="CX315">
        <f t="shared" si="380"/>
        <v>4.4175000000000004</v>
      </c>
      <c r="CY315">
        <f t="shared" si="381"/>
        <v>0</v>
      </c>
      <c r="CZ315" t="str">
        <f t="shared" si="382"/>
        <v>L1,L2,L3</v>
      </c>
      <c r="DA315" cm="1">
        <f t="array" ref="DA315">IFERROR(IF(BL315=2,_xlfn.IFS(BH315=3,VLOOKUP(BF315,Справочная_двигатели,3,FALSE),BH315=1,VLOOKUP(BF315,Справочная_двигатели,5,TRUE)),0),0)</f>
        <v>0</v>
      </c>
      <c r="DB315">
        <f>IFERROR(IF(BL315=3,VLOOKUP(BF315,Справочная_ЛЭД,2,TRUE),0),0)</f>
        <v>0</v>
      </c>
      <c r="DC315">
        <f t="shared" si="383"/>
        <v>0</v>
      </c>
      <c r="DD315" t="str">
        <f t="shared" si="384"/>
        <v>L1,L2,L3</v>
      </c>
      <c r="DE315" t="str" cm="1">
        <f t="array" ref="DE315">IF(D315="","",IFERROR(INDEX({"I особая","I","II","III"},MATCH(TRIM(AA315&amp;""),{"I особая","I","II","III"},0)),"III"))</f>
        <v>III</v>
      </c>
      <c r="DF315" t="str">
        <f>IF(D315="","",IF(TRIM(AB315&amp;"")&lt;&gt;"",IF(LOWER(TRIM(AB315&amp;""))="да","да","нет"),IF(IFERROR(_xlfn.XLOOKUP(AT315,Коды_код,Коды_пожарная),"")="да","да","нет")))</f>
        <v>нет</v>
      </c>
      <c r="DG315" t="str">
        <f t="shared" si="385"/>
        <v/>
      </c>
      <c r="DH315" t="str">
        <f t="shared" si="386"/>
        <v>основная</v>
      </c>
      <c r="DI315">
        <f t="shared" si="387"/>
        <v>1</v>
      </c>
      <c r="DJ315" t="str" cm="1">
        <f t="array" ref="DJ315">IF(D315="","",_xlfn.LET(_xlpm.t,IFERROR(_xlfn.XLOOKUP(1,(Шины[Шина]=DH315)*(((Шины[Щит]=A315)+(Шины[Щит]=""))&gt;0),Шины[Тип]),"")&amp;"",IF(_xlpm.t&lt;&gt;"",_xlpm.t,IF(ISNUMBER(SEARCH("ИБП",DH315)),"ИБП",IF(ISNUMBER(SEARCH("ДГУ",DH315)),"ДГУ","Ввод "&amp;DI315)))))</f>
        <v>Ввод 1</v>
      </c>
      <c r="DK315" t="str">
        <f t="shared" si="388"/>
        <v>Ввод 1</v>
      </c>
      <c r="DL315" t="str">
        <f>IF(D315="","",IF(OR(DJ315="ИБП",DJ315="ДГУ"),"I особая",IF(DJ315="Одиночная","III",_xlfn.XLOOKUP(A315,Щиты[Щит],Щиты[Категория шины «Ввод»],"III"))))</f>
        <v>II</v>
      </c>
      <c r="DM315">
        <f>IF(D315="",0,IFERROR(MATCH(DE315,{"III","II","I","I особая"},0),1))</f>
        <v>1</v>
      </c>
      <c r="DN315">
        <f t="shared" si="389"/>
        <v>1</v>
      </c>
      <c r="DO315" t="str">
        <f>IF(D315="","",IF(DM315&gt;IFERROR(MATCH(DL315,{"III","II","I","I особая"},0),1),"НЕ ОБЕСПЕЧЕНА","ОК"))</f>
        <v>ОК</v>
      </c>
      <c r="DP315" t="str">
        <f>IF(A315="","",_xlfn.XLOOKUP(A315,Щиты[Щит],Щиты[Путь],""))</f>
        <v>|ГРЩ-ЖД|ЩС-Б|</v>
      </c>
      <c r="DQ315" t="str">
        <f>IF(D315="","",IF(Z315&lt;&gt;"",Z315,IF(IFERROR(_xlfn.XLOOKUP(AT315,Коды_код,Коды_вид)&amp;"","")="","Прочее",_xlfn.XLOOKUP(AT315,Коды_код,Коды_вид)&amp;"")))</f>
        <v>Бассейн, SPA, хаммам</v>
      </c>
      <c r="DR315">
        <f>IF(BD315="","",INT((BD315-1)/Столбцов_на_лист)+1)</f>
        <v>1</v>
      </c>
      <c r="DS315" t="str">
        <f t="shared" si="390"/>
        <v>ВВГнг(А)-LS (5х2,5) L=40-1,06%</v>
      </c>
      <c r="DT315">
        <f t="shared" si="391"/>
        <v>4.6500000000000004</v>
      </c>
      <c r="DU315">
        <f t="shared" si="392"/>
        <v>7.0699999999999994</v>
      </c>
      <c r="DV315">
        <f t="shared" si="393"/>
        <v>3</v>
      </c>
      <c r="DW315">
        <f>IF(AT315="",0,_xlfn.LET(_xlpm.v,IFERROR(VLOOKUP(D315,УГО_спр,3,FALSE),IFERROR(VLOOKUP(AT315,УГО_спр,3,FALSE),IFERROR(VLOOKUP(LEFT(AT315,2),УГО_спр,3,FALSE),""))),IF(_xlpm.v="да",30,IF(ISNUMBER(_xlpm.v),_xlpm.v,0))))</f>
        <v>0</v>
      </c>
      <c r="DX315">
        <f t="shared" si="394"/>
        <v>0</v>
      </c>
      <c r="DY315">
        <f>IF(BD315="","",IF(AD315&lt;&gt;"",COUNTIFS(A$3:A315,A315,AD$3:AD315,"?*"),IF(OR(OR(AS315=1,A315&lt;&gt;A314),AL315="вручную"),"",IF(AS315=1,"",DZ314))))</f>
        <v>2</v>
      </c>
      <c r="DZ315">
        <f t="shared" si="395"/>
        <v>2</v>
      </c>
      <c r="EA315">
        <f>IF(D315="",0,MAX(IFERROR(--X315,0),IFERROR(--VLOOKUP(D315,УГО_спр,4,FALSE),IFERROR(--VLOOKUP(AT315,УГО_спр,4,FALSE),IFERROR(--VLOOKUP(LEFT(AT315,2),УГО_спр,4,FALSE),0)))))</f>
        <v>16</v>
      </c>
      <c r="EB315">
        <f>IF(D315="","",IFERROR(LOOKUP(INDEX(CHOOSE(BR315,Iдоп_1ж,Iдоп_2ж,Iдоп_3ж),MATCH(BS315,Iдоп_S,0))*BP315*BQ315,{6,10,16,20,25,32,40,50,63,80,100,125,160,200,250,315,400,500,630}),""))</f>
        <v>20</v>
      </c>
      <c r="EC315">
        <f>IF(AD315="","",SUMIFS(Линии[_Ток схемы],Линии[_гр.],DY315,Линии[Щит],A315,Линии[_в кабель выше],0))</f>
        <v>7.0699999999999994</v>
      </c>
      <c r="ED315">
        <f>IF(AD315="","",IFERROR(VLOOKUP(EC315,Автомат_номиналы,2,TRUE),""))</f>
        <v>10</v>
      </c>
      <c r="EE315">
        <f>IF(AD315="","",MAX(N(ED315),_xlfn.MAXIFS(Линии[_мин. по типу],Линии[_гр.],DY315,Линии[Щит],A315)))</f>
        <v>16</v>
      </c>
      <c r="EF315">
        <f>IF(AD315="","",_xlfn.MINIFS(Линии[_макс. автомат по кабелю],Линии[_гр.],DY315,Линии[Щит],A315))</f>
        <v>20</v>
      </c>
      <c r="EG315">
        <f>IF(AD315="","",MAX(1,_xlfn.MAXIFS(Линии[_фаз],Линии[_гр.],DY315,Линии[Щит],A315)))</f>
        <v>3</v>
      </c>
      <c r="EH315">
        <f>IF(AD315="","",IF(AND(AD315&lt;&gt;"авто",AD315&lt;&gt;"+"),IF(ISNUMBER(SEARCH("мА",AD315)),IFERROR(--TRIM(RIGHT(SUBSTITUTE(LEFT(AD315,SEARCH("мА",AD315)-1)," ",REPT(" ",9)),6)),30),0),IF(AE315="нет",0,IF(ISNUMBER(AE315),AE315,IF(AE315="да",30,_xlfn.MINIFS(Линии[_дифзащита по коду, мА],Линии[_гр.],DY315,Линии[Щит],A315,Линии[_дифзащита по коду, мА],"&gt;0"))))))</f>
        <v>0</v>
      </c>
      <c r="EI315">
        <f t="shared" si="396"/>
        <v>0</v>
      </c>
      <c r="EJ315" t="str">
        <f t="shared" si="397"/>
        <v>QF2</v>
      </c>
      <c r="EK315" t="str">
        <f t="shared" si="398"/>
        <v>QF2</v>
      </c>
      <c r="EL315" t="str">
        <f t="shared" si="399"/>
        <v/>
      </c>
      <c r="EM315">
        <f t="shared" si="400"/>
        <v>0</v>
      </c>
      <c r="EN315">
        <f>IF(AD315="","",IF(EM315=1,MAX(EE315,Мин_автомат_БП),EE315))</f>
        <v>16</v>
      </c>
      <c r="EO315" t="str">
        <f t="shared" si="401"/>
        <v>3P</v>
      </c>
      <c r="EP315" t="str">
        <f t="shared" si="402"/>
        <v>3P С16А</v>
      </c>
      <c r="EQ315">
        <f t="shared" si="403"/>
        <v>16</v>
      </c>
      <c r="ER315" t="str">
        <f>IF(OR(AI315="",AI315="-"),"",IFERROR(VLOOKUP(AI315,Модули_спр,2,FALSE),"R"))</f>
        <v/>
      </c>
      <c r="ES315" t="str">
        <f>IF(ER315="","",ER315&amp;"."&amp;COUNTIFS(A$3:A315,A315,ER$3:ER315,ER315))</f>
        <v/>
      </c>
      <c r="ET315" t="str">
        <f t="shared" si="404"/>
        <v/>
      </c>
      <c r="EU315" t="str">
        <f t="shared" si="405"/>
        <v/>
      </c>
      <c r="EV315" t="str">
        <f t="shared" si="406"/>
        <v/>
      </c>
      <c r="EW315" t="str">
        <f t="shared" si="407"/>
        <v/>
      </c>
      <c r="EX315">
        <f t="shared" si="408"/>
        <v>1</v>
      </c>
      <c r="EY315" t="str">
        <f>IF(AK315="нет","",IF(AK315&lt;&gt;"",AK315,IF(EX315=1,"XT"&amp;COUNTIFS(A$3:A315,A315,EX$3:EX315,1),"")))</f>
        <v>XT2</v>
      </c>
      <c r="EZ315" t="str">
        <f t="shared" si="409"/>
        <v>QF2</v>
      </c>
      <c r="FA315" t="str">
        <f t="shared" si="410"/>
        <v/>
      </c>
      <c r="FB315" t="str">
        <f t="shared" si="411"/>
        <v>ok</v>
      </c>
      <c r="FC315" t="str">
        <f>IF(OR(EV315="",ET315=""),"",IF(EV315&gt;IFERROR(VLOOKUP(EU315,Модули_спр,3,FALSE),99),"ЛИШНИЙ КАНАЛ",IF(AND(AJ315&lt;&gt;"=",COUNTIFS(Линии[_модуль гр.],ET315,Линии[Канал (итог)],EV315,Линии[Канал],"&lt;&gt;=",Линии[Щит],A315)&gt;1),"ДУБЛЬ КАНАЛА","")))</f>
        <v/>
      </c>
      <c r="FD315">
        <f t="shared" si="412"/>
        <v>16</v>
      </c>
      <c r="FE315" t="str">
        <f t="shared" si="413"/>
        <v>3P С16А</v>
      </c>
      <c r="FF315">
        <f t="shared" si="414"/>
        <v>0</v>
      </c>
      <c r="FG315">
        <f t="shared" si="415"/>
        <v>0</v>
      </c>
      <c r="FH315" t="str">
        <f t="shared" si="416"/>
        <v/>
      </c>
      <c r="FI315">
        <f t="shared" si="417"/>
        <v>10</v>
      </c>
      <c r="FJ315" t="str">
        <f t="shared" si="418"/>
        <v/>
      </c>
      <c r="FK315" t="str">
        <f>IF(AND(D315="",EZ315=""),"",_xlfn.TEXTJOIN("; ",TRUE,IF(AND(D315&lt;&gt;"",DD315=""),"нет фазы",""),IF(AND(D315&lt;&gt;"",N(DT315)=0,CN315&lt;&gt;"Нет"),"нет мощности",""),IF(AND(EY315&lt;&gt;"",COUNTIFS(Линии[Щит],A315,Линии[Клемма (итог)],EY315)&gt;1),"дубль клеммы "&amp;EY315,""),IF(AND(FB315&lt;&gt;"",FB315&lt;&gt;"ok"),FB315,""),IF(FC315&lt;&gt;"",FC315,""),IF(AND(ISNUMBER(SEARCH("(5х",DS315)),N(DV315)=1),"5 жил на 1 фазе",""),IF(AND(AT315="R",AD315&lt;&gt;"",OR(N(EH315)=0,N(EH315)&gt;30)),"розетка без дифзащиты до 30 мА",""),IFERROR(IF(AND(ISNUMBER(CD315),CD315&gt;CE315),"потери "&amp;FIXED(CD315,1)&amp;" % &gt; "&amp;CE315&amp;" %",""),""),IFERROR(IF(LEFT(FJ315,4)="мало","Iкз мало — отключение &gt; 0,4 с",""),""),IF(AND(D315&lt;&gt;"",BD315=""),"не на схеме","")))</f>
        <v/>
      </c>
      <c r="FL315" t="str">
        <f>IF(AD315="","",_xlfn.LET(_xlpm.t,IFERROR(_xlfn.XLOOKUP(EP315,Каталог!$U$4:$U$500,Каталог!$G$4:$G$500),""),_xlpm.k,SEARCH("кА",_xlpm.t),IFERROR(--TRIM(RIGHT(SUBSTITUTE(MID(_xlpm.t,MAX(1,_xlpm.k-4),_xlpm.k-MAX(1,_xlpm.k-4))," ",REPT(" ",9)),5)),"")))</f>
        <v/>
      </c>
      <c r="FM315" t="str">
        <f>IF(OR(FL315="",AD315=""),"",IF(_xlfn.XLOOKUP(A315,Щиты[Щит],Щиты[Iкз max на шинах, кА],"")="","",IF(FL315&lt;_xlfn.XLOOKUP(A315,Щиты[Щит],Щиты[Iкз max на шинах, кА]),"Icu "&amp;FL315&amp;" кА &lt; Iкз max","ok")))</f>
        <v/>
      </c>
      <c r="FN315" t="str">
        <f t="shared" si="419"/>
        <v>QF2|XT2</v>
      </c>
      <c r="FO315" t="str">
        <f t="shared" si="420"/>
        <v>QF2|XT2|кабель ВВГнг(А)-LS (5х2,5) → Горячая купель Подвальный этаж Пом. 002Тб</v>
      </c>
      <c r="FP315" t="str" cm="1">
        <f t="array" ref="FP315">IF(FO315="","",_xlfn.LET(_xlpm.nd,_xlfn.TEXTSPLIT(FO315,"|"),IF(COLUMNS(_xlpm.nd)&gt;1,A315&amp;"¦"&amp;INDEX(_xlpm.nd,1)&amp;"¦"&amp;INDEX(_xlpm.nd,2),"")))</f>
        <v>ЩС-Б¦QF2¦XT2</v>
      </c>
      <c r="FQ315" t="str">
        <f t="shared" si="421"/>
        <v>Э.2¦Горячая купель Подвальный этаж Пом. 002Тб</v>
      </c>
      <c r="FR315" t="str" cm="1">
        <f t="array" ref="FR315">IF(FO315="","",_xlfn.LET(_xlpm.nd,_xlfn.TEXTSPLIT(FO315,"|"),IF(COLUMNS(_xlpm.nd)&gt;2,A315&amp;"¦"&amp;INDEX(_xlpm.nd,2)&amp;"¦"&amp;INDEX(_xlpm.nd,3),"")))</f>
        <v>ЩС-Б¦XT2¦кабель ВВГнг(А)-LS (5х2,5) → Горячая купель Подвальный этаж Пом. 002Тб</v>
      </c>
      <c r="FS315" t="str">
        <f t="shared" si="422"/>
        <v>Э.2¦Горячая купель Подвальный этаж Пом. 002Тб</v>
      </c>
      <c r="FT315" t="str" cm="1">
        <f t="array" ref="FT315">IF(FO315="","",_xlfn.LET(_xlpm.nd,_xlfn.TEXTSPLIT(FO315,"|"),IF(COLUMNS(_xlpm.nd)&gt;3,A315&amp;"¦"&amp;INDEX(_xlpm.nd,3)&amp;"¦"&amp;INDEX(_xlpm.nd,4),"")))</f>
        <v/>
      </c>
      <c r="FU315" t="str">
        <f t="shared" si="423"/>
        <v/>
      </c>
      <c r="FV315" t="str" cm="1">
        <f t="array" ref="FV315">IF(FO315="","",_xlfn.LET(_xlpm.nd,_xlfn.TEXTSPLIT(FO315,"|"),IF(COLUMNS(_xlpm.nd)&gt;4,A315&amp;"¦"&amp;INDEX(_xlpm.nd,4)&amp;"¦"&amp;INDEX(_xlpm.nd,5),"")))</f>
        <v/>
      </c>
      <c r="FW315" t="str">
        <f t="shared" si="424"/>
        <v/>
      </c>
      <c r="FX315" t="str" cm="1">
        <f t="array" ref="FX315">IF(FO315="","",_xlfn.LET(_xlpm.nd,_xlfn.TEXTSPLIT(FO315,"|"),IF(COLUMNS(_xlpm.nd)&gt;5,A315&amp;"¦"&amp;INDEX(_xlpm.nd,5)&amp;"¦"&amp;INDEX(_xlpm.nd,6),"")))</f>
        <v/>
      </c>
      <c r="FY315" t="str">
        <f t="shared" si="425"/>
        <v/>
      </c>
      <c r="FZ315" t="str" cm="1">
        <f t="array" ref="FZ315">IF(FO315="","",_xlfn.LET(_xlpm.nd,_xlfn.TEXTSPLIT(FO315,"|"),IF(COLUMNS(_xlpm.nd)&gt;6,A315&amp;"¦"&amp;INDEX(_xlpm.nd,6)&amp;"¦"&amp;INDEX(_xlpm.nd,7),"")))</f>
        <v/>
      </c>
      <c r="GA315" t="str">
        <f t="shared" si="426"/>
        <v/>
      </c>
      <c r="GB315" t="str">
        <f t="shared" si="427"/>
        <v/>
      </c>
      <c r="GC315" t="str">
        <f t="shared" si="428"/>
        <v>QF2 → XT2</v>
      </c>
      <c r="GD315">
        <f t="shared" si="429"/>
        <v>1</v>
      </c>
      <c r="GE315">
        <f t="shared" si="430"/>
        <v>0</v>
      </c>
      <c r="GF315">
        <f t="shared" si="431"/>
        <v>0</v>
      </c>
      <c r="GG315" t="str">
        <f t="shared" si="432"/>
        <v/>
      </c>
      <c r="GH315" t="str">
        <f t="shared" si="433"/>
        <v/>
      </c>
      <c r="GI315" t="str">
        <f t="shared" si="434"/>
        <v/>
      </c>
      <c r="GJ315" t="str">
        <f t="shared" si="435"/>
        <v/>
      </c>
      <c r="GK315">
        <f>IF(D315="","",IFERROR(VLOOKUP(D315,УГО_спр,2,FALSE),IFERROR(VLOOKUP(AT315,УГО_спр,2,FALSE),IFERROR(VLOOKUP(LEFT(AT315,2),УГО_спр,2,FALSE),""))))</f>
        <v>0</v>
      </c>
      <c r="GL315" t="str">
        <f>IF(D315="","",IF(OR(GK315="",GK315=0),"BOX",IFERROR(IF(VLOOKUP(GK315,УГО_блоки,3,FALSE)&amp;""&lt;&gt;"",VLOOKUP(GK315,УГО_блоки,3,FALSE),VLOOKUP(GK315,УГО_блоки,2,FALSE)),GK315)))</f>
        <v>BOX</v>
      </c>
      <c r="GM315">
        <f t="shared" si="436"/>
        <v>1</v>
      </c>
      <c r="GN315" t="str">
        <f>IF(EP315="","",IF(COUNTIF(EP$3:EP315,EP315)=1,MAX(GN$2:GN314)+1,""))</f>
        <v/>
      </c>
      <c r="GO315" t="str">
        <f>IF(AF315="","",IF(COUNTIF(AF$3:AF315,AF315)+COUNTIF(AG$2:AG314,AF315)+COUNTIF(AH$2:AH314,AF315)=1,MAX(GO$2:GQ314)+1,""))</f>
        <v/>
      </c>
      <c r="GP315" t="str">
        <f>IF(AG315="","",IF(COUNTIF(AF$3:AF315,AG315)+COUNTIF(AG$3:AG315,AG315)+COUNTIF(AH$2:AH314,AG315)=1,MAX(GO$2:GQ314,GO315)+1,""))</f>
        <v/>
      </c>
      <c r="GQ315" t="str">
        <f>IF(AH315="","",IF(COUNTIF(AF$3:AF315,AH315)+COUNTIF(AG$3:AG315,AH315)+COUNTIF(AH$3:AH315,AH315)=1,MAX(GO$2:GQ314,GO315,GP315)+1,""))</f>
        <v/>
      </c>
      <c r="GR315" t="str">
        <f t="shared" si="437"/>
        <v>5х2,5</v>
      </c>
      <c r="GS315" t="str">
        <f>IF(GR315="","",IF(COUNTIF(GR$3:GR315,GR315)=1,MAX(GS$2:GS314)+1,""))</f>
        <v/>
      </c>
      <c r="GT315" t="str">
        <f>IF(ES315="","",COUNTIF(ES$3:ES315,"?*"))</f>
        <v/>
      </c>
      <c r="GU315" t="str">
        <f>IF(OR(ES315="",EU315=""),"",IF(COUNTIFS(ES$3:ES315,"?*",EU$3:EU315,EU315)=1,MAX(GU$2:GU314)+1,""))</f>
        <v/>
      </c>
      <c r="GV315">
        <f t="shared" si="438"/>
        <v>0</v>
      </c>
      <c r="GW315">
        <f>IF(D315="","",COUNTIF(D$3:D315,"?*"))</f>
        <v>313</v>
      </c>
      <c r="GX315">
        <f>IF(EX315&lt;&gt;1,0,_xlfn.LET(_xlpm.k,MAX(IFERROR(--VLOOKUP(D315,УГО_спр,5,FALSE),0),IFERROR(--VLOOKUP(AT315,УГО_спр,5,FALSE),0),IFERROR(--VLOOKUP(LEFT(AT315,2),УГО_спр,5,FALSE),0)),IF(_xlpm.k&gt;0,_xlpm.k,IF(IFERROR(--LEFT(SUBSTITUTE(GR315,"x","х"),FIND("х",SUBSTITUTE(GR315,"x","х"))-1),3)&gt;3,Каталог!$S$9,1))))</f>
        <v>1</v>
      </c>
      <c r="GY315">
        <f t="shared" si="439"/>
        <v>2</v>
      </c>
    </row>
    <row r="316" spans="1:207" x14ac:dyDescent="0.3">
      <c r="A316" t="s">
        <v>766</v>
      </c>
      <c r="B316">
        <v>14</v>
      </c>
      <c r="C316" t="str">
        <f>IF(BD316="","",IF(BE316="вводной узел","узел ","")&amp;"л."&amp;(INT((BD316-1)/Столбцов_на_лист)+1)&amp;" / "&amp;(MOD(BD316-1,Столбцов_на_лист)+1))</f>
        <v>л.1 / 14</v>
      </c>
      <c r="D316" t="s">
        <v>1653</v>
      </c>
      <c r="E316" s="133" t="s">
        <v>1654</v>
      </c>
      <c r="G316">
        <v>7.89</v>
      </c>
      <c r="H316">
        <v>1</v>
      </c>
      <c r="I316">
        <v>3</v>
      </c>
      <c r="J316">
        <v>400</v>
      </c>
      <c r="K316" t="s">
        <v>602</v>
      </c>
      <c r="L316">
        <v>0.5</v>
      </c>
      <c r="O316" t="s">
        <v>1298</v>
      </c>
      <c r="P316">
        <v>27</v>
      </c>
      <c r="Q316">
        <v>17</v>
      </c>
      <c r="R316">
        <v>10</v>
      </c>
      <c r="T316">
        <v>1</v>
      </c>
      <c r="U316" t="s">
        <v>11</v>
      </c>
      <c r="V316">
        <v>5</v>
      </c>
      <c r="W316">
        <v>2.5</v>
      </c>
      <c r="X316">
        <v>16</v>
      </c>
      <c r="Z316" t="s">
        <v>604</v>
      </c>
      <c r="AD316" t="s">
        <v>517</v>
      </c>
      <c r="AR316" t="str">
        <f t="shared" si="353"/>
        <v/>
      </c>
      <c r="AS316" cm="1">
        <f t="array" ref="AS316">ROW()-ROW(Линии[#Headers])</f>
        <v>314</v>
      </c>
      <c r="AT316" t="str">
        <f t="shared" si="354"/>
        <v>Э</v>
      </c>
      <c r="AU316" t="str">
        <f t="shared" si="355"/>
        <v>3</v>
      </c>
      <c r="AV316" t="str">
        <f t="shared" si="356"/>
        <v>3</v>
      </c>
      <c r="AW316" t="str">
        <f t="shared" si="357"/>
        <v/>
      </c>
      <c r="AX316" t="str">
        <f t="shared" si="358"/>
        <v/>
      </c>
      <c r="AY316" t="str">
        <f>IF(D316="","",IF(ISERROR(SEARCH(".",D316)),IFERROR(VLOOKUP(D316,Потребители_обозначение,2,FALSE)&amp;"",""),IFERROR(IF(VLOOKUP(AT316,Потребители_обозначение,4,FALSE)=1,VLOOKUP(AT316,Потребители_обозначение,2,FALSE)&amp;" "&amp;VLOOKUP(AV316,Этаж_обозначение,2,FALSE)&amp;" Пом. №"&amp;AX316,VLOOKUP(AT316,Потребители_обозначение,2,FALSE)&amp;" Шлейф №"&amp;AV316),IFERROR(VLOOKUP(D316,Потребители_обозначение,2,FALSE),""))))</f>
        <v>Управляющий электрощит бассейна Третий этаж Пом. №</v>
      </c>
      <c r="AZ316" t="str">
        <f t="shared" si="359"/>
        <v>Холодная купель Подвальный этаж Пом. 002Тб</v>
      </c>
      <c r="BA316" t="str">
        <f>IF(F316&lt;&gt;"",F316,IF(AND(D316&lt;&gt;"",D316&lt;&gt;A316,ISNUMBER(_xlfn.XMATCH(D316,Щиты[Щит]))),D316,""))</f>
        <v/>
      </c>
      <c r="BB316">
        <f>IFERROR(_xlfn.XMATCH(A316,Щиты[Щит]),0)</f>
        <v>12</v>
      </c>
      <c r="BC316">
        <f>IFERROR(N(_xlfn.XLOOKUP(A316,Щиты[Щит],Щиты[Мест под вводной узел])),15)</f>
        <v>11</v>
      </c>
      <c r="BD316">
        <f t="shared" si="360"/>
        <v>14</v>
      </c>
      <c r="BE316" t="str">
        <f t="shared" si="361"/>
        <v>линии</v>
      </c>
      <c r="BF316">
        <f>IF(D316="","",IF(BA316&lt;&gt;"",IFERROR(_xlfn.XLOOKUP(BA316,Щиты[Щит],Щиты[Руст, кВт]),0),N(G316)))</f>
        <v>7.89</v>
      </c>
      <c r="BG316">
        <f>IF(J316&lt;&gt;"",J316,IF(D316="","",IFERROR(IF(VLOOKUP(AT316,Потребители_обозначение,8,FALSE)=0,"",VLOOKUP(AT316,Потребители_обозначение,8,FALSE)),"")))</f>
        <v>400</v>
      </c>
      <c r="BH316">
        <f>IF(I316&lt;&gt;"",I316,IF(D316="","",IFERROR(IF(VLOOKUP(AT316,Потребители_обозначение,9,FALSE)=0,"",VLOOKUP(AT316,Потребители_обозначение,9,FALSE)),"")))</f>
        <v>3</v>
      </c>
      <c r="BI316" t="str">
        <f>IF(U316&lt;&gt;"",U316,IF(D316="","",IFERROR(IF(VLOOKUP(AT316,Потребители_обозначение,6,FALSE)=0,"",VLOOKUP(AT316,Потребители_обозначение,6,FALSE)),"")))</f>
        <v>мс</v>
      </c>
      <c r="BJ316">
        <f>IF(V316&lt;&gt;"",V316,IF(D316="","",IFERROR(IF(VLOOKUP(AT316,Потребители_обозначение,7,FALSE)=0,"",VLOOKUP(AT316,Потребители_обозначение,7,FALSE)),"")))</f>
        <v>5</v>
      </c>
      <c r="BK316">
        <f>IF(W316&lt;&gt;"",W316,IF(D316="","",IFERROR(IF(VLOOKUP(AT316,Потребители_обозначение,10,FALSE)=0,"",VLOOKUP(AT316,Потребители_обозначение,10,FALSE)),"")))</f>
        <v>2.5</v>
      </c>
      <c r="BL316">
        <f>IFERROR(VLOOKUP(AT316,Потребители_обозначение,5,FALSE),0)</f>
        <v>1</v>
      </c>
      <c r="BM316" cm="1">
        <f t="array" ref="BM316">IF(D316="","",IF(BA316&lt;&gt;"",IFERROR(_xlfn.XLOOKUP(BA316,Щиты[Щит],Щиты[cos φ]),0.95),IF(ISNUMBER(M316),M316,IFERROR(IF(BL316=2,_xlfn.IFS(BH316=3,VLOOKUP(BF316,Справочная_двигатели,8,FALSE),BH316=1,VLOOKUP(BF316,Справочная_двигатели,10,TRUE)),IF(AND(Методика="нормы 2026",CN316="Сил"),0.8,0.95)),0.95))))</f>
        <v>0.95</v>
      </c>
      <c r="BN316" cm="1">
        <f t="array" ref="BN316">IF(D316="","",IF(BA316&lt;&gt;"",IFERROR(_xlfn.XLOOKUP(BA316,Щиты[Щит],Щиты[Iр, А]),""),IFERROR(_xlfn.IFS(BH316=1,BF316/((Uн_лин/SQRT(3))*BM316),BH316=3,BF316/(SQRT(3)*Uн_лин*BM316)),"")))</f>
        <v>11.98761479975302</v>
      </c>
      <c r="BO316">
        <f>IF(D316="","",IF(N(X316)=0,IFERROR(VLOOKUP(BN316,Автомат_номиналы,2,TRUE),""),X316))</f>
        <v>16</v>
      </c>
      <c r="BP316">
        <f t="shared" si="362"/>
        <v>0.92</v>
      </c>
      <c r="BQ316">
        <f>IF(ISNUMBER(Y316),Y316,К_прокл)</f>
        <v>1</v>
      </c>
      <c r="BR316">
        <f t="shared" si="363"/>
        <v>3</v>
      </c>
      <c r="BS316" cm="1">
        <f t="array" ref="BS316">IF(D316="","",IF(N(BK316)&lt;&gt;0,BK316,IFERROR(_xlfn.LET(_xlpm.need,BO316/(BP316*BQ316),_xlpm.t,CHOOSE(BR316,Iдоп_1ж,Iдоп_2ж,Iдоп_3ж),_xlpm.k,_xlfn.XMATCH(_xlpm.need,_xlpm.t,1),IF(ISNA(_xlpm.k),"Не исп",INDEX(Iдоп_S,_xlpm.k))),"Не исп")))</f>
        <v>2.5</v>
      </c>
      <c r="BT316">
        <f>IFERROR(VLOOKUP(BS316,Кабель_сопротивление,3,FALSE),"")</f>
        <v>2.2499999999999999E-2</v>
      </c>
      <c r="BU316">
        <f>IFERROR(VLOOKUP(BS316,Кабель_сопротивление,2,FALSE),"")</f>
        <v>0.1</v>
      </c>
      <c r="BV316">
        <f t="shared" si="364"/>
        <v>27</v>
      </c>
      <c r="BW316">
        <f>IF(D316="","",IFERROR(IF(VLOOKUP(AT316,Потребители_обозначение,4,FALSE)=1,VLOOKUP(AT316,Потребители_обозначение,3,FALSE)*(H316*2-1)+BV316+VLOOKUP(AV316,Этаж_обозначение,3,FALSE)+VLOOKUP(AV316,Этаж_обозначение,4,FALSE),VLOOKUP(AT316,Потребители_обозначение,3,FALSE)*(H316*2-1)+BV316),BV316))</f>
        <v>30</v>
      </c>
      <c r="BX316">
        <f t="shared" si="365"/>
        <v>10</v>
      </c>
      <c r="BY316">
        <f t="shared" si="366"/>
        <v>0</v>
      </c>
      <c r="BZ316">
        <f t="shared" si="367"/>
        <v>1</v>
      </c>
      <c r="CA316">
        <f t="shared" si="368"/>
        <v>0.31</v>
      </c>
      <c r="CB316">
        <f t="shared" si="369"/>
        <v>3.0859716779004192</v>
      </c>
      <c r="CC316">
        <f>IFERROR(ROUNDUP(CB316/((Uн_лин/SQRT(3))*1000)*100,2),"")</f>
        <v>1.34</v>
      </c>
      <c r="CD316">
        <f>IF(ISNUMBER(CC316),CC316+IFERROR(_xlfn.XLOOKUP(A316,Щиты[Щит],Щиты[ΔU до шин, %]),0),"")</f>
        <v>2.19</v>
      </c>
      <c r="CE316">
        <f>IF(D316="","",IF(IFERROR(VLOOKUP(AT316,УГО_спр,2,FALSE),"")="Светильник",3,4)+IF(Методика="нормы 2026",MIN(0.5,MAX(0,N(BW316)-100)*0.005),0))</f>
        <v>4</v>
      </c>
      <c r="CF316" t="str">
        <f>IFERROR(VLOOKUP(BI316,Кабель_обозначение,2,FALSE),"")</f>
        <v>ВВГнг(А)-LS</v>
      </c>
      <c r="CG316" t="str">
        <f>IFERROR(IF(VLOOKUP(BI316,Кабель_обозначение,3,FALSE)=1,CF316&amp;" ("&amp;BJ316&amp;"х"&amp;BS316&amp;")",CF316),"")</f>
        <v>ВВГнг(А)-LS (5х2,5)</v>
      </c>
      <c r="CH316" t="str">
        <f t="shared" si="370"/>
        <v>ВВГнг(А)-LS (5х2,5)
L=30-1,34%</v>
      </c>
      <c r="CI316">
        <f>IFERROR(2*ρкз_Cu*BW316/BS316,"")</f>
        <v>0.63119999999999998</v>
      </c>
      <c r="CJ316">
        <f t="shared" si="371"/>
        <v>0.21000000000000002</v>
      </c>
      <c r="CK316" t="str">
        <f>IFERROR(IF(OR(D316="",NOT(ISNUMBER(BS316)),N(BW316)=0),"",_xlfn.XLOOKUP(A316,Щиты[Щит],Щиты[Zпетли на шинах, Ом])+CI316),"")</f>
        <v/>
      </c>
      <c r="CL316" t="str">
        <f>IF(ISNUMBER(CK316),c_min*(Uн_лин*1000/SQRT(3))/CK316,"")</f>
        <v/>
      </c>
      <c r="CM316" t="str">
        <f>IFERROR(IF(OR(D316="",NOT(ISNUMBER(BS316))),"",1.05*(Uн_лин*1000/SQRT(3))/(_xlfn.XLOOKUP(A316,Щиты[Щит],Щиты[Zmax на шинах, Ом])+CJ316)/1000),"")</f>
        <v/>
      </c>
      <c r="CN316" t="str">
        <f>IF(D316="","",IF(BA316&lt;&gt;"","Щит",IF(K316&lt;&gt;"",K316,IF(ISNUMBER(L316),"Сил",IF(IFERROR(_xlfn.XLOOKUP(AT316,Коды_код,Коды_группа)&amp;"","")="","Быт",_xlfn.XLOOKUP(AT316,Коды_код,Коды_группа)&amp;"")))))</f>
        <v>Сил</v>
      </c>
      <c r="CO316">
        <f>IF(CN316="Щит","щит",IF(CN316="","",IF(CN316="Быт",IFERROR(_xlfn.XLOOKUP(A316,Щиты[Щит],Щиты[Кс быт]),1),IF(CN316="Сил",IF(ISNUMBER(L316),L316,IF(Методика="нормы 2026",IFERROR(_xlfn.XLOOKUP(A316,Щиты[Щит],Щиты[Кс силовых (табл. 7.5)]),1),1)),IF(OR(CN316="Пост",CN316="Отоп"),1,IF(CN316="ВНГ",0.7,0))))))</f>
        <v>0.5</v>
      </c>
      <c r="CP316">
        <f t="shared" si="372"/>
        <v>1</v>
      </c>
      <c r="CQ316">
        <f t="shared" si="373"/>
        <v>7.89</v>
      </c>
      <c r="CR316">
        <f t="shared" si="374"/>
        <v>0</v>
      </c>
      <c r="CS316">
        <f t="shared" si="375"/>
        <v>3.9449999999999998</v>
      </c>
      <c r="CT316">
        <f t="shared" si="376"/>
        <v>0</v>
      </c>
      <c r="CU316">
        <f t="shared" si="377"/>
        <v>0</v>
      </c>
      <c r="CV316">
        <f t="shared" si="378"/>
        <v>0</v>
      </c>
      <c r="CW316">
        <f t="shared" si="379"/>
        <v>7.89</v>
      </c>
      <c r="CX316">
        <f t="shared" si="380"/>
        <v>7.4954999999999989</v>
      </c>
      <c r="CY316">
        <f t="shared" si="381"/>
        <v>0</v>
      </c>
      <c r="CZ316" t="str">
        <f t="shared" si="382"/>
        <v>L1,L2,L3</v>
      </c>
      <c r="DA316" cm="1">
        <f t="array" ref="DA316">IFERROR(IF(BL316=2,_xlfn.IFS(BH316=3,VLOOKUP(BF316,Справочная_двигатели,3,FALSE),BH316=1,VLOOKUP(BF316,Справочная_двигатели,5,TRUE)),0),0)</f>
        <v>0</v>
      </c>
      <c r="DB316">
        <f>IFERROR(IF(BL316=3,VLOOKUP(BF316,Справочная_ЛЭД,2,TRUE),0),0)</f>
        <v>0</v>
      </c>
      <c r="DC316">
        <f t="shared" si="383"/>
        <v>0</v>
      </c>
      <c r="DD316" t="str">
        <f t="shared" si="384"/>
        <v>L1,L2,L3</v>
      </c>
      <c r="DE316" t="str" cm="1">
        <f t="array" ref="DE316">IF(D316="","",IFERROR(INDEX({"I особая","I","II","III"},MATCH(TRIM(AA316&amp;""),{"I особая","I","II","III"},0)),"III"))</f>
        <v>III</v>
      </c>
      <c r="DF316" t="str">
        <f>IF(D316="","",IF(TRIM(AB316&amp;"")&lt;&gt;"",IF(LOWER(TRIM(AB316&amp;""))="да","да","нет"),IF(IFERROR(_xlfn.XLOOKUP(AT316,Коды_код,Коды_пожарная),"")="да","да","нет")))</f>
        <v>нет</v>
      </c>
      <c r="DG316" t="str">
        <f t="shared" si="385"/>
        <v/>
      </c>
      <c r="DH316" t="str">
        <f t="shared" si="386"/>
        <v>основная</v>
      </c>
      <c r="DI316">
        <f t="shared" si="387"/>
        <v>1</v>
      </c>
      <c r="DJ316" t="str" cm="1">
        <f t="array" ref="DJ316">IF(D316="","",_xlfn.LET(_xlpm.t,IFERROR(_xlfn.XLOOKUP(1,(Шины[Шина]=DH316)*(((Шины[Щит]=A316)+(Шины[Щит]=""))&gt;0),Шины[Тип]),"")&amp;"",IF(_xlpm.t&lt;&gt;"",_xlpm.t,IF(ISNUMBER(SEARCH("ИБП",DH316)),"ИБП",IF(ISNUMBER(SEARCH("ДГУ",DH316)),"ДГУ","Ввод "&amp;DI316)))))</f>
        <v>Ввод 1</v>
      </c>
      <c r="DK316" t="str">
        <f t="shared" si="388"/>
        <v>Ввод 1</v>
      </c>
      <c r="DL316" t="str">
        <f>IF(D316="","",IF(OR(DJ316="ИБП",DJ316="ДГУ"),"I особая",IF(DJ316="Одиночная","III",_xlfn.XLOOKUP(A316,Щиты[Щит],Щиты[Категория шины «Ввод»],"III"))))</f>
        <v>II</v>
      </c>
      <c r="DM316">
        <f>IF(D316="",0,IFERROR(MATCH(DE316,{"III","II","I","I особая"},0),1))</f>
        <v>1</v>
      </c>
      <c r="DN316">
        <f t="shared" si="389"/>
        <v>1</v>
      </c>
      <c r="DO316" t="str">
        <f>IF(D316="","",IF(DM316&gt;IFERROR(MATCH(DL316,{"III","II","I","I особая"},0),1),"НЕ ОБЕСПЕЧЕНА","ОК"))</f>
        <v>ОК</v>
      </c>
      <c r="DP316" t="str">
        <f>IF(A316="","",_xlfn.XLOOKUP(A316,Щиты[Щит],Щиты[Путь],""))</f>
        <v>|ГРЩ-ЖД|ЩС-Б|</v>
      </c>
      <c r="DQ316" t="str">
        <f>IF(D316="","",IF(Z316&lt;&gt;"",Z316,IF(IFERROR(_xlfn.XLOOKUP(AT316,Коды_код,Коды_вид)&amp;"","")="","Прочее",_xlfn.XLOOKUP(AT316,Коды_код,Коды_вид)&amp;"")))</f>
        <v>Бассейн, SPA, хаммам</v>
      </c>
      <c r="DR316">
        <f>IF(BD316="","",INT((BD316-1)/Столбцов_на_лист)+1)</f>
        <v>1</v>
      </c>
      <c r="DS316" t="str">
        <f t="shared" si="390"/>
        <v>ВВГнг(А)-LS (5х2,5) L=30-1,34%</v>
      </c>
      <c r="DT316">
        <f t="shared" si="391"/>
        <v>7.89</v>
      </c>
      <c r="DU316">
        <f t="shared" si="392"/>
        <v>11.99</v>
      </c>
      <c r="DV316">
        <f t="shared" si="393"/>
        <v>3</v>
      </c>
      <c r="DW316">
        <f>IF(AT316="",0,_xlfn.LET(_xlpm.v,IFERROR(VLOOKUP(D316,УГО_спр,3,FALSE),IFERROR(VLOOKUP(AT316,УГО_спр,3,FALSE),IFERROR(VLOOKUP(LEFT(AT316,2),УГО_спр,3,FALSE),""))),IF(_xlpm.v="да",30,IF(ISNUMBER(_xlpm.v),_xlpm.v,0))))</f>
        <v>0</v>
      </c>
      <c r="DX316">
        <f t="shared" si="394"/>
        <v>0</v>
      </c>
      <c r="DY316">
        <f>IF(BD316="","",IF(AD316&lt;&gt;"",COUNTIFS(A$3:A316,A316,AD$3:AD316,"?*"),IF(OR(OR(AS316=1,A316&lt;&gt;A315),AL316="вручную"),"",IF(AS316=1,"",DZ315))))</f>
        <v>3</v>
      </c>
      <c r="DZ316">
        <f t="shared" si="395"/>
        <v>3</v>
      </c>
      <c r="EA316">
        <f>IF(D316="",0,MAX(IFERROR(--X316,0),IFERROR(--VLOOKUP(D316,УГО_спр,4,FALSE),IFERROR(--VLOOKUP(AT316,УГО_спр,4,FALSE),IFERROR(--VLOOKUP(LEFT(AT316,2),УГО_спр,4,FALSE),0)))))</f>
        <v>16</v>
      </c>
      <c r="EB316">
        <f>IF(D316="","",IFERROR(LOOKUP(INDEX(CHOOSE(BR316,Iдоп_1ж,Iдоп_2ж,Iдоп_3ж),MATCH(BS316,Iдоп_S,0))*BP316*BQ316,{6,10,16,20,25,32,40,50,63,80,100,125,160,200,250,315,400,500,630}),""))</f>
        <v>20</v>
      </c>
      <c r="EC316">
        <f>IF(AD316="","",SUMIFS(Линии[_Ток схемы],Линии[_гр.],DY316,Линии[Щит],A316,Линии[_в кабель выше],0))</f>
        <v>11.99</v>
      </c>
      <c r="ED316">
        <f>IF(AD316="","",IFERROR(VLOOKUP(EC316,Автомат_номиналы,2,TRUE),""))</f>
        <v>16</v>
      </c>
      <c r="EE316">
        <f>IF(AD316="","",MAX(N(ED316),_xlfn.MAXIFS(Линии[_мин. по типу],Линии[_гр.],DY316,Линии[Щит],A316)))</f>
        <v>16</v>
      </c>
      <c r="EF316">
        <f>IF(AD316="","",_xlfn.MINIFS(Линии[_макс. автомат по кабелю],Линии[_гр.],DY316,Линии[Щит],A316))</f>
        <v>20</v>
      </c>
      <c r="EG316">
        <f>IF(AD316="","",MAX(1,_xlfn.MAXIFS(Линии[_фаз],Линии[_гр.],DY316,Линии[Щит],A316)))</f>
        <v>3</v>
      </c>
      <c r="EH316">
        <f>IF(AD316="","",IF(AND(AD316&lt;&gt;"авто",AD316&lt;&gt;"+"),IF(ISNUMBER(SEARCH("мА",AD316)),IFERROR(--TRIM(RIGHT(SUBSTITUTE(LEFT(AD316,SEARCH("мА",AD316)-1)," ",REPT(" ",9)),6)),30),0),IF(AE316="нет",0,IF(ISNUMBER(AE316),AE316,IF(AE316="да",30,_xlfn.MINIFS(Линии[_дифзащита по коду, мА],Линии[_гр.],DY316,Линии[Щит],A316,Линии[_дифзащита по коду, мА],"&gt;0"))))))</f>
        <v>0</v>
      </c>
      <c r="EI316">
        <f t="shared" si="396"/>
        <v>0</v>
      </c>
      <c r="EJ316" t="str">
        <f t="shared" si="397"/>
        <v>QF3</v>
      </c>
      <c r="EK316" t="str">
        <f t="shared" si="398"/>
        <v>QF3</v>
      </c>
      <c r="EL316" t="str">
        <f t="shared" si="399"/>
        <v/>
      </c>
      <c r="EM316">
        <f t="shared" si="400"/>
        <v>0</v>
      </c>
      <c r="EN316">
        <f>IF(AD316="","",IF(EM316=1,MAX(EE316,Мин_автомат_БП),EE316))</f>
        <v>16</v>
      </c>
      <c r="EO316" t="str">
        <f t="shared" si="401"/>
        <v>3P</v>
      </c>
      <c r="EP316" t="str">
        <f t="shared" si="402"/>
        <v>3P С16А</v>
      </c>
      <c r="EQ316">
        <f t="shared" si="403"/>
        <v>16</v>
      </c>
      <c r="ER316" t="str">
        <f>IF(OR(AI316="",AI316="-"),"",IFERROR(VLOOKUP(AI316,Модули_спр,2,FALSE),"R"))</f>
        <v/>
      </c>
      <c r="ES316" t="str">
        <f>IF(ER316="","",ER316&amp;"."&amp;COUNTIFS(A$3:A316,A316,ER$3:ER316,ER316))</f>
        <v/>
      </c>
      <c r="ET316" t="str">
        <f t="shared" si="404"/>
        <v/>
      </c>
      <c r="EU316" t="str">
        <f t="shared" si="405"/>
        <v/>
      </c>
      <c r="EV316" t="str">
        <f t="shared" si="406"/>
        <v/>
      </c>
      <c r="EW316" t="str">
        <f t="shared" si="407"/>
        <v/>
      </c>
      <c r="EX316">
        <f t="shared" si="408"/>
        <v>1</v>
      </c>
      <c r="EY316" t="str">
        <f>IF(AK316="нет","",IF(AK316&lt;&gt;"",AK316,IF(EX316=1,"XT"&amp;COUNTIFS(A$3:A316,A316,EX$3:EX316,1),"")))</f>
        <v>XT3</v>
      </c>
      <c r="EZ316" t="str">
        <f t="shared" si="409"/>
        <v>QF3</v>
      </c>
      <c r="FA316" t="str">
        <f t="shared" si="410"/>
        <v/>
      </c>
      <c r="FB316" t="str">
        <f t="shared" si="411"/>
        <v>ok</v>
      </c>
      <c r="FC316" t="str">
        <f>IF(OR(EV316="",ET316=""),"",IF(EV316&gt;IFERROR(VLOOKUP(EU316,Модули_спр,3,FALSE),99),"ЛИШНИЙ КАНАЛ",IF(AND(AJ316&lt;&gt;"=",COUNTIFS(Линии[_модуль гр.],ET316,Линии[Канал (итог)],EV316,Линии[Канал],"&lt;&gt;=",Линии[Щит],A316)&gt;1),"ДУБЛЬ КАНАЛА","")))</f>
        <v/>
      </c>
      <c r="FD316">
        <f t="shared" si="412"/>
        <v>16</v>
      </c>
      <c r="FE316" t="str">
        <f t="shared" si="413"/>
        <v>3P С16А</v>
      </c>
      <c r="FF316">
        <f t="shared" si="414"/>
        <v>0</v>
      </c>
      <c r="FG316">
        <f t="shared" si="415"/>
        <v>0</v>
      </c>
      <c r="FH316" t="str">
        <f t="shared" si="416"/>
        <v/>
      </c>
      <c r="FI316">
        <f t="shared" si="417"/>
        <v>10</v>
      </c>
      <c r="FJ316" t="str">
        <f t="shared" si="418"/>
        <v/>
      </c>
      <c r="FK316" t="str">
        <f>IF(AND(D316="",EZ316=""),"",_xlfn.TEXTJOIN("; ",TRUE,IF(AND(D316&lt;&gt;"",DD316=""),"нет фазы",""),IF(AND(D316&lt;&gt;"",N(DT316)=0,CN316&lt;&gt;"Нет"),"нет мощности",""),IF(AND(EY316&lt;&gt;"",COUNTIFS(Линии[Щит],A316,Линии[Клемма (итог)],EY316)&gt;1),"дубль клеммы "&amp;EY316,""),IF(AND(FB316&lt;&gt;"",FB316&lt;&gt;"ok"),FB316,""),IF(FC316&lt;&gt;"",FC316,""),IF(AND(ISNUMBER(SEARCH("(5х",DS316)),N(DV316)=1),"5 жил на 1 фазе",""),IF(AND(AT316="R",AD316&lt;&gt;"",OR(N(EH316)=0,N(EH316)&gt;30)),"розетка без дифзащиты до 30 мА",""),IFERROR(IF(AND(ISNUMBER(CD316),CD316&gt;CE316),"потери "&amp;FIXED(CD316,1)&amp;" % &gt; "&amp;CE316&amp;" %",""),""),IFERROR(IF(LEFT(FJ316,4)="мало","Iкз мало — отключение &gt; 0,4 с",""),""),IF(AND(D316&lt;&gt;"",BD316=""),"не на схеме","")))</f>
        <v/>
      </c>
      <c r="FL316" t="str">
        <f>IF(AD316="","",_xlfn.LET(_xlpm.t,IFERROR(_xlfn.XLOOKUP(EP316,Каталог!$U$4:$U$500,Каталог!$G$4:$G$500),""),_xlpm.k,SEARCH("кА",_xlpm.t),IFERROR(--TRIM(RIGHT(SUBSTITUTE(MID(_xlpm.t,MAX(1,_xlpm.k-4),_xlpm.k-MAX(1,_xlpm.k-4))," ",REPT(" ",9)),5)),"")))</f>
        <v/>
      </c>
      <c r="FM316" t="str">
        <f>IF(OR(FL316="",AD316=""),"",IF(_xlfn.XLOOKUP(A316,Щиты[Щит],Щиты[Iкз max на шинах, кА],"")="","",IF(FL316&lt;_xlfn.XLOOKUP(A316,Щиты[Щит],Щиты[Iкз max на шинах, кА]),"Icu "&amp;FL316&amp;" кА &lt; Iкз max","ok")))</f>
        <v/>
      </c>
      <c r="FN316" t="str">
        <f t="shared" si="419"/>
        <v>QF3|XT3</v>
      </c>
      <c r="FO316" t="str">
        <f t="shared" si="420"/>
        <v>QF3|XT3|кабель ВВГнг(А)-LS (5х2,5) → Холодная купель Подвальный этаж Пом. 002Тб</v>
      </c>
      <c r="FP316" t="str" cm="1">
        <f t="array" ref="FP316">IF(FO316="","",_xlfn.LET(_xlpm.nd,_xlfn.TEXTSPLIT(FO316,"|"),IF(COLUMNS(_xlpm.nd)&gt;1,A316&amp;"¦"&amp;INDEX(_xlpm.nd,1)&amp;"¦"&amp;INDEX(_xlpm.nd,2),"")))</f>
        <v>ЩС-Б¦QF3¦XT3</v>
      </c>
      <c r="FQ316" t="str">
        <f t="shared" si="421"/>
        <v>Э.3¦Холодная купель Подвальный этаж Пом. 002Тб</v>
      </c>
      <c r="FR316" t="str" cm="1">
        <f t="array" ref="FR316">IF(FO316="","",_xlfn.LET(_xlpm.nd,_xlfn.TEXTSPLIT(FO316,"|"),IF(COLUMNS(_xlpm.nd)&gt;2,A316&amp;"¦"&amp;INDEX(_xlpm.nd,2)&amp;"¦"&amp;INDEX(_xlpm.nd,3),"")))</f>
        <v>ЩС-Б¦XT3¦кабель ВВГнг(А)-LS (5х2,5) → Холодная купель Подвальный этаж Пом. 002Тб</v>
      </c>
      <c r="FS316" t="str">
        <f t="shared" si="422"/>
        <v>Э.3¦Холодная купель Подвальный этаж Пом. 002Тб</v>
      </c>
      <c r="FT316" t="str" cm="1">
        <f t="array" ref="FT316">IF(FO316="","",_xlfn.LET(_xlpm.nd,_xlfn.TEXTSPLIT(FO316,"|"),IF(COLUMNS(_xlpm.nd)&gt;3,A316&amp;"¦"&amp;INDEX(_xlpm.nd,3)&amp;"¦"&amp;INDEX(_xlpm.nd,4),"")))</f>
        <v/>
      </c>
      <c r="FU316" t="str">
        <f t="shared" si="423"/>
        <v/>
      </c>
      <c r="FV316" t="str" cm="1">
        <f t="array" ref="FV316">IF(FO316="","",_xlfn.LET(_xlpm.nd,_xlfn.TEXTSPLIT(FO316,"|"),IF(COLUMNS(_xlpm.nd)&gt;4,A316&amp;"¦"&amp;INDEX(_xlpm.nd,4)&amp;"¦"&amp;INDEX(_xlpm.nd,5),"")))</f>
        <v/>
      </c>
      <c r="FW316" t="str">
        <f t="shared" si="424"/>
        <v/>
      </c>
      <c r="FX316" t="str" cm="1">
        <f t="array" ref="FX316">IF(FO316="","",_xlfn.LET(_xlpm.nd,_xlfn.TEXTSPLIT(FO316,"|"),IF(COLUMNS(_xlpm.nd)&gt;5,A316&amp;"¦"&amp;INDEX(_xlpm.nd,5)&amp;"¦"&amp;INDEX(_xlpm.nd,6),"")))</f>
        <v/>
      </c>
      <c r="FY316" t="str">
        <f t="shared" si="425"/>
        <v/>
      </c>
      <c r="FZ316" t="str" cm="1">
        <f t="array" ref="FZ316">IF(FO316="","",_xlfn.LET(_xlpm.nd,_xlfn.TEXTSPLIT(FO316,"|"),IF(COLUMNS(_xlpm.nd)&gt;6,A316&amp;"¦"&amp;INDEX(_xlpm.nd,6)&amp;"¦"&amp;INDEX(_xlpm.nd,7),"")))</f>
        <v/>
      </c>
      <c r="GA316" t="str">
        <f t="shared" si="426"/>
        <v/>
      </c>
      <c r="GB316" t="str">
        <f t="shared" si="427"/>
        <v/>
      </c>
      <c r="GC316" t="str">
        <f t="shared" si="428"/>
        <v>QF3 → XT3</v>
      </c>
      <c r="GD316">
        <f t="shared" si="429"/>
        <v>1</v>
      </c>
      <c r="GE316">
        <f t="shared" si="430"/>
        <v>0</v>
      </c>
      <c r="GF316">
        <f t="shared" si="431"/>
        <v>0</v>
      </c>
      <c r="GG316" t="str">
        <f t="shared" si="432"/>
        <v/>
      </c>
      <c r="GH316" t="str">
        <f t="shared" si="433"/>
        <v/>
      </c>
      <c r="GI316" t="str">
        <f t="shared" si="434"/>
        <v/>
      </c>
      <c r="GJ316" t="str">
        <f t="shared" si="435"/>
        <v/>
      </c>
      <c r="GK316">
        <f>IF(D316="","",IFERROR(VLOOKUP(D316,УГО_спр,2,FALSE),IFERROR(VLOOKUP(AT316,УГО_спр,2,FALSE),IFERROR(VLOOKUP(LEFT(AT316,2),УГО_спр,2,FALSE),""))))</f>
        <v>0</v>
      </c>
      <c r="GL316" t="str">
        <f>IF(D316="","",IF(OR(GK316="",GK316=0),"BOX",IFERROR(IF(VLOOKUP(GK316,УГО_блоки,3,FALSE)&amp;""&lt;&gt;"",VLOOKUP(GK316,УГО_блоки,3,FALSE),VLOOKUP(GK316,УГО_блоки,2,FALSE)),GK316)))</f>
        <v>BOX</v>
      </c>
      <c r="GM316">
        <f t="shared" si="436"/>
        <v>1</v>
      </c>
      <c r="GN316" t="str">
        <f>IF(EP316="","",IF(COUNTIF(EP$3:EP316,EP316)=1,MAX(GN$2:GN315)+1,""))</f>
        <v/>
      </c>
      <c r="GO316" t="str">
        <f>IF(AF316="","",IF(COUNTIF(AF$3:AF316,AF316)+COUNTIF(AG$2:AG315,AF316)+COUNTIF(AH$2:AH315,AF316)=1,MAX(GO$2:GQ315)+1,""))</f>
        <v/>
      </c>
      <c r="GP316" t="str">
        <f>IF(AG316="","",IF(COUNTIF(AF$3:AF316,AG316)+COUNTIF(AG$3:AG316,AG316)+COUNTIF(AH$2:AH315,AG316)=1,MAX(GO$2:GQ315,GO316)+1,""))</f>
        <v/>
      </c>
      <c r="GQ316" t="str">
        <f>IF(AH316="","",IF(COUNTIF(AF$3:AF316,AH316)+COUNTIF(AG$3:AG316,AH316)+COUNTIF(AH$3:AH316,AH316)=1,MAX(GO$2:GQ315,GO316,GP316)+1,""))</f>
        <v/>
      </c>
      <c r="GR316" t="str">
        <f t="shared" si="437"/>
        <v>5х2,5</v>
      </c>
      <c r="GS316" t="str">
        <f>IF(GR316="","",IF(COUNTIF(GR$3:GR316,GR316)=1,MAX(GS$2:GS315)+1,""))</f>
        <v/>
      </c>
      <c r="GT316" t="str">
        <f>IF(ES316="","",COUNTIF(ES$3:ES316,"?*"))</f>
        <v/>
      </c>
      <c r="GU316" t="str">
        <f>IF(OR(ES316="",EU316=""),"",IF(COUNTIFS(ES$3:ES316,"?*",EU$3:EU316,EU316)=1,MAX(GU$2:GU315)+1,""))</f>
        <v/>
      </c>
      <c r="GV316">
        <f t="shared" si="438"/>
        <v>0</v>
      </c>
      <c r="GW316">
        <f>IF(D316="","",COUNTIF(D$3:D316,"?*"))</f>
        <v>314</v>
      </c>
      <c r="GX316">
        <f>IF(EX316&lt;&gt;1,0,_xlfn.LET(_xlpm.k,MAX(IFERROR(--VLOOKUP(D316,УГО_спр,5,FALSE),0),IFERROR(--VLOOKUP(AT316,УГО_спр,5,FALSE),0),IFERROR(--VLOOKUP(LEFT(AT316,2),УГО_спр,5,FALSE),0)),IF(_xlpm.k&gt;0,_xlpm.k,IF(IFERROR(--LEFT(SUBSTITUTE(GR316,"x","х"),FIND("х",SUBSTITUTE(GR316,"x","х"))-1),3)&gt;3,Каталог!$S$9,1))))</f>
        <v>1</v>
      </c>
      <c r="GY316">
        <f t="shared" si="439"/>
        <v>2</v>
      </c>
    </row>
    <row r="317" spans="1:207" x14ac:dyDescent="0.3">
      <c r="A317" t="s">
        <v>768</v>
      </c>
      <c r="B317">
        <v>2</v>
      </c>
      <c r="C317" t="str">
        <f>IF(BD317="","",IF(BE317="вводной узел","узел ","")&amp;"л."&amp;(INT((BD317-1)/Столбцов_на_лист)+1)&amp;" / "&amp;(MOD(BD317-1,Столбцов_на_лист)+1))</f>
        <v>узел л.1 / 2</v>
      </c>
      <c r="D317" t="s">
        <v>746</v>
      </c>
      <c r="E317" s="133" t="str">
        <f t="shared" si="352"/>
        <v>Вводной кабель Шлейф №1</v>
      </c>
      <c r="G317" t="s">
        <v>18</v>
      </c>
      <c r="H317">
        <v>1</v>
      </c>
      <c r="I317">
        <v>1</v>
      </c>
      <c r="J317">
        <v>230</v>
      </c>
      <c r="K317" t="s">
        <v>551</v>
      </c>
      <c r="O317">
        <v>2</v>
      </c>
      <c r="P317">
        <v>50</v>
      </c>
      <c r="Q317">
        <v>34</v>
      </c>
      <c r="R317">
        <v>11</v>
      </c>
      <c r="U317" t="s">
        <v>11</v>
      </c>
      <c r="V317">
        <v>3</v>
      </c>
      <c r="W317">
        <v>4</v>
      </c>
      <c r="X317">
        <v>20</v>
      </c>
      <c r="AL317" t="s">
        <v>1301</v>
      </c>
      <c r="AR317" t="str">
        <f t="shared" si="353"/>
        <v/>
      </c>
      <c r="AS317" cm="1">
        <f t="array" ref="AS317">ROW()-ROW(Линии[#Headers])</f>
        <v>315</v>
      </c>
      <c r="AT317" t="str">
        <f t="shared" si="354"/>
        <v>Ввод</v>
      </c>
      <c r="AU317" t="str">
        <f t="shared" si="355"/>
        <v>1</v>
      </c>
      <c r="AV317" t="str">
        <f t="shared" si="356"/>
        <v>1</v>
      </c>
      <c r="AW317" t="str">
        <f t="shared" si="357"/>
        <v/>
      </c>
      <c r="AX317" t="str">
        <f t="shared" si="358"/>
        <v/>
      </c>
      <c r="AY317" t="str">
        <f>IF(D317="","",IF(ISERROR(SEARCH(".",D317)),IFERROR(VLOOKUP(D317,Потребители_обозначение,2,FALSE)&amp;"",""),IFERROR(IF(VLOOKUP(AT317,Потребители_обозначение,4,FALSE)=1,VLOOKUP(AT317,Потребители_обозначение,2,FALSE)&amp;" "&amp;VLOOKUP(AV317,Этаж_обозначение,2,FALSE)&amp;" Пом. №"&amp;AX317,VLOOKUP(AT317,Потребители_обозначение,2,FALSE)&amp;" Шлейф №"&amp;AV317),IFERROR(VLOOKUP(D317,Потребители_обозначение,2,FALSE),""))))</f>
        <v>Вводной кабель Шлейф №1</v>
      </c>
      <c r="AZ317" t="str">
        <f t="shared" si="359"/>
        <v>Вводной кабель Шлейф №1</v>
      </c>
      <c r="BA317" t="str">
        <f>IF(F317&lt;&gt;"",F317,IF(AND(D317&lt;&gt;"",D317&lt;&gt;A317,ISNUMBER(_xlfn.XMATCH(D317,Щиты[Щит]))),D317,""))</f>
        <v/>
      </c>
      <c r="BB317">
        <f>IFERROR(_xlfn.XMATCH(A317,Щиты[Щит]),0)</f>
        <v>13</v>
      </c>
      <c r="BC317">
        <f>IFERROR(N(_xlfn.XLOOKUP(A317,Щиты[Щит],Щиты[Мест под вводной узел])),15)</f>
        <v>9</v>
      </c>
      <c r="BD317">
        <f t="shared" si="360"/>
        <v>2</v>
      </c>
      <c r="BE317" t="str">
        <f t="shared" si="361"/>
        <v>вводной узел</v>
      </c>
      <c r="BF317">
        <f>IF(D317="","",IF(BA317&lt;&gt;"",IFERROR(_xlfn.XLOOKUP(BA317,Щиты[Щит],Щиты[Руст, кВт]),0),N(G317)))</f>
        <v>0</v>
      </c>
      <c r="BG317">
        <f>IF(J317&lt;&gt;"",J317,IF(D317="","",IFERROR(IF(VLOOKUP(AT317,Потребители_обозначение,8,FALSE)=0,"",VLOOKUP(AT317,Потребители_обозначение,8,FALSE)),"")))</f>
        <v>230</v>
      </c>
      <c r="BH317">
        <f>IF(I317&lt;&gt;"",I317,IF(D317="","",IFERROR(IF(VLOOKUP(AT317,Потребители_обозначение,9,FALSE)=0,"",VLOOKUP(AT317,Потребители_обозначение,9,FALSE)),"")))</f>
        <v>1</v>
      </c>
      <c r="BI317" t="str">
        <f>IF(U317&lt;&gt;"",U317,IF(D317="","",IFERROR(IF(VLOOKUP(AT317,Потребители_обозначение,6,FALSE)=0,"",VLOOKUP(AT317,Потребители_обозначение,6,FALSE)),"")))</f>
        <v>мс</v>
      </c>
      <c r="BJ317">
        <f>IF(V317&lt;&gt;"",V317,IF(D317="","",IFERROR(IF(VLOOKUP(AT317,Потребители_обозначение,7,FALSE)=0,"",VLOOKUP(AT317,Потребители_обозначение,7,FALSE)),"")))</f>
        <v>3</v>
      </c>
      <c r="BK317">
        <f>IF(W317&lt;&gt;"",W317,IF(D317="","",IFERROR(IF(VLOOKUP(AT317,Потребители_обозначение,10,FALSE)=0,"",VLOOKUP(AT317,Потребители_обозначение,10,FALSE)),"")))</f>
        <v>4</v>
      </c>
      <c r="BL317">
        <f>IFERROR(VLOOKUP(AT317,Потребители_обозначение,5,FALSE),0)</f>
        <v>1</v>
      </c>
      <c r="BM317" cm="1">
        <f t="array" ref="BM317">IF(D317="","",IF(BA317&lt;&gt;"",IFERROR(_xlfn.XLOOKUP(BA317,Щиты[Щит],Щиты[cos φ]),0.95),IF(ISNUMBER(M317),M317,IFERROR(IF(BL317=2,_xlfn.IFS(BH317=3,VLOOKUP(BF317,Справочная_двигатели,8,FALSE),BH317=1,VLOOKUP(BF317,Справочная_двигатели,10,TRUE)),IF(AND(Методика="нормы 2026",CN317="Сил"),0.8,0.95)),0.95))))</f>
        <v>0.95</v>
      </c>
      <c r="BN317" cm="1">
        <f t="array" ref="BN317">IF(D317="","",IF(BA317&lt;&gt;"",IFERROR(_xlfn.XLOOKUP(BA317,Щиты[Щит],Щиты[Iр, А]),""),IFERROR(_xlfn.IFS(BH317=1,BF317/((Uн_лин/SQRT(3))*BM317),BH317=3,BF317/(SQRT(3)*Uн_лин*BM317)),"")))</f>
        <v>0</v>
      </c>
      <c r="BO317">
        <f>IF(D317="","",IF(N(X317)=0,IFERROR(VLOOKUP(BN317,Автомат_номиналы,2,TRUE),""),X317))</f>
        <v>20</v>
      </c>
      <c r="BP317">
        <f t="shared" si="362"/>
        <v>1</v>
      </c>
      <c r="BQ317">
        <f>IF(ISNUMBER(Y317),Y317,К_прокл)</f>
        <v>1</v>
      </c>
      <c r="BR317">
        <f t="shared" si="363"/>
        <v>2</v>
      </c>
      <c r="BS317" cm="1">
        <f t="array" ref="BS317">IF(D317="","",IF(N(BK317)&lt;&gt;0,BK317,IFERROR(_xlfn.LET(_xlpm.need,BO317/(BP317*BQ317),_xlpm.t,CHOOSE(BR317,Iдоп_1ж,Iдоп_2ж,Iдоп_3ж),_xlpm.k,_xlfn.XMATCH(_xlpm.need,_xlpm.t,1),IF(ISNA(_xlpm.k),"Не исп",INDEX(Iдоп_S,_xlpm.k))),"Не исп")))</f>
        <v>4</v>
      </c>
      <c r="BT317">
        <f>IFERROR(VLOOKUP(BS317,Кабель_сопротивление,3,FALSE),"")</f>
        <v>2.2499999999999999E-2</v>
      </c>
      <c r="BU317">
        <f>IFERROR(VLOOKUP(BS317,Кабель_сопротивление,2,FALSE),"")</f>
        <v>9.5000000000000001E-2</v>
      </c>
      <c r="BV317">
        <f t="shared" si="364"/>
        <v>50</v>
      </c>
      <c r="BW317">
        <f>IF(D317="","",IFERROR(IF(VLOOKUP(AT317,Потребители_обозначение,4,FALSE)=1,VLOOKUP(AT317,Потребители_обозначение,3,FALSE)*(H317*2-1)+BV317+VLOOKUP(AV317,Этаж_обозначение,3,FALSE)+VLOOKUP(AV317,Этаж_обозначение,4,FALSE),VLOOKUP(AT317,Потребители_обозначение,3,FALSE)*(H317*2-1)+BV317),BV317))</f>
        <v>50</v>
      </c>
      <c r="BX317">
        <f t="shared" si="365"/>
        <v>11</v>
      </c>
      <c r="BY317" t="str">
        <f t="shared" si="366"/>
        <v/>
      </c>
      <c r="BZ317">
        <f t="shared" si="367"/>
        <v>2</v>
      </c>
      <c r="CA317">
        <f t="shared" si="368"/>
        <v>0.31</v>
      </c>
      <c r="CB317">
        <f t="shared" si="369"/>
        <v>0</v>
      </c>
      <c r="CC317">
        <f>IFERROR(ROUNDUP(CB317/((Uн_лин/SQRT(3))*1000)*100,2),"")</f>
        <v>0</v>
      </c>
      <c r="CD317">
        <f>IF(ISNUMBER(CC317),CC317+IFERROR(_xlfn.XLOOKUP(A317,Щиты[Щит],Щиты[ΔU до шин, %]),0),"")</f>
        <v>1.89</v>
      </c>
      <c r="CE317">
        <f>IF(D317="","",IF(IFERROR(VLOOKUP(AT317,УГО_спр,2,FALSE),"")="Светильник",3,4)+IF(Методика="нормы 2026",MIN(0.5,MAX(0,N(BW317)-100)*0.005),0))</f>
        <v>4</v>
      </c>
      <c r="CF317" t="str">
        <f>IFERROR(VLOOKUP(BI317,Кабель_обозначение,2,FALSE),"")</f>
        <v>ВВГнг(А)-LS</v>
      </c>
      <c r="CG317" t="str">
        <f>IFERROR(IF(VLOOKUP(BI317,Кабель_обозначение,3,FALSE)=1,CF317&amp;" ("&amp;BJ317&amp;"х"&amp;BS317&amp;")",CF317),"")</f>
        <v>ВВГнг(А)-LS (3х4)</v>
      </c>
      <c r="CH317" t="str">
        <f t="shared" si="370"/>
        <v/>
      </c>
      <c r="CI317">
        <f>IFERROR(2*ρкз_Cu*BW317/BS317,"")</f>
        <v>0.65749999999999997</v>
      </c>
      <c r="CJ317">
        <f t="shared" si="371"/>
        <v>0.21875000000000003</v>
      </c>
      <c r="CK317" t="str">
        <f>IFERROR(IF(OR(D317="",NOT(ISNUMBER(BS317)),N(BW317)=0),"",_xlfn.XLOOKUP(A317,Щиты[Щит],Щиты[Zпетли на шинах, Ом])+CI317),"")</f>
        <v/>
      </c>
      <c r="CL317" t="str">
        <f>IF(ISNUMBER(CK317),c_min*(Uн_лин*1000/SQRT(3))/CK317,"")</f>
        <v/>
      </c>
      <c r="CM317" t="str">
        <f>IFERROR(IF(OR(D317="",NOT(ISNUMBER(BS317))),"",1.05*(Uн_лин*1000/SQRT(3))/(_xlfn.XLOOKUP(A317,Щиты[Щит],Щиты[Zmax на шинах, Ом])+CJ317)/1000),"")</f>
        <v/>
      </c>
      <c r="CN317" t="str">
        <f>IF(D317="","",IF(BA317&lt;&gt;"","Щит",IF(K317&lt;&gt;"",K317,IF(ISNUMBER(L317),"Сил",IF(IFERROR(_xlfn.XLOOKUP(AT317,Коды_код,Коды_группа)&amp;"","")="","Быт",_xlfn.XLOOKUP(AT317,Коды_код,Коды_группа)&amp;"")))))</f>
        <v>Нет</v>
      </c>
      <c r="CO317">
        <f>IF(CN317="Щит","щит",IF(CN317="","",IF(CN317="Быт",IFERROR(_xlfn.XLOOKUP(A317,Щиты[Щит],Щиты[Кс быт]),1),IF(CN317="Сил",IF(ISNUMBER(L317),L317,IF(Методика="нормы 2026",IFERROR(_xlfn.XLOOKUP(A317,Щиты[Щит],Щиты[Кс силовых (табл. 7.5)]),1),1)),IF(OR(CN317="Пост",CN317="Отоп"),1,IF(CN317="ВНГ",0.7,0))))))</f>
        <v>0</v>
      </c>
      <c r="CP317">
        <f t="shared" si="372"/>
        <v>1</v>
      </c>
      <c r="CQ317">
        <f t="shared" si="373"/>
        <v>0</v>
      </c>
      <c r="CR317">
        <f t="shared" si="374"/>
        <v>0</v>
      </c>
      <c r="CS317">
        <f t="shared" si="375"/>
        <v>0</v>
      </c>
      <c r="CT317">
        <f t="shared" si="376"/>
        <v>0</v>
      </c>
      <c r="CU317">
        <f t="shared" si="377"/>
        <v>0</v>
      </c>
      <c r="CV317">
        <f t="shared" si="378"/>
        <v>0</v>
      </c>
      <c r="CW317">
        <f t="shared" si="379"/>
        <v>0</v>
      </c>
      <c r="CX317">
        <f t="shared" si="380"/>
        <v>0</v>
      </c>
      <c r="CY317">
        <f t="shared" si="381"/>
        <v>1</v>
      </c>
      <c r="CZ317" t="str">
        <f t="shared" si="382"/>
        <v>L1</v>
      </c>
      <c r="DA317" cm="1">
        <f t="array" ref="DA317">IFERROR(IF(BL317=2,_xlfn.IFS(BH317=3,VLOOKUP(BF317,Справочная_двигатели,3,FALSE),BH317=1,VLOOKUP(BF317,Справочная_двигатели,5,TRUE)),0),0)</f>
        <v>0</v>
      </c>
      <c r="DB317">
        <f>IFERROR(IF(BL317=3,VLOOKUP(BF317,Справочная_ЛЭД,2,TRUE),0),0)</f>
        <v>0</v>
      </c>
      <c r="DC317">
        <f t="shared" si="383"/>
        <v>0</v>
      </c>
      <c r="DD317" t="str">
        <f t="shared" si="384"/>
        <v>L2</v>
      </c>
      <c r="DE317" t="str" cm="1">
        <f t="array" ref="DE317">IF(D317="","",IFERROR(INDEX({"I особая","I","II","III"},MATCH(TRIM(AA317&amp;""),{"I особая","I","II","III"},0)),"III"))</f>
        <v>III</v>
      </c>
      <c r="DF317" t="str">
        <f>IF(D317="","",IF(TRIM(AB317&amp;"")&lt;&gt;"",IF(LOWER(TRIM(AB317&amp;""))="да","да","нет"),IF(IFERROR(_xlfn.XLOOKUP(AT317,Коды_код,Коды_пожарная),"")="да","да","нет")))</f>
        <v>нет</v>
      </c>
      <c r="DG317" t="str">
        <f t="shared" si="385"/>
        <v/>
      </c>
      <c r="DH317" t="str">
        <f t="shared" si="386"/>
        <v>основная</v>
      </c>
      <c r="DI317">
        <f t="shared" si="387"/>
        <v>1</v>
      </c>
      <c r="DJ317" t="str" cm="1">
        <f t="array" ref="DJ317">IF(D317="","",_xlfn.LET(_xlpm.t,IFERROR(_xlfn.XLOOKUP(1,(Шины[Шина]=DH317)*(((Шины[Щит]=A317)+(Шины[Щит]=""))&gt;0),Шины[Тип]),"")&amp;"",IF(_xlpm.t&lt;&gt;"",_xlpm.t,IF(ISNUMBER(SEARCH("ИБП",DH317)),"ИБП",IF(ISNUMBER(SEARCH("ДГУ",DH317)),"ДГУ","Ввод "&amp;DI317)))))</f>
        <v>Ввод 1</v>
      </c>
      <c r="DK317" t="str">
        <f t="shared" si="388"/>
        <v>Ввод 1</v>
      </c>
      <c r="DL317" t="str">
        <f>IF(D317="","",IF(OR(DJ317="ИБП",DJ317="ДГУ"),"I особая",IF(DJ317="Одиночная","III",_xlfn.XLOOKUP(A317,Щиты[Щит],Щиты[Категория шины «Ввод»],"III"))))</f>
        <v>II</v>
      </c>
      <c r="DM317">
        <f>IF(D317="",0,IFERROR(MATCH(DE317,{"III","II","I","I особая"},0),1))</f>
        <v>1</v>
      </c>
      <c r="DN317">
        <f t="shared" si="389"/>
        <v>1</v>
      </c>
      <c r="DO317" t="str">
        <f>IF(D317="","",IF(DM317&gt;IFERROR(MATCH(DL317,{"III","II","I","I особая"},0),1),"НЕ ОБЕСПЕЧЕНА","ОК"))</f>
        <v>ОК</v>
      </c>
      <c r="DP317" t="str">
        <f>IF(A317="","",_xlfn.XLOOKUP(A317,Щиты[Щит],Щиты[Путь],""))</f>
        <v>|ГРЩ-ЖД|ЩС-ВК.001|</v>
      </c>
      <c r="DQ317" t="str">
        <f>IF(D317="","",IF(Z317&lt;&gt;"",Z317,IF(IFERROR(_xlfn.XLOOKUP(AT317,Коды_код,Коды_вид)&amp;"","")="","Прочее",_xlfn.XLOOKUP(AT317,Коды_код,Коды_вид)&amp;"")))</f>
        <v>Прочее</v>
      </c>
      <c r="DR317">
        <f>IF(BD317="","",INT((BD317-1)/Столбцов_на_лист)+1)</f>
        <v>1</v>
      </c>
      <c r="DS317" t="str">
        <f t="shared" si="390"/>
        <v/>
      </c>
      <c r="DT317">
        <f t="shared" si="391"/>
        <v>0</v>
      </c>
      <c r="DU317">
        <f t="shared" si="392"/>
        <v>0</v>
      </c>
      <c r="DV317">
        <f t="shared" si="393"/>
        <v>1</v>
      </c>
      <c r="DW317">
        <f>IF(AT317="",0,_xlfn.LET(_xlpm.v,IFERROR(VLOOKUP(D317,УГО_спр,3,FALSE),IFERROR(VLOOKUP(AT317,УГО_спр,3,FALSE),IFERROR(VLOOKUP(LEFT(AT317,2),УГО_спр,3,FALSE),""))),IF(_xlpm.v="да",30,IF(ISNUMBER(_xlpm.v),_xlpm.v,0))))</f>
        <v>0</v>
      </c>
      <c r="DX317">
        <f t="shared" si="394"/>
        <v>0</v>
      </c>
      <c r="DY317" t="str">
        <f>IF(BD317="","",IF(AD317&lt;&gt;"",COUNTIFS(A$3:A317,A317,AD$3:AD317,"?*"),IF(OR(OR(AS317=1,A317&lt;&gt;A316),AL317="вручную"),"",IF(AS317=1,"",DZ316))))</f>
        <v/>
      </c>
      <c r="DZ317" t="str">
        <f t="shared" si="395"/>
        <v/>
      </c>
      <c r="EA317">
        <f>IF(D317="",0,MAX(IFERROR(--X317,0),IFERROR(--VLOOKUP(D317,УГО_спр,4,FALSE),IFERROR(--VLOOKUP(AT317,УГО_спр,4,FALSE),IFERROR(--VLOOKUP(LEFT(AT317,2),УГО_спр,4,FALSE),0)))))</f>
        <v>20</v>
      </c>
      <c r="EB317">
        <f>IF(D317="","",IFERROR(LOOKUP(INDEX(CHOOSE(BR317,Iдоп_1ж,Iдоп_2ж,Iдоп_3ж),MATCH(BS317,Iдоп_S,0))*BP317*BQ317,{6,10,16,20,25,32,40,50,63,80,100,125,160,200,250,315,400,500,630}),""))</f>
        <v>32</v>
      </c>
      <c r="EC317" t="str">
        <f>IF(AD317="","",SUMIFS(Линии[_Ток схемы],Линии[_гр.],DY317,Линии[Щит],A317,Линии[_в кабель выше],0))</f>
        <v/>
      </c>
      <c r="ED317" t="str">
        <f>IF(AD317="","",IFERROR(VLOOKUP(EC317,Автомат_номиналы,2,TRUE),""))</f>
        <v/>
      </c>
      <c r="EE317" t="str">
        <f>IF(AD317="","",MAX(N(ED317),_xlfn.MAXIFS(Линии[_мин. по типу],Линии[_гр.],DY317,Линии[Щит],A317)))</f>
        <v/>
      </c>
      <c r="EF317" t="str">
        <f>IF(AD317="","",_xlfn.MINIFS(Линии[_макс. автомат по кабелю],Линии[_гр.],DY317,Линии[Щит],A317))</f>
        <v/>
      </c>
      <c r="EG317" t="str">
        <f>IF(AD317="","",MAX(1,_xlfn.MAXIFS(Линии[_фаз],Линии[_гр.],DY317,Линии[Щит],A317)))</f>
        <v/>
      </c>
      <c r="EH317" t="str">
        <f>IF(AD317="","",IF(AND(AD317&lt;&gt;"авто",AD317&lt;&gt;"+"),IF(ISNUMBER(SEARCH("мА",AD317)),IFERROR(--TRIM(RIGHT(SUBSTITUTE(LEFT(AD317,SEARCH("мА",AD317)-1)," ",REPT(" ",9)),6)),30),0),IF(AE317="нет",0,IF(ISNUMBER(AE317),AE317,IF(AE317="да",30,_xlfn.MINIFS(Линии[_дифзащита по коду, мА],Линии[_гр.],DY317,Линии[Щит],A317,Линии[_дифзащита по коду, мА],"&gt;0"))))))</f>
        <v/>
      </c>
      <c r="EI317" t="str">
        <f t="shared" si="396"/>
        <v/>
      </c>
      <c r="EJ317" t="str">
        <f t="shared" si="397"/>
        <v/>
      </c>
      <c r="EK317" t="str">
        <f t="shared" si="398"/>
        <v/>
      </c>
      <c r="EL317" t="str">
        <f t="shared" si="399"/>
        <v/>
      </c>
      <c r="EM317">
        <f t="shared" si="400"/>
        <v>0</v>
      </c>
      <c r="EN317" t="str">
        <f>IF(AD317="","",IF(EM317=1,MAX(EE317,Мин_автомат_БП),EE317))</f>
        <v/>
      </c>
      <c r="EO317" t="str">
        <f t="shared" si="401"/>
        <v/>
      </c>
      <c r="EP317" t="str">
        <f t="shared" si="402"/>
        <v/>
      </c>
      <c r="EQ317" t="str">
        <f t="shared" si="403"/>
        <v/>
      </c>
      <c r="ER317" t="str">
        <f>IF(OR(AI317="",AI317="-"),"",IFERROR(VLOOKUP(AI317,Модули_спр,2,FALSE),"R"))</f>
        <v/>
      </c>
      <c r="ES317" t="str">
        <f>IF(ER317="","",ER317&amp;"."&amp;COUNTIFS(A$3:A317,A317,ER$3:ER317,ER317))</f>
        <v/>
      </c>
      <c r="ET317" t="str">
        <f t="shared" si="404"/>
        <v/>
      </c>
      <c r="EU317" t="str">
        <f t="shared" si="405"/>
        <v/>
      </c>
      <c r="EV317" t="str">
        <f t="shared" si="406"/>
        <v/>
      </c>
      <c r="EW317" t="str">
        <f t="shared" si="407"/>
        <v/>
      </c>
      <c r="EX317">
        <f t="shared" si="408"/>
        <v>0</v>
      </c>
      <c r="EY317" t="str">
        <f>IF(AK317="нет","",IF(AK317&lt;&gt;"",AK317,IF(EX317=1,"XT"&amp;COUNTIFS(A$3:A317,A317,EX$3:EX317,1),"")))</f>
        <v/>
      </c>
      <c r="EZ317" t="str">
        <f t="shared" si="409"/>
        <v/>
      </c>
      <c r="FA317" t="str">
        <f t="shared" si="410"/>
        <v/>
      </c>
      <c r="FB317" t="str">
        <f t="shared" si="411"/>
        <v/>
      </c>
      <c r="FC317" t="str">
        <f>IF(OR(EV317="",ET317=""),"",IF(EV317&gt;IFERROR(VLOOKUP(EU317,Модули_спр,3,FALSE),99),"ЛИШНИЙ КАНАЛ",IF(AND(AJ317&lt;&gt;"=",COUNTIFS(Линии[_модуль гр.],ET317,Линии[Канал (итог)],EV317,Линии[Канал],"&lt;&gt;=",Линии[Щит],A317)&gt;1),"ДУБЛЬ КАНАЛА","")))</f>
        <v/>
      </c>
      <c r="FD317" t="str">
        <f t="shared" si="412"/>
        <v/>
      </c>
      <c r="FE317" t="str">
        <f t="shared" si="413"/>
        <v/>
      </c>
      <c r="FF317" t="str">
        <f t="shared" si="414"/>
        <v/>
      </c>
      <c r="FG317" t="str">
        <f t="shared" si="415"/>
        <v/>
      </c>
      <c r="FH317" t="str">
        <f t="shared" si="416"/>
        <v/>
      </c>
      <c r="FI317">
        <f t="shared" si="417"/>
        <v>10</v>
      </c>
      <c r="FJ317" t="str">
        <f t="shared" si="418"/>
        <v/>
      </c>
      <c r="FK317" t="str">
        <f>IF(AND(D317="",EZ317=""),"",_xlfn.TEXTJOIN("; ",TRUE,IF(AND(D317&lt;&gt;"",DD317=""),"нет фазы",""),IF(AND(D317&lt;&gt;"",N(DT317)=0,CN317&lt;&gt;"Нет"),"нет мощности",""),IF(AND(EY317&lt;&gt;"",COUNTIFS(Линии[Щит],A317,Линии[Клемма (итог)],EY317)&gt;1),"дубль клеммы "&amp;EY317,""),IF(AND(FB317&lt;&gt;"",FB317&lt;&gt;"ok"),FB317,""),IF(FC317&lt;&gt;"",FC317,""),IF(AND(ISNUMBER(SEARCH("(5х",DS317)),N(DV317)=1),"5 жил на 1 фазе",""),IF(AND(AT317="R",AD317&lt;&gt;"",OR(N(EH317)=0,N(EH317)&gt;30)),"розетка без дифзащиты до 30 мА",""),IFERROR(IF(AND(ISNUMBER(CD317),CD317&gt;CE317),"потери "&amp;FIXED(CD317,1)&amp;" % &gt; "&amp;CE317&amp;" %",""),""),IFERROR(IF(LEFT(FJ317,4)="мало","Iкз мало — отключение &gt; 0,4 с",""),""),IF(AND(D317&lt;&gt;"",BD317=""),"не на схеме","")))</f>
        <v/>
      </c>
      <c r="FL317" t="str">
        <f>IF(AD317="","",_xlfn.LET(_xlpm.t,IFERROR(_xlfn.XLOOKUP(EP317,Каталог!$U$4:$U$500,Каталог!$G$4:$G$500),""),_xlpm.k,SEARCH("кА",_xlpm.t),IFERROR(--TRIM(RIGHT(SUBSTITUTE(MID(_xlpm.t,MAX(1,_xlpm.k-4),_xlpm.k-MAX(1,_xlpm.k-4))," ",REPT(" ",9)),5)),"")))</f>
        <v/>
      </c>
      <c r="FM317" t="str">
        <f>IF(OR(FL317="",AD317=""),"",IF(_xlfn.XLOOKUP(A317,Щиты[Щит],Щиты[Iкз max на шинах, кА],"")="","",IF(FL317&lt;_xlfn.XLOOKUP(A317,Щиты[Щит],Щиты[Iкз max на шинах, кА]),"Icu "&amp;FL317&amp;" кА &lt; Iкз max","ok")))</f>
        <v/>
      </c>
      <c r="FN317" t="str">
        <f t="shared" si="419"/>
        <v/>
      </c>
      <c r="FO317" t="str">
        <f t="shared" si="420"/>
        <v/>
      </c>
      <c r="FP317" t="str" cm="1">
        <f t="array" ref="FP317">IF(FO317="","",_xlfn.LET(_xlpm.nd,_xlfn.TEXTSPLIT(FO317,"|"),IF(COLUMNS(_xlpm.nd)&gt;1,A317&amp;"¦"&amp;INDEX(_xlpm.nd,1)&amp;"¦"&amp;INDEX(_xlpm.nd,2),"")))</f>
        <v/>
      </c>
      <c r="FQ317" t="str">
        <f t="shared" si="421"/>
        <v/>
      </c>
      <c r="FR317" t="str" cm="1">
        <f t="array" ref="FR317">IF(FO317="","",_xlfn.LET(_xlpm.nd,_xlfn.TEXTSPLIT(FO317,"|"),IF(COLUMNS(_xlpm.nd)&gt;2,A317&amp;"¦"&amp;INDEX(_xlpm.nd,2)&amp;"¦"&amp;INDEX(_xlpm.nd,3),"")))</f>
        <v/>
      </c>
      <c r="FS317" t="str">
        <f t="shared" si="422"/>
        <v/>
      </c>
      <c r="FT317" t="str" cm="1">
        <f t="array" ref="FT317">IF(FO317="","",_xlfn.LET(_xlpm.nd,_xlfn.TEXTSPLIT(FO317,"|"),IF(COLUMNS(_xlpm.nd)&gt;3,A317&amp;"¦"&amp;INDEX(_xlpm.nd,3)&amp;"¦"&amp;INDEX(_xlpm.nd,4),"")))</f>
        <v/>
      </c>
      <c r="FU317" t="str">
        <f t="shared" si="423"/>
        <v/>
      </c>
      <c r="FV317" t="str" cm="1">
        <f t="array" ref="FV317">IF(FO317="","",_xlfn.LET(_xlpm.nd,_xlfn.TEXTSPLIT(FO317,"|"),IF(COLUMNS(_xlpm.nd)&gt;4,A317&amp;"¦"&amp;INDEX(_xlpm.nd,4)&amp;"¦"&amp;INDEX(_xlpm.nd,5),"")))</f>
        <v/>
      </c>
      <c r="FW317" t="str">
        <f t="shared" si="424"/>
        <v/>
      </c>
      <c r="FX317" t="str" cm="1">
        <f t="array" ref="FX317">IF(FO317="","",_xlfn.LET(_xlpm.nd,_xlfn.TEXTSPLIT(FO317,"|"),IF(COLUMNS(_xlpm.nd)&gt;5,A317&amp;"¦"&amp;INDEX(_xlpm.nd,5)&amp;"¦"&amp;INDEX(_xlpm.nd,6),"")))</f>
        <v/>
      </c>
      <c r="FY317" t="str">
        <f t="shared" si="425"/>
        <v/>
      </c>
      <c r="FZ317" t="str" cm="1">
        <f t="array" ref="FZ317">IF(FO317="","",_xlfn.LET(_xlpm.nd,_xlfn.TEXTSPLIT(FO317,"|"),IF(COLUMNS(_xlpm.nd)&gt;6,A317&amp;"¦"&amp;INDEX(_xlpm.nd,6)&amp;"¦"&amp;INDEX(_xlpm.nd,7),"")))</f>
        <v/>
      </c>
      <c r="GA317" t="str">
        <f t="shared" si="426"/>
        <v/>
      </c>
      <c r="GB317" t="str">
        <f t="shared" si="427"/>
        <v/>
      </c>
      <c r="GC317" t="str">
        <f t="shared" si="428"/>
        <v/>
      </c>
      <c r="GD317">
        <f t="shared" si="429"/>
        <v>0</v>
      </c>
      <c r="GE317">
        <f t="shared" si="430"/>
        <v>0</v>
      </c>
      <c r="GF317">
        <f t="shared" si="431"/>
        <v>0</v>
      </c>
      <c r="GG317" t="str">
        <f t="shared" si="432"/>
        <v/>
      </c>
      <c r="GH317" t="str">
        <f t="shared" si="433"/>
        <v/>
      </c>
      <c r="GI317" t="str">
        <f t="shared" si="434"/>
        <v/>
      </c>
      <c r="GJ317" t="str">
        <f t="shared" si="435"/>
        <v/>
      </c>
      <c r="GK317">
        <f>IF(D317="","",IFERROR(VLOOKUP(D317,УГО_спр,2,FALSE),IFERROR(VLOOKUP(AT317,УГО_спр,2,FALSE),IFERROR(VLOOKUP(LEFT(AT317,2),УГО_спр,2,FALSE),""))))</f>
        <v>0</v>
      </c>
      <c r="GL317" t="str">
        <f>IF(D317="","",IF(OR(GK317="",GK317=0),"BOX",IFERROR(IF(VLOOKUP(GK317,УГО_блоки,3,FALSE)&amp;""&lt;&gt;"",VLOOKUP(GK317,УГО_блоки,3,FALSE),VLOOKUP(GK317,УГО_блоки,2,FALSE)),GK317)))</f>
        <v>BOX</v>
      </c>
      <c r="GM317">
        <f t="shared" si="436"/>
        <v>1</v>
      </c>
      <c r="GN317" t="str">
        <f>IF(EP317="","",IF(COUNTIF(EP$3:EP317,EP317)=1,MAX(GN$2:GN316)+1,""))</f>
        <v/>
      </c>
      <c r="GO317" t="str">
        <f>IF(AF317="","",IF(COUNTIF(AF$3:AF317,AF317)+COUNTIF(AG$2:AG316,AF317)+COUNTIF(AH$2:AH316,AF317)=1,MAX(GO$2:GQ316)+1,""))</f>
        <v/>
      </c>
      <c r="GP317" t="str">
        <f>IF(AG317="","",IF(COUNTIF(AF$3:AF317,AG317)+COUNTIF(AG$3:AG317,AG317)+COUNTIF(AH$2:AH316,AG317)=1,MAX(GO$2:GQ316,GO317)+1,""))</f>
        <v/>
      </c>
      <c r="GQ317" t="str">
        <f>IF(AH317="","",IF(COUNTIF(AF$3:AF317,AH317)+COUNTIF(AG$3:AG317,AH317)+COUNTIF(AH$3:AH317,AH317)=1,MAX(GO$2:GQ316,GO317,GP317)+1,""))</f>
        <v/>
      </c>
      <c r="GR317" t="str">
        <f t="shared" si="437"/>
        <v/>
      </c>
      <c r="GS317" t="str">
        <f>IF(GR317="","",IF(COUNTIF(GR$3:GR317,GR317)=1,MAX(GS$2:GS316)+1,""))</f>
        <v/>
      </c>
      <c r="GT317" t="str">
        <f>IF(ES317="","",COUNTIF(ES$3:ES317,"?*"))</f>
        <v/>
      </c>
      <c r="GU317" t="str">
        <f>IF(OR(ES317="",EU317=""),"",IF(COUNTIFS(ES$3:ES317,"?*",EU$3:EU317,EU317)=1,MAX(GU$2:GU316)+1,""))</f>
        <v/>
      </c>
      <c r="GV317">
        <f t="shared" si="438"/>
        <v>0</v>
      </c>
      <c r="GW317">
        <f>IF(D317="","",COUNTIF(D$3:D317,"?*"))</f>
        <v>315</v>
      </c>
      <c r="GX317">
        <f>IF(EX317&lt;&gt;1,0,_xlfn.LET(_xlpm.k,MAX(IFERROR(--VLOOKUP(D317,УГО_спр,5,FALSE),0),IFERROR(--VLOOKUP(AT317,УГО_спр,5,FALSE),0),IFERROR(--VLOOKUP(LEFT(AT317,2),УГО_спр,5,FALSE),0)),IF(_xlpm.k&gt;0,_xlpm.k,IF(IFERROR(--LEFT(SUBSTITUTE(GR317,"x","х"),FIND("х",SUBSTITUTE(GR317,"x","х"))-1),3)&gt;3,Каталог!$S$9,1))))</f>
        <v>0</v>
      </c>
      <c r="GY317">
        <f t="shared" si="439"/>
        <v>0</v>
      </c>
    </row>
    <row r="318" spans="1:207" x14ac:dyDescent="0.3">
      <c r="A318" t="s">
        <v>768</v>
      </c>
      <c r="B318">
        <v>10</v>
      </c>
      <c r="C318" t="str">
        <f>IF(BD318="","",IF(BE318="вводной узел","узел ","")&amp;"л."&amp;(INT((BD318-1)/Столбцов_на_лист)+1)&amp;" / "&amp;(MOD(BD318-1,Столбцов_на_лист)+1))</f>
        <v>л.1 / 10</v>
      </c>
      <c r="D318" t="s">
        <v>1655</v>
      </c>
      <c r="E318" s="133" t="str">
        <f t="shared" si="352"/>
        <v>Насос дренажный Подвальный этаж Пом. №003Т</v>
      </c>
      <c r="G318">
        <v>0.6</v>
      </c>
      <c r="H318">
        <v>1</v>
      </c>
      <c r="I318">
        <v>1</v>
      </c>
      <c r="J318">
        <v>230</v>
      </c>
      <c r="K318" t="s">
        <v>602</v>
      </c>
      <c r="L318">
        <v>0.5</v>
      </c>
      <c r="O318">
        <v>1</v>
      </c>
      <c r="P318">
        <v>18</v>
      </c>
      <c r="Q318">
        <v>9</v>
      </c>
      <c r="R318">
        <v>9</v>
      </c>
      <c r="S318">
        <v>0</v>
      </c>
      <c r="T318">
        <v>1</v>
      </c>
      <c r="U318" t="s">
        <v>11</v>
      </c>
      <c r="V318">
        <v>3</v>
      </c>
      <c r="W318">
        <v>2.5</v>
      </c>
      <c r="X318">
        <v>16</v>
      </c>
      <c r="Z318" t="s">
        <v>608</v>
      </c>
      <c r="AA318" t="s">
        <v>866</v>
      </c>
      <c r="AD318" t="s">
        <v>517</v>
      </c>
      <c r="AR318" t="str">
        <f t="shared" si="353"/>
        <v>категория I не обеспечена (есть II)</v>
      </c>
      <c r="AS318" cm="1">
        <f t="array" ref="AS318">ROW()-ROW(Линии[#Headers])</f>
        <v>316</v>
      </c>
      <c r="AT318" t="str">
        <f t="shared" si="354"/>
        <v>НВК</v>
      </c>
      <c r="AU318" t="str">
        <f t="shared" si="355"/>
        <v>00.003Т.2</v>
      </c>
      <c r="AV318" t="str">
        <f t="shared" si="356"/>
        <v>00</v>
      </c>
      <c r="AW318" t="str">
        <f t="shared" si="357"/>
        <v>003Т.2</v>
      </c>
      <c r="AX318" t="str">
        <f t="shared" si="358"/>
        <v>003Т</v>
      </c>
      <c r="AY318" t="str">
        <f>IF(D318="","",IF(ISERROR(SEARCH(".",D318)),IFERROR(VLOOKUP(D318,Потребители_обозначение,2,FALSE)&amp;"",""),IFERROR(IF(VLOOKUP(AT318,Потребители_обозначение,4,FALSE)=1,VLOOKUP(AT318,Потребители_обозначение,2,FALSE)&amp;" "&amp;VLOOKUP(AV318,Этаж_обозначение,2,FALSE)&amp;" Пом. №"&amp;AX318,VLOOKUP(AT318,Потребители_обозначение,2,FALSE)&amp;" Шлейф №"&amp;AV318),IFERROR(VLOOKUP(D318,Потребители_обозначение,2,FALSE),""))))</f>
        <v>Насос дренажный Подвальный этаж Пом. №003Т</v>
      </c>
      <c r="AZ318" t="str">
        <f t="shared" si="359"/>
        <v>Насос дренажный Подвальный этаж Пом. №003Т</v>
      </c>
      <c r="BA318" t="str">
        <f>IF(F318&lt;&gt;"",F318,IF(AND(D318&lt;&gt;"",D318&lt;&gt;A318,ISNUMBER(_xlfn.XMATCH(D318,Щиты[Щит]))),D318,""))</f>
        <v/>
      </c>
      <c r="BB318">
        <f>IFERROR(_xlfn.XMATCH(A318,Щиты[Щит]),0)</f>
        <v>13</v>
      </c>
      <c r="BC318">
        <f>IFERROR(N(_xlfn.XLOOKUP(A318,Щиты[Щит],Щиты[Мест под вводной узел])),15)</f>
        <v>9</v>
      </c>
      <c r="BD318">
        <f t="shared" si="360"/>
        <v>10</v>
      </c>
      <c r="BE318" t="str">
        <f t="shared" si="361"/>
        <v>линии</v>
      </c>
      <c r="BF318">
        <f>IF(D318="","",IF(BA318&lt;&gt;"",IFERROR(_xlfn.XLOOKUP(BA318,Щиты[Щит],Щиты[Руст, кВт]),0),N(G318)))</f>
        <v>0.6</v>
      </c>
      <c r="BG318">
        <f>IF(J318&lt;&gt;"",J318,IF(D318="","",IFERROR(IF(VLOOKUP(AT318,Потребители_обозначение,8,FALSE)=0,"",VLOOKUP(AT318,Потребители_обозначение,8,FALSE)),"")))</f>
        <v>230</v>
      </c>
      <c r="BH318">
        <f>IF(I318&lt;&gt;"",I318,IF(D318="","",IFERROR(IF(VLOOKUP(AT318,Потребители_обозначение,9,FALSE)=0,"",VLOOKUP(AT318,Потребители_обозначение,9,FALSE)),"")))</f>
        <v>1</v>
      </c>
      <c r="BI318" t="str">
        <f>IF(U318&lt;&gt;"",U318,IF(D318="","",IFERROR(IF(VLOOKUP(AT318,Потребители_обозначение,6,FALSE)=0,"",VLOOKUP(AT318,Потребители_обозначение,6,FALSE)),"")))</f>
        <v>мс</v>
      </c>
      <c r="BJ318">
        <f>IF(V318&lt;&gt;"",V318,IF(D318="","",IFERROR(IF(VLOOKUP(AT318,Потребители_обозначение,7,FALSE)=0,"",VLOOKUP(AT318,Потребители_обозначение,7,FALSE)),"")))</f>
        <v>3</v>
      </c>
      <c r="BK318">
        <f>IF(W318&lt;&gt;"",W318,IF(D318="","",IFERROR(IF(VLOOKUP(AT318,Потребители_обозначение,10,FALSE)=0,"",VLOOKUP(AT318,Потребители_обозначение,10,FALSE)),"")))</f>
        <v>2.5</v>
      </c>
      <c r="BL318">
        <f>IFERROR(VLOOKUP(AT318,Потребители_обозначение,5,FALSE),0)</f>
        <v>1</v>
      </c>
      <c r="BM318" cm="1">
        <f t="array" ref="BM318">IF(D318="","",IF(BA318&lt;&gt;"",IFERROR(_xlfn.XLOOKUP(BA318,Щиты[Щит],Щиты[cos φ]),0.95),IF(ISNUMBER(M318),M318,IFERROR(IF(BL318=2,_xlfn.IFS(BH318=3,VLOOKUP(BF318,Справочная_двигатели,8,FALSE),BH318=1,VLOOKUP(BF318,Справочная_двигатели,10,TRUE)),IF(AND(Методика="нормы 2026",CN318="Сил"),0.8,0.95)),0.95))))</f>
        <v>0.95</v>
      </c>
      <c r="BN318" cm="1">
        <f t="array" ref="BN318">IF(D318="","",IF(BA318&lt;&gt;"",IFERROR(_xlfn.XLOOKUP(BA318,Щиты[Щит],Щиты[Iр, А]),""),IFERROR(_xlfn.IFS(BH318=1,BF318/((Uн_лин/SQRT(3))*BM318),BH318=3,BF318/(SQRT(3)*Uн_лин*BM318)),"")))</f>
        <v>2.7348170645824377</v>
      </c>
      <c r="BO318">
        <f>IF(D318="","",IF(N(X318)=0,IFERROR(VLOOKUP(BN318,Автомат_номиналы,2,TRUE),""),X318))</f>
        <v>16</v>
      </c>
      <c r="BP318">
        <f t="shared" si="362"/>
        <v>1</v>
      </c>
      <c r="BQ318">
        <f>IF(ISNUMBER(Y318),Y318,К_прокл)</f>
        <v>1</v>
      </c>
      <c r="BR318">
        <f t="shared" si="363"/>
        <v>2</v>
      </c>
      <c r="BS318" cm="1">
        <f t="array" ref="BS318">IF(D318="","",IF(N(BK318)&lt;&gt;0,BK318,IFERROR(_xlfn.LET(_xlpm.need,BO318/(BP318*BQ318),_xlpm.t,CHOOSE(BR318,Iдоп_1ж,Iдоп_2ж,Iдоп_3ж),_xlpm.k,_xlfn.XMATCH(_xlpm.need,_xlpm.t,1),IF(ISNA(_xlpm.k),"Не исп",INDEX(Iдоп_S,_xlpm.k))),"Не исп")))</f>
        <v>2.5</v>
      </c>
      <c r="BT318">
        <f>IFERROR(VLOOKUP(BS318,Кабель_сопротивление,3,FALSE),"")</f>
        <v>2.2499999999999999E-2</v>
      </c>
      <c r="BU318">
        <f>IFERROR(VLOOKUP(BS318,Кабель_сопротивление,2,FALSE),"")</f>
        <v>0.1</v>
      </c>
      <c r="BV318">
        <f t="shared" si="364"/>
        <v>18</v>
      </c>
      <c r="BW318">
        <f>IF(D318="","",IFERROR(IF(VLOOKUP(AT318,Потребители_обозначение,4,FALSE)=1,VLOOKUP(AT318,Потребители_обозначение,3,FALSE)*(H318*2-1)+BV318+VLOOKUP(AV318,Этаж_обозначение,3,FALSE)+VLOOKUP(AV318,Этаж_обозначение,4,FALSE),VLOOKUP(AT318,Потребители_обозначение,3,FALSE)*(H318*2-1)+BV318),BV318))</f>
        <v>21</v>
      </c>
      <c r="BX318">
        <f t="shared" si="365"/>
        <v>9</v>
      </c>
      <c r="BY318">
        <f t="shared" si="366"/>
        <v>0</v>
      </c>
      <c r="BZ318">
        <f t="shared" si="367"/>
        <v>2</v>
      </c>
      <c r="CA318">
        <f t="shared" si="368"/>
        <v>0.31</v>
      </c>
      <c r="CB318">
        <f t="shared" si="369"/>
        <v>0.98563353970963974</v>
      </c>
      <c r="CC318">
        <f>IFERROR(ROUNDUP(CB318/((Uн_лин/SQRT(3))*1000)*100,2),"")</f>
        <v>0.43</v>
      </c>
      <c r="CD318">
        <f>IF(ISNUMBER(CC318),CC318+IFERROR(_xlfn.XLOOKUP(A318,Щиты[Щит],Щиты[ΔU до шин, %]),0),"")</f>
        <v>2.3199999999999998</v>
      </c>
      <c r="CE318">
        <f>IF(D318="","",IF(IFERROR(VLOOKUP(AT318,УГО_спр,2,FALSE),"")="Светильник",3,4)+IF(Методика="нормы 2026",MIN(0.5,MAX(0,N(BW318)-100)*0.005),0))</f>
        <v>4</v>
      </c>
      <c r="CF318" t="str">
        <f>IFERROR(VLOOKUP(BI318,Кабель_обозначение,2,FALSE),"")</f>
        <v>ВВГнг(А)-LS</v>
      </c>
      <c r="CG318" t="str">
        <f>IFERROR(IF(VLOOKUP(BI318,Кабель_обозначение,3,FALSE)=1,CF318&amp;" ("&amp;BJ318&amp;"х"&amp;BS318&amp;")",CF318),"")</f>
        <v>ВВГнг(А)-LS (3х2,5)</v>
      </c>
      <c r="CH318" t="str">
        <f t="shared" si="370"/>
        <v>ВВГнг(А)-LS (3х2,5)
L=21-0,43%</v>
      </c>
      <c r="CI318">
        <f>IFERROR(2*ρкз_Cu*BW318/BS318,"")</f>
        <v>0.44184000000000001</v>
      </c>
      <c r="CJ318">
        <f t="shared" si="371"/>
        <v>0.14700000000000002</v>
      </c>
      <c r="CK318" t="str">
        <f>IFERROR(IF(OR(D318="",NOT(ISNUMBER(BS318)),N(BW318)=0),"",_xlfn.XLOOKUP(A318,Щиты[Щит],Щиты[Zпетли на шинах, Ом])+CI318),"")</f>
        <v/>
      </c>
      <c r="CL318" t="str">
        <f>IF(ISNUMBER(CK318),c_min*(Uн_лин*1000/SQRT(3))/CK318,"")</f>
        <v/>
      </c>
      <c r="CM318" t="str">
        <f>IFERROR(IF(OR(D318="",NOT(ISNUMBER(BS318))),"",1.05*(Uн_лин*1000/SQRT(3))/(_xlfn.XLOOKUP(A318,Щиты[Щит],Щиты[Zmax на шинах, Ом])+CJ318)/1000),"")</f>
        <v/>
      </c>
      <c r="CN318" t="str">
        <f>IF(D318="","",IF(BA318&lt;&gt;"","Щит",IF(K318&lt;&gt;"",K318,IF(ISNUMBER(L318),"Сил",IF(IFERROR(_xlfn.XLOOKUP(AT318,Коды_код,Коды_группа)&amp;"","")="","Быт",_xlfn.XLOOKUP(AT318,Коды_код,Коды_группа)&amp;"")))))</f>
        <v>Сил</v>
      </c>
      <c r="CO318">
        <f>IF(CN318="Щит","щит",IF(CN318="","",IF(CN318="Быт",IFERROR(_xlfn.XLOOKUP(A318,Щиты[Щит],Щиты[Кс быт]),1),IF(CN318="Сил",IF(ISNUMBER(L318),L318,IF(Методика="нормы 2026",IFERROR(_xlfn.XLOOKUP(A318,Щиты[Щит],Щиты[Кс силовых (табл. 7.5)]),1),1)),IF(OR(CN318="Пост",CN318="Отоп"),1,IF(CN318="ВНГ",0.7,0))))))</f>
        <v>0.5</v>
      </c>
      <c r="CP318">
        <f t="shared" si="372"/>
        <v>1</v>
      </c>
      <c r="CQ318">
        <f t="shared" si="373"/>
        <v>0.6</v>
      </c>
      <c r="CR318">
        <f t="shared" si="374"/>
        <v>0</v>
      </c>
      <c r="CS318">
        <f t="shared" si="375"/>
        <v>0.3</v>
      </c>
      <c r="CT318">
        <f t="shared" si="376"/>
        <v>0</v>
      </c>
      <c r="CU318">
        <f t="shared" si="377"/>
        <v>0</v>
      </c>
      <c r="CV318">
        <f t="shared" si="378"/>
        <v>0</v>
      </c>
      <c r="CW318">
        <f t="shared" si="379"/>
        <v>0.6</v>
      </c>
      <c r="CX318">
        <f t="shared" si="380"/>
        <v>0.56999999999999995</v>
      </c>
      <c r="CY318">
        <f t="shared" si="381"/>
        <v>2</v>
      </c>
      <c r="CZ318" t="str">
        <f t="shared" si="382"/>
        <v>L2</v>
      </c>
      <c r="DA318" cm="1">
        <f t="array" ref="DA318">IFERROR(IF(BL318=2,_xlfn.IFS(BH318=3,VLOOKUP(BF318,Справочная_двигатели,3,FALSE),BH318=1,VLOOKUP(BF318,Справочная_двигатели,5,TRUE)),0),0)</f>
        <v>0</v>
      </c>
      <c r="DB318">
        <f>IFERROR(IF(BL318=3,VLOOKUP(BF318,Справочная_ЛЭД,2,TRUE),0),0)</f>
        <v>0</v>
      </c>
      <c r="DC318">
        <f t="shared" si="383"/>
        <v>0</v>
      </c>
      <c r="DD318" t="str">
        <f t="shared" si="384"/>
        <v>L1</v>
      </c>
      <c r="DE318" t="str" cm="1">
        <f t="array" ref="DE318">IF(D318="","",IFERROR(INDEX({"I особая","I","II","III"},MATCH(TRIM(AA318&amp;""),{"I особая","I","II","III"},0)),"III"))</f>
        <v>I</v>
      </c>
      <c r="DF318" t="str">
        <f>IF(D318="","",IF(TRIM(AB318&amp;"")&lt;&gt;"",IF(LOWER(TRIM(AB318&amp;""))="да","да","нет"),IF(IFERROR(_xlfn.XLOOKUP(AT318,Коды_код,Коды_пожарная),"")="да","да","нет")))</f>
        <v>нет</v>
      </c>
      <c r="DG318" t="str">
        <f t="shared" si="385"/>
        <v/>
      </c>
      <c r="DH318" t="str">
        <f t="shared" si="386"/>
        <v>основная</v>
      </c>
      <c r="DI318">
        <f t="shared" si="387"/>
        <v>1</v>
      </c>
      <c r="DJ318" t="str" cm="1">
        <f t="array" ref="DJ318">IF(D318="","",_xlfn.LET(_xlpm.t,IFERROR(_xlfn.XLOOKUP(1,(Шины[Шина]=DH318)*(((Шины[Щит]=A318)+(Шины[Щит]=""))&gt;0),Шины[Тип]),"")&amp;"",IF(_xlpm.t&lt;&gt;"",_xlpm.t,IF(ISNUMBER(SEARCH("ИБП",DH318)),"ИБП",IF(ISNUMBER(SEARCH("ДГУ",DH318)),"ДГУ","Ввод "&amp;DI318)))))</f>
        <v>Ввод 1</v>
      </c>
      <c r="DK318" t="str">
        <f t="shared" si="388"/>
        <v>Ввод 1</v>
      </c>
      <c r="DL318" t="str">
        <f>IF(D318="","",IF(OR(DJ318="ИБП",DJ318="ДГУ"),"I особая",IF(DJ318="Одиночная","III",_xlfn.XLOOKUP(A318,Щиты[Щит],Щиты[Категория шины «Ввод»],"III"))))</f>
        <v>II</v>
      </c>
      <c r="DM318">
        <f>IF(D318="",0,IFERROR(MATCH(DE318,{"III","II","I","I особая"},0),1))</f>
        <v>3</v>
      </c>
      <c r="DN318">
        <f t="shared" si="389"/>
        <v>3</v>
      </c>
      <c r="DO318" t="str">
        <f>IF(D318="","",IF(DM318&gt;IFERROR(MATCH(DL318,{"III","II","I","I особая"},0),1),"НЕ ОБЕСПЕЧЕНА","ОК"))</f>
        <v>НЕ ОБЕСПЕЧЕНА</v>
      </c>
      <c r="DP318" t="str">
        <f>IF(A318="","",_xlfn.XLOOKUP(A318,Щиты[Щит],Щиты[Путь],""))</f>
        <v>|ГРЩ-ЖД|ЩС-ВК.001|</v>
      </c>
      <c r="DQ318" t="str">
        <f>IF(D318="","",IF(Z318&lt;&gt;"",Z318,IF(IFERROR(_xlfn.XLOOKUP(AT318,Коды_код,Коды_вид)&amp;"","")="","Прочее",_xlfn.XLOOKUP(AT318,Коды_код,Коды_вид)&amp;"")))</f>
        <v>Насосы (водоснабжение, дренаж)</v>
      </c>
      <c r="DR318">
        <f>IF(BD318="","",INT((BD318-1)/Столбцов_на_лист)+1)</f>
        <v>1</v>
      </c>
      <c r="DS318" t="str">
        <f t="shared" si="390"/>
        <v>ВВГнг(А)-LS (3х2,5) L=21-0,43%</v>
      </c>
      <c r="DT318">
        <f t="shared" si="391"/>
        <v>0.6</v>
      </c>
      <c r="DU318">
        <f t="shared" si="392"/>
        <v>2.7399999999999998</v>
      </c>
      <c r="DV318">
        <f t="shared" si="393"/>
        <v>1</v>
      </c>
      <c r="DW318">
        <f>IF(AT318="",0,_xlfn.LET(_xlpm.v,IFERROR(VLOOKUP(D318,УГО_спр,3,FALSE),IFERROR(VLOOKUP(AT318,УГО_спр,3,FALSE),IFERROR(VLOOKUP(LEFT(AT318,2),УГО_спр,3,FALSE),""))),IF(_xlpm.v="да",30,IF(ISNUMBER(_xlpm.v),_xlpm.v,0))))</f>
        <v>0</v>
      </c>
      <c r="DX318">
        <f t="shared" si="394"/>
        <v>0</v>
      </c>
      <c r="DY318">
        <f>IF(BD318="","",IF(AD318&lt;&gt;"",COUNTIFS(A$3:A318,A318,AD$3:AD318,"?*"),IF(OR(OR(AS318=1,A318&lt;&gt;A317),AL318="вручную"),"",IF(AS318=1,"",DZ317))))</f>
        <v>1</v>
      </c>
      <c r="DZ318">
        <f t="shared" si="395"/>
        <v>1</v>
      </c>
      <c r="EA318">
        <f>IF(D318="",0,MAX(IFERROR(--X318,0),IFERROR(--VLOOKUP(D318,УГО_спр,4,FALSE),IFERROR(--VLOOKUP(AT318,УГО_спр,4,FALSE),IFERROR(--VLOOKUP(LEFT(AT318,2),УГО_спр,4,FALSE),0)))))</f>
        <v>16</v>
      </c>
      <c r="EB318">
        <f>IF(D318="","",IFERROR(LOOKUP(INDEX(CHOOSE(BR318,Iдоп_1ж,Iдоп_2ж,Iдоп_3ж),MATCH(BS318,Iдоп_S,0))*BP318*BQ318,{6,10,16,20,25,32,40,50,63,80,100,125,160,200,250,315,400,500,630}),""))</f>
        <v>25</v>
      </c>
      <c r="EC318">
        <f>IF(AD318="","",SUMIFS(Линии[_Ток схемы],Линии[_гр.],DY318,Линии[Щит],A318,Линии[_в кабель выше],0))</f>
        <v>2.7399999999999998</v>
      </c>
      <c r="ED318">
        <f>IF(AD318="","",IFERROR(VLOOKUP(EC318,Автомат_номиналы,2,TRUE),""))</f>
        <v>6</v>
      </c>
      <c r="EE318">
        <f>IF(AD318="","",MAX(N(ED318),_xlfn.MAXIFS(Линии[_мин. по типу],Линии[_гр.],DY318,Линии[Щит],A318)))</f>
        <v>16</v>
      </c>
      <c r="EF318">
        <f>IF(AD318="","",_xlfn.MINIFS(Линии[_макс. автомат по кабелю],Линии[_гр.],DY318,Линии[Щит],A318))</f>
        <v>25</v>
      </c>
      <c r="EG318">
        <f>IF(AD318="","",MAX(1,_xlfn.MAXIFS(Линии[_фаз],Линии[_гр.],DY318,Линии[Щит],A318)))</f>
        <v>1</v>
      </c>
      <c r="EH318">
        <f>IF(AD318="","",IF(AND(AD318&lt;&gt;"авто",AD318&lt;&gt;"+"),IF(ISNUMBER(SEARCH("мА",AD318)),IFERROR(--TRIM(RIGHT(SUBSTITUTE(LEFT(AD318,SEARCH("мА",AD318)-1)," ",REPT(" ",9)),6)),30),0),IF(AE318="нет",0,IF(ISNUMBER(AE318),AE318,IF(AE318="да",30,_xlfn.MINIFS(Линии[_дифзащита по коду, мА],Линии[_гр.],DY318,Линии[Щит],A318,Линии[_дифзащита по коду, мА],"&gt;0"))))))</f>
        <v>0</v>
      </c>
      <c r="EI318">
        <f t="shared" si="396"/>
        <v>0</v>
      </c>
      <c r="EJ318" t="str">
        <f t="shared" si="397"/>
        <v>QF1</v>
      </c>
      <c r="EK318" t="str">
        <f t="shared" si="398"/>
        <v>QF1</v>
      </c>
      <c r="EL318" t="str">
        <f t="shared" si="399"/>
        <v/>
      </c>
      <c r="EM318">
        <f t="shared" si="400"/>
        <v>0</v>
      </c>
      <c r="EN318">
        <f>IF(AD318="","",IF(EM318=1,MAX(EE318,Мин_автомат_БП),EE318))</f>
        <v>16</v>
      </c>
      <c r="EO318" t="str">
        <f t="shared" si="401"/>
        <v>1P</v>
      </c>
      <c r="EP318" t="str">
        <f t="shared" si="402"/>
        <v>1P С16А</v>
      </c>
      <c r="EQ318">
        <f t="shared" si="403"/>
        <v>16</v>
      </c>
      <c r="ER318" t="str">
        <f>IF(OR(AI318="",AI318="-"),"",IFERROR(VLOOKUP(AI318,Модули_спр,2,FALSE),"R"))</f>
        <v/>
      </c>
      <c r="ES318" t="str">
        <f>IF(ER318="","",ER318&amp;"."&amp;COUNTIFS(A$3:A318,A318,ER$3:ER318,ER318))</f>
        <v/>
      </c>
      <c r="ET318" t="str">
        <f t="shared" si="404"/>
        <v/>
      </c>
      <c r="EU318" t="str">
        <f t="shared" si="405"/>
        <v/>
      </c>
      <c r="EV318" t="str">
        <f t="shared" si="406"/>
        <v/>
      </c>
      <c r="EW318" t="str">
        <f t="shared" si="407"/>
        <v/>
      </c>
      <c r="EX318">
        <f t="shared" si="408"/>
        <v>1</v>
      </c>
      <c r="EY318" t="str">
        <f>IF(AK318="нет","",IF(AK318&lt;&gt;"",AK318,IF(EX318=1,"XT"&amp;COUNTIFS(A$3:A318,A318,EX$3:EX318,1),"")))</f>
        <v>XT1</v>
      </c>
      <c r="EZ318" t="str">
        <f t="shared" si="409"/>
        <v>QF1</v>
      </c>
      <c r="FA318" t="str">
        <f t="shared" si="410"/>
        <v/>
      </c>
      <c r="FB318" t="str">
        <f t="shared" si="411"/>
        <v>ok</v>
      </c>
      <c r="FC318" t="str">
        <f>IF(OR(EV318="",ET318=""),"",IF(EV318&gt;IFERROR(VLOOKUP(EU318,Модули_спр,3,FALSE),99),"ЛИШНИЙ КАНАЛ",IF(AND(AJ318&lt;&gt;"=",COUNTIFS(Линии[_модуль гр.],ET318,Линии[Канал (итог)],EV318,Линии[Канал],"&lt;&gt;=",Линии[Щит],A318)&gt;1),"ДУБЛЬ КАНАЛА","")))</f>
        <v/>
      </c>
      <c r="FD318">
        <f t="shared" si="412"/>
        <v>16</v>
      </c>
      <c r="FE318" t="str">
        <f t="shared" si="413"/>
        <v>1P С16А</v>
      </c>
      <c r="FF318">
        <f t="shared" si="414"/>
        <v>0</v>
      </c>
      <c r="FG318">
        <f t="shared" si="415"/>
        <v>0</v>
      </c>
      <c r="FH318" t="str">
        <f t="shared" si="416"/>
        <v/>
      </c>
      <c r="FI318">
        <f t="shared" si="417"/>
        <v>10</v>
      </c>
      <c r="FJ318" t="str">
        <f t="shared" si="418"/>
        <v/>
      </c>
      <c r="FK318" t="str">
        <f>IF(AND(D318="",EZ318=""),"",_xlfn.TEXTJOIN("; ",TRUE,IF(AND(D318&lt;&gt;"",DD318=""),"нет фазы",""),IF(AND(D318&lt;&gt;"",N(DT318)=0,CN318&lt;&gt;"Нет"),"нет мощности",""),IF(AND(EY318&lt;&gt;"",COUNTIFS(Линии[Щит],A318,Линии[Клемма (итог)],EY318)&gt;1),"дубль клеммы "&amp;EY318,""),IF(AND(FB318&lt;&gt;"",FB318&lt;&gt;"ok"),FB318,""),IF(FC318&lt;&gt;"",FC318,""),IF(AND(ISNUMBER(SEARCH("(5х",DS318)),N(DV318)=1),"5 жил на 1 фазе",""),IF(AND(AT318="R",AD318&lt;&gt;"",OR(N(EH318)=0,N(EH318)&gt;30)),"розетка без дифзащиты до 30 мА",""),IFERROR(IF(AND(ISNUMBER(CD318),CD318&gt;CE318),"потери "&amp;FIXED(CD318,1)&amp;" % &gt; "&amp;CE318&amp;" %",""),""),IFERROR(IF(LEFT(FJ318,4)="мало","Iкз мало — отключение &gt; 0,4 с",""),""),IF(AND(D318&lt;&gt;"",BD318=""),"не на схеме","")))</f>
        <v/>
      </c>
      <c r="FL318">
        <f>IF(AD318="","",_xlfn.LET(_xlpm.t,IFERROR(_xlfn.XLOOKUP(EP318,Каталог!$U$4:$U$500,Каталог!$G$4:$G$500),""),_xlpm.k,SEARCH("кА",_xlpm.t),IFERROR(--TRIM(RIGHT(SUBSTITUTE(MID(_xlpm.t,MAX(1,_xlpm.k-4),_xlpm.k-MAX(1,_xlpm.k-4))," ",REPT(" ",9)),5)),"")))</f>
        <v>6</v>
      </c>
      <c r="FM318" t="str">
        <f>IF(OR(FL318="",AD318=""),"",IF(_xlfn.XLOOKUP(A318,Щиты[Щит],Щиты[Iкз max на шинах, кА],"")="","",IF(FL318&lt;_xlfn.XLOOKUP(A318,Щиты[Щит],Щиты[Iкз max на шинах, кА]),"Icu "&amp;FL318&amp;" кА &lt; Iкз max","ok")))</f>
        <v/>
      </c>
      <c r="FN318" t="str">
        <f t="shared" si="419"/>
        <v>QF1|XT1</v>
      </c>
      <c r="FO318" t="str">
        <f t="shared" si="420"/>
        <v>QF1|XT1|кабель ВВГнг(А)-LS (3х2,5) → Насос дренажный Подвальный этаж Пом. №003Т</v>
      </c>
      <c r="FP318" t="str" cm="1">
        <f t="array" ref="FP318">IF(FO318="","",_xlfn.LET(_xlpm.nd,_xlfn.TEXTSPLIT(FO318,"|"),IF(COLUMNS(_xlpm.nd)&gt;1,A318&amp;"¦"&amp;INDEX(_xlpm.nd,1)&amp;"¦"&amp;INDEX(_xlpm.nd,2),"")))</f>
        <v>ЩС-ВК.001¦QF1¦XT1</v>
      </c>
      <c r="FQ318" t="str">
        <f t="shared" si="421"/>
        <v>НВК.00.003Т.2¦Насос дренажный Подвальный этаж Пом. №003Т</v>
      </c>
      <c r="FR318" t="str" cm="1">
        <f t="array" ref="FR318">IF(FO318="","",_xlfn.LET(_xlpm.nd,_xlfn.TEXTSPLIT(FO318,"|"),IF(COLUMNS(_xlpm.nd)&gt;2,A318&amp;"¦"&amp;INDEX(_xlpm.nd,2)&amp;"¦"&amp;INDEX(_xlpm.nd,3),"")))</f>
        <v>ЩС-ВК.001¦XT1¦кабель ВВГнг(А)-LS (3х2,5) → Насос дренажный Подвальный этаж Пом. №003Т</v>
      </c>
      <c r="FS318" t="str">
        <f t="shared" si="422"/>
        <v>НВК.00.003Т.2¦Насос дренажный Подвальный этаж Пом. №003Т</v>
      </c>
      <c r="FT318" t="str" cm="1">
        <f t="array" ref="FT318">IF(FO318="","",_xlfn.LET(_xlpm.nd,_xlfn.TEXTSPLIT(FO318,"|"),IF(COLUMNS(_xlpm.nd)&gt;3,A318&amp;"¦"&amp;INDEX(_xlpm.nd,3)&amp;"¦"&amp;INDEX(_xlpm.nd,4),"")))</f>
        <v/>
      </c>
      <c r="FU318" t="str">
        <f t="shared" si="423"/>
        <v/>
      </c>
      <c r="FV318" t="str" cm="1">
        <f t="array" ref="FV318">IF(FO318="","",_xlfn.LET(_xlpm.nd,_xlfn.TEXTSPLIT(FO318,"|"),IF(COLUMNS(_xlpm.nd)&gt;4,A318&amp;"¦"&amp;INDEX(_xlpm.nd,4)&amp;"¦"&amp;INDEX(_xlpm.nd,5),"")))</f>
        <v/>
      </c>
      <c r="FW318" t="str">
        <f t="shared" si="424"/>
        <v/>
      </c>
      <c r="FX318" t="str" cm="1">
        <f t="array" ref="FX318">IF(FO318="","",_xlfn.LET(_xlpm.nd,_xlfn.TEXTSPLIT(FO318,"|"),IF(COLUMNS(_xlpm.nd)&gt;5,A318&amp;"¦"&amp;INDEX(_xlpm.nd,5)&amp;"¦"&amp;INDEX(_xlpm.nd,6),"")))</f>
        <v/>
      </c>
      <c r="FY318" t="str">
        <f t="shared" si="425"/>
        <v/>
      </c>
      <c r="FZ318" t="str" cm="1">
        <f t="array" ref="FZ318">IF(FO318="","",_xlfn.LET(_xlpm.nd,_xlfn.TEXTSPLIT(FO318,"|"),IF(COLUMNS(_xlpm.nd)&gt;6,A318&amp;"¦"&amp;INDEX(_xlpm.nd,6)&amp;"¦"&amp;INDEX(_xlpm.nd,7),"")))</f>
        <v/>
      </c>
      <c r="GA318" t="str">
        <f t="shared" si="426"/>
        <v/>
      </c>
      <c r="GB318" t="str">
        <f t="shared" si="427"/>
        <v/>
      </c>
      <c r="GC318" t="str">
        <f t="shared" si="428"/>
        <v>QF1 → XT1</v>
      </c>
      <c r="GD318">
        <f t="shared" si="429"/>
        <v>1</v>
      </c>
      <c r="GE318">
        <f t="shared" si="430"/>
        <v>0</v>
      </c>
      <c r="GF318">
        <f t="shared" si="431"/>
        <v>0</v>
      </c>
      <c r="GG318" t="str">
        <f t="shared" si="432"/>
        <v/>
      </c>
      <c r="GH318" t="str">
        <f t="shared" si="433"/>
        <v/>
      </c>
      <c r="GI318" t="str">
        <f t="shared" si="434"/>
        <v/>
      </c>
      <c r="GJ318" t="str">
        <f t="shared" si="435"/>
        <v/>
      </c>
      <c r="GK318">
        <f>IF(D318="","",IFERROR(VLOOKUP(D318,УГО_спр,2,FALSE),IFERROR(VLOOKUP(AT318,УГО_спр,2,FALSE),IFERROR(VLOOKUP(LEFT(AT318,2),УГО_спр,2,FALSE),""))))</f>
        <v>0</v>
      </c>
      <c r="GL318" t="str">
        <f>IF(D318="","",IF(OR(GK318="",GK318=0),"BOX",IFERROR(IF(VLOOKUP(GK318,УГО_блоки,3,FALSE)&amp;""&lt;&gt;"",VLOOKUP(GK318,УГО_блоки,3,FALSE),VLOOKUP(GK318,УГО_блоки,2,FALSE)),GK318)))</f>
        <v>BOX</v>
      </c>
      <c r="GM318">
        <f t="shared" si="436"/>
        <v>1</v>
      </c>
      <c r="GN318" t="str">
        <f>IF(EP318="","",IF(COUNTIF(EP$3:EP318,EP318)=1,MAX(GN$2:GN317)+1,""))</f>
        <v/>
      </c>
      <c r="GO318" t="str">
        <f>IF(AF318="","",IF(COUNTIF(AF$3:AF318,AF318)+COUNTIF(AG$2:AG317,AF318)+COUNTIF(AH$2:AH317,AF318)=1,MAX(GO$2:GQ317)+1,""))</f>
        <v/>
      </c>
      <c r="GP318" t="str">
        <f>IF(AG318="","",IF(COUNTIF(AF$3:AF318,AG318)+COUNTIF(AG$3:AG318,AG318)+COUNTIF(AH$2:AH317,AG318)=1,MAX(GO$2:GQ317,GO318)+1,""))</f>
        <v/>
      </c>
      <c r="GQ318" t="str">
        <f>IF(AH318="","",IF(COUNTIF(AF$3:AF318,AH318)+COUNTIF(AG$3:AG318,AH318)+COUNTIF(AH$3:AH318,AH318)=1,MAX(GO$2:GQ317,GO318,GP318)+1,""))</f>
        <v/>
      </c>
      <c r="GR318" t="str">
        <f t="shared" si="437"/>
        <v>3х2,5</v>
      </c>
      <c r="GS318" t="str">
        <f>IF(GR318="","",IF(COUNTIF(GR$3:GR318,GR318)=1,MAX(GS$2:GS317)+1,""))</f>
        <v/>
      </c>
      <c r="GT318" t="str">
        <f>IF(ES318="","",COUNTIF(ES$3:ES318,"?*"))</f>
        <v/>
      </c>
      <c r="GU318" t="str">
        <f>IF(OR(ES318="",EU318=""),"",IF(COUNTIFS(ES$3:ES318,"?*",EU$3:EU318,EU318)=1,MAX(GU$2:GU317)+1,""))</f>
        <v/>
      </c>
      <c r="GV318">
        <f t="shared" si="438"/>
        <v>0</v>
      </c>
      <c r="GW318">
        <f>IF(D318="","",COUNTIF(D$3:D318,"?*"))</f>
        <v>316</v>
      </c>
      <c r="GX318">
        <f>IF(EX318&lt;&gt;1,0,_xlfn.LET(_xlpm.k,MAX(IFERROR(--VLOOKUP(D318,УГО_спр,5,FALSE),0),IFERROR(--VLOOKUP(AT318,УГО_спр,5,FALSE),0),IFERROR(--VLOOKUP(LEFT(AT318,2),УГО_спр,5,FALSE),0)),IF(_xlpm.k&gt;0,_xlpm.k,IF(IFERROR(--LEFT(SUBSTITUTE(GR318,"x","х"),FIND("х",SUBSTITUTE(GR318,"x","х"))-1),3)&gt;3,Каталог!$S$9,1))))</f>
        <v>1</v>
      </c>
      <c r="GY318">
        <f t="shared" si="439"/>
        <v>0</v>
      </c>
    </row>
    <row r="319" spans="1:207" x14ac:dyDescent="0.3">
      <c r="A319" t="s">
        <v>768</v>
      </c>
      <c r="B319">
        <v>11</v>
      </c>
      <c r="C319" t="str">
        <f>IF(BD319="","",IF(BE319="вводной узел","узел ","")&amp;"л."&amp;(INT((BD319-1)/Столбцов_на_лист)+1)&amp;" / "&amp;(MOD(BD319-1,Столбцов_на_лист)+1))</f>
        <v>л.1 / 11</v>
      </c>
      <c r="D319" t="s">
        <v>1656</v>
      </c>
      <c r="E319" s="133" t="str">
        <f t="shared" si="352"/>
        <v>Насос дренажный Подвальный этаж Пом. №003Т</v>
      </c>
      <c r="G319">
        <v>0.6</v>
      </c>
      <c r="H319">
        <v>1</v>
      </c>
      <c r="I319">
        <v>1</v>
      </c>
      <c r="J319">
        <v>230</v>
      </c>
      <c r="K319" t="s">
        <v>602</v>
      </c>
      <c r="L319">
        <v>0.5</v>
      </c>
      <c r="O319">
        <v>1</v>
      </c>
      <c r="P319">
        <v>18</v>
      </c>
      <c r="Q319">
        <v>9</v>
      </c>
      <c r="R319">
        <v>9</v>
      </c>
      <c r="S319">
        <v>0</v>
      </c>
      <c r="T319">
        <v>1</v>
      </c>
      <c r="U319" t="s">
        <v>11</v>
      </c>
      <c r="V319">
        <v>3</v>
      </c>
      <c r="W319">
        <v>2.5</v>
      </c>
      <c r="X319">
        <v>16</v>
      </c>
      <c r="Z319" t="s">
        <v>608</v>
      </c>
      <c r="AA319" t="s">
        <v>866</v>
      </c>
      <c r="AD319" t="s">
        <v>517</v>
      </c>
      <c r="AR319" t="str">
        <f t="shared" si="353"/>
        <v>категория I не обеспечена (есть II)</v>
      </c>
      <c r="AS319" cm="1">
        <f t="array" ref="AS319">ROW()-ROW(Линии[#Headers])</f>
        <v>317</v>
      </c>
      <c r="AT319" t="str">
        <f t="shared" si="354"/>
        <v>НВК</v>
      </c>
      <c r="AU319" t="str">
        <f t="shared" si="355"/>
        <v>00.003Т.1</v>
      </c>
      <c r="AV319" t="str">
        <f t="shared" si="356"/>
        <v>00</v>
      </c>
      <c r="AW319" t="str">
        <f t="shared" si="357"/>
        <v>003Т.1</v>
      </c>
      <c r="AX319" t="str">
        <f t="shared" si="358"/>
        <v>003Т</v>
      </c>
      <c r="AY319" t="str">
        <f>IF(D319="","",IF(ISERROR(SEARCH(".",D319)),IFERROR(VLOOKUP(D319,Потребители_обозначение,2,FALSE)&amp;"",""),IFERROR(IF(VLOOKUP(AT319,Потребители_обозначение,4,FALSE)=1,VLOOKUP(AT319,Потребители_обозначение,2,FALSE)&amp;" "&amp;VLOOKUP(AV319,Этаж_обозначение,2,FALSE)&amp;" Пом. №"&amp;AX319,VLOOKUP(AT319,Потребители_обозначение,2,FALSE)&amp;" Шлейф №"&amp;AV319),IFERROR(VLOOKUP(D319,Потребители_обозначение,2,FALSE),""))))</f>
        <v>Насос дренажный Подвальный этаж Пом. №003Т</v>
      </c>
      <c r="AZ319" t="str">
        <f t="shared" si="359"/>
        <v>Насос дренажный Подвальный этаж Пом. №003Т</v>
      </c>
      <c r="BA319" t="str">
        <f>IF(F319&lt;&gt;"",F319,IF(AND(D319&lt;&gt;"",D319&lt;&gt;A319,ISNUMBER(_xlfn.XMATCH(D319,Щиты[Щит]))),D319,""))</f>
        <v/>
      </c>
      <c r="BB319">
        <f>IFERROR(_xlfn.XMATCH(A319,Щиты[Щит]),0)</f>
        <v>13</v>
      </c>
      <c r="BC319">
        <f>IFERROR(N(_xlfn.XLOOKUP(A319,Щиты[Щит],Щиты[Мест под вводной узел])),15)</f>
        <v>9</v>
      </c>
      <c r="BD319">
        <f t="shared" si="360"/>
        <v>11</v>
      </c>
      <c r="BE319" t="str">
        <f t="shared" si="361"/>
        <v>линии</v>
      </c>
      <c r="BF319">
        <f>IF(D319="","",IF(BA319&lt;&gt;"",IFERROR(_xlfn.XLOOKUP(BA319,Щиты[Щит],Щиты[Руст, кВт]),0),N(G319)))</f>
        <v>0.6</v>
      </c>
      <c r="BG319">
        <f>IF(J319&lt;&gt;"",J319,IF(D319="","",IFERROR(IF(VLOOKUP(AT319,Потребители_обозначение,8,FALSE)=0,"",VLOOKUP(AT319,Потребители_обозначение,8,FALSE)),"")))</f>
        <v>230</v>
      </c>
      <c r="BH319">
        <f>IF(I319&lt;&gt;"",I319,IF(D319="","",IFERROR(IF(VLOOKUP(AT319,Потребители_обозначение,9,FALSE)=0,"",VLOOKUP(AT319,Потребители_обозначение,9,FALSE)),"")))</f>
        <v>1</v>
      </c>
      <c r="BI319" t="str">
        <f>IF(U319&lt;&gt;"",U319,IF(D319="","",IFERROR(IF(VLOOKUP(AT319,Потребители_обозначение,6,FALSE)=0,"",VLOOKUP(AT319,Потребители_обозначение,6,FALSE)),"")))</f>
        <v>мс</v>
      </c>
      <c r="BJ319">
        <f>IF(V319&lt;&gt;"",V319,IF(D319="","",IFERROR(IF(VLOOKUP(AT319,Потребители_обозначение,7,FALSE)=0,"",VLOOKUP(AT319,Потребители_обозначение,7,FALSE)),"")))</f>
        <v>3</v>
      </c>
      <c r="BK319">
        <f>IF(W319&lt;&gt;"",W319,IF(D319="","",IFERROR(IF(VLOOKUP(AT319,Потребители_обозначение,10,FALSE)=0,"",VLOOKUP(AT319,Потребители_обозначение,10,FALSE)),"")))</f>
        <v>2.5</v>
      </c>
      <c r="BL319">
        <f>IFERROR(VLOOKUP(AT319,Потребители_обозначение,5,FALSE),0)</f>
        <v>1</v>
      </c>
      <c r="BM319" cm="1">
        <f t="array" ref="BM319">IF(D319="","",IF(BA319&lt;&gt;"",IFERROR(_xlfn.XLOOKUP(BA319,Щиты[Щит],Щиты[cos φ]),0.95),IF(ISNUMBER(M319),M319,IFERROR(IF(BL319=2,_xlfn.IFS(BH319=3,VLOOKUP(BF319,Справочная_двигатели,8,FALSE),BH319=1,VLOOKUP(BF319,Справочная_двигатели,10,TRUE)),IF(AND(Методика="нормы 2026",CN319="Сил"),0.8,0.95)),0.95))))</f>
        <v>0.95</v>
      </c>
      <c r="BN319" cm="1">
        <f t="array" ref="BN319">IF(D319="","",IF(BA319&lt;&gt;"",IFERROR(_xlfn.XLOOKUP(BA319,Щиты[Щит],Щиты[Iр, А]),""),IFERROR(_xlfn.IFS(BH319=1,BF319/((Uн_лин/SQRT(3))*BM319),BH319=3,BF319/(SQRT(3)*Uн_лин*BM319)),"")))</f>
        <v>2.7348170645824377</v>
      </c>
      <c r="BO319">
        <f>IF(D319="","",IF(N(X319)=0,IFERROR(VLOOKUP(BN319,Автомат_номиналы,2,TRUE),""),X319))</f>
        <v>16</v>
      </c>
      <c r="BP319">
        <f t="shared" si="362"/>
        <v>1</v>
      </c>
      <c r="BQ319">
        <f>IF(ISNUMBER(Y319),Y319,К_прокл)</f>
        <v>1</v>
      </c>
      <c r="BR319">
        <f t="shared" si="363"/>
        <v>2</v>
      </c>
      <c r="BS319" cm="1">
        <f t="array" ref="BS319">IF(D319="","",IF(N(BK319)&lt;&gt;0,BK319,IFERROR(_xlfn.LET(_xlpm.need,BO319/(BP319*BQ319),_xlpm.t,CHOOSE(BR319,Iдоп_1ж,Iдоп_2ж,Iдоп_3ж),_xlpm.k,_xlfn.XMATCH(_xlpm.need,_xlpm.t,1),IF(ISNA(_xlpm.k),"Не исп",INDEX(Iдоп_S,_xlpm.k))),"Не исп")))</f>
        <v>2.5</v>
      </c>
      <c r="BT319">
        <f>IFERROR(VLOOKUP(BS319,Кабель_сопротивление,3,FALSE),"")</f>
        <v>2.2499999999999999E-2</v>
      </c>
      <c r="BU319">
        <f>IFERROR(VLOOKUP(BS319,Кабель_сопротивление,2,FALSE),"")</f>
        <v>0.1</v>
      </c>
      <c r="BV319">
        <f t="shared" si="364"/>
        <v>18</v>
      </c>
      <c r="BW319">
        <f>IF(D319="","",IFERROR(IF(VLOOKUP(AT319,Потребители_обозначение,4,FALSE)=1,VLOOKUP(AT319,Потребители_обозначение,3,FALSE)*(H319*2-1)+BV319+VLOOKUP(AV319,Этаж_обозначение,3,FALSE)+VLOOKUP(AV319,Этаж_обозначение,4,FALSE),VLOOKUP(AT319,Потребители_обозначение,3,FALSE)*(H319*2-1)+BV319),BV319))</f>
        <v>21</v>
      </c>
      <c r="BX319">
        <f t="shared" si="365"/>
        <v>9</v>
      </c>
      <c r="BY319">
        <f t="shared" si="366"/>
        <v>0</v>
      </c>
      <c r="BZ319">
        <f t="shared" si="367"/>
        <v>2</v>
      </c>
      <c r="CA319">
        <f t="shared" si="368"/>
        <v>0.31</v>
      </c>
      <c r="CB319">
        <f t="shared" si="369"/>
        <v>0.98563353970963974</v>
      </c>
      <c r="CC319">
        <f>IFERROR(ROUNDUP(CB319/((Uн_лин/SQRT(3))*1000)*100,2),"")</f>
        <v>0.43</v>
      </c>
      <c r="CD319">
        <f>IF(ISNUMBER(CC319),CC319+IFERROR(_xlfn.XLOOKUP(A319,Щиты[Щит],Щиты[ΔU до шин, %]),0),"")</f>
        <v>2.3199999999999998</v>
      </c>
      <c r="CE319">
        <f>IF(D319="","",IF(IFERROR(VLOOKUP(AT319,УГО_спр,2,FALSE),"")="Светильник",3,4)+IF(Методика="нормы 2026",MIN(0.5,MAX(0,N(BW319)-100)*0.005),0))</f>
        <v>4</v>
      </c>
      <c r="CF319" t="str">
        <f>IFERROR(VLOOKUP(BI319,Кабель_обозначение,2,FALSE),"")</f>
        <v>ВВГнг(А)-LS</v>
      </c>
      <c r="CG319" t="str">
        <f>IFERROR(IF(VLOOKUP(BI319,Кабель_обозначение,3,FALSE)=1,CF319&amp;" ("&amp;BJ319&amp;"х"&amp;BS319&amp;")",CF319),"")</f>
        <v>ВВГнг(А)-LS (3х2,5)</v>
      </c>
      <c r="CH319" t="str">
        <f t="shared" si="370"/>
        <v>ВВГнг(А)-LS (3х2,5)
L=21-0,43%</v>
      </c>
      <c r="CI319">
        <f>IFERROR(2*ρкз_Cu*BW319/BS319,"")</f>
        <v>0.44184000000000001</v>
      </c>
      <c r="CJ319">
        <f t="shared" si="371"/>
        <v>0.14700000000000002</v>
      </c>
      <c r="CK319" t="str">
        <f>IFERROR(IF(OR(D319="",NOT(ISNUMBER(BS319)),N(BW319)=0),"",_xlfn.XLOOKUP(A319,Щиты[Щит],Щиты[Zпетли на шинах, Ом])+CI319),"")</f>
        <v/>
      </c>
      <c r="CL319" t="str">
        <f>IF(ISNUMBER(CK319),c_min*(Uн_лин*1000/SQRT(3))/CK319,"")</f>
        <v/>
      </c>
      <c r="CM319" t="str">
        <f>IFERROR(IF(OR(D319="",NOT(ISNUMBER(BS319))),"",1.05*(Uн_лин*1000/SQRT(3))/(_xlfn.XLOOKUP(A319,Щиты[Щит],Щиты[Zmax на шинах, Ом])+CJ319)/1000),"")</f>
        <v/>
      </c>
      <c r="CN319" t="str">
        <f>IF(D319="","",IF(BA319&lt;&gt;"","Щит",IF(K319&lt;&gt;"",K319,IF(ISNUMBER(L319),"Сил",IF(IFERROR(_xlfn.XLOOKUP(AT319,Коды_код,Коды_группа)&amp;"","")="","Быт",_xlfn.XLOOKUP(AT319,Коды_код,Коды_группа)&amp;"")))))</f>
        <v>Сил</v>
      </c>
      <c r="CO319">
        <f>IF(CN319="Щит","щит",IF(CN319="","",IF(CN319="Быт",IFERROR(_xlfn.XLOOKUP(A319,Щиты[Щит],Щиты[Кс быт]),1),IF(CN319="Сил",IF(ISNUMBER(L319),L319,IF(Методика="нормы 2026",IFERROR(_xlfn.XLOOKUP(A319,Щиты[Щит],Щиты[Кс силовых (табл. 7.5)]),1),1)),IF(OR(CN319="Пост",CN319="Отоп"),1,IF(CN319="ВНГ",0.7,0))))))</f>
        <v>0.5</v>
      </c>
      <c r="CP319">
        <f t="shared" si="372"/>
        <v>1</v>
      </c>
      <c r="CQ319">
        <f t="shared" si="373"/>
        <v>0.6</v>
      </c>
      <c r="CR319">
        <f t="shared" si="374"/>
        <v>0</v>
      </c>
      <c r="CS319">
        <f t="shared" si="375"/>
        <v>0.3</v>
      </c>
      <c r="CT319">
        <f t="shared" si="376"/>
        <v>0</v>
      </c>
      <c r="CU319">
        <f t="shared" si="377"/>
        <v>0</v>
      </c>
      <c r="CV319">
        <f t="shared" si="378"/>
        <v>0</v>
      </c>
      <c r="CW319">
        <f t="shared" si="379"/>
        <v>0.6</v>
      </c>
      <c r="CX319">
        <f t="shared" si="380"/>
        <v>0.56999999999999995</v>
      </c>
      <c r="CY319">
        <f t="shared" si="381"/>
        <v>3</v>
      </c>
      <c r="CZ319" t="str">
        <f t="shared" si="382"/>
        <v>L3</v>
      </c>
      <c r="DA319" cm="1">
        <f t="array" ref="DA319">IFERROR(IF(BL319=2,_xlfn.IFS(BH319=3,VLOOKUP(BF319,Справочная_двигатели,3,FALSE),BH319=1,VLOOKUP(BF319,Справочная_двигатели,5,TRUE)),0),0)</f>
        <v>0</v>
      </c>
      <c r="DB319">
        <f>IFERROR(IF(BL319=3,VLOOKUP(BF319,Справочная_ЛЭД,2,TRUE),0),0)</f>
        <v>0</v>
      </c>
      <c r="DC319">
        <f t="shared" si="383"/>
        <v>0</v>
      </c>
      <c r="DD319" t="str">
        <f t="shared" si="384"/>
        <v>L1</v>
      </c>
      <c r="DE319" t="str" cm="1">
        <f t="array" ref="DE319">IF(D319="","",IFERROR(INDEX({"I особая","I","II","III"},MATCH(TRIM(AA319&amp;""),{"I особая","I","II","III"},0)),"III"))</f>
        <v>I</v>
      </c>
      <c r="DF319" t="str">
        <f>IF(D319="","",IF(TRIM(AB319&amp;"")&lt;&gt;"",IF(LOWER(TRIM(AB319&amp;""))="да","да","нет"),IF(IFERROR(_xlfn.XLOOKUP(AT319,Коды_код,Коды_пожарная),"")="да","да","нет")))</f>
        <v>нет</v>
      </c>
      <c r="DG319" t="str">
        <f t="shared" si="385"/>
        <v/>
      </c>
      <c r="DH319" t="str">
        <f t="shared" si="386"/>
        <v>основная</v>
      </c>
      <c r="DI319">
        <f t="shared" si="387"/>
        <v>1</v>
      </c>
      <c r="DJ319" t="str" cm="1">
        <f t="array" ref="DJ319">IF(D319="","",_xlfn.LET(_xlpm.t,IFERROR(_xlfn.XLOOKUP(1,(Шины[Шина]=DH319)*(((Шины[Щит]=A319)+(Шины[Щит]=""))&gt;0),Шины[Тип]),"")&amp;"",IF(_xlpm.t&lt;&gt;"",_xlpm.t,IF(ISNUMBER(SEARCH("ИБП",DH319)),"ИБП",IF(ISNUMBER(SEARCH("ДГУ",DH319)),"ДГУ","Ввод "&amp;DI319)))))</f>
        <v>Ввод 1</v>
      </c>
      <c r="DK319" t="str">
        <f t="shared" si="388"/>
        <v>Ввод 1</v>
      </c>
      <c r="DL319" t="str">
        <f>IF(D319="","",IF(OR(DJ319="ИБП",DJ319="ДГУ"),"I особая",IF(DJ319="Одиночная","III",_xlfn.XLOOKUP(A319,Щиты[Щит],Щиты[Категория шины «Ввод»],"III"))))</f>
        <v>II</v>
      </c>
      <c r="DM319">
        <f>IF(D319="",0,IFERROR(MATCH(DE319,{"III","II","I","I особая"},0),1))</f>
        <v>3</v>
      </c>
      <c r="DN319">
        <f t="shared" si="389"/>
        <v>3</v>
      </c>
      <c r="DO319" t="str">
        <f>IF(D319="","",IF(DM319&gt;IFERROR(MATCH(DL319,{"III","II","I","I особая"},0),1),"НЕ ОБЕСПЕЧЕНА","ОК"))</f>
        <v>НЕ ОБЕСПЕЧЕНА</v>
      </c>
      <c r="DP319" t="str">
        <f>IF(A319="","",_xlfn.XLOOKUP(A319,Щиты[Щит],Щиты[Путь],""))</f>
        <v>|ГРЩ-ЖД|ЩС-ВК.001|</v>
      </c>
      <c r="DQ319" t="str">
        <f>IF(D319="","",IF(Z319&lt;&gt;"",Z319,IF(IFERROR(_xlfn.XLOOKUP(AT319,Коды_код,Коды_вид)&amp;"","")="","Прочее",_xlfn.XLOOKUP(AT319,Коды_код,Коды_вид)&amp;"")))</f>
        <v>Насосы (водоснабжение, дренаж)</v>
      </c>
      <c r="DR319">
        <f>IF(BD319="","",INT((BD319-1)/Столбцов_на_лист)+1)</f>
        <v>1</v>
      </c>
      <c r="DS319" t="str">
        <f t="shared" si="390"/>
        <v>ВВГнг(А)-LS (3х2,5) L=21-0,43%</v>
      </c>
      <c r="DT319">
        <f t="shared" si="391"/>
        <v>0.6</v>
      </c>
      <c r="DU319">
        <f t="shared" si="392"/>
        <v>2.7399999999999998</v>
      </c>
      <c r="DV319">
        <f t="shared" si="393"/>
        <v>1</v>
      </c>
      <c r="DW319">
        <f>IF(AT319="",0,_xlfn.LET(_xlpm.v,IFERROR(VLOOKUP(D319,УГО_спр,3,FALSE),IFERROR(VLOOKUP(AT319,УГО_спр,3,FALSE),IFERROR(VLOOKUP(LEFT(AT319,2),УГО_спр,3,FALSE),""))),IF(_xlpm.v="да",30,IF(ISNUMBER(_xlpm.v),_xlpm.v,0))))</f>
        <v>0</v>
      </c>
      <c r="DX319">
        <f t="shared" si="394"/>
        <v>0</v>
      </c>
      <c r="DY319">
        <f>IF(BD319="","",IF(AD319&lt;&gt;"",COUNTIFS(A$3:A319,A319,AD$3:AD319,"?*"),IF(OR(OR(AS319=1,A319&lt;&gt;A318),AL319="вручную"),"",IF(AS319=1,"",DZ318))))</f>
        <v>2</v>
      </c>
      <c r="DZ319">
        <f t="shared" si="395"/>
        <v>2</v>
      </c>
      <c r="EA319">
        <f>IF(D319="",0,MAX(IFERROR(--X319,0),IFERROR(--VLOOKUP(D319,УГО_спр,4,FALSE),IFERROR(--VLOOKUP(AT319,УГО_спр,4,FALSE),IFERROR(--VLOOKUP(LEFT(AT319,2),УГО_спр,4,FALSE),0)))))</f>
        <v>16</v>
      </c>
      <c r="EB319">
        <f>IF(D319="","",IFERROR(LOOKUP(INDEX(CHOOSE(BR319,Iдоп_1ж,Iдоп_2ж,Iдоп_3ж),MATCH(BS319,Iдоп_S,0))*BP319*BQ319,{6,10,16,20,25,32,40,50,63,80,100,125,160,200,250,315,400,500,630}),""))</f>
        <v>25</v>
      </c>
      <c r="EC319">
        <f>IF(AD319="","",SUMIFS(Линии[_Ток схемы],Линии[_гр.],DY319,Линии[Щит],A319,Линии[_в кабель выше],0))</f>
        <v>2.7399999999999998</v>
      </c>
      <c r="ED319">
        <f>IF(AD319="","",IFERROR(VLOOKUP(EC319,Автомат_номиналы,2,TRUE),""))</f>
        <v>6</v>
      </c>
      <c r="EE319">
        <f>IF(AD319="","",MAX(N(ED319),_xlfn.MAXIFS(Линии[_мин. по типу],Линии[_гр.],DY319,Линии[Щит],A319)))</f>
        <v>16</v>
      </c>
      <c r="EF319">
        <f>IF(AD319="","",_xlfn.MINIFS(Линии[_макс. автомат по кабелю],Линии[_гр.],DY319,Линии[Щит],A319))</f>
        <v>25</v>
      </c>
      <c r="EG319">
        <f>IF(AD319="","",MAX(1,_xlfn.MAXIFS(Линии[_фаз],Линии[_гр.],DY319,Линии[Щит],A319)))</f>
        <v>1</v>
      </c>
      <c r="EH319">
        <f>IF(AD319="","",IF(AND(AD319&lt;&gt;"авто",AD319&lt;&gt;"+"),IF(ISNUMBER(SEARCH("мА",AD319)),IFERROR(--TRIM(RIGHT(SUBSTITUTE(LEFT(AD319,SEARCH("мА",AD319)-1)," ",REPT(" ",9)),6)),30),0),IF(AE319="нет",0,IF(ISNUMBER(AE319),AE319,IF(AE319="да",30,_xlfn.MINIFS(Линии[_дифзащита по коду, мА],Линии[_гр.],DY319,Линии[Щит],A319,Линии[_дифзащита по коду, мА],"&gt;0"))))))</f>
        <v>0</v>
      </c>
      <c r="EI319">
        <f t="shared" si="396"/>
        <v>0</v>
      </c>
      <c r="EJ319" t="str">
        <f t="shared" si="397"/>
        <v>QF2</v>
      </c>
      <c r="EK319" t="str">
        <f t="shared" si="398"/>
        <v>QF2</v>
      </c>
      <c r="EL319" t="str">
        <f t="shared" si="399"/>
        <v/>
      </c>
      <c r="EM319">
        <f t="shared" si="400"/>
        <v>0</v>
      </c>
      <c r="EN319">
        <f>IF(AD319="","",IF(EM319=1,MAX(EE319,Мин_автомат_БП),EE319))</f>
        <v>16</v>
      </c>
      <c r="EO319" t="str">
        <f t="shared" si="401"/>
        <v>1P</v>
      </c>
      <c r="EP319" t="str">
        <f t="shared" si="402"/>
        <v>1P С16А</v>
      </c>
      <c r="EQ319">
        <f t="shared" si="403"/>
        <v>16</v>
      </c>
      <c r="ER319" t="str">
        <f>IF(OR(AI319="",AI319="-"),"",IFERROR(VLOOKUP(AI319,Модули_спр,2,FALSE),"R"))</f>
        <v/>
      </c>
      <c r="ES319" t="str">
        <f>IF(ER319="","",ER319&amp;"."&amp;COUNTIFS(A$3:A319,A319,ER$3:ER319,ER319))</f>
        <v/>
      </c>
      <c r="ET319" t="str">
        <f t="shared" si="404"/>
        <v/>
      </c>
      <c r="EU319" t="str">
        <f t="shared" si="405"/>
        <v/>
      </c>
      <c r="EV319" t="str">
        <f t="shared" si="406"/>
        <v/>
      </c>
      <c r="EW319" t="str">
        <f t="shared" si="407"/>
        <v/>
      </c>
      <c r="EX319">
        <f t="shared" si="408"/>
        <v>1</v>
      </c>
      <c r="EY319" t="str">
        <f>IF(AK319="нет","",IF(AK319&lt;&gt;"",AK319,IF(EX319=1,"XT"&amp;COUNTIFS(A$3:A319,A319,EX$3:EX319,1),"")))</f>
        <v>XT2</v>
      </c>
      <c r="EZ319" t="str">
        <f t="shared" si="409"/>
        <v>QF2</v>
      </c>
      <c r="FA319" t="str">
        <f t="shared" si="410"/>
        <v/>
      </c>
      <c r="FB319" t="str">
        <f t="shared" si="411"/>
        <v>ok</v>
      </c>
      <c r="FC319" t="str">
        <f>IF(OR(EV319="",ET319=""),"",IF(EV319&gt;IFERROR(VLOOKUP(EU319,Модули_спр,3,FALSE),99),"ЛИШНИЙ КАНАЛ",IF(AND(AJ319&lt;&gt;"=",COUNTIFS(Линии[_модуль гр.],ET319,Линии[Канал (итог)],EV319,Линии[Канал],"&lt;&gt;=",Линии[Щит],A319)&gt;1),"ДУБЛЬ КАНАЛА","")))</f>
        <v/>
      </c>
      <c r="FD319">
        <f t="shared" si="412"/>
        <v>16</v>
      </c>
      <c r="FE319" t="str">
        <f t="shared" si="413"/>
        <v>1P С16А</v>
      </c>
      <c r="FF319">
        <f t="shared" si="414"/>
        <v>0</v>
      </c>
      <c r="FG319">
        <f t="shared" si="415"/>
        <v>0</v>
      </c>
      <c r="FH319" t="str">
        <f t="shared" si="416"/>
        <v/>
      </c>
      <c r="FI319">
        <f t="shared" si="417"/>
        <v>10</v>
      </c>
      <c r="FJ319" t="str">
        <f t="shared" si="418"/>
        <v/>
      </c>
      <c r="FK319" t="str">
        <f>IF(AND(D319="",EZ319=""),"",_xlfn.TEXTJOIN("; ",TRUE,IF(AND(D319&lt;&gt;"",DD319=""),"нет фазы",""),IF(AND(D319&lt;&gt;"",N(DT319)=0,CN319&lt;&gt;"Нет"),"нет мощности",""),IF(AND(EY319&lt;&gt;"",COUNTIFS(Линии[Щит],A319,Линии[Клемма (итог)],EY319)&gt;1),"дубль клеммы "&amp;EY319,""),IF(AND(FB319&lt;&gt;"",FB319&lt;&gt;"ok"),FB319,""),IF(FC319&lt;&gt;"",FC319,""),IF(AND(ISNUMBER(SEARCH("(5х",DS319)),N(DV319)=1),"5 жил на 1 фазе",""),IF(AND(AT319="R",AD319&lt;&gt;"",OR(N(EH319)=0,N(EH319)&gt;30)),"розетка без дифзащиты до 30 мА",""),IFERROR(IF(AND(ISNUMBER(CD319),CD319&gt;CE319),"потери "&amp;FIXED(CD319,1)&amp;" % &gt; "&amp;CE319&amp;" %",""),""),IFERROR(IF(LEFT(FJ319,4)="мало","Iкз мало — отключение &gt; 0,4 с",""),""),IF(AND(D319&lt;&gt;"",BD319=""),"не на схеме","")))</f>
        <v/>
      </c>
      <c r="FL319">
        <f>IF(AD319="","",_xlfn.LET(_xlpm.t,IFERROR(_xlfn.XLOOKUP(EP319,Каталог!$U$4:$U$500,Каталог!$G$4:$G$500),""),_xlpm.k,SEARCH("кА",_xlpm.t),IFERROR(--TRIM(RIGHT(SUBSTITUTE(MID(_xlpm.t,MAX(1,_xlpm.k-4),_xlpm.k-MAX(1,_xlpm.k-4))," ",REPT(" ",9)),5)),"")))</f>
        <v>6</v>
      </c>
      <c r="FM319" t="str">
        <f>IF(OR(FL319="",AD319=""),"",IF(_xlfn.XLOOKUP(A319,Щиты[Щит],Щиты[Iкз max на шинах, кА],"")="","",IF(FL319&lt;_xlfn.XLOOKUP(A319,Щиты[Щит],Щиты[Iкз max на шинах, кА]),"Icu "&amp;FL319&amp;" кА &lt; Iкз max","ok")))</f>
        <v/>
      </c>
      <c r="FN319" t="str">
        <f t="shared" si="419"/>
        <v>QF2|XT2</v>
      </c>
      <c r="FO319" t="str">
        <f t="shared" si="420"/>
        <v>QF2|XT2|кабель ВВГнг(А)-LS (3х2,5) → Насос дренажный Подвальный этаж Пом. №003Т</v>
      </c>
      <c r="FP319" t="str" cm="1">
        <f t="array" ref="FP319">IF(FO319="","",_xlfn.LET(_xlpm.nd,_xlfn.TEXTSPLIT(FO319,"|"),IF(COLUMNS(_xlpm.nd)&gt;1,A319&amp;"¦"&amp;INDEX(_xlpm.nd,1)&amp;"¦"&amp;INDEX(_xlpm.nd,2),"")))</f>
        <v>ЩС-ВК.001¦QF2¦XT2</v>
      </c>
      <c r="FQ319" t="str">
        <f t="shared" si="421"/>
        <v>НВК.00.003Т.1¦Насос дренажный Подвальный этаж Пом. №003Т</v>
      </c>
      <c r="FR319" t="str" cm="1">
        <f t="array" ref="FR319">IF(FO319="","",_xlfn.LET(_xlpm.nd,_xlfn.TEXTSPLIT(FO319,"|"),IF(COLUMNS(_xlpm.nd)&gt;2,A319&amp;"¦"&amp;INDEX(_xlpm.nd,2)&amp;"¦"&amp;INDEX(_xlpm.nd,3),"")))</f>
        <v>ЩС-ВК.001¦XT2¦кабель ВВГнг(А)-LS (3х2,5) → Насос дренажный Подвальный этаж Пом. №003Т</v>
      </c>
      <c r="FS319" t="str">
        <f t="shared" si="422"/>
        <v>НВК.00.003Т.1¦Насос дренажный Подвальный этаж Пом. №003Т</v>
      </c>
      <c r="FT319" t="str" cm="1">
        <f t="array" ref="FT319">IF(FO319="","",_xlfn.LET(_xlpm.nd,_xlfn.TEXTSPLIT(FO319,"|"),IF(COLUMNS(_xlpm.nd)&gt;3,A319&amp;"¦"&amp;INDEX(_xlpm.nd,3)&amp;"¦"&amp;INDEX(_xlpm.nd,4),"")))</f>
        <v/>
      </c>
      <c r="FU319" t="str">
        <f t="shared" si="423"/>
        <v/>
      </c>
      <c r="FV319" t="str" cm="1">
        <f t="array" ref="FV319">IF(FO319="","",_xlfn.LET(_xlpm.nd,_xlfn.TEXTSPLIT(FO319,"|"),IF(COLUMNS(_xlpm.nd)&gt;4,A319&amp;"¦"&amp;INDEX(_xlpm.nd,4)&amp;"¦"&amp;INDEX(_xlpm.nd,5),"")))</f>
        <v/>
      </c>
      <c r="FW319" t="str">
        <f t="shared" si="424"/>
        <v/>
      </c>
      <c r="FX319" t="str" cm="1">
        <f t="array" ref="FX319">IF(FO319="","",_xlfn.LET(_xlpm.nd,_xlfn.TEXTSPLIT(FO319,"|"),IF(COLUMNS(_xlpm.nd)&gt;5,A319&amp;"¦"&amp;INDEX(_xlpm.nd,5)&amp;"¦"&amp;INDEX(_xlpm.nd,6),"")))</f>
        <v/>
      </c>
      <c r="FY319" t="str">
        <f t="shared" si="425"/>
        <v/>
      </c>
      <c r="FZ319" t="str" cm="1">
        <f t="array" ref="FZ319">IF(FO319="","",_xlfn.LET(_xlpm.nd,_xlfn.TEXTSPLIT(FO319,"|"),IF(COLUMNS(_xlpm.nd)&gt;6,A319&amp;"¦"&amp;INDEX(_xlpm.nd,6)&amp;"¦"&amp;INDEX(_xlpm.nd,7),"")))</f>
        <v/>
      </c>
      <c r="GA319" t="str">
        <f t="shared" si="426"/>
        <v/>
      </c>
      <c r="GB319" t="str">
        <f t="shared" si="427"/>
        <v/>
      </c>
      <c r="GC319" t="str">
        <f t="shared" si="428"/>
        <v>QF2 → XT2</v>
      </c>
      <c r="GD319">
        <f t="shared" si="429"/>
        <v>1</v>
      </c>
      <c r="GE319">
        <f t="shared" si="430"/>
        <v>0</v>
      </c>
      <c r="GF319">
        <f t="shared" si="431"/>
        <v>0</v>
      </c>
      <c r="GG319" t="str">
        <f t="shared" si="432"/>
        <v/>
      </c>
      <c r="GH319" t="str">
        <f t="shared" si="433"/>
        <v/>
      </c>
      <c r="GI319" t="str">
        <f t="shared" si="434"/>
        <v/>
      </c>
      <c r="GJ319" t="str">
        <f t="shared" si="435"/>
        <v/>
      </c>
      <c r="GK319">
        <f>IF(D319="","",IFERROR(VLOOKUP(D319,УГО_спр,2,FALSE),IFERROR(VLOOKUP(AT319,УГО_спр,2,FALSE),IFERROR(VLOOKUP(LEFT(AT319,2),УГО_спр,2,FALSE),""))))</f>
        <v>0</v>
      </c>
      <c r="GL319" t="str">
        <f>IF(D319="","",IF(OR(GK319="",GK319=0),"BOX",IFERROR(IF(VLOOKUP(GK319,УГО_блоки,3,FALSE)&amp;""&lt;&gt;"",VLOOKUP(GK319,УГО_блоки,3,FALSE),VLOOKUP(GK319,УГО_блоки,2,FALSE)),GK319)))</f>
        <v>BOX</v>
      </c>
      <c r="GM319">
        <f t="shared" si="436"/>
        <v>1</v>
      </c>
      <c r="GN319" t="str">
        <f>IF(EP319="","",IF(COUNTIF(EP$3:EP319,EP319)=1,MAX(GN$2:GN318)+1,""))</f>
        <v/>
      </c>
      <c r="GO319" t="str">
        <f>IF(AF319="","",IF(COUNTIF(AF$3:AF319,AF319)+COUNTIF(AG$2:AG318,AF319)+COUNTIF(AH$2:AH318,AF319)=1,MAX(GO$2:GQ318)+1,""))</f>
        <v/>
      </c>
      <c r="GP319" t="str">
        <f>IF(AG319="","",IF(COUNTIF(AF$3:AF319,AG319)+COUNTIF(AG$3:AG319,AG319)+COUNTIF(AH$2:AH318,AG319)=1,MAX(GO$2:GQ318,GO319)+1,""))</f>
        <v/>
      </c>
      <c r="GQ319" t="str">
        <f>IF(AH319="","",IF(COUNTIF(AF$3:AF319,AH319)+COUNTIF(AG$3:AG319,AH319)+COUNTIF(AH$3:AH319,AH319)=1,MAX(GO$2:GQ318,GO319,GP319)+1,""))</f>
        <v/>
      </c>
      <c r="GR319" t="str">
        <f t="shared" si="437"/>
        <v>3х2,5</v>
      </c>
      <c r="GS319" t="str">
        <f>IF(GR319="","",IF(COUNTIF(GR$3:GR319,GR319)=1,MAX(GS$2:GS318)+1,""))</f>
        <v/>
      </c>
      <c r="GT319" t="str">
        <f>IF(ES319="","",COUNTIF(ES$3:ES319,"?*"))</f>
        <v/>
      </c>
      <c r="GU319" t="str">
        <f>IF(OR(ES319="",EU319=""),"",IF(COUNTIFS(ES$3:ES319,"?*",EU$3:EU319,EU319)=1,MAX(GU$2:GU318)+1,""))</f>
        <v/>
      </c>
      <c r="GV319">
        <f t="shared" si="438"/>
        <v>0</v>
      </c>
      <c r="GW319">
        <f>IF(D319="","",COUNTIF(D$3:D319,"?*"))</f>
        <v>317</v>
      </c>
      <c r="GX319">
        <f>IF(EX319&lt;&gt;1,0,_xlfn.LET(_xlpm.k,MAX(IFERROR(--VLOOKUP(D319,УГО_спр,5,FALSE),0),IFERROR(--VLOOKUP(AT319,УГО_спр,5,FALSE),0),IFERROR(--VLOOKUP(LEFT(AT319,2),УГО_спр,5,FALSE),0)),IF(_xlpm.k&gt;0,_xlpm.k,IF(IFERROR(--LEFT(SUBSTITUTE(GR319,"x","х"),FIND("х",SUBSTITUTE(GR319,"x","х"))-1),3)&gt;3,Каталог!$S$9,1))))</f>
        <v>1</v>
      </c>
      <c r="GY319">
        <f t="shared" si="439"/>
        <v>0</v>
      </c>
    </row>
    <row r="320" spans="1:207" x14ac:dyDescent="0.3">
      <c r="A320" t="s">
        <v>768</v>
      </c>
      <c r="B320">
        <v>12</v>
      </c>
      <c r="C320" t="str">
        <f>IF(BD320="","",IF(BE320="вводной узел","узел ","")&amp;"л."&amp;(INT((BD320-1)/Столбцов_на_лист)+1)&amp;" / "&amp;(MOD(BD320-1,Столбцов_на_лист)+1))</f>
        <v>л.1 / 12</v>
      </c>
      <c r="D320" t="s">
        <v>1657</v>
      </c>
      <c r="E320" s="133" t="str">
        <f t="shared" si="352"/>
        <v>Насос дренажный Подвальный этаж Пом. №005Т</v>
      </c>
      <c r="G320">
        <v>0.6</v>
      </c>
      <c r="H320">
        <v>1</v>
      </c>
      <c r="I320">
        <v>1</v>
      </c>
      <c r="J320">
        <v>230</v>
      </c>
      <c r="K320" t="s">
        <v>602</v>
      </c>
      <c r="L320">
        <v>0.5</v>
      </c>
      <c r="O320">
        <v>1</v>
      </c>
      <c r="P320">
        <v>19</v>
      </c>
      <c r="Q320">
        <v>1</v>
      </c>
      <c r="R320">
        <v>18</v>
      </c>
      <c r="S320">
        <v>0</v>
      </c>
      <c r="T320">
        <v>1</v>
      </c>
      <c r="U320" t="s">
        <v>11</v>
      </c>
      <c r="V320">
        <v>3</v>
      </c>
      <c r="W320">
        <v>2.5</v>
      </c>
      <c r="X320">
        <v>16</v>
      </c>
      <c r="Z320" t="s">
        <v>608</v>
      </c>
      <c r="AA320" t="s">
        <v>866</v>
      </c>
      <c r="AD320" t="s">
        <v>517</v>
      </c>
      <c r="AR320" t="str">
        <f t="shared" si="353"/>
        <v>категория I не обеспечена (есть II)</v>
      </c>
      <c r="AS320" cm="1">
        <f t="array" ref="AS320">ROW()-ROW(Линии[#Headers])</f>
        <v>318</v>
      </c>
      <c r="AT320" t="str">
        <f t="shared" si="354"/>
        <v>НВК</v>
      </c>
      <c r="AU320" t="str">
        <f t="shared" si="355"/>
        <v>00.005Т.4</v>
      </c>
      <c r="AV320" t="str">
        <f t="shared" si="356"/>
        <v>00</v>
      </c>
      <c r="AW320" t="str">
        <f t="shared" si="357"/>
        <v>005Т.4</v>
      </c>
      <c r="AX320" t="str">
        <f t="shared" si="358"/>
        <v>005Т</v>
      </c>
      <c r="AY320" t="str">
        <f>IF(D320="","",IF(ISERROR(SEARCH(".",D320)),IFERROR(VLOOKUP(D320,Потребители_обозначение,2,FALSE)&amp;"",""),IFERROR(IF(VLOOKUP(AT320,Потребители_обозначение,4,FALSE)=1,VLOOKUP(AT320,Потребители_обозначение,2,FALSE)&amp;" "&amp;VLOOKUP(AV320,Этаж_обозначение,2,FALSE)&amp;" Пом. №"&amp;AX320,VLOOKUP(AT320,Потребители_обозначение,2,FALSE)&amp;" Шлейф №"&amp;AV320),IFERROR(VLOOKUP(D320,Потребители_обозначение,2,FALSE),""))))</f>
        <v>Насос дренажный Подвальный этаж Пом. №005Т</v>
      </c>
      <c r="AZ320" t="str">
        <f t="shared" si="359"/>
        <v>Насос дренажный Подвальный этаж Пом. №005Т</v>
      </c>
      <c r="BA320" t="str">
        <f>IF(F320&lt;&gt;"",F320,IF(AND(D320&lt;&gt;"",D320&lt;&gt;A320,ISNUMBER(_xlfn.XMATCH(D320,Щиты[Щит]))),D320,""))</f>
        <v/>
      </c>
      <c r="BB320">
        <f>IFERROR(_xlfn.XMATCH(A320,Щиты[Щит]),0)</f>
        <v>13</v>
      </c>
      <c r="BC320">
        <f>IFERROR(N(_xlfn.XLOOKUP(A320,Щиты[Щит],Щиты[Мест под вводной узел])),15)</f>
        <v>9</v>
      </c>
      <c r="BD320">
        <f t="shared" si="360"/>
        <v>12</v>
      </c>
      <c r="BE320" t="str">
        <f t="shared" si="361"/>
        <v>линии</v>
      </c>
      <c r="BF320">
        <f>IF(D320="","",IF(BA320&lt;&gt;"",IFERROR(_xlfn.XLOOKUP(BA320,Щиты[Щит],Щиты[Руст, кВт]),0),N(G320)))</f>
        <v>0.6</v>
      </c>
      <c r="BG320">
        <f>IF(J320&lt;&gt;"",J320,IF(D320="","",IFERROR(IF(VLOOKUP(AT320,Потребители_обозначение,8,FALSE)=0,"",VLOOKUP(AT320,Потребители_обозначение,8,FALSE)),"")))</f>
        <v>230</v>
      </c>
      <c r="BH320">
        <f>IF(I320&lt;&gt;"",I320,IF(D320="","",IFERROR(IF(VLOOKUP(AT320,Потребители_обозначение,9,FALSE)=0,"",VLOOKUP(AT320,Потребители_обозначение,9,FALSE)),"")))</f>
        <v>1</v>
      </c>
      <c r="BI320" t="str">
        <f>IF(U320&lt;&gt;"",U320,IF(D320="","",IFERROR(IF(VLOOKUP(AT320,Потребители_обозначение,6,FALSE)=0,"",VLOOKUP(AT320,Потребители_обозначение,6,FALSE)),"")))</f>
        <v>мс</v>
      </c>
      <c r="BJ320">
        <f>IF(V320&lt;&gt;"",V320,IF(D320="","",IFERROR(IF(VLOOKUP(AT320,Потребители_обозначение,7,FALSE)=0,"",VLOOKUP(AT320,Потребители_обозначение,7,FALSE)),"")))</f>
        <v>3</v>
      </c>
      <c r="BK320">
        <f>IF(W320&lt;&gt;"",W320,IF(D320="","",IFERROR(IF(VLOOKUP(AT320,Потребители_обозначение,10,FALSE)=0,"",VLOOKUP(AT320,Потребители_обозначение,10,FALSE)),"")))</f>
        <v>2.5</v>
      </c>
      <c r="BL320">
        <f>IFERROR(VLOOKUP(AT320,Потребители_обозначение,5,FALSE),0)</f>
        <v>1</v>
      </c>
      <c r="BM320" cm="1">
        <f t="array" ref="BM320">IF(D320="","",IF(BA320&lt;&gt;"",IFERROR(_xlfn.XLOOKUP(BA320,Щиты[Щит],Щиты[cos φ]),0.95),IF(ISNUMBER(M320),M320,IFERROR(IF(BL320=2,_xlfn.IFS(BH320=3,VLOOKUP(BF320,Справочная_двигатели,8,FALSE),BH320=1,VLOOKUP(BF320,Справочная_двигатели,10,TRUE)),IF(AND(Методика="нормы 2026",CN320="Сил"),0.8,0.95)),0.95))))</f>
        <v>0.95</v>
      </c>
      <c r="BN320" cm="1">
        <f t="array" ref="BN320">IF(D320="","",IF(BA320&lt;&gt;"",IFERROR(_xlfn.XLOOKUP(BA320,Щиты[Щит],Щиты[Iр, А]),""),IFERROR(_xlfn.IFS(BH320=1,BF320/((Uн_лин/SQRT(3))*BM320),BH320=3,BF320/(SQRT(3)*Uн_лин*BM320)),"")))</f>
        <v>2.7348170645824377</v>
      </c>
      <c r="BO320">
        <f>IF(D320="","",IF(N(X320)=0,IFERROR(VLOOKUP(BN320,Автомат_номиналы,2,TRUE),""),X320))</f>
        <v>16</v>
      </c>
      <c r="BP320">
        <f t="shared" si="362"/>
        <v>1</v>
      </c>
      <c r="BQ320">
        <f>IF(ISNUMBER(Y320),Y320,К_прокл)</f>
        <v>1</v>
      </c>
      <c r="BR320">
        <f t="shared" si="363"/>
        <v>2</v>
      </c>
      <c r="BS320" cm="1">
        <f t="array" ref="BS320">IF(D320="","",IF(N(BK320)&lt;&gt;0,BK320,IFERROR(_xlfn.LET(_xlpm.need,BO320/(BP320*BQ320),_xlpm.t,CHOOSE(BR320,Iдоп_1ж,Iдоп_2ж,Iдоп_3ж),_xlpm.k,_xlfn.XMATCH(_xlpm.need,_xlpm.t,1),IF(ISNA(_xlpm.k),"Не исп",INDEX(Iдоп_S,_xlpm.k))),"Не исп")))</f>
        <v>2.5</v>
      </c>
      <c r="BT320">
        <f>IFERROR(VLOOKUP(BS320,Кабель_сопротивление,3,FALSE),"")</f>
        <v>2.2499999999999999E-2</v>
      </c>
      <c r="BU320">
        <f>IFERROR(VLOOKUP(BS320,Кабель_сопротивление,2,FALSE),"")</f>
        <v>0.1</v>
      </c>
      <c r="BV320">
        <f t="shared" si="364"/>
        <v>19</v>
      </c>
      <c r="BW320">
        <f>IF(D320="","",IFERROR(IF(VLOOKUP(AT320,Потребители_обозначение,4,FALSE)=1,VLOOKUP(AT320,Потребители_обозначение,3,FALSE)*(H320*2-1)+BV320+VLOOKUP(AV320,Этаж_обозначение,3,FALSE)+VLOOKUP(AV320,Этаж_обозначение,4,FALSE),VLOOKUP(AT320,Потребители_обозначение,3,FALSE)*(H320*2-1)+BV320),BV320))</f>
        <v>22</v>
      </c>
      <c r="BX320">
        <f t="shared" si="365"/>
        <v>18</v>
      </c>
      <c r="BY320">
        <f t="shared" si="366"/>
        <v>0</v>
      </c>
      <c r="BZ320">
        <f t="shared" si="367"/>
        <v>2</v>
      </c>
      <c r="CA320">
        <f t="shared" si="368"/>
        <v>0.31</v>
      </c>
      <c r="CB320">
        <f t="shared" si="369"/>
        <v>1.0325684701720035</v>
      </c>
      <c r="CC320">
        <f>IFERROR(ROUNDUP(CB320/((Uн_лин/SQRT(3))*1000)*100,2),"")</f>
        <v>0.45</v>
      </c>
      <c r="CD320">
        <f>IF(ISNUMBER(CC320),CC320+IFERROR(_xlfn.XLOOKUP(A320,Щиты[Щит],Щиты[ΔU до шин, %]),0),"")</f>
        <v>2.34</v>
      </c>
      <c r="CE320">
        <f>IF(D320="","",IF(IFERROR(VLOOKUP(AT320,УГО_спр,2,FALSE),"")="Светильник",3,4)+IF(Методика="нормы 2026",MIN(0.5,MAX(0,N(BW320)-100)*0.005),0))</f>
        <v>4</v>
      </c>
      <c r="CF320" t="str">
        <f>IFERROR(VLOOKUP(BI320,Кабель_обозначение,2,FALSE),"")</f>
        <v>ВВГнг(А)-LS</v>
      </c>
      <c r="CG320" t="str">
        <f>IFERROR(IF(VLOOKUP(BI320,Кабель_обозначение,3,FALSE)=1,CF320&amp;" ("&amp;BJ320&amp;"х"&amp;BS320&amp;")",CF320),"")</f>
        <v>ВВГнг(А)-LS (3х2,5)</v>
      </c>
      <c r="CH320" t="str">
        <f t="shared" si="370"/>
        <v>ВВГнг(А)-LS (3х2,5)
L=22-0,45%</v>
      </c>
      <c r="CI320">
        <f>IFERROR(2*ρкз_Cu*BW320/BS320,"")</f>
        <v>0.46288000000000001</v>
      </c>
      <c r="CJ320">
        <f t="shared" si="371"/>
        <v>0.154</v>
      </c>
      <c r="CK320" t="str">
        <f>IFERROR(IF(OR(D320="",NOT(ISNUMBER(BS320)),N(BW320)=0),"",_xlfn.XLOOKUP(A320,Щиты[Щит],Щиты[Zпетли на шинах, Ом])+CI320),"")</f>
        <v/>
      </c>
      <c r="CL320" t="str">
        <f>IF(ISNUMBER(CK320),c_min*(Uн_лин*1000/SQRT(3))/CK320,"")</f>
        <v/>
      </c>
      <c r="CM320" t="str">
        <f>IFERROR(IF(OR(D320="",NOT(ISNUMBER(BS320))),"",1.05*(Uн_лин*1000/SQRT(3))/(_xlfn.XLOOKUP(A320,Щиты[Щит],Щиты[Zmax на шинах, Ом])+CJ320)/1000),"")</f>
        <v/>
      </c>
      <c r="CN320" t="str">
        <f>IF(D320="","",IF(BA320&lt;&gt;"","Щит",IF(K320&lt;&gt;"",K320,IF(ISNUMBER(L320),"Сил",IF(IFERROR(_xlfn.XLOOKUP(AT320,Коды_код,Коды_группа)&amp;"","")="","Быт",_xlfn.XLOOKUP(AT320,Коды_код,Коды_группа)&amp;"")))))</f>
        <v>Сил</v>
      </c>
      <c r="CO320">
        <f>IF(CN320="Щит","щит",IF(CN320="","",IF(CN320="Быт",IFERROR(_xlfn.XLOOKUP(A320,Щиты[Щит],Щиты[Кс быт]),1),IF(CN320="Сил",IF(ISNUMBER(L320),L320,IF(Методика="нормы 2026",IFERROR(_xlfn.XLOOKUP(A320,Щиты[Щит],Щиты[Кс силовых (табл. 7.5)]),1),1)),IF(OR(CN320="Пост",CN320="Отоп"),1,IF(CN320="ВНГ",0.7,0))))))</f>
        <v>0.5</v>
      </c>
      <c r="CP320">
        <f t="shared" si="372"/>
        <v>1</v>
      </c>
      <c r="CQ320">
        <f t="shared" si="373"/>
        <v>0.6</v>
      </c>
      <c r="CR320">
        <f t="shared" si="374"/>
        <v>0</v>
      </c>
      <c r="CS320">
        <f t="shared" si="375"/>
        <v>0.3</v>
      </c>
      <c r="CT320">
        <f t="shared" si="376"/>
        <v>0</v>
      </c>
      <c r="CU320">
        <f t="shared" si="377"/>
        <v>0</v>
      </c>
      <c r="CV320">
        <f t="shared" si="378"/>
        <v>0</v>
      </c>
      <c r="CW320">
        <f t="shared" si="379"/>
        <v>0.6</v>
      </c>
      <c r="CX320">
        <f t="shared" si="380"/>
        <v>0.56999999999999995</v>
      </c>
      <c r="CY320">
        <f t="shared" si="381"/>
        <v>1</v>
      </c>
      <c r="CZ320" t="str">
        <f t="shared" si="382"/>
        <v>L1</v>
      </c>
      <c r="DA320" cm="1">
        <f t="array" ref="DA320">IFERROR(IF(BL320=2,_xlfn.IFS(BH320=3,VLOOKUP(BF320,Справочная_двигатели,3,FALSE),BH320=1,VLOOKUP(BF320,Справочная_двигатели,5,TRUE)),0),0)</f>
        <v>0</v>
      </c>
      <c r="DB320">
        <f>IFERROR(IF(BL320=3,VLOOKUP(BF320,Справочная_ЛЭД,2,TRUE),0),0)</f>
        <v>0</v>
      </c>
      <c r="DC320">
        <f t="shared" si="383"/>
        <v>0</v>
      </c>
      <c r="DD320" t="str">
        <f t="shared" si="384"/>
        <v>L1</v>
      </c>
      <c r="DE320" t="str" cm="1">
        <f t="array" ref="DE320">IF(D320="","",IFERROR(INDEX({"I особая","I","II","III"},MATCH(TRIM(AA320&amp;""),{"I особая","I","II","III"},0)),"III"))</f>
        <v>I</v>
      </c>
      <c r="DF320" t="str">
        <f>IF(D320="","",IF(TRIM(AB320&amp;"")&lt;&gt;"",IF(LOWER(TRIM(AB320&amp;""))="да","да","нет"),IF(IFERROR(_xlfn.XLOOKUP(AT320,Коды_код,Коды_пожарная),"")="да","да","нет")))</f>
        <v>нет</v>
      </c>
      <c r="DG320" t="str">
        <f t="shared" si="385"/>
        <v/>
      </c>
      <c r="DH320" t="str">
        <f t="shared" si="386"/>
        <v>основная</v>
      </c>
      <c r="DI320">
        <f t="shared" si="387"/>
        <v>1</v>
      </c>
      <c r="DJ320" t="str" cm="1">
        <f t="array" ref="DJ320">IF(D320="","",_xlfn.LET(_xlpm.t,IFERROR(_xlfn.XLOOKUP(1,(Шины[Шина]=DH320)*(((Шины[Щит]=A320)+(Шины[Щит]=""))&gt;0),Шины[Тип]),"")&amp;"",IF(_xlpm.t&lt;&gt;"",_xlpm.t,IF(ISNUMBER(SEARCH("ИБП",DH320)),"ИБП",IF(ISNUMBER(SEARCH("ДГУ",DH320)),"ДГУ","Ввод "&amp;DI320)))))</f>
        <v>Ввод 1</v>
      </c>
      <c r="DK320" t="str">
        <f t="shared" si="388"/>
        <v>Ввод 1</v>
      </c>
      <c r="DL320" t="str">
        <f>IF(D320="","",IF(OR(DJ320="ИБП",DJ320="ДГУ"),"I особая",IF(DJ320="Одиночная","III",_xlfn.XLOOKUP(A320,Щиты[Щит],Щиты[Категория шины «Ввод»],"III"))))</f>
        <v>II</v>
      </c>
      <c r="DM320">
        <f>IF(D320="",0,IFERROR(MATCH(DE320,{"III","II","I","I особая"},0),1))</f>
        <v>3</v>
      </c>
      <c r="DN320">
        <f t="shared" si="389"/>
        <v>3</v>
      </c>
      <c r="DO320" t="str">
        <f>IF(D320="","",IF(DM320&gt;IFERROR(MATCH(DL320,{"III","II","I","I особая"},0),1),"НЕ ОБЕСПЕЧЕНА","ОК"))</f>
        <v>НЕ ОБЕСПЕЧЕНА</v>
      </c>
      <c r="DP320" t="str">
        <f>IF(A320="","",_xlfn.XLOOKUP(A320,Щиты[Щит],Щиты[Путь],""))</f>
        <v>|ГРЩ-ЖД|ЩС-ВК.001|</v>
      </c>
      <c r="DQ320" t="str">
        <f>IF(D320="","",IF(Z320&lt;&gt;"",Z320,IF(IFERROR(_xlfn.XLOOKUP(AT320,Коды_код,Коды_вид)&amp;"","")="","Прочее",_xlfn.XLOOKUP(AT320,Коды_код,Коды_вид)&amp;"")))</f>
        <v>Насосы (водоснабжение, дренаж)</v>
      </c>
      <c r="DR320">
        <f>IF(BD320="","",INT((BD320-1)/Столбцов_на_лист)+1)</f>
        <v>1</v>
      </c>
      <c r="DS320" t="str">
        <f t="shared" si="390"/>
        <v>ВВГнг(А)-LS (3х2,5) L=22-0,45%</v>
      </c>
      <c r="DT320">
        <f t="shared" si="391"/>
        <v>0.6</v>
      </c>
      <c r="DU320">
        <f t="shared" si="392"/>
        <v>2.7399999999999998</v>
      </c>
      <c r="DV320">
        <f t="shared" si="393"/>
        <v>1</v>
      </c>
      <c r="DW320">
        <f>IF(AT320="",0,_xlfn.LET(_xlpm.v,IFERROR(VLOOKUP(D320,УГО_спр,3,FALSE),IFERROR(VLOOKUP(AT320,УГО_спр,3,FALSE),IFERROR(VLOOKUP(LEFT(AT320,2),УГО_спр,3,FALSE),""))),IF(_xlpm.v="да",30,IF(ISNUMBER(_xlpm.v),_xlpm.v,0))))</f>
        <v>0</v>
      </c>
      <c r="DX320">
        <f t="shared" si="394"/>
        <v>0</v>
      </c>
      <c r="DY320">
        <f>IF(BD320="","",IF(AD320&lt;&gt;"",COUNTIFS(A$3:A320,A320,AD$3:AD320,"?*"),IF(OR(OR(AS320=1,A320&lt;&gt;A319),AL320="вручную"),"",IF(AS320=1,"",DZ319))))</f>
        <v>3</v>
      </c>
      <c r="DZ320">
        <f t="shared" si="395"/>
        <v>3</v>
      </c>
      <c r="EA320">
        <f>IF(D320="",0,MAX(IFERROR(--X320,0),IFERROR(--VLOOKUP(D320,УГО_спр,4,FALSE),IFERROR(--VLOOKUP(AT320,УГО_спр,4,FALSE),IFERROR(--VLOOKUP(LEFT(AT320,2),УГО_спр,4,FALSE),0)))))</f>
        <v>16</v>
      </c>
      <c r="EB320">
        <f>IF(D320="","",IFERROR(LOOKUP(INDEX(CHOOSE(BR320,Iдоп_1ж,Iдоп_2ж,Iдоп_3ж),MATCH(BS320,Iдоп_S,0))*BP320*BQ320,{6,10,16,20,25,32,40,50,63,80,100,125,160,200,250,315,400,500,630}),""))</f>
        <v>25</v>
      </c>
      <c r="EC320">
        <f>IF(AD320="","",SUMIFS(Линии[_Ток схемы],Линии[_гр.],DY320,Линии[Щит],A320,Линии[_в кабель выше],0))</f>
        <v>2.7399999999999998</v>
      </c>
      <c r="ED320">
        <f>IF(AD320="","",IFERROR(VLOOKUP(EC320,Автомат_номиналы,2,TRUE),""))</f>
        <v>6</v>
      </c>
      <c r="EE320">
        <f>IF(AD320="","",MAX(N(ED320),_xlfn.MAXIFS(Линии[_мин. по типу],Линии[_гр.],DY320,Линии[Щит],A320)))</f>
        <v>16</v>
      </c>
      <c r="EF320">
        <f>IF(AD320="","",_xlfn.MINIFS(Линии[_макс. автомат по кабелю],Линии[_гр.],DY320,Линии[Щит],A320))</f>
        <v>25</v>
      </c>
      <c r="EG320">
        <f>IF(AD320="","",MAX(1,_xlfn.MAXIFS(Линии[_фаз],Линии[_гр.],DY320,Линии[Щит],A320)))</f>
        <v>1</v>
      </c>
      <c r="EH320">
        <f>IF(AD320="","",IF(AND(AD320&lt;&gt;"авто",AD320&lt;&gt;"+"),IF(ISNUMBER(SEARCH("мА",AD320)),IFERROR(--TRIM(RIGHT(SUBSTITUTE(LEFT(AD320,SEARCH("мА",AD320)-1)," ",REPT(" ",9)),6)),30),0),IF(AE320="нет",0,IF(ISNUMBER(AE320),AE320,IF(AE320="да",30,_xlfn.MINIFS(Линии[_дифзащита по коду, мА],Линии[_гр.],DY320,Линии[Щит],A320,Линии[_дифзащита по коду, мА],"&gt;0"))))))</f>
        <v>0</v>
      </c>
      <c r="EI320">
        <f t="shared" si="396"/>
        <v>0</v>
      </c>
      <c r="EJ320" t="str">
        <f t="shared" si="397"/>
        <v>QF3</v>
      </c>
      <c r="EK320" t="str">
        <f t="shared" si="398"/>
        <v>QF3</v>
      </c>
      <c r="EL320" t="str">
        <f t="shared" si="399"/>
        <v/>
      </c>
      <c r="EM320">
        <f t="shared" si="400"/>
        <v>0</v>
      </c>
      <c r="EN320">
        <f>IF(AD320="","",IF(EM320=1,MAX(EE320,Мин_автомат_БП),EE320))</f>
        <v>16</v>
      </c>
      <c r="EO320" t="str">
        <f t="shared" si="401"/>
        <v>1P</v>
      </c>
      <c r="EP320" t="str">
        <f t="shared" si="402"/>
        <v>1P С16А</v>
      </c>
      <c r="EQ320">
        <f t="shared" si="403"/>
        <v>16</v>
      </c>
      <c r="ER320" t="str">
        <f>IF(OR(AI320="",AI320="-"),"",IFERROR(VLOOKUP(AI320,Модули_спр,2,FALSE),"R"))</f>
        <v/>
      </c>
      <c r="ES320" t="str">
        <f>IF(ER320="","",ER320&amp;"."&amp;COUNTIFS(A$3:A320,A320,ER$3:ER320,ER320))</f>
        <v/>
      </c>
      <c r="ET320" t="str">
        <f t="shared" si="404"/>
        <v/>
      </c>
      <c r="EU320" t="str">
        <f t="shared" si="405"/>
        <v/>
      </c>
      <c r="EV320" t="str">
        <f t="shared" si="406"/>
        <v/>
      </c>
      <c r="EW320" t="str">
        <f t="shared" si="407"/>
        <v/>
      </c>
      <c r="EX320">
        <f t="shared" si="408"/>
        <v>1</v>
      </c>
      <c r="EY320" t="str">
        <f>IF(AK320="нет","",IF(AK320&lt;&gt;"",AK320,IF(EX320=1,"XT"&amp;COUNTIFS(A$3:A320,A320,EX$3:EX320,1),"")))</f>
        <v>XT3</v>
      </c>
      <c r="EZ320" t="str">
        <f t="shared" si="409"/>
        <v>QF3</v>
      </c>
      <c r="FA320" t="str">
        <f t="shared" si="410"/>
        <v/>
      </c>
      <c r="FB320" t="str">
        <f t="shared" si="411"/>
        <v>ok</v>
      </c>
      <c r="FC320" t="str">
        <f>IF(OR(EV320="",ET320=""),"",IF(EV320&gt;IFERROR(VLOOKUP(EU320,Модули_спр,3,FALSE),99),"ЛИШНИЙ КАНАЛ",IF(AND(AJ320&lt;&gt;"=",COUNTIFS(Линии[_модуль гр.],ET320,Линии[Канал (итог)],EV320,Линии[Канал],"&lt;&gt;=",Линии[Щит],A320)&gt;1),"ДУБЛЬ КАНАЛА","")))</f>
        <v/>
      </c>
      <c r="FD320">
        <f t="shared" si="412"/>
        <v>16</v>
      </c>
      <c r="FE320" t="str">
        <f t="shared" si="413"/>
        <v>1P С16А</v>
      </c>
      <c r="FF320">
        <f t="shared" si="414"/>
        <v>0</v>
      </c>
      <c r="FG320">
        <f t="shared" si="415"/>
        <v>0</v>
      </c>
      <c r="FH320" t="str">
        <f t="shared" si="416"/>
        <v/>
      </c>
      <c r="FI320">
        <f t="shared" si="417"/>
        <v>10</v>
      </c>
      <c r="FJ320" t="str">
        <f t="shared" si="418"/>
        <v/>
      </c>
      <c r="FK320" t="str">
        <f>IF(AND(D320="",EZ320=""),"",_xlfn.TEXTJOIN("; ",TRUE,IF(AND(D320&lt;&gt;"",DD320=""),"нет фазы",""),IF(AND(D320&lt;&gt;"",N(DT320)=0,CN320&lt;&gt;"Нет"),"нет мощности",""),IF(AND(EY320&lt;&gt;"",COUNTIFS(Линии[Щит],A320,Линии[Клемма (итог)],EY320)&gt;1),"дубль клеммы "&amp;EY320,""),IF(AND(FB320&lt;&gt;"",FB320&lt;&gt;"ok"),FB320,""),IF(FC320&lt;&gt;"",FC320,""),IF(AND(ISNUMBER(SEARCH("(5х",DS320)),N(DV320)=1),"5 жил на 1 фазе",""),IF(AND(AT320="R",AD320&lt;&gt;"",OR(N(EH320)=0,N(EH320)&gt;30)),"розетка без дифзащиты до 30 мА",""),IFERROR(IF(AND(ISNUMBER(CD320),CD320&gt;CE320),"потери "&amp;FIXED(CD320,1)&amp;" % &gt; "&amp;CE320&amp;" %",""),""),IFERROR(IF(LEFT(FJ320,4)="мало","Iкз мало — отключение &gt; 0,4 с",""),""),IF(AND(D320&lt;&gt;"",BD320=""),"не на схеме","")))</f>
        <v/>
      </c>
      <c r="FL320">
        <f>IF(AD320="","",_xlfn.LET(_xlpm.t,IFERROR(_xlfn.XLOOKUP(EP320,Каталог!$U$4:$U$500,Каталог!$G$4:$G$500),""),_xlpm.k,SEARCH("кА",_xlpm.t),IFERROR(--TRIM(RIGHT(SUBSTITUTE(MID(_xlpm.t,MAX(1,_xlpm.k-4),_xlpm.k-MAX(1,_xlpm.k-4))," ",REPT(" ",9)),5)),"")))</f>
        <v>6</v>
      </c>
      <c r="FM320" t="str">
        <f>IF(OR(FL320="",AD320=""),"",IF(_xlfn.XLOOKUP(A320,Щиты[Щит],Щиты[Iкз max на шинах, кА],"")="","",IF(FL320&lt;_xlfn.XLOOKUP(A320,Щиты[Щит],Щиты[Iкз max на шинах, кА]),"Icu "&amp;FL320&amp;" кА &lt; Iкз max","ok")))</f>
        <v/>
      </c>
      <c r="FN320" t="str">
        <f t="shared" si="419"/>
        <v>QF3|XT3</v>
      </c>
      <c r="FO320" t="str">
        <f t="shared" si="420"/>
        <v>QF3|XT3|кабель ВВГнг(А)-LS (3х2,5) → Насос дренажный Подвальный этаж Пом. №005Т</v>
      </c>
      <c r="FP320" t="str" cm="1">
        <f t="array" ref="FP320">IF(FO320="","",_xlfn.LET(_xlpm.nd,_xlfn.TEXTSPLIT(FO320,"|"),IF(COLUMNS(_xlpm.nd)&gt;1,A320&amp;"¦"&amp;INDEX(_xlpm.nd,1)&amp;"¦"&amp;INDEX(_xlpm.nd,2),"")))</f>
        <v>ЩС-ВК.001¦QF3¦XT3</v>
      </c>
      <c r="FQ320" t="str">
        <f t="shared" si="421"/>
        <v>НВК.00.005Т.4¦Насос дренажный Подвальный этаж Пом. №005Т</v>
      </c>
      <c r="FR320" t="str" cm="1">
        <f t="array" ref="FR320">IF(FO320="","",_xlfn.LET(_xlpm.nd,_xlfn.TEXTSPLIT(FO320,"|"),IF(COLUMNS(_xlpm.nd)&gt;2,A320&amp;"¦"&amp;INDEX(_xlpm.nd,2)&amp;"¦"&amp;INDEX(_xlpm.nd,3),"")))</f>
        <v>ЩС-ВК.001¦XT3¦кабель ВВГнг(А)-LS (3х2,5) → Насос дренажный Подвальный этаж Пом. №005Т</v>
      </c>
      <c r="FS320" t="str">
        <f t="shared" si="422"/>
        <v>НВК.00.005Т.4¦Насос дренажный Подвальный этаж Пом. №005Т</v>
      </c>
      <c r="FT320" t="str" cm="1">
        <f t="array" ref="FT320">IF(FO320="","",_xlfn.LET(_xlpm.nd,_xlfn.TEXTSPLIT(FO320,"|"),IF(COLUMNS(_xlpm.nd)&gt;3,A320&amp;"¦"&amp;INDEX(_xlpm.nd,3)&amp;"¦"&amp;INDEX(_xlpm.nd,4),"")))</f>
        <v/>
      </c>
      <c r="FU320" t="str">
        <f t="shared" si="423"/>
        <v/>
      </c>
      <c r="FV320" t="str" cm="1">
        <f t="array" ref="FV320">IF(FO320="","",_xlfn.LET(_xlpm.nd,_xlfn.TEXTSPLIT(FO320,"|"),IF(COLUMNS(_xlpm.nd)&gt;4,A320&amp;"¦"&amp;INDEX(_xlpm.nd,4)&amp;"¦"&amp;INDEX(_xlpm.nd,5),"")))</f>
        <v/>
      </c>
      <c r="FW320" t="str">
        <f t="shared" si="424"/>
        <v/>
      </c>
      <c r="FX320" t="str" cm="1">
        <f t="array" ref="FX320">IF(FO320="","",_xlfn.LET(_xlpm.nd,_xlfn.TEXTSPLIT(FO320,"|"),IF(COLUMNS(_xlpm.nd)&gt;5,A320&amp;"¦"&amp;INDEX(_xlpm.nd,5)&amp;"¦"&amp;INDEX(_xlpm.nd,6),"")))</f>
        <v/>
      </c>
      <c r="FY320" t="str">
        <f t="shared" si="425"/>
        <v/>
      </c>
      <c r="FZ320" t="str" cm="1">
        <f t="array" ref="FZ320">IF(FO320="","",_xlfn.LET(_xlpm.nd,_xlfn.TEXTSPLIT(FO320,"|"),IF(COLUMNS(_xlpm.nd)&gt;6,A320&amp;"¦"&amp;INDEX(_xlpm.nd,6)&amp;"¦"&amp;INDEX(_xlpm.nd,7),"")))</f>
        <v/>
      </c>
      <c r="GA320" t="str">
        <f t="shared" si="426"/>
        <v/>
      </c>
      <c r="GB320" t="str">
        <f t="shared" si="427"/>
        <v/>
      </c>
      <c r="GC320" t="str">
        <f t="shared" si="428"/>
        <v>QF3 → XT3</v>
      </c>
      <c r="GD320">
        <f t="shared" si="429"/>
        <v>1</v>
      </c>
      <c r="GE320">
        <f t="shared" si="430"/>
        <v>0</v>
      </c>
      <c r="GF320">
        <f t="shared" si="431"/>
        <v>0</v>
      </c>
      <c r="GG320" t="str">
        <f t="shared" si="432"/>
        <v/>
      </c>
      <c r="GH320" t="str">
        <f t="shared" si="433"/>
        <v/>
      </c>
      <c r="GI320" t="str">
        <f t="shared" si="434"/>
        <v/>
      </c>
      <c r="GJ320" t="str">
        <f t="shared" si="435"/>
        <v/>
      </c>
      <c r="GK320">
        <f>IF(D320="","",IFERROR(VLOOKUP(D320,УГО_спр,2,FALSE),IFERROR(VLOOKUP(AT320,УГО_спр,2,FALSE),IFERROR(VLOOKUP(LEFT(AT320,2),УГО_спр,2,FALSE),""))))</f>
        <v>0</v>
      </c>
      <c r="GL320" t="str">
        <f>IF(D320="","",IF(OR(GK320="",GK320=0),"BOX",IFERROR(IF(VLOOKUP(GK320,УГО_блоки,3,FALSE)&amp;""&lt;&gt;"",VLOOKUP(GK320,УГО_блоки,3,FALSE),VLOOKUP(GK320,УГО_блоки,2,FALSE)),GK320)))</f>
        <v>BOX</v>
      </c>
      <c r="GM320">
        <f t="shared" si="436"/>
        <v>1</v>
      </c>
      <c r="GN320" t="str">
        <f>IF(EP320="","",IF(COUNTIF(EP$3:EP320,EP320)=1,MAX(GN$2:GN319)+1,""))</f>
        <v/>
      </c>
      <c r="GO320" t="str">
        <f>IF(AF320="","",IF(COUNTIF(AF$3:AF320,AF320)+COUNTIF(AG$2:AG319,AF320)+COUNTIF(AH$2:AH319,AF320)=1,MAX(GO$2:GQ319)+1,""))</f>
        <v/>
      </c>
      <c r="GP320" t="str">
        <f>IF(AG320="","",IF(COUNTIF(AF$3:AF320,AG320)+COUNTIF(AG$3:AG320,AG320)+COUNTIF(AH$2:AH319,AG320)=1,MAX(GO$2:GQ319,GO320)+1,""))</f>
        <v/>
      </c>
      <c r="GQ320" t="str">
        <f>IF(AH320="","",IF(COUNTIF(AF$3:AF320,AH320)+COUNTIF(AG$3:AG320,AH320)+COUNTIF(AH$3:AH320,AH320)=1,MAX(GO$2:GQ319,GO320,GP320)+1,""))</f>
        <v/>
      </c>
      <c r="GR320" t="str">
        <f t="shared" si="437"/>
        <v>3х2,5</v>
      </c>
      <c r="GS320" t="str">
        <f>IF(GR320="","",IF(COUNTIF(GR$3:GR320,GR320)=1,MAX(GS$2:GS319)+1,""))</f>
        <v/>
      </c>
      <c r="GT320" t="str">
        <f>IF(ES320="","",COUNTIF(ES$3:ES320,"?*"))</f>
        <v/>
      </c>
      <c r="GU320" t="str">
        <f>IF(OR(ES320="",EU320=""),"",IF(COUNTIFS(ES$3:ES320,"?*",EU$3:EU320,EU320)=1,MAX(GU$2:GU319)+1,""))</f>
        <v/>
      </c>
      <c r="GV320">
        <f t="shared" si="438"/>
        <v>0</v>
      </c>
      <c r="GW320">
        <f>IF(D320="","",COUNTIF(D$3:D320,"?*"))</f>
        <v>318</v>
      </c>
      <c r="GX320">
        <f>IF(EX320&lt;&gt;1,0,_xlfn.LET(_xlpm.k,MAX(IFERROR(--VLOOKUP(D320,УГО_спр,5,FALSE),0),IFERROR(--VLOOKUP(AT320,УГО_спр,5,FALSE),0),IFERROR(--VLOOKUP(LEFT(AT320,2),УГО_спр,5,FALSE),0)),IF(_xlpm.k&gt;0,_xlpm.k,IF(IFERROR(--LEFT(SUBSTITUTE(GR320,"x","х"),FIND("х",SUBSTITUTE(GR320,"x","х"))-1),3)&gt;3,Каталог!$S$9,1))))</f>
        <v>1</v>
      </c>
      <c r="GY320">
        <f t="shared" si="439"/>
        <v>0</v>
      </c>
    </row>
    <row r="321" spans="1:207" x14ac:dyDescent="0.3">
      <c r="A321" t="s">
        <v>768</v>
      </c>
      <c r="B321">
        <v>13</v>
      </c>
      <c r="C321" t="str">
        <f>IF(BD321="","",IF(BE321="вводной узел","узел ","")&amp;"л."&amp;(INT((BD321-1)/Столбцов_на_лист)+1)&amp;" / "&amp;(MOD(BD321-1,Столбцов_на_лист)+1))</f>
        <v>л.1 / 13</v>
      </c>
      <c r="D321" t="s">
        <v>1658</v>
      </c>
      <c r="E321" s="133" t="str">
        <f t="shared" si="352"/>
        <v>Насос дренажный Подвальный этаж Пом. №005Т</v>
      </c>
      <c r="G321">
        <v>0.6</v>
      </c>
      <c r="H321">
        <v>1</v>
      </c>
      <c r="I321">
        <v>1</v>
      </c>
      <c r="J321">
        <v>230</v>
      </c>
      <c r="K321" t="s">
        <v>602</v>
      </c>
      <c r="L321">
        <v>0.5</v>
      </c>
      <c r="O321">
        <v>1</v>
      </c>
      <c r="P321">
        <v>19</v>
      </c>
      <c r="Q321">
        <v>1</v>
      </c>
      <c r="R321">
        <v>18</v>
      </c>
      <c r="S321">
        <v>0</v>
      </c>
      <c r="T321">
        <v>1</v>
      </c>
      <c r="U321" t="s">
        <v>11</v>
      </c>
      <c r="V321">
        <v>3</v>
      </c>
      <c r="W321">
        <v>2.5</v>
      </c>
      <c r="X321">
        <v>16</v>
      </c>
      <c r="Z321" t="s">
        <v>608</v>
      </c>
      <c r="AA321" t="s">
        <v>866</v>
      </c>
      <c r="AD321" t="s">
        <v>517</v>
      </c>
      <c r="AR321" t="str">
        <f t="shared" si="353"/>
        <v>категория I не обеспечена (есть II)</v>
      </c>
      <c r="AS321" cm="1">
        <f t="array" ref="AS321">ROW()-ROW(Линии[#Headers])</f>
        <v>319</v>
      </c>
      <c r="AT321" t="str">
        <f t="shared" si="354"/>
        <v>НВК</v>
      </c>
      <c r="AU321" t="str">
        <f t="shared" si="355"/>
        <v>00.005Т.3</v>
      </c>
      <c r="AV321" t="str">
        <f t="shared" si="356"/>
        <v>00</v>
      </c>
      <c r="AW321" t="str">
        <f t="shared" si="357"/>
        <v>005Т.3</v>
      </c>
      <c r="AX321" t="str">
        <f t="shared" si="358"/>
        <v>005Т</v>
      </c>
      <c r="AY321" t="str">
        <f>IF(D321="","",IF(ISERROR(SEARCH(".",D321)),IFERROR(VLOOKUP(D321,Потребители_обозначение,2,FALSE)&amp;"",""),IFERROR(IF(VLOOKUP(AT321,Потребители_обозначение,4,FALSE)=1,VLOOKUP(AT321,Потребители_обозначение,2,FALSE)&amp;" "&amp;VLOOKUP(AV321,Этаж_обозначение,2,FALSE)&amp;" Пом. №"&amp;AX321,VLOOKUP(AT321,Потребители_обозначение,2,FALSE)&amp;" Шлейф №"&amp;AV321),IFERROR(VLOOKUP(D321,Потребители_обозначение,2,FALSE),""))))</f>
        <v>Насос дренажный Подвальный этаж Пом. №005Т</v>
      </c>
      <c r="AZ321" t="str">
        <f t="shared" si="359"/>
        <v>Насос дренажный Подвальный этаж Пом. №005Т</v>
      </c>
      <c r="BA321" t="str">
        <f>IF(F321&lt;&gt;"",F321,IF(AND(D321&lt;&gt;"",D321&lt;&gt;A321,ISNUMBER(_xlfn.XMATCH(D321,Щиты[Щит]))),D321,""))</f>
        <v/>
      </c>
      <c r="BB321">
        <f>IFERROR(_xlfn.XMATCH(A321,Щиты[Щит]),0)</f>
        <v>13</v>
      </c>
      <c r="BC321">
        <f>IFERROR(N(_xlfn.XLOOKUP(A321,Щиты[Щит],Щиты[Мест под вводной узел])),15)</f>
        <v>9</v>
      </c>
      <c r="BD321">
        <f t="shared" si="360"/>
        <v>13</v>
      </c>
      <c r="BE321" t="str">
        <f t="shared" si="361"/>
        <v>линии</v>
      </c>
      <c r="BF321">
        <f>IF(D321="","",IF(BA321&lt;&gt;"",IFERROR(_xlfn.XLOOKUP(BA321,Щиты[Щит],Щиты[Руст, кВт]),0),N(G321)))</f>
        <v>0.6</v>
      </c>
      <c r="BG321">
        <f>IF(J321&lt;&gt;"",J321,IF(D321="","",IFERROR(IF(VLOOKUP(AT321,Потребители_обозначение,8,FALSE)=0,"",VLOOKUP(AT321,Потребители_обозначение,8,FALSE)),"")))</f>
        <v>230</v>
      </c>
      <c r="BH321">
        <f>IF(I321&lt;&gt;"",I321,IF(D321="","",IFERROR(IF(VLOOKUP(AT321,Потребители_обозначение,9,FALSE)=0,"",VLOOKUP(AT321,Потребители_обозначение,9,FALSE)),"")))</f>
        <v>1</v>
      </c>
      <c r="BI321" t="str">
        <f>IF(U321&lt;&gt;"",U321,IF(D321="","",IFERROR(IF(VLOOKUP(AT321,Потребители_обозначение,6,FALSE)=0,"",VLOOKUP(AT321,Потребители_обозначение,6,FALSE)),"")))</f>
        <v>мс</v>
      </c>
      <c r="BJ321">
        <f>IF(V321&lt;&gt;"",V321,IF(D321="","",IFERROR(IF(VLOOKUP(AT321,Потребители_обозначение,7,FALSE)=0,"",VLOOKUP(AT321,Потребители_обозначение,7,FALSE)),"")))</f>
        <v>3</v>
      </c>
      <c r="BK321">
        <f>IF(W321&lt;&gt;"",W321,IF(D321="","",IFERROR(IF(VLOOKUP(AT321,Потребители_обозначение,10,FALSE)=0,"",VLOOKUP(AT321,Потребители_обозначение,10,FALSE)),"")))</f>
        <v>2.5</v>
      </c>
      <c r="BL321">
        <f>IFERROR(VLOOKUP(AT321,Потребители_обозначение,5,FALSE),0)</f>
        <v>1</v>
      </c>
      <c r="BM321" cm="1">
        <f t="array" ref="BM321">IF(D321="","",IF(BA321&lt;&gt;"",IFERROR(_xlfn.XLOOKUP(BA321,Щиты[Щит],Щиты[cos φ]),0.95),IF(ISNUMBER(M321),M321,IFERROR(IF(BL321=2,_xlfn.IFS(BH321=3,VLOOKUP(BF321,Справочная_двигатели,8,FALSE),BH321=1,VLOOKUP(BF321,Справочная_двигатели,10,TRUE)),IF(AND(Методика="нормы 2026",CN321="Сил"),0.8,0.95)),0.95))))</f>
        <v>0.95</v>
      </c>
      <c r="BN321" cm="1">
        <f t="array" ref="BN321">IF(D321="","",IF(BA321&lt;&gt;"",IFERROR(_xlfn.XLOOKUP(BA321,Щиты[Щит],Щиты[Iр, А]),""),IFERROR(_xlfn.IFS(BH321=1,BF321/((Uн_лин/SQRT(3))*BM321),BH321=3,BF321/(SQRT(3)*Uн_лин*BM321)),"")))</f>
        <v>2.7348170645824377</v>
      </c>
      <c r="BO321">
        <f>IF(D321="","",IF(N(X321)=0,IFERROR(VLOOKUP(BN321,Автомат_номиналы,2,TRUE),""),X321))</f>
        <v>16</v>
      </c>
      <c r="BP321">
        <f t="shared" si="362"/>
        <v>1</v>
      </c>
      <c r="BQ321">
        <f>IF(ISNUMBER(Y321),Y321,К_прокл)</f>
        <v>1</v>
      </c>
      <c r="BR321">
        <f t="shared" si="363"/>
        <v>2</v>
      </c>
      <c r="BS321" cm="1">
        <f t="array" ref="BS321">IF(D321="","",IF(N(BK321)&lt;&gt;0,BK321,IFERROR(_xlfn.LET(_xlpm.need,BO321/(BP321*BQ321),_xlpm.t,CHOOSE(BR321,Iдоп_1ж,Iдоп_2ж,Iдоп_3ж),_xlpm.k,_xlfn.XMATCH(_xlpm.need,_xlpm.t,1),IF(ISNA(_xlpm.k),"Не исп",INDEX(Iдоп_S,_xlpm.k))),"Не исп")))</f>
        <v>2.5</v>
      </c>
      <c r="BT321">
        <f>IFERROR(VLOOKUP(BS321,Кабель_сопротивление,3,FALSE),"")</f>
        <v>2.2499999999999999E-2</v>
      </c>
      <c r="BU321">
        <f>IFERROR(VLOOKUP(BS321,Кабель_сопротивление,2,FALSE),"")</f>
        <v>0.1</v>
      </c>
      <c r="BV321">
        <f t="shared" si="364"/>
        <v>19</v>
      </c>
      <c r="BW321">
        <f>IF(D321="","",IFERROR(IF(VLOOKUP(AT321,Потребители_обозначение,4,FALSE)=1,VLOOKUP(AT321,Потребители_обозначение,3,FALSE)*(H321*2-1)+BV321+VLOOKUP(AV321,Этаж_обозначение,3,FALSE)+VLOOKUP(AV321,Этаж_обозначение,4,FALSE),VLOOKUP(AT321,Потребители_обозначение,3,FALSE)*(H321*2-1)+BV321),BV321))</f>
        <v>22</v>
      </c>
      <c r="BX321">
        <f t="shared" si="365"/>
        <v>18</v>
      </c>
      <c r="BY321">
        <f t="shared" si="366"/>
        <v>0</v>
      </c>
      <c r="BZ321">
        <f t="shared" si="367"/>
        <v>2</v>
      </c>
      <c r="CA321">
        <f t="shared" si="368"/>
        <v>0.31</v>
      </c>
      <c r="CB321">
        <f t="shared" si="369"/>
        <v>1.0325684701720035</v>
      </c>
      <c r="CC321">
        <f>IFERROR(ROUNDUP(CB321/((Uн_лин/SQRT(3))*1000)*100,2),"")</f>
        <v>0.45</v>
      </c>
      <c r="CD321">
        <f>IF(ISNUMBER(CC321),CC321+IFERROR(_xlfn.XLOOKUP(A321,Щиты[Щит],Щиты[ΔU до шин, %]),0),"")</f>
        <v>2.34</v>
      </c>
      <c r="CE321">
        <f>IF(D321="","",IF(IFERROR(VLOOKUP(AT321,УГО_спр,2,FALSE),"")="Светильник",3,4)+IF(Методика="нормы 2026",MIN(0.5,MAX(0,N(BW321)-100)*0.005),0))</f>
        <v>4</v>
      </c>
      <c r="CF321" t="str">
        <f>IFERROR(VLOOKUP(BI321,Кабель_обозначение,2,FALSE),"")</f>
        <v>ВВГнг(А)-LS</v>
      </c>
      <c r="CG321" t="str">
        <f>IFERROR(IF(VLOOKUP(BI321,Кабель_обозначение,3,FALSE)=1,CF321&amp;" ("&amp;BJ321&amp;"х"&amp;BS321&amp;")",CF321),"")</f>
        <v>ВВГнг(А)-LS (3х2,5)</v>
      </c>
      <c r="CH321" t="str">
        <f t="shared" si="370"/>
        <v>ВВГнг(А)-LS (3х2,5)
L=22-0,45%</v>
      </c>
      <c r="CI321">
        <f>IFERROR(2*ρкз_Cu*BW321/BS321,"")</f>
        <v>0.46288000000000001</v>
      </c>
      <c r="CJ321">
        <f t="shared" si="371"/>
        <v>0.154</v>
      </c>
      <c r="CK321" t="str">
        <f>IFERROR(IF(OR(D321="",NOT(ISNUMBER(BS321)),N(BW321)=0),"",_xlfn.XLOOKUP(A321,Щиты[Щит],Щиты[Zпетли на шинах, Ом])+CI321),"")</f>
        <v/>
      </c>
      <c r="CL321" t="str">
        <f>IF(ISNUMBER(CK321),c_min*(Uн_лин*1000/SQRT(3))/CK321,"")</f>
        <v/>
      </c>
      <c r="CM321" t="str">
        <f>IFERROR(IF(OR(D321="",NOT(ISNUMBER(BS321))),"",1.05*(Uн_лин*1000/SQRT(3))/(_xlfn.XLOOKUP(A321,Щиты[Щит],Щиты[Zmax на шинах, Ом])+CJ321)/1000),"")</f>
        <v/>
      </c>
      <c r="CN321" t="str">
        <f>IF(D321="","",IF(BA321&lt;&gt;"","Щит",IF(K321&lt;&gt;"",K321,IF(ISNUMBER(L321),"Сил",IF(IFERROR(_xlfn.XLOOKUP(AT321,Коды_код,Коды_группа)&amp;"","")="","Быт",_xlfn.XLOOKUP(AT321,Коды_код,Коды_группа)&amp;"")))))</f>
        <v>Сил</v>
      </c>
      <c r="CO321">
        <f>IF(CN321="Щит","щит",IF(CN321="","",IF(CN321="Быт",IFERROR(_xlfn.XLOOKUP(A321,Щиты[Щит],Щиты[Кс быт]),1),IF(CN321="Сил",IF(ISNUMBER(L321),L321,IF(Методика="нормы 2026",IFERROR(_xlfn.XLOOKUP(A321,Щиты[Щит],Щиты[Кс силовых (табл. 7.5)]),1),1)),IF(OR(CN321="Пост",CN321="Отоп"),1,IF(CN321="ВНГ",0.7,0))))))</f>
        <v>0.5</v>
      </c>
      <c r="CP321">
        <f t="shared" si="372"/>
        <v>1</v>
      </c>
      <c r="CQ321">
        <f t="shared" si="373"/>
        <v>0.6</v>
      </c>
      <c r="CR321">
        <f t="shared" si="374"/>
        <v>0</v>
      </c>
      <c r="CS321">
        <f t="shared" si="375"/>
        <v>0.3</v>
      </c>
      <c r="CT321">
        <f t="shared" si="376"/>
        <v>0</v>
      </c>
      <c r="CU321">
        <f t="shared" si="377"/>
        <v>0</v>
      </c>
      <c r="CV321">
        <f t="shared" si="378"/>
        <v>0</v>
      </c>
      <c r="CW321">
        <f t="shared" si="379"/>
        <v>0.6</v>
      </c>
      <c r="CX321">
        <f t="shared" si="380"/>
        <v>0.56999999999999995</v>
      </c>
      <c r="CY321">
        <f t="shared" si="381"/>
        <v>2</v>
      </c>
      <c r="CZ321" t="str">
        <f t="shared" si="382"/>
        <v>L2</v>
      </c>
      <c r="DA321" cm="1">
        <f t="array" ref="DA321">IFERROR(IF(BL321=2,_xlfn.IFS(BH321=3,VLOOKUP(BF321,Справочная_двигатели,3,FALSE),BH321=1,VLOOKUP(BF321,Справочная_двигатели,5,TRUE)),0),0)</f>
        <v>0</v>
      </c>
      <c r="DB321">
        <f>IFERROR(IF(BL321=3,VLOOKUP(BF321,Справочная_ЛЭД,2,TRUE),0),0)</f>
        <v>0</v>
      </c>
      <c r="DC321">
        <f t="shared" si="383"/>
        <v>0</v>
      </c>
      <c r="DD321" t="str">
        <f t="shared" si="384"/>
        <v>L1</v>
      </c>
      <c r="DE321" t="str" cm="1">
        <f t="array" ref="DE321">IF(D321="","",IFERROR(INDEX({"I особая","I","II","III"},MATCH(TRIM(AA321&amp;""),{"I особая","I","II","III"},0)),"III"))</f>
        <v>I</v>
      </c>
      <c r="DF321" t="str">
        <f>IF(D321="","",IF(TRIM(AB321&amp;"")&lt;&gt;"",IF(LOWER(TRIM(AB321&amp;""))="да","да","нет"),IF(IFERROR(_xlfn.XLOOKUP(AT321,Коды_код,Коды_пожарная),"")="да","да","нет")))</f>
        <v>нет</v>
      </c>
      <c r="DG321" t="str">
        <f t="shared" si="385"/>
        <v/>
      </c>
      <c r="DH321" t="str">
        <f t="shared" si="386"/>
        <v>основная</v>
      </c>
      <c r="DI321">
        <f t="shared" si="387"/>
        <v>1</v>
      </c>
      <c r="DJ321" t="str" cm="1">
        <f t="array" ref="DJ321">IF(D321="","",_xlfn.LET(_xlpm.t,IFERROR(_xlfn.XLOOKUP(1,(Шины[Шина]=DH321)*(((Шины[Щит]=A321)+(Шины[Щит]=""))&gt;0),Шины[Тип]),"")&amp;"",IF(_xlpm.t&lt;&gt;"",_xlpm.t,IF(ISNUMBER(SEARCH("ИБП",DH321)),"ИБП",IF(ISNUMBER(SEARCH("ДГУ",DH321)),"ДГУ","Ввод "&amp;DI321)))))</f>
        <v>Ввод 1</v>
      </c>
      <c r="DK321" t="str">
        <f t="shared" si="388"/>
        <v>Ввод 1</v>
      </c>
      <c r="DL321" t="str">
        <f>IF(D321="","",IF(OR(DJ321="ИБП",DJ321="ДГУ"),"I особая",IF(DJ321="Одиночная","III",_xlfn.XLOOKUP(A321,Щиты[Щит],Щиты[Категория шины «Ввод»],"III"))))</f>
        <v>II</v>
      </c>
      <c r="DM321">
        <f>IF(D321="",0,IFERROR(MATCH(DE321,{"III","II","I","I особая"},0),1))</f>
        <v>3</v>
      </c>
      <c r="DN321">
        <f t="shared" si="389"/>
        <v>3</v>
      </c>
      <c r="DO321" t="str">
        <f>IF(D321="","",IF(DM321&gt;IFERROR(MATCH(DL321,{"III","II","I","I особая"},0),1),"НЕ ОБЕСПЕЧЕНА","ОК"))</f>
        <v>НЕ ОБЕСПЕЧЕНА</v>
      </c>
      <c r="DP321" t="str">
        <f>IF(A321="","",_xlfn.XLOOKUP(A321,Щиты[Щит],Щиты[Путь],""))</f>
        <v>|ГРЩ-ЖД|ЩС-ВК.001|</v>
      </c>
      <c r="DQ321" t="str">
        <f>IF(D321="","",IF(Z321&lt;&gt;"",Z321,IF(IFERROR(_xlfn.XLOOKUP(AT321,Коды_код,Коды_вид)&amp;"","")="","Прочее",_xlfn.XLOOKUP(AT321,Коды_код,Коды_вид)&amp;"")))</f>
        <v>Насосы (водоснабжение, дренаж)</v>
      </c>
      <c r="DR321">
        <f>IF(BD321="","",INT((BD321-1)/Столбцов_на_лист)+1)</f>
        <v>1</v>
      </c>
      <c r="DS321" t="str">
        <f t="shared" si="390"/>
        <v>ВВГнг(А)-LS (3х2,5) L=22-0,45%</v>
      </c>
      <c r="DT321">
        <f t="shared" si="391"/>
        <v>0.6</v>
      </c>
      <c r="DU321">
        <f t="shared" si="392"/>
        <v>2.7399999999999998</v>
      </c>
      <c r="DV321">
        <f t="shared" si="393"/>
        <v>1</v>
      </c>
      <c r="DW321">
        <f>IF(AT321="",0,_xlfn.LET(_xlpm.v,IFERROR(VLOOKUP(D321,УГО_спр,3,FALSE),IFERROR(VLOOKUP(AT321,УГО_спр,3,FALSE),IFERROR(VLOOKUP(LEFT(AT321,2),УГО_спр,3,FALSE),""))),IF(_xlpm.v="да",30,IF(ISNUMBER(_xlpm.v),_xlpm.v,0))))</f>
        <v>0</v>
      </c>
      <c r="DX321">
        <f t="shared" si="394"/>
        <v>0</v>
      </c>
      <c r="DY321">
        <f>IF(BD321="","",IF(AD321&lt;&gt;"",COUNTIFS(A$3:A321,A321,AD$3:AD321,"?*"),IF(OR(OR(AS321=1,A321&lt;&gt;A320),AL321="вручную"),"",IF(AS321=1,"",DZ320))))</f>
        <v>4</v>
      </c>
      <c r="DZ321">
        <f t="shared" si="395"/>
        <v>4</v>
      </c>
      <c r="EA321">
        <f>IF(D321="",0,MAX(IFERROR(--X321,0),IFERROR(--VLOOKUP(D321,УГО_спр,4,FALSE),IFERROR(--VLOOKUP(AT321,УГО_спр,4,FALSE),IFERROR(--VLOOKUP(LEFT(AT321,2),УГО_спр,4,FALSE),0)))))</f>
        <v>16</v>
      </c>
      <c r="EB321">
        <f>IF(D321="","",IFERROR(LOOKUP(INDEX(CHOOSE(BR321,Iдоп_1ж,Iдоп_2ж,Iдоп_3ж),MATCH(BS321,Iдоп_S,0))*BP321*BQ321,{6,10,16,20,25,32,40,50,63,80,100,125,160,200,250,315,400,500,630}),""))</f>
        <v>25</v>
      </c>
      <c r="EC321">
        <f>IF(AD321="","",SUMIFS(Линии[_Ток схемы],Линии[_гр.],DY321,Линии[Щит],A321,Линии[_в кабель выше],0))</f>
        <v>2.7399999999999998</v>
      </c>
      <c r="ED321">
        <f>IF(AD321="","",IFERROR(VLOOKUP(EC321,Автомат_номиналы,2,TRUE),""))</f>
        <v>6</v>
      </c>
      <c r="EE321">
        <f>IF(AD321="","",MAX(N(ED321),_xlfn.MAXIFS(Линии[_мин. по типу],Линии[_гр.],DY321,Линии[Щит],A321)))</f>
        <v>16</v>
      </c>
      <c r="EF321">
        <f>IF(AD321="","",_xlfn.MINIFS(Линии[_макс. автомат по кабелю],Линии[_гр.],DY321,Линии[Щит],A321))</f>
        <v>25</v>
      </c>
      <c r="EG321">
        <f>IF(AD321="","",MAX(1,_xlfn.MAXIFS(Линии[_фаз],Линии[_гр.],DY321,Линии[Щит],A321)))</f>
        <v>1</v>
      </c>
      <c r="EH321">
        <f>IF(AD321="","",IF(AND(AD321&lt;&gt;"авто",AD321&lt;&gt;"+"),IF(ISNUMBER(SEARCH("мА",AD321)),IFERROR(--TRIM(RIGHT(SUBSTITUTE(LEFT(AD321,SEARCH("мА",AD321)-1)," ",REPT(" ",9)),6)),30),0),IF(AE321="нет",0,IF(ISNUMBER(AE321),AE321,IF(AE321="да",30,_xlfn.MINIFS(Линии[_дифзащита по коду, мА],Линии[_гр.],DY321,Линии[Щит],A321,Линии[_дифзащита по коду, мА],"&gt;0"))))))</f>
        <v>0</v>
      </c>
      <c r="EI321">
        <f t="shared" si="396"/>
        <v>0</v>
      </c>
      <c r="EJ321" t="str">
        <f t="shared" si="397"/>
        <v>QF4</v>
      </c>
      <c r="EK321" t="str">
        <f t="shared" si="398"/>
        <v>QF4</v>
      </c>
      <c r="EL321" t="str">
        <f t="shared" si="399"/>
        <v/>
      </c>
      <c r="EM321">
        <f t="shared" si="400"/>
        <v>0</v>
      </c>
      <c r="EN321">
        <f>IF(AD321="","",IF(EM321=1,MAX(EE321,Мин_автомат_БП),EE321))</f>
        <v>16</v>
      </c>
      <c r="EO321" t="str">
        <f t="shared" si="401"/>
        <v>1P</v>
      </c>
      <c r="EP321" t="str">
        <f t="shared" si="402"/>
        <v>1P С16А</v>
      </c>
      <c r="EQ321">
        <f t="shared" si="403"/>
        <v>16</v>
      </c>
      <c r="ER321" t="str">
        <f>IF(OR(AI321="",AI321="-"),"",IFERROR(VLOOKUP(AI321,Модули_спр,2,FALSE),"R"))</f>
        <v/>
      </c>
      <c r="ES321" t="str">
        <f>IF(ER321="","",ER321&amp;"."&amp;COUNTIFS(A$3:A321,A321,ER$3:ER321,ER321))</f>
        <v/>
      </c>
      <c r="ET321" t="str">
        <f t="shared" si="404"/>
        <v/>
      </c>
      <c r="EU321" t="str">
        <f t="shared" si="405"/>
        <v/>
      </c>
      <c r="EV321" t="str">
        <f t="shared" si="406"/>
        <v/>
      </c>
      <c r="EW321" t="str">
        <f t="shared" si="407"/>
        <v/>
      </c>
      <c r="EX321">
        <f t="shared" si="408"/>
        <v>1</v>
      </c>
      <c r="EY321" t="str">
        <f>IF(AK321="нет","",IF(AK321&lt;&gt;"",AK321,IF(EX321=1,"XT"&amp;COUNTIFS(A$3:A321,A321,EX$3:EX321,1),"")))</f>
        <v>XT4</v>
      </c>
      <c r="EZ321" t="str">
        <f t="shared" si="409"/>
        <v>QF4</v>
      </c>
      <c r="FA321" t="str">
        <f t="shared" si="410"/>
        <v/>
      </c>
      <c r="FB321" t="str">
        <f t="shared" si="411"/>
        <v>ok</v>
      </c>
      <c r="FC321" t="str">
        <f>IF(OR(EV321="",ET321=""),"",IF(EV321&gt;IFERROR(VLOOKUP(EU321,Модули_спр,3,FALSE),99),"ЛИШНИЙ КАНАЛ",IF(AND(AJ321&lt;&gt;"=",COUNTIFS(Линии[_модуль гр.],ET321,Линии[Канал (итог)],EV321,Линии[Канал],"&lt;&gt;=",Линии[Щит],A321)&gt;1),"ДУБЛЬ КАНАЛА","")))</f>
        <v/>
      </c>
      <c r="FD321">
        <f t="shared" si="412"/>
        <v>16</v>
      </c>
      <c r="FE321" t="str">
        <f t="shared" si="413"/>
        <v>1P С16А</v>
      </c>
      <c r="FF321">
        <f t="shared" si="414"/>
        <v>0</v>
      </c>
      <c r="FG321">
        <f t="shared" si="415"/>
        <v>0</v>
      </c>
      <c r="FH321" t="str">
        <f t="shared" si="416"/>
        <v/>
      </c>
      <c r="FI321">
        <f t="shared" si="417"/>
        <v>10</v>
      </c>
      <c r="FJ321" t="str">
        <f t="shared" si="418"/>
        <v/>
      </c>
      <c r="FK321" t="str">
        <f>IF(AND(D321="",EZ321=""),"",_xlfn.TEXTJOIN("; ",TRUE,IF(AND(D321&lt;&gt;"",DD321=""),"нет фазы",""),IF(AND(D321&lt;&gt;"",N(DT321)=0,CN321&lt;&gt;"Нет"),"нет мощности",""),IF(AND(EY321&lt;&gt;"",COUNTIFS(Линии[Щит],A321,Линии[Клемма (итог)],EY321)&gt;1),"дубль клеммы "&amp;EY321,""),IF(AND(FB321&lt;&gt;"",FB321&lt;&gt;"ok"),FB321,""),IF(FC321&lt;&gt;"",FC321,""),IF(AND(ISNUMBER(SEARCH("(5х",DS321)),N(DV321)=1),"5 жил на 1 фазе",""),IF(AND(AT321="R",AD321&lt;&gt;"",OR(N(EH321)=0,N(EH321)&gt;30)),"розетка без дифзащиты до 30 мА",""),IFERROR(IF(AND(ISNUMBER(CD321),CD321&gt;CE321),"потери "&amp;FIXED(CD321,1)&amp;" % &gt; "&amp;CE321&amp;" %",""),""),IFERROR(IF(LEFT(FJ321,4)="мало","Iкз мало — отключение &gt; 0,4 с",""),""),IF(AND(D321&lt;&gt;"",BD321=""),"не на схеме","")))</f>
        <v/>
      </c>
      <c r="FL321">
        <f>IF(AD321="","",_xlfn.LET(_xlpm.t,IFERROR(_xlfn.XLOOKUP(EP321,Каталог!$U$4:$U$500,Каталог!$G$4:$G$500),""),_xlpm.k,SEARCH("кА",_xlpm.t),IFERROR(--TRIM(RIGHT(SUBSTITUTE(MID(_xlpm.t,MAX(1,_xlpm.k-4),_xlpm.k-MAX(1,_xlpm.k-4))," ",REPT(" ",9)),5)),"")))</f>
        <v>6</v>
      </c>
      <c r="FM321" t="str">
        <f>IF(OR(FL321="",AD321=""),"",IF(_xlfn.XLOOKUP(A321,Щиты[Щит],Щиты[Iкз max на шинах, кА],"")="","",IF(FL321&lt;_xlfn.XLOOKUP(A321,Щиты[Щит],Щиты[Iкз max на шинах, кА]),"Icu "&amp;FL321&amp;" кА &lt; Iкз max","ok")))</f>
        <v/>
      </c>
      <c r="FN321" t="str">
        <f t="shared" si="419"/>
        <v>QF4|XT4</v>
      </c>
      <c r="FO321" t="str">
        <f t="shared" si="420"/>
        <v>QF4|XT4|кабель ВВГнг(А)-LS (3х2,5) → Насос дренажный Подвальный этаж Пом. №005Т</v>
      </c>
      <c r="FP321" t="str" cm="1">
        <f t="array" ref="FP321">IF(FO321="","",_xlfn.LET(_xlpm.nd,_xlfn.TEXTSPLIT(FO321,"|"),IF(COLUMNS(_xlpm.nd)&gt;1,A321&amp;"¦"&amp;INDEX(_xlpm.nd,1)&amp;"¦"&amp;INDEX(_xlpm.nd,2),"")))</f>
        <v>ЩС-ВК.001¦QF4¦XT4</v>
      </c>
      <c r="FQ321" t="str">
        <f t="shared" si="421"/>
        <v>НВК.00.005Т.3¦Насос дренажный Подвальный этаж Пом. №005Т</v>
      </c>
      <c r="FR321" t="str" cm="1">
        <f t="array" ref="FR321">IF(FO321="","",_xlfn.LET(_xlpm.nd,_xlfn.TEXTSPLIT(FO321,"|"),IF(COLUMNS(_xlpm.nd)&gt;2,A321&amp;"¦"&amp;INDEX(_xlpm.nd,2)&amp;"¦"&amp;INDEX(_xlpm.nd,3),"")))</f>
        <v>ЩС-ВК.001¦XT4¦кабель ВВГнг(А)-LS (3х2,5) → Насос дренажный Подвальный этаж Пом. №005Т</v>
      </c>
      <c r="FS321" t="str">
        <f t="shared" si="422"/>
        <v>НВК.00.005Т.3¦Насос дренажный Подвальный этаж Пом. №005Т</v>
      </c>
      <c r="FT321" t="str" cm="1">
        <f t="array" ref="FT321">IF(FO321="","",_xlfn.LET(_xlpm.nd,_xlfn.TEXTSPLIT(FO321,"|"),IF(COLUMNS(_xlpm.nd)&gt;3,A321&amp;"¦"&amp;INDEX(_xlpm.nd,3)&amp;"¦"&amp;INDEX(_xlpm.nd,4),"")))</f>
        <v/>
      </c>
      <c r="FU321" t="str">
        <f t="shared" si="423"/>
        <v/>
      </c>
      <c r="FV321" t="str" cm="1">
        <f t="array" ref="FV321">IF(FO321="","",_xlfn.LET(_xlpm.nd,_xlfn.TEXTSPLIT(FO321,"|"),IF(COLUMNS(_xlpm.nd)&gt;4,A321&amp;"¦"&amp;INDEX(_xlpm.nd,4)&amp;"¦"&amp;INDEX(_xlpm.nd,5),"")))</f>
        <v/>
      </c>
      <c r="FW321" t="str">
        <f t="shared" si="424"/>
        <v/>
      </c>
      <c r="FX321" t="str" cm="1">
        <f t="array" ref="FX321">IF(FO321="","",_xlfn.LET(_xlpm.nd,_xlfn.TEXTSPLIT(FO321,"|"),IF(COLUMNS(_xlpm.nd)&gt;5,A321&amp;"¦"&amp;INDEX(_xlpm.nd,5)&amp;"¦"&amp;INDEX(_xlpm.nd,6),"")))</f>
        <v/>
      </c>
      <c r="FY321" t="str">
        <f t="shared" si="425"/>
        <v/>
      </c>
      <c r="FZ321" t="str" cm="1">
        <f t="array" ref="FZ321">IF(FO321="","",_xlfn.LET(_xlpm.nd,_xlfn.TEXTSPLIT(FO321,"|"),IF(COLUMNS(_xlpm.nd)&gt;6,A321&amp;"¦"&amp;INDEX(_xlpm.nd,6)&amp;"¦"&amp;INDEX(_xlpm.nd,7),"")))</f>
        <v/>
      </c>
      <c r="GA321" t="str">
        <f t="shared" si="426"/>
        <v/>
      </c>
      <c r="GB321" t="str">
        <f t="shared" si="427"/>
        <v/>
      </c>
      <c r="GC321" t="str">
        <f t="shared" si="428"/>
        <v>QF4 → XT4</v>
      </c>
      <c r="GD321">
        <f t="shared" si="429"/>
        <v>1</v>
      </c>
      <c r="GE321">
        <f t="shared" si="430"/>
        <v>0</v>
      </c>
      <c r="GF321">
        <f t="shared" si="431"/>
        <v>0</v>
      </c>
      <c r="GG321" t="str">
        <f t="shared" si="432"/>
        <v/>
      </c>
      <c r="GH321" t="str">
        <f t="shared" si="433"/>
        <v/>
      </c>
      <c r="GI321" t="str">
        <f t="shared" si="434"/>
        <v/>
      </c>
      <c r="GJ321" t="str">
        <f t="shared" si="435"/>
        <v/>
      </c>
      <c r="GK321">
        <f>IF(D321="","",IFERROR(VLOOKUP(D321,УГО_спр,2,FALSE),IFERROR(VLOOKUP(AT321,УГО_спр,2,FALSE),IFERROR(VLOOKUP(LEFT(AT321,2),УГО_спр,2,FALSE),""))))</f>
        <v>0</v>
      </c>
      <c r="GL321" t="str">
        <f>IF(D321="","",IF(OR(GK321="",GK321=0),"BOX",IFERROR(IF(VLOOKUP(GK321,УГО_блоки,3,FALSE)&amp;""&lt;&gt;"",VLOOKUP(GK321,УГО_блоки,3,FALSE),VLOOKUP(GK321,УГО_блоки,2,FALSE)),GK321)))</f>
        <v>BOX</v>
      </c>
      <c r="GM321">
        <f t="shared" si="436"/>
        <v>1</v>
      </c>
      <c r="GN321" t="str">
        <f>IF(EP321="","",IF(COUNTIF(EP$3:EP321,EP321)=1,MAX(GN$2:GN320)+1,""))</f>
        <v/>
      </c>
      <c r="GO321" t="str">
        <f>IF(AF321="","",IF(COUNTIF(AF$3:AF321,AF321)+COUNTIF(AG$2:AG320,AF321)+COUNTIF(AH$2:AH320,AF321)=1,MAX(GO$2:GQ320)+1,""))</f>
        <v/>
      </c>
      <c r="GP321" t="str">
        <f>IF(AG321="","",IF(COUNTIF(AF$3:AF321,AG321)+COUNTIF(AG$3:AG321,AG321)+COUNTIF(AH$2:AH320,AG321)=1,MAX(GO$2:GQ320,GO321)+1,""))</f>
        <v/>
      </c>
      <c r="GQ321" t="str">
        <f>IF(AH321="","",IF(COUNTIF(AF$3:AF321,AH321)+COUNTIF(AG$3:AG321,AH321)+COUNTIF(AH$3:AH321,AH321)=1,MAX(GO$2:GQ320,GO321,GP321)+1,""))</f>
        <v/>
      </c>
      <c r="GR321" t="str">
        <f t="shared" si="437"/>
        <v>3х2,5</v>
      </c>
      <c r="GS321" t="str">
        <f>IF(GR321="","",IF(COUNTIF(GR$3:GR321,GR321)=1,MAX(GS$2:GS320)+1,""))</f>
        <v/>
      </c>
      <c r="GT321" t="str">
        <f>IF(ES321="","",COUNTIF(ES$3:ES321,"?*"))</f>
        <v/>
      </c>
      <c r="GU321" t="str">
        <f>IF(OR(ES321="",EU321=""),"",IF(COUNTIFS(ES$3:ES321,"?*",EU$3:EU321,EU321)=1,MAX(GU$2:GU320)+1,""))</f>
        <v/>
      </c>
      <c r="GV321">
        <f t="shared" si="438"/>
        <v>0</v>
      </c>
      <c r="GW321">
        <f>IF(D321="","",COUNTIF(D$3:D321,"?*"))</f>
        <v>319</v>
      </c>
      <c r="GX321">
        <f>IF(EX321&lt;&gt;1,0,_xlfn.LET(_xlpm.k,MAX(IFERROR(--VLOOKUP(D321,УГО_спр,5,FALSE),0),IFERROR(--VLOOKUP(AT321,УГО_спр,5,FALSE),0),IFERROR(--VLOOKUP(LEFT(AT321,2),УГО_спр,5,FALSE),0)),IF(_xlpm.k&gt;0,_xlpm.k,IF(IFERROR(--LEFT(SUBSTITUTE(GR321,"x","х"),FIND("х",SUBSTITUTE(GR321,"x","х"))-1),3)&gt;3,Каталог!$S$9,1))))</f>
        <v>1</v>
      </c>
      <c r="GY321">
        <f t="shared" si="439"/>
        <v>0</v>
      </c>
    </row>
    <row r="322" spans="1:207" x14ac:dyDescent="0.3">
      <c r="A322" t="s">
        <v>768</v>
      </c>
      <c r="B322">
        <v>14</v>
      </c>
      <c r="C322" t="str">
        <f>IF(BD322="","",IF(BE322="вводной узел","узел ","")&amp;"л."&amp;(INT((BD322-1)/Столбцов_на_лист)+1)&amp;" / "&amp;(MOD(BD322-1,Столбцов_на_лист)+1))</f>
        <v>л.1 / 14</v>
      </c>
      <c r="D322" t="s">
        <v>1659</v>
      </c>
      <c r="E322" s="133" t="str">
        <f t="shared" si="352"/>
        <v>Насос дренажный Подвальный этаж Пом. №005Т</v>
      </c>
      <c r="G322">
        <v>0.6</v>
      </c>
      <c r="H322">
        <v>1</v>
      </c>
      <c r="I322">
        <v>1</v>
      </c>
      <c r="J322">
        <v>230</v>
      </c>
      <c r="K322" t="s">
        <v>602</v>
      </c>
      <c r="L322">
        <v>0.5</v>
      </c>
      <c r="O322">
        <v>1</v>
      </c>
      <c r="P322">
        <v>11</v>
      </c>
      <c r="Q322">
        <v>1</v>
      </c>
      <c r="R322">
        <v>10</v>
      </c>
      <c r="S322">
        <v>0</v>
      </c>
      <c r="T322">
        <v>1</v>
      </c>
      <c r="U322" t="s">
        <v>11</v>
      </c>
      <c r="V322">
        <v>3</v>
      </c>
      <c r="W322">
        <v>2.5</v>
      </c>
      <c r="X322">
        <v>16</v>
      </c>
      <c r="Z322" t="s">
        <v>608</v>
      </c>
      <c r="AA322" t="s">
        <v>866</v>
      </c>
      <c r="AD322" t="s">
        <v>517</v>
      </c>
      <c r="AR322" t="str">
        <f t="shared" si="353"/>
        <v>категория I не обеспечена (есть II)</v>
      </c>
      <c r="AS322" cm="1">
        <f t="array" ref="AS322">ROW()-ROW(Линии[#Headers])</f>
        <v>320</v>
      </c>
      <c r="AT322" t="str">
        <f t="shared" si="354"/>
        <v>НВК</v>
      </c>
      <c r="AU322" t="str">
        <f t="shared" si="355"/>
        <v>00.005Т.1</v>
      </c>
      <c r="AV322" t="str">
        <f t="shared" si="356"/>
        <v>00</v>
      </c>
      <c r="AW322" t="str">
        <f t="shared" si="357"/>
        <v>005Т.1</v>
      </c>
      <c r="AX322" t="str">
        <f t="shared" si="358"/>
        <v>005Т</v>
      </c>
      <c r="AY322" t="str">
        <f>IF(D322="","",IF(ISERROR(SEARCH(".",D322)),IFERROR(VLOOKUP(D322,Потребители_обозначение,2,FALSE)&amp;"",""),IFERROR(IF(VLOOKUP(AT322,Потребители_обозначение,4,FALSE)=1,VLOOKUP(AT322,Потребители_обозначение,2,FALSE)&amp;" "&amp;VLOOKUP(AV322,Этаж_обозначение,2,FALSE)&amp;" Пом. №"&amp;AX322,VLOOKUP(AT322,Потребители_обозначение,2,FALSE)&amp;" Шлейф №"&amp;AV322),IFERROR(VLOOKUP(D322,Потребители_обозначение,2,FALSE),""))))</f>
        <v>Насос дренажный Подвальный этаж Пом. №005Т</v>
      </c>
      <c r="AZ322" t="str">
        <f t="shared" si="359"/>
        <v>Насос дренажный Подвальный этаж Пом. №005Т</v>
      </c>
      <c r="BA322" t="str">
        <f>IF(F322&lt;&gt;"",F322,IF(AND(D322&lt;&gt;"",D322&lt;&gt;A322,ISNUMBER(_xlfn.XMATCH(D322,Щиты[Щит]))),D322,""))</f>
        <v/>
      </c>
      <c r="BB322">
        <f>IFERROR(_xlfn.XMATCH(A322,Щиты[Щит]),0)</f>
        <v>13</v>
      </c>
      <c r="BC322">
        <f>IFERROR(N(_xlfn.XLOOKUP(A322,Щиты[Щит],Щиты[Мест под вводной узел])),15)</f>
        <v>9</v>
      </c>
      <c r="BD322">
        <f t="shared" si="360"/>
        <v>14</v>
      </c>
      <c r="BE322" t="str">
        <f t="shared" si="361"/>
        <v>линии</v>
      </c>
      <c r="BF322">
        <f>IF(D322="","",IF(BA322&lt;&gt;"",IFERROR(_xlfn.XLOOKUP(BA322,Щиты[Щит],Щиты[Руст, кВт]),0),N(G322)))</f>
        <v>0.6</v>
      </c>
      <c r="BG322">
        <f>IF(J322&lt;&gt;"",J322,IF(D322="","",IFERROR(IF(VLOOKUP(AT322,Потребители_обозначение,8,FALSE)=0,"",VLOOKUP(AT322,Потребители_обозначение,8,FALSE)),"")))</f>
        <v>230</v>
      </c>
      <c r="BH322">
        <f>IF(I322&lt;&gt;"",I322,IF(D322="","",IFERROR(IF(VLOOKUP(AT322,Потребители_обозначение,9,FALSE)=0,"",VLOOKUP(AT322,Потребители_обозначение,9,FALSE)),"")))</f>
        <v>1</v>
      </c>
      <c r="BI322" t="str">
        <f>IF(U322&lt;&gt;"",U322,IF(D322="","",IFERROR(IF(VLOOKUP(AT322,Потребители_обозначение,6,FALSE)=0,"",VLOOKUP(AT322,Потребители_обозначение,6,FALSE)),"")))</f>
        <v>мс</v>
      </c>
      <c r="BJ322">
        <f>IF(V322&lt;&gt;"",V322,IF(D322="","",IFERROR(IF(VLOOKUP(AT322,Потребители_обозначение,7,FALSE)=0,"",VLOOKUP(AT322,Потребители_обозначение,7,FALSE)),"")))</f>
        <v>3</v>
      </c>
      <c r="BK322">
        <f>IF(W322&lt;&gt;"",W322,IF(D322="","",IFERROR(IF(VLOOKUP(AT322,Потребители_обозначение,10,FALSE)=0,"",VLOOKUP(AT322,Потребители_обозначение,10,FALSE)),"")))</f>
        <v>2.5</v>
      </c>
      <c r="BL322">
        <f>IFERROR(VLOOKUP(AT322,Потребители_обозначение,5,FALSE),0)</f>
        <v>1</v>
      </c>
      <c r="BM322" cm="1">
        <f t="array" ref="BM322">IF(D322="","",IF(BA322&lt;&gt;"",IFERROR(_xlfn.XLOOKUP(BA322,Щиты[Щит],Щиты[cos φ]),0.95),IF(ISNUMBER(M322),M322,IFERROR(IF(BL322=2,_xlfn.IFS(BH322=3,VLOOKUP(BF322,Справочная_двигатели,8,FALSE),BH322=1,VLOOKUP(BF322,Справочная_двигатели,10,TRUE)),IF(AND(Методика="нормы 2026",CN322="Сил"),0.8,0.95)),0.95))))</f>
        <v>0.95</v>
      </c>
      <c r="BN322" cm="1">
        <f t="array" ref="BN322">IF(D322="","",IF(BA322&lt;&gt;"",IFERROR(_xlfn.XLOOKUP(BA322,Щиты[Щит],Щиты[Iр, А]),""),IFERROR(_xlfn.IFS(BH322=1,BF322/((Uн_лин/SQRT(3))*BM322),BH322=3,BF322/(SQRT(3)*Uн_лин*BM322)),"")))</f>
        <v>2.7348170645824377</v>
      </c>
      <c r="BO322">
        <f>IF(D322="","",IF(N(X322)=0,IFERROR(VLOOKUP(BN322,Автомат_номиналы,2,TRUE),""),X322))</f>
        <v>16</v>
      </c>
      <c r="BP322">
        <f t="shared" si="362"/>
        <v>1</v>
      </c>
      <c r="BQ322">
        <f>IF(ISNUMBER(Y322),Y322,К_прокл)</f>
        <v>1</v>
      </c>
      <c r="BR322">
        <f t="shared" si="363"/>
        <v>2</v>
      </c>
      <c r="BS322" cm="1">
        <f t="array" ref="BS322">IF(D322="","",IF(N(BK322)&lt;&gt;0,BK322,IFERROR(_xlfn.LET(_xlpm.need,BO322/(BP322*BQ322),_xlpm.t,CHOOSE(BR322,Iдоп_1ж,Iдоп_2ж,Iдоп_3ж),_xlpm.k,_xlfn.XMATCH(_xlpm.need,_xlpm.t,1),IF(ISNA(_xlpm.k),"Не исп",INDEX(Iдоп_S,_xlpm.k))),"Не исп")))</f>
        <v>2.5</v>
      </c>
      <c r="BT322">
        <f>IFERROR(VLOOKUP(BS322,Кабель_сопротивление,3,FALSE),"")</f>
        <v>2.2499999999999999E-2</v>
      </c>
      <c r="BU322">
        <f>IFERROR(VLOOKUP(BS322,Кабель_сопротивление,2,FALSE),"")</f>
        <v>0.1</v>
      </c>
      <c r="BV322">
        <f t="shared" si="364"/>
        <v>11</v>
      </c>
      <c r="BW322">
        <f>IF(D322="","",IFERROR(IF(VLOOKUP(AT322,Потребители_обозначение,4,FALSE)=1,VLOOKUP(AT322,Потребители_обозначение,3,FALSE)*(H322*2-1)+BV322+VLOOKUP(AV322,Этаж_обозначение,3,FALSE)+VLOOKUP(AV322,Этаж_обозначение,4,FALSE),VLOOKUP(AT322,Потребители_обозначение,3,FALSE)*(H322*2-1)+BV322),BV322))</f>
        <v>14</v>
      </c>
      <c r="BX322">
        <f t="shared" si="365"/>
        <v>10</v>
      </c>
      <c r="BY322">
        <f t="shared" si="366"/>
        <v>0</v>
      </c>
      <c r="BZ322">
        <f t="shared" si="367"/>
        <v>2</v>
      </c>
      <c r="CA322">
        <f t="shared" si="368"/>
        <v>0.31</v>
      </c>
      <c r="CB322">
        <f t="shared" si="369"/>
        <v>0.6570890264730932</v>
      </c>
      <c r="CC322">
        <f>IFERROR(ROUNDUP(CB322/((Uн_лин/SQRT(3))*1000)*100,2),"")</f>
        <v>0.29000000000000004</v>
      </c>
      <c r="CD322">
        <f>IF(ISNUMBER(CC322),CC322+IFERROR(_xlfn.XLOOKUP(A322,Щиты[Щит],Щиты[ΔU до шин, %]),0),"")</f>
        <v>2.1799999999999997</v>
      </c>
      <c r="CE322">
        <f>IF(D322="","",IF(IFERROR(VLOOKUP(AT322,УГО_спр,2,FALSE),"")="Светильник",3,4)+IF(Методика="нормы 2026",MIN(0.5,MAX(0,N(BW322)-100)*0.005),0))</f>
        <v>4</v>
      </c>
      <c r="CF322" t="str">
        <f>IFERROR(VLOOKUP(BI322,Кабель_обозначение,2,FALSE),"")</f>
        <v>ВВГнг(А)-LS</v>
      </c>
      <c r="CG322" t="str">
        <f>IFERROR(IF(VLOOKUP(BI322,Кабель_обозначение,3,FALSE)=1,CF322&amp;" ("&amp;BJ322&amp;"х"&amp;BS322&amp;")",CF322),"")</f>
        <v>ВВГнг(А)-LS (3х2,5)</v>
      </c>
      <c r="CH322" t="str">
        <f t="shared" si="370"/>
        <v>ВВГнг(А)-LS (3х2,5)
L=14-0,29%</v>
      </c>
      <c r="CI322">
        <f>IFERROR(2*ρкз_Cu*BW322/BS322,"")</f>
        <v>0.29456000000000004</v>
      </c>
      <c r="CJ322">
        <f t="shared" si="371"/>
        <v>9.8000000000000004E-2</v>
      </c>
      <c r="CK322" t="str">
        <f>IFERROR(IF(OR(D322="",NOT(ISNUMBER(BS322)),N(BW322)=0),"",_xlfn.XLOOKUP(A322,Щиты[Щит],Щиты[Zпетли на шинах, Ом])+CI322),"")</f>
        <v/>
      </c>
      <c r="CL322" t="str">
        <f>IF(ISNUMBER(CK322),c_min*(Uн_лин*1000/SQRT(3))/CK322,"")</f>
        <v/>
      </c>
      <c r="CM322" t="str">
        <f>IFERROR(IF(OR(D322="",NOT(ISNUMBER(BS322))),"",1.05*(Uн_лин*1000/SQRT(3))/(_xlfn.XLOOKUP(A322,Щиты[Щит],Щиты[Zmax на шинах, Ом])+CJ322)/1000),"")</f>
        <v/>
      </c>
      <c r="CN322" t="str">
        <f>IF(D322="","",IF(BA322&lt;&gt;"","Щит",IF(K322&lt;&gt;"",K322,IF(ISNUMBER(L322),"Сил",IF(IFERROR(_xlfn.XLOOKUP(AT322,Коды_код,Коды_группа)&amp;"","")="","Быт",_xlfn.XLOOKUP(AT322,Коды_код,Коды_группа)&amp;"")))))</f>
        <v>Сил</v>
      </c>
      <c r="CO322">
        <f>IF(CN322="Щит","щит",IF(CN322="","",IF(CN322="Быт",IFERROR(_xlfn.XLOOKUP(A322,Щиты[Щит],Щиты[Кс быт]),1),IF(CN322="Сил",IF(ISNUMBER(L322),L322,IF(Методика="нормы 2026",IFERROR(_xlfn.XLOOKUP(A322,Щиты[Щит],Щиты[Кс силовых (табл. 7.5)]),1),1)),IF(OR(CN322="Пост",CN322="Отоп"),1,IF(CN322="ВНГ",0.7,0))))))</f>
        <v>0.5</v>
      </c>
      <c r="CP322">
        <f t="shared" si="372"/>
        <v>1</v>
      </c>
      <c r="CQ322">
        <f t="shared" si="373"/>
        <v>0.6</v>
      </c>
      <c r="CR322">
        <f t="shared" si="374"/>
        <v>0</v>
      </c>
      <c r="CS322">
        <f t="shared" si="375"/>
        <v>0.3</v>
      </c>
      <c r="CT322">
        <f t="shared" si="376"/>
        <v>0</v>
      </c>
      <c r="CU322">
        <f t="shared" si="377"/>
        <v>0</v>
      </c>
      <c r="CV322">
        <f t="shared" si="378"/>
        <v>0</v>
      </c>
      <c r="CW322">
        <f t="shared" si="379"/>
        <v>0.6</v>
      </c>
      <c r="CX322">
        <f t="shared" si="380"/>
        <v>0.56999999999999995</v>
      </c>
      <c r="CY322">
        <f t="shared" si="381"/>
        <v>3</v>
      </c>
      <c r="CZ322" t="str">
        <f t="shared" si="382"/>
        <v>L3</v>
      </c>
      <c r="DA322" cm="1">
        <f t="array" ref="DA322">IFERROR(IF(BL322=2,_xlfn.IFS(BH322=3,VLOOKUP(BF322,Справочная_двигатели,3,FALSE),BH322=1,VLOOKUP(BF322,Справочная_двигатели,5,TRUE)),0),0)</f>
        <v>0</v>
      </c>
      <c r="DB322">
        <f>IFERROR(IF(BL322=3,VLOOKUP(BF322,Справочная_ЛЭД,2,TRUE),0),0)</f>
        <v>0</v>
      </c>
      <c r="DC322">
        <f t="shared" si="383"/>
        <v>0</v>
      </c>
      <c r="DD322" t="str">
        <f t="shared" si="384"/>
        <v>L1</v>
      </c>
      <c r="DE322" t="str" cm="1">
        <f t="array" ref="DE322">IF(D322="","",IFERROR(INDEX({"I особая","I","II","III"},MATCH(TRIM(AA322&amp;""),{"I особая","I","II","III"},0)),"III"))</f>
        <v>I</v>
      </c>
      <c r="DF322" t="str">
        <f>IF(D322="","",IF(TRIM(AB322&amp;"")&lt;&gt;"",IF(LOWER(TRIM(AB322&amp;""))="да","да","нет"),IF(IFERROR(_xlfn.XLOOKUP(AT322,Коды_код,Коды_пожарная),"")="да","да","нет")))</f>
        <v>нет</v>
      </c>
      <c r="DG322" t="str">
        <f t="shared" si="385"/>
        <v/>
      </c>
      <c r="DH322" t="str">
        <f t="shared" si="386"/>
        <v>основная</v>
      </c>
      <c r="DI322">
        <f t="shared" si="387"/>
        <v>1</v>
      </c>
      <c r="DJ322" t="str" cm="1">
        <f t="array" ref="DJ322">IF(D322="","",_xlfn.LET(_xlpm.t,IFERROR(_xlfn.XLOOKUP(1,(Шины[Шина]=DH322)*(((Шины[Щит]=A322)+(Шины[Щит]=""))&gt;0),Шины[Тип]),"")&amp;"",IF(_xlpm.t&lt;&gt;"",_xlpm.t,IF(ISNUMBER(SEARCH("ИБП",DH322)),"ИБП",IF(ISNUMBER(SEARCH("ДГУ",DH322)),"ДГУ","Ввод "&amp;DI322)))))</f>
        <v>Ввод 1</v>
      </c>
      <c r="DK322" t="str">
        <f t="shared" si="388"/>
        <v>Ввод 1</v>
      </c>
      <c r="DL322" t="str">
        <f>IF(D322="","",IF(OR(DJ322="ИБП",DJ322="ДГУ"),"I особая",IF(DJ322="Одиночная","III",_xlfn.XLOOKUP(A322,Щиты[Щит],Щиты[Категория шины «Ввод»],"III"))))</f>
        <v>II</v>
      </c>
      <c r="DM322">
        <f>IF(D322="",0,IFERROR(MATCH(DE322,{"III","II","I","I особая"},0),1))</f>
        <v>3</v>
      </c>
      <c r="DN322">
        <f t="shared" si="389"/>
        <v>3</v>
      </c>
      <c r="DO322" t="str">
        <f>IF(D322="","",IF(DM322&gt;IFERROR(MATCH(DL322,{"III","II","I","I особая"},0),1),"НЕ ОБЕСПЕЧЕНА","ОК"))</f>
        <v>НЕ ОБЕСПЕЧЕНА</v>
      </c>
      <c r="DP322" t="str">
        <f>IF(A322="","",_xlfn.XLOOKUP(A322,Щиты[Щит],Щиты[Путь],""))</f>
        <v>|ГРЩ-ЖД|ЩС-ВК.001|</v>
      </c>
      <c r="DQ322" t="str">
        <f>IF(D322="","",IF(Z322&lt;&gt;"",Z322,IF(IFERROR(_xlfn.XLOOKUP(AT322,Коды_код,Коды_вид)&amp;"","")="","Прочее",_xlfn.XLOOKUP(AT322,Коды_код,Коды_вид)&amp;"")))</f>
        <v>Насосы (водоснабжение, дренаж)</v>
      </c>
      <c r="DR322">
        <f>IF(BD322="","",INT((BD322-1)/Столбцов_на_лист)+1)</f>
        <v>1</v>
      </c>
      <c r="DS322" t="str">
        <f t="shared" si="390"/>
        <v>ВВГнг(А)-LS (3х2,5) L=14-0,29%</v>
      </c>
      <c r="DT322">
        <f t="shared" si="391"/>
        <v>0.6</v>
      </c>
      <c r="DU322">
        <f t="shared" si="392"/>
        <v>2.7399999999999998</v>
      </c>
      <c r="DV322">
        <f t="shared" si="393"/>
        <v>1</v>
      </c>
      <c r="DW322">
        <f>IF(AT322="",0,_xlfn.LET(_xlpm.v,IFERROR(VLOOKUP(D322,УГО_спр,3,FALSE),IFERROR(VLOOKUP(AT322,УГО_спр,3,FALSE),IFERROR(VLOOKUP(LEFT(AT322,2),УГО_спр,3,FALSE),""))),IF(_xlpm.v="да",30,IF(ISNUMBER(_xlpm.v),_xlpm.v,0))))</f>
        <v>0</v>
      </c>
      <c r="DX322">
        <f t="shared" si="394"/>
        <v>0</v>
      </c>
      <c r="DY322">
        <f>IF(BD322="","",IF(AD322&lt;&gt;"",COUNTIFS(A$3:A322,A322,AD$3:AD322,"?*"),IF(OR(OR(AS322=1,A322&lt;&gt;A321),AL322="вручную"),"",IF(AS322=1,"",DZ321))))</f>
        <v>5</v>
      </c>
      <c r="DZ322">
        <f t="shared" si="395"/>
        <v>5</v>
      </c>
      <c r="EA322">
        <f>IF(D322="",0,MAX(IFERROR(--X322,0),IFERROR(--VLOOKUP(D322,УГО_спр,4,FALSE),IFERROR(--VLOOKUP(AT322,УГО_спр,4,FALSE),IFERROR(--VLOOKUP(LEFT(AT322,2),УГО_спр,4,FALSE),0)))))</f>
        <v>16</v>
      </c>
      <c r="EB322">
        <f>IF(D322="","",IFERROR(LOOKUP(INDEX(CHOOSE(BR322,Iдоп_1ж,Iдоп_2ж,Iдоп_3ж),MATCH(BS322,Iдоп_S,0))*BP322*BQ322,{6,10,16,20,25,32,40,50,63,80,100,125,160,200,250,315,400,500,630}),""))</f>
        <v>25</v>
      </c>
      <c r="EC322">
        <f>IF(AD322="","",SUMIFS(Линии[_Ток схемы],Линии[_гр.],DY322,Линии[Щит],A322,Линии[_в кабель выше],0))</f>
        <v>2.7399999999999998</v>
      </c>
      <c r="ED322">
        <f>IF(AD322="","",IFERROR(VLOOKUP(EC322,Автомат_номиналы,2,TRUE),""))</f>
        <v>6</v>
      </c>
      <c r="EE322">
        <f>IF(AD322="","",MAX(N(ED322),_xlfn.MAXIFS(Линии[_мин. по типу],Линии[_гр.],DY322,Линии[Щит],A322)))</f>
        <v>16</v>
      </c>
      <c r="EF322">
        <f>IF(AD322="","",_xlfn.MINIFS(Линии[_макс. автомат по кабелю],Линии[_гр.],DY322,Линии[Щит],A322))</f>
        <v>25</v>
      </c>
      <c r="EG322">
        <f>IF(AD322="","",MAX(1,_xlfn.MAXIFS(Линии[_фаз],Линии[_гр.],DY322,Линии[Щит],A322)))</f>
        <v>1</v>
      </c>
      <c r="EH322">
        <f>IF(AD322="","",IF(AND(AD322&lt;&gt;"авто",AD322&lt;&gt;"+"),IF(ISNUMBER(SEARCH("мА",AD322)),IFERROR(--TRIM(RIGHT(SUBSTITUTE(LEFT(AD322,SEARCH("мА",AD322)-1)," ",REPT(" ",9)),6)),30),0),IF(AE322="нет",0,IF(ISNUMBER(AE322),AE322,IF(AE322="да",30,_xlfn.MINIFS(Линии[_дифзащита по коду, мА],Линии[_гр.],DY322,Линии[Щит],A322,Линии[_дифзащита по коду, мА],"&gt;0"))))))</f>
        <v>0</v>
      </c>
      <c r="EI322">
        <f t="shared" si="396"/>
        <v>0</v>
      </c>
      <c r="EJ322" t="str">
        <f t="shared" si="397"/>
        <v>QF5</v>
      </c>
      <c r="EK322" t="str">
        <f t="shared" si="398"/>
        <v>QF5</v>
      </c>
      <c r="EL322" t="str">
        <f t="shared" si="399"/>
        <v/>
      </c>
      <c r="EM322">
        <f t="shared" si="400"/>
        <v>0</v>
      </c>
      <c r="EN322">
        <f>IF(AD322="","",IF(EM322=1,MAX(EE322,Мин_автомат_БП),EE322))</f>
        <v>16</v>
      </c>
      <c r="EO322" t="str">
        <f t="shared" si="401"/>
        <v>1P</v>
      </c>
      <c r="EP322" t="str">
        <f t="shared" si="402"/>
        <v>1P С16А</v>
      </c>
      <c r="EQ322">
        <f t="shared" si="403"/>
        <v>16</v>
      </c>
      <c r="ER322" t="str">
        <f>IF(OR(AI322="",AI322="-"),"",IFERROR(VLOOKUP(AI322,Модули_спр,2,FALSE),"R"))</f>
        <v/>
      </c>
      <c r="ES322" t="str">
        <f>IF(ER322="","",ER322&amp;"."&amp;COUNTIFS(A$3:A322,A322,ER$3:ER322,ER322))</f>
        <v/>
      </c>
      <c r="ET322" t="str">
        <f t="shared" si="404"/>
        <v/>
      </c>
      <c r="EU322" t="str">
        <f t="shared" si="405"/>
        <v/>
      </c>
      <c r="EV322" t="str">
        <f t="shared" si="406"/>
        <v/>
      </c>
      <c r="EW322" t="str">
        <f t="shared" si="407"/>
        <v/>
      </c>
      <c r="EX322">
        <f t="shared" si="408"/>
        <v>1</v>
      </c>
      <c r="EY322" t="str">
        <f>IF(AK322="нет","",IF(AK322&lt;&gt;"",AK322,IF(EX322=1,"XT"&amp;COUNTIFS(A$3:A322,A322,EX$3:EX322,1),"")))</f>
        <v>XT5</v>
      </c>
      <c r="EZ322" t="str">
        <f t="shared" si="409"/>
        <v>QF5</v>
      </c>
      <c r="FA322" t="str">
        <f t="shared" si="410"/>
        <v/>
      </c>
      <c r="FB322" t="str">
        <f t="shared" si="411"/>
        <v>ok</v>
      </c>
      <c r="FC322" t="str">
        <f>IF(OR(EV322="",ET322=""),"",IF(EV322&gt;IFERROR(VLOOKUP(EU322,Модули_спр,3,FALSE),99),"ЛИШНИЙ КАНАЛ",IF(AND(AJ322&lt;&gt;"=",COUNTIFS(Линии[_модуль гр.],ET322,Линии[Канал (итог)],EV322,Линии[Канал],"&lt;&gt;=",Линии[Щит],A322)&gt;1),"ДУБЛЬ КАНАЛА","")))</f>
        <v/>
      </c>
      <c r="FD322">
        <f t="shared" si="412"/>
        <v>16</v>
      </c>
      <c r="FE322" t="str">
        <f t="shared" si="413"/>
        <v>1P С16А</v>
      </c>
      <c r="FF322">
        <f t="shared" si="414"/>
        <v>0</v>
      </c>
      <c r="FG322">
        <f t="shared" si="415"/>
        <v>0</v>
      </c>
      <c r="FH322" t="str">
        <f t="shared" si="416"/>
        <v/>
      </c>
      <c r="FI322">
        <f t="shared" si="417"/>
        <v>10</v>
      </c>
      <c r="FJ322" t="str">
        <f t="shared" si="418"/>
        <v/>
      </c>
      <c r="FK322" t="str">
        <f>IF(AND(D322="",EZ322=""),"",_xlfn.TEXTJOIN("; ",TRUE,IF(AND(D322&lt;&gt;"",DD322=""),"нет фазы",""),IF(AND(D322&lt;&gt;"",N(DT322)=0,CN322&lt;&gt;"Нет"),"нет мощности",""),IF(AND(EY322&lt;&gt;"",COUNTIFS(Линии[Щит],A322,Линии[Клемма (итог)],EY322)&gt;1),"дубль клеммы "&amp;EY322,""),IF(AND(FB322&lt;&gt;"",FB322&lt;&gt;"ok"),FB322,""),IF(FC322&lt;&gt;"",FC322,""),IF(AND(ISNUMBER(SEARCH("(5х",DS322)),N(DV322)=1),"5 жил на 1 фазе",""),IF(AND(AT322="R",AD322&lt;&gt;"",OR(N(EH322)=0,N(EH322)&gt;30)),"розетка без дифзащиты до 30 мА",""),IFERROR(IF(AND(ISNUMBER(CD322),CD322&gt;CE322),"потери "&amp;FIXED(CD322,1)&amp;" % &gt; "&amp;CE322&amp;" %",""),""),IFERROR(IF(LEFT(FJ322,4)="мало","Iкз мало — отключение &gt; 0,4 с",""),""),IF(AND(D322&lt;&gt;"",BD322=""),"не на схеме","")))</f>
        <v/>
      </c>
      <c r="FL322">
        <f>IF(AD322="","",_xlfn.LET(_xlpm.t,IFERROR(_xlfn.XLOOKUP(EP322,Каталог!$U$4:$U$500,Каталог!$G$4:$G$500),""),_xlpm.k,SEARCH("кА",_xlpm.t),IFERROR(--TRIM(RIGHT(SUBSTITUTE(MID(_xlpm.t,MAX(1,_xlpm.k-4),_xlpm.k-MAX(1,_xlpm.k-4))," ",REPT(" ",9)),5)),"")))</f>
        <v>6</v>
      </c>
      <c r="FM322" t="str">
        <f>IF(OR(FL322="",AD322=""),"",IF(_xlfn.XLOOKUP(A322,Щиты[Щит],Щиты[Iкз max на шинах, кА],"")="","",IF(FL322&lt;_xlfn.XLOOKUP(A322,Щиты[Щит],Щиты[Iкз max на шинах, кА]),"Icu "&amp;FL322&amp;" кА &lt; Iкз max","ok")))</f>
        <v/>
      </c>
      <c r="FN322" t="str">
        <f t="shared" si="419"/>
        <v>QF5|XT5</v>
      </c>
      <c r="FO322" t="str">
        <f t="shared" si="420"/>
        <v>QF5|XT5|кабель ВВГнг(А)-LS (3х2,5) → Насос дренажный Подвальный этаж Пом. №005Т</v>
      </c>
      <c r="FP322" t="str" cm="1">
        <f t="array" ref="FP322">IF(FO322="","",_xlfn.LET(_xlpm.nd,_xlfn.TEXTSPLIT(FO322,"|"),IF(COLUMNS(_xlpm.nd)&gt;1,A322&amp;"¦"&amp;INDEX(_xlpm.nd,1)&amp;"¦"&amp;INDEX(_xlpm.nd,2),"")))</f>
        <v>ЩС-ВК.001¦QF5¦XT5</v>
      </c>
      <c r="FQ322" t="str">
        <f t="shared" si="421"/>
        <v>НВК.00.005Т.1¦Насос дренажный Подвальный этаж Пом. №005Т</v>
      </c>
      <c r="FR322" t="str" cm="1">
        <f t="array" ref="FR322">IF(FO322="","",_xlfn.LET(_xlpm.nd,_xlfn.TEXTSPLIT(FO322,"|"),IF(COLUMNS(_xlpm.nd)&gt;2,A322&amp;"¦"&amp;INDEX(_xlpm.nd,2)&amp;"¦"&amp;INDEX(_xlpm.nd,3),"")))</f>
        <v>ЩС-ВК.001¦XT5¦кабель ВВГнг(А)-LS (3х2,5) → Насос дренажный Подвальный этаж Пом. №005Т</v>
      </c>
      <c r="FS322" t="str">
        <f t="shared" si="422"/>
        <v>НВК.00.005Т.1¦Насос дренажный Подвальный этаж Пом. №005Т</v>
      </c>
      <c r="FT322" t="str" cm="1">
        <f t="array" ref="FT322">IF(FO322="","",_xlfn.LET(_xlpm.nd,_xlfn.TEXTSPLIT(FO322,"|"),IF(COLUMNS(_xlpm.nd)&gt;3,A322&amp;"¦"&amp;INDEX(_xlpm.nd,3)&amp;"¦"&amp;INDEX(_xlpm.nd,4),"")))</f>
        <v/>
      </c>
      <c r="FU322" t="str">
        <f t="shared" si="423"/>
        <v/>
      </c>
      <c r="FV322" t="str" cm="1">
        <f t="array" ref="FV322">IF(FO322="","",_xlfn.LET(_xlpm.nd,_xlfn.TEXTSPLIT(FO322,"|"),IF(COLUMNS(_xlpm.nd)&gt;4,A322&amp;"¦"&amp;INDEX(_xlpm.nd,4)&amp;"¦"&amp;INDEX(_xlpm.nd,5),"")))</f>
        <v/>
      </c>
      <c r="FW322" t="str">
        <f t="shared" si="424"/>
        <v/>
      </c>
      <c r="FX322" t="str" cm="1">
        <f t="array" ref="FX322">IF(FO322="","",_xlfn.LET(_xlpm.nd,_xlfn.TEXTSPLIT(FO322,"|"),IF(COLUMNS(_xlpm.nd)&gt;5,A322&amp;"¦"&amp;INDEX(_xlpm.nd,5)&amp;"¦"&amp;INDEX(_xlpm.nd,6),"")))</f>
        <v/>
      </c>
      <c r="FY322" t="str">
        <f t="shared" si="425"/>
        <v/>
      </c>
      <c r="FZ322" t="str" cm="1">
        <f t="array" ref="FZ322">IF(FO322="","",_xlfn.LET(_xlpm.nd,_xlfn.TEXTSPLIT(FO322,"|"),IF(COLUMNS(_xlpm.nd)&gt;6,A322&amp;"¦"&amp;INDEX(_xlpm.nd,6)&amp;"¦"&amp;INDEX(_xlpm.nd,7),"")))</f>
        <v/>
      </c>
      <c r="GA322" t="str">
        <f t="shared" si="426"/>
        <v/>
      </c>
      <c r="GB322" t="str">
        <f t="shared" si="427"/>
        <v/>
      </c>
      <c r="GC322" t="str">
        <f t="shared" si="428"/>
        <v>QF5 → XT5</v>
      </c>
      <c r="GD322">
        <f t="shared" si="429"/>
        <v>1</v>
      </c>
      <c r="GE322">
        <f t="shared" si="430"/>
        <v>0</v>
      </c>
      <c r="GF322">
        <f t="shared" si="431"/>
        <v>0</v>
      </c>
      <c r="GG322" t="str">
        <f t="shared" si="432"/>
        <v/>
      </c>
      <c r="GH322" t="str">
        <f t="shared" si="433"/>
        <v/>
      </c>
      <c r="GI322" t="str">
        <f t="shared" si="434"/>
        <v/>
      </c>
      <c r="GJ322" t="str">
        <f t="shared" si="435"/>
        <v/>
      </c>
      <c r="GK322">
        <f>IF(D322="","",IFERROR(VLOOKUP(D322,УГО_спр,2,FALSE),IFERROR(VLOOKUP(AT322,УГО_спр,2,FALSE),IFERROR(VLOOKUP(LEFT(AT322,2),УГО_спр,2,FALSE),""))))</f>
        <v>0</v>
      </c>
      <c r="GL322" t="str">
        <f>IF(D322="","",IF(OR(GK322="",GK322=0),"BOX",IFERROR(IF(VLOOKUP(GK322,УГО_блоки,3,FALSE)&amp;""&lt;&gt;"",VLOOKUP(GK322,УГО_блоки,3,FALSE),VLOOKUP(GK322,УГО_блоки,2,FALSE)),GK322)))</f>
        <v>BOX</v>
      </c>
      <c r="GM322">
        <f t="shared" si="436"/>
        <v>1</v>
      </c>
      <c r="GN322" t="str">
        <f>IF(EP322="","",IF(COUNTIF(EP$3:EP322,EP322)=1,MAX(GN$2:GN321)+1,""))</f>
        <v/>
      </c>
      <c r="GO322" t="str">
        <f>IF(AF322="","",IF(COUNTIF(AF$3:AF322,AF322)+COUNTIF(AG$2:AG321,AF322)+COUNTIF(AH$2:AH321,AF322)=1,MAX(GO$2:GQ321)+1,""))</f>
        <v/>
      </c>
      <c r="GP322" t="str">
        <f>IF(AG322="","",IF(COUNTIF(AF$3:AF322,AG322)+COUNTIF(AG$3:AG322,AG322)+COUNTIF(AH$2:AH321,AG322)=1,MAX(GO$2:GQ321,GO322)+1,""))</f>
        <v/>
      </c>
      <c r="GQ322" t="str">
        <f>IF(AH322="","",IF(COUNTIF(AF$3:AF322,AH322)+COUNTIF(AG$3:AG322,AH322)+COUNTIF(AH$3:AH322,AH322)=1,MAX(GO$2:GQ321,GO322,GP322)+1,""))</f>
        <v/>
      </c>
      <c r="GR322" t="str">
        <f t="shared" si="437"/>
        <v>3х2,5</v>
      </c>
      <c r="GS322" t="str">
        <f>IF(GR322="","",IF(COUNTIF(GR$3:GR322,GR322)=1,MAX(GS$2:GS321)+1,""))</f>
        <v/>
      </c>
      <c r="GT322" t="str">
        <f>IF(ES322="","",COUNTIF(ES$3:ES322,"?*"))</f>
        <v/>
      </c>
      <c r="GU322" t="str">
        <f>IF(OR(ES322="",EU322=""),"",IF(COUNTIFS(ES$3:ES322,"?*",EU$3:EU322,EU322)=1,MAX(GU$2:GU321)+1,""))</f>
        <v/>
      </c>
      <c r="GV322">
        <f t="shared" si="438"/>
        <v>0</v>
      </c>
      <c r="GW322">
        <f>IF(D322="","",COUNTIF(D$3:D322,"?*"))</f>
        <v>320</v>
      </c>
      <c r="GX322">
        <f>IF(EX322&lt;&gt;1,0,_xlfn.LET(_xlpm.k,MAX(IFERROR(--VLOOKUP(D322,УГО_спр,5,FALSE),0),IFERROR(--VLOOKUP(AT322,УГО_спр,5,FALSE),0),IFERROR(--VLOOKUP(LEFT(AT322,2),УГО_спр,5,FALSE),0)),IF(_xlpm.k&gt;0,_xlpm.k,IF(IFERROR(--LEFT(SUBSTITUTE(GR322,"x","х"),FIND("х",SUBSTITUTE(GR322,"x","х"))-1),3)&gt;3,Каталог!$S$9,1))))</f>
        <v>1</v>
      </c>
      <c r="GY322">
        <f t="shared" si="439"/>
        <v>0</v>
      </c>
    </row>
    <row r="323" spans="1:207" x14ac:dyDescent="0.3">
      <c r="A323" t="s">
        <v>768</v>
      </c>
      <c r="B323">
        <v>15</v>
      </c>
      <c r="C323" t="str">
        <f>IF(BD323="","",IF(BE323="вводной узел","узел ","")&amp;"л."&amp;(INT((BD323-1)/Столбцов_на_лист)+1)&amp;" / "&amp;(MOD(BD323-1,Столбцов_на_лист)+1))</f>
        <v>л.1 / 15</v>
      </c>
      <c r="D323" t="s">
        <v>1660</v>
      </c>
      <c r="E323" s="133" t="str">
        <f t="shared" ref="E323:E352" si="440">AY323</f>
        <v>Насос дренажный Подвальный этаж Пом. №005Т</v>
      </c>
      <c r="G323">
        <v>0.6</v>
      </c>
      <c r="H323">
        <v>1</v>
      </c>
      <c r="I323">
        <v>1</v>
      </c>
      <c r="J323">
        <v>230</v>
      </c>
      <c r="K323" t="s">
        <v>602</v>
      </c>
      <c r="L323">
        <v>0.5</v>
      </c>
      <c r="O323">
        <v>1</v>
      </c>
      <c r="P323">
        <v>11</v>
      </c>
      <c r="Q323">
        <v>1</v>
      </c>
      <c r="R323">
        <v>10</v>
      </c>
      <c r="S323">
        <v>0</v>
      </c>
      <c r="T323">
        <v>1</v>
      </c>
      <c r="U323" t="s">
        <v>11</v>
      </c>
      <c r="V323">
        <v>3</v>
      </c>
      <c r="W323">
        <v>2.5</v>
      </c>
      <c r="X323">
        <v>16</v>
      </c>
      <c r="Z323" t="s">
        <v>608</v>
      </c>
      <c r="AA323" t="s">
        <v>866</v>
      </c>
      <c r="AD323" t="s">
        <v>517</v>
      </c>
      <c r="AR323" t="str">
        <f t="shared" ref="AR323:AR352" si="441">_xlfn.TEXTJOIN("; ",TRUE,FK323,IF(DO323="НЕ ОБЕСПЕЧЕНА","категория "&amp;DE323&amp;" не обеспечена (есть "&amp;DL323&amp;")",""),IF(LEFT(FM323,3)="Icu",FM323,""),IF(AND(D323&lt;&gt;"",BS323="Не исп"),"сечение не подобрано",""))</f>
        <v>категория I не обеспечена (есть II)</v>
      </c>
      <c r="AS323" cm="1">
        <f t="array" ref="AS323">ROW()-ROW(Линии[#Headers])</f>
        <v>321</v>
      </c>
      <c r="AT323" t="str">
        <f t="shared" ref="AT323:AT352" si="442">IF(D323="","",IFERROR(LEFT(D323,SEARCH(".",D323)-1),D323))</f>
        <v>НВК</v>
      </c>
      <c r="AU323" t="str">
        <f t="shared" ref="AU323:AU352" si="443">IFERROR(RIGHT(D323,LEN(D323)-SEARCH(".",D323)),"")</f>
        <v>00.005Т.2</v>
      </c>
      <c r="AV323" t="str">
        <f t="shared" ref="AV323:AV386" si="444">IFERROR(LEFT(AU323,SEARCH(".",AU323)-1),AU323)</f>
        <v>00</v>
      </c>
      <c r="AW323" t="str">
        <f t="shared" ref="AW323:AW352" si="445">IFERROR(RIGHT(AU323,LEN(AU323)-SEARCH(".",AU323)),"")</f>
        <v>005Т.2</v>
      </c>
      <c r="AX323" t="str">
        <f t="shared" ref="AX323:AX386" si="446">IFERROR(LEFT(AW323,SEARCH(".",AW323)-1),AW323)</f>
        <v>005Т</v>
      </c>
      <c r="AY323" t="str">
        <f>IF(D323="","",IF(ISERROR(SEARCH(".",D323)),IFERROR(VLOOKUP(D323,Потребители_обозначение,2,FALSE)&amp;"",""),IFERROR(IF(VLOOKUP(AT323,Потребители_обозначение,4,FALSE)=1,VLOOKUP(AT323,Потребители_обозначение,2,FALSE)&amp;" "&amp;VLOOKUP(AV323,Этаж_обозначение,2,FALSE)&amp;" Пом. №"&amp;AX323,VLOOKUP(AT323,Потребители_обозначение,2,FALSE)&amp;" Шлейф №"&amp;AV323),IFERROR(VLOOKUP(D323,Потребители_обозначение,2,FALSE),""))))</f>
        <v>Насос дренажный Подвальный этаж Пом. №005Т</v>
      </c>
      <c r="AZ323" t="str">
        <f t="shared" ref="AZ323:AZ386" si="447">IF(E323&lt;&gt;"",E323,AY323)</f>
        <v>Насос дренажный Подвальный этаж Пом. №005Т</v>
      </c>
      <c r="BA323" t="str">
        <f>IF(F323&lt;&gt;"",F323,IF(AND(D323&lt;&gt;"",D323&lt;&gt;A323,ISNUMBER(_xlfn.XMATCH(D323,Щиты[Щит]))),D323,""))</f>
        <v/>
      </c>
      <c r="BB323">
        <f>IFERROR(_xlfn.XMATCH(A323,Щиты[Щит]),0)</f>
        <v>13</v>
      </c>
      <c r="BC323">
        <f>IFERROR(N(_xlfn.XLOOKUP(A323,Щиты[Щит],Щиты[Мест под вводной узел])),15)</f>
        <v>9</v>
      </c>
      <c r="BD323">
        <f t="shared" ref="BD323:BD386" si="448">IF(B323="-","",IF(ISNUMBER(B323),B323,_xlfn.LET(_xlpm.prev,IF(OR(AS323=1,A323&lt;&gt;A322),0,N(IF(AS323=1,"",BD322))),_xlpm.nx,_xlpm.prev+1,IF(AND(AL323&lt;&gt;"вручную",_xlpm.nx&lt;=BC323),BC323+1,_xlpm.nx))))</f>
        <v>15</v>
      </c>
      <c r="BE323" t="str">
        <f t="shared" ref="BE323:BE386" si="449">IF(BD323="","",IF(BD323&lt;=BC323,"вводной узел","линии"))</f>
        <v>линии</v>
      </c>
      <c r="BF323">
        <f>IF(D323="","",IF(BA323&lt;&gt;"",IFERROR(_xlfn.XLOOKUP(BA323,Щиты[Щит],Щиты[Руст, кВт]),0),N(G323)))</f>
        <v>0.6</v>
      </c>
      <c r="BG323">
        <f>IF(J323&lt;&gt;"",J323,IF(D323="","",IFERROR(IF(VLOOKUP(AT323,Потребители_обозначение,8,FALSE)=0,"",VLOOKUP(AT323,Потребители_обозначение,8,FALSE)),"")))</f>
        <v>230</v>
      </c>
      <c r="BH323">
        <f>IF(I323&lt;&gt;"",I323,IF(D323="","",IFERROR(IF(VLOOKUP(AT323,Потребители_обозначение,9,FALSE)=0,"",VLOOKUP(AT323,Потребители_обозначение,9,FALSE)),"")))</f>
        <v>1</v>
      </c>
      <c r="BI323" t="str">
        <f>IF(U323&lt;&gt;"",U323,IF(D323="","",IFERROR(IF(VLOOKUP(AT323,Потребители_обозначение,6,FALSE)=0,"",VLOOKUP(AT323,Потребители_обозначение,6,FALSE)),"")))</f>
        <v>мс</v>
      </c>
      <c r="BJ323">
        <f>IF(V323&lt;&gt;"",V323,IF(D323="","",IFERROR(IF(VLOOKUP(AT323,Потребители_обозначение,7,FALSE)=0,"",VLOOKUP(AT323,Потребители_обозначение,7,FALSE)),"")))</f>
        <v>3</v>
      </c>
      <c r="BK323">
        <f>IF(W323&lt;&gt;"",W323,IF(D323="","",IFERROR(IF(VLOOKUP(AT323,Потребители_обозначение,10,FALSE)=0,"",VLOOKUP(AT323,Потребители_обозначение,10,FALSE)),"")))</f>
        <v>2.5</v>
      </c>
      <c r="BL323">
        <f>IFERROR(VLOOKUP(AT323,Потребители_обозначение,5,FALSE),0)</f>
        <v>1</v>
      </c>
      <c r="BM323" cm="1">
        <f t="array" ref="BM323">IF(D323="","",IF(BA323&lt;&gt;"",IFERROR(_xlfn.XLOOKUP(BA323,Щиты[Щит],Щиты[cos φ]),0.95),IF(ISNUMBER(M323),M323,IFERROR(IF(BL323=2,_xlfn.IFS(BH323=3,VLOOKUP(BF323,Справочная_двигатели,8,FALSE),BH323=1,VLOOKUP(BF323,Справочная_двигатели,10,TRUE)),IF(AND(Методика="нормы 2026",CN323="Сил"),0.8,0.95)),0.95))))</f>
        <v>0.95</v>
      </c>
      <c r="BN323" cm="1">
        <f t="array" ref="BN323">IF(D323="","",IF(BA323&lt;&gt;"",IFERROR(_xlfn.XLOOKUP(BA323,Щиты[Щит],Щиты[Iр, А]),""),IFERROR(_xlfn.IFS(BH323=1,BF323/((Uн_лин/SQRT(3))*BM323),BH323=3,BF323/(SQRT(3)*Uн_лин*BM323)),"")))</f>
        <v>2.7348170645824377</v>
      </c>
      <c r="BO323">
        <f>IF(D323="","",IF(N(X323)=0,IFERROR(VLOOKUP(BN323,Автомат_номиналы,2,TRUE),""),X323))</f>
        <v>16</v>
      </c>
      <c r="BP323">
        <f t="shared" ref="BP323:BP352" si="450">IF(N(BJ323)=1,1,IF(BH323=1,1,IF(N(BJ323)&gt;=4,0.92,1)))</f>
        <v>1</v>
      </c>
      <c r="BQ323">
        <f>IF(ISNUMBER(Y323),Y323,К_прокл)</f>
        <v>1</v>
      </c>
      <c r="BR323">
        <f t="shared" ref="BR323:BR352" si="451">IF(N(BJ323)=1,1,IF(BH323=1,2,3))</f>
        <v>2</v>
      </c>
      <c r="BS323" cm="1">
        <f t="array" ref="BS323">IF(D323="","",IF(N(BK323)&lt;&gt;0,BK323,IFERROR(_xlfn.LET(_xlpm.need,BO323/(BP323*BQ323),_xlpm.t,CHOOSE(BR323,Iдоп_1ж,Iдоп_2ж,Iдоп_3ж),_xlpm.k,_xlfn.XMATCH(_xlpm.need,_xlpm.t,1),IF(ISNA(_xlpm.k),"Не исп",INDEX(Iдоп_S,_xlpm.k))),"Не исп")))</f>
        <v>2.5</v>
      </c>
      <c r="BT323">
        <f>IFERROR(VLOOKUP(BS323,Кабель_сопротивление,3,FALSE),"")</f>
        <v>2.2499999999999999E-2</v>
      </c>
      <c r="BU323">
        <f>IFERROR(VLOOKUP(BS323,Кабель_сопротивление,2,FALSE),"")</f>
        <v>0.1</v>
      </c>
      <c r="BV323">
        <f t="shared" ref="BV323:BV352" si="452">IF(P323&lt;&gt;"",P323,IF(COUNT(AM323,AN323)=0,"",ROUNDUP(SUM(AM323,AN323),0)))</f>
        <v>11</v>
      </c>
      <c r="BW323">
        <f>IF(D323="","",IFERROR(IF(VLOOKUP(AT323,Потребители_обозначение,4,FALSE)=1,VLOOKUP(AT323,Потребители_обозначение,3,FALSE)*(H323*2-1)+BV323+VLOOKUP(AV323,Этаж_обозначение,3,FALSE)+VLOOKUP(AV323,Этаж_обозначение,4,FALSE),VLOOKUP(AT323,Потребители_обозначение,3,FALSE)*(H323*2-1)+BV323),BV323))</f>
        <v>14</v>
      </c>
      <c r="BX323">
        <f t="shared" ref="BX323:BX386" si="453">IF(R323&lt;&gt;"",R323,IF(OR(BV323="",T323=""),"",IF(T323=1,MAX(0,BW323-ROUNDUP(N(AN323),0)-4),ROUNDUP(N(AM323),0))))</f>
        <v>10</v>
      </c>
      <c r="BY323">
        <f t="shared" ref="BY323:BY352" si="454">IF(S323&lt;&gt;"",S323,IF(OR(BV323="",T323=""),"",IF(T323=2,MAX(0,BW323-ROUNDUP(N(AM323),0)-4),ROUNDUP(N(AN323),0))))</f>
        <v>0</v>
      </c>
      <c r="BZ323">
        <f t="shared" ref="BZ323:BZ352" si="455">IF(BH323=1,2,IF(BH323=3,1,""))</f>
        <v>2</v>
      </c>
      <c r="CA323">
        <f t="shared" ref="CA323:CA352" si="456">IFERROR(ROUND(SIN(ACOS(BM323)),2),"")</f>
        <v>0.31</v>
      </c>
      <c r="CB323">
        <f t="shared" ref="CB323:CB386" si="457">IFERROR(BZ323*(BT323*BW323/BS323*BM323+BU323*BW323*CA323/1000)*BN323,"")</f>
        <v>0.6570890264730932</v>
      </c>
      <c r="CC323">
        <f>IFERROR(ROUNDUP(CB323/((Uн_лин/SQRT(3))*1000)*100,2),"")</f>
        <v>0.29000000000000004</v>
      </c>
      <c r="CD323">
        <f>IF(ISNUMBER(CC323),CC323+IFERROR(_xlfn.XLOOKUP(A323,Щиты[Щит],Щиты[ΔU до шин, %]),0),"")</f>
        <v>2.1799999999999997</v>
      </c>
      <c r="CE323">
        <f>IF(D323="","",IF(IFERROR(VLOOKUP(AT323,УГО_спр,2,FALSE),"")="Светильник",3,4)+IF(Методика="нормы 2026",MIN(0.5,MAX(0,N(BW323)-100)*0.005),0))</f>
        <v>4</v>
      </c>
      <c r="CF323" t="str">
        <f>IFERROR(VLOOKUP(BI323,Кабель_обозначение,2,FALSE),"")</f>
        <v>ВВГнг(А)-LS</v>
      </c>
      <c r="CG323" t="str">
        <f>IFERROR(IF(VLOOKUP(BI323,Кабель_обозначение,3,FALSE)=1,CF323&amp;" ("&amp;BJ323&amp;"х"&amp;BS323&amp;")",CF323),"")</f>
        <v>ВВГнг(А)-LS (3х2,5)</v>
      </c>
      <c r="CH323" t="str">
        <f t="shared" ref="CH323:CH386" si="458">IF(OR(D323="",CF323="",AND(G323&lt;&gt;"",NOT(ISNUMBER(G323)))),"",IF(BS323=0,CF323,CG323&amp;CHAR(10)&amp;"L="&amp;BW323&amp;"-"&amp;CC323&amp;"%"))</f>
        <v>ВВГнг(А)-LS (3х2,5)
L=14-0,29%</v>
      </c>
      <c r="CI323">
        <f>IFERROR(2*ρкз_Cu*BW323/BS323,"")</f>
        <v>0.29456000000000004</v>
      </c>
      <c r="CJ323">
        <f t="shared" ref="CJ323:CJ352" si="459">IFERROR(0.0175*N(BW323)/BS323,"")</f>
        <v>9.8000000000000004E-2</v>
      </c>
      <c r="CK323" t="str">
        <f>IFERROR(IF(OR(D323="",NOT(ISNUMBER(BS323)),N(BW323)=0),"",_xlfn.XLOOKUP(A323,Щиты[Щит],Щиты[Zпетли на шинах, Ом])+CI323),"")</f>
        <v/>
      </c>
      <c r="CL323" t="str">
        <f>IF(ISNUMBER(CK323),c_min*(Uн_лин*1000/SQRT(3))/CK323,"")</f>
        <v/>
      </c>
      <c r="CM323" t="str">
        <f>IFERROR(IF(OR(D323="",NOT(ISNUMBER(BS323))),"",1.05*(Uн_лин*1000/SQRT(3))/(_xlfn.XLOOKUP(A323,Щиты[Щит],Щиты[Zmax на шинах, Ом])+CJ323)/1000),"")</f>
        <v/>
      </c>
      <c r="CN323" t="str">
        <f>IF(D323="","",IF(BA323&lt;&gt;"","Щит",IF(K323&lt;&gt;"",K323,IF(ISNUMBER(L323),"Сил",IF(IFERROR(_xlfn.XLOOKUP(AT323,Коды_код,Коды_группа)&amp;"","")="","Быт",_xlfn.XLOOKUP(AT323,Коды_код,Коды_группа)&amp;"")))))</f>
        <v>Сил</v>
      </c>
      <c r="CO323">
        <f>IF(CN323="Щит","щит",IF(CN323="","",IF(CN323="Быт",IFERROR(_xlfn.XLOOKUP(A323,Щиты[Щит],Щиты[Кс быт]),1),IF(CN323="Сил",IF(ISNUMBER(L323),L323,IF(Методика="нормы 2026",IFERROR(_xlfn.XLOOKUP(A323,Щиты[Щит],Щиты[Кс силовых (табл. 7.5)]),1),1)),IF(OR(CN323="Пост",CN323="Отоп"),1,IF(CN323="ВНГ",0.7,0))))))</f>
        <v>0.5</v>
      </c>
      <c r="CP323">
        <f t="shared" ref="CP323:CP352" si="460">IF(CN323="","",IFERROR(MIN(3,MAX(1,INT(--N323))),1))</f>
        <v>1</v>
      </c>
      <c r="CQ323">
        <f t="shared" ref="CQ323:CQ352" si="461">IF(OR(CN323="",CN323="Нет",CN323="Щит"),0,N(BF323))</f>
        <v>0.6</v>
      </c>
      <c r="CR323">
        <f t="shared" ref="CR323:CR352" si="462">IF(CN323="Быт",N(BF323),0)</f>
        <v>0</v>
      </c>
      <c r="CS323">
        <f t="shared" ref="CS323:CS352" si="463">IF(CN323="Сил",N(BF323)*N(CO323),0)</f>
        <v>0.3</v>
      </c>
      <c r="CT323">
        <f t="shared" ref="CT323:CT352" si="464">IF(CN323="Пост",N(BF323),0)</f>
        <v>0</v>
      </c>
      <c r="CU323">
        <f t="shared" ref="CU323:CU352" si="465">IF(CN323="Отоп",N(BF323),0)</f>
        <v>0</v>
      </c>
      <c r="CV323">
        <f t="shared" ref="CV323:CV352" si="466">IF(CN323="ВНГ",N(BF323)*0.7,0)</f>
        <v>0</v>
      </c>
      <c r="CW323">
        <f t="shared" ref="CW323:CW352" si="467">IF(OR(D323="",CN323="Щит"),0,N(BF323))</f>
        <v>0.6</v>
      </c>
      <c r="CX323">
        <f t="shared" ref="CX323:CX352" si="468">IF(OR(D323="",CN323="Щит"),0,N(BF323)*N(BM323))</f>
        <v>0.56999999999999995</v>
      </c>
      <c r="CY323">
        <f t="shared" ref="CY323:CY352" si="469">_xlfn.LET(_xlpm.prev,IF(OR(OR(AS323=1,A323&lt;&gt;A322)),0,N(IF(AS323=1,"",CY322))),IF(OR(D323="",BH323=3),_xlpm.prev,IF(_xlpm.prev&gt;=3,1,_xlpm.prev+1)))</f>
        <v>1</v>
      </c>
      <c r="CZ323" t="str">
        <f t="shared" ref="CZ323:CZ386" si="470">IF(D323="","",IF(BH323=3,"L1,L2,L3","L"&amp;MAX(1,CY323)))</f>
        <v>L1</v>
      </c>
      <c r="DA323" cm="1">
        <f t="array" ref="DA323">IFERROR(IF(BL323=2,_xlfn.IFS(BH323=3,VLOOKUP(BF323,Справочная_двигатели,3,FALSE),BH323=1,VLOOKUP(BF323,Справочная_двигатели,5,TRUE)),0),0)</f>
        <v>0</v>
      </c>
      <c r="DB323">
        <f>IFERROR(IF(BL323=3,VLOOKUP(BF323,Справочная_ЛЭД,2,TRUE),0),0)</f>
        <v>0</v>
      </c>
      <c r="DC323">
        <f t="shared" ref="DC323:DC386" si="471">IF(D323="","",IF(DA323=0,DB323,DA323))</f>
        <v>0</v>
      </c>
      <c r="DD323" t="str">
        <f t="shared" ref="DD323:DD352" si="472">IF(D323="","",IF(O323="упр","",IF(O323="",CZ323,IF(O323&amp;""="1,2,3","L1,L2,L3","L"&amp;O323))))</f>
        <v>L1</v>
      </c>
      <c r="DE323" t="str" cm="1">
        <f t="array" ref="DE323">IF(D323="","",IFERROR(INDEX({"I особая","I","II","III"},MATCH(TRIM(AA323&amp;""),{"I особая","I","II","III"},0)),"III"))</f>
        <v>I</v>
      </c>
      <c r="DF323" t="str">
        <f>IF(D323="","",IF(TRIM(AB323&amp;"")&lt;&gt;"",IF(LOWER(TRIM(AB323&amp;""))="да","да","нет"),IF(IFERROR(_xlfn.XLOOKUP(AT323,Коды_код,Коды_пожарная),"")="да","да","нет")))</f>
        <v>нет</v>
      </c>
      <c r="DG323" t="str">
        <f t="shared" ref="DG323:DG352" si="473">IF(AC323&lt;&gt;"",AC323,IF(AD323&lt;&gt;"","",IF(EK323="","",IF(AS323=1,"",DG322))))</f>
        <v/>
      </c>
      <c r="DH323" t="str">
        <f t="shared" ref="DH323:DH386" si="474">IF(D323="","",IF(DG323="","основная",DG323))</f>
        <v>основная</v>
      </c>
      <c r="DI323">
        <f t="shared" ref="DI323:DI352" si="475">IFERROR(MIN(3,MAX(1,INT(--N323))),1)</f>
        <v>1</v>
      </c>
      <c r="DJ323" t="str" cm="1">
        <f t="array" ref="DJ323">IF(D323="","",_xlfn.LET(_xlpm.t,IFERROR(_xlfn.XLOOKUP(1,(Шины[Шина]=DH323)*(((Шины[Щит]=A323)+(Шины[Щит]=""))&gt;0),Шины[Тип]),"")&amp;"",IF(_xlpm.t&lt;&gt;"",_xlpm.t,IF(ISNUMBER(SEARCH("ИБП",DH323)),"ИБП",IF(ISNUMBER(SEARCH("ДГУ",DH323)),"ДГУ","Ввод "&amp;DI323)))))</f>
        <v>Ввод 1</v>
      </c>
      <c r="DK323" t="str">
        <f t="shared" ref="DK323:DK386" si="476">IF(D323="","",IF(OR(DJ323="ИБП",DJ323="ДГУ"),DJ323,IF(LEFT(DJ323,5)="Ввод ",DJ323,"Ввод "&amp;DI323)))</f>
        <v>Ввод 1</v>
      </c>
      <c r="DL323" t="str">
        <f>IF(D323="","",IF(OR(DJ323="ИБП",DJ323="ДГУ"),"I особая",IF(DJ323="Одиночная","III",_xlfn.XLOOKUP(A323,Щиты[Щит],Щиты[Категория шины «Ввод»],"III"))))</f>
        <v>II</v>
      </c>
      <c r="DM323">
        <f>IF(D323="",0,IFERROR(MATCH(DE323,{"III","II","I","I особая"},0),1))</f>
        <v>3</v>
      </c>
      <c r="DN323">
        <f t="shared" ref="DN323:DN386" si="477">IF(OR(DJ323="ИБП",DJ323="ДГУ"),MIN(DM323,3),DM323)</f>
        <v>3</v>
      </c>
      <c r="DO323" t="str">
        <f>IF(D323="","",IF(DM323&gt;IFERROR(MATCH(DL323,{"III","II","I","I особая"},0),1),"НЕ ОБЕСПЕЧЕНА","ОК"))</f>
        <v>НЕ ОБЕСПЕЧЕНА</v>
      </c>
      <c r="DP323" t="str">
        <f>IF(A323="","",_xlfn.XLOOKUP(A323,Щиты[Щит],Щиты[Путь],""))</f>
        <v>|ГРЩ-ЖД|ЩС-ВК.001|</v>
      </c>
      <c r="DQ323" t="str">
        <f>IF(D323="","",IF(Z323&lt;&gt;"",Z323,IF(IFERROR(_xlfn.XLOOKUP(AT323,Коды_код,Коды_вид)&amp;"","")="","Прочее",_xlfn.XLOOKUP(AT323,Коды_код,Коды_вид)&amp;"")))</f>
        <v>Насосы (водоснабжение, дренаж)</v>
      </c>
      <c r="DR323">
        <f>IF(BD323="","",INT((BD323-1)/Столбцов_на_лист)+1)</f>
        <v>1</v>
      </c>
      <c r="DS323" t="str">
        <f t="shared" ref="DS323:DS352" si="478">IF(D323="","",SUBSTITUTE(CH323,CHAR(10)," "))</f>
        <v>ВВГнг(А)-LS (3х2,5) L=14-0,29%</v>
      </c>
      <c r="DT323">
        <f t="shared" ref="DT323:DT352" si="479">IF(D323="","",IFERROR(--BF323,""))</f>
        <v>0.6</v>
      </c>
      <c r="DU323">
        <f t="shared" ref="DU323:DU352" si="480">IF(D323="","",IFERROR(ROUNDUP(BN323,2),""))</f>
        <v>2.7399999999999998</v>
      </c>
      <c r="DV323">
        <f t="shared" ref="DV323:DV352" si="481">IF(D323="","",IFERROR(--BH323,1))</f>
        <v>1</v>
      </c>
      <c r="DW323">
        <f>IF(AT323="",0,_xlfn.LET(_xlpm.v,IFERROR(VLOOKUP(D323,УГО_спр,3,FALSE),IFERROR(VLOOKUP(AT323,УГО_спр,3,FALSE),IFERROR(VLOOKUP(LEFT(AT323,2),УГО_спр,3,FALSE),""))),IF(_xlpm.v="да",30,IF(ISNUMBER(_xlpm.v),_xlpm.v,0))))</f>
        <v>0</v>
      </c>
      <c r="DX323">
        <f t="shared" ref="DX323:DX352" si="482">IF(OR(AJ323="+",AND(D323&lt;&gt;"",D323=IF(AS323=1,"",D322))),1,0)</f>
        <v>0</v>
      </c>
      <c r="DY323">
        <f>IF(BD323="","",IF(AD323&lt;&gt;"",COUNTIFS(A$3:A323,A323,AD$3:AD323,"?*"),IF(OR(OR(AS323=1,A323&lt;&gt;A322),AL323="вручную"),"",IF(AS323=1,"",DZ322))))</f>
        <v>6</v>
      </c>
      <c r="DZ323">
        <f t="shared" ref="DZ323:DZ386" si="483">IF(BD323="",IF(OR(AS323=1,A323&lt;&gt;A322),"",IF(AS323=1,"",DZ322)),DY323)</f>
        <v>6</v>
      </c>
      <c r="EA323">
        <f>IF(D323="",0,MAX(IFERROR(--X323,0),IFERROR(--VLOOKUP(D323,УГО_спр,4,FALSE),IFERROR(--VLOOKUP(AT323,УГО_спр,4,FALSE),IFERROR(--VLOOKUP(LEFT(AT323,2),УГО_спр,4,FALSE),0)))))</f>
        <v>16</v>
      </c>
      <c r="EB323">
        <f>IF(D323="","",IFERROR(LOOKUP(INDEX(CHOOSE(BR323,Iдоп_1ж,Iдоп_2ж,Iдоп_3ж),MATCH(BS323,Iдоп_S,0))*BP323*BQ323,{6,10,16,20,25,32,40,50,63,80,100,125,160,200,250,315,400,500,630}),""))</f>
        <v>25</v>
      </c>
      <c r="EC323">
        <f>IF(AD323="","",SUMIFS(Линии[_Ток схемы],Линии[_гр.],DY323,Линии[Щит],A323,Линии[_в кабель выше],0))</f>
        <v>2.7399999999999998</v>
      </c>
      <c r="ED323">
        <f>IF(AD323="","",IFERROR(VLOOKUP(EC323,Автомат_номиналы,2,TRUE),""))</f>
        <v>6</v>
      </c>
      <c r="EE323">
        <f>IF(AD323="","",MAX(N(ED323),_xlfn.MAXIFS(Линии[_мин. по типу],Линии[_гр.],DY323,Линии[Щит],A323)))</f>
        <v>16</v>
      </c>
      <c r="EF323">
        <f>IF(AD323="","",_xlfn.MINIFS(Линии[_макс. автомат по кабелю],Линии[_гр.],DY323,Линии[Щит],A323))</f>
        <v>25</v>
      </c>
      <c r="EG323">
        <f>IF(AD323="","",MAX(1,_xlfn.MAXIFS(Линии[_фаз],Линии[_гр.],DY323,Линии[Щит],A323)))</f>
        <v>1</v>
      </c>
      <c r="EH323">
        <f>IF(AD323="","",IF(AND(AD323&lt;&gt;"авто",AD323&lt;&gt;"+"),IF(ISNUMBER(SEARCH("мА",AD323)),IFERROR(--TRIM(RIGHT(SUBSTITUTE(LEFT(AD323,SEARCH("мА",AD323)-1)," ",REPT(" ",9)),6)),30),0),IF(AE323="нет",0,IF(ISNUMBER(AE323),AE323,IF(AE323="да",30,_xlfn.MINIFS(Линии[_дифзащита по коду, мА],Линии[_гр.],DY323,Линии[Щит],A323,Линии[_дифзащита по коду, мА],"&gt;0"))))))</f>
        <v>0</v>
      </c>
      <c r="EI323">
        <f t="shared" ref="EI323:EI386" si="484">IF(AD323="","",IF(N(EH323)&gt;0,1,0))</f>
        <v>0</v>
      </c>
      <c r="EJ323" t="str">
        <f t="shared" ref="EJ323:EJ386" si="485">IF(AD323="","",IF(EI323=1,"QFD","QF")&amp;DY323)</f>
        <v>QF6</v>
      </c>
      <c r="EK323" t="str">
        <f t="shared" ref="EK323:EK386" si="486">IF(EJ323&lt;&gt;"",EJ323,IF(OR(OR(AS323=1,A323&lt;&gt;A322),AL323="вручную"),"",IF(AS323=1,"",EK322)))</f>
        <v>QF6</v>
      </c>
      <c r="EL323" t="str">
        <f t="shared" ref="EL323:EL386" si="487">IF(EJ323&lt;&gt;"",_xlfn.TEXTJOIN(" → ",TRUE,AF323,AG323,AH323),IF(EK323="","",IF(AS323=1,"",EL322)))</f>
        <v/>
      </c>
      <c r="EM323">
        <f t="shared" ref="EM323:EM386" si="488">IF(EL323="",0,IF(OR(LEFT(EL323,2)="T ",LEFT(EL323,2)="Т ",ISNUMBER(SEARCH("→ T ",EL323)),ISNUMBER(SEARCH("→ Т ",EL323)),ISNUMBER(SEARCH("БП",EL323))),1,0))</f>
        <v>0</v>
      </c>
      <c r="EN323">
        <f>IF(AD323="","",IF(EM323=1,MAX(EE323,Мин_автомат_БП),EE323))</f>
        <v>16</v>
      </c>
      <c r="EO323" t="str">
        <f t="shared" ref="EO323:EO352" si="489">IF(AD323="","",IF(EG323&gt;=3,IF(EI323=1,"4P","3P"),IF(EI323=1,"2P","1P")))</f>
        <v>1P</v>
      </c>
      <c r="EP323" t="str">
        <f t="shared" ref="EP323:EP386" si="490">IF(AD323="","",IF(AND(AD323&lt;&gt;"авто",AD323&lt;&gt;"+"),AD323,EO323&amp;" С"&amp;EN323&amp;"А"&amp;IF(EI323=1," "&amp;EH323&amp;"мА","")))</f>
        <v>1P С16А</v>
      </c>
      <c r="EQ323">
        <f t="shared" ref="EQ323:EQ386" si="491">IF(EP323="","",_xlfn.LET(_xlpm.t,SUBSTITUTE(SUBSTITUTE(UPPER(EP323),"С","C"),"А","A"),_xlpm.c,FIND("C",_xlpm.t),IFERROR(--MID(_xlpm.t,_xlpm.c+1,FIND("A",_xlpm.t&amp;"A",_xlpm.c)-_xlpm.c-1),"")))</f>
        <v>16</v>
      </c>
      <c r="ER323" t="str">
        <f>IF(OR(AI323="",AI323="-"),"",IFERROR(VLOOKUP(AI323,Модули_спр,2,FALSE),"R"))</f>
        <v/>
      </c>
      <c r="ES323" t="str">
        <f>IF(ER323="","",ER323&amp;"."&amp;COUNTIFS(A$3:A323,A323,ER$3:ER323,ER323))</f>
        <v/>
      </c>
      <c r="ET323" t="str">
        <f t="shared" ref="ET323:ET386" si="492">IF(AI323="-","",IF(ES323&lt;&gt;"",ES323,IF(OR(AS323=1,A323&lt;&gt;A322),"",IF(AS323=1,"",ET322))))</f>
        <v/>
      </c>
      <c r="EU323" t="str">
        <f t="shared" ref="EU323:EU386" si="493">IF(ET323="","",IF(AND(AI323&lt;&gt;"",AI323&lt;&gt;"-"),AI323,IF(AS323=1,"",EU322)))</f>
        <v/>
      </c>
      <c r="EV323" t="str">
        <f t="shared" ref="EV323:EV352" si="494">IF(AJ323="=",IF(AS323=1,"",EW322),IF(ISNUMBER(AJ323),AJ323,IF(ET323="","",IF(OR(D323&lt;&gt;"",AJ323="+",AJ323="р"),IF(OR(ES323&lt;&gt;"",IF(AS323=1,"",EW322)=""),1,IF(AS323=1,"",EW322)+1),""))))</f>
        <v/>
      </c>
      <c r="EW323" t="str">
        <f t="shared" ref="EW323:EW386" si="495">IF(EV323&lt;&gt;"",EV323,IF(OR(OR(AS323=1,A323&lt;&gt;A322),AI323="-",ES323&lt;&gt;""),"",IF(AS323=1,"",EW322)))</f>
        <v/>
      </c>
      <c r="EX323">
        <f t="shared" ref="EX323:EX352" si="496">IF(AJ323="б/к",0,IF(OR(ISNUMBER(SEARCH("L=",CH323)),AJ323="+",AJ323="="),1,0))</f>
        <v>1</v>
      </c>
      <c r="EY323" t="str">
        <f>IF(AK323="нет","",IF(AK323&lt;&gt;"",AK323,IF(EX323=1,"XT"&amp;COUNTIFS(A$3:A323,A323,EX$3:EX323,1),"")))</f>
        <v>XT6</v>
      </c>
      <c r="EZ323" t="str">
        <f t="shared" ref="EZ323:EZ352" si="497">IF(OR(D323&lt;&gt;"",EV323&lt;&gt;"",EX323=1),EK323,"")</f>
        <v>QF6</v>
      </c>
      <c r="FA323" t="str">
        <f t="shared" ref="FA323:FA352" si="498">IF(OR(EV323&lt;&gt;"",AND(AI323&lt;&gt;"",AI323&lt;&gt;"-")),ET323,"")</f>
        <v/>
      </c>
      <c r="FB323" t="str">
        <f t="shared" ref="FB323:FB352" si="499">IF(AD323="","",IF(NOT(ISNUMBER(EQ323)),"",IF(EC323&gt;EQ323,"ПЕРЕГРУЗ",IF(AND(EM323=0,EF323&gt;0,EQ323&gt;EF323),"КАБЕЛЬ НЕ ЗАЩИЩЁН","ok"))))</f>
        <v>ok</v>
      </c>
      <c r="FC323" t="str">
        <f>IF(OR(EV323="",ET323=""),"",IF(EV323&gt;IFERROR(VLOOKUP(EU323,Модули_спр,3,FALSE),99),"ЛИШНИЙ КАНАЛ",IF(AND(AJ323&lt;&gt;"=",COUNTIFS(Линии[_модуль гр.],ET323,Линии[Канал (итог)],EV323,Линии[Канал],"&lt;&gt;=",Линии[Щит],A323)&gt;1),"ДУБЛЬ КАНАЛА","")))</f>
        <v/>
      </c>
      <c r="FD323">
        <f t="shared" ref="FD323:FD352" si="500">IF(AD323&lt;&gt;"",EQ323,IF(EK323="","",IF(AS323=1,"",FD322)))</f>
        <v>16</v>
      </c>
      <c r="FE323" t="str">
        <f t="shared" ref="FE323:FE352" si="501">IF(AD323&lt;&gt;"",EP323,IF(EK323="","",IF(AS323=1,"",FE322)))</f>
        <v>1P С16А</v>
      </c>
      <c r="FF323">
        <f t="shared" ref="FF323:FF352" si="502">IF(AD323&lt;&gt;"",EI323,IF(EK323="","",IF(AS323=1,"",FF322)))</f>
        <v>0</v>
      </c>
      <c r="FG323">
        <f t="shared" ref="FG323:FG352" si="503">IF(AD323&lt;&gt;"",EH323,IF(EK323="","",IF(AS323=1,"",FG322)))</f>
        <v>0</v>
      </c>
      <c r="FH323" t="str">
        <f t="shared" ref="FH323:FH352" si="504">IFERROR(IF(ISNUMBER(CL323),CL323/IFERROR(--FD323,N(BO323)),""),"")</f>
        <v/>
      </c>
      <c r="FI323">
        <f t="shared" ref="FI323:FI352" si="505">IF(OR(ISNUMBER(SEARCH(" B"," "&amp;FE323)),ISNUMBER(SEARCH(" В"," "&amp;FE323))),5,IF(ISNUMBER(SEARCH(" D"," "&amp;FE323)),20,10))</f>
        <v>10</v>
      </c>
      <c r="FJ323" t="str">
        <f t="shared" ref="FJ323:FJ386" si="506">IF(NOT(ISNUMBER(FH323)),"",IF(FH323&gt;=FI323,"ok",IF(N(FF323)=1,"ok (дифзащита "&amp;FG323&amp;" мА)","мало: Iкз &lt; "&amp;FI323&amp;"·In")))</f>
        <v/>
      </c>
      <c r="FK323" t="str">
        <f>IF(AND(D323="",EZ323=""),"",_xlfn.TEXTJOIN("; ",TRUE,IF(AND(D323&lt;&gt;"",DD323=""),"нет фазы",""),IF(AND(D323&lt;&gt;"",N(DT323)=0,CN323&lt;&gt;"Нет"),"нет мощности",""),IF(AND(EY323&lt;&gt;"",COUNTIFS(Линии[Щит],A323,Линии[Клемма (итог)],EY323)&gt;1),"дубль клеммы "&amp;EY323,""),IF(AND(FB323&lt;&gt;"",FB323&lt;&gt;"ok"),FB323,""),IF(FC323&lt;&gt;"",FC323,""),IF(AND(ISNUMBER(SEARCH("(5х",DS323)),N(DV323)=1),"5 жил на 1 фазе",""),IF(AND(AT323="R",AD323&lt;&gt;"",OR(N(EH323)=0,N(EH323)&gt;30)),"розетка без дифзащиты до 30 мА",""),IFERROR(IF(AND(ISNUMBER(CD323),CD323&gt;CE323),"потери "&amp;FIXED(CD323,1)&amp;" % &gt; "&amp;CE323&amp;" %",""),""),IFERROR(IF(LEFT(FJ323,4)="мало","Iкз мало — отключение &gt; 0,4 с",""),""),IF(AND(D323&lt;&gt;"",BD323=""),"не на схеме","")))</f>
        <v/>
      </c>
      <c r="FL323">
        <f>IF(AD323="","",_xlfn.LET(_xlpm.t,IFERROR(_xlfn.XLOOKUP(EP323,Каталог!$U$4:$U$500,Каталог!$G$4:$G$500),""),_xlpm.k,SEARCH("кА",_xlpm.t),IFERROR(--TRIM(RIGHT(SUBSTITUTE(MID(_xlpm.t,MAX(1,_xlpm.k-4),_xlpm.k-MAX(1,_xlpm.k-4))," ",REPT(" ",9)),5)),"")))</f>
        <v>6</v>
      </c>
      <c r="FM323" t="str">
        <f>IF(OR(FL323="",AD323=""),"",IF(_xlfn.XLOOKUP(A323,Щиты[Щит],Щиты[Iкз max на шинах, кА],"")="","",IF(FL323&lt;_xlfn.XLOOKUP(A323,Щиты[Щит],Щиты[Iкз max на шинах, кА]),"Icu "&amp;FL323&amp;" кА &lt; Iкз max","ok")))</f>
        <v/>
      </c>
      <c r="FN323" t="str">
        <f t="shared" ref="FN323:FN352" si="507">IF(OR(AL323="вручную",BD323="",AND(D323="",EY323="")),"",_xlfn.TEXTJOIN("|",TRUE,EK323,SUBSTITUTE(EL323," → ","|"),IF(ET323&lt;&gt;"",ET323&amp;IF(EV323&lt;&gt;""," к."&amp;EV323,""),""),EY323))</f>
        <v>QF6|XT6</v>
      </c>
      <c r="FO323" t="str">
        <f t="shared" ref="FO323:FO386" si="508">IF(FN323="","",FN323&amp;IF(D323&lt;&gt;"","|кабель "&amp;CG323&amp;" → "&amp;AZ323,""))</f>
        <v>QF6|XT6|кабель ВВГнг(А)-LS (3х2,5) → Насос дренажный Подвальный этаж Пом. №005Т</v>
      </c>
      <c r="FP323" t="str" cm="1">
        <f t="array" ref="FP323">IF(FO323="","",_xlfn.LET(_xlpm.nd,_xlfn.TEXTSPLIT(FO323,"|"),IF(COLUMNS(_xlpm.nd)&gt;1,A323&amp;"¦"&amp;INDEX(_xlpm.nd,1)&amp;"¦"&amp;INDEX(_xlpm.nd,2),"")))</f>
        <v>ЩС-ВК.001¦QF6¦XT6</v>
      </c>
      <c r="FQ323" t="str">
        <f t="shared" ref="FQ323:FQ386" si="509">IF(FP323="","",D323&amp;"¦"&amp;AZ323)</f>
        <v>НВК.00.005Т.2¦Насос дренажный Подвальный этаж Пом. №005Т</v>
      </c>
      <c r="FR323" t="str" cm="1">
        <f t="array" ref="FR323">IF(FO323="","",_xlfn.LET(_xlpm.nd,_xlfn.TEXTSPLIT(FO323,"|"),IF(COLUMNS(_xlpm.nd)&gt;2,A323&amp;"¦"&amp;INDEX(_xlpm.nd,2)&amp;"¦"&amp;INDEX(_xlpm.nd,3),"")))</f>
        <v>ЩС-ВК.001¦XT6¦кабель ВВГнг(А)-LS (3х2,5) → Насос дренажный Подвальный этаж Пом. №005Т</v>
      </c>
      <c r="FS323" t="str">
        <f t="shared" ref="FS323:FS386" si="510">IF(FR323="","",D323&amp;"¦"&amp;AZ323)</f>
        <v>НВК.00.005Т.2¦Насос дренажный Подвальный этаж Пом. №005Т</v>
      </c>
      <c r="FT323" t="str" cm="1">
        <f t="array" ref="FT323">IF(FO323="","",_xlfn.LET(_xlpm.nd,_xlfn.TEXTSPLIT(FO323,"|"),IF(COLUMNS(_xlpm.nd)&gt;3,A323&amp;"¦"&amp;INDEX(_xlpm.nd,3)&amp;"¦"&amp;INDEX(_xlpm.nd,4),"")))</f>
        <v/>
      </c>
      <c r="FU323" t="str">
        <f t="shared" ref="FU323:FU386" si="511">IF(FT323="","",D323&amp;"¦"&amp;AZ323)</f>
        <v/>
      </c>
      <c r="FV323" t="str" cm="1">
        <f t="array" ref="FV323">IF(FO323="","",_xlfn.LET(_xlpm.nd,_xlfn.TEXTSPLIT(FO323,"|"),IF(COLUMNS(_xlpm.nd)&gt;4,A323&amp;"¦"&amp;INDEX(_xlpm.nd,4)&amp;"¦"&amp;INDEX(_xlpm.nd,5),"")))</f>
        <v/>
      </c>
      <c r="FW323" t="str">
        <f t="shared" ref="FW323:FW386" si="512">IF(FV323="","",D323&amp;"¦"&amp;AZ323)</f>
        <v/>
      </c>
      <c r="FX323" t="str" cm="1">
        <f t="array" ref="FX323">IF(FO323="","",_xlfn.LET(_xlpm.nd,_xlfn.TEXTSPLIT(FO323,"|"),IF(COLUMNS(_xlpm.nd)&gt;5,A323&amp;"¦"&amp;INDEX(_xlpm.nd,5)&amp;"¦"&amp;INDEX(_xlpm.nd,6),"")))</f>
        <v/>
      </c>
      <c r="FY323" t="str">
        <f t="shared" ref="FY323:FY386" si="513">IF(FX323="","",D323&amp;"¦"&amp;AZ323)</f>
        <v/>
      </c>
      <c r="FZ323" t="str" cm="1">
        <f t="array" ref="FZ323">IF(FO323="","",_xlfn.LET(_xlpm.nd,_xlfn.TEXTSPLIT(FO323,"|"),IF(COLUMNS(_xlpm.nd)&gt;6,A323&amp;"¦"&amp;INDEX(_xlpm.nd,6)&amp;"¦"&amp;INDEX(_xlpm.nd,7),"")))</f>
        <v/>
      </c>
      <c r="GA323" t="str">
        <f t="shared" ref="GA323:GA386" si="514">IF(FZ323="","",D323&amp;"¦"&amp;AZ323)</f>
        <v/>
      </c>
      <c r="GB323" t="str">
        <f t="shared" ref="GB323:GB352" si="515">IF(FA323="","",EU323)</f>
        <v/>
      </c>
      <c r="GC323" t="str">
        <f t="shared" ref="GC323:GC352" si="516">IF(AND(D323="",EV323="",EY323=""),"",_xlfn.TEXTJOIN(" → ",TRUE,EK323,EL323,IF(ET323&lt;&gt;"",ET323&amp;IF(EV323&lt;&gt;""," к."&amp;EV323,""),IF(EV323&lt;&gt;"","к."&amp;EV323,"")),EY323,IF(DX323=1,"(в кабель выше)","")))</f>
        <v>QF6 → XT6</v>
      </c>
      <c r="GD323">
        <f t="shared" ref="GD323:GD352" si="517">IF(OR(BD323="",AL323="вручную",AND(BE323="вводной узел",AL323&lt;&gt;"рисовать")),0,1)</f>
        <v>1</v>
      </c>
      <c r="GE323">
        <f t="shared" ref="GE323:GE352" si="518">IF(AC323="",0,1)</f>
        <v>0</v>
      </c>
      <c r="GF323">
        <f t="shared" ref="GF323:GF352" si="519">IF(EJ323="",0,IF(LEFT(EJ323,3)="QFD",1,0))</f>
        <v>0</v>
      </c>
      <c r="GG323" t="str">
        <f t="shared" ref="GG323:GG352" si="520">IF(AJ323="=","=",IF(AJ323="+","+",IF(AJ323="р","R","")))</f>
        <v/>
      </c>
      <c r="GH323" t="str">
        <f t="shared" ref="GH323:GH352" si="521">IF(AF323="","",IF(OR(LEFT(AF323,1)="T",LEFT(AF323,1)="Т"),"T",IF(LEFT(UPPER(AF323),2)="БП","PS",IF(OR(LEFT(UPPER(AF323),2)="МК",LEFT(UPPER(AF323),2)="MK"),"MK",IF(OR(LEFT(UPPER(AF323),2)="КМ",LEFT(UPPER(AF323),2)="KM"),"KM","X")))))</f>
        <v/>
      </c>
      <c r="GI323" t="str">
        <f t="shared" ref="GI323:GI352" si="522">IF(AG323="","",IF(OR(LEFT(AG323,1)="T",LEFT(AG323,1)="Т"),"T",IF(LEFT(UPPER(AG323),2)="БП","PS",IF(OR(LEFT(UPPER(AG323),2)="МК",LEFT(UPPER(AG323),2)="MK"),"MK",IF(OR(LEFT(UPPER(AG323),2)="КМ",LEFT(UPPER(AG323),2)="KM"),"KM","X")))))</f>
        <v/>
      </c>
      <c r="GJ323" t="str">
        <f t="shared" ref="GJ323:GJ352" si="523">IF(AH323="","",IF(OR(LEFT(AH323,1)="T",LEFT(AH323,1)="Т"),"T",IF(LEFT(UPPER(AH323),2)="БП","PS",IF(OR(LEFT(UPPER(AH323),2)="МК",LEFT(UPPER(AH323),2)="MK"),"MK",IF(OR(LEFT(UPPER(AH323),2)="КМ",LEFT(UPPER(AH323),2)="KM"),"KM","X")))))</f>
        <v/>
      </c>
      <c r="GK323">
        <f>IF(D323="","",IFERROR(VLOOKUP(D323,УГО_спр,2,FALSE),IFERROR(VLOOKUP(AT323,УГО_спр,2,FALSE),IFERROR(VLOOKUP(LEFT(AT323,2),УГО_спр,2,FALSE),""))))</f>
        <v>0</v>
      </c>
      <c r="GL323" t="str">
        <f>IF(D323="","",IF(OR(GK323="",GK323=0),"BOX",IFERROR(IF(VLOOKUP(GK323,УГО_блоки,3,FALSE)&amp;""&lt;&gt;"",VLOOKUP(GK323,УГО_блоки,3,FALSE),VLOOKUP(GK323,УГО_блоки,2,FALSE)),GK323)))</f>
        <v>BOX</v>
      </c>
      <c r="GM323">
        <f t="shared" ref="GM323:GM352" si="524">IF(D323="",0,1)</f>
        <v>1</v>
      </c>
      <c r="GN323" t="str">
        <f>IF(EP323="","",IF(COUNTIF(EP$3:EP323,EP323)=1,MAX(GN$2:GN322)+1,""))</f>
        <v/>
      </c>
      <c r="GO323" t="str">
        <f>IF(AF323="","",IF(COUNTIF(AF$3:AF323,AF323)+COUNTIF(AG$2:AG322,AF323)+COUNTIF(AH$2:AH322,AF323)=1,MAX(GO$2:GQ322)+1,""))</f>
        <v/>
      </c>
      <c r="GP323" t="str">
        <f>IF(AG323="","",IF(COUNTIF(AF$3:AF323,AG323)+COUNTIF(AG$3:AG323,AG323)+COUNTIF(AH$2:AH322,AG323)=1,MAX(GO$2:GQ322,GO323)+1,""))</f>
        <v/>
      </c>
      <c r="GQ323" t="str">
        <f>IF(AH323="","",IF(COUNTIF(AF$3:AF323,AH323)+COUNTIF(AG$3:AG323,AH323)+COUNTIF(AH$3:AH323,AH323)=1,MAX(GO$2:GQ322,GO323,GP323)+1,""))</f>
        <v/>
      </c>
      <c r="GR323" t="str">
        <f t="shared" ref="GR323:GR352" si="525">IF(EX323=1,IFERROR(MID(DS323,FIND(" (",DS323)+2,FIND(")",DS323,FIND(" (",DS323))-FIND(" (",DS323)-2),"?"),"")</f>
        <v>3х2,5</v>
      </c>
      <c r="GS323" t="str">
        <f>IF(GR323="","",IF(COUNTIF(GR$3:GR323,GR323)=1,MAX(GS$2:GS322)+1,""))</f>
        <v/>
      </c>
      <c r="GT323" t="str">
        <f>IF(ES323="","",COUNTIF(ES$3:ES323,"?*"))</f>
        <v/>
      </c>
      <c r="GU323" t="str">
        <f>IF(OR(ES323="",EU323=""),"",IF(COUNTIFS(ES$3:ES323,"?*",EU$3:EU323,EU323)=1,MAX(GU$2:GU322)+1,""))</f>
        <v/>
      </c>
      <c r="GV323">
        <f t="shared" ref="GV323:GV352" si="526">IF(FK323="",0,IF(OR(ISNUMBER(SEARCH("дубль",FK323)),ISNUMBER(SEARCH("ПЕРЕГРУЗ",FK323)),ISNUMBER(SEARCH("ЗАЩИЩ",FK323)),ISNUMBER(SEARCH("КАНАЛ",FK323)),ISNUMBER(SEARCH("без диф",FK323))),2,1))</f>
        <v>0</v>
      </c>
      <c r="GW323">
        <f>IF(D323="","",COUNTIF(D$3:D323,"?*"))</f>
        <v>321</v>
      </c>
      <c r="GX323">
        <f>IF(EX323&lt;&gt;1,0,_xlfn.LET(_xlpm.k,MAX(IFERROR(--VLOOKUP(D323,УГО_спр,5,FALSE),0),IFERROR(--VLOOKUP(AT323,УГО_спр,5,FALSE),0),IFERROR(--VLOOKUP(LEFT(AT323,2),УГО_спр,5,FALSE),0)),IF(_xlpm.k&gt;0,_xlpm.k,IF(IFERROR(--LEFT(SUBSTITUTE(GR323,"x","х"),FIND("х",SUBSTITUTE(GR323,"x","х"))-1),3)&gt;3,Каталог!$S$9,1))))</f>
        <v>1</v>
      </c>
      <c r="GY323">
        <f t="shared" ref="GY323:GY386" si="527">IF(EX323&lt;&gt;1,0,MAX(0,IFERROR(--LEFT(SUBSTITUTE(GR323,"x","х"),FIND("х",SUBSTITUTE(GR323,"x","х"))-1),3)-3*GX323))</f>
        <v>0</v>
      </c>
    </row>
    <row r="324" spans="1:207" x14ac:dyDescent="0.3">
      <c r="A324" t="s">
        <v>768</v>
      </c>
      <c r="B324">
        <v>16</v>
      </c>
      <c r="C324" t="str">
        <f>IF(BD324="","",IF(BE324="вводной узел","узел ","")&amp;"л."&amp;(INT((BD324-1)/Столбцов_на_лист)+1)&amp;" / "&amp;(MOD(BD324-1,Столбцов_на_лист)+1))</f>
        <v>л.1 / 16</v>
      </c>
      <c r="D324" t="s">
        <v>1661</v>
      </c>
      <c r="E324" s="133" t="s">
        <v>1662</v>
      </c>
      <c r="G324">
        <v>0.2</v>
      </c>
      <c r="H324">
        <v>2</v>
      </c>
      <c r="I324">
        <v>1</v>
      </c>
      <c r="J324">
        <v>230</v>
      </c>
      <c r="K324" t="s">
        <v>602</v>
      </c>
      <c r="L324">
        <v>0.5</v>
      </c>
      <c r="O324">
        <v>1</v>
      </c>
      <c r="P324">
        <v>13</v>
      </c>
      <c r="Q324">
        <v>4</v>
      </c>
      <c r="R324">
        <v>15</v>
      </c>
      <c r="S324">
        <v>0</v>
      </c>
      <c r="T324">
        <v>1</v>
      </c>
      <c r="U324" t="s">
        <v>11</v>
      </c>
      <c r="V324">
        <v>3</v>
      </c>
      <c r="W324">
        <v>2.5</v>
      </c>
      <c r="X324">
        <v>16</v>
      </c>
      <c r="Z324" t="s">
        <v>608</v>
      </c>
      <c r="AA324" t="s">
        <v>866</v>
      </c>
      <c r="AD324" t="s">
        <v>517</v>
      </c>
      <c r="AR324" t="str">
        <f t="shared" si="441"/>
        <v>категория I не обеспечена (есть II)</v>
      </c>
      <c r="AS324" cm="1">
        <f t="array" ref="AS324">ROW()-ROW(Линии[#Headers])</f>
        <v>322</v>
      </c>
      <c r="AT324" t="str">
        <f t="shared" si="442"/>
        <v>НВК</v>
      </c>
      <c r="AU324" t="str">
        <f t="shared" si="443"/>
        <v>00.002Т.1</v>
      </c>
      <c r="AV324" t="str">
        <f t="shared" si="444"/>
        <v>00</v>
      </c>
      <c r="AW324" t="str">
        <f t="shared" si="445"/>
        <v>002Т.1</v>
      </c>
      <c r="AX324" t="str">
        <f t="shared" si="446"/>
        <v>002Т</v>
      </c>
      <c r="AY324" t="str">
        <f>IF(D324="","",IF(ISERROR(SEARCH(".",D324)),IFERROR(VLOOKUP(D324,Потребители_обозначение,2,FALSE)&amp;"",""),IFERROR(IF(VLOOKUP(AT324,Потребители_обозначение,4,FALSE)=1,VLOOKUP(AT324,Потребители_обозначение,2,FALSE)&amp;" "&amp;VLOOKUP(AV324,Этаж_обозначение,2,FALSE)&amp;" Пом. №"&amp;AX324,VLOOKUP(AT324,Потребители_обозначение,2,FALSE)&amp;" Шлейф №"&amp;AV324),IFERROR(VLOOKUP(D324,Потребители_обозначение,2,FALSE),""))))</f>
        <v>Насос дренажный Подвальный этаж Пом. №002Т</v>
      </c>
      <c r="AZ324" t="str">
        <f t="shared" si="447"/>
        <v>циркуляционный насос Подвальный этаж Пом. №002Т</v>
      </c>
      <c r="BA324" t="str">
        <f>IF(F324&lt;&gt;"",F324,IF(AND(D324&lt;&gt;"",D324&lt;&gt;A324,ISNUMBER(_xlfn.XMATCH(D324,Щиты[Щит]))),D324,""))</f>
        <v/>
      </c>
      <c r="BB324">
        <f>IFERROR(_xlfn.XMATCH(A324,Щиты[Щит]),0)</f>
        <v>13</v>
      </c>
      <c r="BC324">
        <f>IFERROR(N(_xlfn.XLOOKUP(A324,Щиты[Щит],Щиты[Мест под вводной узел])),15)</f>
        <v>9</v>
      </c>
      <c r="BD324">
        <f t="shared" si="448"/>
        <v>16</v>
      </c>
      <c r="BE324" t="str">
        <f t="shared" si="449"/>
        <v>линии</v>
      </c>
      <c r="BF324">
        <f>IF(D324="","",IF(BA324&lt;&gt;"",IFERROR(_xlfn.XLOOKUP(BA324,Щиты[Щит],Щиты[Руст, кВт]),0),N(G324)))</f>
        <v>0.2</v>
      </c>
      <c r="BG324">
        <f>IF(J324&lt;&gt;"",J324,IF(D324="","",IFERROR(IF(VLOOKUP(AT324,Потребители_обозначение,8,FALSE)=0,"",VLOOKUP(AT324,Потребители_обозначение,8,FALSE)),"")))</f>
        <v>230</v>
      </c>
      <c r="BH324">
        <f>IF(I324&lt;&gt;"",I324,IF(D324="","",IFERROR(IF(VLOOKUP(AT324,Потребители_обозначение,9,FALSE)=0,"",VLOOKUP(AT324,Потребители_обозначение,9,FALSE)),"")))</f>
        <v>1</v>
      </c>
      <c r="BI324" t="str">
        <f>IF(U324&lt;&gt;"",U324,IF(D324="","",IFERROR(IF(VLOOKUP(AT324,Потребители_обозначение,6,FALSE)=0,"",VLOOKUP(AT324,Потребители_обозначение,6,FALSE)),"")))</f>
        <v>мс</v>
      </c>
      <c r="BJ324">
        <f>IF(V324&lt;&gt;"",V324,IF(D324="","",IFERROR(IF(VLOOKUP(AT324,Потребители_обозначение,7,FALSE)=0,"",VLOOKUP(AT324,Потребители_обозначение,7,FALSE)),"")))</f>
        <v>3</v>
      </c>
      <c r="BK324">
        <f>IF(W324&lt;&gt;"",W324,IF(D324="","",IFERROR(IF(VLOOKUP(AT324,Потребители_обозначение,10,FALSE)=0,"",VLOOKUP(AT324,Потребители_обозначение,10,FALSE)),"")))</f>
        <v>2.5</v>
      </c>
      <c r="BL324">
        <f>IFERROR(VLOOKUP(AT324,Потребители_обозначение,5,FALSE),0)</f>
        <v>1</v>
      </c>
      <c r="BM324" cm="1">
        <f t="array" ref="BM324">IF(D324="","",IF(BA324&lt;&gt;"",IFERROR(_xlfn.XLOOKUP(BA324,Щиты[Щит],Щиты[cos φ]),0.95),IF(ISNUMBER(M324),M324,IFERROR(IF(BL324=2,_xlfn.IFS(BH324=3,VLOOKUP(BF324,Справочная_двигатели,8,FALSE),BH324=1,VLOOKUP(BF324,Справочная_двигатели,10,TRUE)),IF(AND(Методика="нормы 2026",CN324="Сил"),0.8,0.95)),0.95))))</f>
        <v>0.95</v>
      </c>
      <c r="BN324" cm="1">
        <f t="array" ref="BN324">IF(D324="","",IF(BA324&lt;&gt;"",IFERROR(_xlfn.XLOOKUP(BA324,Щиты[Щит],Щиты[Iр, А]),""),IFERROR(_xlfn.IFS(BH324=1,BF324/((Uн_лин/SQRT(3))*BM324),BH324=3,BF324/(SQRT(3)*Uн_лин*BM324)),"")))</f>
        <v>0.911605688194146</v>
      </c>
      <c r="BO324">
        <f>IF(D324="","",IF(N(X324)=0,IFERROR(VLOOKUP(BN324,Автомат_номиналы,2,TRUE),""),X324))</f>
        <v>16</v>
      </c>
      <c r="BP324">
        <f t="shared" si="450"/>
        <v>1</v>
      </c>
      <c r="BQ324">
        <f>IF(ISNUMBER(Y324),Y324,К_прокл)</f>
        <v>1</v>
      </c>
      <c r="BR324">
        <f t="shared" si="451"/>
        <v>2</v>
      </c>
      <c r="BS324" cm="1">
        <f t="array" ref="BS324">IF(D324="","",IF(N(BK324)&lt;&gt;0,BK324,IFERROR(_xlfn.LET(_xlpm.need,BO324/(BP324*BQ324),_xlpm.t,CHOOSE(BR324,Iдоп_1ж,Iдоп_2ж,Iдоп_3ж),_xlpm.k,_xlfn.XMATCH(_xlpm.need,_xlpm.t,1),IF(ISNA(_xlpm.k),"Не исп",INDEX(Iдоп_S,_xlpm.k))),"Не исп")))</f>
        <v>2.5</v>
      </c>
      <c r="BT324">
        <f>IFERROR(VLOOKUP(BS324,Кабель_сопротивление,3,FALSE),"")</f>
        <v>2.2499999999999999E-2</v>
      </c>
      <c r="BU324">
        <f>IFERROR(VLOOKUP(BS324,Кабель_сопротивление,2,FALSE),"")</f>
        <v>0.1</v>
      </c>
      <c r="BV324">
        <f t="shared" si="452"/>
        <v>13</v>
      </c>
      <c r="BW324">
        <f>IF(D324="","",IFERROR(IF(VLOOKUP(AT324,Потребители_обозначение,4,FALSE)=1,VLOOKUP(AT324,Потребители_обозначение,3,FALSE)*(H324*2-1)+BV324+VLOOKUP(AV324,Этаж_обозначение,3,FALSE)+VLOOKUP(AV324,Этаж_обозначение,4,FALSE),VLOOKUP(AT324,Потребители_обозначение,3,FALSE)*(H324*2-1)+BV324),BV324))</f>
        <v>22</v>
      </c>
      <c r="BX324">
        <f t="shared" si="453"/>
        <v>15</v>
      </c>
      <c r="BY324">
        <f t="shared" si="454"/>
        <v>0</v>
      </c>
      <c r="BZ324">
        <f t="shared" si="455"/>
        <v>2</v>
      </c>
      <c r="CA324">
        <f t="shared" si="456"/>
        <v>0.31</v>
      </c>
      <c r="CB324">
        <f t="shared" si="457"/>
        <v>0.34418949005733451</v>
      </c>
      <c r="CC324">
        <f>IFERROR(ROUNDUP(CB324/((Uн_лин/SQRT(3))*1000)*100,2),"")</f>
        <v>0.15000000000000002</v>
      </c>
      <c r="CD324">
        <f>IF(ISNUMBER(CC324),CC324+IFERROR(_xlfn.XLOOKUP(A324,Щиты[Щит],Щиты[ΔU до шин, %]),0),"")</f>
        <v>2.04</v>
      </c>
      <c r="CE324">
        <f>IF(D324="","",IF(IFERROR(VLOOKUP(AT324,УГО_спр,2,FALSE),"")="Светильник",3,4)+IF(Методика="нормы 2026",MIN(0.5,MAX(0,N(BW324)-100)*0.005),0))</f>
        <v>4</v>
      </c>
      <c r="CF324" t="str">
        <f>IFERROR(VLOOKUP(BI324,Кабель_обозначение,2,FALSE),"")</f>
        <v>ВВГнг(А)-LS</v>
      </c>
      <c r="CG324" t="str">
        <f>IFERROR(IF(VLOOKUP(BI324,Кабель_обозначение,3,FALSE)=1,CF324&amp;" ("&amp;BJ324&amp;"х"&amp;BS324&amp;")",CF324),"")</f>
        <v>ВВГнг(А)-LS (3х2,5)</v>
      </c>
      <c r="CH324" t="str">
        <f t="shared" si="458"/>
        <v>ВВГнг(А)-LS (3х2,5)
L=22-0,15%</v>
      </c>
      <c r="CI324">
        <f>IFERROR(2*ρкз_Cu*BW324/BS324,"")</f>
        <v>0.46288000000000001</v>
      </c>
      <c r="CJ324">
        <f t="shared" si="459"/>
        <v>0.154</v>
      </c>
      <c r="CK324" t="str">
        <f>IFERROR(IF(OR(D324="",NOT(ISNUMBER(BS324)),N(BW324)=0),"",_xlfn.XLOOKUP(A324,Щиты[Щит],Щиты[Zпетли на шинах, Ом])+CI324),"")</f>
        <v/>
      </c>
      <c r="CL324" t="str">
        <f>IF(ISNUMBER(CK324),c_min*(Uн_лин*1000/SQRT(3))/CK324,"")</f>
        <v/>
      </c>
      <c r="CM324" t="str">
        <f>IFERROR(IF(OR(D324="",NOT(ISNUMBER(BS324))),"",1.05*(Uн_лин*1000/SQRT(3))/(_xlfn.XLOOKUP(A324,Щиты[Щит],Щиты[Zmax на шинах, Ом])+CJ324)/1000),"")</f>
        <v/>
      </c>
      <c r="CN324" t="str">
        <f>IF(D324="","",IF(BA324&lt;&gt;"","Щит",IF(K324&lt;&gt;"",K324,IF(ISNUMBER(L324),"Сил",IF(IFERROR(_xlfn.XLOOKUP(AT324,Коды_код,Коды_группа)&amp;"","")="","Быт",_xlfn.XLOOKUP(AT324,Коды_код,Коды_группа)&amp;"")))))</f>
        <v>Сил</v>
      </c>
      <c r="CO324">
        <f>IF(CN324="Щит","щит",IF(CN324="","",IF(CN324="Быт",IFERROR(_xlfn.XLOOKUP(A324,Щиты[Щит],Щиты[Кс быт]),1),IF(CN324="Сил",IF(ISNUMBER(L324),L324,IF(Методика="нормы 2026",IFERROR(_xlfn.XLOOKUP(A324,Щиты[Щит],Щиты[Кс силовых (табл. 7.5)]),1),1)),IF(OR(CN324="Пост",CN324="Отоп"),1,IF(CN324="ВНГ",0.7,0))))))</f>
        <v>0.5</v>
      </c>
      <c r="CP324">
        <f t="shared" si="460"/>
        <v>1</v>
      </c>
      <c r="CQ324">
        <f t="shared" si="461"/>
        <v>0.2</v>
      </c>
      <c r="CR324">
        <f t="shared" si="462"/>
        <v>0</v>
      </c>
      <c r="CS324">
        <f t="shared" si="463"/>
        <v>0.1</v>
      </c>
      <c r="CT324">
        <f t="shared" si="464"/>
        <v>0</v>
      </c>
      <c r="CU324">
        <f t="shared" si="465"/>
        <v>0</v>
      </c>
      <c r="CV324">
        <f t="shared" si="466"/>
        <v>0</v>
      </c>
      <c r="CW324">
        <f t="shared" si="467"/>
        <v>0.2</v>
      </c>
      <c r="CX324">
        <f t="shared" si="468"/>
        <v>0.19</v>
      </c>
      <c r="CY324">
        <f t="shared" si="469"/>
        <v>2</v>
      </c>
      <c r="CZ324" t="str">
        <f t="shared" si="470"/>
        <v>L2</v>
      </c>
      <c r="DA324" cm="1">
        <f t="array" ref="DA324">IFERROR(IF(BL324=2,_xlfn.IFS(BH324=3,VLOOKUP(BF324,Справочная_двигатели,3,FALSE),BH324=1,VLOOKUP(BF324,Справочная_двигатели,5,TRUE)),0),0)</f>
        <v>0</v>
      </c>
      <c r="DB324">
        <f>IFERROR(IF(BL324=3,VLOOKUP(BF324,Справочная_ЛЭД,2,TRUE),0),0)</f>
        <v>0</v>
      </c>
      <c r="DC324">
        <f t="shared" si="471"/>
        <v>0</v>
      </c>
      <c r="DD324" t="str">
        <f t="shared" si="472"/>
        <v>L1</v>
      </c>
      <c r="DE324" t="str" cm="1">
        <f t="array" ref="DE324">IF(D324="","",IFERROR(INDEX({"I особая","I","II","III"},MATCH(TRIM(AA324&amp;""),{"I особая","I","II","III"},0)),"III"))</f>
        <v>I</v>
      </c>
      <c r="DF324" t="str">
        <f>IF(D324="","",IF(TRIM(AB324&amp;"")&lt;&gt;"",IF(LOWER(TRIM(AB324&amp;""))="да","да","нет"),IF(IFERROR(_xlfn.XLOOKUP(AT324,Коды_код,Коды_пожарная),"")="да","да","нет")))</f>
        <v>нет</v>
      </c>
      <c r="DG324" t="str">
        <f t="shared" si="473"/>
        <v/>
      </c>
      <c r="DH324" t="str">
        <f t="shared" si="474"/>
        <v>основная</v>
      </c>
      <c r="DI324">
        <f t="shared" si="475"/>
        <v>1</v>
      </c>
      <c r="DJ324" t="str" cm="1">
        <f t="array" ref="DJ324">IF(D324="","",_xlfn.LET(_xlpm.t,IFERROR(_xlfn.XLOOKUP(1,(Шины[Шина]=DH324)*(((Шины[Щит]=A324)+(Шины[Щит]=""))&gt;0),Шины[Тип]),"")&amp;"",IF(_xlpm.t&lt;&gt;"",_xlpm.t,IF(ISNUMBER(SEARCH("ИБП",DH324)),"ИБП",IF(ISNUMBER(SEARCH("ДГУ",DH324)),"ДГУ","Ввод "&amp;DI324)))))</f>
        <v>Ввод 1</v>
      </c>
      <c r="DK324" t="str">
        <f t="shared" si="476"/>
        <v>Ввод 1</v>
      </c>
      <c r="DL324" t="str">
        <f>IF(D324="","",IF(OR(DJ324="ИБП",DJ324="ДГУ"),"I особая",IF(DJ324="Одиночная","III",_xlfn.XLOOKUP(A324,Щиты[Щит],Щиты[Категория шины «Ввод»],"III"))))</f>
        <v>II</v>
      </c>
      <c r="DM324">
        <f>IF(D324="",0,IFERROR(MATCH(DE324,{"III","II","I","I особая"},0),1))</f>
        <v>3</v>
      </c>
      <c r="DN324">
        <f t="shared" si="477"/>
        <v>3</v>
      </c>
      <c r="DO324" t="str">
        <f>IF(D324="","",IF(DM324&gt;IFERROR(MATCH(DL324,{"III","II","I","I особая"},0),1),"НЕ ОБЕСПЕЧЕНА","ОК"))</f>
        <v>НЕ ОБЕСПЕЧЕНА</v>
      </c>
      <c r="DP324" t="str">
        <f>IF(A324="","",_xlfn.XLOOKUP(A324,Щиты[Щит],Щиты[Путь],""))</f>
        <v>|ГРЩ-ЖД|ЩС-ВК.001|</v>
      </c>
      <c r="DQ324" t="str">
        <f>IF(D324="","",IF(Z324&lt;&gt;"",Z324,IF(IFERROR(_xlfn.XLOOKUP(AT324,Коды_код,Коды_вид)&amp;"","")="","Прочее",_xlfn.XLOOKUP(AT324,Коды_код,Коды_вид)&amp;"")))</f>
        <v>Насосы (водоснабжение, дренаж)</v>
      </c>
      <c r="DR324">
        <f>IF(BD324="","",INT((BD324-1)/Столбцов_на_лист)+1)</f>
        <v>1</v>
      </c>
      <c r="DS324" t="str">
        <f t="shared" si="478"/>
        <v>ВВГнг(А)-LS (3х2,5) L=22-0,15%</v>
      </c>
      <c r="DT324">
        <f t="shared" si="479"/>
        <v>0.2</v>
      </c>
      <c r="DU324">
        <f t="shared" si="480"/>
        <v>0.92</v>
      </c>
      <c r="DV324">
        <f t="shared" si="481"/>
        <v>1</v>
      </c>
      <c r="DW324">
        <f>IF(AT324="",0,_xlfn.LET(_xlpm.v,IFERROR(VLOOKUP(D324,УГО_спр,3,FALSE),IFERROR(VLOOKUP(AT324,УГО_спр,3,FALSE),IFERROR(VLOOKUP(LEFT(AT324,2),УГО_спр,3,FALSE),""))),IF(_xlpm.v="да",30,IF(ISNUMBER(_xlpm.v),_xlpm.v,0))))</f>
        <v>0</v>
      </c>
      <c r="DX324">
        <f t="shared" si="482"/>
        <v>0</v>
      </c>
      <c r="DY324">
        <f>IF(BD324="","",IF(AD324&lt;&gt;"",COUNTIFS(A$3:A324,A324,AD$3:AD324,"?*"),IF(OR(OR(AS324=1,A324&lt;&gt;A323),AL324="вручную"),"",IF(AS324=1,"",DZ323))))</f>
        <v>7</v>
      </c>
      <c r="DZ324">
        <f t="shared" si="483"/>
        <v>7</v>
      </c>
      <c r="EA324">
        <f>IF(D324="",0,MAX(IFERROR(--X324,0),IFERROR(--VLOOKUP(D324,УГО_спр,4,FALSE),IFERROR(--VLOOKUP(AT324,УГО_спр,4,FALSE),IFERROR(--VLOOKUP(LEFT(AT324,2),УГО_спр,4,FALSE),0)))))</f>
        <v>16</v>
      </c>
      <c r="EB324">
        <f>IF(D324="","",IFERROR(LOOKUP(INDEX(CHOOSE(BR324,Iдоп_1ж,Iдоп_2ж,Iдоп_3ж),MATCH(BS324,Iдоп_S,0))*BP324*BQ324,{6,10,16,20,25,32,40,50,63,80,100,125,160,200,250,315,400,500,630}),""))</f>
        <v>25</v>
      </c>
      <c r="EC324">
        <f>IF(AD324="","",SUMIFS(Линии[_Ток схемы],Линии[_гр.],DY324,Линии[Щит],A324,Линии[_в кабель выше],0))</f>
        <v>0.92</v>
      </c>
      <c r="ED324">
        <f>IF(AD324="","",IFERROR(VLOOKUP(EC324,Автомат_номиналы,2,TRUE),""))</f>
        <v>6</v>
      </c>
      <c r="EE324">
        <f>IF(AD324="","",MAX(N(ED324),_xlfn.MAXIFS(Линии[_мин. по типу],Линии[_гр.],DY324,Линии[Щит],A324)))</f>
        <v>16</v>
      </c>
      <c r="EF324">
        <f>IF(AD324="","",_xlfn.MINIFS(Линии[_макс. автомат по кабелю],Линии[_гр.],DY324,Линии[Щит],A324))</f>
        <v>25</v>
      </c>
      <c r="EG324">
        <f>IF(AD324="","",MAX(1,_xlfn.MAXIFS(Линии[_фаз],Линии[_гр.],DY324,Линии[Щит],A324)))</f>
        <v>1</v>
      </c>
      <c r="EH324">
        <f>IF(AD324="","",IF(AND(AD324&lt;&gt;"авто",AD324&lt;&gt;"+"),IF(ISNUMBER(SEARCH("мА",AD324)),IFERROR(--TRIM(RIGHT(SUBSTITUTE(LEFT(AD324,SEARCH("мА",AD324)-1)," ",REPT(" ",9)),6)),30),0),IF(AE324="нет",0,IF(ISNUMBER(AE324),AE324,IF(AE324="да",30,_xlfn.MINIFS(Линии[_дифзащита по коду, мА],Линии[_гр.],DY324,Линии[Щит],A324,Линии[_дифзащита по коду, мА],"&gt;0"))))))</f>
        <v>0</v>
      </c>
      <c r="EI324">
        <f t="shared" si="484"/>
        <v>0</v>
      </c>
      <c r="EJ324" t="str">
        <f t="shared" si="485"/>
        <v>QF7</v>
      </c>
      <c r="EK324" t="str">
        <f t="shared" si="486"/>
        <v>QF7</v>
      </c>
      <c r="EL324" t="str">
        <f t="shared" si="487"/>
        <v/>
      </c>
      <c r="EM324">
        <f t="shared" si="488"/>
        <v>0</v>
      </c>
      <c r="EN324">
        <f>IF(AD324="","",IF(EM324=1,MAX(EE324,Мин_автомат_БП),EE324))</f>
        <v>16</v>
      </c>
      <c r="EO324" t="str">
        <f t="shared" si="489"/>
        <v>1P</v>
      </c>
      <c r="EP324" t="str">
        <f t="shared" si="490"/>
        <v>1P С16А</v>
      </c>
      <c r="EQ324">
        <f t="shared" si="491"/>
        <v>16</v>
      </c>
      <c r="ER324" t="str">
        <f>IF(OR(AI324="",AI324="-"),"",IFERROR(VLOOKUP(AI324,Модули_спр,2,FALSE),"R"))</f>
        <v/>
      </c>
      <c r="ES324" t="str">
        <f>IF(ER324="","",ER324&amp;"."&amp;COUNTIFS(A$3:A324,A324,ER$3:ER324,ER324))</f>
        <v/>
      </c>
      <c r="ET324" t="str">
        <f t="shared" si="492"/>
        <v/>
      </c>
      <c r="EU324" t="str">
        <f t="shared" si="493"/>
        <v/>
      </c>
      <c r="EV324" t="str">
        <f t="shared" si="494"/>
        <v/>
      </c>
      <c r="EW324" t="str">
        <f t="shared" si="495"/>
        <v/>
      </c>
      <c r="EX324">
        <f t="shared" si="496"/>
        <v>1</v>
      </c>
      <c r="EY324" t="str">
        <f>IF(AK324="нет","",IF(AK324&lt;&gt;"",AK324,IF(EX324=1,"XT"&amp;COUNTIFS(A$3:A324,A324,EX$3:EX324,1),"")))</f>
        <v>XT7</v>
      </c>
      <c r="EZ324" t="str">
        <f t="shared" si="497"/>
        <v>QF7</v>
      </c>
      <c r="FA324" t="str">
        <f t="shared" si="498"/>
        <v/>
      </c>
      <c r="FB324" t="str">
        <f t="shared" si="499"/>
        <v>ok</v>
      </c>
      <c r="FC324" t="str">
        <f>IF(OR(EV324="",ET324=""),"",IF(EV324&gt;IFERROR(VLOOKUP(EU324,Модули_спр,3,FALSE),99),"ЛИШНИЙ КАНАЛ",IF(AND(AJ324&lt;&gt;"=",COUNTIFS(Линии[_модуль гр.],ET324,Линии[Канал (итог)],EV324,Линии[Канал],"&lt;&gt;=",Линии[Щит],A324)&gt;1),"ДУБЛЬ КАНАЛА","")))</f>
        <v/>
      </c>
      <c r="FD324">
        <f t="shared" si="500"/>
        <v>16</v>
      </c>
      <c r="FE324" t="str">
        <f t="shared" si="501"/>
        <v>1P С16А</v>
      </c>
      <c r="FF324">
        <f t="shared" si="502"/>
        <v>0</v>
      </c>
      <c r="FG324">
        <f t="shared" si="503"/>
        <v>0</v>
      </c>
      <c r="FH324" t="str">
        <f t="shared" si="504"/>
        <v/>
      </c>
      <c r="FI324">
        <f t="shared" si="505"/>
        <v>10</v>
      </c>
      <c r="FJ324" t="str">
        <f t="shared" si="506"/>
        <v/>
      </c>
      <c r="FK324" t="str">
        <f>IF(AND(D324="",EZ324=""),"",_xlfn.TEXTJOIN("; ",TRUE,IF(AND(D324&lt;&gt;"",DD324=""),"нет фазы",""),IF(AND(D324&lt;&gt;"",N(DT324)=0,CN324&lt;&gt;"Нет"),"нет мощности",""),IF(AND(EY324&lt;&gt;"",COUNTIFS(Линии[Щит],A324,Линии[Клемма (итог)],EY324)&gt;1),"дубль клеммы "&amp;EY324,""),IF(AND(FB324&lt;&gt;"",FB324&lt;&gt;"ok"),FB324,""),IF(FC324&lt;&gt;"",FC324,""),IF(AND(ISNUMBER(SEARCH("(5х",DS324)),N(DV324)=1),"5 жил на 1 фазе",""),IF(AND(AT324="R",AD324&lt;&gt;"",OR(N(EH324)=0,N(EH324)&gt;30)),"розетка без дифзащиты до 30 мА",""),IFERROR(IF(AND(ISNUMBER(CD324),CD324&gt;CE324),"потери "&amp;FIXED(CD324,1)&amp;" % &gt; "&amp;CE324&amp;" %",""),""),IFERROR(IF(LEFT(FJ324,4)="мало","Iкз мало — отключение &gt; 0,4 с",""),""),IF(AND(D324&lt;&gt;"",BD324=""),"не на схеме","")))</f>
        <v/>
      </c>
      <c r="FL324">
        <f>IF(AD324="","",_xlfn.LET(_xlpm.t,IFERROR(_xlfn.XLOOKUP(EP324,Каталог!$U$4:$U$500,Каталог!$G$4:$G$500),""),_xlpm.k,SEARCH("кА",_xlpm.t),IFERROR(--TRIM(RIGHT(SUBSTITUTE(MID(_xlpm.t,MAX(1,_xlpm.k-4),_xlpm.k-MAX(1,_xlpm.k-4))," ",REPT(" ",9)),5)),"")))</f>
        <v>6</v>
      </c>
      <c r="FM324" t="str">
        <f>IF(OR(FL324="",AD324=""),"",IF(_xlfn.XLOOKUP(A324,Щиты[Щит],Щиты[Iкз max на шинах, кА],"")="","",IF(FL324&lt;_xlfn.XLOOKUP(A324,Щиты[Щит],Щиты[Iкз max на шинах, кА]),"Icu "&amp;FL324&amp;" кА &lt; Iкз max","ok")))</f>
        <v/>
      </c>
      <c r="FN324" t="str">
        <f t="shared" si="507"/>
        <v>QF7|XT7</v>
      </c>
      <c r="FO324" t="str">
        <f t="shared" si="508"/>
        <v>QF7|XT7|кабель ВВГнг(А)-LS (3х2,5) → циркуляционный насос Подвальный этаж Пом. №002Т</v>
      </c>
      <c r="FP324" t="str" cm="1">
        <f t="array" ref="FP324">IF(FO324="","",_xlfn.LET(_xlpm.nd,_xlfn.TEXTSPLIT(FO324,"|"),IF(COLUMNS(_xlpm.nd)&gt;1,A324&amp;"¦"&amp;INDEX(_xlpm.nd,1)&amp;"¦"&amp;INDEX(_xlpm.nd,2),"")))</f>
        <v>ЩС-ВК.001¦QF7¦XT7</v>
      </c>
      <c r="FQ324" t="str">
        <f t="shared" si="509"/>
        <v>НВК.00.002Т.1¦циркуляционный насос Подвальный этаж Пом. №002Т</v>
      </c>
      <c r="FR324" t="str" cm="1">
        <f t="array" ref="FR324">IF(FO324="","",_xlfn.LET(_xlpm.nd,_xlfn.TEXTSPLIT(FO324,"|"),IF(COLUMNS(_xlpm.nd)&gt;2,A324&amp;"¦"&amp;INDEX(_xlpm.nd,2)&amp;"¦"&amp;INDEX(_xlpm.nd,3),"")))</f>
        <v>ЩС-ВК.001¦XT7¦кабель ВВГнг(А)-LS (3х2,5) → циркуляционный насос Подвальный этаж Пом. №002Т</v>
      </c>
      <c r="FS324" t="str">
        <f t="shared" si="510"/>
        <v>НВК.00.002Т.1¦циркуляционный насос Подвальный этаж Пом. №002Т</v>
      </c>
      <c r="FT324" t="str" cm="1">
        <f t="array" ref="FT324">IF(FO324="","",_xlfn.LET(_xlpm.nd,_xlfn.TEXTSPLIT(FO324,"|"),IF(COLUMNS(_xlpm.nd)&gt;3,A324&amp;"¦"&amp;INDEX(_xlpm.nd,3)&amp;"¦"&amp;INDEX(_xlpm.nd,4),"")))</f>
        <v/>
      </c>
      <c r="FU324" t="str">
        <f t="shared" si="511"/>
        <v/>
      </c>
      <c r="FV324" t="str" cm="1">
        <f t="array" ref="FV324">IF(FO324="","",_xlfn.LET(_xlpm.nd,_xlfn.TEXTSPLIT(FO324,"|"),IF(COLUMNS(_xlpm.nd)&gt;4,A324&amp;"¦"&amp;INDEX(_xlpm.nd,4)&amp;"¦"&amp;INDEX(_xlpm.nd,5),"")))</f>
        <v/>
      </c>
      <c r="FW324" t="str">
        <f t="shared" si="512"/>
        <v/>
      </c>
      <c r="FX324" t="str" cm="1">
        <f t="array" ref="FX324">IF(FO324="","",_xlfn.LET(_xlpm.nd,_xlfn.TEXTSPLIT(FO324,"|"),IF(COLUMNS(_xlpm.nd)&gt;5,A324&amp;"¦"&amp;INDEX(_xlpm.nd,5)&amp;"¦"&amp;INDEX(_xlpm.nd,6),"")))</f>
        <v/>
      </c>
      <c r="FY324" t="str">
        <f t="shared" si="513"/>
        <v/>
      </c>
      <c r="FZ324" t="str" cm="1">
        <f t="array" ref="FZ324">IF(FO324="","",_xlfn.LET(_xlpm.nd,_xlfn.TEXTSPLIT(FO324,"|"),IF(COLUMNS(_xlpm.nd)&gt;6,A324&amp;"¦"&amp;INDEX(_xlpm.nd,6)&amp;"¦"&amp;INDEX(_xlpm.nd,7),"")))</f>
        <v/>
      </c>
      <c r="GA324" t="str">
        <f t="shared" si="514"/>
        <v/>
      </c>
      <c r="GB324" t="str">
        <f t="shared" si="515"/>
        <v/>
      </c>
      <c r="GC324" t="str">
        <f t="shared" si="516"/>
        <v>QF7 → XT7</v>
      </c>
      <c r="GD324">
        <f t="shared" si="517"/>
        <v>1</v>
      </c>
      <c r="GE324">
        <f t="shared" si="518"/>
        <v>0</v>
      </c>
      <c r="GF324">
        <f t="shared" si="519"/>
        <v>0</v>
      </c>
      <c r="GG324" t="str">
        <f t="shared" si="520"/>
        <v/>
      </c>
      <c r="GH324" t="str">
        <f t="shared" si="521"/>
        <v/>
      </c>
      <c r="GI324" t="str">
        <f t="shared" si="522"/>
        <v/>
      </c>
      <c r="GJ324" t="str">
        <f t="shared" si="523"/>
        <v/>
      </c>
      <c r="GK324">
        <f>IF(D324="","",IFERROR(VLOOKUP(D324,УГО_спр,2,FALSE),IFERROR(VLOOKUP(AT324,УГО_спр,2,FALSE),IFERROR(VLOOKUP(LEFT(AT324,2),УГО_спр,2,FALSE),""))))</f>
        <v>0</v>
      </c>
      <c r="GL324" t="str">
        <f>IF(D324="","",IF(OR(GK324="",GK324=0),"BOX",IFERROR(IF(VLOOKUP(GK324,УГО_блоки,3,FALSE)&amp;""&lt;&gt;"",VLOOKUP(GK324,УГО_блоки,3,FALSE),VLOOKUP(GK324,УГО_блоки,2,FALSE)),GK324)))</f>
        <v>BOX</v>
      </c>
      <c r="GM324">
        <f t="shared" si="524"/>
        <v>1</v>
      </c>
      <c r="GN324" t="str">
        <f>IF(EP324="","",IF(COUNTIF(EP$3:EP324,EP324)=1,MAX(GN$2:GN323)+1,""))</f>
        <v/>
      </c>
      <c r="GO324" t="str">
        <f>IF(AF324="","",IF(COUNTIF(AF$3:AF324,AF324)+COUNTIF(AG$2:AG323,AF324)+COUNTIF(AH$2:AH323,AF324)=1,MAX(GO$2:GQ323)+1,""))</f>
        <v/>
      </c>
      <c r="GP324" t="str">
        <f>IF(AG324="","",IF(COUNTIF(AF$3:AF324,AG324)+COUNTIF(AG$3:AG324,AG324)+COUNTIF(AH$2:AH323,AG324)=1,MAX(GO$2:GQ323,GO324)+1,""))</f>
        <v/>
      </c>
      <c r="GQ324" t="str">
        <f>IF(AH324="","",IF(COUNTIF(AF$3:AF324,AH324)+COUNTIF(AG$3:AG324,AH324)+COUNTIF(AH$3:AH324,AH324)=1,MAX(GO$2:GQ323,GO324,GP324)+1,""))</f>
        <v/>
      </c>
      <c r="GR324" t="str">
        <f t="shared" si="525"/>
        <v>3х2,5</v>
      </c>
      <c r="GS324" t="str">
        <f>IF(GR324="","",IF(COUNTIF(GR$3:GR324,GR324)=1,MAX(GS$2:GS323)+1,""))</f>
        <v/>
      </c>
      <c r="GT324" t="str">
        <f>IF(ES324="","",COUNTIF(ES$3:ES324,"?*"))</f>
        <v/>
      </c>
      <c r="GU324" t="str">
        <f>IF(OR(ES324="",EU324=""),"",IF(COUNTIFS(ES$3:ES324,"?*",EU$3:EU324,EU324)=1,MAX(GU$2:GU323)+1,""))</f>
        <v/>
      </c>
      <c r="GV324">
        <f t="shared" si="526"/>
        <v>0</v>
      </c>
      <c r="GW324">
        <f>IF(D324="","",COUNTIF(D$3:D324,"?*"))</f>
        <v>322</v>
      </c>
      <c r="GX324">
        <f>IF(EX324&lt;&gt;1,0,_xlfn.LET(_xlpm.k,MAX(IFERROR(--VLOOKUP(D324,УГО_спр,5,FALSE),0),IFERROR(--VLOOKUP(AT324,УГО_спр,5,FALSE),0),IFERROR(--VLOOKUP(LEFT(AT324,2),УГО_спр,5,FALSE),0)),IF(_xlpm.k&gt;0,_xlpm.k,IF(IFERROR(--LEFT(SUBSTITUTE(GR324,"x","х"),FIND("х",SUBSTITUTE(GR324,"x","х"))-1),3)&gt;3,Каталог!$S$9,1))))</f>
        <v>1</v>
      </c>
      <c r="GY324">
        <f t="shared" si="527"/>
        <v>0</v>
      </c>
    </row>
    <row r="325" spans="1:207" x14ac:dyDescent="0.3">
      <c r="A325" t="s">
        <v>770</v>
      </c>
      <c r="B325">
        <v>2</v>
      </c>
      <c r="C325" t="str">
        <f>IF(BD325="","",IF(BE325="вводной узел","узел ","")&amp;"л."&amp;(INT((BD325-1)/Столбцов_на_лист)+1)&amp;" / "&amp;(MOD(BD325-1,Столбцов_на_лист)+1))</f>
        <v>узел л.1 / 2</v>
      </c>
      <c r="D325" t="s">
        <v>746</v>
      </c>
      <c r="E325" s="133" t="str">
        <f t="shared" si="440"/>
        <v>Вводной кабель Шлейф №1</v>
      </c>
      <c r="G325" t="s">
        <v>18</v>
      </c>
      <c r="H325">
        <v>1</v>
      </c>
      <c r="I325">
        <v>1</v>
      </c>
      <c r="J325">
        <v>230</v>
      </c>
      <c r="K325" t="s">
        <v>551</v>
      </c>
      <c r="O325">
        <v>2</v>
      </c>
      <c r="P325">
        <v>51</v>
      </c>
      <c r="Q325">
        <v>34</v>
      </c>
      <c r="R325">
        <v>12</v>
      </c>
      <c r="U325" t="s">
        <v>11</v>
      </c>
      <c r="V325">
        <v>3</v>
      </c>
      <c r="W325">
        <v>4</v>
      </c>
      <c r="X325">
        <v>20</v>
      </c>
      <c r="AL325" t="s">
        <v>1301</v>
      </c>
      <c r="AR325" t="str">
        <f t="shared" si="441"/>
        <v/>
      </c>
      <c r="AS325" cm="1">
        <f t="array" ref="AS325">ROW()-ROW(Линии[#Headers])</f>
        <v>323</v>
      </c>
      <c r="AT325" t="str">
        <f t="shared" si="442"/>
        <v>Ввод</v>
      </c>
      <c r="AU325" t="str">
        <f t="shared" si="443"/>
        <v>1</v>
      </c>
      <c r="AV325" t="str">
        <f t="shared" si="444"/>
        <v>1</v>
      </c>
      <c r="AW325" t="str">
        <f t="shared" si="445"/>
        <v/>
      </c>
      <c r="AX325" t="str">
        <f t="shared" si="446"/>
        <v/>
      </c>
      <c r="AY325" t="str">
        <f>IF(D325="","",IF(ISERROR(SEARCH(".",D325)),IFERROR(VLOOKUP(D325,Потребители_обозначение,2,FALSE)&amp;"",""),IFERROR(IF(VLOOKUP(AT325,Потребители_обозначение,4,FALSE)=1,VLOOKUP(AT325,Потребители_обозначение,2,FALSE)&amp;" "&amp;VLOOKUP(AV325,Этаж_обозначение,2,FALSE)&amp;" Пом. №"&amp;AX325,VLOOKUP(AT325,Потребители_обозначение,2,FALSE)&amp;" Шлейф №"&amp;AV325),IFERROR(VLOOKUP(D325,Потребители_обозначение,2,FALSE),""))))</f>
        <v>Вводной кабель Шлейф №1</v>
      </c>
      <c r="AZ325" t="str">
        <f t="shared" si="447"/>
        <v>Вводной кабель Шлейф №1</v>
      </c>
      <c r="BA325" t="str">
        <f>IF(F325&lt;&gt;"",F325,IF(AND(D325&lt;&gt;"",D325&lt;&gt;A325,ISNUMBER(_xlfn.XMATCH(D325,Щиты[Щит]))),D325,""))</f>
        <v/>
      </c>
      <c r="BB325">
        <f>IFERROR(_xlfn.XMATCH(A325,Щиты[Щит]),0)</f>
        <v>14</v>
      </c>
      <c r="BC325">
        <f>IFERROR(N(_xlfn.XLOOKUP(A325,Щиты[Щит],Щиты[Мест под вводной узел])),15)</f>
        <v>11</v>
      </c>
      <c r="BD325">
        <f t="shared" si="448"/>
        <v>2</v>
      </c>
      <c r="BE325" t="str">
        <f t="shared" si="449"/>
        <v>вводной узел</v>
      </c>
      <c r="BF325">
        <f>IF(D325="","",IF(BA325&lt;&gt;"",IFERROR(_xlfn.XLOOKUP(BA325,Щиты[Щит],Щиты[Руст, кВт]),0),N(G325)))</f>
        <v>0</v>
      </c>
      <c r="BG325">
        <f>IF(J325&lt;&gt;"",J325,IF(D325="","",IFERROR(IF(VLOOKUP(AT325,Потребители_обозначение,8,FALSE)=0,"",VLOOKUP(AT325,Потребители_обозначение,8,FALSE)),"")))</f>
        <v>230</v>
      </c>
      <c r="BH325">
        <f>IF(I325&lt;&gt;"",I325,IF(D325="","",IFERROR(IF(VLOOKUP(AT325,Потребители_обозначение,9,FALSE)=0,"",VLOOKUP(AT325,Потребители_обозначение,9,FALSE)),"")))</f>
        <v>1</v>
      </c>
      <c r="BI325" t="str">
        <f>IF(U325&lt;&gt;"",U325,IF(D325="","",IFERROR(IF(VLOOKUP(AT325,Потребители_обозначение,6,FALSE)=0,"",VLOOKUP(AT325,Потребители_обозначение,6,FALSE)),"")))</f>
        <v>мс</v>
      </c>
      <c r="BJ325">
        <f>IF(V325&lt;&gt;"",V325,IF(D325="","",IFERROR(IF(VLOOKUP(AT325,Потребители_обозначение,7,FALSE)=0,"",VLOOKUP(AT325,Потребители_обозначение,7,FALSE)),"")))</f>
        <v>3</v>
      </c>
      <c r="BK325">
        <f>IF(W325&lt;&gt;"",W325,IF(D325="","",IFERROR(IF(VLOOKUP(AT325,Потребители_обозначение,10,FALSE)=0,"",VLOOKUP(AT325,Потребители_обозначение,10,FALSE)),"")))</f>
        <v>4</v>
      </c>
      <c r="BL325">
        <f>IFERROR(VLOOKUP(AT325,Потребители_обозначение,5,FALSE),0)</f>
        <v>1</v>
      </c>
      <c r="BM325" cm="1">
        <f t="array" ref="BM325">IF(D325="","",IF(BA325&lt;&gt;"",IFERROR(_xlfn.XLOOKUP(BA325,Щиты[Щит],Щиты[cos φ]),0.95),IF(ISNUMBER(M325),M325,IFERROR(IF(BL325=2,_xlfn.IFS(BH325=3,VLOOKUP(BF325,Справочная_двигатели,8,FALSE),BH325=1,VLOOKUP(BF325,Справочная_двигатели,10,TRUE)),IF(AND(Методика="нормы 2026",CN325="Сил"),0.8,0.95)),0.95))))</f>
        <v>0.95</v>
      </c>
      <c r="BN325" cm="1">
        <f t="array" ref="BN325">IF(D325="","",IF(BA325&lt;&gt;"",IFERROR(_xlfn.XLOOKUP(BA325,Щиты[Щит],Щиты[Iр, А]),""),IFERROR(_xlfn.IFS(BH325=1,BF325/((Uн_лин/SQRT(3))*BM325),BH325=3,BF325/(SQRT(3)*Uн_лин*BM325)),"")))</f>
        <v>0</v>
      </c>
      <c r="BO325">
        <f>IF(D325="","",IF(N(X325)=0,IFERROR(VLOOKUP(BN325,Автомат_номиналы,2,TRUE),""),X325))</f>
        <v>20</v>
      </c>
      <c r="BP325">
        <f t="shared" si="450"/>
        <v>1</v>
      </c>
      <c r="BQ325">
        <f>IF(ISNUMBER(Y325),Y325,К_прокл)</f>
        <v>1</v>
      </c>
      <c r="BR325">
        <f t="shared" si="451"/>
        <v>2</v>
      </c>
      <c r="BS325" cm="1">
        <f t="array" ref="BS325">IF(D325="","",IF(N(BK325)&lt;&gt;0,BK325,IFERROR(_xlfn.LET(_xlpm.need,BO325/(BP325*BQ325),_xlpm.t,CHOOSE(BR325,Iдоп_1ж,Iдоп_2ж,Iдоп_3ж),_xlpm.k,_xlfn.XMATCH(_xlpm.need,_xlpm.t,1),IF(ISNA(_xlpm.k),"Не исп",INDEX(Iдоп_S,_xlpm.k))),"Не исп")))</f>
        <v>4</v>
      </c>
      <c r="BT325">
        <f>IFERROR(VLOOKUP(BS325,Кабель_сопротивление,3,FALSE),"")</f>
        <v>2.2499999999999999E-2</v>
      </c>
      <c r="BU325">
        <f>IFERROR(VLOOKUP(BS325,Кабель_сопротивление,2,FALSE),"")</f>
        <v>9.5000000000000001E-2</v>
      </c>
      <c r="BV325">
        <f t="shared" si="452"/>
        <v>51</v>
      </c>
      <c r="BW325">
        <f>IF(D325="","",IFERROR(IF(VLOOKUP(AT325,Потребители_обозначение,4,FALSE)=1,VLOOKUP(AT325,Потребители_обозначение,3,FALSE)*(H325*2-1)+BV325+VLOOKUP(AV325,Этаж_обозначение,3,FALSE)+VLOOKUP(AV325,Этаж_обозначение,4,FALSE),VLOOKUP(AT325,Потребители_обозначение,3,FALSE)*(H325*2-1)+BV325),BV325))</f>
        <v>51</v>
      </c>
      <c r="BX325">
        <f t="shared" si="453"/>
        <v>12</v>
      </c>
      <c r="BY325" t="str">
        <f t="shared" si="454"/>
        <v/>
      </c>
      <c r="BZ325">
        <f t="shared" si="455"/>
        <v>2</v>
      </c>
      <c r="CA325">
        <f t="shared" si="456"/>
        <v>0.31</v>
      </c>
      <c r="CB325">
        <f t="shared" si="457"/>
        <v>0</v>
      </c>
      <c r="CC325">
        <f>IFERROR(ROUNDUP(CB325/((Uн_лин/SQRT(3))*1000)*100,2),"")</f>
        <v>0</v>
      </c>
      <c r="CD325">
        <f>IF(ISNUMBER(CC325),CC325+IFERROR(_xlfn.XLOOKUP(A325,Щиты[Щит],Щиты[ΔU до шин, %]),0),"")</f>
        <v>1.64</v>
      </c>
      <c r="CE325">
        <f>IF(D325="","",IF(IFERROR(VLOOKUP(AT325,УГО_спр,2,FALSE),"")="Светильник",3,4)+IF(Методика="нормы 2026",MIN(0.5,MAX(0,N(BW325)-100)*0.005),0))</f>
        <v>4</v>
      </c>
      <c r="CF325" t="str">
        <f>IFERROR(VLOOKUP(BI325,Кабель_обозначение,2,FALSE),"")</f>
        <v>ВВГнг(А)-LS</v>
      </c>
      <c r="CG325" t="str">
        <f>IFERROR(IF(VLOOKUP(BI325,Кабель_обозначение,3,FALSE)=1,CF325&amp;" ("&amp;BJ325&amp;"х"&amp;BS325&amp;")",CF325),"")</f>
        <v>ВВГнг(А)-LS (3х4)</v>
      </c>
      <c r="CH325" t="str">
        <f t="shared" si="458"/>
        <v/>
      </c>
      <c r="CI325">
        <f>IFERROR(2*ρкз_Cu*BW325/BS325,"")</f>
        <v>0.67064999999999997</v>
      </c>
      <c r="CJ325">
        <f t="shared" si="459"/>
        <v>0.22312500000000002</v>
      </c>
      <c r="CK325" t="str">
        <f>IFERROR(IF(OR(D325="",NOT(ISNUMBER(BS325)),N(BW325)=0),"",_xlfn.XLOOKUP(A325,Щиты[Щит],Щиты[Zпетли на шинах, Ом])+CI325),"")</f>
        <v/>
      </c>
      <c r="CL325" t="str">
        <f>IF(ISNUMBER(CK325),c_min*(Uн_лин*1000/SQRT(3))/CK325,"")</f>
        <v/>
      </c>
      <c r="CM325" t="str">
        <f>IFERROR(IF(OR(D325="",NOT(ISNUMBER(BS325))),"",1.05*(Uн_лин*1000/SQRT(3))/(_xlfn.XLOOKUP(A325,Щиты[Щит],Щиты[Zmax на шинах, Ом])+CJ325)/1000),"")</f>
        <v/>
      </c>
      <c r="CN325" t="str">
        <f>IF(D325="","",IF(BA325&lt;&gt;"","Щит",IF(K325&lt;&gt;"",K325,IF(ISNUMBER(L325),"Сил",IF(IFERROR(_xlfn.XLOOKUP(AT325,Коды_код,Коды_группа)&amp;"","")="","Быт",_xlfn.XLOOKUP(AT325,Коды_код,Коды_группа)&amp;"")))))</f>
        <v>Нет</v>
      </c>
      <c r="CO325">
        <f>IF(CN325="Щит","щит",IF(CN325="","",IF(CN325="Быт",IFERROR(_xlfn.XLOOKUP(A325,Щиты[Щит],Щиты[Кс быт]),1),IF(CN325="Сил",IF(ISNUMBER(L325),L325,IF(Методика="нормы 2026",IFERROR(_xlfn.XLOOKUP(A325,Щиты[Щит],Щиты[Кс силовых (табл. 7.5)]),1),1)),IF(OR(CN325="Пост",CN325="Отоп"),1,IF(CN325="ВНГ",0.7,0))))))</f>
        <v>0</v>
      </c>
      <c r="CP325">
        <f t="shared" si="460"/>
        <v>1</v>
      </c>
      <c r="CQ325">
        <f t="shared" si="461"/>
        <v>0</v>
      </c>
      <c r="CR325">
        <f t="shared" si="462"/>
        <v>0</v>
      </c>
      <c r="CS325">
        <f t="shared" si="463"/>
        <v>0</v>
      </c>
      <c r="CT325">
        <f t="shared" si="464"/>
        <v>0</v>
      </c>
      <c r="CU325">
        <f t="shared" si="465"/>
        <v>0</v>
      </c>
      <c r="CV325">
        <f t="shared" si="466"/>
        <v>0</v>
      </c>
      <c r="CW325">
        <f t="shared" si="467"/>
        <v>0</v>
      </c>
      <c r="CX325">
        <f t="shared" si="468"/>
        <v>0</v>
      </c>
      <c r="CY325">
        <f t="shared" si="469"/>
        <v>1</v>
      </c>
      <c r="CZ325" t="str">
        <f t="shared" si="470"/>
        <v>L1</v>
      </c>
      <c r="DA325" cm="1">
        <f t="array" ref="DA325">IFERROR(IF(BL325=2,_xlfn.IFS(BH325=3,VLOOKUP(BF325,Справочная_двигатели,3,FALSE),BH325=1,VLOOKUP(BF325,Справочная_двигатели,5,TRUE)),0),0)</f>
        <v>0</v>
      </c>
      <c r="DB325">
        <f>IFERROR(IF(BL325=3,VLOOKUP(BF325,Справочная_ЛЭД,2,TRUE),0),0)</f>
        <v>0</v>
      </c>
      <c r="DC325">
        <f t="shared" si="471"/>
        <v>0</v>
      </c>
      <c r="DD325" t="str">
        <f t="shared" si="472"/>
        <v>L2</v>
      </c>
      <c r="DE325" t="str" cm="1">
        <f t="array" ref="DE325">IF(D325="","",IFERROR(INDEX({"I особая","I","II","III"},MATCH(TRIM(AA325&amp;""),{"I особая","I","II","III"},0)),"III"))</f>
        <v>III</v>
      </c>
      <c r="DF325" t="str">
        <f>IF(D325="","",IF(TRIM(AB325&amp;"")&lt;&gt;"",IF(LOWER(TRIM(AB325&amp;""))="да","да","нет"),IF(IFERROR(_xlfn.XLOOKUP(AT325,Коды_код,Коды_пожарная),"")="да","да","нет")))</f>
        <v>нет</v>
      </c>
      <c r="DG325" t="str">
        <f t="shared" si="473"/>
        <v/>
      </c>
      <c r="DH325" t="str">
        <f t="shared" si="474"/>
        <v>основная</v>
      </c>
      <c r="DI325">
        <f t="shared" si="475"/>
        <v>1</v>
      </c>
      <c r="DJ325" t="str" cm="1">
        <f t="array" ref="DJ325">IF(D325="","",_xlfn.LET(_xlpm.t,IFERROR(_xlfn.XLOOKUP(1,(Шины[Шина]=DH325)*(((Шины[Щит]=A325)+(Шины[Щит]=""))&gt;0),Шины[Тип]),"")&amp;"",IF(_xlpm.t&lt;&gt;"",_xlpm.t,IF(ISNUMBER(SEARCH("ИБП",DH325)),"ИБП",IF(ISNUMBER(SEARCH("ДГУ",DH325)),"ДГУ","Ввод "&amp;DI325)))))</f>
        <v>Ввод 1</v>
      </c>
      <c r="DK325" t="str">
        <f t="shared" si="476"/>
        <v>Ввод 1</v>
      </c>
      <c r="DL325" t="str">
        <f>IF(D325="","",IF(OR(DJ325="ИБП",DJ325="ДГУ"),"I особая",IF(DJ325="Одиночная","III",_xlfn.XLOOKUP(A325,Щиты[Щит],Щиты[Категория шины «Ввод»],"III"))))</f>
        <v>II</v>
      </c>
      <c r="DM325">
        <f>IF(D325="",0,IFERROR(MATCH(DE325,{"III","II","I","I особая"},0),1))</f>
        <v>1</v>
      </c>
      <c r="DN325">
        <f t="shared" si="477"/>
        <v>1</v>
      </c>
      <c r="DO325" t="str">
        <f>IF(D325="","",IF(DM325&gt;IFERROR(MATCH(DL325,{"III","II","I","I особая"},0),1),"НЕ ОБЕСПЕЧЕНА","ОК"))</f>
        <v>ОК</v>
      </c>
      <c r="DP325" t="str">
        <f>IF(A325="","",_xlfn.XLOOKUP(A325,Щиты[Щит],Щиты[Путь],""))</f>
        <v>|ГРЩ-ЖД|ЩС-ВК.002|</v>
      </c>
      <c r="DQ325" t="str">
        <f>IF(D325="","",IF(Z325&lt;&gt;"",Z325,IF(IFERROR(_xlfn.XLOOKUP(AT325,Коды_код,Коды_вид)&amp;"","")="","Прочее",_xlfn.XLOOKUP(AT325,Коды_код,Коды_вид)&amp;"")))</f>
        <v>Прочее</v>
      </c>
      <c r="DR325">
        <f>IF(BD325="","",INT((BD325-1)/Столбцов_на_лист)+1)</f>
        <v>1</v>
      </c>
      <c r="DS325" t="str">
        <f t="shared" si="478"/>
        <v/>
      </c>
      <c r="DT325">
        <f t="shared" si="479"/>
        <v>0</v>
      </c>
      <c r="DU325">
        <f t="shared" si="480"/>
        <v>0</v>
      </c>
      <c r="DV325">
        <f t="shared" si="481"/>
        <v>1</v>
      </c>
      <c r="DW325">
        <f>IF(AT325="",0,_xlfn.LET(_xlpm.v,IFERROR(VLOOKUP(D325,УГО_спр,3,FALSE),IFERROR(VLOOKUP(AT325,УГО_спр,3,FALSE),IFERROR(VLOOKUP(LEFT(AT325,2),УГО_спр,3,FALSE),""))),IF(_xlpm.v="да",30,IF(ISNUMBER(_xlpm.v),_xlpm.v,0))))</f>
        <v>0</v>
      </c>
      <c r="DX325">
        <f t="shared" si="482"/>
        <v>0</v>
      </c>
      <c r="DY325" t="str">
        <f>IF(BD325="","",IF(AD325&lt;&gt;"",COUNTIFS(A$3:A325,A325,AD$3:AD325,"?*"),IF(OR(OR(AS325=1,A325&lt;&gt;A324),AL325="вручную"),"",IF(AS325=1,"",DZ324))))</f>
        <v/>
      </c>
      <c r="DZ325" t="str">
        <f t="shared" si="483"/>
        <v/>
      </c>
      <c r="EA325">
        <f>IF(D325="",0,MAX(IFERROR(--X325,0),IFERROR(--VLOOKUP(D325,УГО_спр,4,FALSE),IFERROR(--VLOOKUP(AT325,УГО_спр,4,FALSE),IFERROR(--VLOOKUP(LEFT(AT325,2),УГО_спр,4,FALSE),0)))))</f>
        <v>20</v>
      </c>
      <c r="EB325">
        <f>IF(D325="","",IFERROR(LOOKUP(INDEX(CHOOSE(BR325,Iдоп_1ж,Iдоп_2ж,Iдоп_3ж),MATCH(BS325,Iдоп_S,0))*BP325*BQ325,{6,10,16,20,25,32,40,50,63,80,100,125,160,200,250,315,400,500,630}),""))</f>
        <v>32</v>
      </c>
      <c r="EC325" t="str">
        <f>IF(AD325="","",SUMIFS(Линии[_Ток схемы],Линии[_гр.],DY325,Линии[Щит],A325,Линии[_в кабель выше],0))</f>
        <v/>
      </c>
      <c r="ED325" t="str">
        <f>IF(AD325="","",IFERROR(VLOOKUP(EC325,Автомат_номиналы,2,TRUE),""))</f>
        <v/>
      </c>
      <c r="EE325" t="str">
        <f>IF(AD325="","",MAX(N(ED325),_xlfn.MAXIFS(Линии[_мин. по типу],Линии[_гр.],DY325,Линии[Щит],A325)))</f>
        <v/>
      </c>
      <c r="EF325" t="str">
        <f>IF(AD325="","",_xlfn.MINIFS(Линии[_макс. автомат по кабелю],Линии[_гр.],DY325,Линии[Щит],A325))</f>
        <v/>
      </c>
      <c r="EG325" t="str">
        <f>IF(AD325="","",MAX(1,_xlfn.MAXIFS(Линии[_фаз],Линии[_гр.],DY325,Линии[Щит],A325)))</f>
        <v/>
      </c>
      <c r="EH325" t="str">
        <f>IF(AD325="","",IF(AND(AD325&lt;&gt;"авто",AD325&lt;&gt;"+"),IF(ISNUMBER(SEARCH("мА",AD325)),IFERROR(--TRIM(RIGHT(SUBSTITUTE(LEFT(AD325,SEARCH("мА",AD325)-1)," ",REPT(" ",9)),6)),30),0),IF(AE325="нет",0,IF(ISNUMBER(AE325),AE325,IF(AE325="да",30,_xlfn.MINIFS(Линии[_дифзащита по коду, мА],Линии[_гр.],DY325,Линии[Щит],A325,Линии[_дифзащита по коду, мА],"&gt;0"))))))</f>
        <v/>
      </c>
      <c r="EI325" t="str">
        <f t="shared" si="484"/>
        <v/>
      </c>
      <c r="EJ325" t="str">
        <f t="shared" si="485"/>
        <v/>
      </c>
      <c r="EK325" t="str">
        <f t="shared" si="486"/>
        <v/>
      </c>
      <c r="EL325" t="str">
        <f t="shared" si="487"/>
        <v/>
      </c>
      <c r="EM325">
        <f t="shared" si="488"/>
        <v>0</v>
      </c>
      <c r="EN325" t="str">
        <f>IF(AD325="","",IF(EM325=1,MAX(EE325,Мин_автомат_БП),EE325))</f>
        <v/>
      </c>
      <c r="EO325" t="str">
        <f t="shared" si="489"/>
        <v/>
      </c>
      <c r="EP325" t="str">
        <f t="shared" si="490"/>
        <v/>
      </c>
      <c r="EQ325" t="str">
        <f t="shared" si="491"/>
        <v/>
      </c>
      <c r="ER325" t="str">
        <f>IF(OR(AI325="",AI325="-"),"",IFERROR(VLOOKUP(AI325,Модули_спр,2,FALSE),"R"))</f>
        <v/>
      </c>
      <c r="ES325" t="str">
        <f>IF(ER325="","",ER325&amp;"."&amp;COUNTIFS(A$3:A325,A325,ER$3:ER325,ER325))</f>
        <v/>
      </c>
      <c r="ET325" t="str">
        <f t="shared" si="492"/>
        <v/>
      </c>
      <c r="EU325" t="str">
        <f t="shared" si="493"/>
        <v/>
      </c>
      <c r="EV325" t="str">
        <f t="shared" si="494"/>
        <v/>
      </c>
      <c r="EW325" t="str">
        <f t="shared" si="495"/>
        <v/>
      </c>
      <c r="EX325">
        <f t="shared" si="496"/>
        <v>0</v>
      </c>
      <c r="EY325" t="str">
        <f>IF(AK325="нет","",IF(AK325&lt;&gt;"",AK325,IF(EX325=1,"XT"&amp;COUNTIFS(A$3:A325,A325,EX$3:EX325,1),"")))</f>
        <v/>
      </c>
      <c r="EZ325" t="str">
        <f t="shared" si="497"/>
        <v/>
      </c>
      <c r="FA325" t="str">
        <f t="shared" si="498"/>
        <v/>
      </c>
      <c r="FB325" t="str">
        <f t="shared" si="499"/>
        <v/>
      </c>
      <c r="FC325" t="str">
        <f>IF(OR(EV325="",ET325=""),"",IF(EV325&gt;IFERROR(VLOOKUP(EU325,Модули_спр,3,FALSE),99),"ЛИШНИЙ КАНАЛ",IF(AND(AJ325&lt;&gt;"=",COUNTIFS(Линии[_модуль гр.],ET325,Линии[Канал (итог)],EV325,Линии[Канал],"&lt;&gt;=",Линии[Щит],A325)&gt;1),"ДУБЛЬ КАНАЛА","")))</f>
        <v/>
      </c>
      <c r="FD325" t="str">
        <f t="shared" si="500"/>
        <v/>
      </c>
      <c r="FE325" t="str">
        <f t="shared" si="501"/>
        <v/>
      </c>
      <c r="FF325" t="str">
        <f t="shared" si="502"/>
        <v/>
      </c>
      <c r="FG325" t="str">
        <f t="shared" si="503"/>
        <v/>
      </c>
      <c r="FH325" t="str">
        <f t="shared" si="504"/>
        <v/>
      </c>
      <c r="FI325">
        <f t="shared" si="505"/>
        <v>10</v>
      </c>
      <c r="FJ325" t="str">
        <f t="shared" si="506"/>
        <v/>
      </c>
      <c r="FK325" t="str">
        <f>IF(AND(D325="",EZ325=""),"",_xlfn.TEXTJOIN("; ",TRUE,IF(AND(D325&lt;&gt;"",DD325=""),"нет фазы",""),IF(AND(D325&lt;&gt;"",N(DT325)=0,CN325&lt;&gt;"Нет"),"нет мощности",""),IF(AND(EY325&lt;&gt;"",COUNTIFS(Линии[Щит],A325,Линии[Клемма (итог)],EY325)&gt;1),"дубль клеммы "&amp;EY325,""),IF(AND(FB325&lt;&gt;"",FB325&lt;&gt;"ok"),FB325,""),IF(FC325&lt;&gt;"",FC325,""),IF(AND(ISNUMBER(SEARCH("(5х",DS325)),N(DV325)=1),"5 жил на 1 фазе",""),IF(AND(AT325="R",AD325&lt;&gt;"",OR(N(EH325)=0,N(EH325)&gt;30)),"розетка без дифзащиты до 30 мА",""),IFERROR(IF(AND(ISNUMBER(CD325),CD325&gt;CE325),"потери "&amp;FIXED(CD325,1)&amp;" % &gt; "&amp;CE325&amp;" %",""),""),IFERROR(IF(LEFT(FJ325,4)="мало","Iкз мало — отключение &gt; 0,4 с",""),""),IF(AND(D325&lt;&gt;"",BD325=""),"не на схеме","")))</f>
        <v/>
      </c>
      <c r="FL325" t="str">
        <f>IF(AD325="","",_xlfn.LET(_xlpm.t,IFERROR(_xlfn.XLOOKUP(EP325,Каталог!$U$4:$U$500,Каталог!$G$4:$G$500),""),_xlpm.k,SEARCH("кА",_xlpm.t),IFERROR(--TRIM(RIGHT(SUBSTITUTE(MID(_xlpm.t,MAX(1,_xlpm.k-4),_xlpm.k-MAX(1,_xlpm.k-4))," ",REPT(" ",9)),5)),"")))</f>
        <v/>
      </c>
      <c r="FM325" t="str">
        <f>IF(OR(FL325="",AD325=""),"",IF(_xlfn.XLOOKUP(A325,Щиты[Щит],Щиты[Iкз max на шинах, кА],"")="","",IF(FL325&lt;_xlfn.XLOOKUP(A325,Щиты[Щит],Щиты[Iкз max на шинах, кА]),"Icu "&amp;FL325&amp;" кА &lt; Iкз max","ok")))</f>
        <v/>
      </c>
      <c r="FN325" t="str">
        <f t="shared" si="507"/>
        <v/>
      </c>
      <c r="FO325" t="str">
        <f t="shared" si="508"/>
        <v/>
      </c>
      <c r="FP325" t="str" cm="1">
        <f t="array" ref="FP325">IF(FO325="","",_xlfn.LET(_xlpm.nd,_xlfn.TEXTSPLIT(FO325,"|"),IF(COLUMNS(_xlpm.nd)&gt;1,A325&amp;"¦"&amp;INDEX(_xlpm.nd,1)&amp;"¦"&amp;INDEX(_xlpm.nd,2),"")))</f>
        <v/>
      </c>
      <c r="FQ325" t="str">
        <f t="shared" si="509"/>
        <v/>
      </c>
      <c r="FR325" t="str" cm="1">
        <f t="array" ref="FR325">IF(FO325="","",_xlfn.LET(_xlpm.nd,_xlfn.TEXTSPLIT(FO325,"|"),IF(COLUMNS(_xlpm.nd)&gt;2,A325&amp;"¦"&amp;INDEX(_xlpm.nd,2)&amp;"¦"&amp;INDEX(_xlpm.nd,3),"")))</f>
        <v/>
      </c>
      <c r="FS325" t="str">
        <f t="shared" si="510"/>
        <v/>
      </c>
      <c r="FT325" t="str" cm="1">
        <f t="array" ref="FT325">IF(FO325="","",_xlfn.LET(_xlpm.nd,_xlfn.TEXTSPLIT(FO325,"|"),IF(COLUMNS(_xlpm.nd)&gt;3,A325&amp;"¦"&amp;INDEX(_xlpm.nd,3)&amp;"¦"&amp;INDEX(_xlpm.nd,4),"")))</f>
        <v/>
      </c>
      <c r="FU325" t="str">
        <f t="shared" si="511"/>
        <v/>
      </c>
      <c r="FV325" t="str" cm="1">
        <f t="array" ref="FV325">IF(FO325="","",_xlfn.LET(_xlpm.nd,_xlfn.TEXTSPLIT(FO325,"|"),IF(COLUMNS(_xlpm.nd)&gt;4,A325&amp;"¦"&amp;INDEX(_xlpm.nd,4)&amp;"¦"&amp;INDEX(_xlpm.nd,5),"")))</f>
        <v/>
      </c>
      <c r="FW325" t="str">
        <f t="shared" si="512"/>
        <v/>
      </c>
      <c r="FX325" t="str" cm="1">
        <f t="array" ref="FX325">IF(FO325="","",_xlfn.LET(_xlpm.nd,_xlfn.TEXTSPLIT(FO325,"|"),IF(COLUMNS(_xlpm.nd)&gt;5,A325&amp;"¦"&amp;INDEX(_xlpm.nd,5)&amp;"¦"&amp;INDEX(_xlpm.nd,6),"")))</f>
        <v/>
      </c>
      <c r="FY325" t="str">
        <f t="shared" si="513"/>
        <v/>
      </c>
      <c r="FZ325" t="str" cm="1">
        <f t="array" ref="FZ325">IF(FO325="","",_xlfn.LET(_xlpm.nd,_xlfn.TEXTSPLIT(FO325,"|"),IF(COLUMNS(_xlpm.nd)&gt;6,A325&amp;"¦"&amp;INDEX(_xlpm.nd,6)&amp;"¦"&amp;INDEX(_xlpm.nd,7),"")))</f>
        <v/>
      </c>
      <c r="GA325" t="str">
        <f t="shared" si="514"/>
        <v/>
      </c>
      <c r="GB325" t="str">
        <f t="shared" si="515"/>
        <v/>
      </c>
      <c r="GC325" t="str">
        <f t="shared" si="516"/>
        <v/>
      </c>
      <c r="GD325">
        <f t="shared" si="517"/>
        <v>0</v>
      </c>
      <c r="GE325">
        <f t="shared" si="518"/>
        <v>0</v>
      </c>
      <c r="GF325">
        <f t="shared" si="519"/>
        <v>0</v>
      </c>
      <c r="GG325" t="str">
        <f t="shared" si="520"/>
        <v/>
      </c>
      <c r="GH325" t="str">
        <f t="shared" si="521"/>
        <v/>
      </c>
      <c r="GI325" t="str">
        <f t="shared" si="522"/>
        <v/>
      </c>
      <c r="GJ325" t="str">
        <f t="shared" si="523"/>
        <v/>
      </c>
      <c r="GK325">
        <f>IF(D325="","",IFERROR(VLOOKUP(D325,УГО_спр,2,FALSE),IFERROR(VLOOKUP(AT325,УГО_спр,2,FALSE),IFERROR(VLOOKUP(LEFT(AT325,2),УГО_спр,2,FALSE),""))))</f>
        <v>0</v>
      </c>
      <c r="GL325" t="str">
        <f>IF(D325="","",IF(OR(GK325="",GK325=0),"BOX",IFERROR(IF(VLOOKUP(GK325,УГО_блоки,3,FALSE)&amp;""&lt;&gt;"",VLOOKUP(GK325,УГО_блоки,3,FALSE),VLOOKUP(GK325,УГО_блоки,2,FALSE)),GK325)))</f>
        <v>BOX</v>
      </c>
      <c r="GM325">
        <f t="shared" si="524"/>
        <v>1</v>
      </c>
      <c r="GN325" t="str">
        <f>IF(EP325="","",IF(COUNTIF(EP$3:EP325,EP325)=1,MAX(GN$2:GN324)+1,""))</f>
        <v/>
      </c>
      <c r="GO325" t="str">
        <f>IF(AF325="","",IF(COUNTIF(AF$3:AF325,AF325)+COUNTIF(AG$2:AG324,AF325)+COUNTIF(AH$2:AH324,AF325)=1,MAX(GO$2:GQ324)+1,""))</f>
        <v/>
      </c>
      <c r="GP325" t="str">
        <f>IF(AG325="","",IF(COUNTIF(AF$3:AF325,AG325)+COUNTIF(AG$3:AG325,AG325)+COUNTIF(AH$2:AH324,AG325)=1,MAX(GO$2:GQ324,GO325)+1,""))</f>
        <v/>
      </c>
      <c r="GQ325" t="str">
        <f>IF(AH325="","",IF(COUNTIF(AF$3:AF325,AH325)+COUNTIF(AG$3:AG325,AH325)+COUNTIF(AH$3:AH325,AH325)=1,MAX(GO$2:GQ324,GO325,GP325)+1,""))</f>
        <v/>
      </c>
      <c r="GR325" t="str">
        <f t="shared" si="525"/>
        <v/>
      </c>
      <c r="GS325" t="str">
        <f>IF(GR325="","",IF(COUNTIF(GR$3:GR325,GR325)=1,MAX(GS$2:GS324)+1,""))</f>
        <v/>
      </c>
      <c r="GT325" t="str">
        <f>IF(ES325="","",COUNTIF(ES$3:ES325,"?*"))</f>
        <v/>
      </c>
      <c r="GU325" t="str">
        <f>IF(OR(ES325="",EU325=""),"",IF(COUNTIFS(ES$3:ES325,"?*",EU$3:EU325,EU325)=1,MAX(GU$2:GU324)+1,""))</f>
        <v/>
      </c>
      <c r="GV325">
        <f t="shared" si="526"/>
        <v>0</v>
      </c>
      <c r="GW325">
        <f>IF(D325="","",COUNTIF(D$3:D325,"?*"))</f>
        <v>323</v>
      </c>
      <c r="GX325">
        <f>IF(EX325&lt;&gt;1,0,_xlfn.LET(_xlpm.k,MAX(IFERROR(--VLOOKUP(D325,УГО_спр,5,FALSE),0),IFERROR(--VLOOKUP(AT325,УГО_спр,5,FALSE),0),IFERROR(--VLOOKUP(LEFT(AT325,2),УГО_спр,5,FALSE),0)),IF(_xlpm.k&gt;0,_xlpm.k,IF(IFERROR(--LEFT(SUBSTITUTE(GR325,"x","х"),FIND("х",SUBSTITUTE(GR325,"x","х"))-1),3)&gt;3,Каталог!$S$9,1))))</f>
        <v>0</v>
      </c>
      <c r="GY325">
        <f t="shared" si="527"/>
        <v>0</v>
      </c>
    </row>
    <row r="326" spans="1:207" x14ac:dyDescent="0.3">
      <c r="A326" t="s">
        <v>770</v>
      </c>
      <c r="B326">
        <v>12</v>
      </c>
      <c r="C326" t="str">
        <f>IF(BD326="","",IF(BE326="вводной узел","узел ","")&amp;"л."&amp;(INT((BD326-1)/Столбцов_на_лист)+1)&amp;" / "&amp;(MOD(BD326-1,Столбцов_на_лист)+1))</f>
        <v>л.1 / 12</v>
      </c>
      <c r="D326" t="s">
        <v>1663</v>
      </c>
      <c r="E326" s="133" t="str">
        <f t="shared" si="440"/>
        <v>Насос дренажный Подвальный этаж Пом. №002Тб</v>
      </c>
      <c r="G326">
        <v>0.6</v>
      </c>
      <c r="H326">
        <v>1</v>
      </c>
      <c r="I326">
        <v>1</v>
      </c>
      <c r="J326">
        <v>230</v>
      </c>
      <c r="K326" t="s">
        <v>602</v>
      </c>
      <c r="L326">
        <v>0.7</v>
      </c>
      <c r="O326">
        <v>1</v>
      </c>
      <c r="P326">
        <v>34</v>
      </c>
      <c r="Q326">
        <v>23</v>
      </c>
      <c r="R326">
        <v>5</v>
      </c>
      <c r="S326">
        <v>0</v>
      </c>
      <c r="T326">
        <v>1</v>
      </c>
      <c r="U326" t="s">
        <v>11</v>
      </c>
      <c r="V326">
        <v>3</v>
      </c>
      <c r="W326">
        <v>2.5</v>
      </c>
      <c r="X326">
        <v>16</v>
      </c>
      <c r="Z326" t="s">
        <v>608</v>
      </c>
      <c r="AA326" t="s">
        <v>818</v>
      </c>
      <c r="AD326" t="s">
        <v>517</v>
      </c>
      <c r="AR326" t="str">
        <f t="shared" si="441"/>
        <v/>
      </c>
      <c r="AS326" cm="1">
        <f t="array" ref="AS326">ROW()-ROW(Линии[#Headers])</f>
        <v>324</v>
      </c>
      <c r="AT326" t="str">
        <f t="shared" si="442"/>
        <v>НВК</v>
      </c>
      <c r="AU326" t="str">
        <f t="shared" si="443"/>
        <v>00.002Тб.3</v>
      </c>
      <c r="AV326" t="str">
        <f t="shared" si="444"/>
        <v>00</v>
      </c>
      <c r="AW326" t="str">
        <f t="shared" si="445"/>
        <v>002Тб.3</v>
      </c>
      <c r="AX326" t="str">
        <f t="shared" si="446"/>
        <v>002Тб</v>
      </c>
      <c r="AY326" t="str">
        <f>IF(D326="","",IF(ISERROR(SEARCH(".",D326)),IFERROR(VLOOKUP(D326,Потребители_обозначение,2,FALSE)&amp;"",""),IFERROR(IF(VLOOKUP(AT326,Потребители_обозначение,4,FALSE)=1,VLOOKUP(AT326,Потребители_обозначение,2,FALSE)&amp;" "&amp;VLOOKUP(AV326,Этаж_обозначение,2,FALSE)&amp;" Пом. №"&amp;AX326,VLOOKUP(AT326,Потребители_обозначение,2,FALSE)&amp;" Шлейф №"&amp;AV326),IFERROR(VLOOKUP(D326,Потребители_обозначение,2,FALSE),""))))</f>
        <v>Насос дренажный Подвальный этаж Пом. №002Тб</v>
      </c>
      <c r="AZ326" t="str">
        <f t="shared" si="447"/>
        <v>Насос дренажный Подвальный этаж Пом. №002Тб</v>
      </c>
      <c r="BA326" t="str">
        <f>IF(F326&lt;&gt;"",F326,IF(AND(D326&lt;&gt;"",D326&lt;&gt;A326,ISNUMBER(_xlfn.XMATCH(D326,Щиты[Щит]))),D326,""))</f>
        <v/>
      </c>
      <c r="BB326">
        <f>IFERROR(_xlfn.XMATCH(A326,Щиты[Щит]),0)</f>
        <v>14</v>
      </c>
      <c r="BC326">
        <f>IFERROR(N(_xlfn.XLOOKUP(A326,Щиты[Щит],Щиты[Мест под вводной узел])),15)</f>
        <v>11</v>
      </c>
      <c r="BD326">
        <f t="shared" si="448"/>
        <v>12</v>
      </c>
      <c r="BE326" t="str">
        <f t="shared" si="449"/>
        <v>линии</v>
      </c>
      <c r="BF326">
        <f>IF(D326="","",IF(BA326&lt;&gt;"",IFERROR(_xlfn.XLOOKUP(BA326,Щиты[Щит],Щиты[Руст, кВт]),0),N(G326)))</f>
        <v>0.6</v>
      </c>
      <c r="BG326">
        <f>IF(J326&lt;&gt;"",J326,IF(D326="","",IFERROR(IF(VLOOKUP(AT326,Потребители_обозначение,8,FALSE)=0,"",VLOOKUP(AT326,Потребители_обозначение,8,FALSE)),"")))</f>
        <v>230</v>
      </c>
      <c r="BH326">
        <f>IF(I326&lt;&gt;"",I326,IF(D326="","",IFERROR(IF(VLOOKUP(AT326,Потребители_обозначение,9,FALSE)=0,"",VLOOKUP(AT326,Потребители_обозначение,9,FALSE)),"")))</f>
        <v>1</v>
      </c>
      <c r="BI326" t="str">
        <f>IF(U326&lt;&gt;"",U326,IF(D326="","",IFERROR(IF(VLOOKUP(AT326,Потребители_обозначение,6,FALSE)=0,"",VLOOKUP(AT326,Потребители_обозначение,6,FALSE)),"")))</f>
        <v>мс</v>
      </c>
      <c r="BJ326">
        <f>IF(V326&lt;&gt;"",V326,IF(D326="","",IFERROR(IF(VLOOKUP(AT326,Потребители_обозначение,7,FALSE)=0,"",VLOOKUP(AT326,Потребители_обозначение,7,FALSE)),"")))</f>
        <v>3</v>
      </c>
      <c r="BK326">
        <f>IF(W326&lt;&gt;"",W326,IF(D326="","",IFERROR(IF(VLOOKUP(AT326,Потребители_обозначение,10,FALSE)=0,"",VLOOKUP(AT326,Потребители_обозначение,10,FALSE)),"")))</f>
        <v>2.5</v>
      </c>
      <c r="BL326">
        <f>IFERROR(VLOOKUP(AT326,Потребители_обозначение,5,FALSE),0)</f>
        <v>1</v>
      </c>
      <c r="BM326" cm="1">
        <f t="array" ref="BM326">IF(D326="","",IF(BA326&lt;&gt;"",IFERROR(_xlfn.XLOOKUP(BA326,Щиты[Щит],Щиты[cos φ]),0.95),IF(ISNUMBER(M326),M326,IFERROR(IF(BL326=2,_xlfn.IFS(BH326=3,VLOOKUP(BF326,Справочная_двигатели,8,FALSE),BH326=1,VLOOKUP(BF326,Справочная_двигатели,10,TRUE)),IF(AND(Методика="нормы 2026",CN326="Сил"),0.8,0.95)),0.95))))</f>
        <v>0.95</v>
      </c>
      <c r="BN326" cm="1">
        <f t="array" ref="BN326">IF(D326="","",IF(BA326&lt;&gt;"",IFERROR(_xlfn.XLOOKUP(BA326,Щиты[Щит],Щиты[Iр, А]),""),IFERROR(_xlfn.IFS(BH326=1,BF326/((Uн_лин/SQRT(3))*BM326),BH326=3,BF326/(SQRT(3)*Uн_лин*BM326)),"")))</f>
        <v>2.7348170645824377</v>
      </c>
      <c r="BO326">
        <f>IF(D326="","",IF(N(X326)=0,IFERROR(VLOOKUP(BN326,Автомат_номиналы,2,TRUE),""),X326))</f>
        <v>16</v>
      </c>
      <c r="BP326">
        <f t="shared" si="450"/>
        <v>1</v>
      </c>
      <c r="BQ326">
        <f>IF(ISNUMBER(Y326),Y326,К_прокл)</f>
        <v>1</v>
      </c>
      <c r="BR326">
        <f t="shared" si="451"/>
        <v>2</v>
      </c>
      <c r="BS326" cm="1">
        <f t="array" ref="BS326">IF(D326="","",IF(N(BK326)&lt;&gt;0,BK326,IFERROR(_xlfn.LET(_xlpm.need,BO326/(BP326*BQ326),_xlpm.t,CHOOSE(BR326,Iдоп_1ж,Iдоп_2ж,Iдоп_3ж),_xlpm.k,_xlfn.XMATCH(_xlpm.need,_xlpm.t,1),IF(ISNA(_xlpm.k),"Не исп",INDEX(Iдоп_S,_xlpm.k))),"Не исп")))</f>
        <v>2.5</v>
      </c>
      <c r="BT326">
        <f>IFERROR(VLOOKUP(BS326,Кабель_сопротивление,3,FALSE),"")</f>
        <v>2.2499999999999999E-2</v>
      </c>
      <c r="BU326">
        <f>IFERROR(VLOOKUP(BS326,Кабель_сопротивление,2,FALSE),"")</f>
        <v>0.1</v>
      </c>
      <c r="BV326">
        <f t="shared" si="452"/>
        <v>34</v>
      </c>
      <c r="BW326">
        <f>IF(D326="","",IFERROR(IF(VLOOKUP(AT326,Потребители_обозначение,4,FALSE)=1,VLOOKUP(AT326,Потребители_обозначение,3,FALSE)*(H326*2-1)+BV326+VLOOKUP(AV326,Этаж_обозначение,3,FALSE)+VLOOKUP(AV326,Этаж_обозначение,4,FALSE),VLOOKUP(AT326,Потребители_обозначение,3,FALSE)*(H326*2-1)+BV326),BV326))</f>
        <v>37</v>
      </c>
      <c r="BX326">
        <f t="shared" si="453"/>
        <v>5</v>
      </c>
      <c r="BY326">
        <f t="shared" si="454"/>
        <v>0</v>
      </c>
      <c r="BZ326">
        <f t="shared" si="455"/>
        <v>2</v>
      </c>
      <c r="CA326">
        <f t="shared" si="456"/>
        <v>0.31</v>
      </c>
      <c r="CB326">
        <f t="shared" si="457"/>
        <v>1.7365924271074606</v>
      </c>
      <c r="CC326">
        <f>IFERROR(ROUNDUP(CB326/((Uн_лин/SQRT(3))*1000)*100,2),"")</f>
        <v>0.76</v>
      </c>
      <c r="CD326">
        <f>IF(ISNUMBER(CC326),CC326+IFERROR(_xlfn.XLOOKUP(A326,Щиты[Щит],Щиты[ΔU до шин, %]),0),"")</f>
        <v>2.4</v>
      </c>
      <c r="CE326">
        <f>IF(D326="","",IF(IFERROR(VLOOKUP(AT326,УГО_спр,2,FALSE),"")="Светильник",3,4)+IF(Методика="нормы 2026",MIN(0.5,MAX(0,N(BW326)-100)*0.005),0))</f>
        <v>4</v>
      </c>
      <c r="CF326" t="str">
        <f>IFERROR(VLOOKUP(BI326,Кабель_обозначение,2,FALSE),"")</f>
        <v>ВВГнг(А)-LS</v>
      </c>
      <c r="CG326" t="str">
        <f>IFERROR(IF(VLOOKUP(BI326,Кабель_обозначение,3,FALSE)=1,CF326&amp;" ("&amp;BJ326&amp;"х"&amp;BS326&amp;")",CF326),"")</f>
        <v>ВВГнг(А)-LS (3х2,5)</v>
      </c>
      <c r="CH326" t="str">
        <f t="shared" si="458"/>
        <v>ВВГнг(А)-LS (3х2,5)
L=37-0,76%</v>
      </c>
      <c r="CI326">
        <f>IFERROR(2*ρкз_Cu*BW326/BS326,"")</f>
        <v>0.77847999999999995</v>
      </c>
      <c r="CJ326">
        <f t="shared" si="459"/>
        <v>0.25900000000000001</v>
      </c>
      <c r="CK326" t="str">
        <f>IFERROR(IF(OR(D326="",NOT(ISNUMBER(BS326)),N(BW326)=0),"",_xlfn.XLOOKUP(A326,Щиты[Щит],Щиты[Zпетли на шинах, Ом])+CI326),"")</f>
        <v/>
      </c>
      <c r="CL326" t="str">
        <f>IF(ISNUMBER(CK326),c_min*(Uн_лин*1000/SQRT(3))/CK326,"")</f>
        <v/>
      </c>
      <c r="CM326" t="str">
        <f>IFERROR(IF(OR(D326="",NOT(ISNUMBER(BS326))),"",1.05*(Uн_лин*1000/SQRT(3))/(_xlfn.XLOOKUP(A326,Щиты[Щит],Щиты[Zmax на шинах, Ом])+CJ326)/1000),"")</f>
        <v/>
      </c>
      <c r="CN326" t="str">
        <f>IF(D326="","",IF(BA326&lt;&gt;"","Щит",IF(K326&lt;&gt;"",K326,IF(ISNUMBER(L326),"Сил",IF(IFERROR(_xlfn.XLOOKUP(AT326,Коды_код,Коды_группа)&amp;"","")="","Быт",_xlfn.XLOOKUP(AT326,Коды_код,Коды_группа)&amp;"")))))</f>
        <v>Сил</v>
      </c>
      <c r="CO326">
        <f>IF(CN326="Щит","щит",IF(CN326="","",IF(CN326="Быт",IFERROR(_xlfn.XLOOKUP(A326,Щиты[Щит],Щиты[Кс быт]),1),IF(CN326="Сил",IF(ISNUMBER(L326),L326,IF(Методика="нормы 2026",IFERROR(_xlfn.XLOOKUP(A326,Щиты[Щит],Щиты[Кс силовых (табл. 7.5)]),1),1)),IF(OR(CN326="Пост",CN326="Отоп"),1,IF(CN326="ВНГ",0.7,0))))))</f>
        <v>0.7</v>
      </c>
      <c r="CP326">
        <f t="shared" si="460"/>
        <v>1</v>
      </c>
      <c r="CQ326">
        <f t="shared" si="461"/>
        <v>0.6</v>
      </c>
      <c r="CR326">
        <f t="shared" si="462"/>
        <v>0</v>
      </c>
      <c r="CS326">
        <f t="shared" si="463"/>
        <v>0.42</v>
      </c>
      <c r="CT326">
        <f t="shared" si="464"/>
        <v>0</v>
      </c>
      <c r="CU326">
        <f t="shared" si="465"/>
        <v>0</v>
      </c>
      <c r="CV326">
        <f t="shared" si="466"/>
        <v>0</v>
      </c>
      <c r="CW326">
        <f t="shared" si="467"/>
        <v>0.6</v>
      </c>
      <c r="CX326">
        <f t="shared" si="468"/>
        <v>0.56999999999999995</v>
      </c>
      <c r="CY326">
        <f t="shared" si="469"/>
        <v>2</v>
      </c>
      <c r="CZ326" t="str">
        <f t="shared" si="470"/>
        <v>L2</v>
      </c>
      <c r="DA326" cm="1">
        <f t="array" ref="DA326">IFERROR(IF(BL326=2,_xlfn.IFS(BH326=3,VLOOKUP(BF326,Справочная_двигатели,3,FALSE),BH326=1,VLOOKUP(BF326,Справочная_двигатели,5,TRUE)),0),0)</f>
        <v>0</v>
      </c>
      <c r="DB326">
        <f>IFERROR(IF(BL326=3,VLOOKUP(BF326,Справочная_ЛЭД,2,TRUE),0),0)</f>
        <v>0</v>
      </c>
      <c r="DC326">
        <f t="shared" si="471"/>
        <v>0</v>
      </c>
      <c r="DD326" t="str">
        <f t="shared" si="472"/>
        <v>L1</v>
      </c>
      <c r="DE326" t="str" cm="1">
        <f t="array" ref="DE326">IF(D326="","",IFERROR(INDEX({"I особая","I","II","III"},MATCH(TRIM(AA326&amp;""),{"I особая","I","II","III"},0)),"III"))</f>
        <v>II</v>
      </c>
      <c r="DF326" t="str">
        <f>IF(D326="","",IF(TRIM(AB326&amp;"")&lt;&gt;"",IF(LOWER(TRIM(AB326&amp;""))="да","да","нет"),IF(IFERROR(_xlfn.XLOOKUP(AT326,Коды_код,Коды_пожарная),"")="да","да","нет")))</f>
        <v>нет</v>
      </c>
      <c r="DG326" t="str">
        <f t="shared" si="473"/>
        <v/>
      </c>
      <c r="DH326" t="str">
        <f t="shared" si="474"/>
        <v>основная</v>
      </c>
      <c r="DI326">
        <f t="shared" si="475"/>
        <v>1</v>
      </c>
      <c r="DJ326" t="str" cm="1">
        <f t="array" ref="DJ326">IF(D326="","",_xlfn.LET(_xlpm.t,IFERROR(_xlfn.XLOOKUP(1,(Шины[Шина]=DH326)*(((Шины[Щит]=A326)+(Шины[Щит]=""))&gt;0),Шины[Тип]),"")&amp;"",IF(_xlpm.t&lt;&gt;"",_xlpm.t,IF(ISNUMBER(SEARCH("ИБП",DH326)),"ИБП",IF(ISNUMBER(SEARCH("ДГУ",DH326)),"ДГУ","Ввод "&amp;DI326)))))</f>
        <v>Ввод 1</v>
      </c>
      <c r="DK326" t="str">
        <f t="shared" si="476"/>
        <v>Ввод 1</v>
      </c>
      <c r="DL326" t="str">
        <f>IF(D326="","",IF(OR(DJ326="ИБП",DJ326="ДГУ"),"I особая",IF(DJ326="Одиночная","III",_xlfn.XLOOKUP(A326,Щиты[Щит],Щиты[Категория шины «Ввод»],"III"))))</f>
        <v>II</v>
      </c>
      <c r="DM326">
        <f>IF(D326="",0,IFERROR(MATCH(DE326,{"III","II","I","I особая"},0),1))</f>
        <v>2</v>
      </c>
      <c r="DN326">
        <f t="shared" si="477"/>
        <v>2</v>
      </c>
      <c r="DO326" t="str">
        <f>IF(D326="","",IF(DM326&gt;IFERROR(MATCH(DL326,{"III","II","I","I особая"},0),1),"НЕ ОБЕСПЕЧЕНА","ОК"))</f>
        <v>ОК</v>
      </c>
      <c r="DP326" t="str">
        <f>IF(A326="","",_xlfn.XLOOKUP(A326,Щиты[Щит],Щиты[Путь],""))</f>
        <v>|ГРЩ-ЖД|ЩС-ВК.002|</v>
      </c>
      <c r="DQ326" t="str">
        <f>IF(D326="","",IF(Z326&lt;&gt;"",Z326,IF(IFERROR(_xlfn.XLOOKUP(AT326,Коды_код,Коды_вид)&amp;"","")="","Прочее",_xlfn.XLOOKUP(AT326,Коды_код,Коды_вид)&amp;"")))</f>
        <v>Насосы (водоснабжение, дренаж)</v>
      </c>
      <c r="DR326">
        <f>IF(BD326="","",INT((BD326-1)/Столбцов_на_лист)+1)</f>
        <v>1</v>
      </c>
      <c r="DS326" t="str">
        <f t="shared" si="478"/>
        <v>ВВГнг(А)-LS (3х2,5) L=37-0,76%</v>
      </c>
      <c r="DT326">
        <f t="shared" si="479"/>
        <v>0.6</v>
      </c>
      <c r="DU326">
        <f t="shared" si="480"/>
        <v>2.7399999999999998</v>
      </c>
      <c r="DV326">
        <f t="shared" si="481"/>
        <v>1</v>
      </c>
      <c r="DW326">
        <f>IF(AT326="",0,_xlfn.LET(_xlpm.v,IFERROR(VLOOKUP(D326,УГО_спр,3,FALSE),IFERROR(VLOOKUP(AT326,УГО_спр,3,FALSE),IFERROR(VLOOKUP(LEFT(AT326,2),УГО_спр,3,FALSE),""))),IF(_xlpm.v="да",30,IF(ISNUMBER(_xlpm.v),_xlpm.v,0))))</f>
        <v>0</v>
      </c>
      <c r="DX326">
        <f t="shared" si="482"/>
        <v>0</v>
      </c>
      <c r="DY326">
        <f>IF(BD326="","",IF(AD326&lt;&gt;"",COUNTIFS(A$3:A326,A326,AD$3:AD326,"?*"),IF(OR(OR(AS326=1,A326&lt;&gt;A325),AL326="вручную"),"",IF(AS326=1,"",DZ325))))</f>
        <v>1</v>
      </c>
      <c r="DZ326">
        <f t="shared" si="483"/>
        <v>1</v>
      </c>
      <c r="EA326">
        <f>IF(D326="",0,MAX(IFERROR(--X326,0),IFERROR(--VLOOKUP(D326,УГО_спр,4,FALSE),IFERROR(--VLOOKUP(AT326,УГО_спр,4,FALSE),IFERROR(--VLOOKUP(LEFT(AT326,2),УГО_спр,4,FALSE),0)))))</f>
        <v>16</v>
      </c>
      <c r="EB326">
        <f>IF(D326="","",IFERROR(LOOKUP(INDEX(CHOOSE(BR326,Iдоп_1ж,Iдоп_2ж,Iдоп_3ж),MATCH(BS326,Iдоп_S,0))*BP326*BQ326,{6,10,16,20,25,32,40,50,63,80,100,125,160,200,250,315,400,500,630}),""))</f>
        <v>25</v>
      </c>
      <c r="EC326">
        <f>IF(AD326="","",SUMIFS(Линии[_Ток схемы],Линии[_гр.],DY326,Линии[Щит],A326,Линии[_в кабель выше],0))</f>
        <v>2.7399999999999998</v>
      </c>
      <c r="ED326">
        <f>IF(AD326="","",IFERROR(VLOOKUP(EC326,Автомат_номиналы,2,TRUE),""))</f>
        <v>6</v>
      </c>
      <c r="EE326">
        <f>IF(AD326="","",MAX(N(ED326),_xlfn.MAXIFS(Линии[_мин. по типу],Линии[_гр.],DY326,Линии[Щит],A326)))</f>
        <v>16</v>
      </c>
      <c r="EF326">
        <f>IF(AD326="","",_xlfn.MINIFS(Линии[_макс. автомат по кабелю],Линии[_гр.],DY326,Линии[Щит],A326))</f>
        <v>25</v>
      </c>
      <c r="EG326">
        <f>IF(AD326="","",MAX(1,_xlfn.MAXIFS(Линии[_фаз],Линии[_гр.],DY326,Линии[Щит],A326)))</f>
        <v>1</v>
      </c>
      <c r="EH326">
        <f>IF(AD326="","",IF(AND(AD326&lt;&gt;"авто",AD326&lt;&gt;"+"),IF(ISNUMBER(SEARCH("мА",AD326)),IFERROR(--TRIM(RIGHT(SUBSTITUTE(LEFT(AD326,SEARCH("мА",AD326)-1)," ",REPT(" ",9)),6)),30),0),IF(AE326="нет",0,IF(ISNUMBER(AE326),AE326,IF(AE326="да",30,_xlfn.MINIFS(Линии[_дифзащита по коду, мА],Линии[_гр.],DY326,Линии[Щит],A326,Линии[_дифзащита по коду, мА],"&gt;0"))))))</f>
        <v>0</v>
      </c>
      <c r="EI326">
        <f t="shared" si="484"/>
        <v>0</v>
      </c>
      <c r="EJ326" t="str">
        <f t="shared" si="485"/>
        <v>QF1</v>
      </c>
      <c r="EK326" t="str">
        <f t="shared" si="486"/>
        <v>QF1</v>
      </c>
      <c r="EL326" t="str">
        <f t="shared" si="487"/>
        <v/>
      </c>
      <c r="EM326">
        <f t="shared" si="488"/>
        <v>0</v>
      </c>
      <c r="EN326">
        <f>IF(AD326="","",IF(EM326=1,MAX(EE326,Мин_автомат_БП),EE326))</f>
        <v>16</v>
      </c>
      <c r="EO326" t="str">
        <f t="shared" si="489"/>
        <v>1P</v>
      </c>
      <c r="EP326" t="str">
        <f t="shared" si="490"/>
        <v>1P С16А</v>
      </c>
      <c r="EQ326">
        <f t="shared" si="491"/>
        <v>16</v>
      </c>
      <c r="ER326" t="str">
        <f>IF(OR(AI326="",AI326="-"),"",IFERROR(VLOOKUP(AI326,Модули_спр,2,FALSE),"R"))</f>
        <v/>
      </c>
      <c r="ES326" t="str">
        <f>IF(ER326="","",ER326&amp;"."&amp;COUNTIFS(A$3:A326,A326,ER$3:ER326,ER326))</f>
        <v/>
      </c>
      <c r="ET326" t="str">
        <f t="shared" si="492"/>
        <v/>
      </c>
      <c r="EU326" t="str">
        <f t="shared" si="493"/>
        <v/>
      </c>
      <c r="EV326" t="str">
        <f t="shared" si="494"/>
        <v/>
      </c>
      <c r="EW326" t="str">
        <f t="shared" si="495"/>
        <v/>
      </c>
      <c r="EX326">
        <f t="shared" si="496"/>
        <v>1</v>
      </c>
      <c r="EY326" t="str">
        <f>IF(AK326="нет","",IF(AK326&lt;&gt;"",AK326,IF(EX326=1,"XT"&amp;COUNTIFS(A$3:A326,A326,EX$3:EX326,1),"")))</f>
        <v>XT1</v>
      </c>
      <c r="EZ326" t="str">
        <f t="shared" si="497"/>
        <v>QF1</v>
      </c>
      <c r="FA326" t="str">
        <f t="shared" si="498"/>
        <v/>
      </c>
      <c r="FB326" t="str">
        <f t="shared" si="499"/>
        <v>ok</v>
      </c>
      <c r="FC326" t="str">
        <f>IF(OR(EV326="",ET326=""),"",IF(EV326&gt;IFERROR(VLOOKUP(EU326,Модули_спр,3,FALSE),99),"ЛИШНИЙ КАНАЛ",IF(AND(AJ326&lt;&gt;"=",COUNTIFS(Линии[_модуль гр.],ET326,Линии[Канал (итог)],EV326,Линии[Канал],"&lt;&gt;=",Линии[Щит],A326)&gt;1),"ДУБЛЬ КАНАЛА","")))</f>
        <v/>
      </c>
      <c r="FD326">
        <f t="shared" si="500"/>
        <v>16</v>
      </c>
      <c r="FE326" t="str">
        <f t="shared" si="501"/>
        <v>1P С16А</v>
      </c>
      <c r="FF326">
        <f t="shared" si="502"/>
        <v>0</v>
      </c>
      <c r="FG326">
        <f t="shared" si="503"/>
        <v>0</v>
      </c>
      <c r="FH326" t="str">
        <f t="shared" si="504"/>
        <v/>
      </c>
      <c r="FI326">
        <f t="shared" si="505"/>
        <v>10</v>
      </c>
      <c r="FJ326" t="str">
        <f t="shared" si="506"/>
        <v/>
      </c>
      <c r="FK326" t="str">
        <f>IF(AND(D326="",EZ326=""),"",_xlfn.TEXTJOIN("; ",TRUE,IF(AND(D326&lt;&gt;"",DD326=""),"нет фазы",""),IF(AND(D326&lt;&gt;"",N(DT326)=0,CN326&lt;&gt;"Нет"),"нет мощности",""),IF(AND(EY326&lt;&gt;"",COUNTIFS(Линии[Щит],A326,Линии[Клемма (итог)],EY326)&gt;1),"дубль клеммы "&amp;EY326,""),IF(AND(FB326&lt;&gt;"",FB326&lt;&gt;"ok"),FB326,""),IF(FC326&lt;&gt;"",FC326,""),IF(AND(ISNUMBER(SEARCH("(5х",DS326)),N(DV326)=1),"5 жил на 1 фазе",""),IF(AND(AT326="R",AD326&lt;&gt;"",OR(N(EH326)=0,N(EH326)&gt;30)),"розетка без дифзащиты до 30 мА",""),IFERROR(IF(AND(ISNUMBER(CD326),CD326&gt;CE326),"потери "&amp;FIXED(CD326,1)&amp;" % &gt; "&amp;CE326&amp;" %",""),""),IFERROR(IF(LEFT(FJ326,4)="мало","Iкз мало — отключение &gt; 0,4 с",""),""),IF(AND(D326&lt;&gt;"",BD326=""),"не на схеме","")))</f>
        <v/>
      </c>
      <c r="FL326">
        <f>IF(AD326="","",_xlfn.LET(_xlpm.t,IFERROR(_xlfn.XLOOKUP(EP326,Каталог!$U$4:$U$500,Каталог!$G$4:$G$500),""),_xlpm.k,SEARCH("кА",_xlpm.t),IFERROR(--TRIM(RIGHT(SUBSTITUTE(MID(_xlpm.t,MAX(1,_xlpm.k-4),_xlpm.k-MAX(1,_xlpm.k-4))," ",REPT(" ",9)),5)),"")))</f>
        <v>6</v>
      </c>
      <c r="FM326" t="str">
        <f>IF(OR(FL326="",AD326=""),"",IF(_xlfn.XLOOKUP(A326,Щиты[Щит],Щиты[Iкз max на шинах, кА],"")="","",IF(FL326&lt;_xlfn.XLOOKUP(A326,Щиты[Щит],Щиты[Iкз max на шинах, кА]),"Icu "&amp;FL326&amp;" кА &lt; Iкз max","ok")))</f>
        <v/>
      </c>
      <c r="FN326" t="str">
        <f t="shared" si="507"/>
        <v>QF1|XT1</v>
      </c>
      <c r="FO326" t="str">
        <f t="shared" si="508"/>
        <v>QF1|XT1|кабель ВВГнг(А)-LS (3х2,5) → Насос дренажный Подвальный этаж Пом. №002Тб</v>
      </c>
      <c r="FP326" t="str" cm="1">
        <f t="array" ref="FP326">IF(FO326="","",_xlfn.LET(_xlpm.nd,_xlfn.TEXTSPLIT(FO326,"|"),IF(COLUMNS(_xlpm.nd)&gt;1,A326&amp;"¦"&amp;INDEX(_xlpm.nd,1)&amp;"¦"&amp;INDEX(_xlpm.nd,2),"")))</f>
        <v>ЩС-ВК.002¦QF1¦XT1</v>
      </c>
      <c r="FQ326" t="str">
        <f t="shared" si="509"/>
        <v>НВК.00.002Тб.3¦Насос дренажный Подвальный этаж Пом. №002Тб</v>
      </c>
      <c r="FR326" t="str" cm="1">
        <f t="array" ref="FR326">IF(FO326="","",_xlfn.LET(_xlpm.nd,_xlfn.TEXTSPLIT(FO326,"|"),IF(COLUMNS(_xlpm.nd)&gt;2,A326&amp;"¦"&amp;INDEX(_xlpm.nd,2)&amp;"¦"&amp;INDEX(_xlpm.nd,3),"")))</f>
        <v>ЩС-ВК.002¦XT1¦кабель ВВГнг(А)-LS (3х2,5) → Насос дренажный Подвальный этаж Пом. №002Тб</v>
      </c>
      <c r="FS326" t="str">
        <f t="shared" si="510"/>
        <v>НВК.00.002Тб.3¦Насос дренажный Подвальный этаж Пом. №002Тб</v>
      </c>
      <c r="FT326" t="str" cm="1">
        <f t="array" ref="FT326">IF(FO326="","",_xlfn.LET(_xlpm.nd,_xlfn.TEXTSPLIT(FO326,"|"),IF(COLUMNS(_xlpm.nd)&gt;3,A326&amp;"¦"&amp;INDEX(_xlpm.nd,3)&amp;"¦"&amp;INDEX(_xlpm.nd,4),"")))</f>
        <v/>
      </c>
      <c r="FU326" t="str">
        <f t="shared" si="511"/>
        <v/>
      </c>
      <c r="FV326" t="str" cm="1">
        <f t="array" ref="FV326">IF(FO326="","",_xlfn.LET(_xlpm.nd,_xlfn.TEXTSPLIT(FO326,"|"),IF(COLUMNS(_xlpm.nd)&gt;4,A326&amp;"¦"&amp;INDEX(_xlpm.nd,4)&amp;"¦"&amp;INDEX(_xlpm.nd,5),"")))</f>
        <v/>
      </c>
      <c r="FW326" t="str">
        <f t="shared" si="512"/>
        <v/>
      </c>
      <c r="FX326" t="str" cm="1">
        <f t="array" ref="FX326">IF(FO326="","",_xlfn.LET(_xlpm.nd,_xlfn.TEXTSPLIT(FO326,"|"),IF(COLUMNS(_xlpm.nd)&gt;5,A326&amp;"¦"&amp;INDEX(_xlpm.nd,5)&amp;"¦"&amp;INDEX(_xlpm.nd,6),"")))</f>
        <v/>
      </c>
      <c r="FY326" t="str">
        <f t="shared" si="513"/>
        <v/>
      </c>
      <c r="FZ326" t="str" cm="1">
        <f t="array" ref="FZ326">IF(FO326="","",_xlfn.LET(_xlpm.nd,_xlfn.TEXTSPLIT(FO326,"|"),IF(COLUMNS(_xlpm.nd)&gt;6,A326&amp;"¦"&amp;INDEX(_xlpm.nd,6)&amp;"¦"&amp;INDEX(_xlpm.nd,7),"")))</f>
        <v/>
      </c>
      <c r="GA326" t="str">
        <f t="shared" si="514"/>
        <v/>
      </c>
      <c r="GB326" t="str">
        <f t="shared" si="515"/>
        <v/>
      </c>
      <c r="GC326" t="str">
        <f t="shared" si="516"/>
        <v>QF1 → XT1</v>
      </c>
      <c r="GD326">
        <f t="shared" si="517"/>
        <v>1</v>
      </c>
      <c r="GE326">
        <f t="shared" si="518"/>
        <v>0</v>
      </c>
      <c r="GF326">
        <f t="shared" si="519"/>
        <v>0</v>
      </c>
      <c r="GG326" t="str">
        <f t="shared" si="520"/>
        <v/>
      </c>
      <c r="GH326" t="str">
        <f t="shared" si="521"/>
        <v/>
      </c>
      <c r="GI326" t="str">
        <f t="shared" si="522"/>
        <v/>
      </c>
      <c r="GJ326" t="str">
        <f t="shared" si="523"/>
        <v/>
      </c>
      <c r="GK326">
        <f>IF(D326="","",IFERROR(VLOOKUP(D326,УГО_спр,2,FALSE),IFERROR(VLOOKUP(AT326,УГО_спр,2,FALSE),IFERROR(VLOOKUP(LEFT(AT326,2),УГО_спр,2,FALSE),""))))</f>
        <v>0</v>
      </c>
      <c r="GL326" t="str">
        <f>IF(D326="","",IF(OR(GK326="",GK326=0),"BOX",IFERROR(IF(VLOOKUP(GK326,УГО_блоки,3,FALSE)&amp;""&lt;&gt;"",VLOOKUP(GK326,УГО_блоки,3,FALSE),VLOOKUP(GK326,УГО_блоки,2,FALSE)),GK326)))</f>
        <v>BOX</v>
      </c>
      <c r="GM326">
        <f t="shared" si="524"/>
        <v>1</v>
      </c>
      <c r="GN326" t="str">
        <f>IF(EP326="","",IF(COUNTIF(EP$3:EP326,EP326)=1,MAX(GN$2:GN325)+1,""))</f>
        <v/>
      </c>
      <c r="GO326" t="str">
        <f>IF(AF326="","",IF(COUNTIF(AF$3:AF326,AF326)+COUNTIF(AG$2:AG325,AF326)+COUNTIF(AH$2:AH325,AF326)=1,MAX(GO$2:GQ325)+1,""))</f>
        <v/>
      </c>
      <c r="GP326" t="str">
        <f>IF(AG326="","",IF(COUNTIF(AF$3:AF326,AG326)+COUNTIF(AG$3:AG326,AG326)+COUNTIF(AH$2:AH325,AG326)=1,MAX(GO$2:GQ325,GO326)+1,""))</f>
        <v/>
      </c>
      <c r="GQ326" t="str">
        <f>IF(AH326="","",IF(COUNTIF(AF$3:AF326,AH326)+COUNTIF(AG$3:AG326,AH326)+COUNTIF(AH$3:AH326,AH326)=1,MAX(GO$2:GQ325,GO326,GP326)+1,""))</f>
        <v/>
      </c>
      <c r="GR326" t="str">
        <f t="shared" si="525"/>
        <v>3х2,5</v>
      </c>
      <c r="GS326" t="str">
        <f>IF(GR326="","",IF(COUNTIF(GR$3:GR326,GR326)=1,MAX(GS$2:GS325)+1,""))</f>
        <v/>
      </c>
      <c r="GT326" t="str">
        <f>IF(ES326="","",COUNTIF(ES$3:ES326,"?*"))</f>
        <v/>
      </c>
      <c r="GU326" t="str">
        <f>IF(OR(ES326="",EU326=""),"",IF(COUNTIFS(ES$3:ES326,"?*",EU$3:EU326,EU326)=1,MAX(GU$2:GU325)+1,""))</f>
        <v/>
      </c>
      <c r="GV326">
        <f t="shared" si="526"/>
        <v>0</v>
      </c>
      <c r="GW326">
        <f>IF(D326="","",COUNTIF(D$3:D326,"?*"))</f>
        <v>324</v>
      </c>
      <c r="GX326">
        <f>IF(EX326&lt;&gt;1,0,_xlfn.LET(_xlpm.k,MAX(IFERROR(--VLOOKUP(D326,УГО_спр,5,FALSE),0),IFERROR(--VLOOKUP(AT326,УГО_спр,5,FALSE),0),IFERROR(--VLOOKUP(LEFT(AT326,2),УГО_спр,5,FALSE),0)),IF(_xlpm.k&gt;0,_xlpm.k,IF(IFERROR(--LEFT(SUBSTITUTE(GR326,"x","х"),FIND("х",SUBSTITUTE(GR326,"x","х"))-1),3)&gt;3,Каталог!$S$9,1))))</f>
        <v>1</v>
      </c>
      <c r="GY326">
        <f t="shared" si="527"/>
        <v>0</v>
      </c>
    </row>
    <row r="327" spans="1:207" x14ac:dyDescent="0.3">
      <c r="A327" t="s">
        <v>770</v>
      </c>
      <c r="B327">
        <v>13</v>
      </c>
      <c r="C327" t="str">
        <f>IF(BD327="","",IF(BE327="вводной узел","узел ","")&amp;"л."&amp;(INT((BD327-1)/Столбцов_на_лист)+1)&amp;" / "&amp;(MOD(BD327-1,Столбцов_на_лист)+1))</f>
        <v>л.1 / 13</v>
      </c>
      <c r="D327" t="s">
        <v>1664</v>
      </c>
      <c r="E327" s="133" t="str">
        <f t="shared" si="440"/>
        <v>Насос дренажный Подвальный этаж Пом. №002Тб</v>
      </c>
      <c r="G327">
        <v>0.6</v>
      </c>
      <c r="H327">
        <v>1</v>
      </c>
      <c r="I327">
        <v>1</v>
      </c>
      <c r="J327">
        <v>230</v>
      </c>
      <c r="K327" t="s">
        <v>602</v>
      </c>
      <c r="L327">
        <v>0.7</v>
      </c>
      <c r="O327">
        <v>1</v>
      </c>
      <c r="P327">
        <v>33</v>
      </c>
      <c r="Q327">
        <v>23</v>
      </c>
      <c r="R327">
        <v>4</v>
      </c>
      <c r="S327">
        <v>0</v>
      </c>
      <c r="T327">
        <v>1</v>
      </c>
      <c r="U327" t="s">
        <v>11</v>
      </c>
      <c r="V327">
        <v>3</v>
      </c>
      <c r="W327">
        <v>2.5</v>
      </c>
      <c r="X327">
        <v>16</v>
      </c>
      <c r="Z327" t="s">
        <v>608</v>
      </c>
      <c r="AA327" t="s">
        <v>818</v>
      </c>
      <c r="AD327" t="s">
        <v>517</v>
      </c>
      <c r="AR327" t="str">
        <f t="shared" si="441"/>
        <v/>
      </c>
      <c r="AS327" cm="1">
        <f t="array" ref="AS327">ROW()-ROW(Линии[#Headers])</f>
        <v>325</v>
      </c>
      <c r="AT327" t="str">
        <f t="shared" si="442"/>
        <v>НВК</v>
      </c>
      <c r="AU327" t="str">
        <f t="shared" si="443"/>
        <v>00.002Тб.4</v>
      </c>
      <c r="AV327" t="str">
        <f t="shared" si="444"/>
        <v>00</v>
      </c>
      <c r="AW327" t="str">
        <f t="shared" si="445"/>
        <v>002Тб.4</v>
      </c>
      <c r="AX327" t="str">
        <f t="shared" si="446"/>
        <v>002Тб</v>
      </c>
      <c r="AY327" t="str">
        <f>IF(D327="","",IF(ISERROR(SEARCH(".",D327)),IFERROR(VLOOKUP(D327,Потребители_обозначение,2,FALSE)&amp;"",""),IFERROR(IF(VLOOKUP(AT327,Потребители_обозначение,4,FALSE)=1,VLOOKUP(AT327,Потребители_обозначение,2,FALSE)&amp;" "&amp;VLOOKUP(AV327,Этаж_обозначение,2,FALSE)&amp;" Пом. №"&amp;AX327,VLOOKUP(AT327,Потребители_обозначение,2,FALSE)&amp;" Шлейф №"&amp;AV327),IFERROR(VLOOKUP(D327,Потребители_обозначение,2,FALSE),""))))</f>
        <v>Насос дренажный Подвальный этаж Пом. №002Тб</v>
      </c>
      <c r="AZ327" t="str">
        <f t="shared" si="447"/>
        <v>Насос дренажный Подвальный этаж Пом. №002Тб</v>
      </c>
      <c r="BA327" t="str">
        <f>IF(F327&lt;&gt;"",F327,IF(AND(D327&lt;&gt;"",D327&lt;&gt;A327,ISNUMBER(_xlfn.XMATCH(D327,Щиты[Щит]))),D327,""))</f>
        <v/>
      </c>
      <c r="BB327">
        <f>IFERROR(_xlfn.XMATCH(A327,Щиты[Щит]),0)</f>
        <v>14</v>
      </c>
      <c r="BC327">
        <f>IFERROR(N(_xlfn.XLOOKUP(A327,Щиты[Щит],Щиты[Мест под вводной узел])),15)</f>
        <v>11</v>
      </c>
      <c r="BD327">
        <f t="shared" si="448"/>
        <v>13</v>
      </c>
      <c r="BE327" t="str">
        <f t="shared" si="449"/>
        <v>линии</v>
      </c>
      <c r="BF327">
        <f>IF(D327="","",IF(BA327&lt;&gt;"",IFERROR(_xlfn.XLOOKUP(BA327,Щиты[Щит],Щиты[Руст, кВт]),0),N(G327)))</f>
        <v>0.6</v>
      </c>
      <c r="BG327">
        <f>IF(J327&lt;&gt;"",J327,IF(D327="","",IFERROR(IF(VLOOKUP(AT327,Потребители_обозначение,8,FALSE)=0,"",VLOOKUP(AT327,Потребители_обозначение,8,FALSE)),"")))</f>
        <v>230</v>
      </c>
      <c r="BH327">
        <f>IF(I327&lt;&gt;"",I327,IF(D327="","",IFERROR(IF(VLOOKUP(AT327,Потребители_обозначение,9,FALSE)=0,"",VLOOKUP(AT327,Потребители_обозначение,9,FALSE)),"")))</f>
        <v>1</v>
      </c>
      <c r="BI327" t="str">
        <f>IF(U327&lt;&gt;"",U327,IF(D327="","",IFERROR(IF(VLOOKUP(AT327,Потребители_обозначение,6,FALSE)=0,"",VLOOKUP(AT327,Потребители_обозначение,6,FALSE)),"")))</f>
        <v>мс</v>
      </c>
      <c r="BJ327">
        <f>IF(V327&lt;&gt;"",V327,IF(D327="","",IFERROR(IF(VLOOKUP(AT327,Потребители_обозначение,7,FALSE)=0,"",VLOOKUP(AT327,Потребители_обозначение,7,FALSE)),"")))</f>
        <v>3</v>
      </c>
      <c r="BK327">
        <f>IF(W327&lt;&gt;"",W327,IF(D327="","",IFERROR(IF(VLOOKUP(AT327,Потребители_обозначение,10,FALSE)=0,"",VLOOKUP(AT327,Потребители_обозначение,10,FALSE)),"")))</f>
        <v>2.5</v>
      </c>
      <c r="BL327">
        <f>IFERROR(VLOOKUP(AT327,Потребители_обозначение,5,FALSE),0)</f>
        <v>1</v>
      </c>
      <c r="BM327" cm="1">
        <f t="array" ref="BM327">IF(D327="","",IF(BA327&lt;&gt;"",IFERROR(_xlfn.XLOOKUP(BA327,Щиты[Щит],Щиты[cos φ]),0.95),IF(ISNUMBER(M327),M327,IFERROR(IF(BL327=2,_xlfn.IFS(BH327=3,VLOOKUP(BF327,Справочная_двигатели,8,FALSE),BH327=1,VLOOKUP(BF327,Справочная_двигатели,10,TRUE)),IF(AND(Методика="нормы 2026",CN327="Сил"),0.8,0.95)),0.95))))</f>
        <v>0.95</v>
      </c>
      <c r="BN327" cm="1">
        <f t="array" ref="BN327">IF(D327="","",IF(BA327&lt;&gt;"",IFERROR(_xlfn.XLOOKUP(BA327,Щиты[Щит],Щиты[Iр, А]),""),IFERROR(_xlfn.IFS(BH327=1,BF327/((Uн_лин/SQRT(3))*BM327),BH327=3,BF327/(SQRT(3)*Uн_лин*BM327)),"")))</f>
        <v>2.7348170645824377</v>
      </c>
      <c r="BO327">
        <f>IF(D327="","",IF(N(X327)=0,IFERROR(VLOOKUP(BN327,Автомат_номиналы,2,TRUE),""),X327))</f>
        <v>16</v>
      </c>
      <c r="BP327">
        <f t="shared" si="450"/>
        <v>1</v>
      </c>
      <c r="BQ327">
        <f>IF(ISNUMBER(Y327),Y327,К_прокл)</f>
        <v>1</v>
      </c>
      <c r="BR327">
        <f t="shared" si="451"/>
        <v>2</v>
      </c>
      <c r="BS327" cm="1">
        <f t="array" ref="BS327">IF(D327="","",IF(N(BK327)&lt;&gt;0,BK327,IFERROR(_xlfn.LET(_xlpm.need,BO327/(BP327*BQ327),_xlpm.t,CHOOSE(BR327,Iдоп_1ж,Iдоп_2ж,Iдоп_3ж),_xlpm.k,_xlfn.XMATCH(_xlpm.need,_xlpm.t,1),IF(ISNA(_xlpm.k),"Не исп",INDEX(Iдоп_S,_xlpm.k))),"Не исп")))</f>
        <v>2.5</v>
      </c>
      <c r="BT327">
        <f>IFERROR(VLOOKUP(BS327,Кабель_сопротивление,3,FALSE),"")</f>
        <v>2.2499999999999999E-2</v>
      </c>
      <c r="BU327">
        <f>IFERROR(VLOOKUP(BS327,Кабель_сопротивление,2,FALSE),"")</f>
        <v>0.1</v>
      </c>
      <c r="BV327">
        <f t="shared" si="452"/>
        <v>33</v>
      </c>
      <c r="BW327">
        <f>IF(D327="","",IFERROR(IF(VLOOKUP(AT327,Потребители_обозначение,4,FALSE)=1,VLOOKUP(AT327,Потребители_обозначение,3,FALSE)*(H327*2-1)+BV327+VLOOKUP(AV327,Этаж_обозначение,3,FALSE)+VLOOKUP(AV327,Этаж_обозначение,4,FALSE),VLOOKUP(AT327,Потребители_обозначение,3,FALSE)*(H327*2-1)+BV327),BV327))</f>
        <v>36</v>
      </c>
      <c r="BX327">
        <f t="shared" si="453"/>
        <v>4</v>
      </c>
      <c r="BY327">
        <f t="shared" si="454"/>
        <v>0</v>
      </c>
      <c r="BZ327">
        <f t="shared" si="455"/>
        <v>2</v>
      </c>
      <c r="CA327">
        <f t="shared" si="456"/>
        <v>0.31</v>
      </c>
      <c r="CB327">
        <f t="shared" si="457"/>
        <v>1.6896574966450966</v>
      </c>
      <c r="CC327">
        <f>IFERROR(ROUNDUP(CB327/((Uн_лин/SQRT(3))*1000)*100,2),"")</f>
        <v>0.74</v>
      </c>
      <c r="CD327">
        <f>IF(ISNUMBER(CC327),CC327+IFERROR(_xlfn.XLOOKUP(A327,Щиты[Щит],Щиты[ΔU до шин, %]),0),"")</f>
        <v>2.38</v>
      </c>
      <c r="CE327">
        <f>IF(D327="","",IF(IFERROR(VLOOKUP(AT327,УГО_спр,2,FALSE),"")="Светильник",3,4)+IF(Методика="нормы 2026",MIN(0.5,MAX(0,N(BW327)-100)*0.005),0))</f>
        <v>4</v>
      </c>
      <c r="CF327" t="str">
        <f>IFERROR(VLOOKUP(BI327,Кабель_обозначение,2,FALSE),"")</f>
        <v>ВВГнг(А)-LS</v>
      </c>
      <c r="CG327" t="str">
        <f>IFERROR(IF(VLOOKUP(BI327,Кабель_обозначение,3,FALSE)=1,CF327&amp;" ("&amp;BJ327&amp;"х"&amp;BS327&amp;")",CF327),"")</f>
        <v>ВВГнг(А)-LS (3х2,5)</v>
      </c>
      <c r="CH327" t="str">
        <f t="shared" si="458"/>
        <v>ВВГнг(А)-LS (3х2,5)
L=36-0,74%</v>
      </c>
      <c r="CI327">
        <f>IFERROR(2*ρкз_Cu*BW327/BS327,"")</f>
        <v>0.75744</v>
      </c>
      <c r="CJ327">
        <f t="shared" si="459"/>
        <v>0.25200000000000006</v>
      </c>
      <c r="CK327" t="str">
        <f>IFERROR(IF(OR(D327="",NOT(ISNUMBER(BS327)),N(BW327)=0),"",_xlfn.XLOOKUP(A327,Щиты[Щит],Щиты[Zпетли на шинах, Ом])+CI327),"")</f>
        <v/>
      </c>
      <c r="CL327" t="str">
        <f>IF(ISNUMBER(CK327),c_min*(Uн_лин*1000/SQRT(3))/CK327,"")</f>
        <v/>
      </c>
      <c r="CM327" t="str">
        <f>IFERROR(IF(OR(D327="",NOT(ISNUMBER(BS327))),"",1.05*(Uн_лин*1000/SQRT(3))/(_xlfn.XLOOKUP(A327,Щиты[Щит],Щиты[Zmax на шинах, Ом])+CJ327)/1000),"")</f>
        <v/>
      </c>
      <c r="CN327" t="str">
        <f>IF(D327="","",IF(BA327&lt;&gt;"","Щит",IF(K327&lt;&gt;"",K327,IF(ISNUMBER(L327),"Сил",IF(IFERROR(_xlfn.XLOOKUP(AT327,Коды_код,Коды_группа)&amp;"","")="","Быт",_xlfn.XLOOKUP(AT327,Коды_код,Коды_группа)&amp;"")))))</f>
        <v>Сил</v>
      </c>
      <c r="CO327">
        <f>IF(CN327="Щит","щит",IF(CN327="","",IF(CN327="Быт",IFERROR(_xlfn.XLOOKUP(A327,Щиты[Щит],Щиты[Кс быт]),1),IF(CN327="Сил",IF(ISNUMBER(L327),L327,IF(Методика="нормы 2026",IFERROR(_xlfn.XLOOKUP(A327,Щиты[Щит],Щиты[Кс силовых (табл. 7.5)]),1),1)),IF(OR(CN327="Пост",CN327="Отоп"),1,IF(CN327="ВНГ",0.7,0))))))</f>
        <v>0.7</v>
      </c>
      <c r="CP327">
        <f t="shared" si="460"/>
        <v>1</v>
      </c>
      <c r="CQ327">
        <f t="shared" si="461"/>
        <v>0.6</v>
      </c>
      <c r="CR327">
        <f t="shared" si="462"/>
        <v>0</v>
      </c>
      <c r="CS327">
        <f t="shared" si="463"/>
        <v>0.42</v>
      </c>
      <c r="CT327">
        <f t="shared" si="464"/>
        <v>0</v>
      </c>
      <c r="CU327">
        <f t="shared" si="465"/>
        <v>0</v>
      </c>
      <c r="CV327">
        <f t="shared" si="466"/>
        <v>0</v>
      </c>
      <c r="CW327">
        <f t="shared" si="467"/>
        <v>0.6</v>
      </c>
      <c r="CX327">
        <f t="shared" si="468"/>
        <v>0.56999999999999995</v>
      </c>
      <c r="CY327">
        <f t="shared" si="469"/>
        <v>3</v>
      </c>
      <c r="CZ327" t="str">
        <f t="shared" si="470"/>
        <v>L3</v>
      </c>
      <c r="DA327" cm="1">
        <f t="array" ref="DA327">IFERROR(IF(BL327=2,_xlfn.IFS(BH327=3,VLOOKUP(BF327,Справочная_двигатели,3,FALSE),BH327=1,VLOOKUP(BF327,Справочная_двигатели,5,TRUE)),0),0)</f>
        <v>0</v>
      </c>
      <c r="DB327">
        <f>IFERROR(IF(BL327=3,VLOOKUP(BF327,Справочная_ЛЭД,2,TRUE),0),0)</f>
        <v>0</v>
      </c>
      <c r="DC327">
        <f t="shared" si="471"/>
        <v>0</v>
      </c>
      <c r="DD327" t="str">
        <f t="shared" si="472"/>
        <v>L1</v>
      </c>
      <c r="DE327" t="str" cm="1">
        <f t="array" ref="DE327">IF(D327="","",IFERROR(INDEX({"I особая","I","II","III"},MATCH(TRIM(AA327&amp;""),{"I особая","I","II","III"},0)),"III"))</f>
        <v>II</v>
      </c>
      <c r="DF327" t="str">
        <f>IF(D327="","",IF(TRIM(AB327&amp;"")&lt;&gt;"",IF(LOWER(TRIM(AB327&amp;""))="да","да","нет"),IF(IFERROR(_xlfn.XLOOKUP(AT327,Коды_код,Коды_пожарная),"")="да","да","нет")))</f>
        <v>нет</v>
      </c>
      <c r="DG327" t="str">
        <f t="shared" si="473"/>
        <v/>
      </c>
      <c r="DH327" t="str">
        <f t="shared" si="474"/>
        <v>основная</v>
      </c>
      <c r="DI327">
        <f t="shared" si="475"/>
        <v>1</v>
      </c>
      <c r="DJ327" t="str" cm="1">
        <f t="array" ref="DJ327">IF(D327="","",_xlfn.LET(_xlpm.t,IFERROR(_xlfn.XLOOKUP(1,(Шины[Шина]=DH327)*(((Шины[Щит]=A327)+(Шины[Щит]=""))&gt;0),Шины[Тип]),"")&amp;"",IF(_xlpm.t&lt;&gt;"",_xlpm.t,IF(ISNUMBER(SEARCH("ИБП",DH327)),"ИБП",IF(ISNUMBER(SEARCH("ДГУ",DH327)),"ДГУ","Ввод "&amp;DI327)))))</f>
        <v>Ввод 1</v>
      </c>
      <c r="DK327" t="str">
        <f t="shared" si="476"/>
        <v>Ввод 1</v>
      </c>
      <c r="DL327" t="str">
        <f>IF(D327="","",IF(OR(DJ327="ИБП",DJ327="ДГУ"),"I особая",IF(DJ327="Одиночная","III",_xlfn.XLOOKUP(A327,Щиты[Щит],Щиты[Категория шины «Ввод»],"III"))))</f>
        <v>II</v>
      </c>
      <c r="DM327">
        <f>IF(D327="",0,IFERROR(MATCH(DE327,{"III","II","I","I особая"},0),1))</f>
        <v>2</v>
      </c>
      <c r="DN327">
        <f t="shared" si="477"/>
        <v>2</v>
      </c>
      <c r="DO327" t="str">
        <f>IF(D327="","",IF(DM327&gt;IFERROR(MATCH(DL327,{"III","II","I","I особая"},0),1),"НЕ ОБЕСПЕЧЕНА","ОК"))</f>
        <v>ОК</v>
      </c>
      <c r="DP327" t="str">
        <f>IF(A327="","",_xlfn.XLOOKUP(A327,Щиты[Щит],Щиты[Путь],""))</f>
        <v>|ГРЩ-ЖД|ЩС-ВК.002|</v>
      </c>
      <c r="DQ327" t="str">
        <f>IF(D327="","",IF(Z327&lt;&gt;"",Z327,IF(IFERROR(_xlfn.XLOOKUP(AT327,Коды_код,Коды_вид)&amp;"","")="","Прочее",_xlfn.XLOOKUP(AT327,Коды_код,Коды_вид)&amp;"")))</f>
        <v>Насосы (водоснабжение, дренаж)</v>
      </c>
      <c r="DR327">
        <f>IF(BD327="","",INT((BD327-1)/Столбцов_на_лист)+1)</f>
        <v>1</v>
      </c>
      <c r="DS327" t="str">
        <f t="shared" si="478"/>
        <v>ВВГнг(А)-LS (3х2,5) L=36-0,74%</v>
      </c>
      <c r="DT327">
        <f t="shared" si="479"/>
        <v>0.6</v>
      </c>
      <c r="DU327">
        <f t="shared" si="480"/>
        <v>2.7399999999999998</v>
      </c>
      <c r="DV327">
        <f t="shared" si="481"/>
        <v>1</v>
      </c>
      <c r="DW327">
        <f>IF(AT327="",0,_xlfn.LET(_xlpm.v,IFERROR(VLOOKUP(D327,УГО_спр,3,FALSE),IFERROR(VLOOKUP(AT327,УГО_спр,3,FALSE),IFERROR(VLOOKUP(LEFT(AT327,2),УГО_спр,3,FALSE),""))),IF(_xlpm.v="да",30,IF(ISNUMBER(_xlpm.v),_xlpm.v,0))))</f>
        <v>0</v>
      </c>
      <c r="DX327">
        <f t="shared" si="482"/>
        <v>0</v>
      </c>
      <c r="DY327">
        <f>IF(BD327="","",IF(AD327&lt;&gt;"",COUNTIFS(A$3:A327,A327,AD$3:AD327,"?*"),IF(OR(OR(AS327=1,A327&lt;&gt;A326),AL327="вручную"),"",IF(AS327=1,"",DZ326))))</f>
        <v>2</v>
      </c>
      <c r="DZ327">
        <f t="shared" si="483"/>
        <v>2</v>
      </c>
      <c r="EA327">
        <f>IF(D327="",0,MAX(IFERROR(--X327,0),IFERROR(--VLOOKUP(D327,УГО_спр,4,FALSE),IFERROR(--VLOOKUP(AT327,УГО_спр,4,FALSE),IFERROR(--VLOOKUP(LEFT(AT327,2),УГО_спр,4,FALSE),0)))))</f>
        <v>16</v>
      </c>
      <c r="EB327">
        <f>IF(D327="","",IFERROR(LOOKUP(INDEX(CHOOSE(BR327,Iдоп_1ж,Iдоп_2ж,Iдоп_3ж),MATCH(BS327,Iдоп_S,0))*BP327*BQ327,{6,10,16,20,25,32,40,50,63,80,100,125,160,200,250,315,400,500,630}),""))</f>
        <v>25</v>
      </c>
      <c r="EC327">
        <f>IF(AD327="","",SUMIFS(Линии[_Ток схемы],Линии[_гр.],DY327,Линии[Щит],A327,Линии[_в кабель выше],0))</f>
        <v>2.7399999999999998</v>
      </c>
      <c r="ED327">
        <f>IF(AD327="","",IFERROR(VLOOKUP(EC327,Автомат_номиналы,2,TRUE),""))</f>
        <v>6</v>
      </c>
      <c r="EE327">
        <f>IF(AD327="","",MAX(N(ED327),_xlfn.MAXIFS(Линии[_мин. по типу],Линии[_гр.],DY327,Линии[Щит],A327)))</f>
        <v>16</v>
      </c>
      <c r="EF327">
        <f>IF(AD327="","",_xlfn.MINIFS(Линии[_макс. автомат по кабелю],Линии[_гр.],DY327,Линии[Щит],A327))</f>
        <v>25</v>
      </c>
      <c r="EG327">
        <f>IF(AD327="","",MAX(1,_xlfn.MAXIFS(Линии[_фаз],Линии[_гр.],DY327,Линии[Щит],A327)))</f>
        <v>1</v>
      </c>
      <c r="EH327">
        <f>IF(AD327="","",IF(AND(AD327&lt;&gt;"авто",AD327&lt;&gt;"+"),IF(ISNUMBER(SEARCH("мА",AD327)),IFERROR(--TRIM(RIGHT(SUBSTITUTE(LEFT(AD327,SEARCH("мА",AD327)-1)," ",REPT(" ",9)),6)),30),0),IF(AE327="нет",0,IF(ISNUMBER(AE327),AE327,IF(AE327="да",30,_xlfn.MINIFS(Линии[_дифзащита по коду, мА],Линии[_гр.],DY327,Линии[Щит],A327,Линии[_дифзащита по коду, мА],"&gt;0"))))))</f>
        <v>0</v>
      </c>
      <c r="EI327">
        <f t="shared" si="484"/>
        <v>0</v>
      </c>
      <c r="EJ327" t="str">
        <f t="shared" si="485"/>
        <v>QF2</v>
      </c>
      <c r="EK327" t="str">
        <f t="shared" si="486"/>
        <v>QF2</v>
      </c>
      <c r="EL327" t="str">
        <f t="shared" si="487"/>
        <v/>
      </c>
      <c r="EM327">
        <f t="shared" si="488"/>
        <v>0</v>
      </c>
      <c r="EN327">
        <f>IF(AD327="","",IF(EM327=1,MAX(EE327,Мин_автомат_БП),EE327))</f>
        <v>16</v>
      </c>
      <c r="EO327" t="str">
        <f t="shared" si="489"/>
        <v>1P</v>
      </c>
      <c r="EP327" t="str">
        <f t="shared" si="490"/>
        <v>1P С16А</v>
      </c>
      <c r="EQ327">
        <f t="shared" si="491"/>
        <v>16</v>
      </c>
      <c r="ER327" t="str">
        <f>IF(OR(AI327="",AI327="-"),"",IFERROR(VLOOKUP(AI327,Модули_спр,2,FALSE),"R"))</f>
        <v/>
      </c>
      <c r="ES327" t="str">
        <f>IF(ER327="","",ER327&amp;"."&amp;COUNTIFS(A$3:A327,A327,ER$3:ER327,ER327))</f>
        <v/>
      </c>
      <c r="ET327" t="str">
        <f t="shared" si="492"/>
        <v/>
      </c>
      <c r="EU327" t="str">
        <f t="shared" si="493"/>
        <v/>
      </c>
      <c r="EV327" t="str">
        <f t="shared" si="494"/>
        <v/>
      </c>
      <c r="EW327" t="str">
        <f t="shared" si="495"/>
        <v/>
      </c>
      <c r="EX327">
        <f t="shared" si="496"/>
        <v>1</v>
      </c>
      <c r="EY327" t="str">
        <f>IF(AK327="нет","",IF(AK327&lt;&gt;"",AK327,IF(EX327=1,"XT"&amp;COUNTIFS(A$3:A327,A327,EX$3:EX327,1),"")))</f>
        <v>XT2</v>
      </c>
      <c r="EZ327" t="str">
        <f t="shared" si="497"/>
        <v>QF2</v>
      </c>
      <c r="FA327" t="str">
        <f t="shared" si="498"/>
        <v/>
      </c>
      <c r="FB327" t="str">
        <f t="shared" si="499"/>
        <v>ok</v>
      </c>
      <c r="FC327" t="str">
        <f>IF(OR(EV327="",ET327=""),"",IF(EV327&gt;IFERROR(VLOOKUP(EU327,Модули_спр,3,FALSE),99),"ЛИШНИЙ КАНАЛ",IF(AND(AJ327&lt;&gt;"=",COUNTIFS(Линии[_модуль гр.],ET327,Линии[Канал (итог)],EV327,Линии[Канал],"&lt;&gt;=",Линии[Щит],A327)&gt;1),"ДУБЛЬ КАНАЛА","")))</f>
        <v/>
      </c>
      <c r="FD327">
        <f t="shared" si="500"/>
        <v>16</v>
      </c>
      <c r="FE327" t="str">
        <f t="shared" si="501"/>
        <v>1P С16А</v>
      </c>
      <c r="FF327">
        <f t="shared" si="502"/>
        <v>0</v>
      </c>
      <c r="FG327">
        <f t="shared" si="503"/>
        <v>0</v>
      </c>
      <c r="FH327" t="str">
        <f t="shared" si="504"/>
        <v/>
      </c>
      <c r="FI327">
        <f t="shared" si="505"/>
        <v>10</v>
      </c>
      <c r="FJ327" t="str">
        <f t="shared" si="506"/>
        <v/>
      </c>
      <c r="FK327" t="str">
        <f>IF(AND(D327="",EZ327=""),"",_xlfn.TEXTJOIN("; ",TRUE,IF(AND(D327&lt;&gt;"",DD327=""),"нет фазы",""),IF(AND(D327&lt;&gt;"",N(DT327)=0,CN327&lt;&gt;"Нет"),"нет мощности",""),IF(AND(EY327&lt;&gt;"",COUNTIFS(Линии[Щит],A327,Линии[Клемма (итог)],EY327)&gt;1),"дубль клеммы "&amp;EY327,""),IF(AND(FB327&lt;&gt;"",FB327&lt;&gt;"ok"),FB327,""),IF(FC327&lt;&gt;"",FC327,""),IF(AND(ISNUMBER(SEARCH("(5х",DS327)),N(DV327)=1),"5 жил на 1 фазе",""),IF(AND(AT327="R",AD327&lt;&gt;"",OR(N(EH327)=0,N(EH327)&gt;30)),"розетка без дифзащиты до 30 мА",""),IFERROR(IF(AND(ISNUMBER(CD327),CD327&gt;CE327),"потери "&amp;FIXED(CD327,1)&amp;" % &gt; "&amp;CE327&amp;" %",""),""),IFERROR(IF(LEFT(FJ327,4)="мало","Iкз мало — отключение &gt; 0,4 с",""),""),IF(AND(D327&lt;&gt;"",BD327=""),"не на схеме","")))</f>
        <v/>
      </c>
      <c r="FL327">
        <f>IF(AD327="","",_xlfn.LET(_xlpm.t,IFERROR(_xlfn.XLOOKUP(EP327,Каталог!$U$4:$U$500,Каталог!$G$4:$G$500),""),_xlpm.k,SEARCH("кА",_xlpm.t),IFERROR(--TRIM(RIGHT(SUBSTITUTE(MID(_xlpm.t,MAX(1,_xlpm.k-4),_xlpm.k-MAX(1,_xlpm.k-4))," ",REPT(" ",9)),5)),"")))</f>
        <v>6</v>
      </c>
      <c r="FM327" t="str">
        <f>IF(OR(FL327="",AD327=""),"",IF(_xlfn.XLOOKUP(A327,Щиты[Щит],Щиты[Iкз max на шинах, кА],"")="","",IF(FL327&lt;_xlfn.XLOOKUP(A327,Щиты[Щит],Щиты[Iкз max на шинах, кА]),"Icu "&amp;FL327&amp;" кА &lt; Iкз max","ok")))</f>
        <v/>
      </c>
      <c r="FN327" t="str">
        <f t="shared" si="507"/>
        <v>QF2|XT2</v>
      </c>
      <c r="FO327" t="str">
        <f t="shared" si="508"/>
        <v>QF2|XT2|кабель ВВГнг(А)-LS (3х2,5) → Насос дренажный Подвальный этаж Пом. №002Тб</v>
      </c>
      <c r="FP327" t="str" cm="1">
        <f t="array" ref="FP327">IF(FO327="","",_xlfn.LET(_xlpm.nd,_xlfn.TEXTSPLIT(FO327,"|"),IF(COLUMNS(_xlpm.nd)&gt;1,A327&amp;"¦"&amp;INDEX(_xlpm.nd,1)&amp;"¦"&amp;INDEX(_xlpm.nd,2),"")))</f>
        <v>ЩС-ВК.002¦QF2¦XT2</v>
      </c>
      <c r="FQ327" t="str">
        <f t="shared" si="509"/>
        <v>НВК.00.002Тб.4¦Насос дренажный Подвальный этаж Пом. №002Тб</v>
      </c>
      <c r="FR327" t="str" cm="1">
        <f t="array" ref="FR327">IF(FO327="","",_xlfn.LET(_xlpm.nd,_xlfn.TEXTSPLIT(FO327,"|"),IF(COLUMNS(_xlpm.nd)&gt;2,A327&amp;"¦"&amp;INDEX(_xlpm.nd,2)&amp;"¦"&amp;INDEX(_xlpm.nd,3),"")))</f>
        <v>ЩС-ВК.002¦XT2¦кабель ВВГнг(А)-LS (3х2,5) → Насос дренажный Подвальный этаж Пом. №002Тб</v>
      </c>
      <c r="FS327" t="str">
        <f t="shared" si="510"/>
        <v>НВК.00.002Тб.4¦Насос дренажный Подвальный этаж Пом. №002Тб</v>
      </c>
      <c r="FT327" t="str" cm="1">
        <f t="array" ref="FT327">IF(FO327="","",_xlfn.LET(_xlpm.nd,_xlfn.TEXTSPLIT(FO327,"|"),IF(COLUMNS(_xlpm.nd)&gt;3,A327&amp;"¦"&amp;INDEX(_xlpm.nd,3)&amp;"¦"&amp;INDEX(_xlpm.nd,4),"")))</f>
        <v/>
      </c>
      <c r="FU327" t="str">
        <f t="shared" si="511"/>
        <v/>
      </c>
      <c r="FV327" t="str" cm="1">
        <f t="array" ref="FV327">IF(FO327="","",_xlfn.LET(_xlpm.nd,_xlfn.TEXTSPLIT(FO327,"|"),IF(COLUMNS(_xlpm.nd)&gt;4,A327&amp;"¦"&amp;INDEX(_xlpm.nd,4)&amp;"¦"&amp;INDEX(_xlpm.nd,5),"")))</f>
        <v/>
      </c>
      <c r="FW327" t="str">
        <f t="shared" si="512"/>
        <v/>
      </c>
      <c r="FX327" t="str" cm="1">
        <f t="array" ref="FX327">IF(FO327="","",_xlfn.LET(_xlpm.nd,_xlfn.TEXTSPLIT(FO327,"|"),IF(COLUMNS(_xlpm.nd)&gt;5,A327&amp;"¦"&amp;INDEX(_xlpm.nd,5)&amp;"¦"&amp;INDEX(_xlpm.nd,6),"")))</f>
        <v/>
      </c>
      <c r="FY327" t="str">
        <f t="shared" si="513"/>
        <v/>
      </c>
      <c r="FZ327" t="str" cm="1">
        <f t="array" ref="FZ327">IF(FO327="","",_xlfn.LET(_xlpm.nd,_xlfn.TEXTSPLIT(FO327,"|"),IF(COLUMNS(_xlpm.nd)&gt;6,A327&amp;"¦"&amp;INDEX(_xlpm.nd,6)&amp;"¦"&amp;INDEX(_xlpm.nd,7),"")))</f>
        <v/>
      </c>
      <c r="GA327" t="str">
        <f t="shared" si="514"/>
        <v/>
      </c>
      <c r="GB327" t="str">
        <f t="shared" si="515"/>
        <v/>
      </c>
      <c r="GC327" t="str">
        <f t="shared" si="516"/>
        <v>QF2 → XT2</v>
      </c>
      <c r="GD327">
        <f t="shared" si="517"/>
        <v>1</v>
      </c>
      <c r="GE327">
        <f t="shared" si="518"/>
        <v>0</v>
      </c>
      <c r="GF327">
        <f t="shared" si="519"/>
        <v>0</v>
      </c>
      <c r="GG327" t="str">
        <f t="shared" si="520"/>
        <v/>
      </c>
      <c r="GH327" t="str">
        <f t="shared" si="521"/>
        <v/>
      </c>
      <c r="GI327" t="str">
        <f t="shared" si="522"/>
        <v/>
      </c>
      <c r="GJ327" t="str">
        <f t="shared" si="523"/>
        <v/>
      </c>
      <c r="GK327">
        <f>IF(D327="","",IFERROR(VLOOKUP(D327,УГО_спр,2,FALSE),IFERROR(VLOOKUP(AT327,УГО_спр,2,FALSE),IFERROR(VLOOKUP(LEFT(AT327,2),УГО_спр,2,FALSE),""))))</f>
        <v>0</v>
      </c>
      <c r="GL327" t="str">
        <f>IF(D327="","",IF(OR(GK327="",GK327=0),"BOX",IFERROR(IF(VLOOKUP(GK327,УГО_блоки,3,FALSE)&amp;""&lt;&gt;"",VLOOKUP(GK327,УГО_блоки,3,FALSE),VLOOKUP(GK327,УГО_блоки,2,FALSE)),GK327)))</f>
        <v>BOX</v>
      </c>
      <c r="GM327">
        <f t="shared" si="524"/>
        <v>1</v>
      </c>
      <c r="GN327" t="str">
        <f>IF(EP327="","",IF(COUNTIF(EP$3:EP327,EP327)=1,MAX(GN$2:GN326)+1,""))</f>
        <v/>
      </c>
      <c r="GO327" t="str">
        <f>IF(AF327="","",IF(COUNTIF(AF$3:AF327,AF327)+COUNTIF(AG$2:AG326,AF327)+COUNTIF(AH$2:AH326,AF327)=1,MAX(GO$2:GQ326)+1,""))</f>
        <v/>
      </c>
      <c r="GP327" t="str">
        <f>IF(AG327="","",IF(COUNTIF(AF$3:AF327,AG327)+COUNTIF(AG$3:AG327,AG327)+COUNTIF(AH$2:AH326,AG327)=1,MAX(GO$2:GQ326,GO327)+1,""))</f>
        <v/>
      </c>
      <c r="GQ327" t="str">
        <f>IF(AH327="","",IF(COUNTIF(AF$3:AF327,AH327)+COUNTIF(AG$3:AG327,AH327)+COUNTIF(AH$3:AH327,AH327)=1,MAX(GO$2:GQ326,GO327,GP327)+1,""))</f>
        <v/>
      </c>
      <c r="GR327" t="str">
        <f t="shared" si="525"/>
        <v>3х2,5</v>
      </c>
      <c r="GS327" t="str">
        <f>IF(GR327="","",IF(COUNTIF(GR$3:GR327,GR327)=1,MAX(GS$2:GS326)+1,""))</f>
        <v/>
      </c>
      <c r="GT327" t="str">
        <f>IF(ES327="","",COUNTIF(ES$3:ES327,"?*"))</f>
        <v/>
      </c>
      <c r="GU327" t="str">
        <f>IF(OR(ES327="",EU327=""),"",IF(COUNTIFS(ES$3:ES327,"?*",EU$3:EU327,EU327)=1,MAX(GU$2:GU326)+1,""))</f>
        <v/>
      </c>
      <c r="GV327">
        <f t="shared" si="526"/>
        <v>0</v>
      </c>
      <c r="GW327">
        <f>IF(D327="","",COUNTIF(D$3:D327,"?*"))</f>
        <v>325</v>
      </c>
      <c r="GX327">
        <f>IF(EX327&lt;&gt;1,0,_xlfn.LET(_xlpm.k,MAX(IFERROR(--VLOOKUP(D327,УГО_спр,5,FALSE),0),IFERROR(--VLOOKUP(AT327,УГО_спр,5,FALSE),0),IFERROR(--VLOOKUP(LEFT(AT327,2),УГО_спр,5,FALSE),0)),IF(_xlpm.k&gt;0,_xlpm.k,IF(IFERROR(--LEFT(SUBSTITUTE(GR327,"x","х"),FIND("х",SUBSTITUTE(GR327,"x","х"))-1),3)&gt;3,Каталог!$S$9,1))))</f>
        <v>1</v>
      </c>
      <c r="GY327">
        <f t="shared" si="527"/>
        <v>0</v>
      </c>
    </row>
    <row r="328" spans="1:207" x14ac:dyDescent="0.3">
      <c r="A328" t="s">
        <v>770</v>
      </c>
      <c r="B328">
        <v>14</v>
      </c>
      <c r="C328" t="str">
        <f>IF(BD328="","",IF(BE328="вводной узел","узел ","")&amp;"л."&amp;(INT((BD328-1)/Столбцов_на_лист)+1)&amp;" / "&amp;(MOD(BD328-1,Столбцов_на_лист)+1))</f>
        <v>л.1 / 14</v>
      </c>
      <c r="D328" t="s">
        <v>1665</v>
      </c>
      <c r="E328" s="133" t="str">
        <f t="shared" si="440"/>
        <v>Насос дренажный Подвальный этаж Пом. №002Тб</v>
      </c>
      <c r="G328">
        <v>0.6</v>
      </c>
      <c r="H328">
        <v>1</v>
      </c>
      <c r="I328">
        <v>1</v>
      </c>
      <c r="J328">
        <v>230</v>
      </c>
      <c r="K328" t="s">
        <v>602</v>
      </c>
      <c r="L328">
        <v>0.7</v>
      </c>
      <c r="O328">
        <v>1</v>
      </c>
      <c r="P328">
        <v>10</v>
      </c>
      <c r="Q328">
        <v>0</v>
      </c>
      <c r="R328">
        <v>10</v>
      </c>
      <c r="S328">
        <v>0</v>
      </c>
      <c r="T328">
        <v>1</v>
      </c>
      <c r="U328" t="s">
        <v>11</v>
      </c>
      <c r="V328">
        <v>3</v>
      </c>
      <c r="W328">
        <v>2.5</v>
      </c>
      <c r="X328">
        <v>16</v>
      </c>
      <c r="Z328" t="s">
        <v>608</v>
      </c>
      <c r="AA328" t="s">
        <v>818</v>
      </c>
      <c r="AD328" t="s">
        <v>517</v>
      </c>
      <c r="AR328" t="str">
        <f t="shared" si="441"/>
        <v/>
      </c>
      <c r="AS328" cm="1">
        <f t="array" ref="AS328">ROW()-ROW(Линии[#Headers])</f>
        <v>326</v>
      </c>
      <c r="AT328" t="str">
        <f t="shared" si="442"/>
        <v>НВК</v>
      </c>
      <c r="AU328" t="str">
        <f t="shared" si="443"/>
        <v>00.002Тб.2</v>
      </c>
      <c r="AV328" t="str">
        <f t="shared" si="444"/>
        <v>00</v>
      </c>
      <c r="AW328" t="str">
        <f t="shared" si="445"/>
        <v>002Тб.2</v>
      </c>
      <c r="AX328" t="str">
        <f t="shared" si="446"/>
        <v>002Тб</v>
      </c>
      <c r="AY328" t="str">
        <f>IF(D328="","",IF(ISERROR(SEARCH(".",D328)),IFERROR(VLOOKUP(D328,Потребители_обозначение,2,FALSE)&amp;"",""),IFERROR(IF(VLOOKUP(AT328,Потребители_обозначение,4,FALSE)=1,VLOOKUP(AT328,Потребители_обозначение,2,FALSE)&amp;" "&amp;VLOOKUP(AV328,Этаж_обозначение,2,FALSE)&amp;" Пом. №"&amp;AX328,VLOOKUP(AT328,Потребители_обозначение,2,FALSE)&amp;" Шлейф №"&amp;AV328),IFERROR(VLOOKUP(D328,Потребители_обозначение,2,FALSE),""))))</f>
        <v>Насос дренажный Подвальный этаж Пом. №002Тб</v>
      </c>
      <c r="AZ328" t="str">
        <f t="shared" si="447"/>
        <v>Насос дренажный Подвальный этаж Пом. №002Тб</v>
      </c>
      <c r="BA328" t="str">
        <f>IF(F328&lt;&gt;"",F328,IF(AND(D328&lt;&gt;"",D328&lt;&gt;A328,ISNUMBER(_xlfn.XMATCH(D328,Щиты[Щит]))),D328,""))</f>
        <v/>
      </c>
      <c r="BB328">
        <f>IFERROR(_xlfn.XMATCH(A328,Щиты[Щит]),0)</f>
        <v>14</v>
      </c>
      <c r="BC328">
        <f>IFERROR(N(_xlfn.XLOOKUP(A328,Щиты[Щит],Щиты[Мест под вводной узел])),15)</f>
        <v>11</v>
      </c>
      <c r="BD328">
        <f t="shared" si="448"/>
        <v>14</v>
      </c>
      <c r="BE328" t="str">
        <f t="shared" si="449"/>
        <v>линии</v>
      </c>
      <c r="BF328">
        <f>IF(D328="","",IF(BA328&lt;&gt;"",IFERROR(_xlfn.XLOOKUP(BA328,Щиты[Щит],Щиты[Руст, кВт]),0),N(G328)))</f>
        <v>0.6</v>
      </c>
      <c r="BG328">
        <f>IF(J328&lt;&gt;"",J328,IF(D328="","",IFERROR(IF(VLOOKUP(AT328,Потребители_обозначение,8,FALSE)=0,"",VLOOKUP(AT328,Потребители_обозначение,8,FALSE)),"")))</f>
        <v>230</v>
      </c>
      <c r="BH328">
        <f>IF(I328&lt;&gt;"",I328,IF(D328="","",IFERROR(IF(VLOOKUP(AT328,Потребители_обозначение,9,FALSE)=0,"",VLOOKUP(AT328,Потребители_обозначение,9,FALSE)),"")))</f>
        <v>1</v>
      </c>
      <c r="BI328" t="str">
        <f>IF(U328&lt;&gt;"",U328,IF(D328="","",IFERROR(IF(VLOOKUP(AT328,Потребители_обозначение,6,FALSE)=0,"",VLOOKUP(AT328,Потребители_обозначение,6,FALSE)),"")))</f>
        <v>мс</v>
      </c>
      <c r="BJ328">
        <f>IF(V328&lt;&gt;"",V328,IF(D328="","",IFERROR(IF(VLOOKUP(AT328,Потребители_обозначение,7,FALSE)=0,"",VLOOKUP(AT328,Потребители_обозначение,7,FALSE)),"")))</f>
        <v>3</v>
      </c>
      <c r="BK328">
        <f>IF(W328&lt;&gt;"",W328,IF(D328="","",IFERROR(IF(VLOOKUP(AT328,Потребители_обозначение,10,FALSE)=0,"",VLOOKUP(AT328,Потребители_обозначение,10,FALSE)),"")))</f>
        <v>2.5</v>
      </c>
      <c r="BL328">
        <f>IFERROR(VLOOKUP(AT328,Потребители_обозначение,5,FALSE),0)</f>
        <v>1</v>
      </c>
      <c r="BM328" cm="1">
        <f t="array" ref="BM328">IF(D328="","",IF(BA328&lt;&gt;"",IFERROR(_xlfn.XLOOKUP(BA328,Щиты[Щит],Щиты[cos φ]),0.95),IF(ISNUMBER(M328),M328,IFERROR(IF(BL328=2,_xlfn.IFS(BH328=3,VLOOKUP(BF328,Справочная_двигатели,8,FALSE),BH328=1,VLOOKUP(BF328,Справочная_двигатели,10,TRUE)),IF(AND(Методика="нормы 2026",CN328="Сил"),0.8,0.95)),0.95))))</f>
        <v>0.95</v>
      </c>
      <c r="BN328" cm="1">
        <f t="array" ref="BN328">IF(D328="","",IF(BA328&lt;&gt;"",IFERROR(_xlfn.XLOOKUP(BA328,Щиты[Щит],Щиты[Iр, А]),""),IFERROR(_xlfn.IFS(BH328=1,BF328/((Uн_лин/SQRT(3))*BM328),BH328=3,BF328/(SQRT(3)*Uн_лин*BM328)),"")))</f>
        <v>2.7348170645824377</v>
      </c>
      <c r="BO328">
        <f>IF(D328="","",IF(N(X328)=0,IFERROR(VLOOKUP(BN328,Автомат_номиналы,2,TRUE),""),X328))</f>
        <v>16</v>
      </c>
      <c r="BP328">
        <f t="shared" si="450"/>
        <v>1</v>
      </c>
      <c r="BQ328">
        <f>IF(ISNUMBER(Y328),Y328,К_прокл)</f>
        <v>1</v>
      </c>
      <c r="BR328">
        <f t="shared" si="451"/>
        <v>2</v>
      </c>
      <c r="BS328" cm="1">
        <f t="array" ref="BS328">IF(D328="","",IF(N(BK328)&lt;&gt;0,BK328,IFERROR(_xlfn.LET(_xlpm.need,BO328/(BP328*BQ328),_xlpm.t,CHOOSE(BR328,Iдоп_1ж,Iдоп_2ж,Iдоп_3ж),_xlpm.k,_xlfn.XMATCH(_xlpm.need,_xlpm.t,1),IF(ISNA(_xlpm.k),"Не исп",INDEX(Iдоп_S,_xlpm.k))),"Не исп")))</f>
        <v>2.5</v>
      </c>
      <c r="BT328">
        <f>IFERROR(VLOOKUP(BS328,Кабель_сопротивление,3,FALSE),"")</f>
        <v>2.2499999999999999E-2</v>
      </c>
      <c r="BU328">
        <f>IFERROR(VLOOKUP(BS328,Кабель_сопротивление,2,FALSE),"")</f>
        <v>0.1</v>
      </c>
      <c r="BV328">
        <f t="shared" si="452"/>
        <v>10</v>
      </c>
      <c r="BW328">
        <f>IF(D328="","",IFERROR(IF(VLOOKUP(AT328,Потребители_обозначение,4,FALSE)=1,VLOOKUP(AT328,Потребители_обозначение,3,FALSE)*(H328*2-1)+BV328+VLOOKUP(AV328,Этаж_обозначение,3,FALSE)+VLOOKUP(AV328,Этаж_обозначение,4,FALSE),VLOOKUP(AT328,Потребители_обозначение,3,FALSE)*(H328*2-1)+BV328),BV328))</f>
        <v>13</v>
      </c>
      <c r="BX328">
        <f t="shared" si="453"/>
        <v>10</v>
      </c>
      <c r="BY328">
        <f t="shared" si="454"/>
        <v>0</v>
      </c>
      <c r="BZ328">
        <f t="shared" si="455"/>
        <v>2</v>
      </c>
      <c r="CA328">
        <f t="shared" si="456"/>
        <v>0.31</v>
      </c>
      <c r="CB328">
        <f t="shared" si="457"/>
        <v>0.61015409601072923</v>
      </c>
      <c r="CC328">
        <f>IFERROR(ROUNDUP(CB328/((Uн_лин/SQRT(3))*1000)*100,2),"")</f>
        <v>0.27</v>
      </c>
      <c r="CD328">
        <f>IF(ISNUMBER(CC328),CC328+IFERROR(_xlfn.XLOOKUP(A328,Щиты[Щит],Щиты[ΔU до шин, %]),0),"")</f>
        <v>1.91</v>
      </c>
      <c r="CE328">
        <f>IF(D328="","",IF(IFERROR(VLOOKUP(AT328,УГО_спр,2,FALSE),"")="Светильник",3,4)+IF(Методика="нормы 2026",MIN(0.5,MAX(0,N(BW328)-100)*0.005),0))</f>
        <v>4</v>
      </c>
      <c r="CF328" t="str">
        <f>IFERROR(VLOOKUP(BI328,Кабель_обозначение,2,FALSE),"")</f>
        <v>ВВГнг(А)-LS</v>
      </c>
      <c r="CG328" t="str">
        <f>IFERROR(IF(VLOOKUP(BI328,Кабель_обозначение,3,FALSE)=1,CF328&amp;" ("&amp;BJ328&amp;"х"&amp;BS328&amp;")",CF328),"")</f>
        <v>ВВГнг(А)-LS (3х2,5)</v>
      </c>
      <c r="CH328" t="str">
        <f t="shared" si="458"/>
        <v>ВВГнг(А)-LS (3х2,5)
L=13-0,27%</v>
      </c>
      <c r="CI328">
        <f>IFERROR(2*ρкз_Cu*BW328/BS328,"")</f>
        <v>0.27351999999999999</v>
      </c>
      <c r="CJ328">
        <f t="shared" si="459"/>
        <v>9.1000000000000011E-2</v>
      </c>
      <c r="CK328" t="str">
        <f>IFERROR(IF(OR(D328="",NOT(ISNUMBER(BS328)),N(BW328)=0),"",_xlfn.XLOOKUP(A328,Щиты[Щит],Щиты[Zпетли на шинах, Ом])+CI328),"")</f>
        <v/>
      </c>
      <c r="CL328" t="str">
        <f>IF(ISNUMBER(CK328),c_min*(Uн_лин*1000/SQRT(3))/CK328,"")</f>
        <v/>
      </c>
      <c r="CM328" t="str">
        <f>IFERROR(IF(OR(D328="",NOT(ISNUMBER(BS328))),"",1.05*(Uн_лин*1000/SQRT(3))/(_xlfn.XLOOKUP(A328,Щиты[Щит],Щиты[Zmax на шинах, Ом])+CJ328)/1000),"")</f>
        <v/>
      </c>
      <c r="CN328" t="str">
        <f>IF(D328="","",IF(BA328&lt;&gt;"","Щит",IF(K328&lt;&gt;"",K328,IF(ISNUMBER(L328),"Сил",IF(IFERROR(_xlfn.XLOOKUP(AT328,Коды_код,Коды_группа)&amp;"","")="","Быт",_xlfn.XLOOKUP(AT328,Коды_код,Коды_группа)&amp;"")))))</f>
        <v>Сил</v>
      </c>
      <c r="CO328">
        <f>IF(CN328="Щит","щит",IF(CN328="","",IF(CN328="Быт",IFERROR(_xlfn.XLOOKUP(A328,Щиты[Щит],Щиты[Кс быт]),1),IF(CN328="Сил",IF(ISNUMBER(L328),L328,IF(Методика="нормы 2026",IFERROR(_xlfn.XLOOKUP(A328,Щиты[Щит],Щиты[Кс силовых (табл. 7.5)]),1),1)),IF(OR(CN328="Пост",CN328="Отоп"),1,IF(CN328="ВНГ",0.7,0))))))</f>
        <v>0.7</v>
      </c>
      <c r="CP328">
        <f t="shared" si="460"/>
        <v>1</v>
      </c>
      <c r="CQ328">
        <f t="shared" si="461"/>
        <v>0.6</v>
      </c>
      <c r="CR328">
        <f t="shared" si="462"/>
        <v>0</v>
      </c>
      <c r="CS328">
        <f t="shared" si="463"/>
        <v>0.42</v>
      </c>
      <c r="CT328">
        <f t="shared" si="464"/>
        <v>0</v>
      </c>
      <c r="CU328">
        <f t="shared" si="465"/>
        <v>0</v>
      </c>
      <c r="CV328">
        <f t="shared" si="466"/>
        <v>0</v>
      </c>
      <c r="CW328">
        <f t="shared" si="467"/>
        <v>0.6</v>
      </c>
      <c r="CX328">
        <f t="shared" si="468"/>
        <v>0.56999999999999995</v>
      </c>
      <c r="CY328">
        <f t="shared" si="469"/>
        <v>1</v>
      </c>
      <c r="CZ328" t="str">
        <f t="shared" si="470"/>
        <v>L1</v>
      </c>
      <c r="DA328" cm="1">
        <f t="array" ref="DA328">IFERROR(IF(BL328=2,_xlfn.IFS(BH328=3,VLOOKUP(BF328,Справочная_двигатели,3,FALSE),BH328=1,VLOOKUP(BF328,Справочная_двигатели,5,TRUE)),0),0)</f>
        <v>0</v>
      </c>
      <c r="DB328">
        <f>IFERROR(IF(BL328=3,VLOOKUP(BF328,Справочная_ЛЭД,2,TRUE),0),0)</f>
        <v>0</v>
      </c>
      <c r="DC328">
        <f t="shared" si="471"/>
        <v>0</v>
      </c>
      <c r="DD328" t="str">
        <f t="shared" si="472"/>
        <v>L1</v>
      </c>
      <c r="DE328" t="str" cm="1">
        <f t="array" ref="DE328">IF(D328="","",IFERROR(INDEX({"I особая","I","II","III"},MATCH(TRIM(AA328&amp;""),{"I особая","I","II","III"},0)),"III"))</f>
        <v>II</v>
      </c>
      <c r="DF328" t="str">
        <f>IF(D328="","",IF(TRIM(AB328&amp;"")&lt;&gt;"",IF(LOWER(TRIM(AB328&amp;""))="да","да","нет"),IF(IFERROR(_xlfn.XLOOKUP(AT328,Коды_код,Коды_пожарная),"")="да","да","нет")))</f>
        <v>нет</v>
      </c>
      <c r="DG328" t="str">
        <f t="shared" si="473"/>
        <v/>
      </c>
      <c r="DH328" t="str">
        <f t="shared" si="474"/>
        <v>основная</v>
      </c>
      <c r="DI328">
        <f t="shared" si="475"/>
        <v>1</v>
      </c>
      <c r="DJ328" t="str" cm="1">
        <f t="array" ref="DJ328">IF(D328="","",_xlfn.LET(_xlpm.t,IFERROR(_xlfn.XLOOKUP(1,(Шины[Шина]=DH328)*(((Шины[Щит]=A328)+(Шины[Щит]=""))&gt;0),Шины[Тип]),"")&amp;"",IF(_xlpm.t&lt;&gt;"",_xlpm.t,IF(ISNUMBER(SEARCH("ИБП",DH328)),"ИБП",IF(ISNUMBER(SEARCH("ДГУ",DH328)),"ДГУ","Ввод "&amp;DI328)))))</f>
        <v>Ввод 1</v>
      </c>
      <c r="DK328" t="str">
        <f t="shared" si="476"/>
        <v>Ввод 1</v>
      </c>
      <c r="DL328" t="str">
        <f>IF(D328="","",IF(OR(DJ328="ИБП",DJ328="ДГУ"),"I особая",IF(DJ328="Одиночная","III",_xlfn.XLOOKUP(A328,Щиты[Щит],Щиты[Категория шины «Ввод»],"III"))))</f>
        <v>II</v>
      </c>
      <c r="DM328">
        <f>IF(D328="",0,IFERROR(MATCH(DE328,{"III","II","I","I особая"},0),1))</f>
        <v>2</v>
      </c>
      <c r="DN328">
        <f t="shared" si="477"/>
        <v>2</v>
      </c>
      <c r="DO328" t="str">
        <f>IF(D328="","",IF(DM328&gt;IFERROR(MATCH(DL328,{"III","II","I","I особая"},0),1),"НЕ ОБЕСПЕЧЕНА","ОК"))</f>
        <v>ОК</v>
      </c>
      <c r="DP328" t="str">
        <f>IF(A328="","",_xlfn.XLOOKUP(A328,Щиты[Щит],Щиты[Путь],""))</f>
        <v>|ГРЩ-ЖД|ЩС-ВК.002|</v>
      </c>
      <c r="DQ328" t="str">
        <f>IF(D328="","",IF(Z328&lt;&gt;"",Z328,IF(IFERROR(_xlfn.XLOOKUP(AT328,Коды_код,Коды_вид)&amp;"","")="","Прочее",_xlfn.XLOOKUP(AT328,Коды_код,Коды_вид)&amp;"")))</f>
        <v>Насосы (водоснабжение, дренаж)</v>
      </c>
      <c r="DR328">
        <f>IF(BD328="","",INT((BD328-1)/Столбцов_на_лист)+1)</f>
        <v>1</v>
      </c>
      <c r="DS328" t="str">
        <f t="shared" si="478"/>
        <v>ВВГнг(А)-LS (3х2,5) L=13-0,27%</v>
      </c>
      <c r="DT328">
        <f t="shared" si="479"/>
        <v>0.6</v>
      </c>
      <c r="DU328">
        <f t="shared" si="480"/>
        <v>2.7399999999999998</v>
      </c>
      <c r="DV328">
        <f t="shared" si="481"/>
        <v>1</v>
      </c>
      <c r="DW328">
        <f>IF(AT328="",0,_xlfn.LET(_xlpm.v,IFERROR(VLOOKUP(D328,УГО_спр,3,FALSE),IFERROR(VLOOKUP(AT328,УГО_спр,3,FALSE),IFERROR(VLOOKUP(LEFT(AT328,2),УГО_спр,3,FALSE),""))),IF(_xlpm.v="да",30,IF(ISNUMBER(_xlpm.v),_xlpm.v,0))))</f>
        <v>0</v>
      </c>
      <c r="DX328">
        <f t="shared" si="482"/>
        <v>0</v>
      </c>
      <c r="DY328">
        <f>IF(BD328="","",IF(AD328&lt;&gt;"",COUNTIFS(A$3:A328,A328,AD$3:AD328,"?*"),IF(OR(OR(AS328=1,A328&lt;&gt;A327),AL328="вручную"),"",IF(AS328=1,"",DZ327))))</f>
        <v>3</v>
      </c>
      <c r="DZ328">
        <f t="shared" si="483"/>
        <v>3</v>
      </c>
      <c r="EA328">
        <f>IF(D328="",0,MAX(IFERROR(--X328,0),IFERROR(--VLOOKUP(D328,УГО_спр,4,FALSE),IFERROR(--VLOOKUP(AT328,УГО_спр,4,FALSE),IFERROR(--VLOOKUP(LEFT(AT328,2),УГО_спр,4,FALSE),0)))))</f>
        <v>16</v>
      </c>
      <c r="EB328">
        <f>IF(D328="","",IFERROR(LOOKUP(INDEX(CHOOSE(BR328,Iдоп_1ж,Iдоп_2ж,Iдоп_3ж),MATCH(BS328,Iдоп_S,0))*BP328*BQ328,{6,10,16,20,25,32,40,50,63,80,100,125,160,200,250,315,400,500,630}),""))</f>
        <v>25</v>
      </c>
      <c r="EC328">
        <f>IF(AD328="","",SUMIFS(Линии[_Ток схемы],Линии[_гр.],DY328,Линии[Щит],A328,Линии[_в кабель выше],0))</f>
        <v>2.7399999999999998</v>
      </c>
      <c r="ED328">
        <f>IF(AD328="","",IFERROR(VLOOKUP(EC328,Автомат_номиналы,2,TRUE),""))</f>
        <v>6</v>
      </c>
      <c r="EE328">
        <f>IF(AD328="","",MAX(N(ED328),_xlfn.MAXIFS(Линии[_мин. по типу],Линии[_гр.],DY328,Линии[Щит],A328)))</f>
        <v>16</v>
      </c>
      <c r="EF328">
        <f>IF(AD328="","",_xlfn.MINIFS(Линии[_макс. автомат по кабелю],Линии[_гр.],DY328,Линии[Щит],A328))</f>
        <v>25</v>
      </c>
      <c r="EG328">
        <f>IF(AD328="","",MAX(1,_xlfn.MAXIFS(Линии[_фаз],Линии[_гр.],DY328,Линии[Щит],A328)))</f>
        <v>1</v>
      </c>
      <c r="EH328">
        <f>IF(AD328="","",IF(AND(AD328&lt;&gt;"авто",AD328&lt;&gt;"+"),IF(ISNUMBER(SEARCH("мА",AD328)),IFERROR(--TRIM(RIGHT(SUBSTITUTE(LEFT(AD328,SEARCH("мА",AD328)-1)," ",REPT(" ",9)),6)),30),0),IF(AE328="нет",0,IF(ISNUMBER(AE328),AE328,IF(AE328="да",30,_xlfn.MINIFS(Линии[_дифзащита по коду, мА],Линии[_гр.],DY328,Линии[Щит],A328,Линии[_дифзащита по коду, мА],"&gt;0"))))))</f>
        <v>0</v>
      </c>
      <c r="EI328">
        <f t="shared" si="484"/>
        <v>0</v>
      </c>
      <c r="EJ328" t="str">
        <f t="shared" si="485"/>
        <v>QF3</v>
      </c>
      <c r="EK328" t="str">
        <f t="shared" si="486"/>
        <v>QF3</v>
      </c>
      <c r="EL328" t="str">
        <f t="shared" si="487"/>
        <v/>
      </c>
      <c r="EM328">
        <f t="shared" si="488"/>
        <v>0</v>
      </c>
      <c r="EN328">
        <f>IF(AD328="","",IF(EM328=1,MAX(EE328,Мин_автомат_БП),EE328))</f>
        <v>16</v>
      </c>
      <c r="EO328" t="str">
        <f t="shared" si="489"/>
        <v>1P</v>
      </c>
      <c r="EP328" t="str">
        <f t="shared" si="490"/>
        <v>1P С16А</v>
      </c>
      <c r="EQ328">
        <f t="shared" si="491"/>
        <v>16</v>
      </c>
      <c r="ER328" t="str">
        <f>IF(OR(AI328="",AI328="-"),"",IFERROR(VLOOKUP(AI328,Модули_спр,2,FALSE),"R"))</f>
        <v/>
      </c>
      <c r="ES328" t="str">
        <f>IF(ER328="","",ER328&amp;"."&amp;COUNTIFS(A$3:A328,A328,ER$3:ER328,ER328))</f>
        <v/>
      </c>
      <c r="ET328" t="str">
        <f t="shared" si="492"/>
        <v/>
      </c>
      <c r="EU328" t="str">
        <f t="shared" si="493"/>
        <v/>
      </c>
      <c r="EV328" t="str">
        <f t="shared" si="494"/>
        <v/>
      </c>
      <c r="EW328" t="str">
        <f t="shared" si="495"/>
        <v/>
      </c>
      <c r="EX328">
        <f t="shared" si="496"/>
        <v>1</v>
      </c>
      <c r="EY328" t="str">
        <f>IF(AK328="нет","",IF(AK328&lt;&gt;"",AK328,IF(EX328=1,"XT"&amp;COUNTIFS(A$3:A328,A328,EX$3:EX328,1),"")))</f>
        <v>XT3</v>
      </c>
      <c r="EZ328" t="str">
        <f t="shared" si="497"/>
        <v>QF3</v>
      </c>
      <c r="FA328" t="str">
        <f t="shared" si="498"/>
        <v/>
      </c>
      <c r="FB328" t="str">
        <f t="shared" si="499"/>
        <v>ok</v>
      </c>
      <c r="FC328" t="str">
        <f>IF(OR(EV328="",ET328=""),"",IF(EV328&gt;IFERROR(VLOOKUP(EU328,Модули_спр,3,FALSE),99),"ЛИШНИЙ КАНАЛ",IF(AND(AJ328&lt;&gt;"=",COUNTIFS(Линии[_модуль гр.],ET328,Линии[Канал (итог)],EV328,Линии[Канал],"&lt;&gt;=",Линии[Щит],A328)&gt;1),"ДУБЛЬ КАНАЛА","")))</f>
        <v/>
      </c>
      <c r="FD328">
        <f t="shared" si="500"/>
        <v>16</v>
      </c>
      <c r="FE328" t="str">
        <f t="shared" si="501"/>
        <v>1P С16А</v>
      </c>
      <c r="FF328">
        <f t="shared" si="502"/>
        <v>0</v>
      </c>
      <c r="FG328">
        <f t="shared" si="503"/>
        <v>0</v>
      </c>
      <c r="FH328" t="str">
        <f t="shared" si="504"/>
        <v/>
      </c>
      <c r="FI328">
        <f t="shared" si="505"/>
        <v>10</v>
      </c>
      <c r="FJ328" t="str">
        <f t="shared" si="506"/>
        <v/>
      </c>
      <c r="FK328" t="str">
        <f>IF(AND(D328="",EZ328=""),"",_xlfn.TEXTJOIN("; ",TRUE,IF(AND(D328&lt;&gt;"",DD328=""),"нет фазы",""),IF(AND(D328&lt;&gt;"",N(DT328)=0,CN328&lt;&gt;"Нет"),"нет мощности",""),IF(AND(EY328&lt;&gt;"",COUNTIFS(Линии[Щит],A328,Линии[Клемма (итог)],EY328)&gt;1),"дубль клеммы "&amp;EY328,""),IF(AND(FB328&lt;&gt;"",FB328&lt;&gt;"ok"),FB328,""),IF(FC328&lt;&gt;"",FC328,""),IF(AND(ISNUMBER(SEARCH("(5х",DS328)),N(DV328)=1),"5 жил на 1 фазе",""),IF(AND(AT328="R",AD328&lt;&gt;"",OR(N(EH328)=0,N(EH328)&gt;30)),"розетка без дифзащиты до 30 мА",""),IFERROR(IF(AND(ISNUMBER(CD328),CD328&gt;CE328),"потери "&amp;FIXED(CD328,1)&amp;" % &gt; "&amp;CE328&amp;" %",""),""),IFERROR(IF(LEFT(FJ328,4)="мало","Iкз мало — отключение &gt; 0,4 с",""),""),IF(AND(D328&lt;&gt;"",BD328=""),"не на схеме","")))</f>
        <v/>
      </c>
      <c r="FL328">
        <f>IF(AD328="","",_xlfn.LET(_xlpm.t,IFERROR(_xlfn.XLOOKUP(EP328,Каталог!$U$4:$U$500,Каталог!$G$4:$G$500),""),_xlpm.k,SEARCH("кА",_xlpm.t),IFERROR(--TRIM(RIGHT(SUBSTITUTE(MID(_xlpm.t,MAX(1,_xlpm.k-4),_xlpm.k-MAX(1,_xlpm.k-4))," ",REPT(" ",9)),5)),"")))</f>
        <v>6</v>
      </c>
      <c r="FM328" t="str">
        <f>IF(OR(FL328="",AD328=""),"",IF(_xlfn.XLOOKUP(A328,Щиты[Щит],Щиты[Iкз max на шинах, кА],"")="","",IF(FL328&lt;_xlfn.XLOOKUP(A328,Щиты[Щит],Щиты[Iкз max на шинах, кА]),"Icu "&amp;FL328&amp;" кА &lt; Iкз max","ok")))</f>
        <v/>
      </c>
      <c r="FN328" t="str">
        <f t="shared" si="507"/>
        <v>QF3|XT3</v>
      </c>
      <c r="FO328" t="str">
        <f t="shared" si="508"/>
        <v>QF3|XT3|кабель ВВГнг(А)-LS (3х2,5) → Насос дренажный Подвальный этаж Пом. №002Тб</v>
      </c>
      <c r="FP328" t="str" cm="1">
        <f t="array" ref="FP328">IF(FO328="","",_xlfn.LET(_xlpm.nd,_xlfn.TEXTSPLIT(FO328,"|"),IF(COLUMNS(_xlpm.nd)&gt;1,A328&amp;"¦"&amp;INDEX(_xlpm.nd,1)&amp;"¦"&amp;INDEX(_xlpm.nd,2),"")))</f>
        <v>ЩС-ВК.002¦QF3¦XT3</v>
      </c>
      <c r="FQ328" t="str">
        <f t="shared" si="509"/>
        <v>НВК.00.002Тб.2¦Насос дренажный Подвальный этаж Пом. №002Тб</v>
      </c>
      <c r="FR328" t="str" cm="1">
        <f t="array" ref="FR328">IF(FO328="","",_xlfn.LET(_xlpm.nd,_xlfn.TEXTSPLIT(FO328,"|"),IF(COLUMNS(_xlpm.nd)&gt;2,A328&amp;"¦"&amp;INDEX(_xlpm.nd,2)&amp;"¦"&amp;INDEX(_xlpm.nd,3),"")))</f>
        <v>ЩС-ВК.002¦XT3¦кабель ВВГнг(А)-LS (3х2,5) → Насос дренажный Подвальный этаж Пом. №002Тб</v>
      </c>
      <c r="FS328" t="str">
        <f t="shared" si="510"/>
        <v>НВК.00.002Тб.2¦Насос дренажный Подвальный этаж Пом. №002Тб</v>
      </c>
      <c r="FT328" t="str" cm="1">
        <f t="array" ref="FT328">IF(FO328="","",_xlfn.LET(_xlpm.nd,_xlfn.TEXTSPLIT(FO328,"|"),IF(COLUMNS(_xlpm.nd)&gt;3,A328&amp;"¦"&amp;INDEX(_xlpm.nd,3)&amp;"¦"&amp;INDEX(_xlpm.nd,4),"")))</f>
        <v/>
      </c>
      <c r="FU328" t="str">
        <f t="shared" si="511"/>
        <v/>
      </c>
      <c r="FV328" t="str" cm="1">
        <f t="array" ref="FV328">IF(FO328="","",_xlfn.LET(_xlpm.nd,_xlfn.TEXTSPLIT(FO328,"|"),IF(COLUMNS(_xlpm.nd)&gt;4,A328&amp;"¦"&amp;INDEX(_xlpm.nd,4)&amp;"¦"&amp;INDEX(_xlpm.nd,5),"")))</f>
        <v/>
      </c>
      <c r="FW328" t="str">
        <f t="shared" si="512"/>
        <v/>
      </c>
      <c r="FX328" t="str" cm="1">
        <f t="array" ref="FX328">IF(FO328="","",_xlfn.LET(_xlpm.nd,_xlfn.TEXTSPLIT(FO328,"|"),IF(COLUMNS(_xlpm.nd)&gt;5,A328&amp;"¦"&amp;INDEX(_xlpm.nd,5)&amp;"¦"&amp;INDEX(_xlpm.nd,6),"")))</f>
        <v/>
      </c>
      <c r="FY328" t="str">
        <f t="shared" si="513"/>
        <v/>
      </c>
      <c r="FZ328" t="str" cm="1">
        <f t="array" ref="FZ328">IF(FO328="","",_xlfn.LET(_xlpm.nd,_xlfn.TEXTSPLIT(FO328,"|"),IF(COLUMNS(_xlpm.nd)&gt;6,A328&amp;"¦"&amp;INDEX(_xlpm.nd,6)&amp;"¦"&amp;INDEX(_xlpm.nd,7),"")))</f>
        <v/>
      </c>
      <c r="GA328" t="str">
        <f t="shared" si="514"/>
        <v/>
      </c>
      <c r="GB328" t="str">
        <f t="shared" si="515"/>
        <v/>
      </c>
      <c r="GC328" t="str">
        <f t="shared" si="516"/>
        <v>QF3 → XT3</v>
      </c>
      <c r="GD328">
        <f t="shared" si="517"/>
        <v>1</v>
      </c>
      <c r="GE328">
        <f t="shared" si="518"/>
        <v>0</v>
      </c>
      <c r="GF328">
        <f t="shared" si="519"/>
        <v>0</v>
      </c>
      <c r="GG328" t="str">
        <f t="shared" si="520"/>
        <v/>
      </c>
      <c r="GH328" t="str">
        <f t="shared" si="521"/>
        <v/>
      </c>
      <c r="GI328" t="str">
        <f t="shared" si="522"/>
        <v/>
      </c>
      <c r="GJ328" t="str">
        <f t="shared" si="523"/>
        <v/>
      </c>
      <c r="GK328">
        <f>IF(D328="","",IFERROR(VLOOKUP(D328,УГО_спр,2,FALSE),IFERROR(VLOOKUP(AT328,УГО_спр,2,FALSE),IFERROR(VLOOKUP(LEFT(AT328,2),УГО_спр,2,FALSE),""))))</f>
        <v>0</v>
      </c>
      <c r="GL328" t="str">
        <f>IF(D328="","",IF(OR(GK328="",GK328=0),"BOX",IFERROR(IF(VLOOKUP(GK328,УГО_блоки,3,FALSE)&amp;""&lt;&gt;"",VLOOKUP(GK328,УГО_блоки,3,FALSE),VLOOKUP(GK328,УГО_блоки,2,FALSE)),GK328)))</f>
        <v>BOX</v>
      </c>
      <c r="GM328">
        <f t="shared" si="524"/>
        <v>1</v>
      </c>
      <c r="GN328" t="str">
        <f>IF(EP328="","",IF(COUNTIF(EP$3:EP328,EP328)=1,MAX(GN$2:GN327)+1,""))</f>
        <v/>
      </c>
      <c r="GO328" t="str">
        <f>IF(AF328="","",IF(COUNTIF(AF$3:AF328,AF328)+COUNTIF(AG$2:AG327,AF328)+COUNTIF(AH$2:AH327,AF328)=1,MAX(GO$2:GQ327)+1,""))</f>
        <v/>
      </c>
      <c r="GP328" t="str">
        <f>IF(AG328="","",IF(COUNTIF(AF$3:AF328,AG328)+COUNTIF(AG$3:AG328,AG328)+COUNTIF(AH$2:AH327,AG328)=1,MAX(GO$2:GQ327,GO328)+1,""))</f>
        <v/>
      </c>
      <c r="GQ328" t="str">
        <f>IF(AH328="","",IF(COUNTIF(AF$3:AF328,AH328)+COUNTIF(AG$3:AG328,AH328)+COUNTIF(AH$3:AH328,AH328)=1,MAX(GO$2:GQ327,GO328,GP328)+1,""))</f>
        <v/>
      </c>
      <c r="GR328" t="str">
        <f t="shared" si="525"/>
        <v>3х2,5</v>
      </c>
      <c r="GS328" t="str">
        <f>IF(GR328="","",IF(COUNTIF(GR$3:GR328,GR328)=1,MAX(GS$2:GS327)+1,""))</f>
        <v/>
      </c>
      <c r="GT328" t="str">
        <f>IF(ES328="","",COUNTIF(ES$3:ES328,"?*"))</f>
        <v/>
      </c>
      <c r="GU328" t="str">
        <f>IF(OR(ES328="",EU328=""),"",IF(COUNTIFS(ES$3:ES328,"?*",EU$3:EU328,EU328)=1,MAX(GU$2:GU327)+1,""))</f>
        <v/>
      </c>
      <c r="GV328">
        <f t="shared" si="526"/>
        <v>0</v>
      </c>
      <c r="GW328">
        <f>IF(D328="","",COUNTIF(D$3:D328,"?*"))</f>
        <v>326</v>
      </c>
      <c r="GX328">
        <f>IF(EX328&lt;&gt;1,0,_xlfn.LET(_xlpm.k,MAX(IFERROR(--VLOOKUP(D328,УГО_спр,5,FALSE),0),IFERROR(--VLOOKUP(AT328,УГО_спр,5,FALSE),0),IFERROR(--VLOOKUP(LEFT(AT328,2),УГО_спр,5,FALSE),0)),IF(_xlpm.k&gt;0,_xlpm.k,IF(IFERROR(--LEFT(SUBSTITUTE(GR328,"x","х"),FIND("х",SUBSTITUTE(GR328,"x","х"))-1),3)&gt;3,Каталог!$S$9,1))))</f>
        <v>1</v>
      </c>
      <c r="GY328">
        <f t="shared" si="527"/>
        <v>0</v>
      </c>
    </row>
    <row r="329" spans="1:207" x14ac:dyDescent="0.3">
      <c r="A329" t="s">
        <v>770</v>
      </c>
      <c r="B329">
        <v>15</v>
      </c>
      <c r="C329" t="str">
        <f>IF(BD329="","",IF(BE329="вводной узел","узел ","")&amp;"л."&amp;(INT((BD329-1)/Столбцов_на_лист)+1)&amp;" / "&amp;(MOD(BD329-1,Столбцов_на_лист)+1))</f>
        <v>л.1 / 15</v>
      </c>
      <c r="D329" t="s">
        <v>1666</v>
      </c>
      <c r="E329" s="133" t="str">
        <f t="shared" si="440"/>
        <v>Насос дренажный Подвальный этаж Пом. №002Тб</v>
      </c>
      <c r="G329">
        <v>0.6</v>
      </c>
      <c r="H329">
        <v>1</v>
      </c>
      <c r="I329">
        <v>1</v>
      </c>
      <c r="J329">
        <v>230</v>
      </c>
      <c r="K329" t="s">
        <v>602</v>
      </c>
      <c r="L329">
        <v>0.7</v>
      </c>
      <c r="O329">
        <v>1</v>
      </c>
      <c r="P329">
        <v>10</v>
      </c>
      <c r="Q329">
        <v>0</v>
      </c>
      <c r="R329">
        <v>10</v>
      </c>
      <c r="S329">
        <v>0</v>
      </c>
      <c r="T329">
        <v>1</v>
      </c>
      <c r="U329" t="s">
        <v>11</v>
      </c>
      <c r="V329">
        <v>3</v>
      </c>
      <c r="W329">
        <v>2.5</v>
      </c>
      <c r="X329">
        <v>16</v>
      </c>
      <c r="Z329" t="s">
        <v>608</v>
      </c>
      <c r="AA329" t="s">
        <v>818</v>
      </c>
      <c r="AD329" t="s">
        <v>517</v>
      </c>
      <c r="AR329" t="str">
        <f t="shared" si="441"/>
        <v/>
      </c>
      <c r="AS329" cm="1">
        <f t="array" ref="AS329">ROW()-ROW(Линии[#Headers])</f>
        <v>327</v>
      </c>
      <c r="AT329" t="str">
        <f t="shared" si="442"/>
        <v>НВК</v>
      </c>
      <c r="AU329" t="str">
        <f t="shared" si="443"/>
        <v>00.002Тб.1</v>
      </c>
      <c r="AV329" t="str">
        <f t="shared" si="444"/>
        <v>00</v>
      </c>
      <c r="AW329" t="str">
        <f t="shared" si="445"/>
        <v>002Тб.1</v>
      </c>
      <c r="AX329" t="str">
        <f t="shared" si="446"/>
        <v>002Тб</v>
      </c>
      <c r="AY329" t="str">
        <f>IF(D329="","",IF(ISERROR(SEARCH(".",D329)),IFERROR(VLOOKUP(D329,Потребители_обозначение,2,FALSE)&amp;"",""),IFERROR(IF(VLOOKUP(AT329,Потребители_обозначение,4,FALSE)=1,VLOOKUP(AT329,Потребители_обозначение,2,FALSE)&amp;" "&amp;VLOOKUP(AV329,Этаж_обозначение,2,FALSE)&amp;" Пом. №"&amp;AX329,VLOOKUP(AT329,Потребители_обозначение,2,FALSE)&amp;" Шлейф №"&amp;AV329),IFERROR(VLOOKUP(D329,Потребители_обозначение,2,FALSE),""))))</f>
        <v>Насос дренажный Подвальный этаж Пом. №002Тб</v>
      </c>
      <c r="AZ329" t="str">
        <f t="shared" si="447"/>
        <v>Насос дренажный Подвальный этаж Пом. №002Тб</v>
      </c>
      <c r="BA329" t="str">
        <f>IF(F329&lt;&gt;"",F329,IF(AND(D329&lt;&gt;"",D329&lt;&gt;A329,ISNUMBER(_xlfn.XMATCH(D329,Щиты[Щит]))),D329,""))</f>
        <v/>
      </c>
      <c r="BB329">
        <f>IFERROR(_xlfn.XMATCH(A329,Щиты[Щит]),0)</f>
        <v>14</v>
      </c>
      <c r="BC329">
        <f>IFERROR(N(_xlfn.XLOOKUP(A329,Щиты[Щит],Щиты[Мест под вводной узел])),15)</f>
        <v>11</v>
      </c>
      <c r="BD329">
        <f t="shared" si="448"/>
        <v>15</v>
      </c>
      <c r="BE329" t="str">
        <f t="shared" si="449"/>
        <v>линии</v>
      </c>
      <c r="BF329">
        <f>IF(D329="","",IF(BA329&lt;&gt;"",IFERROR(_xlfn.XLOOKUP(BA329,Щиты[Щит],Щиты[Руст, кВт]),0),N(G329)))</f>
        <v>0.6</v>
      </c>
      <c r="BG329">
        <f>IF(J329&lt;&gt;"",J329,IF(D329="","",IFERROR(IF(VLOOKUP(AT329,Потребители_обозначение,8,FALSE)=0,"",VLOOKUP(AT329,Потребители_обозначение,8,FALSE)),"")))</f>
        <v>230</v>
      </c>
      <c r="BH329">
        <f>IF(I329&lt;&gt;"",I329,IF(D329="","",IFERROR(IF(VLOOKUP(AT329,Потребители_обозначение,9,FALSE)=0,"",VLOOKUP(AT329,Потребители_обозначение,9,FALSE)),"")))</f>
        <v>1</v>
      </c>
      <c r="BI329" t="str">
        <f>IF(U329&lt;&gt;"",U329,IF(D329="","",IFERROR(IF(VLOOKUP(AT329,Потребители_обозначение,6,FALSE)=0,"",VLOOKUP(AT329,Потребители_обозначение,6,FALSE)),"")))</f>
        <v>мс</v>
      </c>
      <c r="BJ329">
        <f>IF(V329&lt;&gt;"",V329,IF(D329="","",IFERROR(IF(VLOOKUP(AT329,Потребители_обозначение,7,FALSE)=0,"",VLOOKUP(AT329,Потребители_обозначение,7,FALSE)),"")))</f>
        <v>3</v>
      </c>
      <c r="BK329">
        <f>IF(W329&lt;&gt;"",W329,IF(D329="","",IFERROR(IF(VLOOKUP(AT329,Потребители_обозначение,10,FALSE)=0,"",VLOOKUP(AT329,Потребители_обозначение,10,FALSE)),"")))</f>
        <v>2.5</v>
      </c>
      <c r="BL329">
        <f>IFERROR(VLOOKUP(AT329,Потребители_обозначение,5,FALSE),0)</f>
        <v>1</v>
      </c>
      <c r="BM329" cm="1">
        <f t="array" ref="BM329">IF(D329="","",IF(BA329&lt;&gt;"",IFERROR(_xlfn.XLOOKUP(BA329,Щиты[Щит],Щиты[cos φ]),0.95),IF(ISNUMBER(M329),M329,IFERROR(IF(BL329=2,_xlfn.IFS(BH329=3,VLOOKUP(BF329,Справочная_двигатели,8,FALSE),BH329=1,VLOOKUP(BF329,Справочная_двигатели,10,TRUE)),IF(AND(Методика="нормы 2026",CN329="Сил"),0.8,0.95)),0.95))))</f>
        <v>0.95</v>
      </c>
      <c r="BN329" cm="1">
        <f t="array" ref="BN329">IF(D329="","",IF(BA329&lt;&gt;"",IFERROR(_xlfn.XLOOKUP(BA329,Щиты[Щит],Щиты[Iр, А]),""),IFERROR(_xlfn.IFS(BH329=1,BF329/((Uн_лин/SQRT(3))*BM329),BH329=3,BF329/(SQRT(3)*Uн_лин*BM329)),"")))</f>
        <v>2.7348170645824377</v>
      </c>
      <c r="BO329">
        <f>IF(D329="","",IF(N(X329)=0,IFERROR(VLOOKUP(BN329,Автомат_номиналы,2,TRUE),""),X329))</f>
        <v>16</v>
      </c>
      <c r="BP329">
        <f t="shared" si="450"/>
        <v>1</v>
      </c>
      <c r="BQ329">
        <f>IF(ISNUMBER(Y329),Y329,К_прокл)</f>
        <v>1</v>
      </c>
      <c r="BR329">
        <f t="shared" si="451"/>
        <v>2</v>
      </c>
      <c r="BS329" cm="1">
        <f t="array" ref="BS329">IF(D329="","",IF(N(BK329)&lt;&gt;0,BK329,IFERROR(_xlfn.LET(_xlpm.need,BO329/(BP329*BQ329),_xlpm.t,CHOOSE(BR329,Iдоп_1ж,Iдоп_2ж,Iдоп_3ж),_xlpm.k,_xlfn.XMATCH(_xlpm.need,_xlpm.t,1),IF(ISNA(_xlpm.k),"Не исп",INDEX(Iдоп_S,_xlpm.k))),"Не исп")))</f>
        <v>2.5</v>
      </c>
      <c r="BT329">
        <f>IFERROR(VLOOKUP(BS329,Кабель_сопротивление,3,FALSE),"")</f>
        <v>2.2499999999999999E-2</v>
      </c>
      <c r="BU329">
        <f>IFERROR(VLOOKUP(BS329,Кабель_сопротивление,2,FALSE),"")</f>
        <v>0.1</v>
      </c>
      <c r="BV329">
        <f t="shared" si="452"/>
        <v>10</v>
      </c>
      <c r="BW329">
        <f>IF(D329="","",IFERROR(IF(VLOOKUP(AT329,Потребители_обозначение,4,FALSE)=1,VLOOKUP(AT329,Потребители_обозначение,3,FALSE)*(H329*2-1)+BV329+VLOOKUP(AV329,Этаж_обозначение,3,FALSE)+VLOOKUP(AV329,Этаж_обозначение,4,FALSE),VLOOKUP(AT329,Потребители_обозначение,3,FALSE)*(H329*2-1)+BV329),BV329))</f>
        <v>13</v>
      </c>
      <c r="BX329">
        <f t="shared" si="453"/>
        <v>10</v>
      </c>
      <c r="BY329">
        <f t="shared" si="454"/>
        <v>0</v>
      </c>
      <c r="BZ329">
        <f t="shared" si="455"/>
        <v>2</v>
      </c>
      <c r="CA329">
        <f t="shared" si="456"/>
        <v>0.31</v>
      </c>
      <c r="CB329">
        <f t="shared" si="457"/>
        <v>0.61015409601072923</v>
      </c>
      <c r="CC329">
        <f>IFERROR(ROUNDUP(CB329/((Uн_лин/SQRT(3))*1000)*100,2),"")</f>
        <v>0.27</v>
      </c>
      <c r="CD329">
        <f>IF(ISNUMBER(CC329),CC329+IFERROR(_xlfn.XLOOKUP(A329,Щиты[Щит],Щиты[ΔU до шин, %]),0),"")</f>
        <v>1.91</v>
      </c>
      <c r="CE329">
        <f>IF(D329="","",IF(IFERROR(VLOOKUP(AT329,УГО_спр,2,FALSE),"")="Светильник",3,4)+IF(Методика="нормы 2026",MIN(0.5,MAX(0,N(BW329)-100)*0.005),0))</f>
        <v>4</v>
      </c>
      <c r="CF329" t="str">
        <f>IFERROR(VLOOKUP(BI329,Кабель_обозначение,2,FALSE),"")</f>
        <v>ВВГнг(А)-LS</v>
      </c>
      <c r="CG329" t="str">
        <f>IFERROR(IF(VLOOKUP(BI329,Кабель_обозначение,3,FALSE)=1,CF329&amp;" ("&amp;BJ329&amp;"х"&amp;BS329&amp;")",CF329),"")</f>
        <v>ВВГнг(А)-LS (3х2,5)</v>
      </c>
      <c r="CH329" t="str">
        <f t="shared" si="458"/>
        <v>ВВГнг(А)-LS (3х2,5)
L=13-0,27%</v>
      </c>
      <c r="CI329">
        <f>IFERROR(2*ρкз_Cu*BW329/BS329,"")</f>
        <v>0.27351999999999999</v>
      </c>
      <c r="CJ329">
        <f t="shared" si="459"/>
        <v>9.1000000000000011E-2</v>
      </c>
      <c r="CK329" t="str">
        <f>IFERROR(IF(OR(D329="",NOT(ISNUMBER(BS329)),N(BW329)=0),"",_xlfn.XLOOKUP(A329,Щиты[Щит],Щиты[Zпетли на шинах, Ом])+CI329),"")</f>
        <v/>
      </c>
      <c r="CL329" t="str">
        <f>IF(ISNUMBER(CK329),c_min*(Uн_лин*1000/SQRT(3))/CK329,"")</f>
        <v/>
      </c>
      <c r="CM329" t="str">
        <f>IFERROR(IF(OR(D329="",NOT(ISNUMBER(BS329))),"",1.05*(Uн_лин*1000/SQRT(3))/(_xlfn.XLOOKUP(A329,Щиты[Щит],Щиты[Zmax на шинах, Ом])+CJ329)/1000),"")</f>
        <v/>
      </c>
      <c r="CN329" t="str">
        <f>IF(D329="","",IF(BA329&lt;&gt;"","Щит",IF(K329&lt;&gt;"",K329,IF(ISNUMBER(L329),"Сил",IF(IFERROR(_xlfn.XLOOKUP(AT329,Коды_код,Коды_группа)&amp;"","")="","Быт",_xlfn.XLOOKUP(AT329,Коды_код,Коды_группа)&amp;"")))))</f>
        <v>Сил</v>
      </c>
      <c r="CO329">
        <f>IF(CN329="Щит","щит",IF(CN329="","",IF(CN329="Быт",IFERROR(_xlfn.XLOOKUP(A329,Щиты[Щит],Щиты[Кс быт]),1),IF(CN329="Сил",IF(ISNUMBER(L329),L329,IF(Методика="нормы 2026",IFERROR(_xlfn.XLOOKUP(A329,Щиты[Щит],Щиты[Кс силовых (табл. 7.5)]),1),1)),IF(OR(CN329="Пост",CN329="Отоп"),1,IF(CN329="ВНГ",0.7,0))))))</f>
        <v>0.7</v>
      </c>
      <c r="CP329">
        <f t="shared" si="460"/>
        <v>1</v>
      </c>
      <c r="CQ329">
        <f t="shared" si="461"/>
        <v>0.6</v>
      </c>
      <c r="CR329">
        <f t="shared" si="462"/>
        <v>0</v>
      </c>
      <c r="CS329">
        <f t="shared" si="463"/>
        <v>0.42</v>
      </c>
      <c r="CT329">
        <f t="shared" si="464"/>
        <v>0</v>
      </c>
      <c r="CU329">
        <f t="shared" si="465"/>
        <v>0</v>
      </c>
      <c r="CV329">
        <f t="shared" si="466"/>
        <v>0</v>
      </c>
      <c r="CW329">
        <f t="shared" si="467"/>
        <v>0.6</v>
      </c>
      <c r="CX329">
        <f t="shared" si="468"/>
        <v>0.56999999999999995</v>
      </c>
      <c r="CY329">
        <f t="shared" si="469"/>
        <v>2</v>
      </c>
      <c r="CZ329" t="str">
        <f t="shared" si="470"/>
        <v>L2</v>
      </c>
      <c r="DA329" cm="1">
        <f t="array" ref="DA329">IFERROR(IF(BL329=2,_xlfn.IFS(BH329=3,VLOOKUP(BF329,Справочная_двигатели,3,FALSE),BH329=1,VLOOKUP(BF329,Справочная_двигатели,5,TRUE)),0),0)</f>
        <v>0</v>
      </c>
      <c r="DB329">
        <f>IFERROR(IF(BL329=3,VLOOKUP(BF329,Справочная_ЛЭД,2,TRUE),0),0)</f>
        <v>0</v>
      </c>
      <c r="DC329">
        <f t="shared" si="471"/>
        <v>0</v>
      </c>
      <c r="DD329" t="str">
        <f t="shared" si="472"/>
        <v>L1</v>
      </c>
      <c r="DE329" t="str" cm="1">
        <f t="array" ref="DE329">IF(D329="","",IFERROR(INDEX({"I особая","I","II","III"},MATCH(TRIM(AA329&amp;""),{"I особая","I","II","III"},0)),"III"))</f>
        <v>II</v>
      </c>
      <c r="DF329" t="str">
        <f>IF(D329="","",IF(TRIM(AB329&amp;"")&lt;&gt;"",IF(LOWER(TRIM(AB329&amp;""))="да","да","нет"),IF(IFERROR(_xlfn.XLOOKUP(AT329,Коды_код,Коды_пожарная),"")="да","да","нет")))</f>
        <v>нет</v>
      </c>
      <c r="DG329" t="str">
        <f t="shared" si="473"/>
        <v/>
      </c>
      <c r="DH329" t="str">
        <f t="shared" si="474"/>
        <v>основная</v>
      </c>
      <c r="DI329">
        <f t="shared" si="475"/>
        <v>1</v>
      </c>
      <c r="DJ329" t="str" cm="1">
        <f t="array" ref="DJ329">IF(D329="","",_xlfn.LET(_xlpm.t,IFERROR(_xlfn.XLOOKUP(1,(Шины[Шина]=DH329)*(((Шины[Щит]=A329)+(Шины[Щит]=""))&gt;0),Шины[Тип]),"")&amp;"",IF(_xlpm.t&lt;&gt;"",_xlpm.t,IF(ISNUMBER(SEARCH("ИБП",DH329)),"ИБП",IF(ISNUMBER(SEARCH("ДГУ",DH329)),"ДГУ","Ввод "&amp;DI329)))))</f>
        <v>Ввод 1</v>
      </c>
      <c r="DK329" t="str">
        <f t="shared" si="476"/>
        <v>Ввод 1</v>
      </c>
      <c r="DL329" t="str">
        <f>IF(D329="","",IF(OR(DJ329="ИБП",DJ329="ДГУ"),"I особая",IF(DJ329="Одиночная","III",_xlfn.XLOOKUP(A329,Щиты[Щит],Щиты[Категория шины «Ввод»],"III"))))</f>
        <v>II</v>
      </c>
      <c r="DM329">
        <f>IF(D329="",0,IFERROR(MATCH(DE329,{"III","II","I","I особая"},0),1))</f>
        <v>2</v>
      </c>
      <c r="DN329">
        <f t="shared" si="477"/>
        <v>2</v>
      </c>
      <c r="DO329" t="str">
        <f>IF(D329="","",IF(DM329&gt;IFERROR(MATCH(DL329,{"III","II","I","I особая"},0),1),"НЕ ОБЕСПЕЧЕНА","ОК"))</f>
        <v>ОК</v>
      </c>
      <c r="DP329" t="str">
        <f>IF(A329="","",_xlfn.XLOOKUP(A329,Щиты[Щит],Щиты[Путь],""))</f>
        <v>|ГРЩ-ЖД|ЩС-ВК.002|</v>
      </c>
      <c r="DQ329" t="str">
        <f>IF(D329="","",IF(Z329&lt;&gt;"",Z329,IF(IFERROR(_xlfn.XLOOKUP(AT329,Коды_код,Коды_вид)&amp;"","")="","Прочее",_xlfn.XLOOKUP(AT329,Коды_код,Коды_вид)&amp;"")))</f>
        <v>Насосы (водоснабжение, дренаж)</v>
      </c>
      <c r="DR329">
        <f>IF(BD329="","",INT((BD329-1)/Столбцов_на_лист)+1)</f>
        <v>1</v>
      </c>
      <c r="DS329" t="str">
        <f t="shared" si="478"/>
        <v>ВВГнг(А)-LS (3х2,5) L=13-0,27%</v>
      </c>
      <c r="DT329">
        <f t="shared" si="479"/>
        <v>0.6</v>
      </c>
      <c r="DU329">
        <f t="shared" si="480"/>
        <v>2.7399999999999998</v>
      </c>
      <c r="DV329">
        <f t="shared" si="481"/>
        <v>1</v>
      </c>
      <c r="DW329">
        <f>IF(AT329="",0,_xlfn.LET(_xlpm.v,IFERROR(VLOOKUP(D329,УГО_спр,3,FALSE),IFERROR(VLOOKUP(AT329,УГО_спр,3,FALSE),IFERROR(VLOOKUP(LEFT(AT329,2),УГО_спр,3,FALSE),""))),IF(_xlpm.v="да",30,IF(ISNUMBER(_xlpm.v),_xlpm.v,0))))</f>
        <v>0</v>
      </c>
      <c r="DX329">
        <f t="shared" si="482"/>
        <v>0</v>
      </c>
      <c r="DY329">
        <f>IF(BD329="","",IF(AD329&lt;&gt;"",COUNTIFS(A$3:A329,A329,AD$3:AD329,"?*"),IF(OR(OR(AS329=1,A329&lt;&gt;A328),AL329="вручную"),"",IF(AS329=1,"",DZ328))))</f>
        <v>4</v>
      </c>
      <c r="DZ329">
        <f t="shared" si="483"/>
        <v>4</v>
      </c>
      <c r="EA329">
        <f>IF(D329="",0,MAX(IFERROR(--X329,0),IFERROR(--VLOOKUP(D329,УГО_спр,4,FALSE),IFERROR(--VLOOKUP(AT329,УГО_спр,4,FALSE),IFERROR(--VLOOKUP(LEFT(AT329,2),УГО_спр,4,FALSE),0)))))</f>
        <v>16</v>
      </c>
      <c r="EB329">
        <f>IF(D329="","",IFERROR(LOOKUP(INDEX(CHOOSE(BR329,Iдоп_1ж,Iдоп_2ж,Iдоп_3ж),MATCH(BS329,Iдоп_S,0))*BP329*BQ329,{6,10,16,20,25,32,40,50,63,80,100,125,160,200,250,315,400,500,630}),""))</f>
        <v>25</v>
      </c>
      <c r="EC329">
        <f>IF(AD329="","",SUMIFS(Линии[_Ток схемы],Линии[_гр.],DY329,Линии[Щит],A329,Линии[_в кабель выше],0))</f>
        <v>2.7399999999999998</v>
      </c>
      <c r="ED329">
        <f>IF(AD329="","",IFERROR(VLOOKUP(EC329,Автомат_номиналы,2,TRUE),""))</f>
        <v>6</v>
      </c>
      <c r="EE329">
        <f>IF(AD329="","",MAX(N(ED329),_xlfn.MAXIFS(Линии[_мин. по типу],Линии[_гр.],DY329,Линии[Щит],A329)))</f>
        <v>16</v>
      </c>
      <c r="EF329">
        <f>IF(AD329="","",_xlfn.MINIFS(Линии[_макс. автомат по кабелю],Линии[_гр.],DY329,Линии[Щит],A329))</f>
        <v>25</v>
      </c>
      <c r="EG329">
        <f>IF(AD329="","",MAX(1,_xlfn.MAXIFS(Линии[_фаз],Линии[_гр.],DY329,Линии[Щит],A329)))</f>
        <v>1</v>
      </c>
      <c r="EH329">
        <f>IF(AD329="","",IF(AND(AD329&lt;&gt;"авто",AD329&lt;&gt;"+"),IF(ISNUMBER(SEARCH("мА",AD329)),IFERROR(--TRIM(RIGHT(SUBSTITUTE(LEFT(AD329,SEARCH("мА",AD329)-1)," ",REPT(" ",9)),6)),30),0),IF(AE329="нет",0,IF(ISNUMBER(AE329),AE329,IF(AE329="да",30,_xlfn.MINIFS(Линии[_дифзащита по коду, мА],Линии[_гр.],DY329,Линии[Щит],A329,Линии[_дифзащита по коду, мА],"&gt;0"))))))</f>
        <v>0</v>
      </c>
      <c r="EI329">
        <f t="shared" si="484"/>
        <v>0</v>
      </c>
      <c r="EJ329" t="str">
        <f t="shared" si="485"/>
        <v>QF4</v>
      </c>
      <c r="EK329" t="str">
        <f t="shared" si="486"/>
        <v>QF4</v>
      </c>
      <c r="EL329" t="str">
        <f t="shared" si="487"/>
        <v/>
      </c>
      <c r="EM329">
        <f t="shared" si="488"/>
        <v>0</v>
      </c>
      <c r="EN329">
        <f>IF(AD329="","",IF(EM329=1,MAX(EE329,Мин_автомат_БП),EE329))</f>
        <v>16</v>
      </c>
      <c r="EO329" t="str">
        <f t="shared" si="489"/>
        <v>1P</v>
      </c>
      <c r="EP329" t="str">
        <f t="shared" si="490"/>
        <v>1P С16А</v>
      </c>
      <c r="EQ329">
        <f t="shared" si="491"/>
        <v>16</v>
      </c>
      <c r="ER329" t="str">
        <f>IF(OR(AI329="",AI329="-"),"",IFERROR(VLOOKUP(AI329,Модули_спр,2,FALSE),"R"))</f>
        <v/>
      </c>
      <c r="ES329" t="str">
        <f>IF(ER329="","",ER329&amp;"."&amp;COUNTIFS(A$3:A329,A329,ER$3:ER329,ER329))</f>
        <v/>
      </c>
      <c r="ET329" t="str">
        <f t="shared" si="492"/>
        <v/>
      </c>
      <c r="EU329" t="str">
        <f t="shared" si="493"/>
        <v/>
      </c>
      <c r="EV329" t="str">
        <f t="shared" si="494"/>
        <v/>
      </c>
      <c r="EW329" t="str">
        <f t="shared" si="495"/>
        <v/>
      </c>
      <c r="EX329">
        <f t="shared" si="496"/>
        <v>1</v>
      </c>
      <c r="EY329" t="str">
        <f>IF(AK329="нет","",IF(AK329&lt;&gt;"",AK329,IF(EX329=1,"XT"&amp;COUNTIFS(A$3:A329,A329,EX$3:EX329,1),"")))</f>
        <v>XT4</v>
      </c>
      <c r="EZ329" t="str">
        <f t="shared" si="497"/>
        <v>QF4</v>
      </c>
      <c r="FA329" t="str">
        <f t="shared" si="498"/>
        <v/>
      </c>
      <c r="FB329" t="str">
        <f t="shared" si="499"/>
        <v>ok</v>
      </c>
      <c r="FC329" t="str">
        <f>IF(OR(EV329="",ET329=""),"",IF(EV329&gt;IFERROR(VLOOKUP(EU329,Модули_спр,3,FALSE),99),"ЛИШНИЙ КАНАЛ",IF(AND(AJ329&lt;&gt;"=",COUNTIFS(Линии[_модуль гр.],ET329,Линии[Канал (итог)],EV329,Линии[Канал],"&lt;&gt;=",Линии[Щит],A329)&gt;1),"ДУБЛЬ КАНАЛА","")))</f>
        <v/>
      </c>
      <c r="FD329">
        <f t="shared" si="500"/>
        <v>16</v>
      </c>
      <c r="FE329" t="str">
        <f t="shared" si="501"/>
        <v>1P С16А</v>
      </c>
      <c r="FF329">
        <f t="shared" si="502"/>
        <v>0</v>
      </c>
      <c r="FG329">
        <f t="shared" si="503"/>
        <v>0</v>
      </c>
      <c r="FH329" t="str">
        <f t="shared" si="504"/>
        <v/>
      </c>
      <c r="FI329">
        <f t="shared" si="505"/>
        <v>10</v>
      </c>
      <c r="FJ329" t="str">
        <f t="shared" si="506"/>
        <v/>
      </c>
      <c r="FK329" t="str">
        <f>IF(AND(D329="",EZ329=""),"",_xlfn.TEXTJOIN("; ",TRUE,IF(AND(D329&lt;&gt;"",DD329=""),"нет фазы",""),IF(AND(D329&lt;&gt;"",N(DT329)=0,CN329&lt;&gt;"Нет"),"нет мощности",""),IF(AND(EY329&lt;&gt;"",COUNTIFS(Линии[Щит],A329,Линии[Клемма (итог)],EY329)&gt;1),"дубль клеммы "&amp;EY329,""),IF(AND(FB329&lt;&gt;"",FB329&lt;&gt;"ok"),FB329,""),IF(FC329&lt;&gt;"",FC329,""),IF(AND(ISNUMBER(SEARCH("(5х",DS329)),N(DV329)=1),"5 жил на 1 фазе",""),IF(AND(AT329="R",AD329&lt;&gt;"",OR(N(EH329)=0,N(EH329)&gt;30)),"розетка без дифзащиты до 30 мА",""),IFERROR(IF(AND(ISNUMBER(CD329),CD329&gt;CE329),"потери "&amp;FIXED(CD329,1)&amp;" % &gt; "&amp;CE329&amp;" %",""),""),IFERROR(IF(LEFT(FJ329,4)="мало","Iкз мало — отключение &gt; 0,4 с",""),""),IF(AND(D329&lt;&gt;"",BD329=""),"не на схеме","")))</f>
        <v/>
      </c>
      <c r="FL329">
        <f>IF(AD329="","",_xlfn.LET(_xlpm.t,IFERROR(_xlfn.XLOOKUP(EP329,Каталог!$U$4:$U$500,Каталог!$G$4:$G$500),""),_xlpm.k,SEARCH("кА",_xlpm.t),IFERROR(--TRIM(RIGHT(SUBSTITUTE(MID(_xlpm.t,MAX(1,_xlpm.k-4),_xlpm.k-MAX(1,_xlpm.k-4))," ",REPT(" ",9)),5)),"")))</f>
        <v>6</v>
      </c>
      <c r="FM329" t="str">
        <f>IF(OR(FL329="",AD329=""),"",IF(_xlfn.XLOOKUP(A329,Щиты[Щит],Щиты[Iкз max на шинах, кА],"")="","",IF(FL329&lt;_xlfn.XLOOKUP(A329,Щиты[Щит],Щиты[Iкз max на шинах, кА]),"Icu "&amp;FL329&amp;" кА &lt; Iкз max","ok")))</f>
        <v/>
      </c>
      <c r="FN329" t="str">
        <f t="shared" si="507"/>
        <v>QF4|XT4</v>
      </c>
      <c r="FO329" t="str">
        <f t="shared" si="508"/>
        <v>QF4|XT4|кабель ВВГнг(А)-LS (3х2,5) → Насос дренажный Подвальный этаж Пом. №002Тб</v>
      </c>
      <c r="FP329" t="str" cm="1">
        <f t="array" ref="FP329">IF(FO329="","",_xlfn.LET(_xlpm.nd,_xlfn.TEXTSPLIT(FO329,"|"),IF(COLUMNS(_xlpm.nd)&gt;1,A329&amp;"¦"&amp;INDEX(_xlpm.nd,1)&amp;"¦"&amp;INDEX(_xlpm.nd,2),"")))</f>
        <v>ЩС-ВК.002¦QF4¦XT4</v>
      </c>
      <c r="FQ329" t="str">
        <f t="shared" si="509"/>
        <v>НВК.00.002Тб.1¦Насос дренажный Подвальный этаж Пом. №002Тб</v>
      </c>
      <c r="FR329" t="str" cm="1">
        <f t="array" ref="FR329">IF(FO329="","",_xlfn.LET(_xlpm.nd,_xlfn.TEXTSPLIT(FO329,"|"),IF(COLUMNS(_xlpm.nd)&gt;2,A329&amp;"¦"&amp;INDEX(_xlpm.nd,2)&amp;"¦"&amp;INDEX(_xlpm.nd,3),"")))</f>
        <v>ЩС-ВК.002¦XT4¦кабель ВВГнг(А)-LS (3х2,5) → Насос дренажный Подвальный этаж Пом. №002Тб</v>
      </c>
      <c r="FS329" t="str">
        <f t="shared" si="510"/>
        <v>НВК.00.002Тб.1¦Насос дренажный Подвальный этаж Пом. №002Тб</v>
      </c>
      <c r="FT329" t="str" cm="1">
        <f t="array" ref="FT329">IF(FO329="","",_xlfn.LET(_xlpm.nd,_xlfn.TEXTSPLIT(FO329,"|"),IF(COLUMNS(_xlpm.nd)&gt;3,A329&amp;"¦"&amp;INDEX(_xlpm.nd,3)&amp;"¦"&amp;INDEX(_xlpm.nd,4),"")))</f>
        <v/>
      </c>
      <c r="FU329" t="str">
        <f t="shared" si="511"/>
        <v/>
      </c>
      <c r="FV329" t="str" cm="1">
        <f t="array" ref="FV329">IF(FO329="","",_xlfn.LET(_xlpm.nd,_xlfn.TEXTSPLIT(FO329,"|"),IF(COLUMNS(_xlpm.nd)&gt;4,A329&amp;"¦"&amp;INDEX(_xlpm.nd,4)&amp;"¦"&amp;INDEX(_xlpm.nd,5),"")))</f>
        <v/>
      </c>
      <c r="FW329" t="str">
        <f t="shared" si="512"/>
        <v/>
      </c>
      <c r="FX329" t="str" cm="1">
        <f t="array" ref="FX329">IF(FO329="","",_xlfn.LET(_xlpm.nd,_xlfn.TEXTSPLIT(FO329,"|"),IF(COLUMNS(_xlpm.nd)&gt;5,A329&amp;"¦"&amp;INDEX(_xlpm.nd,5)&amp;"¦"&amp;INDEX(_xlpm.nd,6),"")))</f>
        <v/>
      </c>
      <c r="FY329" t="str">
        <f t="shared" si="513"/>
        <v/>
      </c>
      <c r="FZ329" t="str" cm="1">
        <f t="array" ref="FZ329">IF(FO329="","",_xlfn.LET(_xlpm.nd,_xlfn.TEXTSPLIT(FO329,"|"),IF(COLUMNS(_xlpm.nd)&gt;6,A329&amp;"¦"&amp;INDEX(_xlpm.nd,6)&amp;"¦"&amp;INDEX(_xlpm.nd,7),"")))</f>
        <v/>
      </c>
      <c r="GA329" t="str">
        <f t="shared" si="514"/>
        <v/>
      </c>
      <c r="GB329" t="str">
        <f t="shared" si="515"/>
        <v/>
      </c>
      <c r="GC329" t="str">
        <f t="shared" si="516"/>
        <v>QF4 → XT4</v>
      </c>
      <c r="GD329">
        <f t="shared" si="517"/>
        <v>1</v>
      </c>
      <c r="GE329">
        <f t="shared" si="518"/>
        <v>0</v>
      </c>
      <c r="GF329">
        <f t="shared" si="519"/>
        <v>0</v>
      </c>
      <c r="GG329" t="str">
        <f t="shared" si="520"/>
        <v/>
      </c>
      <c r="GH329" t="str">
        <f t="shared" si="521"/>
        <v/>
      </c>
      <c r="GI329" t="str">
        <f t="shared" si="522"/>
        <v/>
      </c>
      <c r="GJ329" t="str">
        <f t="shared" si="523"/>
        <v/>
      </c>
      <c r="GK329">
        <f>IF(D329="","",IFERROR(VLOOKUP(D329,УГО_спр,2,FALSE),IFERROR(VLOOKUP(AT329,УГО_спр,2,FALSE),IFERROR(VLOOKUP(LEFT(AT329,2),УГО_спр,2,FALSE),""))))</f>
        <v>0</v>
      </c>
      <c r="GL329" t="str">
        <f>IF(D329="","",IF(OR(GK329="",GK329=0),"BOX",IFERROR(IF(VLOOKUP(GK329,УГО_блоки,3,FALSE)&amp;""&lt;&gt;"",VLOOKUP(GK329,УГО_блоки,3,FALSE),VLOOKUP(GK329,УГО_блоки,2,FALSE)),GK329)))</f>
        <v>BOX</v>
      </c>
      <c r="GM329">
        <f t="shared" si="524"/>
        <v>1</v>
      </c>
      <c r="GN329" t="str">
        <f>IF(EP329="","",IF(COUNTIF(EP$3:EP329,EP329)=1,MAX(GN$2:GN328)+1,""))</f>
        <v/>
      </c>
      <c r="GO329" t="str">
        <f>IF(AF329="","",IF(COUNTIF(AF$3:AF329,AF329)+COUNTIF(AG$2:AG328,AF329)+COUNTIF(AH$2:AH328,AF329)=1,MAX(GO$2:GQ328)+1,""))</f>
        <v/>
      </c>
      <c r="GP329" t="str">
        <f>IF(AG329="","",IF(COUNTIF(AF$3:AF329,AG329)+COUNTIF(AG$3:AG329,AG329)+COUNTIF(AH$2:AH328,AG329)=1,MAX(GO$2:GQ328,GO329)+1,""))</f>
        <v/>
      </c>
      <c r="GQ329" t="str">
        <f>IF(AH329="","",IF(COUNTIF(AF$3:AF329,AH329)+COUNTIF(AG$3:AG329,AH329)+COUNTIF(AH$3:AH329,AH329)=1,MAX(GO$2:GQ328,GO329,GP329)+1,""))</f>
        <v/>
      </c>
      <c r="GR329" t="str">
        <f t="shared" si="525"/>
        <v>3х2,5</v>
      </c>
      <c r="GS329" t="str">
        <f>IF(GR329="","",IF(COUNTIF(GR$3:GR329,GR329)=1,MAX(GS$2:GS328)+1,""))</f>
        <v/>
      </c>
      <c r="GT329" t="str">
        <f>IF(ES329="","",COUNTIF(ES$3:ES329,"?*"))</f>
        <v/>
      </c>
      <c r="GU329" t="str">
        <f>IF(OR(ES329="",EU329=""),"",IF(COUNTIFS(ES$3:ES329,"?*",EU$3:EU329,EU329)=1,MAX(GU$2:GU328)+1,""))</f>
        <v/>
      </c>
      <c r="GV329">
        <f t="shared" si="526"/>
        <v>0</v>
      </c>
      <c r="GW329">
        <f>IF(D329="","",COUNTIF(D$3:D329,"?*"))</f>
        <v>327</v>
      </c>
      <c r="GX329">
        <f>IF(EX329&lt;&gt;1,0,_xlfn.LET(_xlpm.k,MAX(IFERROR(--VLOOKUP(D329,УГО_спр,5,FALSE),0),IFERROR(--VLOOKUP(AT329,УГО_спр,5,FALSE),0),IFERROR(--VLOOKUP(LEFT(AT329,2),УГО_спр,5,FALSE),0)),IF(_xlpm.k&gt;0,_xlpm.k,IF(IFERROR(--LEFT(SUBSTITUTE(GR329,"x","х"),FIND("х",SUBSTITUTE(GR329,"x","х"))-1),3)&gt;3,Каталог!$S$9,1))))</f>
        <v>1</v>
      </c>
      <c r="GY329">
        <f t="shared" si="527"/>
        <v>0</v>
      </c>
    </row>
    <row r="330" spans="1:207" x14ac:dyDescent="0.3">
      <c r="A330" t="s">
        <v>772</v>
      </c>
      <c r="B330">
        <v>2</v>
      </c>
      <c r="C330" t="str">
        <f>IF(BD330="","",IF(BE330="вводной узел","узел ","")&amp;"л."&amp;(INT((BD330-1)/Столбцов_на_лист)+1)&amp;" / "&amp;(MOD(BD330-1,Столбцов_на_лист)+1))</f>
        <v>узел л.1 / 2</v>
      </c>
      <c r="D330" t="s">
        <v>746</v>
      </c>
      <c r="E330" s="133" t="str">
        <f t="shared" si="440"/>
        <v>Вводной кабель Шлейф №1</v>
      </c>
      <c r="G330" t="s">
        <v>18</v>
      </c>
      <c r="H330">
        <v>1</v>
      </c>
      <c r="I330">
        <v>3</v>
      </c>
      <c r="J330">
        <v>230</v>
      </c>
      <c r="K330" t="s">
        <v>551</v>
      </c>
      <c r="O330" t="s">
        <v>1298</v>
      </c>
      <c r="P330">
        <v>53</v>
      </c>
      <c r="Q330">
        <v>48</v>
      </c>
      <c r="R330">
        <v>5</v>
      </c>
      <c r="U330" t="s">
        <v>11</v>
      </c>
      <c r="V330">
        <v>3</v>
      </c>
      <c r="W330">
        <v>4</v>
      </c>
      <c r="X330">
        <v>20</v>
      </c>
      <c r="AL330" t="s">
        <v>1301</v>
      </c>
      <c r="AR330" t="str">
        <f t="shared" si="441"/>
        <v/>
      </c>
      <c r="AS330" cm="1">
        <f t="array" ref="AS330">ROW()-ROW(Линии[#Headers])</f>
        <v>328</v>
      </c>
      <c r="AT330" t="str">
        <f t="shared" si="442"/>
        <v>Ввод</v>
      </c>
      <c r="AU330" t="str">
        <f t="shared" si="443"/>
        <v>1</v>
      </c>
      <c r="AV330" t="str">
        <f t="shared" si="444"/>
        <v>1</v>
      </c>
      <c r="AW330" t="str">
        <f t="shared" si="445"/>
        <v/>
      </c>
      <c r="AX330" t="str">
        <f t="shared" si="446"/>
        <v/>
      </c>
      <c r="AY330" t="str">
        <f>IF(D330="","",IF(ISERROR(SEARCH(".",D330)),IFERROR(VLOOKUP(D330,Потребители_обозначение,2,FALSE)&amp;"",""),IFERROR(IF(VLOOKUP(AT330,Потребители_обозначение,4,FALSE)=1,VLOOKUP(AT330,Потребители_обозначение,2,FALSE)&amp;" "&amp;VLOOKUP(AV330,Этаж_обозначение,2,FALSE)&amp;" Пом. №"&amp;AX330,VLOOKUP(AT330,Потребители_обозначение,2,FALSE)&amp;" Шлейф №"&amp;AV330),IFERROR(VLOOKUP(D330,Потребители_обозначение,2,FALSE),""))))</f>
        <v>Вводной кабель Шлейф №1</v>
      </c>
      <c r="AZ330" t="str">
        <f t="shared" si="447"/>
        <v>Вводной кабель Шлейф №1</v>
      </c>
      <c r="BA330" t="str">
        <f>IF(F330&lt;&gt;"",F330,IF(AND(D330&lt;&gt;"",D330&lt;&gt;A330,ISNUMBER(_xlfn.XMATCH(D330,Щиты[Щит]))),D330,""))</f>
        <v/>
      </c>
      <c r="BB330">
        <f>IFERROR(_xlfn.XMATCH(A330,Щиты[Щит]),0)</f>
        <v>15</v>
      </c>
      <c r="BC330">
        <f>IFERROR(N(_xlfn.XLOOKUP(A330,Щиты[Щит],Щиты[Мест под вводной узел])),15)</f>
        <v>11</v>
      </c>
      <c r="BD330">
        <f t="shared" si="448"/>
        <v>2</v>
      </c>
      <c r="BE330" t="str">
        <f t="shared" si="449"/>
        <v>вводной узел</v>
      </c>
      <c r="BF330">
        <f>IF(D330="","",IF(BA330&lt;&gt;"",IFERROR(_xlfn.XLOOKUP(BA330,Щиты[Щит],Щиты[Руст, кВт]),0),N(G330)))</f>
        <v>0</v>
      </c>
      <c r="BG330">
        <f>IF(J330&lt;&gt;"",J330,IF(D330="","",IFERROR(IF(VLOOKUP(AT330,Потребители_обозначение,8,FALSE)=0,"",VLOOKUP(AT330,Потребители_обозначение,8,FALSE)),"")))</f>
        <v>230</v>
      </c>
      <c r="BH330">
        <f>IF(I330&lt;&gt;"",I330,IF(D330="","",IFERROR(IF(VLOOKUP(AT330,Потребители_обозначение,9,FALSE)=0,"",VLOOKUP(AT330,Потребители_обозначение,9,FALSE)),"")))</f>
        <v>3</v>
      </c>
      <c r="BI330" t="str">
        <f>IF(U330&lt;&gt;"",U330,IF(D330="","",IFERROR(IF(VLOOKUP(AT330,Потребители_обозначение,6,FALSE)=0,"",VLOOKUP(AT330,Потребители_обозначение,6,FALSE)),"")))</f>
        <v>мс</v>
      </c>
      <c r="BJ330">
        <f>IF(V330&lt;&gt;"",V330,IF(D330="","",IFERROR(IF(VLOOKUP(AT330,Потребители_обозначение,7,FALSE)=0,"",VLOOKUP(AT330,Потребители_обозначение,7,FALSE)),"")))</f>
        <v>3</v>
      </c>
      <c r="BK330">
        <f>IF(W330&lt;&gt;"",W330,IF(D330="","",IFERROR(IF(VLOOKUP(AT330,Потребители_обозначение,10,FALSE)=0,"",VLOOKUP(AT330,Потребители_обозначение,10,FALSE)),"")))</f>
        <v>4</v>
      </c>
      <c r="BL330">
        <f>IFERROR(VLOOKUP(AT330,Потребители_обозначение,5,FALSE),0)</f>
        <v>1</v>
      </c>
      <c r="BM330" cm="1">
        <f t="array" ref="BM330">IF(D330="","",IF(BA330&lt;&gt;"",IFERROR(_xlfn.XLOOKUP(BA330,Щиты[Щит],Щиты[cos φ]),0.95),IF(ISNUMBER(M330),M330,IFERROR(IF(BL330=2,_xlfn.IFS(BH330=3,VLOOKUP(BF330,Справочная_двигатели,8,FALSE),BH330=1,VLOOKUP(BF330,Справочная_двигатели,10,TRUE)),IF(AND(Методика="нормы 2026",CN330="Сил"),0.8,0.95)),0.95))))</f>
        <v>0.95</v>
      </c>
      <c r="BN330" cm="1">
        <f t="array" ref="BN330">IF(D330="","",IF(BA330&lt;&gt;"",IFERROR(_xlfn.XLOOKUP(BA330,Щиты[Щит],Щиты[Iр, А]),""),IFERROR(_xlfn.IFS(BH330=1,BF330/((Uн_лин/SQRT(3))*BM330),BH330=3,BF330/(SQRT(3)*Uн_лин*BM330)),"")))</f>
        <v>0</v>
      </c>
      <c r="BO330">
        <f>IF(D330="","",IF(N(X330)=0,IFERROR(VLOOKUP(BN330,Автомат_номиналы,2,TRUE),""),X330))</f>
        <v>20</v>
      </c>
      <c r="BP330">
        <f t="shared" si="450"/>
        <v>1</v>
      </c>
      <c r="BQ330">
        <f>IF(ISNUMBER(Y330),Y330,К_прокл)</f>
        <v>1</v>
      </c>
      <c r="BR330">
        <f t="shared" si="451"/>
        <v>3</v>
      </c>
      <c r="BS330" cm="1">
        <f t="array" ref="BS330">IF(D330="","",IF(N(BK330)&lt;&gt;0,BK330,IFERROR(_xlfn.LET(_xlpm.need,BO330/(BP330*BQ330),_xlpm.t,CHOOSE(BR330,Iдоп_1ж,Iдоп_2ж,Iдоп_3ж),_xlpm.k,_xlfn.XMATCH(_xlpm.need,_xlpm.t,1),IF(ISNA(_xlpm.k),"Не исп",INDEX(Iдоп_S,_xlpm.k))),"Не исп")))</f>
        <v>4</v>
      </c>
      <c r="BT330">
        <f>IFERROR(VLOOKUP(BS330,Кабель_сопротивление,3,FALSE),"")</f>
        <v>2.2499999999999999E-2</v>
      </c>
      <c r="BU330">
        <f>IFERROR(VLOOKUP(BS330,Кабель_сопротивление,2,FALSE),"")</f>
        <v>9.5000000000000001E-2</v>
      </c>
      <c r="BV330">
        <f t="shared" si="452"/>
        <v>53</v>
      </c>
      <c r="BW330">
        <f>IF(D330="","",IFERROR(IF(VLOOKUP(AT330,Потребители_обозначение,4,FALSE)=1,VLOOKUP(AT330,Потребители_обозначение,3,FALSE)*(H330*2-1)+BV330+VLOOKUP(AV330,Этаж_обозначение,3,FALSE)+VLOOKUP(AV330,Этаж_обозначение,4,FALSE),VLOOKUP(AT330,Потребители_обозначение,3,FALSE)*(H330*2-1)+BV330),BV330))</f>
        <v>53</v>
      </c>
      <c r="BX330">
        <f t="shared" si="453"/>
        <v>5</v>
      </c>
      <c r="BY330" t="str">
        <f t="shared" si="454"/>
        <v/>
      </c>
      <c r="BZ330">
        <f t="shared" si="455"/>
        <v>1</v>
      </c>
      <c r="CA330">
        <f t="shared" si="456"/>
        <v>0.31</v>
      </c>
      <c r="CB330">
        <f t="shared" si="457"/>
        <v>0</v>
      </c>
      <c r="CC330">
        <f>IFERROR(ROUNDUP(CB330/((Uн_лин/SQRT(3))*1000)*100,2),"")</f>
        <v>0</v>
      </c>
      <c r="CD330">
        <f>IF(ISNUMBER(CC330),CC330+IFERROR(_xlfn.XLOOKUP(A330,Щиты[Щит],Щиты[ΔU до шин, %]),0),"")</f>
        <v>3.0799999999999996</v>
      </c>
      <c r="CE330">
        <f>IF(D330="","",IF(IFERROR(VLOOKUP(AT330,УГО_спр,2,FALSE),"")="Светильник",3,4)+IF(Методика="нормы 2026",MIN(0.5,MAX(0,N(BW330)-100)*0.005),0))</f>
        <v>4</v>
      </c>
      <c r="CF330" t="str">
        <f>IFERROR(VLOOKUP(BI330,Кабель_обозначение,2,FALSE),"")</f>
        <v>ВВГнг(А)-LS</v>
      </c>
      <c r="CG330" t="str">
        <f>IFERROR(IF(VLOOKUP(BI330,Кабель_обозначение,3,FALSE)=1,CF330&amp;" ("&amp;BJ330&amp;"х"&amp;BS330&amp;")",CF330),"")</f>
        <v>ВВГнг(А)-LS (3х4)</v>
      </c>
      <c r="CH330" t="str">
        <f t="shared" si="458"/>
        <v/>
      </c>
      <c r="CI330">
        <f>IFERROR(2*ρкз_Cu*BW330/BS330,"")</f>
        <v>0.69694999999999996</v>
      </c>
      <c r="CJ330">
        <f t="shared" si="459"/>
        <v>0.23187500000000003</v>
      </c>
      <c r="CK330" t="str">
        <f>IFERROR(IF(OR(D330="",NOT(ISNUMBER(BS330)),N(BW330)=0),"",_xlfn.XLOOKUP(A330,Щиты[Щит],Щиты[Zпетли на шинах, Ом])+CI330),"")</f>
        <v/>
      </c>
      <c r="CL330" t="str">
        <f>IF(ISNUMBER(CK330),c_min*(Uн_лин*1000/SQRT(3))/CK330,"")</f>
        <v/>
      </c>
      <c r="CM330" t="str">
        <f>IFERROR(IF(OR(D330="",NOT(ISNUMBER(BS330))),"",1.05*(Uн_лин*1000/SQRT(3))/(_xlfn.XLOOKUP(A330,Щиты[Щит],Щиты[Zmax на шинах, Ом])+CJ330)/1000),"")</f>
        <v/>
      </c>
      <c r="CN330" t="str">
        <f>IF(D330="","",IF(BA330&lt;&gt;"","Щит",IF(K330&lt;&gt;"",K330,IF(ISNUMBER(L330),"Сил",IF(IFERROR(_xlfn.XLOOKUP(AT330,Коды_код,Коды_группа)&amp;"","")="","Быт",_xlfn.XLOOKUP(AT330,Коды_код,Коды_группа)&amp;"")))))</f>
        <v>Нет</v>
      </c>
      <c r="CO330">
        <f>IF(CN330="Щит","щит",IF(CN330="","",IF(CN330="Быт",IFERROR(_xlfn.XLOOKUP(A330,Щиты[Щит],Щиты[Кс быт]),1),IF(CN330="Сил",IF(ISNUMBER(L330),L330,IF(Методика="нормы 2026",IFERROR(_xlfn.XLOOKUP(A330,Щиты[Щит],Щиты[Кс силовых (табл. 7.5)]),1),1)),IF(OR(CN330="Пост",CN330="Отоп"),1,IF(CN330="ВНГ",0.7,0))))))</f>
        <v>0</v>
      </c>
      <c r="CP330">
        <f t="shared" si="460"/>
        <v>1</v>
      </c>
      <c r="CQ330">
        <f t="shared" si="461"/>
        <v>0</v>
      </c>
      <c r="CR330">
        <f t="shared" si="462"/>
        <v>0</v>
      </c>
      <c r="CS330">
        <f t="shared" si="463"/>
        <v>0</v>
      </c>
      <c r="CT330">
        <f t="shared" si="464"/>
        <v>0</v>
      </c>
      <c r="CU330">
        <f t="shared" si="465"/>
        <v>0</v>
      </c>
      <c r="CV330">
        <f t="shared" si="466"/>
        <v>0</v>
      </c>
      <c r="CW330">
        <f t="shared" si="467"/>
        <v>0</v>
      </c>
      <c r="CX330">
        <f t="shared" si="468"/>
        <v>0</v>
      </c>
      <c r="CY330">
        <f t="shared" si="469"/>
        <v>0</v>
      </c>
      <c r="CZ330" t="str">
        <f t="shared" si="470"/>
        <v>L1,L2,L3</v>
      </c>
      <c r="DA330" cm="1">
        <f t="array" ref="DA330">IFERROR(IF(BL330=2,_xlfn.IFS(BH330=3,VLOOKUP(BF330,Справочная_двигатели,3,FALSE),BH330=1,VLOOKUP(BF330,Справочная_двигатели,5,TRUE)),0),0)</f>
        <v>0</v>
      </c>
      <c r="DB330">
        <f>IFERROR(IF(BL330=3,VLOOKUP(BF330,Справочная_ЛЭД,2,TRUE),0),0)</f>
        <v>0</v>
      </c>
      <c r="DC330">
        <f t="shared" si="471"/>
        <v>0</v>
      </c>
      <c r="DD330" t="str">
        <f t="shared" si="472"/>
        <v>L1,L2,L3</v>
      </c>
      <c r="DE330" t="str" cm="1">
        <f t="array" ref="DE330">IF(D330="","",IFERROR(INDEX({"I особая","I","II","III"},MATCH(TRIM(AA330&amp;""),{"I особая","I","II","III"},0)),"III"))</f>
        <v>III</v>
      </c>
      <c r="DF330" t="str">
        <f>IF(D330="","",IF(TRIM(AB330&amp;"")&lt;&gt;"",IF(LOWER(TRIM(AB330&amp;""))="да","да","нет"),IF(IFERROR(_xlfn.XLOOKUP(AT330,Коды_код,Коды_пожарная),"")="да","да","нет")))</f>
        <v>нет</v>
      </c>
      <c r="DG330" t="str">
        <f t="shared" si="473"/>
        <v/>
      </c>
      <c r="DH330" t="str">
        <f t="shared" si="474"/>
        <v>основная</v>
      </c>
      <c r="DI330">
        <f t="shared" si="475"/>
        <v>1</v>
      </c>
      <c r="DJ330" t="str" cm="1">
        <f t="array" ref="DJ330">IF(D330="","",_xlfn.LET(_xlpm.t,IFERROR(_xlfn.XLOOKUP(1,(Шины[Шина]=DH330)*(((Шины[Щит]=A330)+(Шины[Щит]=""))&gt;0),Шины[Тип]),"")&amp;"",IF(_xlpm.t&lt;&gt;"",_xlpm.t,IF(ISNUMBER(SEARCH("ИБП",DH330)),"ИБП",IF(ISNUMBER(SEARCH("ДГУ",DH330)),"ДГУ","Ввод "&amp;DI330)))))</f>
        <v>Ввод 1</v>
      </c>
      <c r="DK330" t="str">
        <f t="shared" si="476"/>
        <v>Ввод 1</v>
      </c>
      <c r="DL330" t="str">
        <f>IF(D330="","",IF(OR(DJ330="ИБП",DJ330="ДГУ"),"I особая",IF(DJ330="Одиночная","III",_xlfn.XLOOKUP(A330,Щиты[Щит],Щиты[Категория шины «Ввод»],"III"))))</f>
        <v>II</v>
      </c>
      <c r="DM330">
        <f>IF(D330="",0,IFERROR(MATCH(DE330,{"III","II","I","I особая"},0),1))</f>
        <v>1</v>
      </c>
      <c r="DN330">
        <f t="shared" si="477"/>
        <v>1</v>
      </c>
      <c r="DO330" t="str">
        <f>IF(D330="","",IF(DM330&gt;IFERROR(MATCH(DL330,{"III","II","I","I особая"},0),1),"НЕ ОБЕСПЕЧЕНА","ОК"))</f>
        <v>ОК</v>
      </c>
      <c r="DP330" t="str">
        <f>IF(A330="","",_xlfn.XLOOKUP(A330,Щиты[Щит],Щиты[Путь],""))</f>
        <v>|ГРЩ-ЖД|ЩС-ВК.003|</v>
      </c>
      <c r="DQ330" t="str">
        <f>IF(D330="","",IF(Z330&lt;&gt;"",Z330,IF(IFERROR(_xlfn.XLOOKUP(AT330,Коды_код,Коды_вид)&amp;"","")="","Прочее",_xlfn.XLOOKUP(AT330,Коды_код,Коды_вид)&amp;"")))</f>
        <v>Прочее</v>
      </c>
      <c r="DR330">
        <f>IF(BD330="","",INT((BD330-1)/Столбцов_на_лист)+1)</f>
        <v>1</v>
      </c>
      <c r="DS330" t="str">
        <f t="shared" si="478"/>
        <v/>
      </c>
      <c r="DT330">
        <f t="shared" si="479"/>
        <v>0</v>
      </c>
      <c r="DU330">
        <f t="shared" si="480"/>
        <v>0</v>
      </c>
      <c r="DV330">
        <f t="shared" si="481"/>
        <v>3</v>
      </c>
      <c r="DW330">
        <f>IF(AT330="",0,_xlfn.LET(_xlpm.v,IFERROR(VLOOKUP(D330,УГО_спр,3,FALSE),IFERROR(VLOOKUP(AT330,УГО_спр,3,FALSE),IFERROR(VLOOKUP(LEFT(AT330,2),УГО_спр,3,FALSE),""))),IF(_xlpm.v="да",30,IF(ISNUMBER(_xlpm.v),_xlpm.v,0))))</f>
        <v>0</v>
      </c>
      <c r="DX330">
        <f t="shared" si="482"/>
        <v>0</v>
      </c>
      <c r="DY330" t="str">
        <f>IF(BD330="","",IF(AD330&lt;&gt;"",COUNTIFS(A$3:A330,A330,AD$3:AD330,"?*"),IF(OR(OR(AS330=1,A330&lt;&gt;A329),AL330="вручную"),"",IF(AS330=1,"",DZ329))))</f>
        <v/>
      </c>
      <c r="DZ330" t="str">
        <f t="shared" si="483"/>
        <v/>
      </c>
      <c r="EA330">
        <f>IF(D330="",0,MAX(IFERROR(--X330,0),IFERROR(--VLOOKUP(D330,УГО_спр,4,FALSE),IFERROR(--VLOOKUP(AT330,УГО_спр,4,FALSE),IFERROR(--VLOOKUP(LEFT(AT330,2),УГО_спр,4,FALSE),0)))))</f>
        <v>20</v>
      </c>
      <c r="EB330">
        <f>IF(D330="","",IFERROR(LOOKUP(INDEX(CHOOSE(BR330,Iдоп_1ж,Iдоп_2ж,Iдоп_3ж),MATCH(BS330,Iдоп_S,0))*BP330*BQ330,{6,10,16,20,25,32,40,50,63,80,100,125,160,200,250,315,400,500,630}),""))</f>
        <v>32</v>
      </c>
      <c r="EC330" t="str">
        <f>IF(AD330="","",SUMIFS(Линии[_Ток схемы],Линии[_гр.],DY330,Линии[Щит],A330,Линии[_в кабель выше],0))</f>
        <v/>
      </c>
      <c r="ED330" t="str">
        <f>IF(AD330="","",IFERROR(VLOOKUP(EC330,Автомат_номиналы,2,TRUE),""))</f>
        <v/>
      </c>
      <c r="EE330" t="str">
        <f>IF(AD330="","",MAX(N(ED330),_xlfn.MAXIFS(Линии[_мин. по типу],Линии[_гр.],DY330,Линии[Щит],A330)))</f>
        <v/>
      </c>
      <c r="EF330" t="str">
        <f>IF(AD330="","",_xlfn.MINIFS(Линии[_макс. автомат по кабелю],Линии[_гр.],DY330,Линии[Щит],A330))</f>
        <v/>
      </c>
      <c r="EG330" t="str">
        <f>IF(AD330="","",MAX(1,_xlfn.MAXIFS(Линии[_фаз],Линии[_гр.],DY330,Линии[Щит],A330)))</f>
        <v/>
      </c>
      <c r="EH330" t="str">
        <f>IF(AD330="","",IF(AND(AD330&lt;&gt;"авто",AD330&lt;&gt;"+"),IF(ISNUMBER(SEARCH("мА",AD330)),IFERROR(--TRIM(RIGHT(SUBSTITUTE(LEFT(AD330,SEARCH("мА",AD330)-1)," ",REPT(" ",9)),6)),30),0),IF(AE330="нет",0,IF(ISNUMBER(AE330),AE330,IF(AE330="да",30,_xlfn.MINIFS(Линии[_дифзащита по коду, мА],Линии[_гр.],DY330,Линии[Щит],A330,Линии[_дифзащита по коду, мА],"&gt;0"))))))</f>
        <v/>
      </c>
      <c r="EI330" t="str">
        <f t="shared" si="484"/>
        <v/>
      </c>
      <c r="EJ330" t="str">
        <f t="shared" si="485"/>
        <v/>
      </c>
      <c r="EK330" t="str">
        <f t="shared" si="486"/>
        <v/>
      </c>
      <c r="EL330" t="str">
        <f t="shared" si="487"/>
        <v/>
      </c>
      <c r="EM330">
        <f t="shared" si="488"/>
        <v>0</v>
      </c>
      <c r="EN330" t="str">
        <f>IF(AD330="","",IF(EM330=1,MAX(EE330,Мин_автомат_БП),EE330))</f>
        <v/>
      </c>
      <c r="EO330" t="str">
        <f t="shared" si="489"/>
        <v/>
      </c>
      <c r="EP330" t="str">
        <f t="shared" si="490"/>
        <v/>
      </c>
      <c r="EQ330" t="str">
        <f t="shared" si="491"/>
        <v/>
      </c>
      <c r="ER330" t="str">
        <f>IF(OR(AI330="",AI330="-"),"",IFERROR(VLOOKUP(AI330,Модули_спр,2,FALSE),"R"))</f>
        <v/>
      </c>
      <c r="ES330" t="str">
        <f>IF(ER330="","",ER330&amp;"."&amp;COUNTIFS(A$3:A330,A330,ER$3:ER330,ER330))</f>
        <v/>
      </c>
      <c r="ET330" t="str">
        <f t="shared" si="492"/>
        <v/>
      </c>
      <c r="EU330" t="str">
        <f t="shared" si="493"/>
        <v/>
      </c>
      <c r="EV330" t="str">
        <f t="shared" si="494"/>
        <v/>
      </c>
      <c r="EW330" t="str">
        <f t="shared" si="495"/>
        <v/>
      </c>
      <c r="EX330">
        <f t="shared" si="496"/>
        <v>0</v>
      </c>
      <c r="EY330" t="str">
        <f>IF(AK330="нет","",IF(AK330&lt;&gt;"",AK330,IF(EX330=1,"XT"&amp;COUNTIFS(A$3:A330,A330,EX$3:EX330,1),"")))</f>
        <v/>
      </c>
      <c r="EZ330" t="str">
        <f t="shared" si="497"/>
        <v/>
      </c>
      <c r="FA330" t="str">
        <f t="shared" si="498"/>
        <v/>
      </c>
      <c r="FB330" t="str">
        <f t="shared" si="499"/>
        <v/>
      </c>
      <c r="FC330" t="str">
        <f>IF(OR(EV330="",ET330=""),"",IF(EV330&gt;IFERROR(VLOOKUP(EU330,Модули_спр,3,FALSE),99),"ЛИШНИЙ КАНАЛ",IF(AND(AJ330&lt;&gt;"=",COUNTIFS(Линии[_модуль гр.],ET330,Линии[Канал (итог)],EV330,Линии[Канал],"&lt;&gt;=",Линии[Щит],A330)&gt;1),"ДУБЛЬ КАНАЛА","")))</f>
        <v/>
      </c>
      <c r="FD330" t="str">
        <f t="shared" si="500"/>
        <v/>
      </c>
      <c r="FE330" t="str">
        <f t="shared" si="501"/>
        <v/>
      </c>
      <c r="FF330" t="str">
        <f t="shared" si="502"/>
        <v/>
      </c>
      <c r="FG330" t="str">
        <f t="shared" si="503"/>
        <v/>
      </c>
      <c r="FH330" t="str">
        <f t="shared" si="504"/>
        <v/>
      </c>
      <c r="FI330">
        <f t="shared" si="505"/>
        <v>10</v>
      </c>
      <c r="FJ330" t="str">
        <f t="shared" si="506"/>
        <v/>
      </c>
      <c r="FK330" t="str">
        <f>IF(AND(D330="",EZ330=""),"",_xlfn.TEXTJOIN("; ",TRUE,IF(AND(D330&lt;&gt;"",DD330=""),"нет фазы",""),IF(AND(D330&lt;&gt;"",N(DT330)=0,CN330&lt;&gt;"Нет"),"нет мощности",""),IF(AND(EY330&lt;&gt;"",COUNTIFS(Линии[Щит],A330,Линии[Клемма (итог)],EY330)&gt;1),"дубль клеммы "&amp;EY330,""),IF(AND(FB330&lt;&gt;"",FB330&lt;&gt;"ok"),FB330,""),IF(FC330&lt;&gt;"",FC330,""),IF(AND(ISNUMBER(SEARCH("(5х",DS330)),N(DV330)=1),"5 жил на 1 фазе",""),IF(AND(AT330="R",AD330&lt;&gt;"",OR(N(EH330)=0,N(EH330)&gt;30)),"розетка без дифзащиты до 30 мА",""),IFERROR(IF(AND(ISNUMBER(CD330),CD330&gt;CE330),"потери "&amp;FIXED(CD330,1)&amp;" % &gt; "&amp;CE330&amp;" %",""),""),IFERROR(IF(LEFT(FJ330,4)="мало","Iкз мало — отключение &gt; 0,4 с",""),""),IF(AND(D330&lt;&gt;"",BD330=""),"не на схеме","")))</f>
        <v/>
      </c>
      <c r="FL330" t="str">
        <f>IF(AD330="","",_xlfn.LET(_xlpm.t,IFERROR(_xlfn.XLOOKUP(EP330,Каталог!$U$4:$U$500,Каталог!$G$4:$G$500),""),_xlpm.k,SEARCH("кА",_xlpm.t),IFERROR(--TRIM(RIGHT(SUBSTITUTE(MID(_xlpm.t,MAX(1,_xlpm.k-4),_xlpm.k-MAX(1,_xlpm.k-4))," ",REPT(" ",9)),5)),"")))</f>
        <v/>
      </c>
      <c r="FM330" t="str">
        <f>IF(OR(FL330="",AD330=""),"",IF(_xlfn.XLOOKUP(A330,Щиты[Щит],Щиты[Iкз max на шинах, кА],"")="","",IF(FL330&lt;_xlfn.XLOOKUP(A330,Щиты[Щит],Щиты[Iкз max на шинах, кА]),"Icu "&amp;FL330&amp;" кА &lt; Iкз max","ok")))</f>
        <v/>
      </c>
      <c r="FN330" t="str">
        <f t="shared" si="507"/>
        <v/>
      </c>
      <c r="FO330" t="str">
        <f t="shared" si="508"/>
        <v/>
      </c>
      <c r="FP330" t="str" cm="1">
        <f t="array" ref="FP330">IF(FO330="","",_xlfn.LET(_xlpm.nd,_xlfn.TEXTSPLIT(FO330,"|"),IF(COLUMNS(_xlpm.nd)&gt;1,A330&amp;"¦"&amp;INDEX(_xlpm.nd,1)&amp;"¦"&amp;INDEX(_xlpm.nd,2),"")))</f>
        <v/>
      </c>
      <c r="FQ330" t="str">
        <f t="shared" si="509"/>
        <v/>
      </c>
      <c r="FR330" t="str" cm="1">
        <f t="array" ref="FR330">IF(FO330="","",_xlfn.LET(_xlpm.nd,_xlfn.TEXTSPLIT(FO330,"|"),IF(COLUMNS(_xlpm.nd)&gt;2,A330&amp;"¦"&amp;INDEX(_xlpm.nd,2)&amp;"¦"&amp;INDEX(_xlpm.nd,3),"")))</f>
        <v/>
      </c>
      <c r="FS330" t="str">
        <f t="shared" si="510"/>
        <v/>
      </c>
      <c r="FT330" t="str" cm="1">
        <f t="array" ref="FT330">IF(FO330="","",_xlfn.LET(_xlpm.nd,_xlfn.TEXTSPLIT(FO330,"|"),IF(COLUMNS(_xlpm.nd)&gt;3,A330&amp;"¦"&amp;INDEX(_xlpm.nd,3)&amp;"¦"&amp;INDEX(_xlpm.nd,4),"")))</f>
        <v/>
      </c>
      <c r="FU330" t="str">
        <f t="shared" si="511"/>
        <v/>
      </c>
      <c r="FV330" t="str" cm="1">
        <f t="array" ref="FV330">IF(FO330="","",_xlfn.LET(_xlpm.nd,_xlfn.TEXTSPLIT(FO330,"|"),IF(COLUMNS(_xlpm.nd)&gt;4,A330&amp;"¦"&amp;INDEX(_xlpm.nd,4)&amp;"¦"&amp;INDEX(_xlpm.nd,5),"")))</f>
        <v/>
      </c>
      <c r="FW330" t="str">
        <f t="shared" si="512"/>
        <v/>
      </c>
      <c r="FX330" t="str" cm="1">
        <f t="array" ref="FX330">IF(FO330="","",_xlfn.LET(_xlpm.nd,_xlfn.TEXTSPLIT(FO330,"|"),IF(COLUMNS(_xlpm.nd)&gt;5,A330&amp;"¦"&amp;INDEX(_xlpm.nd,5)&amp;"¦"&amp;INDEX(_xlpm.nd,6),"")))</f>
        <v/>
      </c>
      <c r="FY330" t="str">
        <f t="shared" si="513"/>
        <v/>
      </c>
      <c r="FZ330" t="str" cm="1">
        <f t="array" ref="FZ330">IF(FO330="","",_xlfn.LET(_xlpm.nd,_xlfn.TEXTSPLIT(FO330,"|"),IF(COLUMNS(_xlpm.nd)&gt;6,A330&amp;"¦"&amp;INDEX(_xlpm.nd,6)&amp;"¦"&amp;INDEX(_xlpm.nd,7),"")))</f>
        <v/>
      </c>
      <c r="GA330" t="str">
        <f t="shared" si="514"/>
        <v/>
      </c>
      <c r="GB330" t="str">
        <f t="shared" si="515"/>
        <v/>
      </c>
      <c r="GC330" t="str">
        <f t="shared" si="516"/>
        <v/>
      </c>
      <c r="GD330">
        <f t="shared" si="517"/>
        <v>0</v>
      </c>
      <c r="GE330">
        <f t="shared" si="518"/>
        <v>0</v>
      </c>
      <c r="GF330">
        <f t="shared" si="519"/>
        <v>0</v>
      </c>
      <c r="GG330" t="str">
        <f t="shared" si="520"/>
        <v/>
      </c>
      <c r="GH330" t="str">
        <f t="shared" si="521"/>
        <v/>
      </c>
      <c r="GI330" t="str">
        <f t="shared" si="522"/>
        <v/>
      </c>
      <c r="GJ330" t="str">
        <f t="shared" si="523"/>
        <v/>
      </c>
      <c r="GK330">
        <f>IF(D330="","",IFERROR(VLOOKUP(D330,УГО_спр,2,FALSE),IFERROR(VLOOKUP(AT330,УГО_спр,2,FALSE),IFERROR(VLOOKUP(LEFT(AT330,2),УГО_спр,2,FALSE),""))))</f>
        <v>0</v>
      </c>
      <c r="GL330" t="str">
        <f>IF(D330="","",IF(OR(GK330="",GK330=0),"BOX",IFERROR(IF(VLOOKUP(GK330,УГО_блоки,3,FALSE)&amp;""&lt;&gt;"",VLOOKUP(GK330,УГО_блоки,3,FALSE),VLOOKUP(GK330,УГО_блоки,2,FALSE)),GK330)))</f>
        <v>BOX</v>
      </c>
      <c r="GM330">
        <f t="shared" si="524"/>
        <v>1</v>
      </c>
      <c r="GN330" t="str">
        <f>IF(EP330="","",IF(COUNTIF(EP$3:EP330,EP330)=1,MAX(GN$2:GN329)+1,""))</f>
        <v/>
      </c>
      <c r="GO330" t="str">
        <f>IF(AF330="","",IF(COUNTIF(AF$3:AF330,AF330)+COUNTIF(AG$2:AG329,AF330)+COUNTIF(AH$2:AH329,AF330)=1,MAX(GO$2:GQ329)+1,""))</f>
        <v/>
      </c>
      <c r="GP330" t="str">
        <f>IF(AG330="","",IF(COUNTIF(AF$3:AF330,AG330)+COUNTIF(AG$3:AG330,AG330)+COUNTIF(AH$2:AH329,AG330)=1,MAX(GO$2:GQ329,GO330)+1,""))</f>
        <v/>
      </c>
      <c r="GQ330" t="str">
        <f>IF(AH330="","",IF(COUNTIF(AF$3:AF330,AH330)+COUNTIF(AG$3:AG330,AH330)+COUNTIF(AH$3:AH330,AH330)=1,MAX(GO$2:GQ329,GO330,GP330)+1,""))</f>
        <v/>
      </c>
      <c r="GR330" t="str">
        <f t="shared" si="525"/>
        <v/>
      </c>
      <c r="GS330" t="str">
        <f>IF(GR330="","",IF(COUNTIF(GR$3:GR330,GR330)=1,MAX(GS$2:GS329)+1,""))</f>
        <v/>
      </c>
      <c r="GT330" t="str">
        <f>IF(ES330="","",COUNTIF(ES$3:ES330,"?*"))</f>
        <v/>
      </c>
      <c r="GU330" t="str">
        <f>IF(OR(ES330="",EU330=""),"",IF(COUNTIFS(ES$3:ES330,"?*",EU$3:EU330,EU330)=1,MAX(GU$2:GU329)+1,""))</f>
        <v/>
      </c>
      <c r="GV330">
        <f t="shared" si="526"/>
        <v>0</v>
      </c>
      <c r="GW330">
        <f>IF(D330="","",COUNTIF(D$3:D330,"?*"))</f>
        <v>328</v>
      </c>
      <c r="GX330">
        <f>IF(EX330&lt;&gt;1,0,_xlfn.LET(_xlpm.k,MAX(IFERROR(--VLOOKUP(D330,УГО_спр,5,FALSE),0),IFERROR(--VLOOKUP(AT330,УГО_спр,5,FALSE),0),IFERROR(--VLOOKUP(LEFT(AT330,2),УГО_спр,5,FALSE),0)),IF(_xlpm.k&gt;0,_xlpm.k,IF(IFERROR(--LEFT(SUBSTITUTE(GR330,"x","х"),FIND("х",SUBSTITUTE(GR330,"x","х"))-1),3)&gt;3,Каталог!$S$9,1))))</f>
        <v>0</v>
      </c>
      <c r="GY330">
        <f t="shared" si="527"/>
        <v>0</v>
      </c>
    </row>
    <row r="331" spans="1:207" x14ac:dyDescent="0.3">
      <c r="A331" t="s">
        <v>772</v>
      </c>
      <c r="B331">
        <v>12</v>
      </c>
      <c r="C331" t="str">
        <f>IF(BD331="","",IF(BE331="вводной узел","узел ","")&amp;"л."&amp;(INT((BD331-1)/Столбцов_на_лист)+1)&amp;" / "&amp;(MOD(BD331-1,Столбцов_на_лист)+1))</f>
        <v>л.1 / 12</v>
      </c>
      <c r="D331" t="s">
        <v>1667</v>
      </c>
      <c r="E331" s="133" t="str">
        <f t="shared" si="440"/>
        <v>Насос дренажный Подвальный этаж Пом. №006Т</v>
      </c>
      <c r="G331">
        <v>0.6</v>
      </c>
      <c r="H331">
        <v>1</v>
      </c>
      <c r="I331">
        <v>1</v>
      </c>
      <c r="J331">
        <v>230</v>
      </c>
      <c r="K331" t="s">
        <v>602</v>
      </c>
      <c r="L331">
        <v>0.7</v>
      </c>
      <c r="O331">
        <v>3</v>
      </c>
      <c r="P331">
        <v>13</v>
      </c>
      <c r="Q331">
        <v>0</v>
      </c>
      <c r="R331">
        <v>12</v>
      </c>
      <c r="U331" t="s">
        <v>11</v>
      </c>
      <c r="V331">
        <v>3</v>
      </c>
      <c r="W331">
        <v>2.5</v>
      </c>
      <c r="X331">
        <v>16</v>
      </c>
      <c r="Z331" t="s">
        <v>608</v>
      </c>
      <c r="AA331" t="s">
        <v>818</v>
      </c>
      <c r="AD331" t="s">
        <v>517</v>
      </c>
      <c r="AR331" t="str">
        <f t="shared" si="441"/>
        <v/>
      </c>
      <c r="AS331" cm="1">
        <f t="array" ref="AS331">ROW()-ROW(Линии[#Headers])</f>
        <v>329</v>
      </c>
      <c r="AT331" t="str">
        <f t="shared" si="442"/>
        <v>НВК</v>
      </c>
      <c r="AU331" t="str">
        <f t="shared" si="443"/>
        <v>00.006Т.2</v>
      </c>
      <c r="AV331" t="str">
        <f t="shared" si="444"/>
        <v>00</v>
      </c>
      <c r="AW331" t="str">
        <f t="shared" si="445"/>
        <v>006Т.2</v>
      </c>
      <c r="AX331" t="str">
        <f t="shared" si="446"/>
        <v>006Т</v>
      </c>
      <c r="AY331" t="str">
        <f>IF(D331="","",IF(ISERROR(SEARCH(".",D331)),IFERROR(VLOOKUP(D331,Потребители_обозначение,2,FALSE)&amp;"",""),IFERROR(IF(VLOOKUP(AT331,Потребители_обозначение,4,FALSE)=1,VLOOKUP(AT331,Потребители_обозначение,2,FALSE)&amp;" "&amp;VLOOKUP(AV331,Этаж_обозначение,2,FALSE)&amp;" Пом. №"&amp;AX331,VLOOKUP(AT331,Потребители_обозначение,2,FALSE)&amp;" Шлейф №"&amp;AV331),IFERROR(VLOOKUP(D331,Потребители_обозначение,2,FALSE),""))))</f>
        <v>Насос дренажный Подвальный этаж Пом. №006Т</v>
      </c>
      <c r="AZ331" t="str">
        <f t="shared" si="447"/>
        <v>Насос дренажный Подвальный этаж Пом. №006Т</v>
      </c>
      <c r="BA331" t="str">
        <f>IF(F331&lt;&gt;"",F331,IF(AND(D331&lt;&gt;"",D331&lt;&gt;A331,ISNUMBER(_xlfn.XMATCH(D331,Щиты[Щит]))),D331,""))</f>
        <v/>
      </c>
      <c r="BB331">
        <f>IFERROR(_xlfn.XMATCH(A331,Щиты[Щит]),0)</f>
        <v>15</v>
      </c>
      <c r="BC331">
        <f>IFERROR(N(_xlfn.XLOOKUP(A331,Щиты[Щит],Щиты[Мест под вводной узел])),15)</f>
        <v>11</v>
      </c>
      <c r="BD331">
        <f t="shared" si="448"/>
        <v>12</v>
      </c>
      <c r="BE331" t="str">
        <f t="shared" si="449"/>
        <v>линии</v>
      </c>
      <c r="BF331">
        <f>IF(D331="","",IF(BA331&lt;&gt;"",IFERROR(_xlfn.XLOOKUP(BA331,Щиты[Щит],Щиты[Руст, кВт]),0),N(G331)))</f>
        <v>0.6</v>
      </c>
      <c r="BG331">
        <f>IF(J331&lt;&gt;"",J331,IF(D331="","",IFERROR(IF(VLOOKUP(AT331,Потребители_обозначение,8,FALSE)=0,"",VLOOKUP(AT331,Потребители_обозначение,8,FALSE)),"")))</f>
        <v>230</v>
      </c>
      <c r="BH331">
        <f>IF(I331&lt;&gt;"",I331,IF(D331="","",IFERROR(IF(VLOOKUP(AT331,Потребители_обозначение,9,FALSE)=0,"",VLOOKUP(AT331,Потребители_обозначение,9,FALSE)),"")))</f>
        <v>1</v>
      </c>
      <c r="BI331" t="str">
        <f>IF(U331&lt;&gt;"",U331,IF(D331="","",IFERROR(IF(VLOOKUP(AT331,Потребители_обозначение,6,FALSE)=0,"",VLOOKUP(AT331,Потребители_обозначение,6,FALSE)),"")))</f>
        <v>мс</v>
      </c>
      <c r="BJ331">
        <f>IF(V331&lt;&gt;"",V331,IF(D331="","",IFERROR(IF(VLOOKUP(AT331,Потребители_обозначение,7,FALSE)=0,"",VLOOKUP(AT331,Потребители_обозначение,7,FALSE)),"")))</f>
        <v>3</v>
      </c>
      <c r="BK331">
        <f>IF(W331&lt;&gt;"",W331,IF(D331="","",IFERROR(IF(VLOOKUP(AT331,Потребители_обозначение,10,FALSE)=0,"",VLOOKUP(AT331,Потребители_обозначение,10,FALSE)),"")))</f>
        <v>2.5</v>
      </c>
      <c r="BL331">
        <f>IFERROR(VLOOKUP(AT331,Потребители_обозначение,5,FALSE),0)</f>
        <v>1</v>
      </c>
      <c r="BM331" cm="1">
        <f t="array" ref="BM331">IF(D331="","",IF(BA331&lt;&gt;"",IFERROR(_xlfn.XLOOKUP(BA331,Щиты[Щит],Щиты[cos φ]),0.95),IF(ISNUMBER(M331),M331,IFERROR(IF(BL331=2,_xlfn.IFS(BH331=3,VLOOKUP(BF331,Справочная_двигатели,8,FALSE),BH331=1,VLOOKUP(BF331,Справочная_двигатели,10,TRUE)),IF(AND(Методика="нормы 2026",CN331="Сил"),0.8,0.95)),0.95))))</f>
        <v>0.95</v>
      </c>
      <c r="BN331" cm="1">
        <f t="array" ref="BN331">IF(D331="","",IF(BA331&lt;&gt;"",IFERROR(_xlfn.XLOOKUP(BA331,Щиты[Щит],Щиты[Iр, А]),""),IFERROR(_xlfn.IFS(BH331=1,BF331/((Uн_лин/SQRT(3))*BM331),BH331=3,BF331/(SQRT(3)*Uн_лин*BM331)),"")))</f>
        <v>2.7348170645824377</v>
      </c>
      <c r="BO331">
        <f>IF(D331="","",IF(N(X331)=0,IFERROR(VLOOKUP(BN331,Автомат_номиналы,2,TRUE),""),X331))</f>
        <v>16</v>
      </c>
      <c r="BP331">
        <f t="shared" si="450"/>
        <v>1</v>
      </c>
      <c r="BQ331">
        <f>IF(ISNUMBER(Y331),Y331,К_прокл)</f>
        <v>1</v>
      </c>
      <c r="BR331">
        <f t="shared" si="451"/>
        <v>2</v>
      </c>
      <c r="BS331" cm="1">
        <f t="array" ref="BS331">IF(D331="","",IF(N(BK331)&lt;&gt;0,BK331,IFERROR(_xlfn.LET(_xlpm.need,BO331/(BP331*BQ331),_xlpm.t,CHOOSE(BR331,Iдоп_1ж,Iдоп_2ж,Iдоп_3ж),_xlpm.k,_xlfn.XMATCH(_xlpm.need,_xlpm.t,1),IF(ISNA(_xlpm.k),"Не исп",INDEX(Iдоп_S,_xlpm.k))),"Не исп")))</f>
        <v>2.5</v>
      </c>
      <c r="BT331">
        <f>IFERROR(VLOOKUP(BS331,Кабель_сопротивление,3,FALSE),"")</f>
        <v>2.2499999999999999E-2</v>
      </c>
      <c r="BU331">
        <f>IFERROR(VLOOKUP(BS331,Кабель_сопротивление,2,FALSE),"")</f>
        <v>0.1</v>
      </c>
      <c r="BV331">
        <f t="shared" si="452"/>
        <v>13</v>
      </c>
      <c r="BW331">
        <f>IF(D331="","",IFERROR(IF(VLOOKUP(AT331,Потребители_обозначение,4,FALSE)=1,VLOOKUP(AT331,Потребители_обозначение,3,FALSE)*(H331*2-1)+BV331+VLOOKUP(AV331,Этаж_обозначение,3,FALSE)+VLOOKUP(AV331,Этаж_обозначение,4,FALSE),VLOOKUP(AT331,Потребители_обозначение,3,FALSE)*(H331*2-1)+BV331),BV331))</f>
        <v>16</v>
      </c>
      <c r="BX331">
        <f t="shared" si="453"/>
        <v>12</v>
      </c>
      <c r="BY331" t="str">
        <f t="shared" si="454"/>
        <v/>
      </c>
      <c r="BZ331">
        <f t="shared" si="455"/>
        <v>2</v>
      </c>
      <c r="CA331">
        <f t="shared" si="456"/>
        <v>0.31</v>
      </c>
      <c r="CB331">
        <f t="shared" si="457"/>
        <v>0.75095888739782057</v>
      </c>
      <c r="CC331">
        <f>IFERROR(ROUNDUP(CB331/((Uн_лин/SQRT(3))*1000)*100,2),"")</f>
        <v>0.33</v>
      </c>
      <c r="CD331">
        <f>IF(ISNUMBER(CC331),CC331+IFERROR(_xlfn.XLOOKUP(A331,Щиты[Щит],Щиты[ΔU до шин, %]),0),"")</f>
        <v>3.4099999999999997</v>
      </c>
      <c r="CE331">
        <f>IF(D331="","",IF(IFERROR(VLOOKUP(AT331,УГО_спр,2,FALSE),"")="Светильник",3,4)+IF(Методика="нормы 2026",MIN(0.5,MAX(0,N(BW331)-100)*0.005),0))</f>
        <v>4</v>
      </c>
      <c r="CF331" t="str">
        <f>IFERROR(VLOOKUP(BI331,Кабель_обозначение,2,FALSE),"")</f>
        <v>ВВГнг(А)-LS</v>
      </c>
      <c r="CG331" t="str">
        <f>IFERROR(IF(VLOOKUP(BI331,Кабель_обозначение,3,FALSE)=1,CF331&amp;" ("&amp;BJ331&amp;"х"&amp;BS331&amp;")",CF331),"")</f>
        <v>ВВГнг(А)-LS (3х2,5)</v>
      </c>
      <c r="CH331" t="str">
        <f t="shared" si="458"/>
        <v>ВВГнг(А)-LS (3х2,5)
L=16-0,33%</v>
      </c>
      <c r="CI331">
        <f>IFERROR(2*ρкз_Cu*BW331/BS331,"")</f>
        <v>0.33663999999999999</v>
      </c>
      <c r="CJ331">
        <f t="shared" si="459"/>
        <v>0.11200000000000002</v>
      </c>
      <c r="CK331" t="str">
        <f>IFERROR(IF(OR(D331="",NOT(ISNUMBER(BS331)),N(BW331)=0),"",_xlfn.XLOOKUP(A331,Щиты[Щит],Щиты[Zпетли на шинах, Ом])+CI331),"")</f>
        <v/>
      </c>
      <c r="CL331" t="str">
        <f>IF(ISNUMBER(CK331),c_min*(Uн_лин*1000/SQRT(3))/CK331,"")</f>
        <v/>
      </c>
      <c r="CM331" t="str">
        <f>IFERROR(IF(OR(D331="",NOT(ISNUMBER(BS331))),"",1.05*(Uн_лин*1000/SQRT(3))/(_xlfn.XLOOKUP(A331,Щиты[Щит],Щиты[Zmax на шинах, Ом])+CJ331)/1000),"")</f>
        <v/>
      </c>
      <c r="CN331" t="str">
        <f>IF(D331="","",IF(BA331&lt;&gt;"","Щит",IF(K331&lt;&gt;"",K331,IF(ISNUMBER(L331),"Сил",IF(IFERROR(_xlfn.XLOOKUP(AT331,Коды_код,Коды_группа)&amp;"","")="","Быт",_xlfn.XLOOKUP(AT331,Коды_код,Коды_группа)&amp;"")))))</f>
        <v>Сил</v>
      </c>
      <c r="CO331">
        <f>IF(CN331="Щит","щит",IF(CN331="","",IF(CN331="Быт",IFERROR(_xlfn.XLOOKUP(A331,Щиты[Щит],Щиты[Кс быт]),1),IF(CN331="Сил",IF(ISNUMBER(L331),L331,IF(Методика="нормы 2026",IFERROR(_xlfn.XLOOKUP(A331,Щиты[Щит],Щиты[Кс силовых (табл. 7.5)]),1),1)),IF(OR(CN331="Пост",CN331="Отоп"),1,IF(CN331="ВНГ",0.7,0))))))</f>
        <v>0.7</v>
      </c>
      <c r="CP331">
        <f t="shared" si="460"/>
        <v>1</v>
      </c>
      <c r="CQ331">
        <f t="shared" si="461"/>
        <v>0.6</v>
      </c>
      <c r="CR331">
        <f t="shared" si="462"/>
        <v>0</v>
      </c>
      <c r="CS331">
        <f t="shared" si="463"/>
        <v>0.42</v>
      </c>
      <c r="CT331">
        <f t="shared" si="464"/>
        <v>0</v>
      </c>
      <c r="CU331">
        <f t="shared" si="465"/>
        <v>0</v>
      </c>
      <c r="CV331">
        <f t="shared" si="466"/>
        <v>0</v>
      </c>
      <c r="CW331">
        <f t="shared" si="467"/>
        <v>0.6</v>
      </c>
      <c r="CX331">
        <f t="shared" si="468"/>
        <v>0.56999999999999995</v>
      </c>
      <c r="CY331">
        <f t="shared" si="469"/>
        <v>1</v>
      </c>
      <c r="CZ331" t="str">
        <f t="shared" si="470"/>
        <v>L1</v>
      </c>
      <c r="DA331" cm="1">
        <f t="array" ref="DA331">IFERROR(IF(BL331=2,_xlfn.IFS(BH331=3,VLOOKUP(BF331,Справочная_двигатели,3,FALSE),BH331=1,VLOOKUP(BF331,Справочная_двигатели,5,TRUE)),0),0)</f>
        <v>0</v>
      </c>
      <c r="DB331">
        <f>IFERROR(IF(BL331=3,VLOOKUP(BF331,Справочная_ЛЭД,2,TRUE),0),0)</f>
        <v>0</v>
      </c>
      <c r="DC331">
        <f t="shared" si="471"/>
        <v>0</v>
      </c>
      <c r="DD331" t="str">
        <f t="shared" si="472"/>
        <v>L3</v>
      </c>
      <c r="DE331" t="str" cm="1">
        <f t="array" ref="DE331">IF(D331="","",IFERROR(INDEX({"I особая","I","II","III"},MATCH(TRIM(AA331&amp;""),{"I особая","I","II","III"},0)),"III"))</f>
        <v>II</v>
      </c>
      <c r="DF331" t="str">
        <f>IF(D331="","",IF(TRIM(AB331&amp;"")&lt;&gt;"",IF(LOWER(TRIM(AB331&amp;""))="да","да","нет"),IF(IFERROR(_xlfn.XLOOKUP(AT331,Коды_код,Коды_пожарная),"")="да","да","нет")))</f>
        <v>нет</v>
      </c>
      <c r="DG331" t="str">
        <f t="shared" si="473"/>
        <v/>
      </c>
      <c r="DH331" t="str">
        <f t="shared" si="474"/>
        <v>основная</v>
      </c>
      <c r="DI331">
        <f t="shared" si="475"/>
        <v>1</v>
      </c>
      <c r="DJ331" t="str" cm="1">
        <f t="array" ref="DJ331">IF(D331="","",_xlfn.LET(_xlpm.t,IFERROR(_xlfn.XLOOKUP(1,(Шины[Шина]=DH331)*(((Шины[Щит]=A331)+(Шины[Щит]=""))&gt;0),Шины[Тип]),"")&amp;"",IF(_xlpm.t&lt;&gt;"",_xlpm.t,IF(ISNUMBER(SEARCH("ИБП",DH331)),"ИБП",IF(ISNUMBER(SEARCH("ДГУ",DH331)),"ДГУ","Ввод "&amp;DI331)))))</f>
        <v>Ввод 1</v>
      </c>
      <c r="DK331" t="str">
        <f t="shared" si="476"/>
        <v>Ввод 1</v>
      </c>
      <c r="DL331" t="str">
        <f>IF(D331="","",IF(OR(DJ331="ИБП",DJ331="ДГУ"),"I особая",IF(DJ331="Одиночная","III",_xlfn.XLOOKUP(A331,Щиты[Щит],Щиты[Категория шины «Ввод»],"III"))))</f>
        <v>II</v>
      </c>
      <c r="DM331">
        <f>IF(D331="",0,IFERROR(MATCH(DE331,{"III","II","I","I особая"},0),1))</f>
        <v>2</v>
      </c>
      <c r="DN331">
        <f t="shared" si="477"/>
        <v>2</v>
      </c>
      <c r="DO331" t="str">
        <f>IF(D331="","",IF(DM331&gt;IFERROR(MATCH(DL331,{"III","II","I","I особая"},0),1),"НЕ ОБЕСПЕЧЕНА","ОК"))</f>
        <v>ОК</v>
      </c>
      <c r="DP331" t="str">
        <f>IF(A331="","",_xlfn.XLOOKUP(A331,Щиты[Щит],Щиты[Путь],""))</f>
        <v>|ГРЩ-ЖД|ЩС-ВК.003|</v>
      </c>
      <c r="DQ331" t="str">
        <f>IF(D331="","",IF(Z331&lt;&gt;"",Z331,IF(IFERROR(_xlfn.XLOOKUP(AT331,Коды_код,Коды_вид)&amp;"","")="","Прочее",_xlfn.XLOOKUP(AT331,Коды_код,Коды_вид)&amp;"")))</f>
        <v>Насосы (водоснабжение, дренаж)</v>
      </c>
      <c r="DR331">
        <f>IF(BD331="","",INT((BD331-1)/Столбцов_на_лист)+1)</f>
        <v>1</v>
      </c>
      <c r="DS331" t="str">
        <f t="shared" si="478"/>
        <v>ВВГнг(А)-LS (3х2,5) L=16-0,33%</v>
      </c>
      <c r="DT331">
        <f t="shared" si="479"/>
        <v>0.6</v>
      </c>
      <c r="DU331">
        <f t="shared" si="480"/>
        <v>2.7399999999999998</v>
      </c>
      <c r="DV331">
        <f t="shared" si="481"/>
        <v>1</v>
      </c>
      <c r="DW331">
        <f>IF(AT331="",0,_xlfn.LET(_xlpm.v,IFERROR(VLOOKUP(D331,УГО_спр,3,FALSE),IFERROR(VLOOKUP(AT331,УГО_спр,3,FALSE),IFERROR(VLOOKUP(LEFT(AT331,2),УГО_спр,3,FALSE),""))),IF(_xlpm.v="да",30,IF(ISNUMBER(_xlpm.v),_xlpm.v,0))))</f>
        <v>0</v>
      </c>
      <c r="DX331">
        <f t="shared" si="482"/>
        <v>0</v>
      </c>
      <c r="DY331">
        <f>IF(BD331="","",IF(AD331&lt;&gt;"",COUNTIFS(A$3:A331,A331,AD$3:AD331,"?*"),IF(OR(OR(AS331=1,A331&lt;&gt;A330),AL331="вручную"),"",IF(AS331=1,"",DZ330))))</f>
        <v>1</v>
      </c>
      <c r="DZ331">
        <f t="shared" si="483"/>
        <v>1</v>
      </c>
      <c r="EA331">
        <f>IF(D331="",0,MAX(IFERROR(--X331,0),IFERROR(--VLOOKUP(D331,УГО_спр,4,FALSE),IFERROR(--VLOOKUP(AT331,УГО_спр,4,FALSE),IFERROR(--VLOOKUP(LEFT(AT331,2),УГО_спр,4,FALSE),0)))))</f>
        <v>16</v>
      </c>
      <c r="EB331">
        <f>IF(D331="","",IFERROR(LOOKUP(INDEX(CHOOSE(BR331,Iдоп_1ж,Iдоп_2ж,Iдоп_3ж),MATCH(BS331,Iдоп_S,0))*BP331*BQ331,{6,10,16,20,25,32,40,50,63,80,100,125,160,200,250,315,400,500,630}),""))</f>
        <v>25</v>
      </c>
      <c r="EC331">
        <f>IF(AD331="","",SUMIFS(Линии[_Ток схемы],Линии[_гр.],DY331,Линии[Щит],A331,Линии[_в кабель выше],0))</f>
        <v>2.7399999999999998</v>
      </c>
      <c r="ED331">
        <f>IF(AD331="","",IFERROR(VLOOKUP(EC331,Автомат_номиналы,2,TRUE),""))</f>
        <v>6</v>
      </c>
      <c r="EE331">
        <f>IF(AD331="","",MAX(N(ED331),_xlfn.MAXIFS(Линии[_мин. по типу],Линии[_гр.],DY331,Линии[Щит],A331)))</f>
        <v>16</v>
      </c>
      <c r="EF331">
        <f>IF(AD331="","",_xlfn.MINIFS(Линии[_макс. автомат по кабелю],Линии[_гр.],DY331,Линии[Щит],A331))</f>
        <v>25</v>
      </c>
      <c r="EG331">
        <f>IF(AD331="","",MAX(1,_xlfn.MAXIFS(Линии[_фаз],Линии[_гр.],DY331,Линии[Щит],A331)))</f>
        <v>1</v>
      </c>
      <c r="EH331">
        <f>IF(AD331="","",IF(AND(AD331&lt;&gt;"авто",AD331&lt;&gt;"+"),IF(ISNUMBER(SEARCH("мА",AD331)),IFERROR(--TRIM(RIGHT(SUBSTITUTE(LEFT(AD331,SEARCH("мА",AD331)-1)," ",REPT(" ",9)),6)),30),0),IF(AE331="нет",0,IF(ISNUMBER(AE331),AE331,IF(AE331="да",30,_xlfn.MINIFS(Линии[_дифзащита по коду, мА],Линии[_гр.],DY331,Линии[Щит],A331,Линии[_дифзащита по коду, мА],"&gt;0"))))))</f>
        <v>0</v>
      </c>
      <c r="EI331">
        <f t="shared" si="484"/>
        <v>0</v>
      </c>
      <c r="EJ331" t="str">
        <f t="shared" si="485"/>
        <v>QF1</v>
      </c>
      <c r="EK331" t="str">
        <f t="shared" si="486"/>
        <v>QF1</v>
      </c>
      <c r="EL331" t="str">
        <f t="shared" si="487"/>
        <v/>
      </c>
      <c r="EM331">
        <f t="shared" si="488"/>
        <v>0</v>
      </c>
      <c r="EN331">
        <f>IF(AD331="","",IF(EM331=1,MAX(EE331,Мин_автомат_БП),EE331))</f>
        <v>16</v>
      </c>
      <c r="EO331" t="str">
        <f t="shared" si="489"/>
        <v>1P</v>
      </c>
      <c r="EP331" t="str">
        <f t="shared" si="490"/>
        <v>1P С16А</v>
      </c>
      <c r="EQ331">
        <f t="shared" si="491"/>
        <v>16</v>
      </c>
      <c r="ER331" t="str">
        <f>IF(OR(AI331="",AI331="-"),"",IFERROR(VLOOKUP(AI331,Модули_спр,2,FALSE),"R"))</f>
        <v/>
      </c>
      <c r="ES331" t="str">
        <f>IF(ER331="","",ER331&amp;"."&amp;COUNTIFS(A$3:A331,A331,ER$3:ER331,ER331))</f>
        <v/>
      </c>
      <c r="ET331" t="str">
        <f t="shared" si="492"/>
        <v/>
      </c>
      <c r="EU331" t="str">
        <f t="shared" si="493"/>
        <v/>
      </c>
      <c r="EV331" t="str">
        <f t="shared" si="494"/>
        <v/>
      </c>
      <c r="EW331" t="str">
        <f t="shared" si="495"/>
        <v/>
      </c>
      <c r="EX331">
        <f t="shared" si="496"/>
        <v>1</v>
      </c>
      <c r="EY331" t="str">
        <f>IF(AK331="нет","",IF(AK331&lt;&gt;"",AK331,IF(EX331=1,"XT"&amp;COUNTIFS(A$3:A331,A331,EX$3:EX331,1),"")))</f>
        <v>XT1</v>
      </c>
      <c r="EZ331" t="str">
        <f t="shared" si="497"/>
        <v>QF1</v>
      </c>
      <c r="FA331" t="str">
        <f t="shared" si="498"/>
        <v/>
      </c>
      <c r="FB331" t="str">
        <f t="shared" si="499"/>
        <v>ok</v>
      </c>
      <c r="FC331" t="str">
        <f>IF(OR(EV331="",ET331=""),"",IF(EV331&gt;IFERROR(VLOOKUP(EU331,Модули_спр,3,FALSE),99),"ЛИШНИЙ КАНАЛ",IF(AND(AJ331&lt;&gt;"=",COUNTIFS(Линии[_модуль гр.],ET331,Линии[Канал (итог)],EV331,Линии[Канал],"&lt;&gt;=",Линии[Щит],A331)&gt;1),"ДУБЛЬ КАНАЛА","")))</f>
        <v/>
      </c>
      <c r="FD331">
        <f t="shared" si="500"/>
        <v>16</v>
      </c>
      <c r="FE331" t="str">
        <f t="shared" si="501"/>
        <v>1P С16А</v>
      </c>
      <c r="FF331">
        <f t="shared" si="502"/>
        <v>0</v>
      </c>
      <c r="FG331">
        <f t="shared" si="503"/>
        <v>0</v>
      </c>
      <c r="FH331" t="str">
        <f t="shared" si="504"/>
        <v/>
      </c>
      <c r="FI331">
        <f t="shared" si="505"/>
        <v>10</v>
      </c>
      <c r="FJ331" t="str">
        <f t="shared" si="506"/>
        <v/>
      </c>
      <c r="FK331" t="str">
        <f>IF(AND(D331="",EZ331=""),"",_xlfn.TEXTJOIN("; ",TRUE,IF(AND(D331&lt;&gt;"",DD331=""),"нет фазы",""),IF(AND(D331&lt;&gt;"",N(DT331)=0,CN331&lt;&gt;"Нет"),"нет мощности",""),IF(AND(EY331&lt;&gt;"",COUNTIFS(Линии[Щит],A331,Линии[Клемма (итог)],EY331)&gt;1),"дубль клеммы "&amp;EY331,""),IF(AND(FB331&lt;&gt;"",FB331&lt;&gt;"ok"),FB331,""),IF(FC331&lt;&gt;"",FC331,""),IF(AND(ISNUMBER(SEARCH("(5х",DS331)),N(DV331)=1),"5 жил на 1 фазе",""),IF(AND(AT331="R",AD331&lt;&gt;"",OR(N(EH331)=0,N(EH331)&gt;30)),"розетка без дифзащиты до 30 мА",""),IFERROR(IF(AND(ISNUMBER(CD331),CD331&gt;CE331),"потери "&amp;FIXED(CD331,1)&amp;" % &gt; "&amp;CE331&amp;" %",""),""),IFERROR(IF(LEFT(FJ331,4)="мало","Iкз мало — отключение &gt; 0,4 с",""),""),IF(AND(D331&lt;&gt;"",BD331=""),"не на схеме","")))</f>
        <v/>
      </c>
      <c r="FL331">
        <f>IF(AD331="","",_xlfn.LET(_xlpm.t,IFERROR(_xlfn.XLOOKUP(EP331,Каталог!$U$4:$U$500,Каталог!$G$4:$G$500),""),_xlpm.k,SEARCH("кА",_xlpm.t),IFERROR(--TRIM(RIGHT(SUBSTITUTE(MID(_xlpm.t,MAX(1,_xlpm.k-4),_xlpm.k-MAX(1,_xlpm.k-4))," ",REPT(" ",9)),5)),"")))</f>
        <v>6</v>
      </c>
      <c r="FM331" t="str">
        <f>IF(OR(FL331="",AD331=""),"",IF(_xlfn.XLOOKUP(A331,Щиты[Щит],Щиты[Iкз max на шинах, кА],"")="","",IF(FL331&lt;_xlfn.XLOOKUP(A331,Щиты[Щит],Щиты[Iкз max на шинах, кА]),"Icu "&amp;FL331&amp;" кА &lt; Iкз max","ok")))</f>
        <v/>
      </c>
      <c r="FN331" t="str">
        <f t="shared" si="507"/>
        <v>QF1|XT1</v>
      </c>
      <c r="FO331" t="str">
        <f t="shared" si="508"/>
        <v>QF1|XT1|кабель ВВГнг(А)-LS (3х2,5) → Насос дренажный Подвальный этаж Пом. №006Т</v>
      </c>
      <c r="FP331" t="str" cm="1">
        <f t="array" ref="FP331">IF(FO331="","",_xlfn.LET(_xlpm.nd,_xlfn.TEXTSPLIT(FO331,"|"),IF(COLUMNS(_xlpm.nd)&gt;1,A331&amp;"¦"&amp;INDEX(_xlpm.nd,1)&amp;"¦"&amp;INDEX(_xlpm.nd,2),"")))</f>
        <v>ЩС-ВК.003¦QF1¦XT1</v>
      </c>
      <c r="FQ331" t="str">
        <f t="shared" si="509"/>
        <v>НВК.00.006Т.2¦Насос дренажный Подвальный этаж Пом. №006Т</v>
      </c>
      <c r="FR331" t="str" cm="1">
        <f t="array" ref="FR331">IF(FO331="","",_xlfn.LET(_xlpm.nd,_xlfn.TEXTSPLIT(FO331,"|"),IF(COLUMNS(_xlpm.nd)&gt;2,A331&amp;"¦"&amp;INDEX(_xlpm.nd,2)&amp;"¦"&amp;INDEX(_xlpm.nd,3),"")))</f>
        <v>ЩС-ВК.003¦XT1¦кабель ВВГнг(А)-LS (3х2,5) → Насос дренажный Подвальный этаж Пом. №006Т</v>
      </c>
      <c r="FS331" t="str">
        <f t="shared" si="510"/>
        <v>НВК.00.006Т.2¦Насос дренажный Подвальный этаж Пом. №006Т</v>
      </c>
      <c r="FT331" t="str" cm="1">
        <f t="array" ref="FT331">IF(FO331="","",_xlfn.LET(_xlpm.nd,_xlfn.TEXTSPLIT(FO331,"|"),IF(COLUMNS(_xlpm.nd)&gt;3,A331&amp;"¦"&amp;INDEX(_xlpm.nd,3)&amp;"¦"&amp;INDEX(_xlpm.nd,4),"")))</f>
        <v/>
      </c>
      <c r="FU331" t="str">
        <f t="shared" si="511"/>
        <v/>
      </c>
      <c r="FV331" t="str" cm="1">
        <f t="array" ref="FV331">IF(FO331="","",_xlfn.LET(_xlpm.nd,_xlfn.TEXTSPLIT(FO331,"|"),IF(COLUMNS(_xlpm.nd)&gt;4,A331&amp;"¦"&amp;INDEX(_xlpm.nd,4)&amp;"¦"&amp;INDEX(_xlpm.nd,5),"")))</f>
        <v/>
      </c>
      <c r="FW331" t="str">
        <f t="shared" si="512"/>
        <v/>
      </c>
      <c r="FX331" t="str" cm="1">
        <f t="array" ref="FX331">IF(FO331="","",_xlfn.LET(_xlpm.nd,_xlfn.TEXTSPLIT(FO331,"|"),IF(COLUMNS(_xlpm.nd)&gt;5,A331&amp;"¦"&amp;INDEX(_xlpm.nd,5)&amp;"¦"&amp;INDEX(_xlpm.nd,6),"")))</f>
        <v/>
      </c>
      <c r="FY331" t="str">
        <f t="shared" si="513"/>
        <v/>
      </c>
      <c r="FZ331" t="str" cm="1">
        <f t="array" ref="FZ331">IF(FO331="","",_xlfn.LET(_xlpm.nd,_xlfn.TEXTSPLIT(FO331,"|"),IF(COLUMNS(_xlpm.nd)&gt;6,A331&amp;"¦"&amp;INDEX(_xlpm.nd,6)&amp;"¦"&amp;INDEX(_xlpm.nd,7),"")))</f>
        <v/>
      </c>
      <c r="GA331" t="str">
        <f t="shared" si="514"/>
        <v/>
      </c>
      <c r="GB331" t="str">
        <f t="shared" si="515"/>
        <v/>
      </c>
      <c r="GC331" t="str">
        <f t="shared" si="516"/>
        <v>QF1 → XT1</v>
      </c>
      <c r="GD331">
        <f t="shared" si="517"/>
        <v>1</v>
      </c>
      <c r="GE331">
        <f t="shared" si="518"/>
        <v>0</v>
      </c>
      <c r="GF331">
        <f t="shared" si="519"/>
        <v>0</v>
      </c>
      <c r="GG331" t="str">
        <f t="shared" si="520"/>
        <v/>
      </c>
      <c r="GH331" t="str">
        <f t="shared" si="521"/>
        <v/>
      </c>
      <c r="GI331" t="str">
        <f t="shared" si="522"/>
        <v/>
      </c>
      <c r="GJ331" t="str">
        <f t="shared" si="523"/>
        <v/>
      </c>
      <c r="GK331">
        <f>IF(D331="","",IFERROR(VLOOKUP(D331,УГО_спр,2,FALSE),IFERROR(VLOOKUP(AT331,УГО_спр,2,FALSE),IFERROR(VLOOKUP(LEFT(AT331,2),УГО_спр,2,FALSE),""))))</f>
        <v>0</v>
      </c>
      <c r="GL331" t="str">
        <f>IF(D331="","",IF(OR(GK331="",GK331=0),"BOX",IFERROR(IF(VLOOKUP(GK331,УГО_блоки,3,FALSE)&amp;""&lt;&gt;"",VLOOKUP(GK331,УГО_блоки,3,FALSE),VLOOKUP(GK331,УГО_блоки,2,FALSE)),GK331)))</f>
        <v>BOX</v>
      </c>
      <c r="GM331">
        <f t="shared" si="524"/>
        <v>1</v>
      </c>
      <c r="GN331" t="str">
        <f>IF(EP331="","",IF(COUNTIF(EP$3:EP331,EP331)=1,MAX(GN$2:GN330)+1,""))</f>
        <v/>
      </c>
      <c r="GO331" t="str">
        <f>IF(AF331="","",IF(COUNTIF(AF$3:AF331,AF331)+COUNTIF(AG$2:AG330,AF331)+COUNTIF(AH$2:AH330,AF331)=1,MAX(GO$2:GQ330)+1,""))</f>
        <v/>
      </c>
      <c r="GP331" t="str">
        <f>IF(AG331="","",IF(COUNTIF(AF$3:AF331,AG331)+COUNTIF(AG$3:AG331,AG331)+COUNTIF(AH$2:AH330,AG331)=1,MAX(GO$2:GQ330,GO331)+1,""))</f>
        <v/>
      </c>
      <c r="GQ331" t="str">
        <f>IF(AH331="","",IF(COUNTIF(AF$3:AF331,AH331)+COUNTIF(AG$3:AG331,AH331)+COUNTIF(AH$3:AH331,AH331)=1,MAX(GO$2:GQ330,GO331,GP331)+1,""))</f>
        <v/>
      </c>
      <c r="GR331" t="str">
        <f t="shared" si="525"/>
        <v>3х2,5</v>
      </c>
      <c r="GS331" t="str">
        <f>IF(GR331="","",IF(COUNTIF(GR$3:GR331,GR331)=1,MAX(GS$2:GS330)+1,""))</f>
        <v/>
      </c>
      <c r="GT331" t="str">
        <f>IF(ES331="","",COUNTIF(ES$3:ES331,"?*"))</f>
        <v/>
      </c>
      <c r="GU331" t="str">
        <f>IF(OR(ES331="",EU331=""),"",IF(COUNTIFS(ES$3:ES331,"?*",EU$3:EU331,EU331)=1,MAX(GU$2:GU330)+1,""))</f>
        <v/>
      </c>
      <c r="GV331">
        <f t="shared" si="526"/>
        <v>0</v>
      </c>
      <c r="GW331">
        <f>IF(D331="","",COUNTIF(D$3:D331,"?*"))</f>
        <v>329</v>
      </c>
      <c r="GX331">
        <f>IF(EX331&lt;&gt;1,0,_xlfn.LET(_xlpm.k,MAX(IFERROR(--VLOOKUP(D331,УГО_спр,5,FALSE),0),IFERROR(--VLOOKUP(AT331,УГО_спр,5,FALSE),0),IFERROR(--VLOOKUP(LEFT(AT331,2),УГО_спр,5,FALSE),0)),IF(_xlpm.k&gt;0,_xlpm.k,IF(IFERROR(--LEFT(SUBSTITUTE(GR331,"x","х"),FIND("х",SUBSTITUTE(GR331,"x","х"))-1),3)&gt;3,Каталог!$S$9,1))))</f>
        <v>1</v>
      </c>
      <c r="GY331">
        <f t="shared" si="527"/>
        <v>0</v>
      </c>
    </row>
    <row r="332" spans="1:207" x14ac:dyDescent="0.3">
      <c r="A332" t="s">
        <v>772</v>
      </c>
      <c r="B332">
        <v>13</v>
      </c>
      <c r="C332" t="str">
        <f>IF(BD332="","",IF(BE332="вводной узел","узел ","")&amp;"л."&amp;(INT((BD332-1)/Столбцов_на_лист)+1)&amp;" / "&amp;(MOD(BD332-1,Столбцов_на_лист)+1))</f>
        <v>л.1 / 13</v>
      </c>
      <c r="D332" t="s">
        <v>1668</v>
      </c>
      <c r="E332" s="133" t="str">
        <f t="shared" si="440"/>
        <v>Насос дренажный Подвальный этаж Пом. №006Т</v>
      </c>
      <c r="G332">
        <v>0.6</v>
      </c>
      <c r="H332">
        <v>1</v>
      </c>
      <c r="I332">
        <v>1</v>
      </c>
      <c r="J332">
        <v>230</v>
      </c>
      <c r="K332" t="s">
        <v>602</v>
      </c>
      <c r="L332">
        <v>0.7</v>
      </c>
      <c r="O332">
        <v>3</v>
      </c>
      <c r="P332">
        <v>12</v>
      </c>
      <c r="Q332">
        <v>0</v>
      </c>
      <c r="R332">
        <v>11</v>
      </c>
      <c r="U332" t="s">
        <v>11</v>
      </c>
      <c r="V332">
        <v>3</v>
      </c>
      <c r="W332">
        <v>2.5</v>
      </c>
      <c r="X332">
        <v>16</v>
      </c>
      <c r="Z332" t="s">
        <v>608</v>
      </c>
      <c r="AA332" t="s">
        <v>818</v>
      </c>
      <c r="AD332" t="s">
        <v>517</v>
      </c>
      <c r="AR332" t="str">
        <f t="shared" si="441"/>
        <v/>
      </c>
      <c r="AS332" cm="1">
        <f t="array" ref="AS332">ROW()-ROW(Линии[#Headers])</f>
        <v>330</v>
      </c>
      <c r="AT332" t="str">
        <f t="shared" si="442"/>
        <v>НВК</v>
      </c>
      <c r="AU332" t="str">
        <f t="shared" si="443"/>
        <v>00.006Т.1</v>
      </c>
      <c r="AV332" t="str">
        <f t="shared" si="444"/>
        <v>00</v>
      </c>
      <c r="AW332" t="str">
        <f t="shared" si="445"/>
        <v>006Т.1</v>
      </c>
      <c r="AX332" t="str">
        <f t="shared" si="446"/>
        <v>006Т</v>
      </c>
      <c r="AY332" t="str">
        <f>IF(D332="","",IF(ISERROR(SEARCH(".",D332)),IFERROR(VLOOKUP(D332,Потребители_обозначение,2,FALSE)&amp;"",""),IFERROR(IF(VLOOKUP(AT332,Потребители_обозначение,4,FALSE)=1,VLOOKUP(AT332,Потребители_обозначение,2,FALSE)&amp;" "&amp;VLOOKUP(AV332,Этаж_обозначение,2,FALSE)&amp;" Пом. №"&amp;AX332,VLOOKUP(AT332,Потребители_обозначение,2,FALSE)&amp;" Шлейф №"&amp;AV332),IFERROR(VLOOKUP(D332,Потребители_обозначение,2,FALSE),""))))</f>
        <v>Насос дренажный Подвальный этаж Пом. №006Т</v>
      </c>
      <c r="AZ332" t="str">
        <f t="shared" si="447"/>
        <v>Насос дренажный Подвальный этаж Пом. №006Т</v>
      </c>
      <c r="BA332" t="str">
        <f>IF(F332&lt;&gt;"",F332,IF(AND(D332&lt;&gt;"",D332&lt;&gt;A332,ISNUMBER(_xlfn.XMATCH(D332,Щиты[Щит]))),D332,""))</f>
        <v/>
      </c>
      <c r="BB332">
        <f>IFERROR(_xlfn.XMATCH(A332,Щиты[Щит]),0)</f>
        <v>15</v>
      </c>
      <c r="BC332">
        <f>IFERROR(N(_xlfn.XLOOKUP(A332,Щиты[Щит],Щиты[Мест под вводной узел])),15)</f>
        <v>11</v>
      </c>
      <c r="BD332">
        <f t="shared" si="448"/>
        <v>13</v>
      </c>
      <c r="BE332" t="str">
        <f t="shared" si="449"/>
        <v>линии</v>
      </c>
      <c r="BF332">
        <f>IF(D332="","",IF(BA332&lt;&gt;"",IFERROR(_xlfn.XLOOKUP(BA332,Щиты[Щит],Щиты[Руст, кВт]),0),N(G332)))</f>
        <v>0.6</v>
      </c>
      <c r="BG332">
        <f>IF(J332&lt;&gt;"",J332,IF(D332="","",IFERROR(IF(VLOOKUP(AT332,Потребители_обозначение,8,FALSE)=0,"",VLOOKUP(AT332,Потребители_обозначение,8,FALSE)),"")))</f>
        <v>230</v>
      </c>
      <c r="BH332">
        <f>IF(I332&lt;&gt;"",I332,IF(D332="","",IFERROR(IF(VLOOKUP(AT332,Потребители_обозначение,9,FALSE)=0,"",VLOOKUP(AT332,Потребители_обозначение,9,FALSE)),"")))</f>
        <v>1</v>
      </c>
      <c r="BI332" t="str">
        <f>IF(U332&lt;&gt;"",U332,IF(D332="","",IFERROR(IF(VLOOKUP(AT332,Потребители_обозначение,6,FALSE)=0,"",VLOOKUP(AT332,Потребители_обозначение,6,FALSE)),"")))</f>
        <v>мс</v>
      </c>
      <c r="BJ332">
        <f>IF(V332&lt;&gt;"",V332,IF(D332="","",IFERROR(IF(VLOOKUP(AT332,Потребители_обозначение,7,FALSE)=0,"",VLOOKUP(AT332,Потребители_обозначение,7,FALSE)),"")))</f>
        <v>3</v>
      </c>
      <c r="BK332">
        <f>IF(W332&lt;&gt;"",W332,IF(D332="","",IFERROR(IF(VLOOKUP(AT332,Потребители_обозначение,10,FALSE)=0,"",VLOOKUP(AT332,Потребители_обозначение,10,FALSE)),"")))</f>
        <v>2.5</v>
      </c>
      <c r="BL332">
        <f>IFERROR(VLOOKUP(AT332,Потребители_обозначение,5,FALSE),0)</f>
        <v>1</v>
      </c>
      <c r="BM332" cm="1">
        <f t="array" ref="BM332">IF(D332="","",IF(BA332&lt;&gt;"",IFERROR(_xlfn.XLOOKUP(BA332,Щиты[Щит],Щиты[cos φ]),0.95),IF(ISNUMBER(M332),M332,IFERROR(IF(BL332=2,_xlfn.IFS(BH332=3,VLOOKUP(BF332,Справочная_двигатели,8,FALSE),BH332=1,VLOOKUP(BF332,Справочная_двигатели,10,TRUE)),IF(AND(Методика="нормы 2026",CN332="Сил"),0.8,0.95)),0.95))))</f>
        <v>0.95</v>
      </c>
      <c r="BN332" cm="1">
        <f t="array" ref="BN332">IF(D332="","",IF(BA332&lt;&gt;"",IFERROR(_xlfn.XLOOKUP(BA332,Щиты[Щит],Щиты[Iр, А]),""),IFERROR(_xlfn.IFS(BH332=1,BF332/((Uн_лин/SQRT(3))*BM332),BH332=3,BF332/(SQRT(3)*Uн_лин*BM332)),"")))</f>
        <v>2.7348170645824377</v>
      </c>
      <c r="BO332">
        <f>IF(D332="","",IF(N(X332)=0,IFERROR(VLOOKUP(BN332,Автомат_номиналы,2,TRUE),""),X332))</f>
        <v>16</v>
      </c>
      <c r="BP332">
        <f t="shared" si="450"/>
        <v>1</v>
      </c>
      <c r="BQ332">
        <f>IF(ISNUMBER(Y332),Y332,К_прокл)</f>
        <v>1</v>
      </c>
      <c r="BR332">
        <f t="shared" si="451"/>
        <v>2</v>
      </c>
      <c r="BS332" cm="1">
        <f t="array" ref="BS332">IF(D332="","",IF(N(BK332)&lt;&gt;0,BK332,IFERROR(_xlfn.LET(_xlpm.need,BO332/(BP332*BQ332),_xlpm.t,CHOOSE(BR332,Iдоп_1ж,Iдоп_2ж,Iдоп_3ж),_xlpm.k,_xlfn.XMATCH(_xlpm.need,_xlpm.t,1),IF(ISNA(_xlpm.k),"Не исп",INDEX(Iдоп_S,_xlpm.k))),"Не исп")))</f>
        <v>2.5</v>
      </c>
      <c r="BT332">
        <f>IFERROR(VLOOKUP(BS332,Кабель_сопротивление,3,FALSE),"")</f>
        <v>2.2499999999999999E-2</v>
      </c>
      <c r="BU332">
        <f>IFERROR(VLOOKUP(BS332,Кабель_сопротивление,2,FALSE),"")</f>
        <v>0.1</v>
      </c>
      <c r="BV332">
        <f t="shared" si="452"/>
        <v>12</v>
      </c>
      <c r="BW332">
        <f>IF(D332="","",IFERROR(IF(VLOOKUP(AT332,Потребители_обозначение,4,FALSE)=1,VLOOKUP(AT332,Потребители_обозначение,3,FALSE)*(H332*2-1)+BV332+VLOOKUP(AV332,Этаж_обозначение,3,FALSE)+VLOOKUP(AV332,Этаж_обозначение,4,FALSE),VLOOKUP(AT332,Потребители_обозначение,3,FALSE)*(H332*2-1)+BV332),BV332))</f>
        <v>15</v>
      </c>
      <c r="BX332">
        <f t="shared" si="453"/>
        <v>11</v>
      </c>
      <c r="BY332" t="str">
        <f t="shared" si="454"/>
        <v/>
      </c>
      <c r="BZ332">
        <f t="shared" si="455"/>
        <v>2</v>
      </c>
      <c r="CA332">
        <f t="shared" si="456"/>
        <v>0.31</v>
      </c>
      <c r="CB332">
        <f t="shared" si="457"/>
        <v>0.70402395693545672</v>
      </c>
      <c r="CC332">
        <f>IFERROR(ROUNDUP(CB332/((Uн_лин/SQRT(3))*1000)*100,2),"")</f>
        <v>0.31</v>
      </c>
      <c r="CD332">
        <f>IF(ISNUMBER(CC332),CC332+IFERROR(_xlfn.XLOOKUP(A332,Щиты[Щит],Щиты[ΔU до шин, %]),0),"")</f>
        <v>3.3899999999999997</v>
      </c>
      <c r="CE332">
        <f>IF(D332="","",IF(IFERROR(VLOOKUP(AT332,УГО_спр,2,FALSE),"")="Светильник",3,4)+IF(Методика="нормы 2026",MIN(0.5,MAX(0,N(BW332)-100)*0.005),0))</f>
        <v>4</v>
      </c>
      <c r="CF332" t="str">
        <f>IFERROR(VLOOKUP(BI332,Кабель_обозначение,2,FALSE),"")</f>
        <v>ВВГнг(А)-LS</v>
      </c>
      <c r="CG332" t="str">
        <f>IFERROR(IF(VLOOKUP(BI332,Кабель_обозначение,3,FALSE)=1,CF332&amp;" ("&amp;BJ332&amp;"х"&amp;BS332&amp;")",CF332),"")</f>
        <v>ВВГнг(А)-LS (3х2,5)</v>
      </c>
      <c r="CH332" t="str">
        <f t="shared" si="458"/>
        <v>ВВГнг(А)-LS (3х2,5)
L=15-0,31%</v>
      </c>
      <c r="CI332">
        <f>IFERROR(2*ρкз_Cu*BW332/BS332,"")</f>
        <v>0.31559999999999999</v>
      </c>
      <c r="CJ332">
        <f t="shared" si="459"/>
        <v>0.10500000000000001</v>
      </c>
      <c r="CK332" t="str">
        <f>IFERROR(IF(OR(D332="",NOT(ISNUMBER(BS332)),N(BW332)=0),"",_xlfn.XLOOKUP(A332,Щиты[Щит],Щиты[Zпетли на шинах, Ом])+CI332),"")</f>
        <v/>
      </c>
      <c r="CL332" t="str">
        <f>IF(ISNUMBER(CK332),c_min*(Uн_лин*1000/SQRT(3))/CK332,"")</f>
        <v/>
      </c>
      <c r="CM332" t="str">
        <f>IFERROR(IF(OR(D332="",NOT(ISNUMBER(BS332))),"",1.05*(Uн_лин*1000/SQRT(3))/(_xlfn.XLOOKUP(A332,Щиты[Щит],Щиты[Zmax на шинах, Ом])+CJ332)/1000),"")</f>
        <v/>
      </c>
      <c r="CN332" t="str">
        <f>IF(D332="","",IF(BA332&lt;&gt;"","Щит",IF(K332&lt;&gt;"",K332,IF(ISNUMBER(L332),"Сил",IF(IFERROR(_xlfn.XLOOKUP(AT332,Коды_код,Коды_группа)&amp;"","")="","Быт",_xlfn.XLOOKUP(AT332,Коды_код,Коды_группа)&amp;"")))))</f>
        <v>Сил</v>
      </c>
      <c r="CO332">
        <f>IF(CN332="Щит","щит",IF(CN332="","",IF(CN332="Быт",IFERROR(_xlfn.XLOOKUP(A332,Щиты[Щит],Щиты[Кс быт]),1),IF(CN332="Сил",IF(ISNUMBER(L332),L332,IF(Методика="нормы 2026",IFERROR(_xlfn.XLOOKUP(A332,Щиты[Щит],Щиты[Кс силовых (табл. 7.5)]),1),1)),IF(OR(CN332="Пост",CN332="Отоп"),1,IF(CN332="ВНГ",0.7,0))))))</f>
        <v>0.7</v>
      </c>
      <c r="CP332">
        <f t="shared" si="460"/>
        <v>1</v>
      </c>
      <c r="CQ332">
        <f t="shared" si="461"/>
        <v>0.6</v>
      </c>
      <c r="CR332">
        <f t="shared" si="462"/>
        <v>0</v>
      </c>
      <c r="CS332">
        <f t="shared" si="463"/>
        <v>0.42</v>
      </c>
      <c r="CT332">
        <f t="shared" si="464"/>
        <v>0</v>
      </c>
      <c r="CU332">
        <f t="shared" si="465"/>
        <v>0</v>
      </c>
      <c r="CV332">
        <f t="shared" si="466"/>
        <v>0</v>
      </c>
      <c r="CW332">
        <f t="shared" si="467"/>
        <v>0.6</v>
      </c>
      <c r="CX332">
        <f t="shared" si="468"/>
        <v>0.56999999999999995</v>
      </c>
      <c r="CY332">
        <f t="shared" si="469"/>
        <v>2</v>
      </c>
      <c r="CZ332" t="str">
        <f t="shared" si="470"/>
        <v>L2</v>
      </c>
      <c r="DA332" cm="1">
        <f t="array" ref="DA332">IFERROR(IF(BL332=2,_xlfn.IFS(BH332=3,VLOOKUP(BF332,Справочная_двигатели,3,FALSE),BH332=1,VLOOKUP(BF332,Справочная_двигатели,5,TRUE)),0),0)</f>
        <v>0</v>
      </c>
      <c r="DB332">
        <f>IFERROR(IF(BL332=3,VLOOKUP(BF332,Справочная_ЛЭД,2,TRUE),0),0)</f>
        <v>0</v>
      </c>
      <c r="DC332">
        <f t="shared" si="471"/>
        <v>0</v>
      </c>
      <c r="DD332" t="str">
        <f t="shared" si="472"/>
        <v>L3</v>
      </c>
      <c r="DE332" t="str" cm="1">
        <f t="array" ref="DE332">IF(D332="","",IFERROR(INDEX({"I особая","I","II","III"},MATCH(TRIM(AA332&amp;""),{"I особая","I","II","III"},0)),"III"))</f>
        <v>II</v>
      </c>
      <c r="DF332" t="str">
        <f>IF(D332="","",IF(TRIM(AB332&amp;"")&lt;&gt;"",IF(LOWER(TRIM(AB332&amp;""))="да","да","нет"),IF(IFERROR(_xlfn.XLOOKUP(AT332,Коды_код,Коды_пожарная),"")="да","да","нет")))</f>
        <v>нет</v>
      </c>
      <c r="DG332" t="str">
        <f t="shared" si="473"/>
        <v/>
      </c>
      <c r="DH332" t="str">
        <f t="shared" si="474"/>
        <v>основная</v>
      </c>
      <c r="DI332">
        <f t="shared" si="475"/>
        <v>1</v>
      </c>
      <c r="DJ332" t="str" cm="1">
        <f t="array" ref="DJ332">IF(D332="","",_xlfn.LET(_xlpm.t,IFERROR(_xlfn.XLOOKUP(1,(Шины[Шина]=DH332)*(((Шины[Щит]=A332)+(Шины[Щит]=""))&gt;0),Шины[Тип]),"")&amp;"",IF(_xlpm.t&lt;&gt;"",_xlpm.t,IF(ISNUMBER(SEARCH("ИБП",DH332)),"ИБП",IF(ISNUMBER(SEARCH("ДГУ",DH332)),"ДГУ","Ввод "&amp;DI332)))))</f>
        <v>Ввод 1</v>
      </c>
      <c r="DK332" t="str">
        <f t="shared" si="476"/>
        <v>Ввод 1</v>
      </c>
      <c r="DL332" t="str">
        <f>IF(D332="","",IF(OR(DJ332="ИБП",DJ332="ДГУ"),"I особая",IF(DJ332="Одиночная","III",_xlfn.XLOOKUP(A332,Щиты[Щит],Щиты[Категория шины «Ввод»],"III"))))</f>
        <v>II</v>
      </c>
      <c r="DM332">
        <f>IF(D332="",0,IFERROR(MATCH(DE332,{"III","II","I","I особая"},0),1))</f>
        <v>2</v>
      </c>
      <c r="DN332">
        <f t="shared" si="477"/>
        <v>2</v>
      </c>
      <c r="DO332" t="str">
        <f>IF(D332="","",IF(DM332&gt;IFERROR(MATCH(DL332,{"III","II","I","I особая"},0),1),"НЕ ОБЕСПЕЧЕНА","ОК"))</f>
        <v>ОК</v>
      </c>
      <c r="DP332" t="str">
        <f>IF(A332="","",_xlfn.XLOOKUP(A332,Щиты[Щит],Щиты[Путь],""))</f>
        <v>|ГРЩ-ЖД|ЩС-ВК.003|</v>
      </c>
      <c r="DQ332" t="str">
        <f>IF(D332="","",IF(Z332&lt;&gt;"",Z332,IF(IFERROR(_xlfn.XLOOKUP(AT332,Коды_код,Коды_вид)&amp;"","")="","Прочее",_xlfn.XLOOKUP(AT332,Коды_код,Коды_вид)&amp;"")))</f>
        <v>Насосы (водоснабжение, дренаж)</v>
      </c>
      <c r="DR332">
        <f>IF(BD332="","",INT((BD332-1)/Столбцов_на_лист)+1)</f>
        <v>1</v>
      </c>
      <c r="DS332" t="str">
        <f t="shared" si="478"/>
        <v>ВВГнг(А)-LS (3х2,5) L=15-0,31%</v>
      </c>
      <c r="DT332">
        <f t="shared" si="479"/>
        <v>0.6</v>
      </c>
      <c r="DU332">
        <f t="shared" si="480"/>
        <v>2.7399999999999998</v>
      </c>
      <c r="DV332">
        <f t="shared" si="481"/>
        <v>1</v>
      </c>
      <c r="DW332">
        <f>IF(AT332="",0,_xlfn.LET(_xlpm.v,IFERROR(VLOOKUP(D332,УГО_спр,3,FALSE),IFERROR(VLOOKUP(AT332,УГО_спр,3,FALSE),IFERROR(VLOOKUP(LEFT(AT332,2),УГО_спр,3,FALSE),""))),IF(_xlpm.v="да",30,IF(ISNUMBER(_xlpm.v),_xlpm.v,0))))</f>
        <v>0</v>
      </c>
      <c r="DX332">
        <f t="shared" si="482"/>
        <v>0</v>
      </c>
      <c r="DY332">
        <f>IF(BD332="","",IF(AD332&lt;&gt;"",COUNTIFS(A$3:A332,A332,AD$3:AD332,"?*"),IF(OR(OR(AS332=1,A332&lt;&gt;A331),AL332="вручную"),"",IF(AS332=1,"",DZ331))))</f>
        <v>2</v>
      </c>
      <c r="DZ332">
        <f t="shared" si="483"/>
        <v>2</v>
      </c>
      <c r="EA332">
        <f>IF(D332="",0,MAX(IFERROR(--X332,0),IFERROR(--VLOOKUP(D332,УГО_спр,4,FALSE),IFERROR(--VLOOKUP(AT332,УГО_спр,4,FALSE),IFERROR(--VLOOKUP(LEFT(AT332,2),УГО_спр,4,FALSE),0)))))</f>
        <v>16</v>
      </c>
      <c r="EB332">
        <f>IF(D332="","",IFERROR(LOOKUP(INDEX(CHOOSE(BR332,Iдоп_1ж,Iдоп_2ж,Iдоп_3ж),MATCH(BS332,Iдоп_S,0))*BP332*BQ332,{6,10,16,20,25,32,40,50,63,80,100,125,160,200,250,315,400,500,630}),""))</f>
        <v>25</v>
      </c>
      <c r="EC332">
        <f>IF(AD332="","",SUMIFS(Линии[_Ток схемы],Линии[_гр.],DY332,Линии[Щит],A332,Линии[_в кабель выше],0))</f>
        <v>2.7399999999999998</v>
      </c>
      <c r="ED332">
        <f>IF(AD332="","",IFERROR(VLOOKUP(EC332,Автомат_номиналы,2,TRUE),""))</f>
        <v>6</v>
      </c>
      <c r="EE332">
        <f>IF(AD332="","",MAX(N(ED332),_xlfn.MAXIFS(Линии[_мин. по типу],Линии[_гр.],DY332,Линии[Щит],A332)))</f>
        <v>16</v>
      </c>
      <c r="EF332">
        <f>IF(AD332="","",_xlfn.MINIFS(Линии[_макс. автомат по кабелю],Линии[_гр.],DY332,Линии[Щит],A332))</f>
        <v>25</v>
      </c>
      <c r="EG332">
        <f>IF(AD332="","",MAX(1,_xlfn.MAXIFS(Линии[_фаз],Линии[_гр.],DY332,Линии[Щит],A332)))</f>
        <v>1</v>
      </c>
      <c r="EH332">
        <f>IF(AD332="","",IF(AND(AD332&lt;&gt;"авто",AD332&lt;&gt;"+"),IF(ISNUMBER(SEARCH("мА",AD332)),IFERROR(--TRIM(RIGHT(SUBSTITUTE(LEFT(AD332,SEARCH("мА",AD332)-1)," ",REPT(" ",9)),6)),30),0),IF(AE332="нет",0,IF(ISNUMBER(AE332),AE332,IF(AE332="да",30,_xlfn.MINIFS(Линии[_дифзащита по коду, мА],Линии[_гр.],DY332,Линии[Щит],A332,Линии[_дифзащита по коду, мА],"&gt;0"))))))</f>
        <v>0</v>
      </c>
      <c r="EI332">
        <f t="shared" si="484"/>
        <v>0</v>
      </c>
      <c r="EJ332" t="str">
        <f t="shared" si="485"/>
        <v>QF2</v>
      </c>
      <c r="EK332" t="str">
        <f t="shared" si="486"/>
        <v>QF2</v>
      </c>
      <c r="EL332" t="str">
        <f t="shared" si="487"/>
        <v/>
      </c>
      <c r="EM332">
        <f t="shared" si="488"/>
        <v>0</v>
      </c>
      <c r="EN332">
        <f>IF(AD332="","",IF(EM332=1,MAX(EE332,Мин_автомат_БП),EE332))</f>
        <v>16</v>
      </c>
      <c r="EO332" t="str">
        <f t="shared" si="489"/>
        <v>1P</v>
      </c>
      <c r="EP332" t="str">
        <f t="shared" si="490"/>
        <v>1P С16А</v>
      </c>
      <c r="EQ332">
        <f t="shared" si="491"/>
        <v>16</v>
      </c>
      <c r="ER332" t="str">
        <f>IF(OR(AI332="",AI332="-"),"",IFERROR(VLOOKUP(AI332,Модули_спр,2,FALSE),"R"))</f>
        <v/>
      </c>
      <c r="ES332" t="str">
        <f>IF(ER332="","",ER332&amp;"."&amp;COUNTIFS(A$3:A332,A332,ER$3:ER332,ER332))</f>
        <v/>
      </c>
      <c r="ET332" t="str">
        <f t="shared" si="492"/>
        <v/>
      </c>
      <c r="EU332" t="str">
        <f t="shared" si="493"/>
        <v/>
      </c>
      <c r="EV332" t="str">
        <f t="shared" si="494"/>
        <v/>
      </c>
      <c r="EW332" t="str">
        <f t="shared" si="495"/>
        <v/>
      </c>
      <c r="EX332">
        <f t="shared" si="496"/>
        <v>1</v>
      </c>
      <c r="EY332" t="str">
        <f>IF(AK332="нет","",IF(AK332&lt;&gt;"",AK332,IF(EX332=1,"XT"&amp;COUNTIFS(A$3:A332,A332,EX$3:EX332,1),"")))</f>
        <v>XT2</v>
      </c>
      <c r="EZ332" t="str">
        <f t="shared" si="497"/>
        <v>QF2</v>
      </c>
      <c r="FA332" t="str">
        <f t="shared" si="498"/>
        <v/>
      </c>
      <c r="FB332" t="str">
        <f t="shared" si="499"/>
        <v>ok</v>
      </c>
      <c r="FC332" t="str">
        <f>IF(OR(EV332="",ET332=""),"",IF(EV332&gt;IFERROR(VLOOKUP(EU332,Модули_спр,3,FALSE),99),"ЛИШНИЙ КАНАЛ",IF(AND(AJ332&lt;&gt;"=",COUNTIFS(Линии[_модуль гр.],ET332,Линии[Канал (итог)],EV332,Линии[Канал],"&lt;&gt;=",Линии[Щит],A332)&gt;1),"ДУБЛЬ КАНАЛА","")))</f>
        <v/>
      </c>
      <c r="FD332">
        <f t="shared" si="500"/>
        <v>16</v>
      </c>
      <c r="FE332" t="str">
        <f t="shared" si="501"/>
        <v>1P С16А</v>
      </c>
      <c r="FF332">
        <f t="shared" si="502"/>
        <v>0</v>
      </c>
      <c r="FG332">
        <f t="shared" si="503"/>
        <v>0</v>
      </c>
      <c r="FH332" t="str">
        <f t="shared" si="504"/>
        <v/>
      </c>
      <c r="FI332">
        <f t="shared" si="505"/>
        <v>10</v>
      </c>
      <c r="FJ332" t="str">
        <f t="shared" si="506"/>
        <v/>
      </c>
      <c r="FK332" t="str">
        <f>IF(AND(D332="",EZ332=""),"",_xlfn.TEXTJOIN("; ",TRUE,IF(AND(D332&lt;&gt;"",DD332=""),"нет фазы",""),IF(AND(D332&lt;&gt;"",N(DT332)=0,CN332&lt;&gt;"Нет"),"нет мощности",""),IF(AND(EY332&lt;&gt;"",COUNTIFS(Линии[Щит],A332,Линии[Клемма (итог)],EY332)&gt;1),"дубль клеммы "&amp;EY332,""),IF(AND(FB332&lt;&gt;"",FB332&lt;&gt;"ok"),FB332,""),IF(FC332&lt;&gt;"",FC332,""),IF(AND(ISNUMBER(SEARCH("(5х",DS332)),N(DV332)=1),"5 жил на 1 фазе",""),IF(AND(AT332="R",AD332&lt;&gt;"",OR(N(EH332)=0,N(EH332)&gt;30)),"розетка без дифзащиты до 30 мА",""),IFERROR(IF(AND(ISNUMBER(CD332),CD332&gt;CE332),"потери "&amp;FIXED(CD332,1)&amp;" % &gt; "&amp;CE332&amp;" %",""),""),IFERROR(IF(LEFT(FJ332,4)="мало","Iкз мало — отключение &gt; 0,4 с",""),""),IF(AND(D332&lt;&gt;"",BD332=""),"не на схеме","")))</f>
        <v/>
      </c>
      <c r="FL332">
        <f>IF(AD332="","",_xlfn.LET(_xlpm.t,IFERROR(_xlfn.XLOOKUP(EP332,Каталог!$U$4:$U$500,Каталог!$G$4:$G$500),""),_xlpm.k,SEARCH("кА",_xlpm.t),IFERROR(--TRIM(RIGHT(SUBSTITUTE(MID(_xlpm.t,MAX(1,_xlpm.k-4),_xlpm.k-MAX(1,_xlpm.k-4))," ",REPT(" ",9)),5)),"")))</f>
        <v>6</v>
      </c>
      <c r="FM332" t="str">
        <f>IF(OR(FL332="",AD332=""),"",IF(_xlfn.XLOOKUP(A332,Щиты[Щит],Щиты[Iкз max на шинах, кА],"")="","",IF(FL332&lt;_xlfn.XLOOKUP(A332,Щиты[Щит],Щиты[Iкз max на шинах, кА]),"Icu "&amp;FL332&amp;" кА &lt; Iкз max","ok")))</f>
        <v/>
      </c>
      <c r="FN332" t="str">
        <f t="shared" si="507"/>
        <v>QF2|XT2</v>
      </c>
      <c r="FO332" t="str">
        <f t="shared" si="508"/>
        <v>QF2|XT2|кабель ВВГнг(А)-LS (3х2,5) → Насос дренажный Подвальный этаж Пом. №006Т</v>
      </c>
      <c r="FP332" t="str" cm="1">
        <f t="array" ref="FP332">IF(FO332="","",_xlfn.LET(_xlpm.nd,_xlfn.TEXTSPLIT(FO332,"|"),IF(COLUMNS(_xlpm.nd)&gt;1,A332&amp;"¦"&amp;INDEX(_xlpm.nd,1)&amp;"¦"&amp;INDEX(_xlpm.nd,2),"")))</f>
        <v>ЩС-ВК.003¦QF2¦XT2</v>
      </c>
      <c r="FQ332" t="str">
        <f t="shared" si="509"/>
        <v>НВК.00.006Т.1¦Насос дренажный Подвальный этаж Пом. №006Т</v>
      </c>
      <c r="FR332" t="str" cm="1">
        <f t="array" ref="FR332">IF(FO332="","",_xlfn.LET(_xlpm.nd,_xlfn.TEXTSPLIT(FO332,"|"),IF(COLUMNS(_xlpm.nd)&gt;2,A332&amp;"¦"&amp;INDEX(_xlpm.nd,2)&amp;"¦"&amp;INDEX(_xlpm.nd,3),"")))</f>
        <v>ЩС-ВК.003¦XT2¦кабель ВВГнг(А)-LS (3х2,5) → Насос дренажный Подвальный этаж Пом. №006Т</v>
      </c>
      <c r="FS332" t="str">
        <f t="shared" si="510"/>
        <v>НВК.00.006Т.1¦Насос дренажный Подвальный этаж Пом. №006Т</v>
      </c>
      <c r="FT332" t="str" cm="1">
        <f t="array" ref="FT332">IF(FO332="","",_xlfn.LET(_xlpm.nd,_xlfn.TEXTSPLIT(FO332,"|"),IF(COLUMNS(_xlpm.nd)&gt;3,A332&amp;"¦"&amp;INDEX(_xlpm.nd,3)&amp;"¦"&amp;INDEX(_xlpm.nd,4),"")))</f>
        <v/>
      </c>
      <c r="FU332" t="str">
        <f t="shared" si="511"/>
        <v/>
      </c>
      <c r="FV332" t="str" cm="1">
        <f t="array" ref="FV332">IF(FO332="","",_xlfn.LET(_xlpm.nd,_xlfn.TEXTSPLIT(FO332,"|"),IF(COLUMNS(_xlpm.nd)&gt;4,A332&amp;"¦"&amp;INDEX(_xlpm.nd,4)&amp;"¦"&amp;INDEX(_xlpm.nd,5),"")))</f>
        <v/>
      </c>
      <c r="FW332" t="str">
        <f t="shared" si="512"/>
        <v/>
      </c>
      <c r="FX332" t="str" cm="1">
        <f t="array" ref="FX332">IF(FO332="","",_xlfn.LET(_xlpm.nd,_xlfn.TEXTSPLIT(FO332,"|"),IF(COLUMNS(_xlpm.nd)&gt;5,A332&amp;"¦"&amp;INDEX(_xlpm.nd,5)&amp;"¦"&amp;INDEX(_xlpm.nd,6),"")))</f>
        <v/>
      </c>
      <c r="FY332" t="str">
        <f t="shared" si="513"/>
        <v/>
      </c>
      <c r="FZ332" t="str" cm="1">
        <f t="array" ref="FZ332">IF(FO332="","",_xlfn.LET(_xlpm.nd,_xlfn.TEXTSPLIT(FO332,"|"),IF(COLUMNS(_xlpm.nd)&gt;6,A332&amp;"¦"&amp;INDEX(_xlpm.nd,6)&amp;"¦"&amp;INDEX(_xlpm.nd,7),"")))</f>
        <v/>
      </c>
      <c r="GA332" t="str">
        <f t="shared" si="514"/>
        <v/>
      </c>
      <c r="GB332" t="str">
        <f t="shared" si="515"/>
        <v/>
      </c>
      <c r="GC332" t="str">
        <f t="shared" si="516"/>
        <v>QF2 → XT2</v>
      </c>
      <c r="GD332">
        <f t="shared" si="517"/>
        <v>1</v>
      </c>
      <c r="GE332">
        <f t="shared" si="518"/>
        <v>0</v>
      </c>
      <c r="GF332">
        <f t="shared" si="519"/>
        <v>0</v>
      </c>
      <c r="GG332" t="str">
        <f t="shared" si="520"/>
        <v/>
      </c>
      <c r="GH332" t="str">
        <f t="shared" si="521"/>
        <v/>
      </c>
      <c r="GI332" t="str">
        <f t="shared" si="522"/>
        <v/>
      </c>
      <c r="GJ332" t="str">
        <f t="shared" si="523"/>
        <v/>
      </c>
      <c r="GK332">
        <f>IF(D332="","",IFERROR(VLOOKUP(D332,УГО_спр,2,FALSE),IFERROR(VLOOKUP(AT332,УГО_спр,2,FALSE),IFERROR(VLOOKUP(LEFT(AT332,2),УГО_спр,2,FALSE),""))))</f>
        <v>0</v>
      </c>
      <c r="GL332" t="str">
        <f>IF(D332="","",IF(OR(GK332="",GK332=0),"BOX",IFERROR(IF(VLOOKUP(GK332,УГО_блоки,3,FALSE)&amp;""&lt;&gt;"",VLOOKUP(GK332,УГО_блоки,3,FALSE),VLOOKUP(GK332,УГО_блоки,2,FALSE)),GK332)))</f>
        <v>BOX</v>
      </c>
      <c r="GM332">
        <f t="shared" si="524"/>
        <v>1</v>
      </c>
      <c r="GN332" t="str">
        <f>IF(EP332="","",IF(COUNTIF(EP$3:EP332,EP332)=1,MAX(GN$2:GN331)+1,""))</f>
        <v/>
      </c>
      <c r="GO332" t="str">
        <f>IF(AF332="","",IF(COUNTIF(AF$3:AF332,AF332)+COUNTIF(AG$2:AG331,AF332)+COUNTIF(AH$2:AH331,AF332)=1,MAX(GO$2:GQ331)+1,""))</f>
        <v/>
      </c>
      <c r="GP332" t="str">
        <f>IF(AG332="","",IF(COUNTIF(AF$3:AF332,AG332)+COUNTIF(AG$3:AG332,AG332)+COUNTIF(AH$2:AH331,AG332)=1,MAX(GO$2:GQ331,GO332)+1,""))</f>
        <v/>
      </c>
      <c r="GQ332" t="str">
        <f>IF(AH332="","",IF(COUNTIF(AF$3:AF332,AH332)+COUNTIF(AG$3:AG332,AH332)+COUNTIF(AH$3:AH332,AH332)=1,MAX(GO$2:GQ331,GO332,GP332)+1,""))</f>
        <v/>
      </c>
      <c r="GR332" t="str">
        <f t="shared" si="525"/>
        <v>3х2,5</v>
      </c>
      <c r="GS332" t="str">
        <f>IF(GR332="","",IF(COUNTIF(GR$3:GR332,GR332)=1,MAX(GS$2:GS331)+1,""))</f>
        <v/>
      </c>
      <c r="GT332" t="str">
        <f>IF(ES332="","",COUNTIF(ES$3:ES332,"?*"))</f>
        <v/>
      </c>
      <c r="GU332" t="str">
        <f>IF(OR(ES332="",EU332=""),"",IF(COUNTIFS(ES$3:ES332,"?*",EU$3:EU332,EU332)=1,MAX(GU$2:GU331)+1,""))</f>
        <v/>
      </c>
      <c r="GV332">
        <f t="shared" si="526"/>
        <v>0</v>
      </c>
      <c r="GW332">
        <f>IF(D332="","",COUNTIF(D$3:D332,"?*"))</f>
        <v>330</v>
      </c>
      <c r="GX332">
        <f>IF(EX332&lt;&gt;1,0,_xlfn.LET(_xlpm.k,MAX(IFERROR(--VLOOKUP(D332,УГО_спр,5,FALSE),0),IFERROR(--VLOOKUP(AT332,УГО_спр,5,FALSE),0),IFERROR(--VLOOKUP(LEFT(AT332,2),УГО_спр,5,FALSE),0)),IF(_xlpm.k&gt;0,_xlpm.k,IF(IFERROR(--LEFT(SUBSTITUTE(GR332,"x","х"),FIND("х",SUBSTITUTE(GR332,"x","х"))-1),3)&gt;3,Каталог!$S$9,1))))</f>
        <v>1</v>
      </c>
      <c r="GY332">
        <f t="shared" si="527"/>
        <v>0</v>
      </c>
    </row>
    <row r="333" spans="1:207" x14ac:dyDescent="0.3">
      <c r="A333" t="s">
        <v>772</v>
      </c>
      <c r="B333">
        <v>14</v>
      </c>
      <c r="C333" t="str">
        <f>IF(BD333="","",IF(BE333="вводной узел","узел ","")&amp;"л."&amp;(INT((BD333-1)/Столбцов_на_лист)+1)&amp;" / "&amp;(MOD(BD333-1,Столбцов_на_лист)+1))</f>
        <v>л.1 / 14</v>
      </c>
      <c r="D333" t="s">
        <v>1669</v>
      </c>
      <c r="E333" s="133" t="s">
        <v>1670</v>
      </c>
      <c r="G333">
        <v>2.5</v>
      </c>
      <c r="H333">
        <v>1</v>
      </c>
      <c r="I333">
        <v>1</v>
      </c>
      <c r="J333">
        <v>230</v>
      </c>
      <c r="K333" t="s">
        <v>602</v>
      </c>
      <c r="L333">
        <v>0.7</v>
      </c>
      <c r="O333">
        <v>3</v>
      </c>
      <c r="P333">
        <v>9</v>
      </c>
      <c r="Q333">
        <v>0</v>
      </c>
      <c r="R333">
        <v>9</v>
      </c>
      <c r="S333">
        <v>0</v>
      </c>
      <c r="U333" t="s">
        <v>11</v>
      </c>
      <c r="V333">
        <v>3</v>
      </c>
      <c r="W333">
        <v>2.5</v>
      </c>
      <c r="X333">
        <v>16</v>
      </c>
      <c r="Z333" t="s">
        <v>608</v>
      </c>
      <c r="AA333" t="s">
        <v>818</v>
      </c>
      <c r="AD333" t="s">
        <v>517</v>
      </c>
      <c r="AR333" t="str">
        <f t="shared" si="441"/>
        <v>потери 4,1 % &gt; 4 %</v>
      </c>
      <c r="AS333" cm="1">
        <f t="array" ref="AS333">ROW()-ROW(Линии[#Headers])</f>
        <v>331</v>
      </c>
      <c r="AT333" t="str">
        <f t="shared" si="442"/>
        <v>ЖУ</v>
      </c>
      <c r="AU333" t="str">
        <f t="shared" si="443"/>
        <v>1</v>
      </c>
      <c r="AV333" t="str">
        <f t="shared" si="444"/>
        <v>1</v>
      </c>
      <c r="AW333" t="str">
        <f t="shared" si="445"/>
        <v/>
      </c>
      <c r="AX333" t="str">
        <f t="shared" si="446"/>
        <v/>
      </c>
      <c r="AY333" t="str">
        <f>IF(D333="","",IF(ISERROR(SEARCH(".",D333)),IFERROR(VLOOKUP(D333,Потребители_обозначение,2,FALSE)&amp;"",""),IFERROR(IF(VLOOKUP(AT333,Потребители_обозначение,4,FALSE)=1,VLOOKUP(AT333,Потребители_обозначение,2,FALSE)&amp;" "&amp;VLOOKUP(AV333,Этаж_обозначение,2,FALSE)&amp;" Пом. №"&amp;AX333,VLOOKUP(AT333,Потребители_обозначение,2,FALSE)&amp;" Шлейф №"&amp;AV333),IFERROR(VLOOKUP(D333,Потребители_обозначение,2,FALSE),""))))</f>
        <v>Жироулавливатель Первый этаж Пом. №</v>
      </c>
      <c r="AZ333" t="str">
        <f t="shared" si="447"/>
        <v>Жироулавливатель Подвальный этаж Пом. №006Т</v>
      </c>
      <c r="BA333" t="str">
        <f>IF(F333&lt;&gt;"",F333,IF(AND(D333&lt;&gt;"",D333&lt;&gt;A333,ISNUMBER(_xlfn.XMATCH(D333,Щиты[Щит]))),D333,""))</f>
        <v/>
      </c>
      <c r="BB333">
        <f>IFERROR(_xlfn.XMATCH(A333,Щиты[Щит]),0)</f>
        <v>15</v>
      </c>
      <c r="BC333">
        <f>IFERROR(N(_xlfn.XLOOKUP(A333,Щиты[Щит],Щиты[Мест под вводной узел])),15)</f>
        <v>11</v>
      </c>
      <c r="BD333">
        <f t="shared" si="448"/>
        <v>14</v>
      </c>
      <c r="BE333" t="str">
        <f t="shared" si="449"/>
        <v>линии</v>
      </c>
      <c r="BF333">
        <f>IF(D333="","",IF(BA333&lt;&gt;"",IFERROR(_xlfn.XLOOKUP(BA333,Щиты[Щит],Щиты[Руст, кВт]),0),N(G333)))</f>
        <v>2.5</v>
      </c>
      <c r="BG333">
        <f>IF(J333&lt;&gt;"",J333,IF(D333="","",IFERROR(IF(VLOOKUP(AT333,Потребители_обозначение,8,FALSE)=0,"",VLOOKUP(AT333,Потребители_обозначение,8,FALSE)),"")))</f>
        <v>230</v>
      </c>
      <c r="BH333">
        <f>IF(I333&lt;&gt;"",I333,IF(D333="","",IFERROR(IF(VLOOKUP(AT333,Потребители_обозначение,9,FALSE)=0,"",VLOOKUP(AT333,Потребители_обозначение,9,FALSE)),"")))</f>
        <v>1</v>
      </c>
      <c r="BI333" t="str">
        <f>IF(U333&lt;&gt;"",U333,IF(D333="","",IFERROR(IF(VLOOKUP(AT333,Потребители_обозначение,6,FALSE)=0,"",VLOOKUP(AT333,Потребители_обозначение,6,FALSE)),"")))</f>
        <v>мс</v>
      </c>
      <c r="BJ333">
        <f>IF(V333&lt;&gt;"",V333,IF(D333="","",IFERROR(IF(VLOOKUP(AT333,Потребители_обозначение,7,FALSE)=0,"",VLOOKUP(AT333,Потребители_обозначение,7,FALSE)),"")))</f>
        <v>3</v>
      </c>
      <c r="BK333">
        <f>IF(W333&lt;&gt;"",W333,IF(D333="","",IFERROR(IF(VLOOKUP(AT333,Потребители_обозначение,10,FALSE)=0,"",VLOOKUP(AT333,Потребители_обозначение,10,FALSE)),"")))</f>
        <v>2.5</v>
      </c>
      <c r="BL333">
        <f>IFERROR(VLOOKUP(AT333,Потребители_обозначение,5,FALSE),0)</f>
        <v>1</v>
      </c>
      <c r="BM333" cm="1">
        <f t="array" ref="BM333">IF(D333="","",IF(BA333&lt;&gt;"",IFERROR(_xlfn.XLOOKUP(BA333,Щиты[Щит],Щиты[cos φ]),0.95),IF(ISNUMBER(M333),M333,IFERROR(IF(BL333=2,_xlfn.IFS(BH333=3,VLOOKUP(BF333,Справочная_двигатели,8,FALSE),BH333=1,VLOOKUP(BF333,Справочная_двигатели,10,TRUE)),IF(AND(Методика="нормы 2026",CN333="Сил"),0.8,0.95)),0.95))))</f>
        <v>0.95</v>
      </c>
      <c r="BN333" cm="1">
        <f t="array" ref="BN333">IF(D333="","",IF(BA333&lt;&gt;"",IFERROR(_xlfn.XLOOKUP(BA333,Щиты[Щит],Щиты[Iр, А]),""),IFERROR(_xlfn.IFS(BH333=1,BF333/((Uн_лин/SQRT(3))*BM333),BH333=3,BF333/(SQRT(3)*Uн_лин*BM333)),"")))</f>
        <v>11.395071102426824</v>
      </c>
      <c r="BO333">
        <f>IF(D333="","",IF(N(X333)=0,IFERROR(VLOOKUP(BN333,Автомат_номиналы,2,TRUE),""),X333))</f>
        <v>16</v>
      </c>
      <c r="BP333">
        <f t="shared" si="450"/>
        <v>1</v>
      </c>
      <c r="BQ333">
        <f>IF(ISNUMBER(Y333),Y333,К_прокл)</f>
        <v>1</v>
      </c>
      <c r="BR333">
        <f t="shared" si="451"/>
        <v>2</v>
      </c>
      <c r="BS333" cm="1">
        <f t="array" ref="BS333">IF(D333="","",IF(N(BK333)&lt;&gt;0,BK333,IFERROR(_xlfn.LET(_xlpm.need,BO333/(BP333*BQ333),_xlpm.t,CHOOSE(BR333,Iдоп_1ж,Iдоп_2ж,Iдоп_3ж),_xlpm.k,_xlfn.XMATCH(_xlpm.need,_xlpm.t,1),IF(ISNA(_xlpm.k),"Не исп",INDEX(Iдоп_S,_xlpm.k))),"Не исп")))</f>
        <v>2.5</v>
      </c>
      <c r="BT333">
        <f>IFERROR(VLOOKUP(BS333,Кабель_сопротивление,3,FALSE),"")</f>
        <v>2.2499999999999999E-2</v>
      </c>
      <c r="BU333">
        <f>IFERROR(VLOOKUP(BS333,Кабель_сопротивление,2,FALSE),"")</f>
        <v>0.1</v>
      </c>
      <c r="BV333">
        <f t="shared" si="452"/>
        <v>9</v>
      </c>
      <c r="BW333">
        <f>IF(D333="","",IFERROR(IF(VLOOKUP(AT333,Потребители_обозначение,4,FALSE)=1,VLOOKUP(AT333,Потребители_обозначение,3,FALSE)*(H333*2-1)+BV333+VLOOKUP(AV333,Этаж_обозначение,3,FALSE)+VLOOKUP(AV333,Этаж_обозначение,4,FALSE),VLOOKUP(AT333,Потребители_обозначение,3,FALSE)*(H333*2-1)+BV333),BV333))</f>
        <v>12</v>
      </c>
      <c r="BX333">
        <f t="shared" si="453"/>
        <v>9</v>
      </c>
      <c r="BY333">
        <f t="shared" si="454"/>
        <v>0</v>
      </c>
      <c r="BZ333">
        <f t="shared" si="455"/>
        <v>2</v>
      </c>
      <c r="CA333">
        <f t="shared" si="456"/>
        <v>0.31</v>
      </c>
      <c r="CB333">
        <f t="shared" si="457"/>
        <v>2.3467465231181901</v>
      </c>
      <c r="CC333">
        <f>IFERROR(ROUNDUP(CB333/((Uн_лин/SQRT(3))*1000)*100,2),"")</f>
        <v>1.02</v>
      </c>
      <c r="CD333">
        <f>IF(ISNUMBER(CC333),CC333+IFERROR(_xlfn.XLOOKUP(A333,Щиты[Щит],Щиты[ΔU до шин, %]),0),"")</f>
        <v>4.0999999999999996</v>
      </c>
      <c r="CE333">
        <f>IF(D333="","",IF(IFERROR(VLOOKUP(AT333,УГО_спр,2,FALSE),"")="Светильник",3,4)+IF(Методика="нормы 2026",MIN(0.5,MAX(0,N(BW333)-100)*0.005),0))</f>
        <v>4</v>
      </c>
      <c r="CF333" t="str">
        <f>IFERROR(VLOOKUP(BI333,Кабель_обозначение,2,FALSE),"")</f>
        <v>ВВГнг(А)-LS</v>
      </c>
      <c r="CG333" t="str">
        <f>IFERROR(IF(VLOOKUP(BI333,Кабель_обозначение,3,FALSE)=1,CF333&amp;" ("&amp;BJ333&amp;"х"&amp;BS333&amp;")",CF333),"")</f>
        <v>ВВГнг(А)-LS (3х2,5)</v>
      </c>
      <c r="CH333" t="str">
        <f t="shared" si="458"/>
        <v>ВВГнг(А)-LS (3х2,5)
L=12-1,02%</v>
      </c>
      <c r="CI333">
        <f>IFERROR(2*ρкз_Cu*BW333/BS333,"")</f>
        <v>0.25247999999999998</v>
      </c>
      <c r="CJ333">
        <f t="shared" si="459"/>
        <v>8.4000000000000005E-2</v>
      </c>
      <c r="CK333" t="str">
        <f>IFERROR(IF(OR(D333="",NOT(ISNUMBER(BS333)),N(BW333)=0),"",_xlfn.XLOOKUP(A333,Щиты[Щит],Щиты[Zпетли на шинах, Ом])+CI333),"")</f>
        <v/>
      </c>
      <c r="CL333" t="str">
        <f>IF(ISNUMBER(CK333),c_min*(Uн_лин*1000/SQRT(3))/CK333,"")</f>
        <v/>
      </c>
      <c r="CM333" t="str">
        <f>IFERROR(IF(OR(D333="",NOT(ISNUMBER(BS333))),"",1.05*(Uн_лин*1000/SQRT(3))/(_xlfn.XLOOKUP(A333,Щиты[Щит],Щиты[Zmax на шинах, Ом])+CJ333)/1000),"")</f>
        <v/>
      </c>
      <c r="CN333" t="str">
        <f>IF(D333="","",IF(BA333&lt;&gt;"","Щит",IF(K333&lt;&gt;"",K333,IF(ISNUMBER(L333),"Сил",IF(IFERROR(_xlfn.XLOOKUP(AT333,Коды_код,Коды_группа)&amp;"","")="","Быт",_xlfn.XLOOKUP(AT333,Коды_код,Коды_группа)&amp;"")))))</f>
        <v>Сил</v>
      </c>
      <c r="CO333">
        <f>IF(CN333="Щит","щит",IF(CN333="","",IF(CN333="Быт",IFERROR(_xlfn.XLOOKUP(A333,Щиты[Щит],Щиты[Кс быт]),1),IF(CN333="Сил",IF(ISNUMBER(L333),L333,IF(Методика="нормы 2026",IFERROR(_xlfn.XLOOKUP(A333,Щиты[Щит],Щиты[Кс силовых (табл. 7.5)]),1),1)),IF(OR(CN333="Пост",CN333="Отоп"),1,IF(CN333="ВНГ",0.7,0))))))</f>
        <v>0.7</v>
      </c>
      <c r="CP333">
        <f t="shared" si="460"/>
        <v>1</v>
      </c>
      <c r="CQ333">
        <f t="shared" si="461"/>
        <v>2.5</v>
      </c>
      <c r="CR333">
        <f t="shared" si="462"/>
        <v>0</v>
      </c>
      <c r="CS333">
        <f t="shared" si="463"/>
        <v>1.75</v>
      </c>
      <c r="CT333">
        <f t="shared" si="464"/>
        <v>0</v>
      </c>
      <c r="CU333">
        <f t="shared" si="465"/>
        <v>0</v>
      </c>
      <c r="CV333">
        <f t="shared" si="466"/>
        <v>0</v>
      </c>
      <c r="CW333">
        <f t="shared" si="467"/>
        <v>2.5</v>
      </c>
      <c r="CX333">
        <f t="shared" si="468"/>
        <v>2.375</v>
      </c>
      <c r="CY333">
        <f t="shared" si="469"/>
        <v>3</v>
      </c>
      <c r="CZ333" t="str">
        <f t="shared" si="470"/>
        <v>L3</v>
      </c>
      <c r="DA333" cm="1">
        <f t="array" ref="DA333">IFERROR(IF(BL333=2,_xlfn.IFS(BH333=3,VLOOKUP(BF333,Справочная_двигатели,3,FALSE),BH333=1,VLOOKUP(BF333,Справочная_двигатели,5,TRUE)),0),0)</f>
        <v>0</v>
      </c>
      <c r="DB333">
        <f>IFERROR(IF(BL333=3,VLOOKUP(BF333,Справочная_ЛЭД,2,TRUE),0),0)</f>
        <v>0</v>
      </c>
      <c r="DC333">
        <f t="shared" si="471"/>
        <v>0</v>
      </c>
      <c r="DD333" t="str">
        <f t="shared" si="472"/>
        <v>L3</v>
      </c>
      <c r="DE333" t="str" cm="1">
        <f t="array" ref="DE333">IF(D333="","",IFERROR(INDEX({"I особая","I","II","III"},MATCH(TRIM(AA333&amp;""),{"I особая","I","II","III"},0)),"III"))</f>
        <v>II</v>
      </c>
      <c r="DF333" t="str">
        <f>IF(D333="","",IF(TRIM(AB333&amp;"")&lt;&gt;"",IF(LOWER(TRIM(AB333&amp;""))="да","да","нет"),IF(IFERROR(_xlfn.XLOOKUP(AT333,Коды_код,Коды_пожарная),"")="да","да","нет")))</f>
        <v>нет</v>
      </c>
      <c r="DG333" t="str">
        <f t="shared" si="473"/>
        <v/>
      </c>
      <c r="DH333" t="str">
        <f t="shared" si="474"/>
        <v>основная</v>
      </c>
      <c r="DI333">
        <f t="shared" si="475"/>
        <v>1</v>
      </c>
      <c r="DJ333" t="str" cm="1">
        <f t="array" ref="DJ333">IF(D333="","",_xlfn.LET(_xlpm.t,IFERROR(_xlfn.XLOOKUP(1,(Шины[Шина]=DH333)*(((Шины[Щит]=A333)+(Шины[Щит]=""))&gt;0),Шины[Тип]),"")&amp;"",IF(_xlpm.t&lt;&gt;"",_xlpm.t,IF(ISNUMBER(SEARCH("ИБП",DH333)),"ИБП",IF(ISNUMBER(SEARCH("ДГУ",DH333)),"ДГУ","Ввод "&amp;DI333)))))</f>
        <v>Ввод 1</v>
      </c>
      <c r="DK333" t="str">
        <f t="shared" si="476"/>
        <v>Ввод 1</v>
      </c>
      <c r="DL333" t="str">
        <f>IF(D333="","",IF(OR(DJ333="ИБП",DJ333="ДГУ"),"I особая",IF(DJ333="Одиночная","III",_xlfn.XLOOKUP(A333,Щиты[Щит],Щиты[Категория шины «Ввод»],"III"))))</f>
        <v>II</v>
      </c>
      <c r="DM333">
        <f>IF(D333="",0,IFERROR(MATCH(DE333,{"III","II","I","I особая"},0),1))</f>
        <v>2</v>
      </c>
      <c r="DN333">
        <f t="shared" si="477"/>
        <v>2</v>
      </c>
      <c r="DO333" t="str">
        <f>IF(D333="","",IF(DM333&gt;IFERROR(MATCH(DL333,{"III","II","I","I особая"},0),1),"НЕ ОБЕСПЕЧЕНА","ОК"))</f>
        <v>ОК</v>
      </c>
      <c r="DP333" t="str">
        <f>IF(A333="","",_xlfn.XLOOKUP(A333,Щиты[Щит],Щиты[Путь],""))</f>
        <v>|ГРЩ-ЖД|ЩС-ВК.003|</v>
      </c>
      <c r="DQ333" t="str">
        <f>IF(D333="","",IF(Z333&lt;&gt;"",Z333,IF(IFERROR(_xlfn.XLOOKUP(AT333,Коды_код,Коды_вид)&amp;"","")="","Прочее",_xlfn.XLOOKUP(AT333,Коды_код,Коды_вид)&amp;"")))</f>
        <v>Насосы (водоснабжение, дренаж)</v>
      </c>
      <c r="DR333">
        <f>IF(BD333="","",INT((BD333-1)/Столбцов_на_лист)+1)</f>
        <v>1</v>
      </c>
      <c r="DS333" t="str">
        <f t="shared" si="478"/>
        <v>ВВГнг(А)-LS (3х2,5) L=12-1,02%</v>
      </c>
      <c r="DT333">
        <f t="shared" si="479"/>
        <v>2.5</v>
      </c>
      <c r="DU333">
        <f t="shared" si="480"/>
        <v>11.4</v>
      </c>
      <c r="DV333">
        <f t="shared" si="481"/>
        <v>1</v>
      </c>
      <c r="DW333">
        <f>IF(AT333="",0,_xlfn.LET(_xlpm.v,IFERROR(VLOOKUP(D333,УГО_спр,3,FALSE),IFERROR(VLOOKUP(AT333,УГО_спр,3,FALSE),IFERROR(VLOOKUP(LEFT(AT333,2),УГО_спр,3,FALSE),""))),IF(_xlpm.v="да",30,IF(ISNUMBER(_xlpm.v),_xlpm.v,0))))</f>
        <v>0</v>
      </c>
      <c r="DX333">
        <f t="shared" si="482"/>
        <v>0</v>
      </c>
      <c r="DY333">
        <f>IF(BD333="","",IF(AD333&lt;&gt;"",COUNTIFS(A$3:A333,A333,AD$3:AD333,"?*"),IF(OR(OR(AS333=1,A333&lt;&gt;A332),AL333="вручную"),"",IF(AS333=1,"",DZ332))))</f>
        <v>3</v>
      </c>
      <c r="DZ333">
        <f t="shared" si="483"/>
        <v>3</v>
      </c>
      <c r="EA333">
        <f>IF(D333="",0,MAX(IFERROR(--X333,0),IFERROR(--VLOOKUP(D333,УГО_спр,4,FALSE),IFERROR(--VLOOKUP(AT333,УГО_спр,4,FALSE),IFERROR(--VLOOKUP(LEFT(AT333,2),УГО_спр,4,FALSE),0)))))</f>
        <v>16</v>
      </c>
      <c r="EB333">
        <f>IF(D333="","",IFERROR(LOOKUP(INDEX(CHOOSE(BR333,Iдоп_1ж,Iдоп_2ж,Iдоп_3ж),MATCH(BS333,Iдоп_S,0))*BP333*BQ333,{6,10,16,20,25,32,40,50,63,80,100,125,160,200,250,315,400,500,630}),""))</f>
        <v>25</v>
      </c>
      <c r="EC333">
        <f>IF(AD333="","",SUMIFS(Линии[_Ток схемы],Линии[_гр.],DY333,Линии[Щит],A333,Линии[_в кабель выше],0))</f>
        <v>11.4</v>
      </c>
      <c r="ED333">
        <f>IF(AD333="","",IFERROR(VLOOKUP(EC333,Автомат_номиналы,2,TRUE),""))</f>
        <v>16</v>
      </c>
      <c r="EE333">
        <f>IF(AD333="","",MAX(N(ED333),_xlfn.MAXIFS(Линии[_мин. по типу],Линии[_гр.],DY333,Линии[Щит],A333)))</f>
        <v>16</v>
      </c>
      <c r="EF333">
        <f>IF(AD333="","",_xlfn.MINIFS(Линии[_макс. автомат по кабелю],Линии[_гр.],DY333,Линии[Щит],A333))</f>
        <v>25</v>
      </c>
      <c r="EG333">
        <f>IF(AD333="","",MAX(1,_xlfn.MAXIFS(Линии[_фаз],Линии[_гр.],DY333,Линии[Щит],A333)))</f>
        <v>1</v>
      </c>
      <c r="EH333">
        <f>IF(AD333="","",IF(AND(AD333&lt;&gt;"авто",AD333&lt;&gt;"+"),IF(ISNUMBER(SEARCH("мА",AD333)),IFERROR(--TRIM(RIGHT(SUBSTITUTE(LEFT(AD333,SEARCH("мА",AD333)-1)," ",REPT(" ",9)),6)),30),0),IF(AE333="нет",0,IF(ISNUMBER(AE333),AE333,IF(AE333="да",30,_xlfn.MINIFS(Линии[_дифзащита по коду, мА],Линии[_гр.],DY333,Линии[Щит],A333,Линии[_дифзащита по коду, мА],"&gt;0"))))))</f>
        <v>0</v>
      </c>
      <c r="EI333">
        <f t="shared" si="484"/>
        <v>0</v>
      </c>
      <c r="EJ333" t="str">
        <f t="shared" si="485"/>
        <v>QF3</v>
      </c>
      <c r="EK333" t="str">
        <f t="shared" si="486"/>
        <v>QF3</v>
      </c>
      <c r="EL333" t="str">
        <f t="shared" si="487"/>
        <v/>
      </c>
      <c r="EM333">
        <f t="shared" si="488"/>
        <v>0</v>
      </c>
      <c r="EN333">
        <f>IF(AD333="","",IF(EM333=1,MAX(EE333,Мин_автомат_БП),EE333))</f>
        <v>16</v>
      </c>
      <c r="EO333" t="str">
        <f t="shared" si="489"/>
        <v>1P</v>
      </c>
      <c r="EP333" t="str">
        <f t="shared" si="490"/>
        <v>1P С16А</v>
      </c>
      <c r="EQ333">
        <f t="shared" si="491"/>
        <v>16</v>
      </c>
      <c r="ER333" t="str">
        <f>IF(OR(AI333="",AI333="-"),"",IFERROR(VLOOKUP(AI333,Модули_спр,2,FALSE),"R"))</f>
        <v/>
      </c>
      <c r="ES333" t="str">
        <f>IF(ER333="","",ER333&amp;"."&amp;COUNTIFS(A$3:A333,A333,ER$3:ER333,ER333))</f>
        <v/>
      </c>
      <c r="ET333" t="str">
        <f t="shared" si="492"/>
        <v/>
      </c>
      <c r="EU333" t="str">
        <f t="shared" si="493"/>
        <v/>
      </c>
      <c r="EV333" t="str">
        <f t="shared" si="494"/>
        <v/>
      </c>
      <c r="EW333" t="str">
        <f t="shared" si="495"/>
        <v/>
      </c>
      <c r="EX333">
        <f t="shared" si="496"/>
        <v>1</v>
      </c>
      <c r="EY333" t="str">
        <f>IF(AK333="нет","",IF(AK333&lt;&gt;"",AK333,IF(EX333=1,"XT"&amp;COUNTIFS(A$3:A333,A333,EX$3:EX333,1),"")))</f>
        <v>XT3</v>
      </c>
      <c r="EZ333" t="str">
        <f t="shared" si="497"/>
        <v>QF3</v>
      </c>
      <c r="FA333" t="str">
        <f t="shared" si="498"/>
        <v/>
      </c>
      <c r="FB333" t="str">
        <f t="shared" si="499"/>
        <v>ok</v>
      </c>
      <c r="FC333" t="str">
        <f>IF(OR(EV333="",ET333=""),"",IF(EV333&gt;IFERROR(VLOOKUP(EU333,Модули_спр,3,FALSE),99),"ЛИШНИЙ КАНАЛ",IF(AND(AJ333&lt;&gt;"=",COUNTIFS(Линии[_модуль гр.],ET333,Линии[Канал (итог)],EV333,Линии[Канал],"&lt;&gt;=",Линии[Щит],A333)&gt;1),"ДУБЛЬ КАНАЛА","")))</f>
        <v/>
      </c>
      <c r="FD333">
        <f t="shared" si="500"/>
        <v>16</v>
      </c>
      <c r="FE333" t="str">
        <f t="shared" si="501"/>
        <v>1P С16А</v>
      </c>
      <c r="FF333">
        <f t="shared" si="502"/>
        <v>0</v>
      </c>
      <c r="FG333">
        <f t="shared" si="503"/>
        <v>0</v>
      </c>
      <c r="FH333" t="str">
        <f t="shared" si="504"/>
        <v/>
      </c>
      <c r="FI333">
        <f t="shared" si="505"/>
        <v>10</v>
      </c>
      <c r="FJ333" t="str">
        <f t="shared" si="506"/>
        <v/>
      </c>
      <c r="FK333" t="str">
        <f>IF(AND(D333="",EZ333=""),"",_xlfn.TEXTJOIN("; ",TRUE,IF(AND(D333&lt;&gt;"",DD333=""),"нет фазы",""),IF(AND(D333&lt;&gt;"",N(DT333)=0,CN333&lt;&gt;"Нет"),"нет мощности",""),IF(AND(EY333&lt;&gt;"",COUNTIFS(Линии[Щит],A333,Линии[Клемма (итог)],EY333)&gt;1),"дубль клеммы "&amp;EY333,""),IF(AND(FB333&lt;&gt;"",FB333&lt;&gt;"ok"),FB333,""),IF(FC333&lt;&gt;"",FC333,""),IF(AND(ISNUMBER(SEARCH("(5х",DS333)),N(DV333)=1),"5 жил на 1 фазе",""),IF(AND(AT333="R",AD333&lt;&gt;"",OR(N(EH333)=0,N(EH333)&gt;30)),"розетка без дифзащиты до 30 мА",""),IFERROR(IF(AND(ISNUMBER(CD333),CD333&gt;CE333),"потери "&amp;FIXED(CD333,1)&amp;" % &gt; "&amp;CE333&amp;" %",""),""),IFERROR(IF(LEFT(FJ333,4)="мало","Iкз мало — отключение &gt; 0,4 с",""),""),IF(AND(D333&lt;&gt;"",BD333=""),"не на схеме","")))</f>
        <v>потери 4,1 % &gt; 4 %</v>
      </c>
      <c r="FL333">
        <f>IF(AD333="","",_xlfn.LET(_xlpm.t,IFERROR(_xlfn.XLOOKUP(EP333,Каталог!$U$4:$U$500,Каталог!$G$4:$G$500),""),_xlpm.k,SEARCH("кА",_xlpm.t),IFERROR(--TRIM(RIGHT(SUBSTITUTE(MID(_xlpm.t,MAX(1,_xlpm.k-4),_xlpm.k-MAX(1,_xlpm.k-4))," ",REPT(" ",9)),5)),"")))</f>
        <v>6</v>
      </c>
      <c r="FM333" t="str">
        <f>IF(OR(FL333="",AD333=""),"",IF(_xlfn.XLOOKUP(A333,Щиты[Щит],Щиты[Iкз max на шинах, кА],"")="","",IF(FL333&lt;_xlfn.XLOOKUP(A333,Щиты[Щит],Щиты[Iкз max на шинах, кА]),"Icu "&amp;FL333&amp;" кА &lt; Iкз max","ok")))</f>
        <v/>
      </c>
      <c r="FN333" t="str">
        <f t="shared" si="507"/>
        <v>QF3|XT3</v>
      </c>
      <c r="FO333" t="str">
        <f t="shared" si="508"/>
        <v>QF3|XT3|кабель ВВГнг(А)-LS (3х2,5) → Жироулавливатель Подвальный этаж Пом. №006Т</v>
      </c>
      <c r="FP333" t="str" cm="1">
        <f t="array" ref="FP333">IF(FO333="","",_xlfn.LET(_xlpm.nd,_xlfn.TEXTSPLIT(FO333,"|"),IF(COLUMNS(_xlpm.nd)&gt;1,A333&amp;"¦"&amp;INDEX(_xlpm.nd,1)&amp;"¦"&amp;INDEX(_xlpm.nd,2),"")))</f>
        <v>ЩС-ВК.003¦QF3¦XT3</v>
      </c>
      <c r="FQ333" t="str">
        <f t="shared" si="509"/>
        <v>ЖУ.1¦Жироулавливатель Подвальный этаж Пом. №006Т</v>
      </c>
      <c r="FR333" t="str" cm="1">
        <f t="array" ref="FR333">IF(FO333="","",_xlfn.LET(_xlpm.nd,_xlfn.TEXTSPLIT(FO333,"|"),IF(COLUMNS(_xlpm.nd)&gt;2,A333&amp;"¦"&amp;INDEX(_xlpm.nd,2)&amp;"¦"&amp;INDEX(_xlpm.nd,3),"")))</f>
        <v>ЩС-ВК.003¦XT3¦кабель ВВГнг(А)-LS (3х2,5) → Жироулавливатель Подвальный этаж Пом. №006Т</v>
      </c>
      <c r="FS333" t="str">
        <f t="shared" si="510"/>
        <v>ЖУ.1¦Жироулавливатель Подвальный этаж Пом. №006Т</v>
      </c>
      <c r="FT333" t="str" cm="1">
        <f t="array" ref="FT333">IF(FO333="","",_xlfn.LET(_xlpm.nd,_xlfn.TEXTSPLIT(FO333,"|"),IF(COLUMNS(_xlpm.nd)&gt;3,A333&amp;"¦"&amp;INDEX(_xlpm.nd,3)&amp;"¦"&amp;INDEX(_xlpm.nd,4),"")))</f>
        <v/>
      </c>
      <c r="FU333" t="str">
        <f t="shared" si="511"/>
        <v/>
      </c>
      <c r="FV333" t="str" cm="1">
        <f t="array" ref="FV333">IF(FO333="","",_xlfn.LET(_xlpm.nd,_xlfn.TEXTSPLIT(FO333,"|"),IF(COLUMNS(_xlpm.nd)&gt;4,A333&amp;"¦"&amp;INDEX(_xlpm.nd,4)&amp;"¦"&amp;INDEX(_xlpm.nd,5),"")))</f>
        <v/>
      </c>
      <c r="FW333" t="str">
        <f t="shared" si="512"/>
        <v/>
      </c>
      <c r="FX333" t="str" cm="1">
        <f t="array" ref="FX333">IF(FO333="","",_xlfn.LET(_xlpm.nd,_xlfn.TEXTSPLIT(FO333,"|"),IF(COLUMNS(_xlpm.nd)&gt;5,A333&amp;"¦"&amp;INDEX(_xlpm.nd,5)&amp;"¦"&amp;INDEX(_xlpm.nd,6),"")))</f>
        <v/>
      </c>
      <c r="FY333" t="str">
        <f t="shared" si="513"/>
        <v/>
      </c>
      <c r="FZ333" t="str" cm="1">
        <f t="array" ref="FZ333">IF(FO333="","",_xlfn.LET(_xlpm.nd,_xlfn.TEXTSPLIT(FO333,"|"),IF(COLUMNS(_xlpm.nd)&gt;6,A333&amp;"¦"&amp;INDEX(_xlpm.nd,6)&amp;"¦"&amp;INDEX(_xlpm.nd,7),"")))</f>
        <v/>
      </c>
      <c r="GA333" t="str">
        <f t="shared" si="514"/>
        <v/>
      </c>
      <c r="GB333" t="str">
        <f t="shared" si="515"/>
        <v/>
      </c>
      <c r="GC333" t="str">
        <f t="shared" si="516"/>
        <v>QF3 → XT3</v>
      </c>
      <c r="GD333">
        <f t="shared" si="517"/>
        <v>1</v>
      </c>
      <c r="GE333">
        <f t="shared" si="518"/>
        <v>0</v>
      </c>
      <c r="GF333">
        <f t="shared" si="519"/>
        <v>0</v>
      </c>
      <c r="GG333" t="str">
        <f t="shared" si="520"/>
        <v/>
      </c>
      <c r="GH333" t="str">
        <f t="shared" si="521"/>
        <v/>
      </c>
      <c r="GI333" t="str">
        <f t="shared" si="522"/>
        <v/>
      </c>
      <c r="GJ333" t="str">
        <f t="shared" si="523"/>
        <v/>
      </c>
      <c r="GK333">
        <f>IF(D333="","",IFERROR(VLOOKUP(D333,УГО_спр,2,FALSE),IFERROR(VLOOKUP(AT333,УГО_спр,2,FALSE),IFERROR(VLOOKUP(LEFT(AT333,2),УГО_спр,2,FALSE),""))))</f>
        <v>0</v>
      </c>
      <c r="GL333" t="str">
        <f>IF(D333="","",IF(OR(GK333="",GK333=0),"BOX",IFERROR(IF(VLOOKUP(GK333,УГО_блоки,3,FALSE)&amp;""&lt;&gt;"",VLOOKUP(GK333,УГО_блоки,3,FALSE),VLOOKUP(GK333,УГО_блоки,2,FALSE)),GK333)))</f>
        <v>BOX</v>
      </c>
      <c r="GM333">
        <f t="shared" si="524"/>
        <v>1</v>
      </c>
      <c r="GN333" t="str">
        <f>IF(EP333="","",IF(COUNTIF(EP$3:EP333,EP333)=1,MAX(GN$2:GN332)+1,""))</f>
        <v/>
      </c>
      <c r="GO333" t="str">
        <f>IF(AF333="","",IF(COUNTIF(AF$3:AF333,AF333)+COUNTIF(AG$2:AG332,AF333)+COUNTIF(AH$2:AH332,AF333)=1,MAX(GO$2:GQ332)+1,""))</f>
        <v/>
      </c>
      <c r="GP333" t="str">
        <f>IF(AG333="","",IF(COUNTIF(AF$3:AF333,AG333)+COUNTIF(AG$3:AG333,AG333)+COUNTIF(AH$2:AH332,AG333)=1,MAX(GO$2:GQ332,GO333)+1,""))</f>
        <v/>
      </c>
      <c r="GQ333" t="str">
        <f>IF(AH333="","",IF(COUNTIF(AF$3:AF333,AH333)+COUNTIF(AG$3:AG333,AH333)+COUNTIF(AH$3:AH333,AH333)=1,MAX(GO$2:GQ332,GO333,GP333)+1,""))</f>
        <v/>
      </c>
      <c r="GR333" t="str">
        <f t="shared" si="525"/>
        <v>3х2,5</v>
      </c>
      <c r="GS333" t="str">
        <f>IF(GR333="","",IF(COUNTIF(GR$3:GR333,GR333)=1,MAX(GS$2:GS332)+1,""))</f>
        <v/>
      </c>
      <c r="GT333" t="str">
        <f>IF(ES333="","",COUNTIF(ES$3:ES333,"?*"))</f>
        <v/>
      </c>
      <c r="GU333" t="str">
        <f>IF(OR(ES333="",EU333=""),"",IF(COUNTIFS(ES$3:ES333,"?*",EU$3:EU333,EU333)=1,MAX(GU$2:GU332)+1,""))</f>
        <v/>
      </c>
      <c r="GV333">
        <f t="shared" si="526"/>
        <v>1</v>
      </c>
      <c r="GW333">
        <f>IF(D333="","",COUNTIF(D$3:D333,"?*"))</f>
        <v>331</v>
      </c>
      <c r="GX333">
        <f>IF(EX333&lt;&gt;1,0,_xlfn.LET(_xlpm.k,MAX(IFERROR(--VLOOKUP(D333,УГО_спр,5,FALSE),0),IFERROR(--VLOOKUP(AT333,УГО_спр,5,FALSE),0),IFERROR(--VLOOKUP(LEFT(AT333,2),УГО_спр,5,FALSE),0)),IF(_xlpm.k&gt;0,_xlpm.k,IF(IFERROR(--LEFT(SUBSTITUTE(GR333,"x","х"),FIND("х",SUBSTITUTE(GR333,"x","х"))-1),3)&gt;3,Каталог!$S$9,1))))</f>
        <v>1</v>
      </c>
      <c r="GY333">
        <f t="shared" si="527"/>
        <v>0</v>
      </c>
    </row>
    <row r="334" spans="1:207" x14ac:dyDescent="0.3">
      <c r="A334" t="s">
        <v>772</v>
      </c>
      <c r="B334">
        <v>15</v>
      </c>
      <c r="C334" t="str">
        <f>IF(BD334="","",IF(BE334="вводной узел","узел ","")&amp;"л."&amp;(INT((BD334-1)/Столбцов_на_лист)+1)&amp;" / "&amp;(MOD(BD334-1,Столбцов_на_лист)+1))</f>
        <v>л.1 / 15</v>
      </c>
      <c r="D334" t="s">
        <v>1671</v>
      </c>
      <c r="E334" s="133" t="s">
        <v>1672</v>
      </c>
      <c r="G334">
        <v>0.64</v>
      </c>
      <c r="H334">
        <v>1</v>
      </c>
      <c r="I334">
        <v>1</v>
      </c>
      <c r="J334">
        <v>230</v>
      </c>
      <c r="K334" t="s">
        <v>602</v>
      </c>
      <c r="L334">
        <v>0.7</v>
      </c>
      <c r="O334">
        <v>3</v>
      </c>
      <c r="P334">
        <v>28</v>
      </c>
      <c r="Q334">
        <v>13</v>
      </c>
      <c r="R334">
        <v>15</v>
      </c>
      <c r="S334">
        <v>0</v>
      </c>
      <c r="U334" t="s">
        <v>11</v>
      </c>
      <c r="V334">
        <v>3</v>
      </c>
      <c r="W334">
        <v>2.5</v>
      </c>
      <c r="X334">
        <v>16</v>
      </c>
      <c r="Z334" t="s">
        <v>565</v>
      </c>
      <c r="AA334" t="s">
        <v>818</v>
      </c>
      <c r="AD334" t="s">
        <v>517</v>
      </c>
      <c r="AR334" t="str">
        <f t="shared" si="441"/>
        <v/>
      </c>
      <c r="AS334" cm="1">
        <f t="array" ref="AS334">ROW()-ROW(Линии[#Headers])</f>
        <v>332</v>
      </c>
      <c r="AT334" t="str">
        <f t="shared" si="442"/>
        <v>R</v>
      </c>
      <c r="AU334" t="str">
        <f t="shared" si="443"/>
        <v>00.002Б.3</v>
      </c>
      <c r="AV334" t="str">
        <f t="shared" si="444"/>
        <v>00</v>
      </c>
      <c r="AW334" t="str">
        <f t="shared" si="445"/>
        <v>002Б.3</v>
      </c>
      <c r="AX334" t="str">
        <f t="shared" si="446"/>
        <v>002Б</v>
      </c>
      <c r="AY334" t="str">
        <f>IF(D334="","",IF(ISERROR(SEARCH(".",D334)),IFERROR(VLOOKUP(D334,Потребители_обозначение,2,FALSE)&amp;"",""),IFERROR(IF(VLOOKUP(AT334,Потребители_обозначение,4,FALSE)=1,VLOOKUP(AT334,Потребители_обозначение,2,FALSE)&amp;" "&amp;VLOOKUP(AV334,Этаж_обозначение,2,FALSE)&amp;" Пом. №"&amp;AX334,VLOOKUP(AT334,Потребители_обозначение,2,FALSE)&amp;" Шлейф №"&amp;AV334),IFERROR(VLOOKUP(D334,Потребители_обозначение,2,FALSE),""))))</f>
        <v>Розеточная группа Подвальный этаж Пом. №002Б</v>
      </c>
      <c r="AZ334" t="str">
        <f t="shared" si="447"/>
        <v>Сололифт Подвальный этаж Пом. №002Б</v>
      </c>
      <c r="BA334" t="str">
        <f>IF(F334&lt;&gt;"",F334,IF(AND(D334&lt;&gt;"",D334&lt;&gt;A334,ISNUMBER(_xlfn.XMATCH(D334,Щиты[Щит]))),D334,""))</f>
        <v/>
      </c>
      <c r="BB334">
        <f>IFERROR(_xlfn.XMATCH(A334,Щиты[Щит]),0)</f>
        <v>15</v>
      </c>
      <c r="BC334">
        <f>IFERROR(N(_xlfn.XLOOKUP(A334,Щиты[Щит],Щиты[Мест под вводной узел])),15)</f>
        <v>11</v>
      </c>
      <c r="BD334">
        <f t="shared" si="448"/>
        <v>15</v>
      </c>
      <c r="BE334" t="str">
        <f t="shared" si="449"/>
        <v>линии</v>
      </c>
      <c r="BF334">
        <f>IF(D334="","",IF(BA334&lt;&gt;"",IFERROR(_xlfn.XLOOKUP(BA334,Щиты[Щит],Щиты[Руст, кВт]),0),N(G334)))</f>
        <v>0.64</v>
      </c>
      <c r="BG334">
        <f>IF(J334&lt;&gt;"",J334,IF(D334="","",IFERROR(IF(VLOOKUP(AT334,Потребители_обозначение,8,FALSE)=0,"",VLOOKUP(AT334,Потребители_обозначение,8,FALSE)),"")))</f>
        <v>230</v>
      </c>
      <c r="BH334">
        <f>IF(I334&lt;&gt;"",I334,IF(D334="","",IFERROR(IF(VLOOKUP(AT334,Потребители_обозначение,9,FALSE)=0,"",VLOOKUP(AT334,Потребители_обозначение,9,FALSE)),"")))</f>
        <v>1</v>
      </c>
      <c r="BI334" t="str">
        <f>IF(U334&lt;&gt;"",U334,IF(D334="","",IFERROR(IF(VLOOKUP(AT334,Потребители_обозначение,6,FALSE)=0,"",VLOOKUP(AT334,Потребители_обозначение,6,FALSE)),"")))</f>
        <v>мс</v>
      </c>
      <c r="BJ334">
        <f>IF(V334&lt;&gt;"",V334,IF(D334="","",IFERROR(IF(VLOOKUP(AT334,Потребители_обозначение,7,FALSE)=0,"",VLOOKUP(AT334,Потребители_обозначение,7,FALSE)),"")))</f>
        <v>3</v>
      </c>
      <c r="BK334">
        <f>IF(W334&lt;&gt;"",W334,IF(D334="","",IFERROR(IF(VLOOKUP(AT334,Потребители_обозначение,10,FALSE)=0,"",VLOOKUP(AT334,Потребители_обозначение,10,FALSE)),"")))</f>
        <v>2.5</v>
      </c>
      <c r="BL334">
        <f>IFERROR(VLOOKUP(AT334,Потребители_обозначение,5,FALSE),0)</f>
        <v>1</v>
      </c>
      <c r="BM334" cm="1">
        <f t="array" ref="BM334">IF(D334="","",IF(BA334&lt;&gt;"",IFERROR(_xlfn.XLOOKUP(BA334,Щиты[Щит],Щиты[cos φ]),0.95),IF(ISNUMBER(M334),M334,IFERROR(IF(BL334=2,_xlfn.IFS(BH334=3,VLOOKUP(BF334,Справочная_двигатели,8,FALSE),BH334=1,VLOOKUP(BF334,Справочная_двигатели,10,TRUE)),IF(AND(Методика="нормы 2026",CN334="Сил"),0.8,0.95)),0.95))))</f>
        <v>0.95</v>
      </c>
      <c r="BN334" cm="1">
        <f t="array" ref="BN334">IF(D334="","",IF(BA334&lt;&gt;"",IFERROR(_xlfn.XLOOKUP(BA334,Щиты[Щит],Щиты[Iр, А]),""),IFERROR(_xlfn.IFS(BH334=1,BF334/((Uн_лин/SQRT(3))*BM334),BH334=3,BF334/(SQRT(3)*Uн_лин*BM334)),"")))</f>
        <v>2.9171382022212669</v>
      </c>
      <c r="BO334">
        <f>IF(D334="","",IF(N(X334)=0,IFERROR(VLOOKUP(BN334,Автомат_номиналы,2,TRUE),""),X334))</f>
        <v>16</v>
      </c>
      <c r="BP334">
        <f t="shared" si="450"/>
        <v>1</v>
      </c>
      <c r="BQ334">
        <f>IF(ISNUMBER(Y334),Y334,К_прокл)</f>
        <v>1</v>
      </c>
      <c r="BR334">
        <f t="shared" si="451"/>
        <v>2</v>
      </c>
      <c r="BS334" cm="1">
        <f t="array" ref="BS334">IF(D334="","",IF(N(BK334)&lt;&gt;0,BK334,IFERROR(_xlfn.LET(_xlpm.need,BO334/(BP334*BQ334),_xlpm.t,CHOOSE(BR334,Iдоп_1ж,Iдоп_2ж,Iдоп_3ж),_xlpm.k,_xlfn.XMATCH(_xlpm.need,_xlpm.t,1),IF(ISNA(_xlpm.k),"Не исп",INDEX(Iдоп_S,_xlpm.k))),"Не исп")))</f>
        <v>2.5</v>
      </c>
      <c r="BT334">
        <f>IFERROR(VLOOKUP(BS334,Кабель_сопротивление,3,FALSE),"")</f>
        <v>2.2499999999999999E-2</v>
      </c>
      <c r="BU334">
        <f>IFERROR(VLOOKUP(BS334,Кабель_сопротивление,2,FALSE),"")</f>
        <v>0.1</v>
      </c>
      <c r="BV334">
        <f t="shared" si="452"/>
        <v>28</v>
      </c>
      <c r="BW334">
        <f>IF(D334="","",IFERROR(IF(VLOOKUP(AT334,Потребители_обозначение,4,FALSE)=1,VLOOKUP(AT334,Потребители_обозначение,3,FALSE)*(H334*2-1)+BV334+VLOOKUP(AV334,Этаж_обозначение,3,FALSE)+VLOOKUP(AV334,Этаж_обозначение,4,FALSE),VLOOKUP(AT334,Потребители_обозначение,3,FALSE)*(H334*2-1)+BV334),BV334))</f>
        <v>31</v>
      </c>
      <c r="BX334">
        <f t="shared" si="453"/>
        <v>15</v>
      </c>
      <c r="BY334">
        <f t="shared" si="454"/>
        <v>0</v>
      </c>
      <c r="BZ334">
        <f t="shared" si="455"/>
        <v>2</v>
      </c>
      <c r="CA334">
        <f t="shared" si="456"/>
        <v>0.31</v>
      </c>
      <c r="CB334">
        <f t="shared" si="457"/>
        <v>1.5519817006221628</v>
      </c>
      <c r="CC334">
        <f>IFERROR(ROUNDUP(CB334/((Uн_лин/SQRT(3))*1000)*100,2),"")</f>
        <v>0.68</v>
      </c>
      <c r="CD334">
        <f>IF(ISNUMBER(CC334),CC334+IFERROR(_xlfn.XLOOKUP(A334,Щиты[Щит],Щиты[ΔU до шин, %]),0),"")</f>
        <v>3.76</v>
      </c>
      <c r="CE334">
        <f>IF(D334="","",IF(IFERROR(VLOOKUP(AT334,УГО_спр,2,FALSE),"")="Светильник",3,4)+IF(Методика="нормы 2026",MIN(0.5,MAX(0,N(BW334)-100)*0.005),0))</f>
        <v>4</v>
      </c>
      <c r="CF334" t="str">
        <f>IFERROR(VLOOKUP(BI334,Кабель_обозначение,2,FALSE),"")</f>
        <v>ВВГнг(А)-LS</v>
      </c>
      <c r="CG334" t="str">
        <f>IFERROR(IF(VLOOKUP(BI334,Кабель_обозначение,3,FALSE)=1,CF334&amp;" ("&amp;BJ334&amp;"х"&amp;BS334&amp;")",CF334),"")</f>
        <v>ВВГнг(А)-LS (3х2,5)</v>
      </c>
      <c r="CH334" t="str">
        <f t="shared" si="458"/>
        <v>ВВГнг(А)-LS (3х2,5)
L=31-0,68%</v>
      </c>
      <c r="CI334">
        <f>IFERROR(2*ρкз_Cu*BW334/BS334,"")</f>
        <v>0.65224000000000004</v>
      </c>
      <c r="CJ334">
        <f t="shared" si="459"/>
        <v>0.21700000000000003</v>
      </c>
      <c r="CK334" t="str">
        <f>IFERROR(IF(OR(D334="",NOT(ISNUMBER(BS334)),N(BW334)=0),"",_xlfn.XLOOKUP(A334,Щиты[Щит],Щиты[Zпетли на шинах, Ом])+CI334),"")</f>
        <v/>
      </c>
      <c r="CL334" t="str">
        <f>IF(ISNUMBER(CK334),c_min*(Uн_лин*1000/SQRT(3))/CK334,"")</f>
        <v/>
      </c>
      <c r="CM334" t="str">
        <f>IFERROR(IF(OR(D334="",NOT(ISNUMBER(BS334))),"",1.05*(Uн_лин*1000/SQRT(3))/(_xlfn.XLOOKUP(A334,Щиты[Щит],Щиты[Zmax на шинах, Ом])+CJ334)/1000),"")</f>
        <v/>
      </c>
      <c r="CN334" t="str">
        <f>IF(D334="","",IF(BA334&lt;&gt;"","Щит",IF(K334&lt;&gt;"",K334,IF(ISNUMBER(L334),"Сил",IF(IFERROR(_xlfn.XLOOKUP(AT334,Коды_код,Коды_группа)&amp;"","")="","Быт",_xlfn.XLOOKUP(AT334,Коды_код,Коды_группа)&amp;"")))))</f>
        <v>Сил</v>
      </c>
      <c r="CO334">
        <f>IF(CN334="Щит","щит",IF(CN334="","",IF(CN334="Быт",IFERROR(_xlfn.XLOOKUP(A334,Щиты[Щит],Щиты[Кс быт]),1),IF(CN334="Сил",IF(ISNUMBER(L334),L334,IF(Методика="нормы 2026",IFERROR(_xlfn.XLOOKUP(A334,Щиты[Щит],Щиты[Кс силовых (табл. 7.5)]),1),1)),IF(OR(CN334="Пост",CN334="Отоп"),1,IF(CN334="ВНГ",0.7,0))))))</f>
        <v>0.7</v>
      </c>
      <c r="CP334">
        <f t="shared" si="460"/>
        <v>1</v>
      </c>
      <c r="CQ334">
        <f t="shared" si="461"/>
        <v>0.64</v>
      </c>
      <c r="CR334">
        <f t="shared" si="462"/>
        <v>0</v>
      </c>
      <c r="CS334">
        <f t="shared" si="463"/>
        <v>0.44799999999999995</v>
      </c>
      <c r="CT334">
        <f t="shared" si="464"/>
        <v>0</v>
      </c>
      <c r="CU334">
        <f t="shared" si="465"/>
        <v>0</v>
      </c>
      <c r="CV334">
        <f t="shared" si="466"/>
        <v>0</v>
      </c>
      <c r="CW334">
        <f t="shared" si="467"/>
        <v>0.64</v>
      </c>
      <c r="CX334">
        <f t="shared" si="468"/>
        <v>0.60799999999999998</v>
      </c>
      <c r="CY334">
        <f t="shared" si="469"/>
        <v>1</v>
      </c>
      <c r="CZ334" t="str">
        <f t="shared" si="470"/>
        <v>L1</v>
      </c>
      <c r="DA334" cm="1">
        <f t="array" ref="DA334">IFERROR(IF(BL334=2,_xlfn.IFS(BH334=3,VLOOKUP(BF334,Справочная_двигатели,3,FALSE),BH334=1,VLOOKUP(BF334,Справочная_двигатели,5,TRUE)),0),0)</f>
        <v>0</v>
      </c>
      <c r="DB334">
        <f>IFERROR(IF(BL334=3,VLOOKUP(BF334,Справочная_ЛЭД,2,TRUE),0),0)</f>
        <v>0</v>
      </c>
      <c r="DC334">
        <f t="shared" si="471"/>
        <v>0</v>
      </c>
      <c r="DD334" t="str">
        <f t="shared" si="472"/>
        <v>L3</v>
      </c>
      <c r="DE334" t="str" cm="1">
        <f t="array" ref="DE334">IF(D334="","",IFERROR(INDEX({"I особая","I","II","III"},MATCH(TRIM(AA334&amp;""),{"I особая","I","II","III"},0)),"III"))</f>
        <v>II</v>
      </c>
      <c r="DF334" t="str">
        <f>IF(D334="","",IF(TRIM(AB334&amp;"")&lt;&gt;"",IF(LOWER(TRIM(AB334&amp;""))="да","да","нет"),IF(IFERROR(_xlfn.XLOOKUP(AT334,Коды_код,Коды_пожарная),"")="да","да","нет")))</f>
        <v>нет</v>
      </c>
      <c r="DG334" t="str">
        <f t="shared" si="473"/>
        <v/>
      </c>
      <c r="DH334" t="str">
        <f t="shared" si="474"/>
        <v>основная</v>
      </c>
      <c r="DI334">
        <f t="shared" si="475"/>
        <v>1</v>
      </c>
      <c r="DJ334" t="str" cm="1">
        <f t="array" ref="DJ334">IF(D334="","",_xlfn.LET(_xlpm.t,IFERROR(_xlfn.XLOOKUP(1,(Шины[Шина]=DH334)*(((Шины[Щит]=A334)+(Шины[Щит]=""))&gt;0),Шины[Тип]),"")&amp;"",IF(_xlpm.t&lt;&gt;"",_xlpm.t,IF(ISNUMBER(SEARCH("ИБП",DH334)),"ИБП",IF(ISNUMBER(SEARCH("ДГУ",DH334)),"ДГУ","Ввод "&amp;DI334)))))</f>
        <v>Ввод 1</v>
      </c>
      <c r="DK334" t="str">
        <f t="shared" si="476"/>
        <v>Ввод 1</v>
      </c>
      <c r="DL334" t="str">
        <f>IF(D334="","",IF(OR(DJ334="ИБП",DJ334="ДГУ"),"I особая",IF(DJ334="Одиночная","III",_xlfn.XLOOKUP(A334,Щиты[Щит],Щиты[Категория шины «Ввод»],"III"))))</f>
        <v>II</v>
      </c>
      <c r="DM334">
        <f>IF(D334="",0,IFERROR(MATCH(DE334,{"III","II","I","I особая"},0),1))</f>
        <v>2</v>
      </c>
      <c r="DN334">
        <f t="shared" si="477"/>
        <v>2</v>
      </c>
      <c r="DO334" t="str">
        <f>IF(D334="","",IF(DM334&gt;IFERROR(MATCH(DL334,{"III","II","I","I особая"},0),1),"НЕ ОБЕСПЕЧЕНА","ОК"))</f>
        <v>ОК</v>
      </c>
      <c r="DP334" t="str">
        <f>IF(A334="","",_xlfn.XLOOKUP(A334,Щиты[Щит],Щиты[Путь],""))</f>
        <v>|ГРЩ-ЖД|ЩС-ВК.003|</v>
      </c>
      <c r="DQ334" t="str">
        <f>IF(D334="","",IF(Z334&lt;&gt;"",Z334,IF(IFERROR(_xlfn.XLOOKUP(AT334,Коды_код,Коды_вид)&amp;"","")="","Прочее",_xlfn.XLOOKUP(AT334,Коды_код,Коды_вид)&amp;"")))</f>
        <v>Розеточная сеть и бытовые приборы</v>
      </c>
      <c r="DR334">
        <f>IF(BD334="","",INT((BD334-1)/Столбцов_на_лист)+1)</f>
        <v>1</v>
      </c>
      <c r="DS334" t="str">
        <f t="shared" si="478"/>
        <v>ВВГнг(А)-LS (3х2,5) L=31-0,68%</v>
      </c>
      <c r="DT334">
        <f t="shared" si="479"/>
        <v>0.64</v>
      </c>
      <c r="DU334">
        <f t="shared" si="480"/>
        <v>2.92</v>
      </c>
      <c r="DV334">
        <f t="shared" si="481"/>
        <v>1</v>
      </c>
      <c r="DW334">
        <f>IF(AT334="",0,_xlfn.LET(_xlpm.v,IFERROR(VLOOKUP(D334,УГО_спр,3,FALSE),IFERROR(VLOOKUP(AT334,УГО_спр,3,FALSE),IFERROR(VLOOKUP(LEFT(AT334,2),УГО_спр,3,FALSE),""))),IF(_xlpm.v="да",30,IF(ISNUMBER(_xlpm.v),_xlpm.v,0))))</f>
        <v>30</v>
      </c>
      <c r="DX334">
        <f t="shared" si="482"/>
        <v>0</v>
      </c>
      <c r="DY334">
        <f>IF(BD334="","",IF(AD334&lt;&gt;"",COUNTIFS(A$3:A334,A334,AD$3:AD334,"?*"),IF(OR(OR(AS334=1,A334&lt;&gt;A333),AL334="вручную"),"",IF(AS334=1,"",DZ333))))</f>
        <v>4</v>
      </c>
      <c r="DZ334">
        <f t="shared" si="483"/>
        <v>4</v>
      </c>
      <c r="EA334">
        <f>IF(D334="",0,MAX(IFERROR(--X334,0),IFERROR(--VLOOKUP(D334,УГО_спр,4,FALSE),IFERROR(--VLOOKUP(AT334,УГО_спр,4,FALSE),IFERROR(--VLOOKUP(LEFT(AT334,2),УГО_спр,4,FALSE),0)))))</f>
        <v>16</v>
      </c>
      <c r="EB334">
        <f>IF(D334="","",IFERROR(LOOKUP(INDEX(CHOOSE(BR334,Iдоп_1ж,Iдоп_2ж,Iдоп_3ж),MATCH(BS334,Iдоп_S,0))*BP334*BQ334,{6,10,16,20,25,32,40,50,63,80,100,125,160,200,250,315,400,500,630}),""))</f>
        <v>25</v>
      </c>
      <c r="EC334">
        <f>IF(AD334="","",SUMIFS(Линии[_Ток схемы],Линии[_гр.],DY334,Линии[Щит],A334,Линии[_в кабель выше],0))</f>
        <v>2.92</v>
      </c>
      <c r="ED334">
        <f>IF(AD334="","",IFERROR(VLOOKUP(EC334,Автомат_номиналы,2,TRUE),""))</f>
        <v>6</v>
      </c>
      <c r="EE334">
        <f>IF(AD334="","",MAX(N(ED334),_xlfn.MAXIFS(Линии[_мин. по типу],Линии[_гр.],DY334,Линии[Щит],A334)))</f>
        <v>16</v>
      </c>
      <c r="EF334">
        <f>IF(AD334="","",_xlfn.MINIFS(Линии[_макс. автомат по кабелю],Линии[_гр.],DY334,Линии[Щит],A334))</f>
        <v>25</v>
      </c>
      <c r="EG334">
        <f>IF(AD334="","",MAX(1,_xlfn.MAXIFS(Линии[_фаз],Линии[_гр.],DY334,Линии[Щит],A334)))</f>
        <v>1</v>
      </c>
      <c r="EH334">
        <f>IF(AD334="","",IF(AND(AD334&lt;&gt;"авто",AD334&lt;&gt;"+"),IF(ISNUMBER(SEARCH("мА",AD334)),IFERROR(--TRIM(RIGHT(SUBSTITUTE(LEFT(AD334,SEARCH("мА",AD334)-1)," ",REPT(" ",9)),6)),30),0),IF(AE334="нет",0,IF(ISNUMBER(AE334),AE334,IF(AE334="да",30,_xlfn.MINIFS(Линии[_дифзащита по коду, мА],Линии[_гр.],DY334,Линии[Щит],A334,Линии[_дифзащита по коду, мА],"&gt;0"))))))</f>
        <v>30</v>
      </c>
      <c r="EI334">
        <f t="shared" si="484"/>
        <v>1</v>
      </c>
      <c r="EJ334" t="str">
        <f t="shared" si="485"/>
        <v>QFD4</v>
      </c>
      <c r="EK334" t="str">
        <f t="shared" si="486"/>
        <v>QFD4</v>
      </c>
      <c r="EL334" t="str">
        <f t="shared" si="487"/>
        <v/>
      </c>
      <c r="EM334">
        <f t="shared" si="488"/>
        <v>0</v>
      </c>
      <c r="EN334">
        <f>IF(AD334="","",IF(EM334=1,MAX(EE334,Мин_автомат_БП),EE334))</f>
        <v>16</v>
      </c>
      <c r="EO334" t="str">
        <f t="shared" si="489"/>
        <v>2P</v>
      </c>
      <c r="EP334" t="str">
        <f t="shared" si="490"/>
        <v>2P С16А 30мА</v>
      </c>
      <c r="EQ334">
        <f t="shared" si="491"/>
        <v>16</v>
      </c>
      <c r="ER334" t="str">
        <f>IF(OR(AI334="",AI334="-"),"",IFERROR(VLOOKUP(AI334,Модули_спр,2,FALSE),"R"))</f>
        <v/>
      </c>
      <c r="ES334" t="str">
        <f>IF(ER334="","",ER334&amp;"."&amp;COUNTIFS(A$3:A334,A334,ER$3:ER334,ER334))</f>
        <v/>
      </c>
      <c r="ET334" t="str">
        <f t="shared" si="492"/>
        <v/>
      </c>
      <c r="EU334" t="str">
        <f t="shared" si="493"/>
        <v/>
      </c>
      <c r="EV334" t="str">
        <f t="shared" si="494"/>
        <v/>
      </c>
      <c r="EW334" t="str">
        <f t="shared" si="495"/>
        <v/>
      </c>
      <c r="EX334">
        <f t="shared" si="496"/>
        <v>1</v>
      </c>
      <c r="EY334" t="str">
        <f>IF(AK334="нет","",IF(AK334&lt;&gt;"",AK334,IF(EX334=1,"XT"&amp;COUNTIFS(A$3:A334,A334,EX$3:EX334,1),"")))</f>
        <v>XT4</v>
      </c>
      <c r="EZ334" t="str">
        <f t="shared" si="497"/>
        <v>QFD4</v>
      </c>
      <c r="FA334" t="str">
        <f t="shared" si="498"/>
        <v/>
      </c>
      <c r="FB334" t="str">
        <f t="shared" si="499"/>
        <v>ok</v>
      </c>
      <c r="FC334" t="str">
        <f>IF(OR(EV334="",ET334=""),"",IF(EV334&gt;IFERROR(VLOOKUP(EU334,Модули_спр,3,FALSE),99),"ЛИШНИЙ КАНАЛ",IF(AND(AJ334&lt;&gt;"=",COUNTIFS(Линии[_модуль гр.],ET334,Линии[Канал (итог)],EV334,Линии[Канал],"&lt;&gt;=",Линии[Щит],A334)&gt;1),"ДУБЛЬ КАНАЛА","")))</f>
        <v/>
      </c>
      <c r="FD334">
        <f t="shared" si="500"/>
        <v>16</v>
      </c>
      <c r="FE334" t="str">
        <f t="shared" si="501"/>
        <v>2P С16А 30мА</v>
      </c>
      <c r="FF334">
        <f t="shared" si="502"/>
        <v>1</v>
      </c>
      <c r="FG334">
        <f t="shared" si="503"/>
        <v>30</v>
      </c>
      <c r="FH334" t="str">
        <f t="shared" si="504"/>
        <v/>
      </c>
      <c r="FI334">
        <f t="shared" si="505"/>
        <v>10</v>
      </c>
      <c r="FJ334" t="str">
        <f t="shared" si="506"/>
        <v/>
      </c>
      <c r="FK334" t="str">
        <f>IF(AND(D334="",EZ334=""),"",_xlfn.TEXTJOIN("; ",TRUE,IF(AND(D334&lt;&gt;"",DD334=""),"нет фазы",""),IF(AND(D334&lt;&gt;"",N(DT334)=0,CN334&lt;&gt;"Нет"),"нет мощности",""),IF(AND(EY334&lt;&gt;"",COUNTIFS(Линии[Щит],A334,Линии[Клемма (итог)],EY334)&gt;1),"дубль клеммы "&amp;EY334,""),IF(AND(FB334&lt;&gt;"",FB334&lt;&gt;"ok"),FB334,""),IF(FC334&lt;&gt;"",FC334,""),IF(AND(ISNUMBER(SEARCH("(5х",DS334)),N(DV334)=1),"5 жил на 1 фазе",""),IF(AND(AT334="R",AD334&lt;&gt;"",OR(N(EH334)=0,N(EH334)&gt;30)),"розетка без дифзащиты до 30 мА",""),IFERROR(IF(AND(ISNUMBER(CD334),CD334&gt;CE334),"потери "&amp;FIXED(CD334,1)&amp;" % &gt; "&amp;CE334&amp;" %",""),""),IFERROR(IF(LEFT(FJ334,4)="мало","Iкз мало — отключение &gt; 0,4 с",""),""),IF(AND(D334&lt;&gt;"",BD334=""),"не на схеме","")))</f>
        <v/>
      </c>
      <c r="FL334">
        <f>IF(AD334="","",_xlfn.LET(_xlpm.t,IFERROR(_xlfn.XLOOKUP(EP334,Каталог!$U$4:$U$500,Каталог!$G$4:$G$500),""),_xlpm.k,SEARCH("кА",_xlpm.t),IFERROR(--TRIM(RIGHT(SUBSTITUTE(MID(_xlpm.t,MAX(1,_xlpm.k-4),_xlpm.k-MAX(1,_xlpm.k-4))," ",REPT(" ",9)),5)),"")))</f>
        <v>6</v>
      </c>
      <c r="FM334" t="str">
        <f>IF(OR(FL334="",AD334=""),"",IF(_xlfn.XLOOKUP(A334,Щиты[Щит],Щиты[Iкз max на шинах, кА],"")="","",IF(FL334&lt;_xlfn.XLOOKUP(A334,Щиты[Щит],Щиты[Iкз max на шинах, кА]),"Icu "&amp;FL334&amp;" кА &lt; Iкз max","ok")))</f>
        <v/>
      </c>
      <c r="FN334" t="str">
        <f t="shared" si="507"/>
        <v>QFD4|XT4</v>
      </c>
      <c r="FO334" t="str">
        <f t="shared" si="508"/>
        <v>QFD4|XT4|кабель ВВГнг(А)-LS (3х2,5) → Сололифт Подвальный этаж Пом. №002Б</v>
      </c>
      <c r="FP334" t="str" cm="1">
        <f t="array" ref="FP334">IF(FO334="","",_xlfn.LET(_xlpm.nd,_xlfn.TEXTSPLIT(FO334,"|"),IF(COLUMNS(_xlpm.nd)&gt;1,A334&amp;"¦"&amp;INDEX(_xlpm.nd,1)&amp;"¦"&amp;INDEX(_xlpm.nd,2),"")))</f>
        <v>ЩС-ВК.003¦QFD4¦XT4</v>
      </c>
      <c r="FQ334" t="str">
        <f t="shared" si="509"/>
        <v>R.00.002Б.3¦Сололифт Подвальный этаж Пом. №002Б</v>
      </c>
      <c r="FR334" t="str" cm="1">
        <f t="array" ref="FR334">IF(FO334="","",_xlfn.LET(_xlpm.nd,_xlfn.TEXTSPLIT(FO334,"|"),IF(COLUMNS(_xlpm.nd)&gt;2,A334&amp;"¦"&amp;INDEX(_xlpm.nd,2)&amp;"¦"&amp;INDEX(_xlpm.nd,3),"")))</f>
        <v>ЩС-ВК.003¦XT4¦кабель ВВГнг(А)-LS (3х2,5) → Сололифт Подвальный этаж Пом. №002Б</v>
      </c>
      <c r="FS334" t="str">
        <f t="shared" si="510"/>
        <v>R.00.002Б.3¦Сололифт Подвальный этаж Пом. №002Б</v>
      </c>
      <c r="FT334" t="str" cm="1">
        <f t="array" ref="FT334">IF(FO334="","",_xlfn.LET(_xlpm.nd,_xlfn.TEXTSPLIT(FO334,"|"),IF(COLUMNS(_xlpm.nd)&gt;3,A334&amp;"¦"&amp;INDEX(_xlpm.nd,3)&amp;"¦"&amp;INDEX(_xlpm.nd,4),"")))</f>
        <v/>
      </c>
      <c r="FU334" t="str">
        <f t="shared" si="511"/>
        <v/>
      </c>
      <c r="FV334" t="str" cm="1">
        <f t="array" ref="FV334">IF(FO334="","",_xlfn.LET(_xlpm.nd,_xlfn.TEXTSPLIT(FO334,"|"),IF(COLUMNS(_xlpm.nd)&gt;4,A334&amp;"¦"&amp;INDEX(_xlpm.nd,4)&amp;"¦"&amp;INDEX(_xlpm.nd,5),"")))</f>
        <v/>
      </c>
      <c r="FW334" t="str">
        <f t="shared" si="512"/>
        <v/>
      </c>
      <c r="FX334" t="str" cm="1">
        <f t="array" ref="FX334">IF(FO334="","",_xlfn.LET(_xlpm.nd,_xlfn.TEXTSPLIT(FO334,"|"),IF(COLUMNS(_xlpm.nd)&gt;5,A334&amp;"¦"&amp;INDEX(_xlpm.nd,5)&amp;"¦"&amp;INDEX(_xlpm.nd,6),"")))</f>
        <v/>
      </c>
      <c r="FY334" t="str">
        <f t="shared" si="513"/>
        <v/>
      </c>
      <c r="FZ334" t="str" cm="1">
        <f t="array" ref="FZ334">IF(FO334="","",_xlfn.LET(_xlpm.nd,_xlfn.TEXTSPLIT(FO334,"|"),IF(COLUMNS(_xlpm.nd)&gt;6,A334&amp;"¦"&amp;INDEX(_xlpm.nd,6)&amp;"¦"&amp;INDEX(_xlpm.nd,7),"")))</f>
        <v/>
      </c>
      <c r="GA334" t="str">
        <f t="shared" si="514"/>
        <v/>
      </c>
      <c r="GB334" t="str">
        <f t="shared" si="515"/>
        <v/>
      </c>
      <c r="GC334" t="str">
        <f t="shared" si="516"/>
        <v>QFD4 → XT4</v>
      </c>
      <c r="GD334">
        <f t="shared" si="517"/>
        <v>1</v>
      </c>
      <c r="GE334">
        <f t="shared" si="518"/>
        <v>0</v>
      </c>
      <c r="GF334">
        <f t="shared" si="519"/>
        <v>1</v>
      </c>
      <c r="GG334" t="str">
        <f t="shared" si="520"/>
        <v/>
      </c>
      <c r="GH334" t="str">
        <f t="shared" si="521"/>
        <v/>
      </c>
      <c r="GI334" t="str">
        <f t="shared" si="522"/>
        <v/>
      </c>
      <c r="GJ334" t="str">
        <f t="shared" si="523"/>
        <v/>
      </c>
      <c r="GK334" t="str">
        <f>IF(D334="","",IFERROR(VLOOKUP(D334,УГО_спр,2,FALSE),IFERROR(VLOOKUP(AT334,УГО_спр,2,FALSE),IFERROR(VLOOKUP(LEFT(AT334,2),УГО_спр,2,FALSE),""))))</f>
        <v>Розетка</v>
      </c>
      <c r="GL334" t="str">
        <f>IF(D334="","",IF(OR(GK334="",GK334=0),"BOX",IFERROR(IF(VLOOKUP(GK334,УГО_блоки,3,FALSE)&amp;""&lt;&gt;"",VLOOKUP(GK334,УГО_блоки,3,FALSE),VLOOKUP(GK334,УГО_блоки,2,FALSE)),GK334)))</f>
        <v>SOCKET</v>
      </c>
      <c r="GM334">
        <f t="shared" si="524"/>
        <v>1</v>
      </c>
      <c r="GN334" t="str">
        <f>IF(EP334="","",IF(COUNTIF(EP$3:EP334,EP334)=1,MAX(GN$2:GN333)+1,""))</f>
        <v/>
      </c>
      <c r="GO334" t="str">
        <f>IF(AF334="","",IF(COUNTIF(AF$3:AF334,AF334)+COUNTIF(AG$2:AG333,AF334)+COUNTIF(AH$2:AH333,AF334)=1,MAX(GO$2:GQ333)+1,""))</f>
        <v/>
      </c>
      <c r="GP334" t="str">
        <f>IF(AG334="","",IF(COUNTIF(AF$3:AF334,AG334)+COUNTIF(AG$3:AG334,AG334)+COUNTIF(AH$2:AH333,AG334)=1,MAX(GO$2:GQ333,GO334)+1,""))</f>
        <v/>
      </c>
      <c r="GQ334" t="str">
        <f>IF(AH334="","",IF(COUNTIF(AF$3:AF334,AH334)+COUNTIF(AG$3:AG334,AH334)+COUNTIF(AH$3:AH334,AH334)=1,MAX(GO$2:GQ333,GO334,GP334)+1,""))</f>
        <v/>
      </c>
      <c r="GR334" t="str">
        <f t="shared" si="525"/>
        <v>3х2,5</v>
      </c>
      <c r="GS334" t="str">
        <f>IF(GR334="","",IF(COUNTIF(GR$3:GR334,GR334)=1,MAX(GS$2:GS333)+1,""))</f>
        <v/>
      </c>
      <c r="GT334" t="str">
        <f>IF(ES334="","",COUNTIF(ES$3:ES334,"?*"))</f>
        <v/>
      </c>
      <c r="GU334" t="str">
        <f>IF(OR(ES334="",EU334=""),"",IF(COUNTIFS(ES$3:ES334,"?*",EU$3:EU334,EU334)=1,MAX(GU$2:GU333)+1,""))</f>
        <v/>
      </c>
      <c r="GV334">
        <f t="shared" si="526"/>
        <v>0</v>
      </c>
      <c r="GW334">
        <f>IF(D334="","",COUNTIF(D$3:D334,"?*"))</f>
        <v>332</v>
      </c>
      <c r="GX334">
        <f>IF(EX334&lt;&gt;1,0,_xlfn.LET(_xlpm.k,MAX(IFERROR(--VLOOKUP(D334,УГО_спр,5,FALSE),0),IFERROR(--VLOOKUP(AT334,УГО_спр,5,FALSE),0),IFERROR(--VLOOKUP(LEFT(AT334,2),УГО_спр,5,FALSE),0)),IF(_xlpm.k&gt;0,_xlpm.k,IF(IFERROR(--LEFT(SUBSTITUTE(GR334,"x","х"),FIND("х",SUBSTITUTE(GR334,"x","х"))-1),3)&gt;3,Каталог!$S$9,1))))</f>
        <v>1</v>
      </c>
      <c r="GY334">
        <f t="shared" si="527"/>
        <v>0</v>
      </c>
    </row>
    <row r="335" spans="1:207" x14ac:dyDescent="0.3">
      <c r="A335" t="s">
        <v>1147</v>
      </c>
      <c r="B335">
        <v>2</v>
      </c>
      <c r="C335" t="str">
        <f>IF(BD335="","",IF(BE335="вводной узел","узел ","")&amp;"л."&amp;(INT((BD335-1)/Столбцов_на_лист)+1)&amp;" / "&amp;(MOD(BD335-1,Столбцов_на_лист)+1))</f>
        <v>узел л.1 / 2</v>
      </c>
      <c r="D335" t="s">
        <v>746</v>
      </c>
      <c r="E335" s="133" t="s">
        <v>1069</v>
      </c>
      <c r="G335">
        <v>0</v>
      </c>
      <c r="H335">
        <v>1</v>
      </c>
      <c r="I335">
        <v>3</v>
      </c>
      <c r="J335">
        <v>400</v>
      </c>
      <c r="K335" t="s">
        <v>551</v>
      </c>
      <c r="O335" t="s">
        <v>1298</v>
      </c>
      <c r="P335">
        <v>16</v>
      </c>
      <c r="Q335">
        <v>5</v>
      </c>
      <c r="R335">
        <v>11</v>
      </c>
      <c r="U335" t="s">
        <v>13</v>
      </c>
      <c r="V335">
        <v>5</v>
      </c>
      <c r="W335">
        <v>2.5</v>
      </c>
      <c r="X335">
        <v>16</v>
      </c>
      <c r="AL335" t="s">
        <v>1301</v>
      </c>
      <c r="AR335" t="str">
        <f t="shared" si="441"/>
        <v/>
      </c>
      <c r="AS335" cm="1">
        <f t="array" ref="AS335">ROW()-ROW(Линии[#Headers])</f>
        <v>333</v>
      </c>
      <c r="AT335" t="str">
        <f t="shared" si="442"/>
        <v>Ввод</v>
      </c>
      <c r="AU335" t="str">
        <f t="shared" si="443"/>
        <v>1</v>
      </c>
      <c r="AV335" t="str">
        <f t="shared" si="444"/>
        <v>1</v>
      </c>
      <c r="AW335" t="str">
        <f t="shared" si="445"/>
        <v/>
      </c>
      <c r="AX335" t="str">
        <f t="shared" si="446"/>
        <v/>
      </c>
      <c r="AY335" t="str">
        <f>IF(D335="","",IF(ISERROR(SEARCH(".",D335)),IFERROR(VLOOKUP(D335,Потребители_обозначение,2,FALSE)&amp;"",""),IFERROR(IF(VLOOKUP(AT335,Потребители_обозначение,4,FALSE)=1,VLOOKUP(AT335,Потребители_обозначение,2,FALSE)&amp;" "&amp;VLOOKUP(AV335,Этаж_обозначение,2,FALSE)&amp;" Пом. №"&amp;AX335,VLOOKUP(AT335,Потребители_обозначение,2,FALSE)&amp;" Шлейф №"&amp;AV335),IFERROR(VLOOKUP(D335,Потребители_обозначение,2,FALSE),""))))</f>
        <v>Вводной кабель Шлейф №1</v>
      </c>
      <c r="AZ335" t="str">
        <f t="shared" si="447"/>
        <v>Вводной кабель №1</v>
      </c>
      <c r="BA335" t="str">
        <f>IF(F335&lt;&gt;"",F335,IF(AND(D335&lt;&gt;"",D335&lt;&gt;A335,ISNUMBER(_xlfn.XMATCH(D335,Щиты[Щит]))),D335,""))</f>
        <v/>
      </c>
      <c r="BB335">
        <f>IFERROR(_xlfn.XMATCH(A335,Щиты[Щит]),0)</f>
        <v>16</v>
      </c>
      <c r="BC335">
        <f>IFERROR(N(_xlfn.XLOOKUP(A335,Щиты[Щит],Щиты[Мест под вводной узел])),15)</f>
        <v>12</v>
      </c>
      <c r="BD335">
        <f t="shared" si="448"/>
        <v>2</v>
      </c>
      <c r="BE335" t="str">
        <f t="shared" si="449"/>
        <v>вводной узел</v>
      </c>
      <c r="BF335">
        <f>IF(D335="","",IF(BA335&lt;&gt;"",IFERROR(_xlfn.XLOOKUP(BA335,Щиты[Щит],Щиты[Руст, кВт]),0),N(G335)))</f>
        <v>0</v>
      </c>
      <c r="BG335">
        <f>IF(J335&lt;&gt;"",J335,IF(D335="","",IFERROR(IF(VLOOKUP(AT335,Потребители_обозначение,8,FALSE)=0,"",VLOOKUP(AT335,Потребители_обозначение,8,FALSE)),"")))</f>
        <v>400</v>
      </c>
      <c r="BH335">
        <f>IF(I335&lt;&gt;"",I335,IF(D335="","",IFERROR(IF(VLOOKUP(AT335,Потребители_обозначение,9,FALSE)=0,"",VLOOKUP(AT335,Потребители_обозначение,9,FALSE)),"")))</f>
        <v>3</v>
      </c>
      <c r="BI335" t="str">
        <f>IF(U335&lt;&gt;"",U335,IF(D335="","",IFERROR(IF(VLOOKUP(AT335,Потребители_обозначение,6,FALSE)=0,"",VLOOKUP(AT335,Потребители_обозначение,6,FALSE)),"")))</f>
        <v>мфр</v>
      </c>
      <c r="BJ335">
        <f>IF(V335&lt;&gt;"",V335,IF(D335="","",IFERROR(IF(VLOOKUP(AT335,Потребители_обозначение,7,FALSE)=0,"",VLOOKUP(AT335,Потребители_обозначение,7,FALSE)),"")))</f>
        <v>5</v>
      </c>
      <c r="BK335">
        <f>IF(W335&lt;&gt;"",W335,IF(D335="","",IFERROR(IF(VLOOKUP(AT335,Потребители_обозначение,10,FALSE)=0,"",VLOOKUP(AT335,Потребители_обозначение,10,FALSE)),"")))</f>
        <v>2.5</v>
      </c>
      <c r="BL335">
        <f>IFERROR(VLOOKUP(AT335,Потребители_обозначение,5,FALSE),0)</f>
        <v>1</v>
      </c>
      <c r="BM335" cm="1">
        <f t="array" ref="BM335">IF(D335="","",IF(BA335&lt;&gt;"",IFERROR(_xlfn.XLOOKUP(BA335,Щиты[Щит],Щиты[cos φ]),0.95),IF(ISNUMBER(M335),M335,IFERROR(IF(BL335=2,_xlfn.IFS(BH335=3,VLOOKUP(BF335,Справочная_двигатели,8,FALSE),BH335=1,VLOOKUP(BF335,Справочная_двигатели,10,TRUE)),IF(AND(Методика="нормы 2026",CN335="Сил"),0.8,0.95)),0.95))))</f>
        <v>0.95</v>
      </c>
      <c r="BN335" cm="1">
        <f t="array" ref="BN335">IF(D335="","",IF(BA335&lt;&gt;"",IFERROR(_xlfn.XLOOKUP(BA335,Щиты[Щит],Щиты[Iр, А]),""),IFERROR(_xlfn.IFS(BH335=1,BF335/((Uн_лин/SQRT(3))*BM335),BH335=3,BF335/(SQRT(3)*Uн_лин*BM335)),"")))</f>
        <v>0</v>
      </c>
      <c r="BO335">
        <f>IF(D335="","",IF(N(X335)=0,IFERROR(VLOOKUP(BN335,Автомат_номиналы,2,TRUE),""),X335))</f>
        <v>16</v>
      </c>
      <c r="BP335">
        <f t="shared" si="450"/>
        <v>0.92</v>
      </c>
      <c r="BQ335">
        <f>IF(ISNUMBER(Y335),Y335,К_прокл)</f>
        <v>1</v>
      </c>
      <c r="BR335">
        <f t="shared" si="451"/>
        <v>3</v>
      </c>
      <c r="BS335" cm="1">
        <f t="array" ref="BS335">IF(D335="","",IF(N(BK335)&lt;&gt;0,BK335,IFERROR(_xlfn.LET(_xlpm.need,BO335/(BP335*BQ335),_xlpm.t,CHOOSE(BR335,Iдоп_1ж,Iдоп_2ж,Iдоп_3ж),_xlpm.k,_xlfn.XMATCH(_xlpm.need,_xlpm.t,1),IF(ISNA(_xlpm.k),"Не исп",INDEX(Iдоп_S,_xlpm.k))),"Не исп")))</f>
        <v>2.5</v>
      </c>
      <c r="BT335">
        <f>IFERROR(VLOOKUP(BS335,Кабель_сопротивление,3,FALSE),"")</f>
        <v>2.2499999999999999E-2</v>
      </c>
      <c r="BU335">
        <f>IFERROR(VLOOKUP(BS335,Кабель_сопротивление,2,FALSE),"")</f>
        <v>0.1</v>
      </c>
      <c r="BV335">
        <f t="shared" si="452"/>
        <v>16</v>
      </c>
      <c r="BW335">
        <f>IF(D335="","",IFERROR(IF(VLOOKUP(AT335,Потребители_обозначение,4,FALSE)=1,VLOOKUP(AT335,Потребители_обозначение,3,FALSE)*(H335*2-1)+BV335+VLOOKUP(AV335,Этаж_обозначение,3,FALSE)+VLOOKUP(AV335,Этаж_обозначение,4,FALSE),VLOOKUP(AT335,Потребители_обозначение,3,FALSE)*(H335*2-1)+BV335),BV335))</f>
        <v>16</v>
      </c>
      <c r="BX335">
        <f t="shared" si="453"/>
        <v>11</v>
      </c>
      <c r="BY335" t="str">
        <f t="shared" si="454"/>
        <v/>
      </c>
      <c r="BZ335">
        <f t="shared" si="455"/>
        <v>1</v>
      </c>
      <c r="CA335">
        <f t="shared" si="456"/>
        <v>0.31</v>
      </c>
      <c r="CB335">
        <f t="shared" si="457"/>
        <v>0</v>
      </c>
      <c r="CC335">
        <f>IFERROR(ROUNDUP(CB335/((Uн_лин/SQRT(3))*1000)*100,2),"")</f>
        <v>0</v>
      </c>
      <c r="CD335">
        <f>IF(ISNUMBER(CC335),CC335+IFERROR(_xlfn.XLOOKUP(A335,Щиты[Щит],Щиты[ΔU до шин, %]),0),"")</f>
        <v>0.41000000000000003</v>
      </c>
      <c r="CE335">
        <f>IF(D335="","",IF(IFERROR(VLOOKUP(AT335,УГО_спр,2,FALSE),"")="Светильник",3,4)+IF(Методика="нормы 2026",MIN(0.5,MAX(0,N(BW335)-100)*0.005),0))</f>
        <v>4</v>
      </c>
      <c r="CF335" t="str">
        <f>IFERROR(VLOOKUP(BI335,Кабель_обозначение,2,FALSE),"")</f>
        <v>ВВГнг(А)-FRLS</v>
      </c>
      <c r="CG335" t="str">
        <f>IFERROR(IF(VLOOKUP(BI335,Кабель_обозначение,3,FALSE)=1,CF335&amp;" ("&amp;BJ335&amp;"х"&amp;BS335&amp;")",CF335),"")</f>
        <v>ВВГнг(А)-FRLS (5х2,5)</v>
      </c>
      <c r="CH335" t="str">
        <f t="shared" si="458"/>
        <v>ВВГнг(А)-FRLS (5х2,5)
L=16-0%</v>
      </c>
      <c r="CI335">
        <f>IFERROR(2*ρкз_Cu*BW335/BS335,"")</f>
        <v>0.33663999999999999</v>
      </c>
      <c r="CJ335">
        <f t="shared" si="459"/>
        <v>0.11200000000000002</v>
      </c>
      <c r="CK335" t="str">
        <f>IFERROR(IF(OR(D335="",NOT(ISNUMBER(BS335)),N(BW335)=0),"",_xlfn.XLOOKUP(A335,Щиты[Щит],Щиты[Zпетли на шинах, Ом])+CI335),"")</f>
        <v/>
      </c>
      <c r="CL335" t="str">
        <f>IF(ISNUMBER(CK335),c_min*(Uн_лин*1000/SQRT(3))/CK335,"")</f>
        <v/>
      </c>
      <c r="CM335" t="str">
        <f>IFERROR(IF(OR(D335="",NOT(ISNUMBER(BS335))),"",1.05*(Uн_лин*1000/SQRT(3))/(_xlfn.XLOOKUP(A335,Щиты[Щит],Щиты[Zmax на шинах, Ом])+CJ335)/1000),"")</f>
        <v/>
      </c>
      <c r="CN335" t="str">
        <f>IF(D335="","",IF(BA335&lt;&gt;"","Щит",IF(K335&lt;&gt;"",K335,IF(ISNUMBER(L335),"Сил",IF(IFERROR(_xlfn.XLOOKUP(AT335,Коды_код,Коды_группа)&amp;"","")="","Быт",_xlfn.XLOOKUP(AT335,Коды_код,Коды_группа)&amp;"")))))</f>
        <v>Нет</v>
      </c>
      <c r="CO335">
        <f>IF(CN335="Щит","щит",IF(CN335="","",IF(CN335="Быт",IFERROR(_xlfn.XLOOKUP(A335,Щиты[Щит],Щиты[Кс быт]),1),IF(CN335="Сил",IF(ISNUMBER(L335),L335,IF(Методика="нормы 2026",IFERROR(_xlfn.XLOOKUP(A335,Щиты[Щит],Щиты[Кс силовых (табл. 7.5)]),1),1)),IF(OR(CN335="Пост",CN335="Отоп"),1,IF(CN335="ВНГ",0.7,0))))))</f>
        <v>0</v>
      </c>
      <c r="CP335">
        <f t="shared" si="460"/>
        <v>1</v>
      </c>
      <c r="CQ335">
        <f t="shared" si="461"/>
        <v>0</v>
      </c>
      <c r="CR335">
        <f t="shared" si="462"/>
        <v>0</v>
      </c>
      <c r="CS335">
        <f t="shared" si="463"/>
        <v>0</v>
      </c>
      <c r="CT335">
        <f t="shared" si="464"/>
        <v>0</v>
      </c>
      <c r="CU335">
        <f t="shared" si="465"/>
        <v>0</v>
      </c>
      <c r="CV335">
        <f t="shared" si="466"/>
        <v>0</v>
      </c>
      <c r="CW335">
        <f t="shared" si="467"/>
        <v>0</v>
      </c>
      <c r="CX335">
        <f t="shared" si="468"/>
        <v>0</v>
      </c>
      <c r="CY335">
        <f t="shared" si="469"/>
        <v>0</v>
      </c>
      <c r="CZ335" t="str">
        <f t="shared" si="470"/>
        <v>L1,L2,L3</v>
      </c>
      <c r="DA335" cm="1">
        <f t="array" ref="DA335">IFERROR(IF(BL335=2,_xlfn.IFS(BH335=3,VLOOKUP(BF335,Справочная_двигатели,3,FALSE),BH335=1,VLOOKUP(BF335,Справочная_двигатели,5,TRUE)),0),0)</f>
        <v>0</v>
      </c>
      <c r="DB335">
        <f>IFERROR(IF(BL335=3,VLOOKUP(BF335,Справочная_ЛЭД,2,TRUE),0),0)</f>
        <v>0</v>
      </c>
      <c r="DC335">
        <f t="shared" si="471"/>
        <v>0</v>
      </c>
      <c r="DD335" t="str">
        <f t="shared" si="472"/>
        <v>L1,L2,L3</v>
      </c>
      <c r="DE335" t="str" cm="1">
        <f t="array" ref="DE335">IF(D335="","",IFERROR(INDEX({"I особая","I","II","III"},MATCH(TRIM(AA335&amp;""),{"I особая","I","II","III"},0)),"III"))</f>
        <v>III</v>
      </c>
      <c r="DF335" t="str">
        <f>IF(D335="","",IF(TRIM(AB335&amp;"")&lt;&gt;"",IF(LOWER(TRIM(AB335&amp;""))="да","да","нет"),IF(IFERROR(_xlfn.XLOOKUP(AT335,Коды_код,Коды_пожарная),"")="да","да","нет")))</f>
        <v>нет</v>
      </c>
      <c r="DG335" t="str">
        <f t="shared" si="473"/>
        <v/>
      </c>
      <c r="DH335" t="str">
        <f t="shared" si="474"/>
        <v>основная</v>
      </c>
      <c r="DI335">
        <f t="shared" si="475"/>
        <v>1</v>
      </c>
      <c r="DJ335" t="str" cm="1">
        <f t="array" ref="DJ335">IF(D335="","",_xlfn.LET(_xlpm.t,IFERROR(_xlfn.XLOOKUP(1,(Шины[Шина]=DH335)*(((Шины[Щит]=A335)+(Шины[Щит]=""))&gt;0),Шины[Тип]),"")&amp;"",IF(_xlpm.t&lt;&gt;"",_xlpm.t,IF(ISNUMBER(SEARCH("ИБП",DH335)),"ИБП",IF(ISNUMBER(SEARCH("ДГУ",DH335)),"ДГУ","Ввод "&amp;DI335)))))</f>
        <v>Ввод 1</v>
      </c>
      <c r="DK335" t="str">
        <f t="shared" si="476"/>
        <v>Ввод 1</v>
      </c>
      <c r="DL335" t="str">
        <f>IF(D335="","",IF(OR(DJ335="ИБП",DJ335="ДГУ"),"I особая",IF(DJ335="Одиночная","III",_xlfn.XLOOKUP(A335,Щиты[Щит],Щиты[Категория шины «Ввод»],"III"))))</f>
        <v>I</v>
      </c>
      <c r="DM335">
        <f>IF(D335="",0,IFERROR(MATCH(DE335,{"III","II","I","I особая"},0),1))</f>
        <v>1</v>
      </c>
      <c r="DN335">
        <f t="shared" si="477"/>
        <v>1</v>
      </c>
      <c r="DO335" t="str">
        <f>IF(D335="","",IF(DM335&gt;IFERROR(MATCH(DL335,{"III","II","I","I особая"},0),1),"НЕ ОБЕСПЕЧЕНА","ОК"))</f>
        <v>ОК</v>
      </c>
      <c r="DP335" t="str">
        <f>IF(A335="","",_xlfn.XLOOKUP(A335,Щиты[Щит],Щиты[Путь],""))</f>
        <v>|ГРЩ-ЖД|ЩСПЗ-ЖД|</v>
      </c>
      <c r="DQ335" t="str">
        <f>IF(D335="","",IF(Z335&lt;&gt;"",Z335,IF(IFERROR(_xlfn.XLOOKUP(AT335,Коды_код,Коды_вид)&amp;"","")="","Прочее",_xlfn.XLOOKUP(AT335,Коды_код,Коды_вид)&amp;"")))</f>
        <v>Прочее</v>
      </c>
      <c r="DR335">
        <f>IF(BD335="","",INT((BD335-1)/Столбцов_на_лист)+1)</f>
        <v>1</v>
      </c>
      <c r="DS335" t="str">
        <f t="shared" si="478"/>
        <v>ВВГнг(А)-FRLS (5х2,5) L=16-0%</v>
      </c>
      <c r="DT335">
        <f t="shared" si="479"/>
        <v>0</v>
      </c>
      <c r="DU335">
        <f t="shared" si="480"/>
        <v>0</v>
      </c>
      <c r="DV335">
        <f t="shared" si="481"/>
        <v>3</v>
      </c>
      <c r="DW335">
        <f>IF(AT335="",0,_xlfn.LET(_xlpm.v,IFERROR(VLOOKUP(D335,УГО_спр,3,FALSE),IFERROR(VLOOKUP(AT335,УГО_спр,3,FALSE),IFERROR(VLOOKUP(LEFT(AT335,2),УГО_спр,3,FALSE),""))),IF(_xlpm.v="да",30,IF(ISNUMBER(_xlpm.v),_xlpm.v,0))))</f>
        <v>0</v>
      </c>
      <c r="DX335">
        <f t="shared" si="482"/>
        <v>0</v>
      </c>
      <c r="DY335" t="str">
        <f>IF(BD335="","",IF(AD335&lt;&gt;"",COUNTIFS(A$3:A335,A335,AD$3:AD335,"?*"),IF(OR(OR(AS335=1,A335&lt;&gt;A334),AL335="вручную"),"",IF(AS335=1,"",DZ334))))</f>
        <v/>
      </c>
      <c r="DZ335" t="str">
        <f t="shared" si="483"/>
        <v/>
      </c>
      <c r="EA335">
        <f>IF(D335="",0,MAX(IFERROR(--X335,0),IFERROR(--VLOOKUP(D335,УГО_спр,4,FALSE),IFERROR(--VLOOKUP(AT335,УГО_спр,4,FALSE),IFERROR(--VLOOKUP(LEFT(AT335,2),УГО_спр,4,FALSE),0)))))</f>
        <v>16</v>
      </c>
      <c r="EB335">
        <f>IF(D335="","",IFERROR(LOOKUP(INDEX(CHOOSE(BR335,Iдоп_1ж,Iдоп_2ж,Iдоп_3ж),MATCH(BS335,Iдоп_S,0))*BP335*BQ335,{6,10,16,20,25,32,40,50,63,80,100,125,160,200,250,315,400,500,630}),""))</f>
        <v>20</v>
      </c>
      <c r="EC335" t="str">
        <f>IF(AD335="","",SUMIFS(Линии[_Ток схемы],Линии[_гр.],DY335,Линии[Щит],A335,Линии[_в кабель выше],0))</f>
        <v/>
      </c>
      <c r="ED335" t="str">
        <f>IF(AD335="","",IFERROR(VLOOKUP(EC335,Автомат_номиналы,2,TRUE),""))</f>
        <v/>
      </c>
      <c r="EE335" t="str">
        <f>IF(AD335="","",MAX(N(ED335),_xlfn.MAXIFS(Линии[_мин. по типу],Линии[_гр.],DY335,Линии[Щит],A335)))</f>
        <v/>
      </c>
      <c r="EF335" t="str">
        <f>IF(AD335="","",_xlfn.MINIFS(Линии[_макс. автомат по кабелю],Линии[_гр.],DY335,Линии[Щит],A335))</f>
        <v/>
      </c>
      <c r="EG335" t="str">
        <f>IF(AD335="","",MAX(1,_xlfn.MAXIFS(Линии[_фаз],Линии[_гр.],DY335,Линии[Щит],A335)))</f>
        <v/>
      </c>
      <c r="EH335" t="str">
        <f>IF(AD335="","",IF(AND(AD335&lt;&gt;"авто",AD335&lt;&gt;"+"),IF(ISNUMBER(SEARCH("мА",AD335)),IFERROR(--TRIM(RIGHT(SUBSTITUTE(LEFT(AD335,SEARCH("мА",AD335)-1)," ",REPT(" ",9)),6)),30),0),IF(AE335="нет",0,IF(ISNUMBER(AE335),AE335,IF(AE335="да",30,_xlfn.MINIFS(Линии[_дифзащита по коду, мА],Линии[_гр.],DY335,Линии[Щит],A335,Линии[_дифзащита по коду, мА],"&gt;0"))))))</f>
        <v/>
      </c>
      <c r="EI335" t="str">
        <f t="shared" si="484"/>
        <v/>
      </c>
      <c r="EJ335" t="str">
        <f t="shared" si="485"/>
        <v/>
      </c>
      <c r="EK335" t="str">
        <f t="shared" si="486"/>
        <v/>
      </c>
      <c r="EL335" t="str">
        <f t="shared" si="487"/>
        <v/>
      </c>
      <c r="EM335">
        <f t="shared" si="488"/>
        <v>0</v>
      </c>
      <c r="EN335" t="str">
        <f>IF(AD335="","",IF(EM335=1,MAX(EE335,Мин_автомат_БП),EE335))</f>
        <v/>
      </c>
      <c r="EO335" t="str">
        <f t="shared" si="489"/>
        <v/>
      </c>
      <c r="EP335" t="str">
        <f t="shared" si="490"/>
        <v/>
      </c>
      <c r="EQ335" t="str">
        <f t="shared" si="491"/>
        <v/>
      </c>
      <c r="ER335" t="str">
        <f>IF(OR(AI335="",AI335="-"),"",IFERROR(VLOOKUP(AI335,Модули_спр,2,FALSE),"R"))</f>
        <v/>
      </c>
      <c r="ES335" t="str">
        <f>IF(ER335="","",ER335&amp;"."&amp;COUNTIFS(A$3:A335,A335,ER$3:ER335,ER335))</f>
        <v/>
      </c>
      <c r="ET335" t="str">
        <f t="shared" si="492"/>
        <v/>
      </c>
      <c r="EU335" t="str">
        <f t="shared" si="493"/>
        <v/>
      </c>
      <c r="EV335" t="str">
        <f t="shared" si="494"/>
        <v/>
      </c>
      <c r="EW335" t="str">
        <f t="shared" si="495"/>
        <v/>
      </c>
      <c r="EX335">
        <f t="shared" si="496"/>
        <v>1</v>
      </c>
      <c r="EY335" t="str">
        <f>IF(AK335="нет","",IF(AK335&lt;&gt;"",AK335,IF(EX335=1,"XT"&amp;COUNTIFS(A$3:A335,A335,EX$3:EX335,1),"")))</f>
        <v>XT1</v>
      </c>
      <c r="EZ335" t="str">
        <f t="shared" si="497"/>
        <v/>
      </c>
      <c r="FA335" t="str">
        <f t="shared" si="498"/>
        <v/>
      </c>
      <c r="FB335" t="str">
        <f t="shared" si="499"/>
        <v/>
      </c>
      <c r="FC335" t="str">
        <f>IF(OR(EV335="",ET335=""),"",IF(EV335&gt;IFERROR(VLOOKUP(EU335,Модули_спр,3,FALSE),99),"ЛИШНИЙ КАНАЛ",IF(AND(AJ335&lt;&gt;"=",COUNTIFS(Линии[_модуль гр.],ET335,Линии[Канал (итог)],EV335,Линии[Канал],"&lt;&gt;=",Линии[Щит],A335)&gt;1),"ДУБЛЬ КАНАЛА","")))</f>
        <v/>
      </c>
      <c r="FD335" t="str">
        <f t="shared" si="500"/>
        <v/>
      </c>
      <c r="FE335" t="str">
        <f t="shared" si="501"/>
        <v/>
      </c>
      <c r="FF335" t="str">
        <f t="shared" si="502"/>
        <v/>
      </c>
      <c r="FG335" t="str">
        <f t="shared" si="503"/>
        <v/>
      </c>
      <c r="FH335" t="str">
        <f t="shared" si="504"/>
        <v/>
      </c>
      <c r="FI335">
        <f t="shared" si="505"/>
        <v>10</v>
      </c>
      <c r="FJ335" t="str">
        <f t="shared" si="506"/>
        <v/>
      </c>
      <c r="FK335" t="str">
        <f>IF(AND(D335="",EZ335=""),"",_xlfn.TEXTJOIN("; ",TRUE,IF(AND(D335&lt;&gt;"",DD335=""),"нет фазы",""),IF(AND(D335&lt;&gt;"",N(DT335)=0,CN335&lt;&gt;"Нет"),"нет мощности",""),IF(AND(EY335&lt;&gt;"",COUNTIFS(Линии[Щит],A335,Линии[Клемма (итог)],EY335)&gt;1),"дубль клеммы "&amp;EY335,""),IF(AND(FB335&lt;&gt;"",FB335&lt;&gt;"ok"),FB335,""),IF(FC335&lt;&gt;"",FC335,""),IF(AND(ISNUMBER(SEARCH("(5х",DS335)),N(DV335)=1),"5 жил на 1 фазе",""),IF(AND(AT335="R",AD335&lt;&gt;"",OR(N(EH335)=0,N(EH335)&gt;30)),"розетка без дифзащиты до 30 мА",""),IFERROR(IF(AND(ISNUMBER(CD335),CD335&gt;CE335),"потери "&amp;FIXED(CD335,1)&amp;" % &gt; "&amp;CE335&amp;" %",""),""),IFERROR(IF(LEFT(FJ335,4)="мало","Iкз мало — отключение &gt; 0,4 с",""),""),IF(AND(D335&lt;&gt;"",BD335=""),"не на схеме","")))</f>
        <v/>
      </c>
      <c r="FL335" t="str">
        <f>IF(AD335="","",_xlfn.LET(_xlpm.t,IFERROR(_xlfn.XLOOKUP(EP335,Каталог!$U$4:$U$500,Каталог!$G$4:$G$500),""),_xlpm.k,SEARCH("кА",_xlpm.t),IFERROR(--TRIM(RIGHT(SUBSTITUTE(MID(_xlpm.t,MAX(1,_xlpm.k-4),_xlpm.k-MAX(1,_xlpm.k-4))," ",REPT(" ",9)),5)),"")))</f>
        <v/>
      </c>
      <c r="FM335" t="str">
        <f>IF(OR(FL335="",AD335=""),"",IF(_xlfn.XLOOKUP(A335,Щиты[Щит],Щиты[Iкз max на шинах, кА],"")="","",IF(FL335&lt;_xlfn.XLOOKUP(A335,Щиты[Щит],Щиты[Iкз max на шинах, кА]),"Icu "&amp;FL335&amp;" кА &lt; Iкз max","ok")))</f>
        <v/>
      </c>
      <c r="FN335" t="str">
        <f t="shared" si="507"/>
        <v/>
      </c>
      <c r="FO335" t="str">
        <f t="shared" si="508"/>
        <v/>
      </c>
      <c r="FP335" t="str" cm="1">
        <f t="array" ref="FP335">IF(FO335="","",_xlfn.LET(_xlpm.nd,_xlfn.TEXTSPLIT(FO335,"|"),IF(COLUMNS(_xlpm.nd)&gt;1,A335&amp;"¦"&amp;INDEX(_xlpm.nd,1)&amp;"¦"&amp;INDEX(_xlpm.nd,2),"")))</f>
        <v/>
      </c>
      <c r="FQ335" t="str">
        <f t="shared" si="509"/>
        <v/>
      </c>
      <c r="FR335" t="str" cm="1">
        <f t="array" ref="FR335">IF(FO335="","",_xlfn.LET(_xlpm.nd,_xlfn.TEXTSPLIT(FO335,"|"),IF(COLUMNS(_xlpm.nd)&gt;2,A335&amp;"¦"&amp;INDEX(_xlpm.nd,2)&amp;"¦"&amp;INDEX(_xlpm.nd,3),"")))</f>
        <v/>
      </c>
      <c r="FS335" t="str">
        <f t="shared" si="510"/>
        <v/>
      </c>
      <c r="FT335" t="str" cm="1">
        <f t="array" ref="FT335">IF(FO335="","",_xlfn.LET(_xlpm.nd,_xlfn.TEXTSPLIT(FO335,"|"),IF(COLUMNS(_xlpm.nd)&gt;3,A335&amp;"¦"&amp;INDEX(_xlpm.nd,3)&amp;"¦"&amp;INDEX(_xlpm.nd,4),"")))</f>
        <v/>
      </c>
      <c r="FU335" t="str">
        <f t="shared" si="511"/>
        <v/>
      </c>
      <c r="FV335" t="str" cm="1">
        <f t="array" ref="FV335">IF(FO335="","",_xlfn.LET(_xlpm.nd,_xlfn.TEXTSPLIT(FO335,"|"),IF(COLUMNS(_xlpm.nd)&gt;4,A335&amp;"¦"&amp;INDEX(_xlpm.nd,4)&amp;"¦"&amp;INDEX(_xlpm.nd,5),"")))</f>
        <v/>
      </c>
      <c r="FW335" t="str">
        <f t="shared" si="512"/>
        <v/>
      </c>
      <c r="FX335" t="str" cm="1">
        <f t="array" ref="FX335">IF(FO335="","",_xlfn.LET(_xlpm.nd,_xlfn.TEXTSPLIT(FO335,"|"),IF(COLUMNS(_xlpm.nd)&gt;5,A335&amp;"¦"&amp;INDEX(_xlpm.nd,5)&amp;"¦"&amp;INDEX(_xlpm.nd,6),"")))</f>
        <v/>
      </c>
      <c r="FY335" t="str">
        <f t="shared" si="513"/>
        <v/>
      </c>
      <c r="FZ335" t="str" cm="1">
        <f t="array" ref="FZ335">IF(FO335="","",_xlfn.LET(_xlpm.nd,_xlfn.TEXTSPLIT(FO335,"|"),IF(COLUMNS(_xlpm.nd)&gt;6,A335&amp;"¦"&amp;INDEX(_xlpm.nd,6)&amp;"¦"&amp;INDEX(_xlpm.nd,7),"")))</f>
        <v/>
      </c>
      <c r="GA335" t="str">
        <f t="shared" si="514"/>
        <v/>
      </c>
      <c r="GB335" t="str">
        <f t="shared" si="515"/>
        <v/>
      </c>
      <c r="GC335" t="str">
        <f t="shared" si="516"/>
        <v>XT1</v>
      </c>
      <c r="GD335">
        <f t="shared" si="517"/>
        <v>0</v>
      </c>
      <c r="GE335">
        <f t="shared" si="518"/>
        <v>0</v>
      </c>
      <c r="GF335">
        <f t="shared" si="519"/>
        <v>0</v>
      </c>
      <c r="GG335" t="str">
        <f t="shared" si="520"/>
        <v/>
      </c>
      <c r="GH335" t="str">
        <f t="shared" si="521"/>
        <v/>
      </c>
      <c r="GI335" t="str">
        <f t="shared" si="522"/>
        <v/>
      </c>
      <c r="GJ335" t="str">
        <f t="shared" si="523"/>
        <v/>
      </c>
      <c r="GK335">
        <f>IF(D335="","",IFERROR(VLOOKUP(D335,УГО_спр,2,FALSE),IFERROR(VLOOKUP(AT335,УГО_спр,2,FALSE),IFERROR(VLOOKUP(LEFT(AT335,2),УГО_спр,2,FALSE),""))))</f>
        <v>0</v>
      </c>
      <c r="GL335" t="str">
        <f>IF(D335="","",IF(OR(GK335="",GK335=0),"BOX",IFERROR(IF(VLOOKUP(GK335,УГО_блоки,3,FALSE)&amp;""&lt;&gt;"",VLOOKUP(GK335,УГО_блоки,3,FALSE),VLOOKUP(GK335,УГО_блоки,2,FALSE)),GK335)))</f>
        <v>BOX</v>
      </c>
      <c r="GM335">
        <f t="shared" si="524"/>
        <v>1</v>
      </c>
      <c r="GN335" t="str">
        <f>IF(EP335="","",IF(COUNTIF(EP$3:EP335,EP335)=1,MAX(GN$2:GN334)+1,""))</f>
        <v/>
      </c>
      <c r="GO335" t="str">
        <f>IF(AF335="","",IF(COUNTIF(AF$3:AF335,AF335)+COUNTIF(AG$2:AG334,AF335)+COUNTIF(AH$2:AH334,AF335)=1,MAX(GO$2:GQ334)+1,""))</f>
        <v/>
      </c>
      <c r="GP335" t="str">
        <f>IF(AG335="","",IF(COUNTIF(AF$3:AF335,AG335)+COUNTIF(AG$3:AG335,AG335)+COUNTIF(AH$2:AH334,AG335)=1,MAX(GO$2:GQ334,GO335)+1,""))</f>
        <v/>
      </c>
      <c r="GQ335" t="str">
        <f>IF(AH335="","",IF(COUNTIF(AF$3:AF335,AH335)+COUNTIF(AG$3:AG335,AH335)+COUNTIF(AH$3:AH335,AH335)=1,MAX(GO$2:GQ334,GO335,GP335)+1,""))</f>
        <v/>
      </c>
      <c r="GR335" t="str">
        <f t="shared" si="525"/>
        <v>5х2,5</v>
      </c>
      <c r="GS335" t="str">
        <f>IF(GR335="","",IF(COUNTIF(GR$3:GR335,GR335)=1,MAX(GS$2:GS334)+1,""))</f>
        <v/>
      </c>
      <c r="GT335" t="str">
        <f>IF(ES335="","",COUNTIF(ES$3:ES335,"?*"))</f>
        <v/>
      </c>
      <c r="GU335" t="str">
        <f>IF(OR(ES335="",EU335=""),"",IF(COUNTIFS(ES$3:ES335,"?*",EU$3:EU335,EU335)=1,MAX(GU$2:GU334)+1,""))</f>
        <v/>
      </c>
      <c r="GV335">
        <f t="shared" si="526"/>
        <v>0</v>
      </c>
      <c r="GW335">
        <f>IF(D335="","",COUNTIF(D$3:D335,"?*"))</f>
        <v>333</v>
      </c>
      <c r="GX335">
        <f>IF(EX335&lt;&gt;1,0,_xlfn.LET(_xlpm.k,MAX(IFERROR(--VLOOKUP(D335,УГО_спр,5,FALSE),0),IFERROR(--VLOOKUP(AT335,УГО_спр,5,FALSE),0),IFERROR(--VLOOKUP(LEFT(AT335,2),УГО_спр,5,FALSE),0)),IF(_xlpm.k&gt;0,_xlpm.k,IF(IFERROR(--LEFT(SUBSTITUTE(GR335,"x","х"),FIND("х",SUBSTITUTE(GR335,"x","х"))-1),3)&gt;3,Каталог!$S$9,1))))</f>
        <v>1</v>
      </c>
      <c r="GY335">
        <f t="shared" si="527"/>
        <v>2</v>
      </c>
    </row>
    <row r="336" spans="1:207" x14ac:dyDescent="0.3">
      <c r="A336" t="s">
        <v>1147</v>
      </c>
      <c r="B336">
        <v>3</v>
      </c>
      <c r="C336" t="str">
        <f>IF(BD336="","",IF(BE336="вводной узел","узел ","")&amp;"л."&amp;(INT((BD336-1)/Столбцов_на_лист)+1)&amp;" / "&amp;(MOD(BD336-1,Столбцов_на_лист)+1))</f>
        <v>узел л.1 / 3</v>
      </c>
      <c r="D336" t="s">
        <v>748</v>
      </c>
      <c r="E336" s="133" t="s">
        <v>1068</v>
      </c>
      <c r="G336">
        <v>0</v>
      </c>
      <c r="H336">
        <v>1</v>
      </c>
      <c r="I336">
        <v>3</v>
      </c>
      <c r="J336">
        <v>400</v>
      </c>
      <c r="K336" t="s">
        <v>551</v>
      </c>
      <c r="O336" t="s">
        <v>1298</v>
      </c>
      <c r="P336">
        <v>16</v>
      </c>
      <c r="Q336">
        <v>5</v>
      </c>
      <c r="R336">
        <v>11</v>
      </c>
      <c r="U336" t="s">
        <v>13</v>
      </c>
      <c r="V336">
        <v>5</v>
      </c>
      <c r="W336">
        <v>2.5</v>
      </c>
      <c r="X336">
        <v>16</v>
      </c>
      <c r="AL336" t="s">
        <v>1301</v>
      </c>
      <c r="AR336" t="str">
        <f t="shared" si="441"/>
        <v/>
      </c>
      <c r="AS336" cm="1">
        <f t="array" ref="AS336">ROW()-ROW(Линии[#Headers])</f>
        <v>334</v>
      </c>
      <c r="AT336" t="str">
        <f t="shared" si="442"/>
        <v>Ввод</v>
      </c>
      <c r="AU336" t="str">
        <f t="shared" si="443"/>
        <v>2</v>
      </c>
      <c r="AV336" t="str">
        <f t="shared" si="444"/>
        <v>2</v>
      </c>
      <c r="AW336" t="str">
        <f t="shared" si="445"/>
        <v/>
      </c>
      <c r="AX336" t="str">
        <f t="shared" si="446"/>
        <v/>
      </c>
      <c r="AY336" t="str">
        <f>IF(D336="","",IF(ISERROR(SEARCH(".",D336)),IFERROR(VLOOKUP(D336,Потребители_обозначение,2,FALSE)&amp;"",""),IFERROR(IF(VLOOKUP(AT336,Потребители_обозначение,4,FALSE)=1,VLOOKUP(AT336,Потребители_обозначение,2,FALSE)&amp;" "&amp;VLOOKUP(AV336,Этаж_обозначение,2,FALSE)&amp;" Пом. №"&amp;AX336,VLOOKUP(AT336,Потребители_обозначение,2,FALSE)&amp;" Шлейф №"&amp;AV336),IFERROR(VLOOKUP(D336,Потребители_обозначение,2,FALSE),""))))</f>
        <v>Вводной кабель Шлейф №2</v>
      </c>
      <c r="AZ336" t="str">
        <f t="shared" si="447"/>
        <v>Вводной кабель №2</v>
      </c>
      <c r="BA336" t="str">
        <f>IF(F336&lt;&gt;"",F336,IF(AND(D336&lt;&gt;"",D336&lt;&gt;A336,ISNUMBER(_xlfn.XMATCH(D336,Щиты[Щит]))),D336,""))</f>
        <v/>
      </c>
      <c r="BB336">
        <f>IFERROR(_xlfn.XMATCH(A336,Щиты[Щит]),0)</f>
        <v>16</v>
      </c>
      <c r="BC336">
        <f>IFERROR(N(_xlfn.XLOOKUP(A336,Щиты[Щит],Щиты[Мест под вводной узел])),15)</f>
        <v>12</v>
      </c>
      <c r="BD336">
        <f t="shared" si="448"/>
        <v>3</v>
      </c>
      <c r="BE336" t="str">
        <f t="shared" si="449"/>
        <v>вводной узел</v>
      </c>
      <c r="BF336">
        <f>IF(D336="","",IF(BA336&lt;&gt;"",IFERROR(_xlfn.XLOOKUP(BA336,Щиты[Щит],Щиты[Руст, кВт]),0),N(G336)))</f>
        <v>0</v>
      </c>
      <c r="BG336">
        <f>IF(J336&lt;&gt;"",J336,IF(D336="","",IFERROR(IF(VLOOKUP(AT336,Потребители_обозначение,8,FALSE)=0,"",VLOOKUP(AT336,Потребители_обозначение,8,FALSE)),"")))</f>
        <v>400</v>
      </c>
      <c r="BH336">
        <f>IF(I336&lt;&gt;"",I336,IF(D336="","",IFERROR(IF(VLOOKUP(AT336,Потребители_обозначение,9,FALSE)=0,"",VLOOKUP(AT336,Потребители_обозначение,9,FALSE)),"")))</f>
        <v>3</v>
      </c>
      <c r="BI336" t="str">
        <f>IF(U336&lt;&gt;"",U336,IF(D336="","",IFERROR(IF(VLOOKUP(AT336,Потребители_обозначение,6,FALSE)=0,"",VLOOKUP(AT336,Потребители_обозначение,6,FALSE)),"")))</f>
        <v>мфр</v>
      </c>
      <c r="BJ336">
        <f>IF(V336&lt;&gt;"",V336,IF(D336="","",IFERROR(IF(VLOOKUP(AT336,Потребители_обозначение,7,FALSE)=0,"",VLOOKUP(AT336,Потребители_обозначение,7,FALSE)),"")))</f>
        <v>5</v>
      </c>
      <c r="BK336">
        <f>IF(W336&lt;&gt;"",W336,IF(D336="","",IFERROR(IF(VLOOKUP(AT336,Потребители_обозначение,10,FALSE)=0,"",VLOOKUP(AT336,Потребители_обозначение,10,FALSE)),"")))</f>
        <v>2.5</v>
      </c>
      <c r="BL336">
        <f>IFERROR(VLOOKUP(AT336,Потребители_обозначение,5,FALSE),0)</f>
        <v>1</v>
      </c>
      <c r="BM336" cm="1">
        <f t="array" ref="BM336">IF(D336="","",IF(BA336&lt;&gt;"",IFERROR(_xlfn.XLOOKUP(BA336,Щиты[Щит],Щиты[cos φ]),0.95),IF(ISNUMBER(M336),M336,IFERROR(IF(BL336=2,_xlfn.IFS(BH336=3,VLOOKUP(BF336,Справочная_двигатели,8,FALSE),BH336=1,VLOOKUP(BF336,Справочная_двигатели,10,TRUE)),IF(AND(Методика="нормы 2026",CN336="Сил"),0.8,0.95)),0.95))))</f>
        <v>0.95</v>
      </c>
      <c r="BN336" cm="1">
        <f t="array" ref="BN336">IF(D336="","",IF(BA336&lt;&gt;"",IFERROR(_xlfn.XLOOKUP(BA336,Щиты[Щит],Щиты[Iр, А]),""),IFERROR(_xlfn.IFS(BH336=1,BF336/((Uн_лин/SQRT(3))*BM336),BH336=3,BF336/(SQRT(3)*Uн_лин*BM336)),"")))</f>
        <v>0</v>
      </c>
      <c r="BO336">
        <f>IF(D336="","",IF(N(X336)=0,IFERROR(VLOOKUP(BN336,Автомат_номиналы,2,TRUE),""),X336))</f>
        <v>16</v>
      </c>
      <c r="BP336">
        <f t="shared" si="450"/>
        <v>0.92</v>
      </c>
      <c r="BQ336">
        <f>IF(ISNUMBER(Y336),Y336,К_прокл)</f>
        <v>1</v>
      </c>
      <c r="BR336">
        <f t="shared" si="451"/>
        <v>3</v>
      </c>
      <c r="BS336" cm="1">
        <f t="array" ref="BS336">IF(D336="","",IF(N(BK336)&lt;&gt;0,BK336,IFERROR(_xlfn.LET(_xlpm.need,BO336/(BP336*BQ336),_xlpm.t,CHOOSE(BR336,Iдоп_1ж,Iдоп_2ж,Iдоп_3ж),_xlpm.k,_xlfn.XMATCH(_xlpm.need,_xlpm.t,1),IF(ISNA(_xlpm.k),"Не исп",INDEX(Iдоп_S,_xlpm.k))),"Не исп")))</f>
        <v>2.5</v>
      </c>
      <c r="BT336">
        <f>IFERROR(VLOOKUP(BS336,Кабель_сопротивление,3,FALSE),"")</f>
        <v>2.2499999999999999E-2</v>
      </c>
      <c r="BU336">
        <f>IFERROR(VLOOKUP(BS336,Кабель_сопротивление,2,FALSE),"")</f>
        <v>0.1</v>
      </c>
      <c r="BV336">
        <f t="shared" si="452"/>
        <v>16</v>
      </c>
      <c r="BW336">
        <f>IF(D336="","",IFERROR(IF(VLOOKUP(AT336,Потребители_обозначение,4,FALSE)=1,VLOOKUP(AT336,Потребители_обозначение,3,FALSE)*(H336*2-1)+BV336+VLOOKUP(AV336,Этаж_обозначение,3,FALSE)+VLOOKUP(AV336,Этаж_обозначение,4,FALSE),VLOOKUP(AT336,Потребители_обозначение,3,FALSE)*(H336*2-1)+BV336),BV336))</f>
        <v>16</v>
      </c>
      <c r="BX336">
        <f t="shared" si="453"/>
        <v>11</v>
      </c>
      <c r="BY336" t="str">
        <f t="shared" si="454"/>
        <v/>
      </c>
      <c r="BZ336">
        <f t="shared" si="455"/>
        <v>1</v>
      </c>
      <c r="CA336">
        <f t="shared" si="456"/>
        <v>0.31</v>
      </c>
      <c r="CB336">
        <f t="shared" si="457"/>
        <v>0</v>
      </c>
      <c r="CC336">
        <f>IFERROR(ROUNDUP(CB336/((Uн_лин/SQRT(3))*1000)*100,2),"")</f>
        <v>0</v>
      </c>
      <c r="CD336">
        <f>IF(ISNUMBER(CC336),CC336+IFERROR(_xlfn.XLOOKUP(A336,Щиты[Щит],Щиты[ΔU до шин, %]),0),"")</f>
        <v>0.41000000000000003</v>
      </c>
      <c r="CE336">
        <f>IF(D336="","",IF(IFERROR(VLOOKUP(AT336,УГО_спр,2,FALSE),"")="Светильник",3,4)+IF(Методика="нормы 2026",MIN(0.5,MAX(0,N(BW336)-100)*0.005),0))</f>
        <v>4</v>
      </c>
      <c r="CF336" t="str">
        <f>IFERROR(VLOOKUP(BI336,Кабель_обозначение,2,FALSE),"")</f>
        <v>ВВГнг(А)-FRLS</v>
      </c>
      <c r="CG336" t="str">
        <f>IFERROR(IF(VLOOKUP(BI336,Кабель_обозначение,3,FALSE)=1,CF336&amp;" ("&amp;BJ336&amp;"х"&amp;BS336&amp;")",CF336),"")</f>
        <v>ВВГнг(А)-FRLS (5х2,5)</v>
      </c>
      <c r="CH336" t="str">
        <f t="shared" si="458"/>
        <v>ВВГнг(А)-FRLS (5х2,5)
L=16-0%</v>
      </c>
      <c r="CI336">
        <f>IFERROR(2*ρкз_Cu*BW336/BS336,"")</f>
        <v>0.33663999999999999</v>
      </c>
      <c r="CJ336">
        <f t="shared" si="459"/>
        <v>0.11200000000000002</v>
      </c>
      <c r="CK336" t="str">
        <f>IFERROR(IF(OR(D336="",NOT(ISNUMBER(BS336)),N(BW336)=0),"",_xlfn.XLOOKUP(A336,Щиты[Щит],Щиты[Zпетли на шинах, Ом])+CI336),"")</f>
        <v/>
      </c>
      <c r="CL336" t="str">
        <f>IF(ISNUMBER(CK336),c_min*(Uн_лин*1000/SQRT(3))/CK336,"")</f>
        <v/>
      </c>
      <c r="CM336" t="str">
        <f>IFERROR(IF(OR(D336="",NOT(ISNUMBER(BS336))),"",1.05*(Uн_лин*1000/SQRT(3))/(_xlfn.XLOOKUP(A336,Щиты[Щит],Щиты[Zmax на шинах, Ом])+CJ336)/1000),"")</f>
        <v/>
      </c>
      <c r="CN336" t="str">
        <f>IF(D336="","",IF(BA336&lt;&gt;"","Щит",IF(K336&lt;&gt;"",K336,IF(ISNUMBER(L336),"Сил",IF(IFERROR(_xlfn.XLOOKUP(AT336,Коды_код,Коды_группа)&amp;"","")="","Быт",_xlfn.XLOOKUP(AT336,Коды_код,Коды_группа)&amp;"")))))</f>
        <v>Нет</v>
      </c>
      <c r="CO336">
        <f>IF(CN336="Щит","щит",IF(CN336="","",IF(CN336="Быт",IFERROR(_xlfn.XLOOKUP(A336,Щиты[Щит],Щиты[Кс быт]),1),IF(CN336="Сил",IF(ISNUMBER(L336),L336,IF(Методика="нормы 2026",IFERROR(_xlfn.XLOOKUP(A336,Щиты[Щит],Щиты[Кс силовых (табл. 7.5)]),1),1)),IF(OR(CN336="Пост",CN336="Отоп"),1,IF(CN336="ВНГ",0.7,0))))))</f>
        <v>0</v>
      </c>
      <c r="CP336">
        <f t="shared" si="460"/>
        <v>1</v>
      </c>
      <c r="CQ336">
        <f t="shared" si="461"/>
        <v>0</v>
      </c>
      <c r="CR336">
        <f t="shared" si="462"/>
        <v>0</v>
      </c>
      <c r="CS336">
        <f t="shared" si="463"/>
        <v>0</v>
      </c>
      <c r="CT336">
        <f t="shared" si="464"/>
        <v>0</v>
      </c>
      <c r="CU336">
        <f t="shared" si="465"/>
        <v>0</v>
      </c>
      <c r="CV336">
        <f t="shared" si="466"/>
        <v>0</v>
      </c>
      <c r="CW336">
        <f t="shared" si="467"/>
        <v>0</v>
      </c>
      <c r="CX336">
        <f t="shared" si="468"/>
        <v>0</v>
      </c>
      <c r="CY336">
        <f t="shared" si="469"/>
        <v>0</v>
      </c>
      <c r="CZ336" t="str">
        <f t="shared" si="470"/>
        <v>L1,L2,L3</v>
      </c>
      <c r="DA336" cm="1">
        <f t="array" ref="DA336">IFERROR(IF(BL336=2,_xlfn.IFS(BH336=3,VLOOKUP(BF336,Справочная_двигатели,3,FALSE),BH336=1,VLOOKUP(BF336,Справочная_двигатели,5,TRUE)),0),0)</f>
        <v>0</v>
      </c>
      <c r="DB336">
        <f>IFERROR(IF(BL336=3,VLOOKUP(BF336,Справочная_ЛЭД,2,TRUE),0),0)</f>
        <v>0</v>
      </c>
      <c r="DC336">
        <f t="shared" si="471"/>
        <v>0</v>
      </c>
      <c r="DD336" t="str">
        <f t="shared" si="472"/>
        <v>L1,L2,L3</v>
      </c>
      <c r="DE336" t="str" cm="1">
        <f t="array" ref="DE336">IF(D336="","",IFERROR(INDEX({"I особая","I","II","III"},MATCH(TRIM(AA336&amp;""),{"I особая","I","II","III"},0)),"III"))</f>
        <v>III</v>
      </c>
      <c r="DF336" t="str">
        <f>IF(D336="","",IF(TRIM(AB336&amp;"")&lt;&gt;"",IF(LOWER(TRIM(AB336&amp;""))="да","да","нет"),IF(IFERROR(_xlfn.XLOOKUP(AT336,Коды_код,Коды_пожарная),"")="да","да","нет")))</f>
        <v>нет</v>
      </c>
      <c r="DG336" t="str">
        <f t="shared" si="473"/>
        <v/>
      </c>
      <c r="DH336" t="str">
        <f t="shared" si="474"/>
        <v>основная</v>
      </c>
      <c r="DI336">
        <f t="shared" si="475"/>
        <v>1</v>
      </c>
      <c r="DJ336" t="str" cm="1">
        <f t="array" ref="DJ336">IF(D336="","",_xlfn.LET(_xlpm.t,IFERROR(_xlfn.XLOOKUP(1,(Шины[Шина]=DH336)*(((Шины[Щит]=A336)+(Шины[Щит]=""))&gt;0),Шины[Тип]),"")&amp;"",IF(_xlpm.t&lt;&gt;"",_xlpm.t,IF(ISNUMBER(SEARCH("ИБП",DH336)),"ИБП",IF(ISNUMBER(SEARCH("ДГУ",DH336)),"ДГУ","Ввод "&amp;DI336)))))</f>
        <v>Ввод 1</v>
      </c>
      <c r="DK336" t="str">
        <f t="shared" si="476"/>
        <v>Ввод 1</v>
      </c>
      <c r="DL336" t="str">
        <f>IF(D336="","",IF(OR(DJ336="ИБП",DJ336="ДГУ"),"I особая",IF(DJ336="Одиночная","III",_xlfn.XLOOKUP(A336,Щиты[Щит],Щиты[Категория шины «Ввод»],"III"))))</f>
        <v>I</v>
      </c>
      <c r="DM336">
        <f>IF(D336="",0,IFERROR(MATCH(DE336,{"III","II","I","I особая"},0),1))</f>
        <v>1</v>
      </c>
      <c r="DN336">
        <f t="shared" si="477"/>
        <v>1</v>
      </c>
      <c r="DO336" t="str">
        <f>IF(D336="","",IF(DM336&gt;IFERROR(MATCH(DL336,{"III","II","I","I особая"},0),1),"НЕ ОБЕСПЕЧЕНА","ОК"))</f>
        <v>ОК</v>
      </c>
      <c r="DP336" t="str">
        <f>IF(A336="","",_xlfn.XLOOKUP(A336,Щиты[Щит],Щиты[Путь],""))</f>
        <v>|ГРЩ-ЖД|ЩСПЗ-ЖД|</v>
      </c>
      <c r="DQ336" t="str">
        <f>IF(D336="","",IF(Z336&lt;&gt;"",Z336,IF(IFERROR(_xlfn.XLOOKUP(AT336,Коды_код,Коды_вид)&amp;"","")="","Прочее",_xlfn.XLOOKUP(AT336,Коды_код,Коды_вид)&amp;"")))</f>
        <v>Прочее</v>
      </c>
      <c r="DR336">
        <f>IF(BD336="","",INT((BD336-1)/Столбцов_на_лист)+1)</f>
        <v>1</v>
      </c>
      <c r="DS336" t="str">
        <f t="shared" si="478"/>
        <v>ВВГнг(А)-FRLS (5х2,5) L=16-0%</v>
      </c>
      <c r="DT336">
        <f t="shared" si="479"/>
        <v>0</v>
      </c>
      <c r="DU336">
        <f t="shared" si="480"/>
        <v>0</v>
      </c>
      <c r="DV336">
        <f t="shared" si="481"/>
        <v>3</v>
      </c>
      <c r="DW336">
        <f>IF(AT336="",0,_xlfn.LET(_xlpm.v,IFERROR(VLOOKUP(D336,УГО_спр,3,FALSE),IFERROR(VLOOKUP(AT336,УГО_спр,3,FALSE),IFERROR(VLOOKUP(LEFT(AT336,2),УГО_спр,3,FALSE),""))),IF(_xlpm.v="да",30,IF(ISNUMBER(_xlpm.v),_xlpm.v,0))))</f>
        <v>0</v>
      </c>
      <c r="DX336">
        <f t="shared" si="482"/>
        <v>0</v>
      </c>
      <c r="DY336" t="str">
        <f>IF(BD336="","",IF(AD336&lt;&gt;"",COUNTIFS(A$3:A336,A336,AD$3:AD336,"?*"),IF(OR(OR(AS336=1,A336&lt;&gt;A335),AL336="вручную"),"",IF(AS336=1,"",DZ335))))</f>
        <v/>
      </c>
      <c r="DZ336" t="str">
        <f t="shared" si="483"/>
        <v/>
      </c>
      <c r="EA336">
        <f>IF(D336="",0,MAX(IFERROR(--X336,0),IFERROR(--VLOOKUP(D336,УГО_спр,4,FALSE),IFERROR(--VLOOKUP(AT336,УГО_спр,4,FALSE),IFERROR(--VLOOKUP(LEFT(AT336,2),УГО_спр,4,FALSE),0)))))</f>
        <v>16</v>
      </c>
      <c r="EB336">
        <f>IF(D336="","",IFERROR(LOOKUP(INDEX(CHOOSE(BR336,Iдоп_1ж,Iдоп_2ж,Iдоп_3ж),MATCH(BS336,Iдоп_S,0))*BP336*BQ336,{6,10,16,20,25,32,40,50,63,80,100,125,160,200,250,315,400,500,630}),""))</f>
        <v>20</v>
      </c>
      <c r="EC336" t="str">
        <f>IF(AD336="","",SUMIFS(Линии[_Ток схемы],Линии[_гр.],DY336,Линии[Щит],A336,Линии[_в кабель выше],0))</f>
        <v/>
      </c>
      <c r="ED336" t="str">
        <f>IF(AD336="","",IFERROR(VLOOKUP(EC336,Автомат_номиналы,2,TRUE),""))</f>
        <v/>
      </c>
      <c r="EE336" t="str">
        <f>IF(AD336="","",MAX(N(ED336),_xlfn.MAXIFS(Линии[_мин. по типу],Линии[_гр.],DY336,Линии[Щит],A336)))</f>
        <v/>
      </c>
      <c r="EF336" t="str">
        <f>IF(AD336="","",_xlfn.MINIFS(Линии[_макс. автомат по кабелю],Линии[_гр.],DY336,Линии[Щит],A336))</f>
        <v/>
      </c>
      <c r="EG336" t="str">
        <f>IF(AD336="","",MAX(1,_xlfn.MAXIFS(Линии[_фаз],Линии[_гр.],DY336,Линии[Щит],A336)))</f>
        <v/>
      </c>
      <c r="EH336" t="str">
        <f>IF(AD336="","",IF(AND(AD336&lt;&gt;"авто",AD336&lt;&gt;"+"),IF(ISNUMBER(SEARCH("мА",AD336)),IFERROR(--TRIM(RIGHT(SUBSTITUTE(LEFT(AD336,SEARCH("мА",AD336)-1)," ",REPT(" ",9)),6)),30),0),IF(AE336="нет",0,IF(ISNUMBER(AE336),AE336,IF(AE336="да",30,_xlfn.MINIFS(Линии[_дифзащита по коду, мА],Линии[_гр.],DY336,Линии[Щит],A336,Линии[_дифзащита по коду, мА],"&gt;0"))))))</f>
        <v/>
      </c>
      <c r="EI336" t="str">
        <f t="shared" si="484"/>
        <v/>
      </c>
      <c r="EJ336" t="str">
        <f t="shared" si="485"/>
        <v/>
      </c>
      <c r="EK336" t="str">
        <f t="shared" si="486"/>
        <v/>
      </c>
      <c r="EL336" t="str">
        <f t="shared" si="487"/>
        <v/>
      </c>
      <c r="EM336">
        <f t="shared" si="488"/>
        <v>0</v>
      </c>
      <c r="EN336" t="str">
        <f>IF(AD336="","",IF(EM336=1,MAX(EE336,Мин_автомат_БП),EE336))</f>
        <v/>
      </c>
      <c r="EO336" t="str">
        <f t="shared" si="489"/>
        <v/>
      </c>
      <c r="EP336" t="str">
        <f t="shared" si="490"/>
        <v/>
      </c>
      <c r="EQ336" t="str">
        <f t="shared" si="491"/>
        <v/>
      </c>
      <c r="ER336" t="str">
        <f>IF(OR(AI336="",AI336="-"),"",IFERROR(VLOOKUP(AI336,Модули_спр,2,FALSE),"R"))</f>
        <v/>
      </c>
      <c r="ES336" t="str">
        <f>IF(ER336="","",ER336&amp;"."&amp;COUNTIFS(A$3:A336,A336,ER$3:ER336,ER336))</f>
        <v/>
      </c>
      <c r="ET336" t="str">
        <f t="shared" si="492"/>
        <v/>
      </c>
      <c r="EU336" t="str">
        <f t="shared" si="493"/>
        <v/>
      </c>
      <c r="EV336" t="str">
        <f t="shared" si="494"/>
        <v/>
      </c>
      <c r="EW336" t="str">
        <f t="shared" si="495"/>
        <v/>
      </c>
      <c r="EX336">
        <f t="shared" si="496"/>
        <v>1</v>
      </c>
      <c r="EY336" t="str">
        <f>IF(AK336="нет","",IF(AK336&lt;&gt;"",AK336,IF(EX336=1,"XT"&amp;COUNTIFS(A$3:A336,A336,EX$3:EX336,1),"")))</f>
        <v>XT2</v>
      </c>
      <c r="EZ336" t="str">
        <f t="shared" si="497"/>
        <v/>
      </c>
      <c r="FA336" t="str">
        <f t="shared" si="498"/>
        <v/>
      </c>
      <c r="FB336" t="str">
        <f t="shared" si="499"/>
        <v/>
      </c>
      <c r="FC336" t="str">
        <f>IF(OR(EV336="",ET336=""),"",IF(EV336&gt;IFERROR(VLOOKUP(EU336,Модули_спр,3,FALSE),99),"ЛИШНИЙ КАНАЛ",IF(AND(AJ336&lt;&gt;"=",COUNTIFS(Линии[_модуль гр.],ET336,Линии[Канал (итог)],EV336,Линии[Канал],"&lt;&gt;=",Линии[Щит],A336)&gt;1),"ДУБЛЬ КАНАЛА","")))</f>
        <v/>
      </c>
      <c r="FD336" t="str">
        <f t="shared" si="500"/>
        <v/>
      </c>
      <c r="FE336" t="str">
        <f t="shared" si="501"/>
        <v/>
      </c>
      <c r="FF336" t="str">
        <f t="shared" si="502"/>
        <v/>
      </c>
      <c r="FG336" t="str">
        <f t="shared" si="503"/>
        <v/>
      </c>
      <c r="FH336" t="str">
        <f t="shared" si="504"/>
        <v/>
      </c>
      <c r="FI336">
        <f t="shared" si="505"/>
        <v>10</v>
      </c>
      <c r="FJ336" t="str">
        <f t="shared" si="506"/>
        <v/>
      </c>
      <c r="FK336" t="str">
        <f>IF(AND(D336="",EZ336=""),"",_xlfn.TEXTJOIN("; ",TRUE,IF(AND(D336&lt;&gt;"",DD336=""),"нет фазы",""),IF(AND(D336&lt;&gt;"",N(DT336)=0,CN336&lt;&gt;"Нет"),"нет мощности",""),IF(AND(EY336&lt;&gt;"",COUNTIFS(Линии[Щит],A336,Линии[Клемма (итог)],EY336)&gt;1),"дубль клеммы "&amp;EY336,""),IF(AND(FB336&lt;&gt;"",FB336&lt;&gt;"ok"),FB336,""),IF(FC336&lt;&gt;"",FC336,""),IF(AND(ISNUMBER(SEARCH("(5х",DS336)),N(DV336)=1),"5 жил на 1 фазе",""),IF(AND(AT336="R",AD336&lt;&gt;"",OR(N(EH336)=0,N(EH336)&gt;30)),"розетка без дифзащиты до 30 мА",""),IFERROR(IF(AND(ISNUMBER(CD336),CD336&gt;CE336),"потери "&amp;FIXED(CD336,1)&amp;" % &gt; "&amp;CE336&amp;" %",""),""),IFERROR(IF(LEFT(FJ336,4)="мало","Iкз мало — отключение &gt; 0,4 с",""),""),IF(AND(D336&lt;&gt;"",BD336=""),"не на схеме","")))</f>
        <v/>
      </c>
      <c r="FL336" t="str">
        <f>IF(AD336="","",_xlfn.LET(_xlpm.t,IFERROR(_xlfn.XLOOKUP(EP336,Каталог!$U$4:$U$500,Каталог!$G$4:$G$500),""),_xlpm.k,SEARCH("кА",_xlpm.t),IFERROR(--TRIM(RIGHT(SUBSTITUTE(MID(_xlpm.t,MAX(1,_xlpm.k-4),_xlpm.k-MAX(1,_xlpm.k-4))," ",REPT(" ",9)),5)),"")))</f>
        <v/>
      </c>
      <c r="FM336" t="str">
        <f>IF(OR(FL336="",AD336=""),"",IF(_xlfn.XLOOKUP(A336,Щиты[Щит],Щиты[Iкз max на шинах, кА],"")="","",IF(FL336&lt;_xlfn.XLOOKUP(A336,Щиты[Щит],Щиты[Iкз max на шинах, кА]),"Icu "&amp;FL336&amp;" кА &lt; Iкз max","ok")))</f>
        <v/>
      </c>
      <c r="FN336" t="str">
        <f t="shared" si="507"/>
        <v/>
      </c>
      <c r="FO336" t="str">
        <f t="shared" si="508"/>
        <v/>
      </c>
      <c r="FP336" t="str" cm="1">
        <f t="array" ref="FP336">IF(FO336="","",_xlfn.LET(_xlpm.nd,_xlfn.TEXTSPLIT(FO336,"|"),IF(COLUMNS(_xlpm.nd)&gt;1,A336&amp;"¦"&amp;INDEX(_xlpm.nd,1)&amp;"¦"&amp;INDEX(_xlpm.nd,2),"")))</f>
        <v/>
      </c>
      <c r="FQ336" t="str">
        <f t="shared" si="509"/>
        <v/>
      </c>
      <c r="FR336" t="str" cm="1">
        <f t="array" ref="FR336">IF(FO336="","",_xlfn.LET(_xlpm.nd,_xlfn.TEXTSPLIT(FO336,"|"),IF(COLUMNS(_xlpm.nd)&gt;2,A336&amp;"¦"&amp;INDEX(_xlpm.nd,2)&amp;"¦"&amp;INDEX(_xlpm.nd,3),"")))</f>
        <v/>
      </c>
      <c r="FS336" t="str">
        <f t="shared" si="510"/>
        <v/>
      </c>
      <c r="FT336" t="str" cm="1">
        <f t="array" ref="FT336">IF(FO336="","",_xlfn.LET(_xlpm.nd,_xlfn.TEXTSPLIT(FO336,"|"),IF(COLUMNS(_xlpm.nd)&gt;3,A336&amp;"¦"&amp;INDEX(_xlpm.nd,3)&amp;"¦"&amp;INDEX(_xlpm.nd,4),"")))</f>
        <v/>
      </c>
      <c r="FU336" t="str">
        <f t="shared" si="511"/>
        <v/>
      </c>
      <c r="FV336" t="str" cm="1">
        <f t="array" ref="FV336">IF(FO336="","",_xlfn.LET(_xlpm.nd,_xlfn.TEXTSPLIT(FO336,"|"),IF(COLUMNS(_xlpm.nd)&gt;4,A336&amp;"¦"&amp;INDEX(_xlpm.nd,4)&amp;"¦"&amp;INDEX(_xlpm.nd,5),"")))</f>
        <v/>
      </c>
      <c r="FW336" t="str">
        <f t="shared" si="512"/>
        <v/>
      </c>
      <c r="FX336" t="str" cm="1">
        <f t="array" ref="FX336">IF(FO336="","",_xlfn.LET(_xlpm.nd,_xlfn.TEXTSPLIT(FO336,"|"),IF(COLUMNS(_xlpm.nd)&gt;5,A336&amp;"¦"&amp;INDEX(_xlpm.nd,5)&amp;"¦"&amp;INDEX(_xlpm.nd,6),"")))</f>
        <v/>
      </c>
      <c r="FY336" t="str">
        <f t="shared" si="513"/>
        <v/>
      </c>
      <c r="FZ336" t="str" cm="1">
        <f t="array" ref="FZ336">IF(FO336="","",_xlfn.LET(_xlpm.nd,_xlfn.TEXTSPLIT(FO336,"|"),IF(COLUMNS(_xlpm.nd)&gt;6,A336&amp;"¦"&amp;INDEX(_xlpm.nd,6)&amp;"¦"&amp;INDEX(_xlpm.nd,7),"")))</f>
        <v/>
      </c>
      <c r="GA336" t="str">
        <f t="shared" si="514"/>
        <v/>
      </c>
      <c r="GB336" t="str">
        <f t="shared" si="515"/>
        <v/>
      </c>
      <c r="GC336" t="str">
        <f t="shared" si="516"/>
        <v>XT2</v>
      </c>
      <c r="GD336">
        <f t="shared" si="517"/>
        <v>0</v>
      </c>
      <c r="GE336">
        <f t="shared" si="518"/>
        <v>0</v>
      </c>
      <c r="GF336">
        <f t="shared" si="519"/>
        <v>0</v>
      </c>
      <c r="GG336" t="str">
        <f t="shared" si="520"/>
        <v/>
      </c>
      <c r="GH336" t="str">
        <f t="shared" si="521"/>
        <v/>
      </c>
      <c r="GI336" t="str">
        <f t="shared" si="522"/>
        <v/>
      </c>
      <c r="GJ336" t="str">
        <f t="shared" si="523"/>
        <v/>
      </c>
      <c r="GK336">
        <f>IF(D336="","",IFERROR(VLOOKUP(D336,УГО_спр,2,FALSE),IFERROR(VLOOKUP(AT336,УГО_спр,2,FALSE),IFERROR(VLOOKUP(LEFT(AT336,2),УГО_спр,2,FALSE),""))))</f>
        <v>0</v>
      </c>
      <c r="GL336" t="str">
        <f>IF(D336="","",IF(OR(GK336="",GK336=0),"BOX",IFERROR(IF(VLOOKUP(GK336,УГО_блоки,3,FALSE)&amp;""&lt;&gt;"",VLOOKUP(GK336,УГО_блоки,3,FALSE),VLOOKUP(GK336,УГО_блоки,2,FALSE)),GK336)))</f>
        <v>BOX</v>
      </c>
      <c r="GM336">
        <f t="shared" si="524"/>
        <v>1</v>
      </c>
      <c r="GN336" t="str">
        <f>IF(EP336="","",IF(COUNTIF(EP$3:EP336,EP336)=1,MAX(GN$2:GN335)+1,""))</f>
        <v/>
      </c>
      <c r="GO336" t="str">
        <f>IF(AF336="","",IF(COUNTIF(AF$3:AF336,AF336)+COUNTIF(AG$2:AG335,AF336)+COUNTIF(AH$2:AH335,AF336)=1,MAX(GO$2:GQ335)+1,""))</f>
        <v/>
      </c>
      <c r="GP336" t="str">
        <f>IF(AG336="","",IF(COUNTIF(AF$3:AF336,AG336)+COUNTIF(AG$3:AG336,AG336)+COUNTIF(AH$2:AH335,AG336)=1,MAX(GO$2:GQ335,GO336)+1,""))</f>
        <v/>
      </c>
      <c r="GQ336" t="str">
        <f>IF(AH336="","",IF(COUNTIF(AF$3:AF336,AH336)+COUNTIF(AG$3:AG336,AH336)+COUNTIF(AH$3:AH336,AH336)=1,MAX(GO$2:GQ335,GO336,GP336)+1,""))</f>
        <v/>
      </c>
      <c r="GR336" t="str">
        <f t="shared" si="525"/>
        <v>5х2,5</v>
      </c>
      <c r="GS336" t="str">
        <f>IF(GR336="","",IF(COUNTIF(GR$3:GR336,GR336)=1,MAX(GS$2:GS335)+1,""))</f>
        <v/>
      </c>
      <c r="GT336" t="str">
        <f>IF(ES336="","",COUNTIF(ES$3:ES336,"?*"))</f>
        <v/>
      </c>
      <c r="GU336" t="str">
        <f>IF(OR(ES336="",EU336=""),"",IF(COUNTIFS(ES$3:ES336,"?*",EU$3:EU336,EU336)=1,MAX(GU$2:GU335)+1,""))</f>
        <v/>
      </c>
      <c r="GV336">
        <f t="shared" si="526"/>
        <v>0</v>
      </c>
      <c r="GW336">
        <f>IF(D336="","",COUNTIF(D$3:D336,"?*"))</f>
        <v>334</v>
      </c>
      <c r="GX336">
        <f>IF(EX336&lt;&gt;1,0,_xlfn.LET(_xlpm.k,MAX(IFERROR(--VLOOKUP(D336,УГО_спр,5,FALSE),0),IFERROR(--VLOOKUP(AT336,УГО_спр,5,FALSE),0),IFERROR(--VLOOKUP(LEFT(AT336,2),УГО_спр,5,FALSE),0)),IF(_xlpm.k&gt;0,_xlpm.k,IF(IFERROR(--LEFT(SUBSTITUTE(GR336,"x","х"),FIND("х",SUBSTITUTE(GR336,"x","х"))-1),3)&gt;3,Каталог!$S$9,1))))</f>
        <v>1</v>
      </c>
      <c r="GY336">
        <f t="shared" si="527"/>
        <v>2</v>
      </c>
    </row>
    <row r="337" spans="1:207" x14ac:dyDescent="0.3">
      <c r="A337" t="s">
        <v>1147</v>
      </c>
      <c r="B337">
        <v>13</v>
      </c>
      <c r="C337" t="str">
        <f>IF(BD337="","",IF(BE337="вводной узел","узел ","")&amp;"л."&amp;(INT((BD337-1)/Столбцов_на_лист)+1)&amp;" / "&amp;(MOD(BD337-1,Столбцов_на_лист)+1))</f>
        <v>л.1 / 13</v>
      </c>
      <c r="D337" t="s">
        <v>1673</v>
      </c>
      <c r="E337" s="133" t="s">
        <v>1674</v>
      </c>
      <c r="G337">
        <v>0.4</v>
      </c>
      <c r="H337">
        <v>1</v>
      </c>
      <c r="I337">
        <v>1</v>
      </c>
      <c r="J337">
        <v>230</v>
      </c>
      <c r="K337" t="s">
        <v>577</v>
      </c>
      <c r="O337">
        <v>2</v>
      </c>
      <c r="P337">
        <v>46</v>
      </c>
      <c r="Q337">
        <v>21</v>
      </c>
      <c r="R337">
        <v>17</v>
      </c>
      <c r="T337">
        <v>1</v>
      </c>
      <c r="U337" t="s">
        <v>13</v>
      </c>
      <c r="V337">
        <v>3</v>
      </c>
      <c r="W337">
        <v>2.5</v>
      </c>
      <c r="X337">
        <v>16</v>
      </c>
      <c r="Z337" t="s">
        <v>595</v>
      </c>
      <c r="AA337" t="s">
        <v>866</v>
      </c>
      <c r="AB337" t="s">
        <v>492</v>
      </c>
      <c r="AD337" t="s">
        <v>517</v>
      </c>
      <c r="AR337" t="str">
        <f t="shared" si="441"/>
        <v/>
      </c>
      <c r="AS337" cm="1">
        <f t="array" ref="AS337">ROW()-ROW(Линии[#Headers])</f>
        <v>335</v>
      </c>
      <c r="AT337" t="str">
        <f t="shared" si="442"/>
        <v>FCP1-2</v>
      </c>
      <c r="AU337" t="str">
        <f t="shared" si="443"/>
        <v/>
      </c>
      <c r="AV337" t="str">
        <f t="shared" si="444"/>
        <v/>
      </c>
      <c r="AW337" t="str">
        <f t="shared" si="445"/>
        <v/>
      </c>
      <c r="AX337" t="str">
        <f t="shared" si="446"/>
        <v/>
      </c>
      <c r="AY337" t="str">
        <f>IF(D337="","",IF(ISERROR(SEARCH(".",D337)),IFERROR(VLOOKUP(D337,Потребители_обозначение,2,FALSE)&amp;"",""),IFERROR(IF(VLOOKUP(AT337,Потребители_обозначение,4,FALSE)=1,VLOOKUP(AT337,Потребители_обозначение,2,FALSE)&amp;" "&amp;VLOOKUP(AV337,Этаж_обозначение,2,FALSE)&amp;" Пом. №"&amp;AX337,VLOOKUP(AT337,Потребители_обозначение,2,FALSE)&amp;" Шлейф №"&amp;AV337),IFERROR(VLOOKUP(D337,Потребители_обозначение,2,FALSE),""))))</f>
        <v/>
      </c>
      <c r="AZ337" t="str">
        <f t="shared" si="447"/>
        <v>шкаф пожарной сигнализации  Подвальный этаж Пом. №007Т</v>
      </c>
      <c r="BA337" t="str">
        <f>IF(F337&lt;&gt;"",F337,IF(AND(D337&lt;&gt;"",D337&lt;&gt;A337,ISNUMBER(_xlfn.XMATCH(D337,Щиты[Щит]))),D337,""))</f>
        <v/>
      </c>
      <c r="BB337">
        <f>IFERROR(_xlfn.XMATCH(A337,Щиты[Щит]),0)</f>
        <v>16</v>
      </c>
      <c r="BC337">
        <f>IFERROR(N(_xlfn.XLOOKUP(A337,Щиты[Щит],Щиты[Мест под вводной узел])),15)</f>
        <v>12</v>
      </c>
      <c r="BD337">
        <f t="shared" si="448"/>
        <v>13</v>
      </c>
      <c r="BE337" t="str">
        <f t="shared" si="449"/>
        <v>линии</v>
      </c>
      <c r="BF337">
        <f>IF(D337="","",IF(BA337&lt;&gt;"",IFERROR(_xlfn.XLOOKUP(BA337,Щиты[Щит],Щиты[Руст, кВт]),0),N(G337)))</f>
        <v>0.4</v>
      </c>
      <c r="BG337">
        <f>IF(J337&lt;&gt;"",J337,IF(D337="","",IFERROR(IF(VLOOKUP(AT337,Потребители_обозначение,8,FALSE)=0,"",VLOOKUP(AT337,Потребители_обозначение,8,FALSE)),"")))</f>
        <v>230</v>
      </c>
      <c r="BH337">
        <f>IF(I337&lt;&gt;"",I337,IF(D337="","",IFERROR(IF(VLOOKUP(AT337,Потребители_обозначение,9,FALSE)=0,"",VLOOKUP(AT337,Потребители_обозначение,9,FALSE)),"")))</f>
        <v>1</v>
      </c>
      <c r="BI337" t="str">
        <f>IF(U337&lt;&gt;"",U337,IF(D337="","",IFERROR(IF(VLOOKUP(AT337,Потребители_обозначение,6,FALSE)=0,"",VLOOKUP(AT337,Потребители_обозначение,6,FALSE)),"")))</f>
        <v>мфр</v>
      </c>
      <c r="BJ337">
        <f>IF(V337&lt;&gt;"",V337,IF(D337="","",IFERROR(IF(VLOOKUP(AT337,Потребители_обозначение,7,FALSE)=0,"",VLOOKUP(AT337,Потребители_обозначение,7,FALSE)),"")))</f>
        <v>3</v>
      </c>
      <c r="BK337">
        <f>IF(W337&lt;&gt;"",W337,IF(D337="","",IFERROR(IF(VLOOKUP(AT337,Потребители_обозначение,10,FALSE)=0,"",VLOOKUP(AT337,Потребители_обозначение,10,FALSE)),"")))</f>
        <v>2.5</v>
      </c>
      <c r="BL337">
        <f>IFERROR(VLOOKUP(AT337,Потребители_обозначение,5,FALSE),0)</f>
        <v>0</v>
      </c>
      <c r="BM337" cm="1">
        <f t="array" ref="BM337">IF(D337="","",IF(BA337&lt;&gt;"",IFERROR(_xlfn.XLOOKUP(BA337,Щиты[Щит],Щиты[cos φ]),0.95),IF(ISNUMBER(M337),M337,IFERROR(IF(BL337=2,_xlfn.IFS(BH337=3,VLOOKUP(BF337,Справочная_двигатели,8,FALSE),BH337=1,VLOOKUP(BF337,Справочная_двигатели,10,TRUE)),IF(AND(Методика="нормы 2026",CN337="Сил"),0.8,0.95)),0.95))))</f>
        <v>0.95</v>
      </c>
      <c r="BN337" cm="1">
        <f t="array" ref="BN337">IF(D337="","",IF(BA337&lt;&gt;"",IFERROR(_xlfn.XLOOKUP(BA337,Щиты[Щит],Щиты[Iр, А]),""),IFERROR(_xlfn.IFS(BH337=1,BF337/((Uн_лин/SQRT(3))*BM337),BH337=3,BF337/(SQRT(3)*Uн_лин*BM337)),"")))</f>
        <v>1.823211376388292</v>
      </c>
      <c r="BO337">
        <f>IF(D337="","",IF(N(X337)=0,IFERROR(VLOOKUP(BN337,Автомат_номиналы,2,TRUE),""),X337))</f>
        <v>16</v>
      </c>
      <c r="BP337">
        <f t="shared" si="450"/>
        <v>1</v>
      </c>
      <c r="BQ337">
        <f>IF(ISNUMBER(Y337),Y337,К_прокл)</f>
        <v>1</v>
      </c>
      <c r="BR337">
        <f t="shared" si="451"/>
        <v>2</v>
      </c>
      <c r="BS337" cm="1">
        <f t="array" ref="BS337">IF(D337="","",IF(N(BK337)&lt;&gt;0,BK337,IFERROR(_xlfn.LET(_xlpm.need,BO337/(BP337*BQ337),_xlpm.t,CHOOSE(BR337,Iдоп_1ж,Iдоп_2ж,Iдоп_3ж),_xlpm.k,_xlfn.XMATCH(_xlpm.need,_xlpm.t,1),IF(ISNA(_xlpm.k),"Не исп",INDEX(Iдоп_S,_xlpm.k))),"Не исп")))</f>
        <v>2.5</v>
      </c>
      <c r="BT337">
        <f>IFERROR(VLOOKUP(BS337,Кабель_сопротивление,3,FALSE),"")</f>
        <v>2.2499999999999999E-2</v>
      </c>
      <c r="BU337">
        <f>IFERROR(VLOOKUP(BS337,Кабель_сопротивление,2,FALSE),"")</f>
        <v>0.1</v>
      </c>
      <c r="BV337">
        <f t="shared" si="452"/>
        <v>46</v>
      </c>
      <c r="BW337">
        <f>IF(D337="","",IFERROR(IF(VLOOKUP(AT337,Потребители_обозначение,4,FALSE)=1,VLOOKUP(AT337,Потребители_обозначение,3,FALSE)*(H337*2-1)+BV337+VLOOKUP(AV337,Этаж_обозначение,3,FALSE)+VLOOKUP(AV337,Этаж_обозначение,4,FALSE),VLOOKUP(AT337,Потребители_обозначение,3,FALSE)*(H337*2-1)+BV337),BV337))</f>
        <v>46</v>
      </c>
      <c r="BX337">
        <f t="shared" si="453"/>
        <v>17</v>
      </c>
      <c r="BY337">
        <f t="shared" si="454"/>
        <v>0</v>
      </c>
      <c r="BZ337">
        <f t="shared" si="455"/>
        <v>2</v>
      </c>
      <c r="CA337">
        <f t="shared" si="456"/>
        <v>0.31</v>
      </c>
      <c r="CB337">
        <f t="shared" si="457"/>
        <v>1.4393378675124897</v>
      </c>
      <c r="CC337">
        <f>IFERROR(ROUNDUP(CB337/((Uн_лин/SQRT(3))*1000)*100,2),"")</f>
        <v>0.63</v>
      </c>
      <c r="CD337">
        <f>IF(ISNUMBER(CC337),CC337+IFERROR(_xlfn.XLOOKUP(A337,Щиты[Щит],Щиты[ΔU до шин, %]),0),"")</f>
        <v>1.04</v>
      </c>
      <c r="CE337">
        <f>IF(D337="","",IF(IFERROR(VLOOKUP(AT337,УГО_спр,2,FALSE),"")="Светильник",3,4)+IF(Методика="нормы 2026",MIN(0.5,MAX(0,N(BW337)-100)*0.005),0))</f>
        <v>4</v>
      </c>
      <c r="CF337" t="str">
        <f>IFERROR(VLOOKUP(BI337,Кабель_обозначение,2,FALSE),"")</f>
        <v>ВВГнг(А)-FRLS</v>
      </c>
      <c r="CG337" t="str">
        <f>IFERROR(IF(VLOOKUP(BI337,Кабель_обозначение,3,FALSE)=1,CF337&amp;" ("&amp;BJ337&amp;"х"&amp;BS337&amp;")",CF337),"")</f>
        <v>ВВГнг(А)-FRLS (3х2,5)</v>
      </c>
      <c r="CH337" t="str">
        <f t="shared" si="458"/>
        <v>ВВГнг(А)-FRLS (3х2,5)
L=46-0,63%</v>
      </c>
      <c r="CI337">
        <f>IFERROR(2*ρкз_Cu*BW337/BS337,"")</f>
        <v>0.96784000000000003</v>
      </c>
      <c r="CJ337">
        <f t="shared" si="459"/>
        <v>0.32200000000000001</v>
      </c>
      <c r="CK337" t="str">
        <f>IFERROR(IF(OR(D337="",NOT(ISNUMBER(BS337)),N(BW337)=0),"",_xlfn.XLOOKUP(A337,Щиты[Щит],Щиты[Zпетли на шинах, Ом])+CI337),"")</f>
        <v/>
      </c>
      <c r="CL337" t="str">
        <f>IF(ISNUMBER(CK337),c_min*(Uн_лин*1000/SQRT(3))/CK337,"")</f>
        <v/>
      </c>
      <c r="CM337" t="str">
        <f>IFERROR(IF(OR(D337="",NOT(ISNUMBER(BS337))),"",1.05*(Uн_лин*1000/SQRT(3))/(_xlfn.XLOOKUP(A337,Щиты[Щит],Щиты[Zmax на шинах, Ом])+CJ337)/1000),"")</f>
        <v/>
      </c>
      <c r="CN337" t="str">
        <f>IF(D337="","",IF(BA337&lt;&gt;"","Щит",IF(K337&lt;&gt;"",K337,IF(ISNUMBER(L337),"Сил",IF(IFERROR(_xlfn.XLOOKUP(AT337,Коды_код,Коды_группа)&amp;"","")="","Быт",_xlfn.XLOOKUP(AT337,Коды_код,Коды_группа)&amp;"")))))</f>
        <v>Пост</v>
      </c>
      <c r="CO337">
        <f>IF(CN337="Щит","щит",IF(CN337="","",IF(CN337="Быт",IFERROR(_xlfn.XLOOKUP(A337,Щиты[Щит],Щиты[Кс быт]),1),IF(CN337="Сил",IF(ISNUMBER(L337),L337,IF(Методика="нормы 2026",IFERROR(_xlfn.XLOOKUP(A337,Щиты[Щит],Щиты[Кс силовых (табл. 7.5)]),1),1)),IF(OR(CN337="Пост",CN337="Отоп"),1,IF(CN337="ВНГ",0.7,0))))))</f>
        <v>1</v>
      </c>
      <c r="CP337">
        <f t="shared" si="460"/>
        <v>1</v>
      </c>
      <c r="CQ337">
        <f t="shared" si="461"/>
        <v>0.4</v>
      </c>
      <c r="CR337">
        <f t="shared" si="462"/>
        <v>0</v>
      </c>
      <c r="CS337">
        <f t="shared" si="463"/>
        <v>0</v>
      </c>
      <c r="CT337">
        <f t="shared" si="464"/>
        <v>0.4</v>
      </c>
      <c r="CU337">
        <f t="shared" si="465"/>
        <v>0</v>
      </c>
      <c r="CV337">
        <f t="shared" si="466"/>
        <v>0</v>
      </c>
      <c r="CW337">
        <f t="shared" si="467"/>
        <v>0.4</v>
      </c>
      <c r="CX337">
        <f t="shared" si="468"/>
        <v>0.38</v>
      </c>
      <c r="CY337">
        <f t="shared" si="469"/>
        <v>1</v>
      </c>
      <c r="CZ337" t="str">
        <f t="shared" si="470"/>
        <v>L1</v>
      </c>
      <c r="DA337" cm="1">
        <f t="array" ref="DA337">IFERROR(IF(BL337=2,_xlfn.IFS(BH337=3,VLOOKUP(BF337,Справочная_двигатели,3,FALSE),BH337=1,VLOOKUP(BF337,Справочная_двигатели,5,TRUE)),0),0)</f>
        <v>0</v>
      </c>
      <c r="DB337">
        <f>IFERROR(IF(BL337=3,VLOOKUP(BF337,Справочная_ЛЭД,2,TRUE),0),0)</f>
        <v>0</v>
      </c>
      <c r="DC337">
        <f t="shared" si="471"/>
        <v>0</v>
      </c>
      <c r="DD337" t="str">
        <f t="shared" si="472"/>
        <v>L2</v>
      </c>
      <c r="DE337" t="str" cm="1">
        <f t="array" ref="DE337">IF(D337="","",IFERROR(INDEX({"I особая","I","II","III"},MATCH(TRIM(AA337&amp;""),{"I особая","I","II","III"},0)),"III"))</f>
        <v>I</v>
      </c>
      <c r="DF337" t="str">
        <f>IF(D337="","",IF(TRIM(AB337&amp;"")&lt;&gt;"",IF(LOWER(TRIM(AB337&amp;""))="да","да","нет"),IF(IFERROR(_xlfn.XLOOKUP(AT337,Коды_код,Коды_пожарная),"")="да","да","нет")))</f>
        <v>да</v>
      </c>
      <c r="DG337" t="str">
        <f t="shared" si="473"/>
        <v/>
      </c>
      <c r="DH337" t="str">
        <f t="shared" si="474"/>
        <v>основная</v>
      </c>
      <c r="DI337">
        <f t="shared" si="475"/>
        <v>1</v>
      </c>
      <c r="DJ337" t="str" cm="1">
        <f t="array" ref="DJ337">IF(D337="","",_xlfn.LET(_xlpm.t,IFERROR(_xlfn.XLOOKUP(1,(Шины[Шина]=DH337)*(((Шины[Щит]=A337)+(Шины[Щит]=""))&gt;0),Шины[Тип]),"")&amp;"",IF(_xlpm.t&lt;&gt;"",_xlpm.t,IF(ISNUMBER(SEARCH("ИБП",DH337)),"ИБП",IF(ISNUMBER(SEARCH("ДГУ",DH337)),"ДГУ","Ввод "&amp;DI337)))))</f>
        <v>Ввод 1</v>
      </c>
      <c r="DK337" t="str">
        <f t="shared" si="476"/>
        <v>Ввод 1</v>
      </c>
      <c r="DL337" t="str">
        <f>IF(D337="","",IF(OR(DJ337="ИБП",DJ337="ДГУ"),"I особая",IF(DJ337="Одиночная","III",_xlfn.XLOOKUP(A337,Щиты[Щит],Щиты[Категория шины «Ввод»],"III"))))</f>
        <v>I</v>
      </c>
      <c r="DM337">
        <f>IF(D337="",0,IFERROR(MATCH(DE337,{"III","II","I","I особая"},0),1))</f>
        <v>3</v>
      </c>
      <c r="DN337">
        <f t="shared" si="477"/>
        <v>3</v>
      </c>
      <c r="DO337" t="str">
        <f>IF(D337="","",IF(DM337&gt;IFERROR(MATCH(DL337,{"III","II","I","I особая"},0),1),"НЕ ОБЕСПЕЧЕНА","ОК"))</f>
        <v>ОК</v>
      </c>
      <c r="DP337" t="str">
        <f>IF(A337="","",_xlfn.XLOOKUP(A337,Щиты[Щит],Щиты[Путь],""))</f>
        <v>|ГРЩ-ЖД|ЩСПЗ-ЖД|</v>
      </c>
      <c r="DQ337" t="str">
        <f>IF(D337="","",IF(Z337&lt;&gt;"",Z337,IF(IFERROR(_xlfn.XLOOKUP(AT337,Коды_код,Коды_вид)&amp;"","")="","Прочее",_xlfn.XLOOKUP(AT337,Коды_код,Коды_вид)&amp;"")))</f>
        <v>Системы противопожарной защиты</v>
      </c>
      <c r="DR337">
        <f>IF(BD337="","",INT((BD337-1)/Столбцов_на_лист)+1)</f>
        <v>1</v>
      </c>
      <c r="DS337" t="str">
        <f t="shared" si="478"/>
        <v>ВВГнг(А)-FRLS (3х2,5) L=46-0,63%</v>
      </c>
      <c r="DT337">
        <f t="shared" si="479"/>
        <v>0.4</v>
      </c>
      <c r="DU337">
        <f t="shared" si="480"/>
        <v>1.83</v>
      </c>
      <c r="DV337">
        <f t="shared" si="481"/>
        <v>1</v>
      </c>
      <c r="DW337">
        <f>IF(AT337="",0,_xlfn.LET(_xlpm.v,IFERROR(VLOOKUP(D337,УГО_спр,3,FALSE),IFERROR(VLOOKUP(AT337,УГО_спр,3,FALSE),IFERROR(VLOOKUP(LEFT(AT337,2),УГО_спр,3,FALSE),""))),IF(_xlpm.v="да",30,IF(ISNUMBER(_xlpm.v),_xlpm.v,0))))</f>
        <v>0</v>
      </c>
      <c r="DX337">
        <f t="shared" si="482"/>
        <v>0</v>
      </c>
      <c r="DY337">
        <f>IF(BD337="","",IF(AD337&lt;&gt;"",COUNTIFS(A$3:A337,A337,AD$3:AD337,"?*"),IF(OR(OR(AS337=1,A337&lt;&gt;A336),AL337="вручную"),"",IF(AS337=1,"",DZ336))))</f>
        <v>1</v>
      </c>
      <c r="DZ337">
        <f t="shared" si="483"/>
        <v>1</v>
      </c>
      <c r="EA337">
        <f>IF(D337="",0,MAX(IFERROR(--X337,0),IFERROR(--VLOOKUP(D337,УГО_спр,4,FALSE),IFERROR(--VLOOKUP(AT337,УГО_спр,4,FALSE),IFERROR(--VLOOKUP(LEFT(AT337,2),УГО_спр,4,FALSE),0)))))</f>
        <v>16</v>
      </c>
      <c r="EB337">
        <f>IF(D337="","",IFERROR(LOOKUP(INDEX(CHOOSE(BR337,Iдоп_1ж,Iдоп_2ж,Iдоп_3ж),MATCH(BS337,Iдоп_S,0))*BP337*BQ337,{6,10,16,20,25,32,40,50,63,80,100,125,160,200,250,315,400,500,630}),""))</f>
        <v>25</v>
      </c>
      <c r="EC337">
        <f>IF(AD337="","",SUMIFS(Линии[_Ток схемы],Линии[_гр.],DY337,Линии[Щит],A337,Линии[_в кабель выше],0))</f>
        <v>1.83</v>
      </c>
      <c r="ED337">
        <f>IF(AD337="","",IFERROR(VLOOKUP(EC337,Автомат_номиналы,2,TRUE),""))</f>
        <v>6</v>
      </c>
      <c r="EE337">
        <f>IF(AD337="","",MAX(N(ED337),_xlfn.MAXIFS(Линии[_мин. по типу],Линии[_гр.],DY337,Линии[Щит],A337)))</f>
        <v>16</v>
      </c>
      <c r="EF337">
        <f>IF(AD337="","",_xlfn.MINIFS(Линии[_макс. автомат по кабелю],Линии[_гр.],DY337,Линии[Щит],A337))</f>
        <v>25</v>
      </c>
      <c r="EG337">
        <f>IF(AD337="","",MAX(1,_xlfn.MAXIFS(Линии[_фаз],Линии[_гр.],DY337,Линии[Щит],A337)))</f>
        <v>1</v>
      </c>
      <c r="EH337">
        <f>IF(AD337="","",IF(AND(AD337&lt;&gt;"авто",AD337&lt;&gt;"+"),IF(ISNUMBER(SEARCH("мА",AD337)),IFERROR(--TRIM(RIGHT(SUBSTITUTE(LEFT(AD337,SEARCH("мА",AD337)-1)," ",REPT(" ",9)),6)),30),0),IF(AE337="нет",0,IF(ISNUMBER(AE337),AE337,IF(AE337="да",30,_xlfn.MINIFS(Линии[_дифзащита по коду, мА],Линии[_гр.],DY337,Линии[Щит],A337,Линии[_дифзащита по коду, мА],"&gt;0"))))))</f>
        <v>0</v>
      </c>
      <c r="EI337">
        <f t="shared" si="484"/>
        <v>0</v>
      </c>
      <c r="EJ337" t="str">
        <f t="shared" si="485"/>
        <v>QF1</v>
      </c>
      <c r="EK337" t="str">
        <f t="shared" si="486"/>
        <v>QF1</v>
      </c>
      <c r="EL337" t="str">
        <f t="shared" si="487"/>
        <v/>
      </c>
      <c r="EM337">
        <f t="shared" si="488"/>
        <v>0</v>
      </c>
      <c r="EN337">
        <f>IF(AD337="","",IF(EM337=1,MAX(EE337,Мин_автомат_БП),EE337))</f>
        <v>16</v>
      </c>
      <c r="EO337" t="str">
        <f t="shared" si="489"/>
        <v>1P</v>
      </c>
      <c r="EP337" t="str">
        <f t="shared" si="490"/>
        <v>1P С16А</v>
      </c>
      <c r="EQ337">
        <f t="shared" si="491"/>
        <v>16</v>
      </c>
      <c r="ER337" t="str">
        <f>IF(OR(AI337="",AI337="-"),"",IFERROR(VLOOKUP(AI337,Модули_спр,2,FALSE),"R"))</f>
        <v/>
      </c>
      <c r="ES337" t="str">
        <f>IF(ER337="","",ER337&amp;"."&amp;COUNTIFS(A$3:A337,A337,ER$3:ER337,ER337))</f>
        <v/>
      </c>
      <c r="ET337" t="str">
        <f t="shared" si="492"/>
        <v/>
      </c>
      <c r="EU337" t="str">
        <f t="shared" si="493"/>
        <v/>
      </c>
      <c r="EV337" t="str">
        <f t="shared" si="494"/>
        <v/>
      </c>
      <c r="EW337" t="str">
        <f t="shared" si="495"/>
        <v/>
      </c>
      <c r="EX337">
        <f t="shared" si="496"/>
        <v>1</v>
      </c>
      <c r="EY337" t="str">
        <f>IF(AK337="нет","",IF(AK337&lt;&gt;"",AK337,IF(EX337=1,"XT"&amp;COUNTIFS(A$3:A337,A337,EX$3:EX337,1),"")))</f>
        <v>XT3</v>
      </c>
      <c r="EZ337" t="str">
        <f t="shared" si="497"/>
        <v>QF1</v>
      </c>
      <c r="FA337" t="str">
        <f t="shared" si="498"/>
        <v/>
      </c>
      <c r="FB337" t="str">
        <f t="shared" si="499"/>
        <v>ok</v>
      </c>
      <c r="FC337" t="str">
        <f>IF(OR(EV337="",ET337=""),"",IF(EV337&gt;IFERROR(VLOOKUP(EU337,Модули_спр,3,FALSE),99),"ЛИШНИЙ КАНАЛ",IF(AND(AJ337&lt;&gt;"=",COUNTIFS(Линии[_модуль гр.],ET337,Линии[Канал (итог)],EV337,Линии[Канал],"&lt;&gt;=",Линии[Щит],A337)&gt;1),"ДУБЛЬ КАНАЛА","")))</f>
        <v/>
      </c>
      <c r="FD337">
        <f t="shared" si="500"/>
        <v>16</v>
      </c>
      <c r="FE337" t="str">
        <f t="shared" si="501"/>
        <v>1P С16А</v>
      </c>
      <c r="FF337">
        <f t="shared" si="502"/>
        <v>0</v>
      </c>
      <c r="FG337">
        <f t="shared" si="503"/>
        <v>0</v>
      </c>
      <c r="FH337" t="str">
        <f t="shared" si="504"/>
        <v/>
      </c>
      <c r="FI337">
        <f t="shared" si="505"/>
        <v>10</v>
      </c>
      <c r="FJ337" t="str">
        <f t="shared" si="506"/>
        <v/>
      </c>
      <c r="FK337" t="str">
        <f>IF(AND(D337="",EZ337=""),"",_xlfn.TEXTJOIN("; ",TRUE,IF(AND(D337&lt;&gt;"",DD337=""),"нет фазы",""),IF(AND(D337&lt;&gt;"",N(DT337)=0,CN337&lt;&gt;"Нет"),"нет мощности",""),IF(AND(EY337&lt;&gt;"",COUNTIFS(Линии[Щит],A337,Линии[Клемма (итог)],EY337)&gt;1),"дубль клеммы "&amp;EY337,""),IF(AND(FB337&lt;&gt;"",FB337&lt;&gt;"ok"),FB337,""),IF(FC337&lt;&gt;"",FC337,""),IF(AND(ISNUMBER(SEARCH("(5х",DS337)),N(DV337)=1),"5 жил на 1 фазе",""),IF(AND(AT337="R",AD337&lt;&gt;"",OR(N(EH337)=0,N(EH337)&gt;30)),"розетка без дифзащиты до 30 мА",""),IFERROR(IF(AND(ISNUMBER(CD337),CD337&gt;CE337),"потери "&amp;FIXED(CD337,1)&amp;" % &gt; "&amp;CE337&amp;" %",""),""),IFERROR(IF(LEFT(FJ337,4)="мало","Iкз мало — отключение &gt; 0,4 с",""),""),IF(AND(D337&lt;&gt;"",BD337=""),"не на схеме","")))</f>
        <v/>
      </c>
      <c r="FL337">
        <f>IF(AD337="","",_xlfn.LET(_xlpm.t,IFERROR(_xlfn.XLOOKUP(EP337,Каталог!$U$4:$U$500,Каталог!$G$4:$G$500),""),_xlpm.k,SEARCH("кА",_xlpm.t),IFERROR(--TRIM(RIGHT(SUBSTITUTE(MID(_xlpm.t,MAX(1,_xlpm.k-4),_xlpm.k-MAX(1,_xlpm.k-4))," ",REPT(" ",9)),5)),"")))</f>
        <v>6</v>
      </c>
      <c r="FM337" t="str">
        <f>IF(OR(FL337="",AD337=""),"",IF(_xlfn.XLOOKUP(A337,Щиты[Щит],Щиты[Iкз max на шинах, кА],"")="","",IF(FL337&lt;_xlfn.XLOOKUP(A337,Щиты[Щит],Щиты[Iкз max на шинах, кА]),"Icu "&amp;FL337&amp;" кА &lt; Iкз max","ok")))</f>
        <v/>
      </c>
      <c r="FN337" t="str">
        <f t="shared" si="507"/>
        <v>QF1|XT3</v>
      </c>
      <c r="FO337" t="str">
        <f t="shared" si="508"/>
        <v>QF1|XT3|кабель ВВГнг(А)-FRLS (3х2,5) → шкаф пожарной сигнализации  Подвальный этаж Пом. №007Т</v>
      </c>
      <c r="FP337" t="str" cm="1">
        <f t="array" ref="FP337">IF(FO337="","",_xlfn.LET(_xlpm.nd,_xlfn.TEXTSPLIT(FO337,"|"),IF(COLUMNS(_xlpm.nd)&gt;1,A337&amp;"¦"&amp;INDEX(_xlpm.nd,1)&amp;"¦"&amp;INDEX(_xlpm.nd,2),"")))</f>
        <v>ЩСПЗ-ЖД¦QF1¦XT3</v>
      </c>
      <c r="FQ337" t="str">
        <f t="shared" si="509"/>
        <v>FCP1-2¦шкаф пожарной сигнализации  Подвальный этаж Пом. №007Т</v>
      </c>
      <c r="FR337" t="str" cm="1">
        <f t="array" ref="FR337">IF(FO337="","",_xlfn.LET(_xlpm.nd,_xlfn.TEXTSPLIT(FO337,"|"),IF(COLUMNS(_xlpm.nd)&gt;2,A337&amp;"¦"&amp;INDEX(_xlpm.nd,2)&amp;"¦"&amp;INDEX(_xlpm.nd,3),"")))</f>
        <v>ЩСПЗ-ЖД¦XT3¦кабель ВВГнг(А)-FRLS (3х2,5) → шкаф пожарной сигнализации  Подвальный этаж Пом. №007Т</v>
      </c>
      <c r="FS337" t="str">
        <f t="shared" si="510"/>
        <v>FCP1-2¦шкаф пожарной сигнализации  Подвальный этаж Пом. №007Т</v>
      </c>
      <c r="FT337" t="str" cm="1">
        <f t="array" ref="FT337">IF(FO337="","",_xlfn.LET(_xlpm.nd,_xlfn.TEXTSPLIT(FO337,"|"),IF(COLUMNS(_xlpm.nd)&gt;3,A337&amp;"¦"&amp;INDEX(_xlpm.nd,3)&amp;"¦"&amp;INDEX(_xlpm.nd,4),"")))</f>
        <v/>
      </c>
      <c r="FU337" t="str">
        <f t="shared" si="511"/>
        <v/>
      </c>
      <c r="FV337" t="str" cm="1">
        <f t="array" ref="FV337">IF(FO337="","",_xlfn.LET(_xlpm.nd,_xlfn.TEXTSPLIT(FO337,"|"),IF(COLUMNS(_xlpm.nd)&gt;4,A337&amp;"¦"&amp;INDEX(_xlpm.nd,4)&amp;"¦"&amp;INDEX(_xlpm.nd,5),"")))</f>
        <v/>
      </c>
      <c r="FW337" t="str">
        <f t="shared" si="512"/>
        <v/>
      </c>
      <c r="FX337" t="str" cm="1">
        <f t="array" ref="FX337">IF(FO337="","",_xlfn.LET(_xlpm.nd,_xlfn.TEXTSPLIT(FO337,"|"),IF(COLUMNS(_xlpm.nd)&gt;5,A337&amp;"¦"&amp;INDEX(_xlpm.nd,5)&amp;"¦"&amp;INDEX(_xlpm.nd,6),"")))</f>
        <v/>
      </c>
      <c r="FY337" t="str">
        <f t="shared" si="513"/>
        <v/>
      </c>
      <c r="FZ337" t="str" cm="1">
        <f t="array" ref="FZ337">IF(FO337="","",_xlfn.LET(_xlpm.nd,_xlfn.TEXTSPLIT(FO337,"|"),IF(COLUMNS(_xlpm.nd)&gt;6,A337&amp;"¦"&amp;INDEX(_xlpm.nd,6)&amp;"¦"&amp;INDEX(_xlpm.nd,7),"")))</f>
        <v/>
      </c>
      <c r="GA337" t="str">
        <f t="shared" si="514"/>
        <v/>
      </c>
      <c r="GB337" t="str">
        <f t="shared" si="515"/>
        <v/>
      </c>
      <c r="GC337" t="str">
        <f t="shared" si="516"/>
        <v>QF1 → XT3</v>
      </c>
      <c r="GD337">
        <f t="shared" si="517"/>
        <v>1</v>
      </c>
      <c r="GE337">
        <f t="shared" si="518"/>
        <v>0</v>
      </c>
      <c r="GF337">
        <f t="shared" si="519"/>
        <v>0</v>
      </c>
      <c r="GG337" t="str">
        <f t="shared" si="520"/>
        <v/>
      </c>
      <c r="GH337" t="str">
        <f t="shared" si="521"/>
        <v/>
      </c>
      <c r="GI337" t="str">
        <f t="shared" si="522"/>
        <v/>
      </c>
      <c r="GJ337" t="str">
        <f t="shared" si="523"/>
        <v/>
      </c>
      <c r="GK337" t="str">
        <f>IF(D337="","",IFERROR(VLOOKUP(D337,УГО_спр,2,FALSE),IFERROR(VLOOKUP(AT337,УГО_спр,2,FALSE),IFERROR(VLOOKUP(LEFT(AT337,2),УГО_спр,2,FALSE),""))))</f>
        <v/>
      </c>
      <c r="GL337" t="str">
        <f>IF(D337="","",IF(OR(GK337="",GK337=0),"BOX",IFERROR(IF(VLOOKUP(GK337,УГО_блоки,3,FALSE)&amp;""&lt;&gt;"",VLOOKUP(GK337,УГО_блоки,3,FALSE),VLOOKUP(GK337,УГО_блоки,2,FALSE)),GK337)))</f>
        <v>BOX</v>
      </c>
      <c r="GM337">
        <f t="shared" si="524"/>
        <v>1</v>
      </c>
      <c r="GN337" t="str">
        <f>IF(EP337="","",IF(COUNTIF(EP$3:EP337,EP337)=1,MAX(GN$2:GN336)+1,""))</f>
        <v/>
      </c>
      <c r="GO337" t="str">
        <f>IF(AF337="","",IF(COUNTIF(AF$3:AF337,AF337)+COUNTIF(AG$2:AG336,AF337)+COUNTIF(AH$2:AH336,AF337)=1,MAX(GO$2:GQ336)+1,""))</f>
        <v/>
      </c>
      <c r="GP337" t="str">
        <f>IF(AG337="","",IF(COUNTIF(AF$3:AF337,AG337)+COUNTIF(AG$3:AG337,AG337)+COUNTIF(AH$2:AH336,AG337)=1,MAX(GO$2:GQ336,GO337)+1,""))</f>
        <v/>
      </c>
      <c r="GQ337" t="str">
        <f>IF(AH337="","",IF(COUNTIF(AF$3:AF337,AH337)+COUNTIF(AG$3:AG337,AH337)+COUNTIF(AH$3:AH337,AH337)=1,MAX(GO$2:GQ336,GO337,GP337)+1,""))</f>
        <v/>
      </c>
      <c r="GR337" t="str">
        <f t="shared" si="525"/>
        <v>3х2,5</v>
      </c>
      <c r="GS337" t="str">
        <f>IF(GR337="","",IF(COUNTIF(GR$3:GR337,GR337)=1,MAX(GS$2:GS336)+1,""))</f>
        <v/>
      </c>
      <c r="GT337" t="str">
        <f>IF(ES337="","",COUNTIF(ES$3:ES337,"?*"))</f>
        <v/>
      </c>
      <c r="GU337" t="str">
        <f>IF(OR(ES337="",EU337=""),"",IF(COUNTIFS(ES$3:ES337,"?*",EU$3:EU337,EU337)=1,MAX(GU$2:GU336)+1,""))</f>
        <v/>
      </c>
      <c r="GV337">
        <f t="shared" si="526"/>
        <v>0</v>
      </c>
      <c r="GW337">
        <f>IF(D337="","",COUNTIF(D$3:D337,"?*"))</f>
        <v>335</v>
      </c>
      <c r="GX337">
        <f>IF(EX337&lt;&gt;1,0,_xlfn.LET(_xlpm.k,MAX(IFERROR(--VLOOKUP(D337,УГО_спр,5,FALSE),0),IFERROR(--VLOOKUP(AT337,УГО_спр,5,FALSE),0),IFERROR(--VLOOKUP(LEFT(AT337,2),УГО_спр,5,FALSE),0)),IF(_xlpm.k&gt;0,_xlpm.k,IF(IFERROR(--LEFT(SUBSTITUTE(GR337,"x","х"),FIND("х",SUBSTITUTE(GR337,"x","х"))-1),3)&gt;3,Каталог!$S$9,1))))</f>
        <v>1</v>
      </c>
      <c r="GY337">
        <f t="shared" si="527"/>
        <v>0</v>
      </c>
    </row>
    <row r="338" spans="1:207" x14ac:dyDescent="0.3">
      <c r="A338" t="s">
        <v>1147</v>
      </c>
      <c r="B338">
        <v>14</v>
      </c>
      <c r="C338" t="str">
        <f>IF(BD338="","",IF(BE338="вводной узел","узел ","")&amp;"л."&amp;(INT((BD338-1)/Столбцов_на_лист)+1)&amp;" / "&amp;(MOD(BD338-1,Столбцов_на_лист)+1))</f>
        <v>л.1 / 14</v>
      </c>
      <c r="D338" t="s">
        <v>1675</v>
      </c>
      <c r="E338" s="133" t="s">
        <v>1676</v>
      </c>
      <c r="G338">
        <v>0.4</v>
      </c>
      <c r="H338">
        <v>1</v>
      </c>
      <c r="I338">
        <v>1</v>
      </c>
      <c r="J338">
        <v>230</v>
      </c>
      <c r="K338" t="s">
        <v>577</v>
      </c>
      <c r="O338">
        <v>3</v>
      </c>
      <c r="P338">
        <v>31</v>
      </c>
      <c r="Q338">
        <v>11</v>
      </c>
      <c r="R338">
        <v>12</v>
      </c>
      <c r="T338">
        <v>1</v>
      </c>
      <c r="U338" t="s">
        <v>13</v>
      </c>
      <c r="V338">
        <v>3</v>
      </c>
      <c r="W338">
        <v>2.5</v>
      </c>
      <c r="X338">
        <v>16</v>
      </c>
      <c r="Z338" t="s">
        <v>595</v>
      </c>
      <c r="AA338" t="s">
        <v>866</v>
      </c>
      <c r="AB338" t="s">
        <v>492</v>
      </c>
      <c r="AD338" t="s">
        <v>517</v>
      </c>
      <c r="AR338" t="str">
        <f t="shared" si="441"/>
        <v/>
      </c>
      <c r="AS338" cm="1">
        <f t="array" ref="AS338">ROW()-ROW(Линии[#Headers])</f>
        <v>336</v>
      </c>
      <c r="AT338" t="str">
        <f t="shared" si="442"/>
        <v>ENC1-11</v>
      </c>
      <c r="AU338" t="str">
        <f t="shared" si="443"/>
        <v/>
      </c>
      <c r="AV338" t="str">
        <f t="shared" si="444"/>
        <v/>
      </c>
      <c r="AW338" t="str">
        <f t="shared" si="445"/>
        <v/>
      </c>
      <c r="AX338" t="str">
        <f t="shared" si="446"/>
        <v/>
      </c>
      <c r="AY338" t="str">
        <f>IF(D338="","",IF(ISERROR(SEARCH(".",D338)),IFERROR(VLOOKUP(D338,Потребители_обозначение,2,FALSE)&amp;"",""),IFERROR(IF(VLOOKUP(AT338,Потребители_обозначение,4,FALSE)=1,VLOOKUP(AT338,Потребители_обозначение,2,FALSE)&amp;" "&amp;VLOOKUP(AV338,Этаж_обозначение,2,FALSE)&amp;" Пом. №"&amp;AX338,VLOOKUP(AT338,Потребители_обозначение,2,FALSE)&amp;" Шлейф №"&amp;AV338),IFERROR(VLOOKUP(D338,Потребители_обозначение,2,FALSE),""))))</f>
        <v/>
      </c>
      <c r="AZ338" t="str">
        <f t="shared" si="447"/>
        <v>шкаф системы оповещения и управления эвакуацией Цокольный этаж Пом. №002Т</v>
      </c>
      <c r="BA338" t="str">
        <f>IF(F338&lt;&gt;"",F338,IF(AND(D338&lt;&gt;"",D338&lt;&gt;A338,ISNUMBER(_xlfn.XMATCH(D338,Щиты[Щит]))),D338,""))</f>
        <v/>
      </c>
      <c r="BB338">
        <f>IFERROR(_xlfn.XMATCH(A338,Щиты[Щит]),0)</f>
        <v>16</v>
      </c>
      <c r="BC338">
        <f>IFERROR(N(_xlfn.XLOOKUP(A338,Щиты[Щит],Щиты[Мест под вводной узел])),15)</f>
        <v>12</v>
      </c>
      <c r="BD338">
        <f t="shared" si="448"/>
        <v>14</v>
      </c>
      <c r="BE338" t="str">
        <f t="shared" si="449"/>
        <v>линии</v>
      </c>
      <c r="BF338">
        <f>IF(D338="","",IF(BA338&lt;&gt;"",IFERROR(_xlfn.XLOOKUP(BA338,Щиты[Щит],Щиты[Руст, кВт]),0),N(G338)))</f>
        <v>0.4</v>
      </c>
      <c r="BG338">
        <f>IF(J338&lt;&gt;"",J338,IF(D338="","",IFERROR(IF(VLOOKUP(AT338,Потребители_обозначение,8,FALSE)=0,"",VLOOKUP(AT338,Потребители_обозначение,8,FALSE)),"")))</f>
        <v>230</v>
      </c>
      <c r="BH338">
        <f>IF(I338&lt;&gt;"",I338,IF(D338="","",IFERROR(IF(VLOOKUP(AT338,Потребители_обозначение,9,FALSE)=0,"",VLOOKUP(AT338,Потребители_обозначение,9,FALSE)),"")))</f>
        <v>1</v>
      </c>
      <c r="BI338" t="str">
        <f>IF(U338&lt;&gt;"",U338,IF(D338="","",IFERROR(IF(VLOOKUP(AT338,Потребители_обозначение,6,FALSE)=0,"",VLOOKUP(AT338,Потребители_обозначение,6,FALSE)),"")))</f>
        <v>мфр</v>
      </c>
      <c r="BJ338">
        <f>IF(V338&lt;&gt;"",V338,IF(D338="","",IFERROR(IF(VLOOKUP(AT338,Потребители_обозначение,7,FALSE)=0,"",VLOOKUP(AT338,Потребители_обозначение,7,FALSE)),"")))</f>
        <v>3</v>
      </c>
      <c r="BK338">
        <f>IF(W338&lt;&gt;"",W338,IF(D338="","",IFERROR(IF(VLOOKUP(AT338,Потребители_обозначение,10,FALSE)=0,"",VLOOKUP(AT338,Потребители_обозначение,10,FALSE)),"")))</f>
        <v>2.5</v>
      </c>
      <c r="BL338">
        <f>IFERROR(VLOOKUP(AT338,Потребители_обозначение,5,FALSE),0)</f>
        <v>0</v>
      </c>
      <c r="BM338" cm="1">
        <f t="array" ref="BM338">IF(D338="","",IF(BA338&lt;&gt;"",IFERROR(_xlfn.XLOOKUP(BA338,Щиты[Щит],Щиты[cos φ]),0.95),IF(ISNUMBER(M338),M338,IFERROR(IF(BL338=2,_xlfn.IFS(BH338=3,VLOOKUP(BF338,Справочная_двигатели,8,FALSE),BH338=1,VLOOKUP(BF338,Справочная_двигатели,10,TRUE)),IF(AND(Методика="нормы 2026",CN338="Сил"),0.8,0.95)),0.95))))</f>
        <v>0.95</v>
      </c>
      <c r="BN338" cm="1">
        <f t="array" ref="BN338">IF(D338="","",IF(BA338&lt;&gt;"",IFERROR(_xlfn.XLOOKUP(BA338,Щиты[Щит],Щиты[Iр, А]),""),IFERROR(_xlfn.IFS(BH338=1,BF338/((Uн_лин/SQRT(3))*BM338),BH338=3,BF338/(SQRT(3)*Uн_лин*BM338)),"")))</f>
        <v>1.823211376388292</v>
      </c>
      <c r="BO338">
        <f>IF(D338="","",IF(N(X338)=0,IFERROR(VLOOKUP(BN338,Автомат_номиналы,2,TRUE),""),X338))</f>
        <v>16</v>
      </c>
      <c r="BP338">
        <f t="shared" si="450"/>
        <v>1</v>
      </c>
      <c r="BQ338">
        <f>IF(ISNUMBER(Y338),Y338,К_прокл)</f>
        <v>1</v>
      </c>
      <c r="BR338">
        <f t="shared" si="451"/>
        <v>2</v>
      </c>
      <c r="BS338" cm="1">
        <f t="array" ref="BS338">IF(D338="","",IF(N(BK338)&lt;&gt;0,BK338,IFERROR(_xlfn.LET(_xlpm.need,BO338/(BP338*BQ338),_xlpm.t,CHOOSE(BR338,Iдоп_1ж,Iдоп_2ж,Iдоп_3ж),_xlpm.k,_xlfn.XMATCH(_xlpm.need,_xlpm.t,1),IF(ISNA(_xlpm.k),"Не исп",INDEX(Iдоп_S,_xlpm.k))),"Не исп")))</f>
        <v>2.5</v>
      </c>
      <c r="BT338">
        <f>IFERROR(VLOOKUP(BS338,Кабель_сопротивление,3,FALSE),"")</f>
        <v>2.2499999999999999E-2</v>
      </c>
      <c r="BU338">
        <f>IFERROR(VLOOKUP(BS338,Кабель_сопротивление,2,FALSE),"")</f>
        <v>0.1</v>
      </c>
      <c r="BV338">
        <f t="shared" si="452"/>
        <v>31</v>
      </c>
      <c r="BW338">
        <f>IF(D338="","",IFERROR(IF(VLOOKUP(AT338,Потребители_обозначение,4,FALSE)=1,VLOOKUP(AT338,Потребители_обозначение,3,FALSE)*(H338*2-1)+BV338+VLOOKUP(AV338,Этаж_обозначение,3,FALSE)+VLOOKUP(AV338,Этаж_обозначение,4,FALSE),VLOOKUP(AT338,Потребители_обозначение,3,FALSE)*(H338*2-1)+BV338),BV338))</f>
        <v>31</v>
      </c>
      <c r="BX338">
        <f t="shared" si="453"/>
        <v>12</v>
      </c>
      <c r="BY338">
        <f t="shared" si="454"/>
        <v>0</v>
      </c>
      <c r="BZ338">
        <f t="shared" si="455"/>
        <v>2</v>
      </c>
      <c r="CA338">
        <f t="shared" si="456"/>
        <v>0.31</v>
      </c>
      <c r="CB338">
        <f t="shared" si="457"/>
        <v>0.96998856288885182</v>
      </c>
      <c r="CC338">
        <f>IFERROR(ROUNDUP(CB338/((Uн_лин/SQRT(3))*1000)*100,2),"")</f>
        <v>0.43</v>
      </c>
      <c r="CD338">
        <f>IF(ISNUMBER(CC338),CC338+IFERROR(_xlfn.XLOOKUP(A338,Щиты[Щит],Щиты[ΔU до шин, %]),0),"")</f>
        <v>0.84000000000000008</v>
      </c>
      <c r="CE338">
        <f>IF(D338="","",IF(IFERROR(VLOOKUP(AT338,УГО_спр,2,FALSE),"")="Светильник",3,4)+IF(Методика="нормы 2026",MIN(0.5,MAX(0,N(BW338)-100)*0.005),0))</f>
        <v>4</v>
      </c>
      <c r="CF338" t="str">
        <f>IFERROR(VLOOKUP(BI338,Кабель_обозначение,2,FALSE),"")</f>
        <v>ВВГнг(А)-FRLS</v>
      </c>
      <c r="CG338" t="str">
        <f>IFERROR(IF(VLOOKUP(BI338,Кабель_обозначение,3,FALSE)=1,CF338&amp;" ("&amp;BJ338&amp;"х"&amp;BS338&amp;")",CF338),"")</f>
        <v>ВВГнг(А)-FRLS (3х2,5)</v>
      </c>
      <c r="CH338" t="str">
        <f t="shared" si="458"/>
        <v>ВВГнг(А)-FRLS (3х2,5)
L=31-0,43%</v>
      </c>
      <c r="CI338">
        <f>IFERROR(2*ρкз_Cu*BW338/BS338,"")</f>
        <v>0.65224000000000004</v>
      </c>
      <c r="CJ338">
        <f t="shared" si="459"/>
        <v>0.21700000000000003</v>
      </c>
      <c r="CK338" t="str">
        <f>IFERROR(IF(OR(D338="",NOT(ISNUMBER(BS338)),N(BW338)=0),"",_xlfn.XLOOKUP(A338,Щиты[Щит],Щиты[Zпетли на шинах, Ом])+CI338),"")</f>
        <v/>
      </c>
      <c r="CL338" t="str">
        <f>IF(ISNUMBER(CK338),c_min*(Uн_лин*1000/SQRT(3))/CK338,"")</f>
        <v/>
      </c>
      <c r="CM338" t="str">
        <f>IFERROR(IF(OR(D338="",NOT(ISNUMBER(BS338))),"",1.05*(Uн_лин*1000/SQRT(3))/(_xlfn.XLOOKUP(A338,Щиты[Щит],Щиты[Zmax на шинах, Ом])+CJ338)/1000),"")</f>
        <v/>
      </c>
      <c r="CN338" t="str">
        <f>IF(D338="","",IF(BA338&lt;&gt;"","Щит",IF(K338&lt;&gt;"",K338,IF(ISNUMBER(L338),"Сил",IF(IFERROR(_xlfn.XLOOKUP(AT338,Коды_код,Коды_группа)&amp;"","")="","Быт",_xlfn.XLOOKUP(AT338,Коды_код,Коды_группа)&amp;"")))))</f>
        <v>Пост</v>
      </c>
      <c r="CO338">
        <f>IF(CN338="Щит","щит",IF(CN338="","",IF(CN338="Быт",IFERROR(_xlfn.XLOOKUP(A338,Щиты[Щит],Щиты[Кс быт]),1),IF(CN338="Сил",IF(ISNUMBER(L338),L338,IF(Методика="нормы 2026",IFERROR(_xlfn.XLOOKUP(A338,Щиты[Щит],Щиты[Кс силовых (табл. 7.5)]),1),1)),IF(OR(CN338="Пост",CN338="Отоп"),1,IF(CN338="ВНГ",0.7,0))))))</f>
        <v>1</v>
      </c>
      <c r="CP338">
        <f t="shared" si="460"/>
        <v>1</v>
      </c>
      <c r="CQ338">
        <f t="shared" si="461"/>
        <v>0.4</v>
      </c>
      <c r="CR338">
        <f t="shared" si="462"/>
        <v>0</v>
      </c>
      <c r="CS338">
        <f t="shared" si="463"/>
        <v>0</v>
      </c>
      <c r="CT338">
        <f t="shared" si="464"/>
        <v>0.4</v>
      </c>
      <c r="CU338">
        <f t="shared" si="465"/>
        <v>0</v>
      </c>
      <c r="CV338">
        <f t="shared" si="466"/>
        <v>0</v>
      </c>
      <c r="CW338">
        <f t="shared" si="467"/>
        <v>0.4</v>
      </c>
      <c r="CX338">
        <f t="shared" si="468"/>
        <v>0.38</v>
      </c>
      <c r="CY338">
        <f t="shared" si="469"/>
        <v>2</v>
      </c>
      <c r="CZ338" t="str">
        <f t="shared" si="470"/>
        <v>L2</v>
      </c>
      <c r="DA338" cm="1">
        <f t="array" ref="DA338">IFERROR(IF(BL338=2,_xlfn.IFS(BH338=3,VLOOKUP(BF338,Справочная_двигатели,3,FALSE),BH338=1,VLOOKUP(BF338,Справочная_двигатели,5,TRUE)),0),0)</f>
        <v>0</v>
      </c>
      <c r="DB338">
        <f>IFERROR(IF(BL338=3,VLOOKUP(BF338,Справочная_ЛЭД,2,TRUE),0),0)</f>
        <v>0</v>
      </c>
      <c r="DC338">
        <f t="shared" si="471"/>
        <v>0</v>
      </c>
      <c r="DD338" t="str">
        <f t="shared" si="472"/>
        <v>L3</v>
      </c>
      <c r="DE338" t="str" cm="1">
        <f t="array" ref="DE338">IF(D338="","",IFERROR(INDEX({"I особая","I","II","III"},MATCH(TRIM(AA338&amp;""),{"I особая","I","II","III"},0)),"III"))</f>
        <v>I</v>
      </c>
      <c r="DF338" t="str">
        <f>IF(D338="","",IF(TRIM(AB338&amp;"")&lt;&gt;"",IF(LOWER(TRIM(AB338&amp;""))="да","да","нет"),IF(IFERROR(_xlfn.XLOOKUP(AT338,Коды_код,Коды_пожарная),"")="да","да","нет")))</f>
        <v>да</v>
      </c>
      <c r="DG338" t="str">
        <f t="shared" si="473"/>
        <v/>
      </c>
      <c r="DH338" t="str">
        <f t="shared" si="474"/>
        <v>основная</v>
      </c>
      <c r="DI338">
        <f t="shared" si="475"/>
        <v>1</v>
      </c>
      <c r="DJ338" t="str" cm="1">
        <f t="array" ref="DJ338">IF(D338="","",_xlfn.LET(_xlpm.t,IFERROR(_xlfn.XLOOKUP(1,(Шины[Шина]=DH338)*(((Шины[Щит]=A338)+(Шины[Щит]=""))&gt;0),Шины[Тип]),"")&amp;"",IF(_xlpm.t&lt;&gt;"",_xlpm.t,IF(ISNUMBER(SEARCH("ИБП",DH338)),"ИБП",IF(ISNUMBER(SEARCH("ДГУ",DH338)),"ДГУ","Ввод "&amp;DI338)))))</f>
        <v>Ввод 1</v>
      </c>
      <c r="DK338" t="str">
        <f t="shared" si="476"/>
        <v>Ввод 1</v>
      </c>
      <c r="DL338" t="str">
        <f>IF(D338="","",IF(OR(DJ338="ИБП",DJ338="ДГУ"),"I особая",IF(DJ338="Одиночная","III",_xlfn.XLOOKUP(A338,Щиты[Щит],Щиты[Категория шины «Ввод»],"III"))))</f>
        <v>I</v>
      </c>
      <c r="DM338">
        <f>IF(D338="",0,IFERROR(MATCH(DE338,{"III","II","I","I особая"},0),1))</f>
        <v>3</v>
      </c>
      <c r="DN338">
        <f t="shared" si="477"/>
        <v>3</v>
      </c>
      <c r="DO338" t="str">
        <f>IF(D338="","",IF(DM338&gt;IFERROR(MATCH(DL338,{"III","II","I","I особая"},0),1),"НЕ ОБЕСПЕЧЕНА","ОК"))</f>
        <v>ОК</v>
      </c>
      <c r="DP338" t="str">
        <f>IF(A338="","",_xlfn.XLOOKUP(A338,Щиты[Щит],Щиты[Путь],""))</f>
        <v>|ГРЩ-ЖД|ЩСПЗ-ЖД|</v>
      </c>
      <c r="DQ338" t="str">
        <f>IF(D338="","",IF(Z338&lt;&gt;"",Z338,IF(IFERROR(_xlfn.XLOOKUP(AT338,Коды_код,Коды_вид)&amp;"","")="","Прочее",_xlfn.XLOOKUP(AT338,Коды_код,Коды_вид)&amp;"")))</f>
        <v>Системы противопожарной защиты</v>
      </c>
      <c r="DR338">
        <f>IF(BD338="","",INT((BD338-1)/Столбцов_на_лист)+1)</f>
        <v>1</v>
      </c>
      <c r="DS338" t="str">
        <f t="shared" si="478"/>
        <v>ВВГнг(А)-FRLS (3х2,5) L=31-0,43%</v>
      </c>
      <c r="DT338">
        <f t="shared" si="479"/>
        <v>0.4</v>
      </c>
      <c r="DU338">
        <f t="shared" si="480"/>
        <v>1.83</v>
      </c>
      <c r="DV338">
        <f t="shared" si="481"/>
        <v>1</v>
      </c>
      <c r="DW338">
        <f>IF(AT338="",0,_xlfn.LET(_xlpm.v,IFERROR(VLOOKUP(D338,УГО_спр,3,FALSE),IFERROR(VLOOKUP(AT338,УГО_спр,3,FALSE),IFERROR(VLOOKUP(LEFT(AT338,2),УГО_спр,3,FALSE),""))),IF(_xlpm.v="да",30,IF(ISNUMBER(_xlpm.v),_xlpm.v,0))))</f>
        <v>0</v>
      </c>
      <c r="DX338">
        <f t="shared" si="482"/>
        <v>0</v>
      </c>
      <c r="DY338">
        <f>IF(BD338="","",IF(AD338&lt;&gt;"",COUNTIFS(A$3:A338,A338,AD$3:AD338,"?*"),IF(OR(OR(AS338=1,A338&lt;&gt;A337),AL338="вручную"),"",IF(AS338=1,"",DZ337))))</f>
        <v>2</v>
      </c>
      <c r="DZ338">
        <f t="shared" si="483"/>
        <v>2</v>
      </c>
      <c r="EA338">
        <f>IF(D338="",0,MAX(IFERROR(--X338,0),IFERROR(--VLOOKUP(D338,УГО_спр,4,FALSE),IFERROR(--VLOOKUP(AT338,УГО_спр,4,FALSE),IFERROR(--VLOOKUP(LEFT(AT338,2),УГО_спр,4,FALSE),0)))))</f>
        <v>16</v>
      </c>
      <c r="EB338">
        <f>IF(D338="","",IFERROR(LOOKUP(INDEX(CHOOSE(BR338,Iдоп_1ж,Iдоп_2ж,Iдоп_3ж),MATCH(BS338,Iдоп_S,0))*BP338*BQ338,{6,10,16,20,25,32,40,50,63,80,100,125,160,200,250,315,400,500,630}),""))</f>
        <v>25</v>
      </c>
      <c r="EC338">
        <f>IF(AD338="","",SUMIFS(Линии[_Ток схемы],Линии[_гр.],DY338,Линии[Щит],A338,Линии[_в кабель выше],0))</f>
        <v>1.83</v>
      </c>
      <c r="ED338">
        <f>IF(AD338="","",IFERROR(VLOOKUP(EC338,Автомат_номиналы,2,TRUE),""))</f>
        <v>6</v>
      </c>
      <c r="EE338">
        <f>IF(AD338="","",MAX(N(ED338),_xlfn.MAXIFS(Линии[_мин. по типу],Линии[_гр.],DY338,Линии[Щит],A338)))</f>
        <v>16</v>
      </c>
      <c r="EF338">
        <f>IF(AD338="","",_xlfn.MINIFS(Линии[_макс. автомат по кабелю],Линии[_гр.],DY338,Линии[Щит],A338))</f>
        <v>25</v>
      </c>
      <c r="EG338">
        <f>IF(AD338="","",MAX(1,_xlfn.MAXIFS(Линии[_фаз],Линии[_гр.],DY338,Линии[Щит],A338)))</f>
        <v>1</v>
      </c>
      <c r="EH338">
        <f>IF(AD338="","",IF(AND(AD338&lt;&gt;"авто",AD338&lt;&gt;"+"),IF(ISNUMBER(SEARCH("мА",AD338)),IFERROR(--TRIM(RIGHT(SUBSTITUTE(LEFT(AD338,SEARCH("мА",AD338)-1)," ",REPT(" ",9)),6)),30),0),IF(AE338="нет",0,IF(ISNUMBER(AE338),AE338,IF(AE338="да",30,_xlfn.MINIFS(Линии[_дифзащита по коду, мА],Линии[_гр.],DY338,Линии[Щит],A338,Линии[_дифзащита по коду, мА],"&gt;0"))))))</f>
        <v>0</v>
      </c>
      <c r="EI338">
        <f t="shared" si="484"/>
        <v>0</v>
      </c>
      <c r="EJ338" t="str">
        <f t="shared" si="485"/>
        <v>QF2</v>
      </c>
      <c r="EK338" t="str">
        <f t="shared" si="486"/>
        <v>QF2</v>
      </c>
      <c r="EL338" t="str">
        <f t="shared" si="487"/>
        <v/>
      </c>
      <c r="EM338">
        <f t="shared" si="488"/>
        <v>0</v>
      </c>
      <c r="EN338">
        <f>IF(AD338="","",IF(EM338=1,MAX(EE338,Мин_автомат_БП),EE338))</f>
        <v>16</v>
      </c>
      <c r="EO338" t="str">
        <f t="shared" si="489"/>
        <v>1P</v>
      </c>
      <c r="EP338" t="str">
        <f t="shared" si="490"/>
        <v>1P С16А</v>
      </c>
      <c r="EQ338">
        <f t="shared" si="491"/>
        <v>16</v>
      </c>
      <c r="ER338" t="str">
        <f>IF(OR(AI338="",AI338="-"),"",IFERROR(VLOOKUP(AI338,Модули_спр,2,FALSE),"R"))</f>
        <v/>
      </c>
      <c r="ES338" t="str">
        <f>IF(ER338="","",ER338&amp;"."&amp;COUNTIFS(A$3:A338,A338,ER$3:ER338,ER338))</f>
        <v/>
      </c>
      <c r="ET338" t="str">
        <f t="shared" si="492"/>
        <v/>
      </c>
      <c r="EU338" t="str">
        <f t="shared" si="493"/>
        <v/>
      </c>
      <c r="EV338" t="str">
        <f t="shared" si="494"/>
        <v/>
      </c>
      <c r="EW338" t="str">
        <f t="shared" si="495"/>
        <v/>
      </c>
      <c r="EX338">
        <f t="shared" si="496"/>
        <v>1</v>
      </c>
      <c r="EY338" t="str">
        <f>IF(AK338="нет","",IF(AK338&lt;&gt;"",AK338,IF(EX338=1,"XT"&amp;COUNTIFS(A$3:A338,A338,EX$3:EX338,1),"")))</f>
        <v>XT4</v>
      </c>
      <c r="EZ338" t="str">
        <f t="shared" si="497"/>
        <v>QF2</v>
      </c>
      <c r="FA338" t="str">
        <f t="shared" si="498"/>
        <v/>
      </c>
      <c r="FB338" t="str">
        <f t="shared" si="499"/>
        <v>ok</v>
      </c>
      <c r="FC338" t="str">
        <f>IF(OR(EV338="",ET338=""),"",IF(EV338&gt;IFERROR(VLOOKUP(EU338,Модули_спр,3,FALSE),99),"ЛИШНИЙ КАНАЛ",IF(AND(AJ338&lt;&gt;"=",COUNTIFS(Линии[_модуль гр.],ET338,Линии[Канал (итог)],EV338,Линии[Канал],"&lt;&gt;=",Линии[Щит],A338)&gt;1),"ДУБЛЬ КАНАЛА","")))</f>
        <v/>
      </c>
      <c r="FD338">
        <f t="shared" si="500"/>
        <v>16</v>
      </c>
      <c r="FE338" t="str">
        <f t="shared" si="501"/>
        <v>1P С16А</v>
      </c>
      <c r="FF338">
        <f t="shared" si="502"/>
        <v>0</v>
      </c>
      <c r="FG338">
        <f t="shared" si="503"/>
        <v>0</v>
      </c>
      <c r="FH338" t="str">
        <f t="shared" si="504"/>
        <v/>
      </c>
      <c r="FI338">
        <f t="shared" si="505"/>
        <v>10</v>
      </c>
      <c r="FJ338" t="str">
        <f t="shared" si="506"/>
        <v/>
      </c>
      <c r="FK338" t="str">
        <f>IF(AND(D338="",EZ338=""),"",_xlfn.TEXTJOIN("; ",TRUE,IF(AND(D338&lt;&gt;"",DD338=""),"нет фазы",""),IF(AND(D338&lt;&gt;"",N(DT338)=0,CN338&lt;&gt;"Нет"),"нет мощности",""),IF(AND(EY338&lt;&gt;"",COUNTIFS(Линии[Щит],A338,Линии[Клемма (итог)],EY338)&gt;1),"дубль клеммы "&amp;EY338,""),IF(AND(FB338&lt;&gt;"",FB338&lt;&gt;"ok"),FB338,""),IF(FC338&lt;&gt;"",FC338,""),IF(AND(ISNUMBER(SEARCH("(5х",DS338)),N(DV338)=1),"5 жил на 1 фазе",""),IF(AND(AT338="R",AD338&lt;&gt;"",OR(N(EH338)=0,N(EH338)&gt;30)),"розетка без дифзащиты до 30 мА",""),IFERROR(IF(AND(ISNUMBER(CD338),CD338&gt;CE338),"потери "&amp;FIXED(CD338,1)&amp;" % &gt; "&amp;CE338&amp;" %",""),""),IFERROR(IF(LEFT(FJ338,4)="мало","Iкз мало — отключение &gt; 0,4 с",""),""),IF(AND(D338&lt;&gt;"",BD338=""),"не на схеме","")))</f>
        <v/>
      </c>
      <c r="FL338">
        <f>IF(AD338="","",_xlfn.LET(_xlpm.t,IFERROR(_xlfn.XLOOKUP(EP338,Каталог!$U$4:$U$500,Каталог!$G$4:$G$500),""),_xlpm.k,SEARCH("кА",_xlpm.t),IFERROR(--TRIM(RIGHT(SUBSTITUTE(MID(_xlpm.t,MAX(1,_xlpm.k-4),_xlpm.k-MAX(1,_xlpm.k-4))," ",REPT(" ",9)),5)),"")))</f>
        <v>6</v>
      </c>
      <c r="FM338" t="str">
        <f>IF(OR(FL338="",AD338=""),"",IF(_xlfn.XLOOKUP(A338,Щиты[Щит],Щиты[Iкз max на шинах, кА],"")="","",IF(FL338&lt;_xlfn.XLOOKUP(A338,Щиты[Щит],Щиты[Iкз max на шинах, кА]),"Icu "&amp;FL338&amp;" кА &lt; Iкз max","ok")))</f>
        <v/>
      </c>
      <c r="FN338" t="str">
        <f t="shared" si="507"/>
        <v>QF2|XT4</v>
      </c>
      <c r="FO338" t="str">
        <f t="shared" si="508"/>
        <v>QF2|XT4|кабель ВВГнг(А)-FRLS (3х2,5) → шкаф системы оповещения и управления эвакуацией Цокольный этаж Пом. №002Т</v>
      </c>
      <c r="FP338" t="str" cm="1">
        <f t="array" ref="FP338">IF(FO338="","",_xlfn.LET(_xlpm.nd,_xlfn.TEXTSPLIT(FO338,"|"),IF(COLUMNS(_xlpm.nd)&gt;1,A338&amp;"¦"&amp;INDEX(_xlpm.nd,1)&amp;"¦"&amp;INDEX(_xlpm.nd,2),"")))</f>
        <v>ЩСПЗ-ЖД¦QF2¦XT4</v>
      </c>
      <c r="FQ338" t="str">
        <f t="shared" si="509"/>
        <v>ENC1-11¦шкаф системы оповещения и управления эвакуацией Цокольный этаж Пом. №002Т</v>
      </c>
      <c r="FR338" t="str" cm="1">
        <f t="array" ref="FR338">IF(FO338="","",_xlfn.LET(_xlpm.nd,_xlfn.TEXTSPLIT(FO338,"|"),IF(COLUMNS(_xlpm.nd)&gt;2,A338&amp;"¦"&amp;INDEX(_xlpm.nd,2)&amp;"¦"&amp;INDEX(_xlpm.nd,3),"")))</f>
        <v>ЩСПЗ-ЖД¦XT4¦кабель ВВГнг(А)-FRLS (3х2,5) → шкаф системы оповещения и управления эвакуацией Цокольный этаж Пом. №002Т</v>
      </c>
      <c r="FS338" t="str">
        <f t="shared" si="510"/>
        <v>ENC1-11¦шкаф системы оповещения и управления эвакуацией Цокольный этаж Пом. №002Т</v>
      </c>
      <c r="FT338" t="str" cm="1">
        <f t="array" ref="FT338">IF(FO338="","",_xlfn.LET(_xlpm.nd,_xlfn.TEXTSPLIT(FO338,"|"),IF(COLUMNS(_xlpm.nd)&gt;3,A338&amp;"¦"&amp;INDEX(_xlpm.nd,3)&amp;"¦"&amp;INDEX(_xlpm.nd,4),"")))</f>
        <v/>
      </c>
      <c r="FU338" t="str">
        <f t="shared" si="511"/>
        <v/>
      </c>
      <c r="FV338" t="str" cm="1">
        <f t="array" ref="FV338">IF(FO338="","",_xlfn.LET(_xlpm.nd,_xlfn.TEXTSPLIT(FO338,"|"),IF(COLUMNS(_xlpm.nd)&gt;4,A338&amp;"¦"&amp;INDEX(_xlpm.nd,4)&amp;"¦"&amp;INDEX(_xlpm.nd,5),"")))</f>
        <v/>
      </c>
      <c r="FW338" t="str">
        <f t="shared" si="512"/>
        <v/>
      </c>
      <c r="FX338" t="str" cm="1">
        <f t="array" ref="FX338">IF(FO338="","",_xlfn.LET(_xlpm.nd,_xlfn.TEXTSPLIT(FO338,"|"),IF(COLUMNS(_xlpm.nd)&gt;5,A338&amp;"¦"&amp;INDEX(_xlpm.nd,5)&amp;"¦"&amp;INDEX(_xlpm.nd,6),"")))</f>
        <v/>
      </c>
      <c r="FY338" t="str">
        <f t="shared" si="513"/>
        <v/>
      </c>
      <c r="FZ338" t="str" cm="1">
        <f t="array" ref="FZ338">IF(FO338="","",_xlfn.LET(_xlpm.nd,_xlfn.TEXTSPLIT(FO338,"|"),IF(COLUMNS(_xlpm.nd)&gt;6,A338&amp;"¦"&amp;INDEX(_xlpm.nd,6)&amp;"¦"&amp;INDEX(_xlpm.nd,7),"")))</f>
        <v/>
      </c>
      <c r="GA338" t="str">
        <f t="shared" si="514"/>
        <v/>
      </c>
      <c r="GB338" t="str">
        <f t="shared" si="515"/>
        <v/>
      </c>
      <c r="GC338" t="str">
        <f t="shared" si="516"/>
        <v>QF2 → XT4</v>
      </c>
      <c r="GD338">
        <f t="shared" si="517"/>
        <v>1</v>
      </c>
      <c r="GE338">
        <f t="shared" si="518"/>
        <v>0</v>
      </c>
      <c r="GF338">
        <f t="shared" si="519"/>
        <v>0</v>
      </c>
      <c r="GG338" t="str">
        <f t="shared" si="520"/>
        <v/>
      </c>
      <c r="GH338" t="str">
        <f t="shared" si="521"/>
        <v/>
      </c>
      <c r="GI338" t="str">
        <f t="shared" si="522"/>
        <v/>
      </c>
      <c r="GJ338" t="str">
        <f t="shared" si="523"/>
        <v/>
      </c>
      <c r="GK338" t="str">
        <f>IF(D338="","",IFERROR(VLOOKUP(D338,УГО_спр,2,FALSE),IFERROR(VLOOKUP(AT338,УГО_спр,2,FALSE),IFERROR(VLOOKUP(LEFT(AT338,2),УГО_спр,2,FALSE),""))))</f>
        <v/>
      </c>
      <c r="GL338" t="str">
        <f>IF(D338="","",IF(OR(GK338="",GK338=0),"BOX",IFERROR(IF(VLOOKUP(GK338,УГО_блоки,3,FALSE)&amp;""&lt;&gt;"",VLOOKUP(GK338,УГО_блоки,3,FALSE),VLOOKUP(GK338,УГО_блоки,2,FALSE)),GK338)))</f>
        <v>BOX</v>
      </c>
      <c r="GM338">
        <f t="shared" si="524"/>
        <v>1</v>
      </c>
      <c r="GN338" t="str">
        <f>IF(EP338="","",IF(COUNTIF(EP$3:EP338,EP338)=1,MAX(GN$2:GN337)+1,""))</f>
        <v/>
      </c>
      <c r="GO338" t="str">
        <f>IF(AF338="","",IF(COUNTIF(AF$3:AF338,AF338)+COUNTIF(AG$2:AG337,AF338)+COUNTIF(AH$2:AH337,AF338)=1,MAX(GO$2:GQ337)+1,""))</f>
        <v/>
      </c>
      <c r="GP338" t="str">
        <f>IF(AG338="","",IF(COUNTIF(AF$3:AF338,AG338)+COUNTIF(AG$3:AG338,AG338)+COUNTIF(AH$2:AH337,AG338)=1,MAX(GO$2:GQ337,GO338)+1,""))</f>
        <v/>
      </c>
      <c r="GQ338" t="str">
        <f>IF(AH338="","",IF(COUNTIF(AF$3:AF338,AH338)+COUNTIF(AG$3:AG338,AH338)+COUNTIF(AH$3:AH338,AH338)=1,MAX(GO$2:GQ337,GO338,GP338)+1,""))</f>
        <v/>
      </c>
      <c r="GR338" t="str">
        <f t="shared" si="525"/>
        <v>3х2,5</v>
      </c>
      <c r="GS338" t="str">
        <f>IF(GR338="","",IF(COUNTIF(GR$3:GR338,GR338)=1,MAX(GS$2:GS337)+1,""))</f>
        <v/>
      </c>
      <c r="GT338" t="str">
        <f>IF(ES338="","",COUNTIF(ES$3:ES338,"?*"))</f>
        <v/>
      </c>
      <c r="GU338" t="str">
        <f>IF(OR(ES338="",EU338=""),"",IF(COUNTIFS(ES$3:ES338,"?*",EU$3:EU338,EU338)=1,MAX(GU$2:GU337)+1,""))</f>
        <v/>
      </c>
      <c r="GV338">
        <f t="shared" si="526"/>
        <v>0</v>
      </c>
      <c r="GW338">
        <f>IF(D338="","",COUNTIF(D$3:D338,"?*"))</f>
        <v>336</v>
      </c>
      <c r="GX338">
        <f>IF(EX338&lt;&gt;1,0,_xlfn.LET(_xlpm.k,MAX(IFERROR(--VLOOKUP(D338,УГО_спр,5,FALSE),0),IFERROR(--VLOOKUP(AT338,УГО_спр,5,FALSE),0),IFERROR(--VLOOKUP(LEFT(AT338,2),УГО_спр,5,FALSE),0)),IF(_xlpm.k&gt;0,_xlpm.k,IF(IFERROR(--LEFT(SUBSTITUTE(GR338,"x","х"),FIND("х",SUBSTITUTE(GR338,"x","х"))-1),3)&gt;3,Каталог!$S$9,1))))</f>
        <v>1</v>
      </c>
      <c r="GY338">
        <f t="shared" si="527"/>
        <v>0</v>
      </c>
    </row>
    <row r="339" spans="1:207" x14ac:dyDescent="0.3">
      <c r="A339" t="s">
        <v>1147</v>
      </c>
      <c r="B339">
        <v>15</v>
      </c>
      <c r="C339" t="str">
        <f>IF(BD339="","",IF(BE339="вводной узел","узел ","")&amp;"л."&amp;(INT((BD339-1)/Столбцов_на_лист)+1)&amp;" / "&amp;(MOD(BD339-1,Столбцов_на_лист)+1))</f>
        <v>л.1 / 15</v>
      </c>
      <c r="D339" t="s">
        <v>1677</v>
      </c>
      <c r="E339" s="133" t="s">
        <v>1678</v>
      </c>
      <c r="G339">
        <v>0.4</v>
      </c>
      <c r="H339">
        <v>1</v>
      </c>
      <c r="I339">
        <v>1</v>
      </c>
      <c r="J339">
        <v>230</v>
      </c>
      <c r="K339" t="s">
        <v>577</v>
      </c>
      <c r="O339">
        <v>1</v>
      </c>
      <c r="P339">
        <v>31</v>
      </c>
      <c r="Q339">
        <v>11</v>
      </c>
      <c r="R339">
        <v>12</v>
      </c>
      <c r="T339">
        <v>1</v>
      </c>
      <c r="U339" t="s">
        <v>13</v>
      </c>
      <c r="V339">
        <v>3</v>
      </c>
      <c r="W339">
        <v>2.5</v>
      </c>
      <c r="X339">
        <v>16</v>
      </c>
      <c r="Z339" t="s">
        <v>595</v>
      </c>
      <c r="AA339" t="s">
        <v>866</v>
      </c>
      <c r="AB339" t="s">
        <v>492</v>
      </c>
      <c r="AD339" t="s">
        <v>517</v>
      </c>
      <c r="AR339" t="str">
        <f t="shared" si="441"/>
        <v/>
      </c>
      <c r="AS339" cm="1">
        <f t="array" ref="AS339">ROW()-ROW(Линии[#Headers])</f>
        <v>337</v>
      </c>
      <c r="AT339" t="str">
        <f t="shared" si="442"/>
        <v>FCP1-1</v>
      </c>
      <c r="AU339" t="str">
        <f t="shared" si="443"/>
        <v/>
      </c>
      <c r="AV339" t="str">
        <f t="shared" si="444"/>
        <v/>
      </c>
      <c r="AW339" t="str">
        <f t="shared" si="445"/>
        <v/>
      </c>
      <c r="AX339" t="str">
        <f t="shared" si="446"/>
        <v/>
      </c>
      <c r="AY339" t="str">
        <f>IF(D339="","",IF(ISERROR(SEARCH(".",D339)),IFERROR(VLOOKUP(D339,Потребители_обозначение,2,FALSE)&amp;"",""),IFERROR(IF(VLOOKUP(AT339,Потребители_обозначение,4,FALSE)=1,VLOOKUP(AT339,Потребители_обозначение,2,FALSE)&amp;" "&amp;VLOOKUP(AV339,Этаж_обозначение,2,FALSE)&amp;" Пом. №"&amp;AX339,VLOOKUP(AT339,Потребители_обозначение,2,FALSE)&amp;" Шлейф №"&amp;AV339),IFERROR(VLOOKUP(D339,Потребители_обозначение,2,FALSE),""))))</f>
        <v/>
      </c>
      <c r="AZ339" t="str">
        <f t="shared" si="447"/>
        <v>шкаф пожарной сигнализации Цокольный этаж Пом. №002Т</v>
      </c>
      <c r="BA339" t="str">
        <f>IF(F339&lt;&gt;"",F339,IF(AND(D339&lt;&gt;"",D339&lt;&gt;A339,ISNUMBER(_xlfn.XMATCH(D339,Щиты[Щит]))),D339,""))</f>
        <v/>
      </c>
      <c r="BB339">
        <f>IFERROR(_xlfn.XMATCH(A339,Щиты[Щит]),0)</f>
        <v>16</v>
      </c>
      <c r="BC339">
        <f>IFERROR(N(_xlfn.XLOOKUP(A339,Щиты[Щит],Щиты[Мест под вводной узел])),15)</f>
        <v>12</v>
      </c>
      <c r="BD339">
        <f t="shared" si="448"/>
        <v>15</v>
      </c>
      <c r="BE339" t="str">
        <f t="shared" si="449"/>
        <v>линии</v>
      </c>
      <c r="BF339">
        <f>IF(D339="","",IF(BA339&lt;&gt;"",IFERROR(_xlfn.XLOOKUP(BA339,Щиты[Щит],Щиты[Руст, кВт]),0),N(G339)))</f>
        <v>0.4</v>
      </c>
      <c r="BG339">
        <f>IF(J339&lt;&gt;"",J339,IF(D339="","",IFERROR(IF(VLOOKUP(AT339,Потребители_обозначение,8,FALSE)=0,"",VLOOKUP(AT339,Потребители_обозначение,8,FALSE)),"")))</f>
        <v>230</v>
      </c>
      <c r="BH339">
        <f>IF(I339&lt;&gt;"",I339,IF(D339="","",IFERROR(IF(VLOOKUP(AT339,Потребители_обозначение,9,FALSE)=0,"",VLOOKUP(AT339,Потребители_обозначение,9,FALSE)),"")))</f>
        <v>1</v>
      </c>
      <c r="BI339" t="str">
        <f>IF(U339&lt;&gt;"",U339,IF(D339="","",IFERROR(IF(VLOOKUP(AT339,Потребители_обозначение,6,FALSE)=0,"",VLOOKUP(AT339,Потребители_обозначение,6,FALSE)),"")))</f>
        <v>мфр</v>
      </c>
      <c r="BJ339">
        <f>IF(V339&lt;&gt;"",V339,IF(D339="","",IFERROR(IF(VLOOKUP(AT339,Потребители_обозначение,7,FALSE)=0,"",VLOOKUP(AT339,Потребители_обозначение,7,FALSE)),"")))</f>
        <v>3</v>
      </c>
      <c r="BK339">
        <f>IF(W339&lt;&gt;"",W339,IF(D339="","",IFERROR(IF(VLOOKUP(AT339,Потребители_обозначение,10,FALSE)=0,"",VLOOKUP(AT339,Потребители_обозначение,10,FALSE)),"")))</f>
        <v>2.5</v>
      </c>
      <c r="BL339">
        <f>IFERROR(VLOOKUP(AT339,Потребители_обозначение,5,FALSE),0)</f>
        <v>0</v>
      </c>
      <c r="BM339" cm="1">
        <f t="array" ref="BM339">IF(D339="","",IF(BA339&lt;&gt;"",IFERROR(_xlfn.XLOOKUP(BA339,Щиты[Щит],Щиты[cos φ]),0.95),IF(ISNUMBER(M339),M339,IFERROR(IF(BL339=2,_xlfn.IFS(BH339=3,VLOOKUP(BF339,Справочная_двигатели,8,FALSE),BH339=1,VLOOKUP(BF339,Справочная_двигатели,10,TRUE)),IF(AND(Методика="нормы 2026",CN339="Сил"),0.8,0.95)),0.95))))</f>
        <v>0.95</v>
      </c>
      <c r="BN339" cm="1">
        <f t="array" ref="BN339">IF(D339="","",IF(BA339&lt;&gt;"",IFERROR(_xlfn.XLOOKUP(BA339,Щиты[Щит],Щиты[Iр, А]),""),IFERROR(_xlfn.IFS(BH339=1,BF339/((Uн_лин/SQRT(3))*BM339),BH339=3,BF339/(SQRT(3)*Uн_лин*BM339)),"")))</f>
        <v>1.823211376388292</v>
      </c>
      <c r="BO339">
        <f>IF(D339="","",IF(N(X339)=0,IFERROR(VLOOKUP(BN339,Автомат_номиналы,2,TRUE),""),X339))</f>
        <v>16</v>
      </c>
      <c r="BP339">
        <f t="shared" si="450"/>
        <v>1</v>
      </c>
      <c r="BQ339">
        <f>IF(ISNUMBER(Y339),Y339,К_прокл)</f>
        <v>1</v>
      </c>
      <c r="BR339">
        <f t="shared" si="451"/>
        <v>2</v>
      </c>
      <c r="BS339" cm="1">
        <f t="array" ref="BS339">IF(D339="","",IF(N(BK339)&lt;&gt;0,BK339,IFERROR(_xlfn.LET(_xlpm.need,BO339/(BP339*BQ339),_xlpm.t,CHOOSE(BR339,Iдоп_1ж,Iдоп_2ж,Iдоп_3ж),_xlpm.k,_xlfn.XMATCH(_xlpm.need,_xlpm.t,1),IF(ISNA(_xlpm.k),"Не исп",INDEX(Iдоп_S,_xlpm.k))),"Не исп")))</f>
        <v>2.5</v>
      </c>
      <c r="BT339">
        <f>IFERROR(VLOOKUP(BS339,Кабель_сопротивление,3,FALSE),"")</f>
        <v>2.2499999999999999E-2</v>
      </c>
      <c r="BU339">
        <f>IFERROR(VLOOKUP(BS339,Кабель_сопротивление,2,FALSE),"")</f>
        <v>0.1</v>
      </c>
      <c r="BV339">
        <f t="shared" si="452"/>
        <v>31</v>
      </c>
      <c r="BW339">
        <f>IF(D339="","",IFERROR(IF(VLOOKUP(AT339,Потребители_обозначение,4,FALSE)=1,VLOOKUP(AT339,Потребители_обозначение,3,FALSE)*(H339*2-1)+BV339+VLOOKUP(AV339,Этаж_обозначение,3,FALSE)+VLOOKUP(AV339,Этаж_обозначение,4,FALSE),VLOOKUP(AT339,Потребители_обозначение,3,FALSE)*(H339*2-1)+BV339),BV339))</f>
        <v>31</v>
      </c>
      <c r="BX339">
        <f t="shared" si="453"/>
        <v>12</v>
      </c>
      <c r="BY339">
        <f t="shared" si="454"/>
        <v>0</v>
      </c>
      <c r="BZ339">
        <f t="shared" si="455"/>
        <v>2</v>
      </c>
      <c r="CA339">
        <f t="shared" si="456"/>
        <v>0.31</v>
      </c>
      <c r="CB339">
        <f t="shared" si="457"/>
        <v>0.96998856288885182</v>
      </c>
      <c r="CC339">
        <f>IFERROR(ROUNDUP(CB339/((Uн_лин/SQRT(3))*1000)*100,2),"")</f>
        <v>0.43</v>
      </c>
      <c r="CD339">
        <f>IF(ISNUMBER(CC339),CC339+IFERROR(_xlfn.XLOOKUP(A339,Щиты[Щит],Щиты[ΔU до шин, %]),0),"")</f>
        <v>0.84000000000000008</v>
      </c>
      <c r="CE339">
        <f>IF(D339="","",IF(IFERROR(VLOOKUP(AT339,УГО_спр,2,FALSE),"")="Светильник",3,4)+IF(Методика="нормы 2026",MIN(0.5,MAX(0,N(BW339)-100)*0.005),0))</f>
        <v>4</v>
      </c>
      <c r="CF339" t="str">
        <f>IFERROR(VLOOKUP(BI339,Кабель_обозначение,2,FALSE),"")</f>
        <v>ВВГнг(А)-FRLS</v>
      </c>
      <c r="CG339" t="str">
        <f>IFERROR(IF(VLOOKUP(BI339,Кабель_обозначение,3,FALSE)=1,CF339&amp;" ("&amp;BJ339&amp;"х"&amp;BS339&amp;")",CF339),"")</f>
        <v>ВВГнг(А)-FRLS (3х2,5)</v>
      </c>
      <c r="CH339" t="str">
        <f t="shared" si="458"/>
        <v>ВВГнг(А)-FRLS (3х2,5)
L=31-0,43%</v>
      </c>
      <c r="CI339">
        <f>IFERROR(2*ρкз_Cu*BW339/BS339,"")</f>
        <v>0.65224000000000004</v>
      </c>
      <c r="CJ339">
        <f t="shared" si="459"/>
        <v>0.21700000000000003</v>
      </c>
      <c r="CK339" t="str">
        <f>IFERROR(IF(OR(D339="",NOT(ISNUMBER(BS339)),N(BW339)=0),"",_xlfn.XLOOKUP(A339,Щиты[Щит],Щиты[Zпетли на шинах, Ом])+CI339),"")</f>
        <v/>
      </c>
      <c r="CL339" t="str">
        <f>IF(ISNUMBER(CK339),c_min*(Uн_лин*1000/SQRT(3))/CK339,"")</f>
        <v/>
      </c>
      <c r="CM339" t="str">
        <f>IFERROR(IF(OR(D339="",NOT(ISNUMBER(BS339))),"",1.05*(Uн_лин*1000/SQRT(3))/(_xlfn.XLOOKUP(A339,Щиты[Щит],Щиты[Zmax на шинах, Ом])+CJ339)/1000),"")</f>
        <v/>
      </c>
      <c r="CN339" t="str">
        <f>IF(D339="","",IF(BA339&lt;&gt;"","Щит",IF(K339&lt;&gt;"",K339,IF(ISNUMBER(L339),"Сил",IF(IFERROR(_xlfn.XLOOKUP(AT339,Коды_код,Коды_группа)&amp;"","")="","Быт",_xlfn.XLOOKUP(AT339,Коды_код,Коды_группа)&amp;"")))))</f>
        <v>Пост</v>
      </c>
      <c r="CO339">
        <f>IF(CN339="Щит","щит",IF(CN339="","",IF(CN339="Быт",IFERROR(_xlfn.XLOOKUP(A339,Щиты[Щит],Щиты[Кс быт]),1),IF(CN339="Сил",IF(ISNUMBER(L339),L339,IF(Методика="нормы 2026",IFERROR(_xlfn.XLOOKUP(A339,Щиты[Щит],Щиты[Кс силовых (табл. 7.5)]),1),1)),IF(OR(CN339="Пост",CN339="Отоп"),1,IF(CN339="ВНГ",0.7,0))))))</f>
        <v>1</v>
      </c>
      <c r="CP339">
        <f t="shared" si="460"/>
        <v>1</v>
      </c>
      <c r="CQ339">
        <f t="shared" si="461"/>
        <v>0.4</v>
      </c>
      <c r="CR339">
        <f t="shared" si="462"/>
        <v>0</v>
      </c>
      <c r="CS339">
        <f t="shared" si="463"/>
        <v>0</v>
      </c>
      <c r="CT339">
        <f t="shared" si="464"/>
        <v>0.4</v>
      </c>
      <c r="CU339">
        <f t="shared" si="465"/>
        <v>0</v>
      </c>
      <c r="CV339">
        <f t="shared" si="466"/>
        <v>0</v>
      </c>
      <c r="CW339">
        <f t="shared" si="467"/>
        <v>0.4</v>
      </c>
      <c r="CX339">
        <f t="shared" si="468"/>
        <v>0.38</v>
      </c>
      <c r="CY339">
        <f t="shared" si="469"/>
        <v>3</v>
      </c>
      <c r="CZ339" t="str">
        <f t="shared" si="470"/>
        <v>L3</v>
      </c>
      <c r="DA339" cm="1">
        <f t="array" ref="DA339">IFERROR(IF(BL339=2,_xlfn.IFS(BH339=3,VLOOKUP(BF339,Справочная_двигатели,3,FALSE),BH339=1,VLOOKUP(BF339,Справочная_двигатели,5,TRUE)),0),0)</f>
        <v>0</v>
      </c>
      <c r="DB339">
        <f>IFERROR(IF(BL339=3,VLOOKUP(BF339,Справочная_ЛЭД,2,TRUE),0),0)</f>
        <v>0</v>
      </c>
      <c r="DC339">
        <f t="shared" si="471"/>
        <v>0</v>
      </c>
      <c r="DD339" t="str">
        <f t="shared" si="472"/>
        <v>L1</v>
      </c>
      <c r="DE339" t="str" cm="1">
        <f t="array" ref="DE339">IF(D339="","",IFERROR(INDEX({"I особая","I","II","III"},MATCH(TRIM(AA339&amp;""),{"I особая","I","II","III"},0)),"III"))</f>
        <v>I</v>
      </c>
      <c r="DF339" t="str">
        <f>IF(D339="","",IF(TRIM(AB339&amp;"")&lt;&gt;"",IF(LOWER(TRIM(AB339&amp;""))="да","да","нет"),IF(IFERROR(_xlfn.XLOOKUP(AT339,Коды_код,Коды_пожарная),"")="да","да","нет")))</f>
        <v>да</v>
      </c>
      <c r="DG339" t="str">
        <f t="shared" si="473"/>
        <v/>
      </c>
      <c r="DH339" t="str">
        <f t="shared" si="474"/>
        <v>основная</v>
      </c>
      <c r="DI339">
        <f t="shared" si="475"/>
        <v>1</v>
      </c>
      <c r="DJ339" t="str" cm="1">
        <f t="array" ref="DJ339">IF(D339="","",_xlfn.LET(_xlpm.t,IFERROR(_xlfn.XLOOKUP(1,(Шины[Шина]=DH339)*(((Шины[Щит]=A339)+(Шины[Щит]=""))&gt;0),Шины[Тип]),"")&amp;"",IF(_xlpm.t&lt;&gt;"",_xlpm.t,IF(ISNUMBER(SEARCH("ИБП",DH339)),"ИБП",IF(ISNUMBER(SEARCH("ДГУ",DH339)),"ДГУ","Ввод "&amp;DI339)))))</f>
        <v>Ввод 1</v>
      </c>
      <c r="DK339" t="str">
        <f t="shared" si="476"/>
        <v>Ввод 1</v>
      </c>
      <c r="DL339" t="str">
        <f>IF(D339="","",IF(OR(DJ339="ИБП",DJ339="ДГУ"),"I особая",IF(DJ339="Одиночная","III",_xlfn.XLOOKUP(A339,Щиты[Щит],Щиты[Категория шины «Ввод»],"III"))))</f>
        <v>I</v>
      </c>
      <c r="DM339">
        <f>IF(D339="",0,IFERROR(MATCH(DE339,{"III","II","I","I особая"},0),1))</f>
        <v>3</v>
      </c>
      <c r="DN339">
        <f t="shared" si="477"/>
        <v>3</v>
      </c>
      <c r="DO339" t="str">
        <f>IF(D339="","",IF(DM339&gt;IFERROR(MATCH(DL339,{"III","II","I","I особая"},0),1),"НЕ ОБЕСПЕЧЕНА","ОК"))</f>
        <v>ОК</v>
      </c>
      <c r="DP339" t="str">
        <f>IF(A339="","",_xlfn.XLOOKUP(A339,Щиты[Щит],Щиты[Путь],""))</f>
        <v>|ГРЩ-ЖД|ЩСПЗ-ЖД|</v>
      </c>
      <c r="DQ339" t="str">
        <f>IF(D339="","",IF(Z339&lt;&gt;"",Z339,IF(IFERROR(_xlfn.XLOOKUP(AT339,Коды_код,Коды_вид)&amp;"","")="","Прочее",_xlfn.XLOOKUP(AT339,Коды_код,Коды_вид)&amp;"")))</f>
        <v>Системы противопожарной защиты</v>
      </c>
      <c r="DR339">
        <f>IF(BD339="","",INT((BD339-1)/Столбцов_на_лист)+1)</f>
        <v>1</v>
      </c>
      <c r="DS339" t="str">
        <f t="shared" si="478"/>
        <v>ВВГнг(А)-FRLS (3х2,5) L=31-0,43%</v>
      </c>
      <c r="DT339">
        <f t="shared" si="479"/>
        <v>0.4</v>
      </c>
      <c r="DU339">
        <f t="shared" si="480"/>
        <v>1.83</v>
      </c>
      <c r="DV339">
        <f t="shared" si="481"/>
        <v>1</v>
      </c>
      <c r="DW339">
        <f>IF(AT339="",0,_xlfn.LET(_xlpm.v,IFERROR(VLOOKUP(D339,УГО_спр,3,FALSE),IFERROR(VLOOKUP(AT339,УГО_спр,3,FALSE),IFERROR(VLOOKUP(LEFT(AT339,2),УГО_спр,3,FALSE),""))),IF(_xlpm.v="да",30,IF(ISNUMBER(_xlpm.v),_xlpm.v,0))))</f>
        <v>0</v>
      </c>
      <c r="DX339">
        <f t="shared" si="482"/>
        <v>0</v>
      </c>
      <c r="DY339">
        <f>IF(BD339="","",IF(AD339&lt;&gt;"",COUNTIFS(A$3:A339,A339,AD$3:AD339,"?*"),IF(OR(OR(AS339=1,A339&lt;&gt;A338),AL339="вручную"),"",IF(AS339=1,"",DZ338))))</f>
        <v>3</v>
      </c>
      <c r="DZ339">
        <f t="shared" si="483"/>
        <v>3</v>
      </c>
      <c r="EA339">
        <f>IF(D339="",0,MAX(IFERROR(--X339,0),IFERROR(--VLOOKUP(D339,УГО_спр,4,FALSE),IFERROR(--VLOOKUP(AT339,УГО_спр,4,FALSE),IFERROR(--VLOOKUP(LEFT(AT339,2),УГО_спр,4,FALSE),0)))))</f>
        <v>16</v>
      </c>
      <c r="EB339">
        <f>IF(D339="","",IFERROR(LOOKUP(INDEX(CHOOSE(BR339,Iдоп_1ж,Iдоп_2ж,Iдоп_3ж),MATCH(BS339,Iдоп_S,0))*BP339*BQ339,{6,10,16,20,25,32,40,50,63,80,100,125,160,200,250,315,400,500,630}),""))</f>
        <v>25</v>
      </c>
      <c r="EC339">
        <f>IF(AD339="","",SUMIFS(Линии[_Ток схемы],Линии[_гр.],DY339,Линии[Щит],A339,Линии[_в кабель выше],0))</f>
        <v>1.83</v>
      </c>
      <c r="ED339">
        <f>IF(AD339="","",IFERROR(VLOOKUP(EC339,Автомат_номиналы,2,TRUE),""))</f>
        <v>6</v>
      </c>
      <c r="EE339">
        <f>IF(AD339="","",MAX(N(ED339),_xlfn.MAXIFS(Линии[_мин. по типу],Линии[_гр.],DY339,Линии[Щит],A339)))</f>
        <v>16</v>
      </c>
      <c r="EF339">
        <f>IF(AD339="","",_xlfn.MINIFS(Линии[_макс. автомат по кабелю],Линии[_гр.],DY339,Линии[Щит],A339))</f>
        <v>25</v>
      </c>
      <c r="EG339">
        <f>IF(AD339="","",MAX(1,_xlfn.MAXIFS(Линии[_фаз],Линии[_гр.],DY339,Линии[Щит],A339)))</f>
        <v>1</v>
      </c>
      <c r="EH339">
        <f>IF(AD339="","",IF(AND(AD339&lt;&gt;"авто",AD339&lt;&gt;"+"),IF(ISNUMBER(SEARCH("мА",AD339)),IFERROR(--TRIM(RIGHT(SUBSTITUTE(LEFT(AD339,SEARCH("мА",AD339)-1)," ",REPT(" ",9)),6)),30),0),IF(AE339="нет",0,IF(ISNUMBER(AE339),AE339,IF(AE339="да",30,_xlfn.MINIFS(Линии[_дифзащита по коду, мА],Линии[_гр.],DY339,Линии[Щит],A339,Линии[_дифзащита по коду, мА],"&gt;0"))))))</f>
        <v>0</v>
      </c>
      <c r="EI339">
        <f t="shared" si="484"/>
        <v>0</v>
      </c>
      <c r="EJ339" t="str">
        <f t="shared" si="485"/>
        <v>QF3</v>
      </c>
      <c r="EK339" t="str">
        <f t="shared" si="486"/>
        <v>QF3</v>
      </c>
      <c r="EL339" t="str">
        <f t="shared" si="487"/>
        <v/>
      </c>
      <c r="EM339">
        <f t="shared" si="488"/>
        <v>0</v>
      </c>
      <c r="EN339">
        <f>IF(AD339="","",IF(EM339=1,MAX(EE339,Мин_автомат_БП),EE339))</f>
        <v>16</v>
      </c>
      <c r="EO339" t="str">
        <f t="shared" si="489"/>
        <v>1P</v>
      </c>
      <c r="EP339" t="str">
        <f t="shared" si="490"/>
        <v>1P С16А</v>
      </c>
      <c r="EQ339">
        <f t="shared" si="491"/>
        <v>16</v>
      </c>
      <c r="ER339" t="str">
        <f>IF(OR(AI339="",AI339="-"),"",IFERROR(VLOOKUP(AI339,Модули_спр,2,FALSE),"R"))</f>
        <v/>
      </c>
      <c r="ES339" t="str">
        <f>IF(ER339="","",ER339&amp;"."&amp;COUNTIFS(A$3:A339,A339,ER$3:ER339,ER339))</f>
        <v/>
      </c>
      <c r="ET339" t="str">
        <f t="shared" si="492"/>
        <v/>
      </c>
      <c r="EU339" t="str">
        <f t="shared" si="493"/>
        <v/>
      </c>
      <c r="EV339" t="str">
        <f t="shared" si="494"/>
        <v/>
      </c>
      <c r="EW339" t="str">
        <f t="shared" si="495"/>
        <v/>
      </c>
      <c r="EX339">
        <f t="shared" si="496"/>
        <v>1</v>
      </c>
      <c r="EY339" t="str">
        <f>IF(AK339="нет","",IF(AK339&lt;&gt;"",AK339,IF(EX339=1,"XT"&amp;COUNTIFS(A$3:A339,A339,EX$3:EX339,1),"")))</f>
        <v>XT5</v>
      </c>
      <c r="EZ339" t="str">
        <f t="shared" si="497"/>
        <v>QF3</v>
      </c>
      <c r="FA339" t="str">
        <f t="shared" si="498"/>
        <v/>
      </c>
      <c r="FB339" t="str">
        <f t="shared" si="499"/>
        <v>ok</v>
      </c>
      <c r="FC339" t="str">
        <f>IF(OR(EV339="",ET339=""),"",IF(EV339&gt;IFERROR(VLOOKUP(EU339,Модули_спр,3,FALSE),99),"ЛИШНИЙ КАНАЛ",IF(AND(AJ339&lt;&gt;"=",COUNTIFS(Линии[_модуль гр.],ET339,Линии[Канал (итог)],EV339,Линии[Канал],"&lt;&gt;=",Линии[Щит],A339)&gt;1),"ДУБЛЬ КАНАЛА","")))</f>
        <v/>
      </c>
      <c r="FD339">
        <f t="shared" si="500"/>
        <v>16</v>
      </c>
      <c r="FE339" t="str">
        <f t="shared" si="501"/>
        <v>1P С16А</v>
      </c>
      <c r="FF339">
        <f t="shared" si="502"/>
        <v>0</v>
      </c>
      <c r="FG339">
        <f t="shared" si="503"/>
        <v>0</v>
      </c>
      <c r="FH339" t="str">
        <f t="shared" si="504"/>
        <v/>
      </c>
      <c r="FI339">
        <f t="shared" si="505"/>
        <v>10</v>
      </c>
      <c r="FJ339" t="str">
        <f t="shared" si="506"/>
        <v/>
      </c>
      <c r="FK339" t="str">
        <f>IF(AND(D339="",EZ339=""),"",_xlfn.TEXTJOIN("; ",TRUE,IF(AND(D339&lt;&gt;"",DD339=""),"нет фазы",""),IF(AND(D339&lt;&gt;"",N(DT339)=0,CN339&lt;&gt;"Нет"),"нет мощности",""),IF(AND(EY339&lt;&gt;"",COUNTIFS(Линии[Щит],A339,Линии[Клемма (итог)],EY339)&gt;1),"дубль клеммы "&amp;EY339,""),IF(AND(FB339&lt;&gt;"",FB339&lt;&gt;"ok"),FB339,""),IF(FC339&lt;&gt;"",FC339,""),IF(AND(ISNUMBER(SEARCH("(5х",DS339)),N(DV339)=1),"5 жил на 1 фазе",""),IF(AND(AT339="R",AD339&lt;&gt;"",OR(N(EH339)=0,N(EH339)&gt;30)),"розетка без дифзащиты до 30 мА",""),IFERROR(IF(AND(ISNUMBER(CD339),CD339&gt;CE339),"потери "&amp;FIXED(CD339,1)&amp;" % &gt; "&amp;CE339&amp;" %",""),""),IFERROR(IF(LEFT(FJ339,4)="мало","Iкз мало — отключение &gt; 0,4 с",""),""),IF(AND(D339&lt;&gt;"",BD339=""),"не на схеме","")))</f>
        <v/>
      </c>
      <c r="FL339">
        <f>IF(AD339="","",_xlfn.LET(_xlpm.t,IFERROR(_xlfn.XLOOKUP(EP339,Каталог!$U$4:$U$500,Каталог!$G$4:$G$500),""),_xlpm.k,SEARCH("кА",_xlpm.t),IFERROR(--TRIM(RIGHT(SUBSTITUTE(MID(_xlpm.t,MAX(1,_xlpm.k-4),_xlpm.k-MAX(1,_xlpm.k-4))," ",REPT(" ",9)),5)),"")))</f>
        <v>6</v>
      </c>
      <c r="FM339" t="str">
        <f>IF(OR(FL339="",AD339=""),"",IF(_xlfn.XLOOKUP(A339,Щиты[Щит],Щиты[Iкз max на шинах, кА],"")="","",IF(FL339&lt;_xlfn.XLOOKUP(A339,Щиты[Щит],Щиты[Iкз max на шинах, кА]),"Icu "&amp;FL339&amp;" кА &lt; Iкз max","ok")))</f>
        <v/>
      </c>
      <c r="FN339" t="str">
        <f t="shared" si="507"/>
        <v>QF3|XT5</v>
      </c>
      <c r="FO339" t="str">
        <f t="shared" si="508"/>
        <v>QF3|XT5|кабель ВВГнг(А)-FRLS (3х2,5) → шкаф пожарной сигнализации Цокольный этаж Пом. №002Т</v>
      </c>
      <c r="FP339" t="str" cm="1">
        <f t="array" ref="FP339">IF(FO339="","",_xlfn.LET(_xlpm.nd,_xlfn.TEXTSPLIT(FO339,"|"),IF(COLUMNS(_xlpm.nd)&gt;1,A339&amp;"¦"&amp;INDEX(_xlpm.nd,1)&amp;"¦"&amp;INDEX(_xlpm.nd,2),"")))</f>
        <v>ЩСПЗ-ЖД¦QF3¦XT5</v>
      </c>
      <c r="FQ339" t="str">
        <f t="shared" si="509"/>
        <v>FCP1-1¦шкаф пожарной сигнализации Цокольный этаж Пом. №002Т</v>
      </c>
      <c r="FR339" t="str" cm="1">
        <f t="array" ref="FR339">IF(FO339="","",_xlfn.LET(_xlpm.nd,_xlfn.TEXTSPLIT(FO339,"|"),IF(COLUMNS(_xlpm.nd)&gt;2,A339&amp;"¦"&amp;INDEX(_xlpm.nd,2)&amp;"¦"&amp;INDEX(_xlpm.nd,3),"")))</f>
        <v>ЩСПЗ-ЖД¦XT5¦кабель ВВГнг(А)-FRLS (3х2,5) → шкаф пожарной сигнализации Цокольный этаж Пом. №002Т</v>
      </c>
      <c r="FS339" t="str">
        <f t="shared" si="510"/>
        <v>FCP1-1¦шкаф пожарной сигнализации Цокольный этаж Пом. №002Т</v>
      </c>
      <c r="FT339" t="str" cm="1">
        <f t="array" ref="FT339">IF(FO339="","",_xlfn.LET(_xlpm.nd,_xlfn.TEXTSPLIT(FO339,"|"),IF(COLUMNS(_xlpm.nd)&gt;3,A339&amp;"¦"&amp;INDEX(_xlpm.nd,3)&amp;"¦"&amp;INDEX(_xlpm.nd,4),"")))</f>
        <v/>
      </c>
      <c r="FU339" t="str">
        <f t="shared" si="511"/>
        <v/>
      </c>
      <c r="FV339" t="str" cm="1">
        <f t="array" ref="FV339">IF(FO339="","",_xlfn.LET(_xlpm.nd,_xlfn.TEXTSPLIT(FO339,"|"),IF(COLUMNS(_xlpm.nd)&gt;4,A339&amp;"¦"&amp;INDEX(_xlpm.nd,4)&amp;"¦"&amp;INDEX(_xlpm.nd,5),"")))</f>
        <v/>
      </c>
      <c r="FW339" t="str">
        <f t="shared" si="512"/>
        <v/>
      </c>
      <c r="FX339" t="str" cm="1">
        <f t="array" ref="FX339">IF(FO339="","",_xlfn.LET(_xlpm.nd,_xlfn.TEXTSPLIT(FO339,"|"),IF(COLUMNS(_xlpm.nd)&gt;5,A339&amp;"¦"&amp;INDEX(_xlpm.nd,5)&amp;"¦"&amp;INDEX(_xlpm.nd,6),"")))</f>
        <v/>
      </c>
      <c r="FY339" t="str">
        <f t="shared" si="513"/>
        <v/>
      </c>
      <c r="FZ339" t="str" cm="1">
        <f t="array" ref="FZ339">IF(FO339="","",_xlfn.LET(_xlpm.nd,_xlfn.TEXTSPLIT(FO339,"|"),IF(COLUMNS(_xlpm.nd)&gt;6,A339&amp;"¦"&amp;INDEX(_xlpm.nd,6)&amp;"¦"&amp;INDEX(_xlpm.nd,7),"")))</f>
        <v/>
      </c>
      <c r="GA339" t="str">
        <f t="shared" si="514"/>
        <v/>
      </c>
      <c r="GB339" t="str">
        <f t="shared" si="515"/>
        <v/>
      </c>
      <c r="GC339" t="str">
        <f t="shared" si="516"/>
        <v>QF3 → XT5</v>
      </c>
      <c r="GD339">
        <f t="shared" si="517"/>
        <v>1</v>
      </c>
      <c r="GE339">
        <f t="shared" si="518"/>
        <v>0</v>
      </c>
      <c r="GF339">
        <f t="shared" si="519"/>
        <v>0</v>
      </c>
      <c r="GG339" t="str">
        <f t="shared" si="520"/>
        <v/>
      </c>
      <c r="GH339" t="str">
        <f t="shared" si="521"/>
        <v/>
      </c>
      <c r="GI339" t="str">
        <f t="shared" si="522"/>
        <v/>
      </c>
      <c r="GJ339" t="str">
        <f t="shared" si="523"/>
        <v/>
      </c>
      <c r="GK339" t="str">
        <f>IF(D339="","",IFERROR(VLOOKUP(D339,УГО_спр,2,FALSE),IFERROR(VLOOKUP(AT339,УГО_спр,2,FALSE),IFERROR(VLOOKUP(LEFT(AT339,2),УГО_спр,2,FALSE),""))))</f>
        <v/>
      </c>
      <c r="GL339" t="str">
        <f>IF(D339="","",IF(OR(GK339="",GK339=0),"BOX",IFERROR(IF(VLOOKUP(GK339,УГО_блоки,3,FALSE)&amp;""&lt;&gt;"",VLOOKUP(GK339,УГО_блоки,3,FALSE),VLOOKUP(GK339,УГО_блоки,2,FALSE)),GK339)))</f>
        <v>BOX</v>
      </c>
      <c r="GM339">
        <f t="shared" si="524"/>
        <v>1</v>
      </c>
      <c r="GN339" t="str">
        <f>IF(EP339="","",IF(COUNTIF(EP$3:EP339,EP339)=1,MAX(GN$2:GN338)+1,""))</f>
        <v/>
      </c>
      <c r="GO339" t="str">
        <f>IF(AF339="","",IF(COUNTIF(AF$3:AF339,AF339)+COUNTIF(AG$2:AG338,AF339)+COUNTIF(AH$2:AH338,AF339)=1,MAX(GO$2:GQ338)+1,""))</f>
        <v/>
      </c>
      <c r="GP339" t="str">
        <f>IF(AG339="","",IF(COUNTIF(AF$3:AF339,AG339)+COUNTIF(AG$3:AG339,AG339)+COUNTIF(AH$2:AH338,AG339)=1,MAX(GO$2:GQ338,GO339)+1,""))</f>
        <v/>
      </c>
      <c r="GQ339" t="str">
        <f>IF(AH339="","",IF(COUNTIF(AF$3:AF339,AH339)+COUNTIF(AG$3:AG339,AH339)+COUNTIF(AH$3:AH339,AH339)=1,MAX(GO$2:GQ338,GO339,GP339)+1,""))</f>
        <v/>
      </c>
      <c r="GR339" t="str">
        <f t="shared" si="525"/>
        <v>3х2,5</v>
      </c>
      <c r="GS339" t="str">
        <f>IF(GR339="","",IF(COUNTIF(GR$3:GR339,GR339)=1,MAX(GS$2:GS338)+1,""))</f>
        <v/>
      </c>
      <c r="GT339" t="str">
        <f>IF(ES339="","",COUNTIF(ES$3:ES339,"?*"))</f>
        <v/>
      </c>
      <c r="GU339" t="str">
        <f>IF(OR(ES339="",EU339=""),"",IF(COUNTIFS(ES$3:ES339,"?*",EU$3:EU339,EU339)=1,MAX(GU$2:GU338)+1,""))</f>
        <v/>
      </c>
      <c r="GV339">
        <f t="shared" si="526"/>
        <v>0</v>
      </c>
      <c r="GW339">
        <f>IF(D339="","",COUNTIF(D$3:D339,"?*"))</f>
        <v>337</v>
      </c>
      <c r="GX339">
        <f>IF(EX339&lt;&gt;1,0,_xlfn.LET(_xlpm.k,MAX(IFERROR(--VLOOKUP(D339,УГО_спр,5,FALSE),0),IFERROR(--VLOOKUP(AT339,УГО_спр,5,FALSE),0),IFERROR(--VLOOKUP(LEFT(AT339,2),УГО_спр,5,FALSE),0)),IF(_xlpm.k&gt;0,_xlpm.k,IF(IFERROR(--LEFT(SUBSTITUTE(GR339,"x","х"),FIND("х",SUBSTITUTE(GR339,"x","х"))-1),3)&gt;3,Каталог!$S$9,1))))</f>
        <v>1</v>
      </c>
      <c r="GY339">
        <f t="shared" si="527"/>
        <v>0</v>
      </c>
    </row>
    <row r="340" spans="1:207" x14ac:dyDescent="0.3">
      <c r="A340" t="s">
        <v>1147</v>
      </c>
      <c r="B340">
        <v>16</v>
      </c>
      <c r="C340" t="str">
        <f>IF(BD340="","",IF(BE340="вводной узел","узел ","")&amp;"л."&amp;(INT((BD340-1)/Столбцов_на_лист)+1)&amp;" / "&amp;(MOD(BD340-1,Столбцов_на_лист)+1))</f>
        <v>л.1 / 16</v>
      </c>
      <c r="D340" t="s">
        <v>1679</v>
      </c>
      <c r="E340" s="133" t="s">
        <v>1680</v>
      </c>
      <c r="G340">
        <v>0.4</v>
      </c>
      <c r="H340">
        <v>1</v>
      </c>
      <c r="I340">
        <v>1</v>
      </c>
      <c r="J340">
        <v>230</v>
      </c>
      <c r="K340" t="s">
        <v>577</v>
      </c>
      <c r="O340">
        <v>2</v>
      </c>
      <c r="P340">
        <v>80</v>
      </c>
      <c r="Q340">
        <v>42</v>
      </c>
      <c r="R340">
        <v>30</v>
      </c>
      <c r="T340">
        <v>1</v>
      </c>
      <c r="U340" t="s">
        <v>13</v>
      </c>
      <c r="V340">
        <v>3</v>
      </c>
      <c r="W340">
        <v>2.5</v>
      </c>
      <c r="X340">
        <v>16</v>
      </c>
      <c r="Z340" t="s">
        <v>595</v>
      </c>
      <c r="AA340" t="s">
        <v>866</v>
      </c>
      <c r="AB340" t="s">
        <v>492</v>
      </c>
      <c r="AD340" t="s">
        <v>517</v>
      </c>
      <c r="AR340" t="str">
        <f t="shared" si="441"/>
        <v/>
      </c>
      <c r="AS340" cm="1">
        <f t="array" ref="AS340">ROW()-ROW(Линии[#Headers])</f>
        <v>338</v>
      </c>
      <c r="AT340" t="str">
        <f t="shared" si="442"/>
        <v>FCP13</v>
      </c>
      <c r="AU340" t="str">
        <f t="shared" si="443"/>
        <v/>
      </c>
      <c r="AV340" t="str">
        <f t="shared" si="444"/>
        <v/>
      </c>
      <c r="AW340" t="str">
        <f t="shared" si="445"/>
        <v/>
      </c>
      <c r="AX340" t="str">
        <f t="shared" si="446"/>
        <v/>
      </c>
      <c r="AY340" t="str">
        <f>IF(D340="","",IF(ISERROR(SEARCH(".",D340)),IFERROR(VLOOKUP(D340,Потребители_обозначение,2,FALSE)&amp;"",""),IFERROR(IF(VLOOKUP(AT340,Потребители_обозначение,4,FALSE)=1,VLOOKUP(AT340,Потребители_обозначение,2,FALSE)&amp;" "&amp;VLOOKUP(AV340,Этаж_обозначение,2,FALSE)&amp;" Пом. №"&amp;AX340,VLOOKUP(AT340,Потребители_обозначение,2,FALSE)&amp;" Шлейф №"&amp;AV340),IFERROR(VLOOKUP(D340,Потребители_обозначение,2,FALSE),""))))</f>
        <v/>
      </c>
      <c r="AZ340" t="str">
        <f t="shared" si="447"/>
        <v>шкаф пожарной сигнализации Тех. этаж Пом. №004Т</v>
      </c>
      <c r="BA340" t="str">
        <f>IF(F340&lt;&gt;"",F340,IF(AND(D340&lt;&gt;"",D340&lt;&gt;A340,ISNUMBER(_xlfn.XMATCH(D340,Щиты[Щит]))),D340,""))</f>
        <v/>
      </c>
      <c r="BB340">
        <f>IFERROR(_xlfn.XMATCH(A340,Щиты[Щит]),0)</f>
        <v>16</v>
      </c>
      <c r="BC340">
        <f>IFERROR(N(_xlfn.XLOOKUP(A340,Щиты[Щит],Щиты[Мест под вводной узел])),15)</f>
        <v>12</v>
      </c>
      <c r="BD340">
        <f t="shared" si="448"/>
        <v>16</v>
      </c>
      <c r="BE340" t="str">
        <f t="shared" si="449"/>
        <v>линии</v>
      </c>
      <c r="BF340">
        <f>IF(D340="","",IF(BA340&lt;&gt;"",IFERROR(_xlfn.XLOOKUP(BA340,Щиты[Щит],Щиты[Руст, кВт]),0),N(G340)))</f>
        <v>0.4</v>
      </c>
      <c r="BG340">
        <f>IF(J340&lt;&gt;"",J340,IF(D340="","",IFERROR(IF(VLOOKUP(AT340,Потребители_обозначение,8,FALSE)=0,"",VLOOKUP(AT340,Потребители_обозначение,8,FALSE)),"")))</f>
        <v>230</v>
      </c>
      <c r="BH340">
        <f>IF(I340&lt;&gt;"",I340,IF(D340="","",IFERROR(IF(VLOOKUP(AT340,Потребители_обозначение,9,FALSE)=0,"",VLOOKUP(AT340,Потребители_обозначение,9,FALSE)),"")))</f>
        <v>1</v>
      </c>
      <c r="BI340" t="str">
        <f>IF(U340&lt;&gt;"",U340,IF(D340="","",IFERROR(IF(VLOOKUP(AT340,Потребители_обозначение,6,FALSE)=0,"",VLOOKUP(AT340,Потребители_обозначение,6,FALSE)),"")))</f>
        <v>мфр</v>
      </c>
      <c r="BJ340">
        <f>IF(V340&lt;&gt;"",V340,IF(D340="","",IFERROR(IF(VLOOKUP(AT340,Потребители_обозначение,7,FALSE)=0,"",VLOOKUP(AT340,Потребители_обозначение,7,FALSE)),"")))</f>
        <v>3</v>
      </c>
      <c r="BK340">
        <f>IF(W340&lt;&gt;"",W340,IF(D340="","",IFERROR(IF(VLOOKUP(AT340,Потребители_обозначение,10,FALSE)=0,"",VLOOKUP(AT340,Потребители_обозначение,10,FALSE)),"")))</f>
        <v>2.5</v>
      </c>
      <c r="BL340">
        <f>IFERROR(VLOOKUP(AT340,Потребители_обозначение,5,FALSE),0)</f>
        <v>0</v>
      </c>
      <c r="BM340" cm="1">
        <f t="array" ref="BM340">IF(D340="","",IF(BA340&lt;&gt;"",IFERROR(_xlfn.XLOOKUP(BA340,Щиты[Щит],Щиты[cos φ]),0.95),IF(ISNUMBER(M340),M340,IFERROR(IF(BL340=2,_xlfn.IFS(BH340=3,VLOOKUP(BF340,Справочная_двигатели,8,FALSE),BH340=1,VLOOKUP(BF340,Справочная_двигатели,10,TRUE)),IF(AND(Методика="нормы 2026",CN340="Сил"),0.8,0.95)),0.95))))</f>
        <v>0.95</v>
      </c>
      <c r="BN340" cm="1">
        <f t="array" ref="BN340">IF(D340="","",IF(BA340&lt;&gt;"",IFERROR(_xlfn.XLOOKUP(BA340,Щиты[Щит],Щиты[Iр, А]),""),IFERROR(_xlfn.IFS(BH340=1,BF340/((Uн_лин/SQRT(3))*BM340),BH340=3,BF340/(SQRT(3)*Uн_лин*BM340)),"")))</f>
        <v>1.823211376388292</v>
      </c>
      <c r="BO340">
        <f>IF(D340="","",IF(N(X340)=0,IFERROR(VLOOKUP(BN340,Автомат_номиналы,2,TRUE),""),X340))</f>
        <v>16</v>
      </c>
      <c r="BP340">
        <f t="shared" si="450"/>
        <v>1</v>
      </c>
      <c r="BQ340">
        <f>IF(ISNUMBER(Y340),Y340,К_прокл)</f>
        <v>1</v>
      </c>
      <c r="BR340">
        <f t="shared" si="451"/>
        <v>2</v>
      </c>
      <c r="BS340" cm="1">
        <f t="array" ref="BS340">IF(D340="","",IF(N(BK340)&lt;&gt;0,BK340,IFERROR(_xlfn.LET(_xlpm.need,BO340/(BP340*BQ340),_xlpm.t,CHOOSE(BR340,Iдоп_1ж,Iдоп_2ж,Iдоп_3ж),_xlpm.k,_xlfn.XMATCH(_xlpm.need,_xlpm.t,1),IF(ISNA(_xlpm.k),"Не исп",INDEX(Iдоп_S,_xlpm.k))),"Не исп")))</f>
        <v>2.5</v>
      </c>
      <c r="BT340">
        <f>IFERROR(VLOOKUP(BS340,Кабель_сопротивление,3,FALSE),"")</f>
        <v>2.2499999999999999E-2</v>
      </c>
      <c r="BU340">
        <f>IFERROR(VLOOKUP(BS340,Кабель_сопротивление,2,FALSE),"")</f>
        <v>0.1</v>
      </c>
      <c r="BV340">
        <f t="shared" si="452"/>
        <v>80</v>
      </c>
      <c r="BW340">
        <f>IF(D340="","",IFERROR(IF(VLOOKUP(AT340,Потребители_обозначение,4,FALSE)=1,VLOOKUP(AT340,Потребители_обозначение,3,FALSE)*(H340*2-1)+BV340+VLOOKUP(AV340,Этаж_обозначение,3,FALSE)+VLOOKUP(AV340,Этаж_обозначение,4,FALSE),VLOOKUP(AT340,Потребители_обозначение,3,FALSE)*(H340*2-1)+BV340),BV340))</f>
        <v>80</v>
      </c>
      <c r="BX340">
        <f t="shared" si="453"/>
        <v>30</v>
      </c>
      <c r="BY340">
        <f t="shared" si="454"/>
        <v>0</v>
      </c>
      <c r="BZ340">
        <f t="shared" si="455"/>
        <v>2</v>
      </c>
      <c r="CA340">
        <f t="shared" si="456"/>
        <v>0.31</v>
      </c>
      <c r="CB340">
        <f t="shared" si="457"/>
        <v>2.5031962913260695</v>
      </c>
      <c r="CC340">
        <f>IFERROR(ROUNDUP(CB340/((Uн_лин/SQRT(3))*1000)*100,2),"")</f>
        <v>1.0900000000000001</v>
      </c>
      <c r="CD340">
        <f>IF(ISNUMBER(CC340),CC340+IFERROR(_xlfn.XLOOKUP(A340,Щиты[Щит],Щиты[ΔU до шин, %]),0),"")</f>
        <v>1.5</v>
      </c>
      <c r="CE340">
        <f>IF(D340="","",IF(IFERROR(VLOOKUP(AT340,УГО_спр,2,FALSE),"")="Светильник",3,4)+IF(Методика="нормы 2026",MIN(0.5,MAX(0,N(BW340)-100)*0.005),0))</f>
        <v>4</v>
      </c>
      <c r="CF340" t="str">
        <f>IFERROR(VLOOKUP(BI340,Кабель_обозначение,2,FALSE),"")</f>
        <v>ВВГнг(А)-FRLS</v>
      </c>
      <c r="CG340" t="str">
        <f>IFERROR(IF(VLOOKUP(BI340,Кабель_обозначение,3,FALSE)=1,CF340&amp;" ("&amp;BJ340&amp;"х"&amp;BS340&amp;")",CF340),"")</f>
        <v>ВВГнг(А)-FRLS (3х2,5)</v>
      </c>
      <c r="CH340" t="str">
        <f t="shared" si="458"/>
        <v>ВВГнг(А)-FRLS (3х2,5)
L=80-1,09%</v>
      </c>
      <c r="CI340">
        <f>IFERROR(2*ρкз_Cu*BW340/BS340,"")</f>
        <v>1.6832</v>
      </c>
      <c r="CJ340">
        <f t="shared" si="459"/>
        <v>0.56000000000000005</v>
      </c>
      <c r="CK340" t="str">
        <f>IFERROR(IF(OR(D340="",NOT(ISNUMBER(BS340)),N(BW340)=0),"",_xlfn.XLOOKUP(A340,Щиты[Щит],Щиты[Zпетли на шинах, Ом])+CI340),"")</f>
        <v/>
      </c>
      <c r="CL340" t="str">
        <f>IF(ISNUMBER(CK340),c_min*(Uн_лин*1000/SQRT(3))/CK340,"")</f>
        <v/>
      </c>
      <c r="CM340" t="str">
        <f>IFERROR(IF(OR(D340="",NOT(ISNUMBER(BS340))),"",1.05*(Uн_лин*1000/SQRT(3))/(_xlfn.XLOOKUP(A340,Щиты[Щит],Щиты[Zmax на шинах, Ом])+CJ340)/1000),"")</f>
        <v/>
      </c>
      <c r="CN340" t="str">
        <f>IF(D340="","",IF(BA340&lt;&gt;"","Щит",IF(K340&lt;&gt;"",K340,IF(ISNUMBER(L340),"Сил",IF(IFERROR(_xlfn.XLOOKUP(AT340,Коды_код,Коды_группа)&amp;"","")="","Быт",_xlfn.XLOOKUP(AT340,Коды_код,Коды_группа)&amp;"")))))</f>
        <v>Пост</v>
      </c>
      <c r="CO340">
        <f>IF(CN340="Щит","щит",IF(CN340="","",IF(CN340="Быт",IFERROR(_xlfn.XLOOKUP(A340,Щиты[Щит],Щиты[Кс быт]),1),IF(CN340="Сил",IF(ISNUMBER(L340),L340,IF(Методика="нормы 2026",IFERROR(_xlfn.XLOOKUP(A340,Щиты[Щит],Щиты[Кс силовых (табл. 7.5)]),1),1)),IF(OR(CN340="Пост",CN340="Отоп"),1,IF(CN340="ВНГ",0.7,0))))))</f>
        <v>1</v>
      </c>
      <c r="CP340">
        <f t="shared" si="460"/>
        <v>1</v>
      </c>
      <c r="CQ340">
        <f t="shared" si="461"/>
        <v>0.4</v>
      </c>
      <c r="CR340">
        <f t="shared" si="462"/>
        <v>0</v>
      </c>
      <c r="CS340">
        <f t="shared" si="463"/>
        <v>0</v>
      </c>
      <c r="CT340">
        <f t="shared" si="464"/>
        <v>0.4</v>
      </c>
      <c r="CU340">
        <f t="shared" si="465"/>
        <v>0</v>
      </c>
      <c r="CV340">
        <f t="shared" si="466"/>
        <v>0</v>
      </c>
      <c r="CW340">
        <f t="shared" si="467"/>
        <v>0.4</v>
      </c>
      <c r="CX340">
        <f t="shared" si="468"/>
        <v>0.38</v>
      </c>
      <c r="CY340">
        <f t="shared" si="469"/>
        <v>1</v>
      </c>
      <c r="CZ340" t="str">
        <f t="shared" si="470"/>
        <v>L1</v>
      </c>
      <c r="DA340" cm="1">
        <f t="array" ref="DA340">IFERROR(IF(BL340=2,_xlfn.IFS(BH340=3,VLOOKUP(BF340,Справочная_двигатели,3,FALSE),BH340=1,VLOOKUP(BF340,Справочная_двигатели,5,TRUE)),0),0)</f>
        <v>0</v>
      </c>
      <c r="DB340">
        <f>IFERROR(IF(BL340=3,VLOOKUP(BF340,Справочная_ЛЭД,2,TRUE),0),0)</f>
        <v>0</v>
      </c>
      <c r="DC340">
        <f t="shared" si="471"/>
        <v>0</v>
      </c>
      <c r="DD340" t="str">
        <f t="shared" si="472"/>
        <v>L2</v>
      </c>
      <c r="DE340" t="str" cm="1">
        <f t="array" ref="DE340">IF(D340="","",IFERROR(INDEX({"I особая","I","II","III"},MATCH(TRIM(AA340&amp;""),{"I особая","I","II","III"},0)),"III"))</f>
        <v>I</v>
      </c>
      <c r="DF340" t="str">
        <f>IF(D340="","",IF(TRIM(AB340&amp;"")&lt;&gt;"",IF(LOWER(TRIM(AB340&amp;""))="да","да","нет"),IF(IFERROR(_xlfn.XLOOKUP(AT340,Коды_код,Коды_пожарная),"")="да","да","нет")))</f>
        <v>да</v>
      </c>
      <c r="DG340" t="str">
        <f t="shared" si="473"/>
        <v/>
      </c>
      <c r="DH340" t="str">
        <f t="shared" si="474"/>
        <v>основная</v>
      </c>
      <c r="DI340">
        <f t="shared" si="475"/>
        <v>1</v>
      </c>
      <c r="DJ340" t="str" cm="1">
        <f t="array" ref="DJ340">IF(D340="","",_xlfn.LET(_xlpm.t,IFERROR(_xlfn.XLOOKUP(1,(Шины[Шина]=DH340)*(((Шины[Щит]=A340)+(Шины[Щит]=""))&gt;0),Шины[Тип]),"")&amp;"",IF(_xlpm.t&lt;&gt;"",_xlpm.t,IF(ISNUMBER(SEARCH("ИБП",DH340)),"ИБП",IF(ISNUMBER(SEARCH("ДГУ",DH340)),"ДГУ","Ввод "&amp;DI340)))))</f>
        <v>Ввод 1</v>
      </c>
      <c r="DK340" t="str">
        <f t="shared" si="476"/>
        <v>Ввод 1</v>
      </c>
      <c r="DL340" t="str">
        <f>IF(D340="","",IF(OR(DJ340="ИБП",DJ340="ДГУ"),"I особая",IF(DJ340="Одиночная","III",_xlfn.XLOOKUP(A340,Щиты[Щит],Щиты[Категория шины «Ввод»],"III"))))</f>
        <v>I</v>
      </c>
      <c r="DM340">
        <f>IF(D340="",0,IFERROR(MATCH(DE340,{"III","II","I","I особая"},0),1))</f>
        <v>3</v>
      </c>
      <c r="DN340">
        <f t="shared" si="477"/>
        <v>3</v>
      </c>
      <c r="DO340" t="str">
        <f>IF(D340="","",IF(DM340&gt;IFERROR(MATCH(DL340,{"III","II","I","I особая"},0),1),"НЕ ОБЕСПЕЧЕНА","ОК"))</f>
        <v>ОК</v>
      </c>
      <c r="DP340" t="str">
        <f>IF(A340="","",_xlfn.XLOOKUP(A340,Щиты[Щит],Щиты[Путь],""))</f>
        <v>|ГРЩ-ЖД|ЩСПЗ-ЖД|</v>
      </c>
      <c r="DQ340" t="str">
        <f>IF(D340="","",IF(Z340&lt;&gt;"",Z340,IF(IFERROR(_xlfn.XLOOKUP(AT340,Коды_код,Коды_вид)&amp;"","")="","Прочее",_xlfn.XLOOKUP(AT340,Коды_код,Коды_вид)&amp;"")))</f>
        <v>Системы противопожарной защиты</v>
      </c>
      <c r="DR340">
        <f>IF(BD340="","",INT((BD340-1)/Столбцов_на_лист)+1)</f>
        <v>1</v>
      </c>
      <c r="DS340" t="str">
        <f t="shared" si="478"/>
        <v>ВВГнг(А)-FRLS (3х2,5) L=80-1,09%</v>
      </c>
      <c r="DT340">
        <f t="shared" si="479"/>
        <v>0.4</v>
      </c>
      <c r="DU340">
        <f t="shared" si="480"/>
        <v>1.83</v>
      </c>
      <c r="DV340">
        <f t="shared" si="481"/>
        <v>1</v>
      </c>
      <c r="DW340">
        <f>IF(AT340="",0,_xlfn.LET(_xlpm.v,IFERROR(VLOOKUP(D340,УГО_спр,3,FALSE),IFERROR(VLOOKUP(AT340,УГО_спр,3,FALSE),IFERROR(VLOOKUP(LEFT(AT340,2),УГО_спр,3,FALSE),""))),IF(_xlpm.v="да",30,IF(ISNUMBER(_xlpm.v),_xlpm.v,0))))</f>
        <v>0</v>
      </c>
      <c r="DX340">
        <f t="shared" si="482"/>
        <v>0</v>
      </c>
      <c r="DY340">
        <f>IF(BD340="","",IF(AD340&lt;&gt;"",COUNTIFS(A$3:A340,A340,AD$3:AD340,"?*"),IF(OR(OR(AS340=1,A340&lt;&gt;A339),AL340="вручную"),"",IF(AS340=1,"",DZ339))))</f>
        <v>4</v>
      </c>
      <c r="DZ340">
        <f t="shared" si="483"/>
        <v>4</v>
      </c>
      <c r="EA340">
        <f>IF(D340="",0,MAX(IFERROR(--X340,0),IFERROR(--VLOOKUP(D340,УГО_спр,4,FALSE),IFERROR(--VLOOKUP(AT340,УГО_спр,4,FALSE),IFERROR(--VLOOKUP(LEFT(AT340,2),УГО_спр,4,FALSE),0)))))</f>
        <v>16</v>
      </c>
      <c r="EB340">
        <f>IF(D340="","",IFERROR(LOOKUP(INDEX(CHOOSE(BR340,Iдоп_1ж,Iдоп_2ж,Iдоп_3ж),MATCH(BS340,Iдоп_S,0))*BP340*BQ340,{6,10,16,20,25,32,40,50,63,80,100,125,160,200,250,315,400,500,630}),""))</f>
        <v>25</v>
      </c>
      <c r="EC340">
        <f>IF(AD340="","",SUMIFS(Линии[_Ток схемы],Линии[_гр.],DY340,Линии[Щит],A340,Линии[_в кабель выше],0))</f>
        <v>1.83</v>
      </c>
      <c r="ED340">
        <f>IF(AD340="","",IFERROR(VLOOKUP(EC340,Автомат_номиналы,2,TRUE),""))</f>
        <v>6</v>
      </c>
      <c r="EE340">
        <f>IF(AD340="","",MAX(N(ED340),_xlfn.MAXIFS(Линии[_мин. по типу],Линии[_гр.],DY340,Линии[Щит],A340)))</f>
        <v>16</v>
      </c>
      <c r="EF340">
        <f>IF(AD340="","",_xlfn.MINIFS(Линии[_макс. автомат по кабелю],Линии[_гр.],DY340,Линии[Щит],A340))</f>
        <v>25</v>
      </c>
      <c r="EG340">
        <f>IF(AD340="","",MAX(1,_xlfn.MAXIFS(Линии[_фаз],Линии[_гр.],DY340,Линии[Щит],A340)))</f>
        <v>1</v>
      </c>
      <c r="EH340">
        <f>IF(AD340="","",IF(AND(AD340&lt;&gt;"авто",AD340&lt;&gt;"+"),IF(ISNUMBER(SEARCH("мА",AD340)),IFERROR(--TRIM(RIGHT(SUBSTITUTE(LEFT(AD340,SEARCH("мА",AD340)-1)," ",REPT(" ",9)),6)),30),0),IF(AE340="нет",0,IF(ISNUMBER(AE340),AE340,IF(AE340="да",30,_xlfn.MINIFS(Линии[_дифзащита по коду, мА],Линии[_гр.],DY340,Линии[Щит],A340,Линии[_дифзащита по коду, мА],"&gt;0"))))))</f>
        <v>0</v>
      </c>
      <c r="EI340">
        <f t="shared" si="484"/>
        <v>0</v>
      </c>
      <c r="EJ340" t="str">
        <f t="shared" si="485"/>
        <v>QF4</v>
      </c>
      <c r="EK340" t="str">
        <f t="shared" si="486"/>
        <v>QF4</v>
      </c>
      <c r="EL340" t="str">
        <f t="shared" si="487"/>
        <v/>
      </c>
      <c r="EM340">
        <f t="shared" si="488"/>
        <v>0</v>
      </c>
      <c r="EN340">
        <f>IF(AD340="","",IF(EM340=1,MAX(EE340,Мин_автомат_БП),EE340))</f>
        <v>16</v>
      </c>
      <c r="EO340" t="str">
        <f t="shared" si="489"/>
        <v>1P</v>
      </c>
      <c r="EP340" t="str">
        <f t="shared" si="490"/>
        <v>1P С16А</v>
      </c>
      <c r="EQ340">
        <f t="shared" si="491"/>
        <v>16</v>
      </c>
      <c r="ER340" t="str">
        <f>IF(OR(AI340="",AI340="-"),"",IFERROR(VLOOKUP(AI340,Модули_спр,2,FALSE),"R"))</f>
        <v/>
      </c>
      <c r="ES340" t="str">
        <f>IF(ER340="","",ER340&amp;"."&amp;COUNTIFS(A$3:A340,A340,ER$3:ER340,ER340))</f>
        <v/>
      </c>
      <c r="ET340" t="str">
        <f t="shared" si="492"/>
        <v/>
      </c>
      <c r="EU340" t="str">
        <f t="shared" si="493"/>
        <v/>
      </c>
      <c r="EV340" t="str">
        <f t="shared" si="494"/>
        <v/>
      </c>
      <c r="EW340" t="str">
        <f t="shared" si="495"/>
        <v/>
      </c>
      <c r="EX340">
        <f t="shared" si="496"/>
        <v>1</v>
      </c>
      <c r="EY340" t="str">
        <f>IF(AK340="нет","",IF(AK340&lt;&gt;"",AK340,IF(EX340=1,"XT"&amp;COUNTIFS(A$3:A340,A340,EX$3:EX340,1),"")))</f>
        <v>XT6</v>
      </c>
      <c r="EZ340" t="str">
        <f t="shared" si="497"/>
        <v>QF4</v>
      </c>
      <c r="FA340" t="str">
        <f t="shared" si="498"/>
        <v/>
      </c>
      <c r="FB340" t="str">
        <f t="shared" si="499"/>
        <v>ok</v>
      </c>
      <c r="FC340" t="str">
        <f>IF(OR(EV340="",ET340=""),"",IF(EV340&gt;IFERROR(VLOOKUP(EU340,Модули_спр,3,FALSE),99),"ЛИШНИЙ КАНАЛ",IF(AND(AJ340&lt;&gt;"=",COUNTIFS(Линии[_модуль гр.],ET340,Линии[Канал (итог)],EV340,Линии[Канал],"&lt;&gt;=",Линии[Щит],A340)&gt;1),"ДУБЛЬ КАНАЛА","")))</f>
        <v/>
      </c>
      <c r="FD340">
        <f t="shared" si="500"/>
        <v>16</v>
      </c>
      <c r="FE340" t="str">
        <f t="shared" si="501"/>
        <v>1P С16А</v>
      </c>
      <c r="FF340">
        <f t="shared" si="502"/>
        <v>0</v>
      </c>
      <c r="FG340">
        <f t="shared" si="503"/>
        <v>0</v>
      </c>
      <c r="FH340" t="str">
        <f t="shared" si="504"/>
        <v/>
      </c>
      <c r="FI340">
        <f t="shared" si="505"/>
        <v>10</v>
      </c>
      <c r="FJ340" t="str">
        <f t="shared" si="506"/>
        <v/>
      </c>
      <c r="FK340" t="str">
        <f>IF(AND(D340="",EZ340=""),"",_xlfn.TEXTJOIN("; ",TRUE,IF(AND(D340&lt;&gt;"",DD340=""),"нет фазы",""),IF(AND(D340&lt;&gt;"",N(DT340)=0,CN340&lt;&gt;"Нет"),"нет мощности",""),IF(AND(EY340&lt;&gt;"",COUNTIFS(Линии[Щит],A340,Линии[Клемма (итог)],EY340)&gt;1),"дубль клеммы "&amp;EY340,""),IF(AND(FB340&lt;&gt;"",FB340&lt;&gt;"ok"),FB340,""),IF(FC340&lt;&gt;"",FC340,""),IF(AND(ISNUMBER(SEARCH("(5х",DS340)),N(DV340)=1),"5 жил на 1 фазе",""),IF(AND(AT340="R",AD340&lt;&gt;"",OR(N(EH340)=0,N(EH340)&gt;30)),"розетка без дифзащиты до 30 мА",""),IFERROR(IF(AND(ISNUMBER(CD340),CD340&gt;CE340),"потери "&amp;FIXED(CD340,1)&amp;" % &gt; "&amp;CE340&amp;" %",""),""),IFERROR(IF(LEFT(FJ340,4)="мало","Iкз мало — отключение &gt; 0,4 с",""),""),IF(AND(D340&lt;&gt;"",BD340=""),"не на схеме","")))</f>
        <v/>
      </c>
      <c r="FL340">
        <f>IF(AD340="","",_xlfn.LET(_xlpm.t,IFERROR(_xlfn.XLOOKUP(EP340,Каталог!$U$4:$U$500,Каталог!$G$4:$G$500),""),_xlpm.k,SEARCH("кА",_xlpm.t),IFERROR(--TRIM(RIGHT(SUBSTITUTE(MID(_xlpm.t,MAX(1,_xlpm.k-4),_xlpm.k-MAX(1,_xlpm.k-4))," ",REPT(" ",9)),5)),"")))</f>
        <v>6</v>
      </c>
      <c r="FM340" t="str">
        <f>IF(OR(FL340="",AD340=""),"",IF(_xlfn.XLOOKUP(A340,Щиты[Щит],Щиты[Iкз max на шинах, кА],"")="","",IF(FL340&lt;_xlfn.XLOOKUP(A340,Щиты[Щит],Щиты[Iкз max на шинах, кА]),"Icu "&amp;FL340&amp;" кА &lt; Iкз max","ok")))</f>
        <v/>
      </c>
      <c r="FN340" t="str">
        <f t="shared" si="507"/>
        <v>QF4|XT6</v>
      </c>
      <c r="FO340" t="str">
        <f t="shared" si="508"/>
        <v>QF4|XT6|кабель ВВГнг(А)-FRLS (3х2,5) → шкаф пожарной сигнализации Тех. этаж Пом. №004Т</v>
      </c>
      <c r="FP340" t="str" cm="1">
        <f t="array" ref="FP340">IF(FO340="","",_xlfn.LET(_xlpm.nd,_xlfn.TEXTSPLIT(FO340,"|"),IF(COLUMNS(_xlpm.nd)&gt;1,A340&amp;"¦"&amp;INDEX(_xlpm.nd,1)&amp;"¦"&amp;INDEX(_xlpm.nd,2),"")))</f>
        <v>ЩСПЗ-ЖД¦QF4¦XT6</v>
      </c>
      <c r="FQ340" t="str">
        <f t="shared" si="509"/>
        <v>FCP13¦шкаф пожарной сигнализации Тех. этаж Пом. №004Т</v>
      </c>
      <c r="FR340" t="str" cm="1">
        <f t="array" ref="FR340">IF(FO340="","",_xlfn.LET(_xlpm.nd,_xlfn.TEXTSPLIT(FO340,"|"),IF(COLUMNS(_xlpm.nd)&gt;2,A340&amp;"¦"&amp;INDEX(_xlpm.nd,2)&amp;"¦"&amp;INDEX(_xlpm.nd,3),"")))</f>
        <v>ЩСПЗ-ЖД¦XT6¦кабель ВВГнг(А)-FRLS (3х2,5) → шкаф пожарной сигнализации Тех. этаж Пом. №004Т</v>
      </c>
      <c r="FS340" t="str">
        <f t="shared" si="510"/>
        <v>FCP13¦шкаф пожарной сигнализации Тех. этаж Пом. №004Т</v>
      </c>
      <c r="FT340" t="str" cm="1">
        <f t="array" ref="FT340">IF(FO340="","",_xlfn.LET(_xlpm.nd,_xlfn.TEXTSPLIT(FO340,"|"),IF(COLUMNS(_xlpm.nd)&gt;3,A340&amp;"¦"&amp;INDEX(_xlpm.nd,3)&amp;"¦"&amp;INDEX(_xlpm.nd,4),"")))</f>
        <v/>
      </c>
      <c r="FU340" t="str">
        <f t="shared" si="511"/>
        <v/>
      </c>
      <c r="FV340" t="str" cm="1">
        <f t="array" ref="FV340">IF(FO340="","",_xlfn.LET(_xlpm.nd,_xlfn.TEXTSPLIT(FO340,"|"),IF(COLUMNS(_xlpm.nd)&gt;4,A340&amp;"¦"&amp;INDEX(_xlpm.nd,4)&amp;"¦"&amp;INDEX(_xlpm.nd,5),"")))</f>
        <v/>
      </c>
      <c r="FW340" t="str">
        <f t="shared" si="512"/>
        <v/>
      </c>
      <c r="FX340" t="str" cm="1">
        <f t="array" ref="FX340">IF(FO340="","",_xlfn.LET(_xlpm.nd,_xlfn.TEXTSPLIT(FO340,"|"),IF(COLUMNS(_xlpm.nd)&gt;5,A340&amp;"¦"&amp;INDEX(_xlpm.nd,5)&amp;"¦"&amp;INDEX(_xlpm.nd,6),"")))</f>
        <v/>
      </c>
      <c r="FY340" t="str">
        <f t="shared" si="513"/>
        <v/>
      </c>
      <c r="FZ340" t="str" cm="1">
        <f t="array" ref="FZ340">IF(FO340="","",_xlfn.LET(_xlpm.nd,_xlfn.TEXTSPLIT(FO340,"|"),IF(COLUMNS(_xlpm.nd)&gt;6,A340&amp;"¦"&amp;INDEX(_xlpm.nd,6)&amp;"¦"&amp;INDEX(_xlpm.nd,7),"")))</f>
        <v/>
      </c>
      <c r="GA340" t="str">
        <f t="shared" si="514"/>
        <v/>
      </c>
      <c r="GB340" t="str">
        <f t="shared" si="515"/>
        <v/>
      </c>
      <c r="GC340" t="str">
        <f t="shared" si="516"/>
        <v>QF4 → XT6</v>
      </c>
      <c r="GD340">
        <f t="shared" si="517"/>
        <v>1</v>
      </c>
      <c r="GE340">
        <f t="shared" si="518"/>
        <v>0</v>
      </c>
      <c r="GF340">
        <f t="shared" si="519"/>
        <v>0</v>
      </c>
      <c r="GG340" t="str">
        <f t="shared" si="520"/>
        <v/>
      </c>
      <c r="GH340" t="str">
        <f t="shared" si="521"/>
        <v/>
      </c>
      <c r="GI340" t="str">
        <f t="shared" si="522"/>
        <v/>
      </c>
      <c r="GJ340" t="str">
        <f t="shared" si="523"/>
        <v/>
      </c>
      <c r="GK340" t="str">
        <f>IF(D340="","",IFERROR(VLOOKUP(D340,УГО_спр,2,FALSE),IFERROR(VLOOKUP(AT340,УГО_спр,2,FALSE),IFERROR(VLOOKUP(LEFT(AT340,2),УГО_спр,2,FALSE),""))))</f>
        <v/>
      </c>
      <c r="GL340" t="str">
        <f>IF(D340="","",IF(OR(GK340="",GK340=0),"BOX",IFERROR(IF(VLOOKUP(GK340,УГО_блоки,3,FALSE)&amp;""&lt;&gt;"",VLOOKUP(GK340,УГО_блоки,3,FALSE),VLOOKUP(GK340,УГО_блоки,2,FALSE)),GK340)))</f>
        <v>BOX</v>
      </c>
      <c r="GM340">
        <f t="shared" si="524"/>
        <v>1</v>
      </c>
      <c r="GN340" t="str">
        <f>IF(EP340="","",IF(COUNTIF(EP$3:EP340,EP340)=1,MAX(GN$2:GN339)+1,""))</f>
        <v/>
      </c>
      <c r="GO340" t="str">
        <f>IF(AF340="","",IF(COUNTIF(AF$3:AF340,AF340)+COUNTIF(AG$2:AG339,AF340)+COUNTIF(AH$2:AH339,AF340)=1,MAX(GO$2:GQ339)+1,""))</f>
        <v/>
      </c>
      <c r="GP340" t="str">
        <f>IF(AG340="","",IF(COUNTIF(AF$3:AF340,AG340)+COUNTIF(AG$3:AG340,AG340)+COUNTIF(AH$2:AH339,AG340)=1,MAX(GO$2:GQ339,GO340)+1,""))</f>
        <v/>
      </c>
      <c r="GQ340" t="str">
        <f>IF(AH340="","",IF(COUNTIF(AF$3:AF340,AH340)+COUNTIF(AG$3:AG340,AH340)+COUNTIF(AH$3:AH340,AH340)=1,MAX(GO$2:GQ339,GO340,GP340)+1,""))</f>
        <v/>
      </c>
      <c r="GR340" t="str">
        <f t="shared" si="525"/>
        <v>3х2,5</v>
      </c>
      <c r="GS340" t="str">
        <f>IF(GR340="","",IF(COUNTIF(GR$3:GR340,GR340)=1,MAX(GS$2:GS339)+1,""))</f>
        <v/>
      </c>
      <c r="GT340" t="str">
        <f>IF(ES340="","",COUNTIF(ES$3:ES340,"?*"))</f>
        <v/>
      </c>
      <c r="GU340" t="str">
        <f>IF(OR(ES340="",EU340=""),"",IF(COUNTIFS(ES$3:ES340,"?*",EU$3:EU340,EU340)=1,MAX(GU$2:GU339)+1,""))</f>
        <v/>
      </c>
      <c r="GV340">
        <f t="shared" si="526"/>
        <v>0</v>
      </c>
      <c r="GW340">
        <f>IF(D340="","",COUNTIF(D$3:D340,"?*"))</f>
        <v>338</v>
      </c>
      <c r="GX340">
        <f>IF(EX340&lt;&gt;1,0,_xlfn.LET(_xlpm.k,MAX(IFERROR(--VLOOKUP(D340,УГО_спр,5,FALSE),0),IFERROR(--VLOOKUP(AT340,УГО_спр,5,FALSE),0),IFERROR(--VLOOKUP(LEFT(AT340,2),УГО_спр,5,FALSE),0)),IF(_xlpm.k&gt;0,_xlpm.k,IF(IFERROR(--LEFT(SUBSTITUTE(GR340,"x","х"),FIND("х",SUBSTITUTE(GR340,"x","х"))-1),3)&gt;3,Каталог!$S$9,1))))</f>
        <v>1</v>
      </c>
      <c r="GY340">
        <f t="shared" si="527"/>
        <v>0</v>
      </c>
    </row>
    <row r="341" spans="1:207" x14ac:dyDescent="0.3">
      <c r="A341" t="s">
        <v>774</v>
      </c>
      <c r="B341">
        <v>2</v>
      </c>
      <c r="C341" t="str">
        <f>IF(BD341="","",IF(BE341="вводной узел","узел ","")&amp;"л."&amp;(INT((BD341-1)/Столбцов_на_лист)+1)&amp;" / "&amp;(MOD(BD341-1,Столбцов_на_лист)+1))</f>
        <v>узел л.1 / 2</v>
      </c>
      <c r="D341" t="s">
        <v>746</v>
      </c>
      <c r="E341" s="133" t="str">
        <f t="shared" si="440"/>
        <v>Вводной кабель Шлейф №1</v>
      </c>
      <c r="G341" t="s">
        <v>18</v>
      </c>
      <c r="H341">
        <v>1</v>
      </c>
      <c r="I341">
        <v>3</v>
      </c>
      <c r="J341">
        <v>400</v>
      </c>
      <c r="K341" t="s">
        <v>551</v>
      </c>
      <c r="O341" t="s">
        <v>1298</v>
      </c>
      <c r="P341">
        <v>50</v>
      </c>
      <c r="Q341">
        <v>34</v>
      </c>
      <c r="R341">
        <v>11</v>
      </c>
      <c r="U341" t="s">
        <v>11</v>
      </c>
      <c r="V341">
        <v>5</v>
      </c>
      <c r="W341">
        <v>6</v>
      </c>
      <c r="X341">
        <v>32</v>
      </c>
      <c r="AL341" t="s">
        <v>1301</v>
      </c>
      <c r="AR341" t="str">
        <f t="shared" si="441"/>
        <v/>
      </c>
      <c r="AS341" cm="1">
        <f t="array" ref="AS341">ROW()-ROW(Линии[#Headers])</f>
        <v>339</v>
      </c>
      <c r="AT341" t="str">
        <f t="shared" si="442"/>
        <v>Ввод</v>
      </c>
      <c r="AU341" t="str">
        <f t="shared" si="443"/>
        <v>1</v>
      </c>
      <c r="AV341" t="str">
        <f t="shared" si="444"/>
        <v>1</v>
      </c>
      <c r="AW341" t="str">
        <f t="shared" si="445"/>
        <v/>
      </c>
      <c r="AX341" t="str">
        <f t="shared" si="446"/>
        <v/>
      </c>
      <c r="AY341" t="str">
        <f>IF(D341="","",IF(ISERROR(SEARCH(".",D341)),IFERROR(VLOOKUP(D341,Потребители_обозначение,2,FALSE)&amp;"",""),IFERROR(IF(VLOOKUP(AT341,Потребители_обозначение,4,FALSE)=1,VLOOKUP(AT341,Потребители_обозначение,2,FALSE)&amp;" "&amp;VLOOKUP(AV341,Этаж_обозначение,2,FALSE)&amp;" Пом. №"&amp;AX341,VLOOKUP(AT341,Потребители_обозначение,2,FALSE)&amp;" Шлейф №"&amp;AV341),IFERROR(VLOOKUP(D341,Потребители_обозначение,2,FALSE),""))))</f>
        <v>Вводной кабель Шлейф №1</v>
      </c>
      <c r="AZ341" t="str">
        <f t="shared" si="447"/>
        <v>Вводной кабель Шлейф №1</v>
      </c>
      <c r="BA341" t="str">
        <f>IF(F341&lt;&gt;"",F341,IF(AND(D341&lt;&gt;"",D341&lt;&gt;A341,ISNUMBER(_xlfn.XMATCH(D341,Щиты[Щит]))),D341,""))</f>
        <v/>
      </c>
      <c r="BB341">
        <f>IFERROR(_xlfn.XMATCH(A341,Щиты[Щит]),0)</f>
        <v>17</v>
      </c>
      <c r="BC341">
        <f>IFERROR(N(_xlfn.XLOOKUP(A341,Щиты[Щит],Щиты[Мест под вводной узел])),15)</f>
        <v>10</v>
      </c>
      <c r="BD341">
        <f t="shared" si="448"/>
        <v>2</v>
      </c>
      <c r="BE341" t="str">
        <f t="shared" si="449"/>
        <v>вводной узел</v>
      </c>
      <c r="BF341">
        <f>IF(D341="","",IF(BA341&lt;&gt;"",IFERROR(_xlfn.XLOOKUP(BA341,Щиты[Щит],Щиты[Руст, кВт]),0),N(G341)))</f>
        <v>0</v>
      </c>
      <c r="BG341">
        <f>IF(J341&lt;&gt;"",J341,IF(D341="","",IFERROR(IF(VLOOKUP(AT341,Потребители_обозначение,8,FALSE)=0,"",VLOOKUP(AT341,Потребители_обозначение,8,FALSE)),"")))</f>
        <v>400</v>
      </c>
      <c r="BH341">
        <f>IF(I341&lt;&gt;"",I341,IF(D341="","",IFERROR(IF(VLOOKUP(AT341,Потребители_обозначение,9,FALSE)=0,"",VLOOKUP(AT341,Потребители_обозначение,9,FALSE)),"")))</f>
        <v>3</v>
      </c>
      <c r="BI341" t="str">
        <f>IF(U341&lt;&gt;"",U341,IF(D341="","",IFERROR(IF(VLOOKUP(AT341,Потребители_обозначение,6,FALSE)=0,"",VLOOKUP(AT341,Потребители_обозначение,6,FALSE)),"")))</f>
        <v>мс</v>
      </c>
      <c r="BJ341">
        <f>IF(V341&lt;&gt;"",V341,IF(D341="","",IFERROR(IF(VLOOKUP(AT341,Потребители_обозначение,7,FALSE)=0,"",VLOOKUP(AT341,Потребители_обозначение,7,FALSE)),"")))</f>
        <v>5</v>
      </c>
      <c r="BK341">
        <f>IF(W341&lt;&gt;"",W341,IF(D341="","",IFERROR(IF(VLOOKUP(AT341,Потребители_обозначение,10,FALSE)=0,"",VLOOKUP(AT341,Потребители_обозначение,10,FALSE)),"")))</f>
        <v>6</v>
      </c>
      <c r="BL341">
        <f>IFERROR(VLOOKUP(AT341,Потребители_обозначение,5,FALSE),0)</f>
        <v>1</v>
      </c>
      <c r="BM341" cm="1">
        <f t="array" ref="BM341">IF(D341="","",IF(BA341&lt;&gt;"",IFERROR(_xlfn.XLOOKUP(BA341,Щиты[Щит],Щиты[cos φ]),0.95),IF(ISNUMBER(M341),M341,IFERROR(IF(BL341=2,_xlfn.IFS(BH341=3,VLOOKUP(BF341,Справочная_двигатели,8,FALSE),BH341=1,VLOOKUP(BF341,Справочная_двигатели,10,TRUE)),IF(AND(Методика="нормы 2026",CN341="Сил"),0.8,0.95)),0.95))))</f>
        <v>0.95</v>
      </c>
      <c r="BN341" cm="1">
        <f t="array" ref="BN341">IF(D341="","",IF(BA341&lt;&gt;"",IFERROR(_xlfn.XLOOKUP(BA341,Щиты[Щит],Щиты[Iр, А]),""),IFERROR(_xlfn.IFS(BH341=1,BF341/((Uн_лин/SQRT(3))*BM341),BH341=3,BF341/(SQRT(3)*Uн_лин*BM341)),"")))</f>
        <v>0</v>
      </c>
      <c r="BO341">
        <f>IF(D341="","",IF(N(X341)=0,IFERROR(VLOOKUP(BN341,Автомат_номиналы,2,TRUE),""),X341))</f>
        <v>32</v>
      </c>
      <c r="BP341">
        <f t="shared" si="450"/>
        <v>0.92</v>
      </c>
      <c r="BQ341">
        <f>IF(ISNUMBER(Y341),Y341,К_прокл)</f>
        <v>1</v>
      </c>
      <c r="BR341">
        <f t="shared" si="451"/>
        <v>3</v>
      </c>
      <c r="BS341" cm="1">
        <f t="array" ref="BS341">IF(D341="","",IF(N(BK341)&lt;&gt;0,BK341,IFERROR(_xlfn.LET(_xlpm.need,BO341/(BP341*BQ341),_xlpm.t,CHOOSE(BR341,Iдоп_1ж,Iдоп_2ж,Iдоп_3ж),_xlpm.k,_xlfn.XMATCH(_xlpm.need,_xlpm.t,1),IF(ISNA(_xlpm.k),"Не исп",INDEX(Iдоп_S,_xlpm.k))),"Не исп")))</f>
        <v>6</v>
      </c>
      <c r="BT341">
        <f>IFERROR(VLOOKUP(BS341,Кабель_сопротивление,3,FALSE),"")</f>
        <v>2.2499999999999999E-2</v>
      </c>
      <c r="BU341">
        <f>IFERROR(VLOOKUP(BS341,Кабель_сопротивление,2,FALSE),"")</f>
        <v>0.09</v>
      </c>
      <c r="BV341">
        <f t="shared" si="452"/>
        <v>50</v>
      </c>
      <c r="BW341">
        <f>IF(D341="","",IFERROR(IF(VLOOKUP(AT341,Потребители_обозначение,4,FALSE)=1,VLOOKUP(AT341,Потребители_обозначение,3,FALSE)*(H341*2-1)+BV341+VLOOKUP(AV341,Этаж_обозначение,3,FALSE)+VLOOKUP(AV341,Этаж_обозначение,4,FALSE),VLOOKUP(AT341,Потребители_обозначение,3,FALSE)*(H341*2-1)+BV341),BV341))</f>
        <v>50</v>
      </c>
      <c r="BX341">
        <f t="shared" si="453"/>
        <v>11</v>
      </c>
      <c r="BY341" t="str">
        <f t="shared" si="454"/>
        <v/>
      </c>
      <c r="BZ341">
        <f t="shared" si="455"/>
        <v>1</v>
      </c>
      <c r="CA341">
        <f t="shared" si="456"/>
        <v>0.31</v>
      </c>
      <c r="CB341">
        <f t="shared" si="457"/>
        <v>0</v>
      </c>
      <c r="CC341">
        <f>IFERROR(ROUNDUP(CB341/((Uн_лин/SQRT(3))*1000)*100,2),"")</f>
        <v>0</v>
      </c>
      <c r="CD341">
        <f>IF(ISNUMBER(CC341),CC341+IFERROR(_xlfn.XLOOKUP(A341,Щиты[Щит],Щиты[ΔU до шин, %]),0),"")</f>
        <v>3.21</v>
      </c>
      <c r="CE341">
        <f>IF(D341="","",IF(IFERROR(VLOOKUP(AT341,УГО_спр,2,FALSE),"")="Светильник",3,4)+IF(Методика="нормы 2026",MIN(0.5,MAX(0,N(BW341)-100)*0.005),0))</f>
        <v>4</v>
      </c>
      <c r="CF341" t="str">
        <f>IFERROR(VLOOKUP(BI341,Кабель_обозначение,2,FALSE),"")</f>
        <v>ВВГнг(А)-LS</v>
      </c>
      <c r="CG341" t="str">
        <f>IFERROR(IF(VLOOKUP(BI341,Кабель_обозначение,3,FALSE)=1,CF341&amp;" ("&amp;BJ341&amp;"х"&amp;BS341&amp;")",CF341),"")</f>
        <v>ВВГнг(А)-LS (5х6)</v>
      </c>
      <c r="CH341" t="str">
        <f t="shared" si="458"/>
        <v/>
      </c>
      <c r="CI341">
        <f>IFERROR(2*ρкз_Cu*BW341/BS341,"")</f>
        <v>0.4383333333333333</v>
      </c>
      <c r="CJ341">
        <f t="shared" si="459"/>
        <v>0.14583333333333334</v>
      </c>
      <c r="CK341" t="str">
        <f>IFERROR(IF(OR(D341="",NOT(ISNUMBER(BS341)),N(BW341)=0),"",_xlfn.XLOOKUP(A341,Щиты[Щит],Щиты[Zпетли на шинах, Ом])+CI341),"")</f>
        <v/>
      </c>
      <c r="CL341" t="str">
        <f>IF(ISNUMBER(CK341),c_min*(Uн_лин*1000/SQRT(3))/CK341,"")</f>
        <v/>
      </c>
      <c r="CM341" t="str">
        <f>IFERROR(IF(OR(D341="",NOT(ISNUMBER(BS341))),"",1.05*(Uн_лин*1000/SQRT(3))/(_xlfn.XLOOKUP(A341,Щиты[Щит],Щиты[Zmax на шинах, Ом])+CJ341)/1000),"")</f>
        <v/>
      </c>
      <c r="CN341" t="str">
        <f>IF(D341="","",IF(BA341&lt;&gt;"","Щит",IF(K341&lt;&gt;"",K341,IF(ISNUMBER(L341),"Сил",IF(IFERROR(_xlfn.XLOOKUP(AT341,Коды_код,Коды_группа)&amp;"","")="","Быт",_xlfn.XLOOKUP(AT341,Коды_код,Коды_группа)&amp;"")))))</f>
        <v>Нет</v>
      </c>
      <c r="CO341">
        <f>IF(CN341="Щит","щит",IF(CN341="","",IF(CN341="Быт",IFERROR(_xlfn.XLOOKUP(A341,Щиты[Щит],Щиты[Кс быт]),1),IF(CN341="Сил",IF(ISNUMBER(L341),L341,IF(Методика="нормы 2026",IFERROR(_xlfn.XLOOKUP(A341,Щиты[Щит],Щиты[Кс силовых (табл. 7.5)]),1),1)),IF(OR(CN341="Пост",CN341="Отоп"),1,IF(CN341="ВНГ",0.7,0))))))</f>
        <v>0</v>
      </c>
      <c r="CP341">
        <f t="shared" si="460"/>
        <v>1</v>
      </c>
      <c r="CQ341">
        <f t="shared" si="461"/>
        <v>0</v>
      </c>
      <c r="CR341">
        <f t="shared" si="462"/>
        <v>0</v>
      </c>
      <c r="CS341">
        <f t="shared" si="463"/>
        <v>0</v>
      </c>
      <c r="CT341">
        <f t="shared" si="464"/>
        <v>0</v>
      </c>
      <c r="CU341">
        <f t="shared" si="465"/>
        <v>0</v>
      </c>
      <c r="CV341">
        <f t="shared" si="466"/>
        <v>0</v>
      </c>
      <c r="CW341">
        <f t="shared" si="467"/>
        <v>0</v>
      </c>
      <c r="CX341">
        <f t="shared" si="468"/>
        <v>0</v>
      </c>
      <c r="CY341">
        <f t="shared" si="469"/>
        <v>0</v>
      </c>
      <c r="CZ341" t="str">
        <f t="shared" si="470"/>
        <v>L1,L2,L3</v>
      </c>
      <c r="DA341" cm="1">
        <f t="array" ref="DA341">IFERROR(IF(BL341=2,_xlfn.IFS(BH341=3,VLOOKUP(BF341,Справочная_двигатели,3,FALSE),BH341=1,VLOOKUP(BF341,Справочная_двигатели,5,TRUE)),0),0)</f>
        <v>0</v>
      </c>
      <c r="DB341">
        <f>IFERROR(IF(BL341=3,VLOOKUP(BF341,Справочная_ЛЭД,2,TRUE),0),0)</f>
        <v>0</v>
      </c>
      <c r="DC341">
        <f t="shared" si="471"/>
        <v>0</v>
      </c>
      <c r="DD341" t="str">
        <f t="shared" si="472"/>
        <v>L1,L2,L3</v>
      </c>
      <c r="DE341" t="str" cm="1">
        <f t="array" ref="DE341">IF(D341="","",IFERROR(INDEX({"I особая","I","II","III"},MATCH(TRIM(AA341&amp;""),{"I особая","I","II","III"},0)),"III"))</f>
        <v>III</v>
      </c>
      <c r="DF341" t="str">
        <f>IF(D341="","",IF(TRIM(AB341&amp;"")&lt;&gt;"",IF(LOWER(TRIM(AB341&amp;""))="да","да","нет"),IF(IFERROR(_xlfn.XLOOKUP(AT341,Коды_код,Коды_пожарная),"")="да","да","нет")))</f>
        <v>нет</v>
      </c>
      <c r="DG341" t="str">
        <f t="shared" si="473"/>
        <v/>
      </c>
      <c r="DH341" t="str">
        <f t="shared" si="474"/>
        <v>основная</v>
      </c>
      <c r="DI341">
        <f t="shared" si="475"/>
        <v>1</v>
      </c>
      <c r="DJ341" t="str" cm="1">
        <f t="array" ref="DJ341">IF(D341="","",_xlfn.LET(_xlpm.t,IFERROR(_xlfn.XLOOKUP(1,(Шины[Шина]=DH341)*(((Шины[Щит]=A341)+(Шины[Щит]=""))&gt;0),Шины[Тип]),"")&amp;"",IF(_xlpm.t&lt;&gt;"",_xlpm.t,IF(ISNUMBER(SEARCH("ИБП",DH341)),"ИБП",IF(ISNUMBER(SEARCH("ДГУ",DH341)),"ДГУ","Ввод "&amp;DI341)))))</f>
        <v>Ввод 1</v>
      </c>
      <c r="DK341" t="str">
        <f t="shared" si="476"/>
        <v>Ввод 1</v>
      </c>
      <c r="DL341" t="str">
        <f>IF(D341="","",IF(OR(DJ341="ИБП",DJ341="ДГУ"),"I особая",IF(DJ341="Одиночная","III",_xlfn.XLOOKUP(A341,Щиты[Щит],Щиты[Категория шины «Ввод»],"III"))))</f>
        <v>II</v>
      </c>
      <c r="DM341">
        <f>IF(D341="",0,IFERROR(MATCH(DE341,{"III","II","I","I особая"},0),1))</f>
        <v>1</v>
      </c>
      <c r="DN341">
        <f t="shared" si="477"/>
        <v>1</v>
      </c>
      <c r="DO341" t="str">
        <f>IF(D341="","",IF(DM341&gt;IFERROR(MATCH(DL341,{"III","II","I","I особая"},0),1),"НЕ ОБЕСПЕЧЕНА","ОК"))</f>
        <v>ОК</v>
      </c>
      <c r="DP341" t="str">
        <f>IF(A341="","",_xlfn.XLOOKUP(A341,Щиты[Щит],Щиты[Путь],""))</f>
        <v>|ГРЩ-ЖД|ЩУОВ|</v>
      </c>
      <c r="DQ341" t="str">
        <f>IF(D341="","",IF(Z341&lt;&gt;"",Z341,IF(IFERROR(_xlfn.XLOOKUP(AT341,Коды_код,Коды_вид)&amp;"","")="","Прочее",_xlfn.XLOOKUP(AT341,Коды_код,Коды_вид)&amp;"")))</f>
        <v>Прочее</v>
      </c>
      <c r="DR341">
        <f>IF(BD341="","",INT((BD341-1)/Столбцов_на_лист)+1)</f>
        <v>1</v>
      </c>
      <c r="DS341" t="str">
        <f t="shared" si="478"/>
        <v/>
      </c>
      <c r="DT341">
        <f t="shared" si="479"/>
        <v>0</v>
      </c>
      <c r="DU341">
        <f t="shared" si="480"/>
        <v>0</v>
      </c>
      <c r="DV341">
        <f t="shared" si="481"/>
        <v>3</v>
      </c>
      <c r="DW341">
        <f>IF(AT341="",0,_xlfn.LET(_xlpm.v,IFERROR(VLOOKUP(D341,УГО_спр,3,FALSE),IFERROR(VLOOKUP(AT341,УГО_спр,3,FALSE),IFERROR(VLOOKUP(LEFT(AT341,2),УГО_спр,3,FALSE),""))),IF(_xlpm.v="да",30,IF(ISNUMBER(_xlpm.v),_xlpm.v,0))))</f>
        <v>0</v>
      </c>
      <c r="DX341">
        <f t="shared" si="482"/>
        <v>0</v>
      </c>
      <c r="DY341" t="str">
        <f>IF(BD341="","",IF(AD341&lt;&gt;"",COUNTIFS(A$3:A341,A341,AD$3:AD341,"?*"),IF(OR(OR(AS341=1,A341&lt;&gt;A340),AL341="вручную"),"",IF(AS341=1,"",DZ340))))</f>
        <v/>
      </c>
      <c r="DZ341" t="str">
        <f t="shared" si="483"/>
        <v/>
      </c>
      <c r="EA341">
        <f>IF(D341="",0,MAX(IFERROR(--X341,0),IFERROR(--VLOOKUP(D341,УГО_спр,4,FALSE),IFERROR(--VLOOKUP(AT341,УГО_спр,4,FALSE),IFERROR(--VLOOKUP(LEFT(AT341,2),УГО_спр,4,FALSE),0)))))</f>
        <v>32</v>
      </c>
      <c r="EB341">
        <f>IF(D341="","",IFERROR(LOOKUP(INDEX(CHOOSE(BR341,Iдоп_1ж,Iдоп_2ж,Iдоп_3ж),MATCH(BS341,Iдоп_S,0))*BP341*BQ341,{6,10,16,20,25,32,40,50,63,80,100,125,160,200,250,315,400,500,630}),""))</f>
        <v>32</v>
      </c>
      <c r="EC341" t="str">
        <f>IF(AD341="","",SUMIFS(Линии[_Ток схемы],Линии[_гр.],DY341,Линии[Щит],A341,Линии[_в кабель выше],0))</f>
        <v/>
      </c>
      <c r="ED341" t="str">
        <f>IF(AD341="","",IFERROR(VLOOKUP(EC341,Автомат_номиналы,2,TRUE),""))</f>
        <v/>
      </c>
      <c r="EE341" t="str">
        <f>IF(AD341="","",MAX(N(ED341),_xlfn.MAXIFS(Линии[_мин. по типу],Линии[_гр.],DY341,Линии[Щит],A341)))</f>
        <v/>
      </c>
      <c r="EF341" t="str">
        <f>IF(AD341="","",_xlfn.MINIFS(Линии[_макс. автомат по кабелю],Линии[_гр.],DY341,Линии[Щит],A341))</f>
        <v/>
      </c>
      <c r="EG341" t="str">
        <f>IF(AD341="","",MAX(1,_xlfn.MAXIFS(Линии[_фаз],Линии[_гр.],DY341,Линии[Щит],A341)))</f>
        <v/>
      </c>
      <c r="EH341" t="str">
        <f>IF(AD341="","",IF(AND(AD341&lt;&gt;"авто",AD341&lt;&gt;"+"),IF(ISNUMBER(SEARCH("мА",AD341)),IFERROR(--TRIM(RIGHT(SUBSTITUTE(LEFT(AD341,SEARCH("мА",AD341)-1)," ",REPT(" ",9)),6)),30),0),IF(AE341="нет",0,IF(ISNUMBER(AE341),AE341,IF(AE341="да",30,_xlfn.MINIFS(Линии[_дифзащита по коду, мА],Линии[_гр.],DY341,Линии[Щит],A341,Линии[_дифзащита по коду, мА],"&gt;0"))))))</f>
        <v/>
      </c>
      <c r="EI341" t="str">
        <f t="shared" si="484"/>
        <v/>
      </c>
      <c r="EJ341" t="str">
        <f t="shared" si="485"/>
        <v/>
      </c>
      <c r="EK341" t="str">
        <f t="shared" si="486"/>
        <v/>
      </c>
      <c r="EL341" t="str">
        <f t="shared" si="487"/>
        <v/>
      </c>
      <c r="EM341">
        <f t="shared" si="488"/>
        <v>0</v>
      </c>
      <c r="EN341" t="str">
        <f>IF(AD341="","",IF(EM341=1,MAX(EE341,Мин_автомат_БП),EE341))</f>
        <v/>
      </c>
      <c r="EO341" t="str">
        <f t="shared" si="489"/>
        <v/>
      </c>
      <c r="EP341" t="str">
        <f t="shared" si="490"/>
        <v/>
      </c>
      <c r="EQ341" t="str">
        <f t="shared" si="491"/>
        <v/>
      </c>
      <c r="ER341" t="str">
        <f>IF(OR(AI341="",AI341="-"),"",IFERROR(VLOOKUP(AI341,Модули_спр,2,FALSE),"R"))</f>
        <v/>
      </c>
      <c r="ES341" t="str">
        <f>IF(ER341="","",ER341&amp;"."&amp;COUNTIFS(A$3:A341,A341,ER$3:ER341,ER341))</f>
        <v/>
      </c>
      <c r="ET341" t="str">
        <f t="shared" si="492"/>
        <v/>
      </c>
      <c r="EU341" t="str">
        <f t="shared" si="493"/>
        <v/>
      </c>
      <c r="EV341" t="str">
        <f t="shared" si="494"/>
        <v/>
      </c>
      <c r="EW341" t="str">
        <f t="shared" si="495"/>
        <v/>
      </c>
      <c r="EX341">
        <f t="shared" si="496"/>
        <v>0</v>
      </c>
      <c r="EY341" t="str">
        <f>IF(AK341="нет","",IF(AK341&lt;&gt;"",AK341,IF(EX341=1,"XT"&amp;COUNTIFS(A$3:A341,A341,EX$3:EX341,1),"")))</f>
        <v/>
      </c>
      <c r="EZ341" t="str">
        <f t="shared" si="497"/>
        <v/>
      </c>
      <c r="FA341" t="str">
        <f t="shared" si="498"/>
        <v/>
      </c>
      <c r="FB341" t="str">
        <f t="shared" si="499"/>
        <v/>
      </c>
      <c r="FC341" t="str">
        <f>IF(OR(EV341="",ET341=""),"",IF(EV341&gt;IFERROR(VLOOKUP(EU341,Модули_спр,3,FALSE),99),"ЛИШНИЙ КАНАЛ",IF(AND(AJ341&lt;&gt;"=",COUNTIFS(Линии[_модуль гр.],ET341,Линии[Канал (итог)],EV341,Линии[Канал],"&lt;&gt;=",Линии[Щит],A341)&gt;1),"ДУБЛЬ КАНАЛА","")))</f>
        <v/>
      </c>
      <c r="FD341" t="str">
        <f t="shared" si="500"/>
        <v/>
      </c>
      <c r="FE341" t="str">
        <f t="shared" si="501"/>
        <v/>
      </c>
      <c r="FF341" t="str">
        <f t="shared" si="502"/>
        <v/>
      </c>
      <c r="FG341" t="str">
        <f t="shared" si="503"/>
        <v/>
      </c>
      <c r="FH341" t="str">
        <f t="shared" si="504"/>
        <v/>
      </c>
      <c r="FI341">
        <f t="shared" si="505"/>
        <v>10</v>
      </c>
      <c r="FJ341" t="str">
        <f t="shared" si="506"/>
        <v/>
      </c>
      <c r="FK341" t="str">
        <f>IF(AND(D341="",EZ341=""),"",_xlfn.TEXTJOIN("; ",TRUE,IF(AND(D341&lt;&gt;"",DD341=""),"нет фазы",""),IF(AND(D341&lt;&gt;"",N(DT341)=0,CN341&lt;&gt;"Нет"),"нет мощности",""),IF(AND(EY341&lt;&gt;"",COUNTIFS(Линии[Щит],A341,Линии[Клемма (итог)],EY341)&gt;1),"дубль клеммы "&amp;EY341,""),IF(AND(FB341&lt;&gt;"",FB341&lt;&gt;"ok"),FB341,""),IF(FC341&lt;&gt;"",FC341,""),IF(AND(ISNUMBER(SEARCH("(5х",DS341)),N(DV341)=1),"5 жил на 1 фазе",""),IF(AND(AT341="R",AD341&lt;&gt;"",OR(N(EH341)=0,N(EH341)&gt;30)),"розетка без дифзащиты до 30 мА",""),IFERROR(IF(AND(ISNUMBER(CD341),CD341&gt;CE341),"потери "&amp;FIXED(CD341,1)&amp;" % &gt; "&amp;CE341&amp;" %",""),""),IFERROR(IF(LEFT(FJ341,4)="мало","Iкз мало — отключение &gt; 0,4 с",""),""),IF(AND(D341&lt;&gt;"",BD341=""),"не на схеме","")))</f>
        <v/>
      </c>
      <c r="FL341" t="str">
        <f>IF(AD341="","",_xlfn.LET(_xlpm.t,IFERROR(_xlfn.XLOOKUP(EP341,Каталог!$U$4:$U$500,Каталог!$G$4:$G$500),""),_xlpm.k,SEARCH("кА",_xlpm.t),IFERROR(--TRIM(RIGHT(SUBSTITUTE(MID(_xlpm.t,MAX(1,_xlpm.k-4),_xlpm.k-MAX(1,_xlpm.k-4))," ",REPT(" ",9)),5)),"")))</f>
        <v/>
      </c>
      <c r="FM341" t="str">
        <f>IF(OR(FL341="",AD341=""),"",IF(_xlfn.XLOOKUP(A341,Щиты[Щит],Щиты[Iкз max на шинах, кА],"")="","",IF(FL341&lt;_xlfn.XLOOKUP(A341,Щиты[Щит],Щиты[Iкз max на шинах, кА]),"Icu "&amp;FL341&amp;" кА &lt; Iкз max","ok")))</f>
        <v/>
      </c>
      <c r="FN341" t="str">
        <f t="shared" si="507"/>
        <v/>
      </c>
      <c r="FO341" t="str">
        <f t="shared" si="508"/>
        <v/>
      </c>
      <c r="FP341" t="str" cm="1">
        <f t="array" ref="FP341">IF(FO341="","",_xlfn.LET(_xlpm.nd,_xlfn.TEXTSPLIT(FO341,"|"),IF(COLUMNS(_xlpm.nd)&gt;1,A341&amp;"¦"&amp;INDEX(_xlpm.nd,1)&amp;"¦"&amp;INDEX(_xlpm.nd,2),"")))</f>
        <v/>
      </c>
      <c r="FQ341" t="str">
        <f t="shared" si="509"/>
        <v/>
      </c>
      <c r="FR341" t="str" cm="1">
        <f t="array" ref="FR341">IF(FO341="","",_xlfn.LET(_xlpm.nd,_xlfn.TEXTSPLIT(FO341,"|"),IF(COLUMNS(_xlpm.nd)&gt;2,A341&amp;"¦"&amp;INDEX(_xlpm.nd,2)&amp;"¦"&amp;INDEX(_xlpm.nd,3),"")))</f>
        <v/>
      </c>
      <c r="FS341" t="str">
        <f t="shared" si="510"/>
        <v/>
      </c>
      <c r="FT341" t="str" cm="1">
        <f t="array" ref="FT341">IF(FO341="","",_xlfn.LET(_xlpm.nd,_xlfn.TEXTSPLIT(FO341,"|"),IF(COLUMNS(_xlpm.nd)&gt;3,A341&amp;"¦"&amp;INDEX(_xlpm.nd,3)&amp;"¦"&amp;INDEX(_xlpm.nd,4),"")))</f>
        <v/>
      </c>
      <c r="FU341" t="str">
        <f t="shared" si="511"/>
        <v/>
      </c>
      <c r="FV341" t="str" cm="1">
        <f t="array" ref="FV341">IF(FO341="","",_xlfn.LET(_xlpm.nd,_xlfn.TEXTSPLIT(FO341,"|"),IF(COLUMNS(_xlpm.nd)&gt;4,A341&amp;"¦"&amp;INDEX(_xlpm.nd,4)&amp;"¦"&amp;INDEX(_xlpm.nd,5),"")))</f>
        <v/>
      </c>
      <c r="FW341" t="str">
        <f t="shared" si="512"/>
        <v/>
      </c>
      <c r="FX341" t="str" cm="1">
        <f t="array" ref="FX341">IF(FO341="","",_xlfn.LET(_xlpm.nd,_xlfn.TEXTSPLIT(FO341,"|"),IF(COLUMNS(_xlpm.nd)&gt;5,A341&amp;"¦"&amp;INDEX(_xlpm.nd,5)&amp;"¦"&amp;INDEX(_xlpm.nd,6),"")))</f>
        <v/>
      </c>
      <c r="FY341" t="str">
        <f t="shared" si="513"/>
        <v/>
      </c>
      <c r="FZ341" t="str" cm="1">
        <f t="array" ref="FZ341">IF(FO341="","",_xlfn.LET(_xlpm.nd,_xlfn.TEXTSPLIT(FO341,"|"),IF(COLUMNS(_xlpm.nd)&gt;6,A341&amp;"¦"&amp;INDEX(_xlpm.nd,6)&amp;"¦"&amp;INDEX(_xlpm.nd,7),"")))</f>
        <v/>
      </c>
      <c r="GA341" t="str">
        <f t="shared" si="514"/>
        <v/>
      </c>
      <c r="GB341" t="str">
        <f t="shared" si="515"/>
        <v/>
      </c>
      <c r="GC341" t="str">
        <f t="shared" si="516"/>
        <v/>
      </c>
      <c r="GD341">
        <f t="shared" si="517"/>
        <v>0</v>
      </c>
      <c r="GE341">
        <f t="shared" si="518"/>
        <v>0</v>
      </c>
      <c r="GF341">
        <f t="shared" si="519"/>
        <v>0</v>
      </c>
      <c r="GG341" t="str">
        <f t="shared" si="520"/>
        <v/>
      </c>
      <c r="GH341" t="str">
        <f t="shared" si="521"/>
        <v/>
      </c>
      <c r="GI341" t="str">
        <f t="shared" si="522"/>
        <v/>
      </c>
      <c r="GJ341" t="str">
        <f t="shared" si="523"/>
        <v/>
      </c>
      <c r="GK341">
        <f>IF(D341="","",IFERROR(VLOOKUP(D341,УГО_спр,2,FALSE),IFERROR(VLOOKUP(AT341,УГО_спр,2,FALSE),IFERROR(VLOOKUP(LEFT(AT341,2),УГО_спр,2,FALSE),""))))</f>
        <v>0</v>
      </c>
      <c r="GL341" t="str">
        <f>IF(D341="","",IF(OR(GK341="",GK341=0),"BOX",IFERROR(IF(VLOOKUP(GK341,УГО_блоки,3,FALSE)&amp;""&lt;&gt;"",VLOOKUP(GK341,УГО_блоки,3,FALSE),VLOOKUP(GK341,УГО_блоки,2,FALSE)),GK341)))</f>
        <v>BOX</v>
      </c>
      <c r="GM341">
        <f t="shared" si="524"/>
        <v>1</v>
      </c>
      <c r="GN341" t="str">
        <f>IF(EP341="","",IF(COUNTIF(EP$3:EP341,EP341)=1,MAX(GN$2:GN340)+1,""))</f>
        <v/>
      </c>
      <c r="GO341" t="str">
        <f>IF(AF341="","",IF(COUNTIF(AF$3:AF341,AF341)+COUNTIF(AG$2:AG340,AF341)+COUNTIF(AH$2:AH340,AF341)=1,MAX(GO$2:GQ340)+1,""))</f>
        <v/>
      </c>
      <c r="GP341" t="str">
        <f>IF(AG341="","",IF(COUNTIF(AF$3:AF341,AG341)+COUNTIF(AG$3:AG341,AG341)+COUNTIF(AH$2:AH340,AG341)=1,MAX(GO$2:GQ340,GO341)+1,""))</f>
        <v/>
      </c>
      <c r="GQ341" t="str">
        <f>IF(AH341="","",IF(COUNTIF(AF$3:AF341,AH341)+COUNTIF(AG$3:AG341,AH341)+COUNTIF(AH$3:AH341,AH341)=1,MAX(GO$2:GQ340,GO341,GP341)+1,""))</f>
        <v/>
      </c>
      <c r="GR341" t="str">
        <f t="shared" si="525"/>
        <v/>
      </c>
      <c r="GS341" t="str">
        <f>IF(GR341="","",IF(COUNTIF(GR$3:GR341,GR341)=1,MAX(GS$2:GS340)+1,""))</f>
        <v/>
      </c>
      <c r="GT341" t="str">
        <f>IF(ES341="","",COUNTIF(ES$3:ES341,"?*"))</f>
        <v/>
      </c>
      <c r="GU341" t="str">
        <f>IF(OR(ES341="",EU341=""),"",IF(COUNTIFS(ES$3:ES341,"?*",EU$3:EU341,EU341)=1,MAX(GU$2:GU340)+1,""))</f>
        <v/>
      </c>
      <c r="GV341">
        <f t="shared" si="526"/>
        <v>0</v>
      </c>
      <c r="GW341">
        <f>IF(D341="","",COUNTIF(D$3:D341,"?*"))</f>
        <v>339</v>
      </c>
      <c r="GX341">
        <f>IF(EX341&lt;&gt;1,0,_xlfn.LET(_xlpm.k,MAX(IFERROR(--VLOOKUP(D341,УГО_спр,5,FALSE),0),IFERROR(--VLOOKUP(AT341,УГО_спр,5,FALSE),0),IFERROR(--VLOOKUP(LEFT(AT341,2),УГО_спр,5,FALSE),0)),IF(_xlpm.k&gt;0,_xlpm.k,IF(IFERROR(--LEFT(SUBSTITUTE(GR341,"x","х"),FIND("х",SUBSTITUTE(GR341,"x","х"))-1),3)&gt;3,Каталог!$S$9,1))))</f>
        <v>0</v>
      </c>
      <c r="GY341">
        <f t="shared" si="527"/>
        <v>0</v>
      </c>
    </row>
    <row r="342" spans="1:207" x14ac:dyDescent="0.3">
      <c r="A342" t="s">
        <v>774</v>
      </c>
      <c r="B342">
        <v>11</v>
      </c>
      <c r="C342" t="str">
        <f>IF(BD342="","",IF(BE342="вводной узел","узел ","")&amp;"л."&amp;(INT((BD342-1)/Столбцов_на_лист)+1)&amp;" / "&amp;(MOD(BD342-1,Столбцов_на_лист)+1))</f>
        <v>л.1 / 11</v>
      </c>
      <c r="D342" t="s">
        <v>1681</v>
      </c>
      <c r="E342" s="133" t="str">
        <f t="shared" si="440"/>
        <v/>
      </c>
      <c r="G342">
        <v>0</v>
      </c>
      <c r="H342">
        <v>1</v>
      </c>
      <c r="I342">
        <v>1</v>
      </c>
      <c r="J342">
        <v>0</v>
      </c>
      <c r="K342" t="s">
        <v>577</v>
      </c>
      <c r="O342">
        <v>2</v>
      </c>
      <c r="P342">
        <v>24</v>
      </c>
      <c r="R342">
        <v>19</v>
      </c>
      <c r="S342">
        <v>5</v>
      </c>
      <c r="U342" t="s">
        <v>605</v>
      </c>
      <c r="V342">
        <v>2</v>
      </c>
      <c r="W342">
        <v>0.75</v>
      </c>
      <c r="Z342" t="s">
        <v>613</v>
      </c>
      <c r="AA342" t="s">
        <v>818</v>
      </c>
      <c r="AD342" t="s">
        <v>517</v>
      </c>
      <c r="AR342" t="str">
        <f t="shared" si="441"/>
        <v>нет мощности</v>
      </c>
      <c r="AS342" cm="1">
        <f t="array" ref="AS342">ROW()-ROW(Линии[#Headers])</f>
        <v>340</v>
      </c>
      <c r="AT342" t="str">
        <f t="shared" si="442"/>
        <v>DW</v>
      </c>
      <c r="AU342" t="str">
        <f t="shared" si="443"/>
        <v>1</v>
      </c>
      <c r="AV342" t="str">
        <f t="shared" si="444"/>
        <v>1</v>
      </c>
      <c r="AW342" t="str">
        <f t="shared" si="445"/>
        <v/>
      </c>
      <c r="AX342" t="str">
        <f t="shared" si="446"/>
        <v/>
      </c>
      <c r="AY342" t="str">
        <f>IF(D342="","",IF(ISERROR(SEARCH(".",D342)),IFERROR(VLOOKUP(D342,Потребители_обозначение,2,FALSE)&amp;"",""),IFERROR(IF(VLOOKUP(AT342,Потребители_обозначение,4,FALSE)=1,VLOOKUP(AT342,Потребители_обозначение,2,FALSE)&amp;" "&amp;VLOOKUP(AV342,Этаж_обозначение,2,FALSE)&amp;" Пом. №"&amp;AX342,VLOOKUP(AT342,Потребители_обозначение,2,FALSE)&amp;" Шлейф №"&amp;AV342),IFERROR(VLOOKUP(D342,Потребители_обозначение,2,FALSE),""))))</f>
        <v/>
      </c>
      <c r="AZ342" t="str">
        <f t="shared" si="447"/>
        <v/>
      </c>
      <c r="BA342" t="str">
        <f>IF(F342&lt;&gt;"",F342,IF(AND(D342&lt;&gt;"",D342&lt;&gt;A342,ISNUMBER(_xlfn.XMATCH(D342,Щиты[Щит]))),D342,""))</f>
        <v/>
      </c>
      <c r="BB342">
        <f>IFERROR(_xlfn.XMATCH(A342,Щиты[Щит]),0)</f>
        <v>17</v>
      </c>
      <c r="BC342">
        <f>IFERROR(N(_xlfn.XLOOKUP(A342,Щиты[Щит],Щиты[Мест под вводной узел])),15)</f>
        <v>10</v>
      </c>
      <c r="BD342">
        <f t="shared" si="448"/>
        <v>11</v>
      </c>
      <c r="BE342" t="str">
        <f t="shared" si="449"/>
        <v>линии</v>
      </c>
      <c r="BF342">
        <f>IF(D342="","",IF(BA342&lt;&gt;"",IFERROR(_xlfn.XLOOKUP(BA342,Щиты[Щит],Щиты[Руст, кВт]),0),N(G342)))</f>
        <v>0</v>
      </c>
      <c r="BG342">
        <f>IF(J342&lt;&gt;"",J342,IF(D342="","",IFERROR(IF(VLOOKUP(AT342,Потребители_обозначение,8,FALSE)=0,"",VLOOKUP(AT342,Потребители_обозначение,8,FALSE)),"")))</f>
        <v>0</v>
      </c>
      <c r="BH342">
        <f>IF(I342&lt;&gt;"",I342,IF(D342="","",IFERROR(IF(VLOOKUP(AT342,Потребители_обозначение,9,FALSE)=0,"",VLOOKUP(AT342,Потребители_обозначение,9,FALSE)),"")))</f>
        <v>1</v>
      </c>
      <c r="BI342" t="str">
        <f>IF(U342&lt;&gt;"",U342,IF(D342="","",IFERROR(IF(VLOOKUP(AT342,Потребители_обозначение,6,FALSE)=0,"",VLOOKUP(AT342,Потребители_обозначение,6,FALSE)),"")))</f>
        <v>эк</v>
      </c>
      <c r="BJ342">
        <f>IF(V342&lt;&gt;"",V342,IF(D342="","",IFERROR(IF(VLOOKUP(AT342,Потребители_обозначение,7,FALSE)=0,"",VLOOKUP(AT342,Потребители_обозначение,7,FALSE)),"")))</f>
        <v>2</v>
      </c>
      <c r="BK342">
        <f>IF(W342&lt;&gt;"",W342,IF(D342="","",IFERROR(IF(VLOOKUP(AT342,Потребители_обозначение,10,FALSE)=0,"",VLOOKUP(AT342,Потребители_обозначение,10,FALSE)),"")))</f>
        <v>0.75</v>
      </c>
      <c r="BL342">
        <f>IFERROR(VLOOKUP(AT342,Потребители_обозначение,5,FALSE),0)</f>
        <v>0</v>
      </c>
      <c r="BM342" cm="1">
        <f t="array" ref="BM342">IF(D342="","",IF(BA342&lt;&gt;"",IFERROR(_xlfn.XLOOKUP(BA342,Щиты[Щит],Щиты[cos φ]),0.95),IF(ISNUMBER(M342),M342,IFERROR(IF(BL342=2,_xlfn.IFS(BH342=3,VLOOKUP(BF342,Справочная_двигатели,8,FALSE),BH342=1,VLOOKUP(BF342,Справочная_двигатели,10,TRUE)),IF(AND(Методика="нормы 2026",CN342="Сил"),0.8,0.95)),0.95))))</f>
        <v>0.95</v>
      </c>
      <c r="BN342" cm="1">
        <f t="array" ref="BN342">IF(D342="","",IF(BA342&lt;&gt;"",IFERROR(_xlfn.XLOOKUP(BA342,Щиты[Щит],Щиты[Iр, А]),""),IFERROR(_xlfn.IFS(BH342=1,BF342/((Uн_лин/SQRT(3))*BM342),BH342=3,BF342/(SQRT(3)*Uн_лин*BM342)),"")))</f>
        <v>0</v>
      </c>
      <c r="BO342">
        <f>IF(D342="","",IF(N(X342)=0,IFERROR(VLOOKUP(BN342,Автомат_номиналы,2,TRUE),""),X342))</f>
        <v>6</v>
      </c>
      <c r="BP342">
        <f t="shared" si="450"/>
        <v>1</v>
      </c>
      <c r="BQ342">
        <f>IF(ISNUMBER(Y342),Y342,К_прокл)</f>
        <v>1</v>
      </c>
      <c r="BR342">
        <f t="shared" si="451"/>
        <v>2</v>
      </c>
      <c r="BS342" cm="1">
        <f t="array" ref="BS342">IF(D342="","",IF(N(BK342)&lt;&gt;0,BK342,IFERROR(_xlfn.LET(_xlpm.need,BO342/(BP342*BQ342),_xlpm.t,CHOOSE(BR342,Iдоп_1ж,Iдоп_2ж,Iдоп_3ж),_xlpm.k,_xlfn.XMATCH(_xlpm.need,_xlpm.t,1),IF(ISNA(_xlpm.k),"Не исп",INDEX(Iдоп_S,_xlpm.k))),"Не исп")))</f>
        <v>0.75</v>
      </c>
      <c r="BT342">
        <f>IFERROR(VLOOKUP(BS342,Кабель_сопротивление,3,FALSE),"")</f>
        <v>2.2499999999999999E-2</v>
      </c>
      <c r="BU342">
        <f>IFERROR(VLOOKUP(BS342,Кабель_сопротивление,2,FALSE),"")</f>
        <v>0.13</v>
      </c>
      <c r="BV342">
        <f t="shared" si="452"/>
        <v>24</v>
      </c>
      <c r="BW342">
        <f>IF(D342="","",IFERROR(IF(VLOOKUP(AT342,Потребители_обозначение,4,FALSE)=1,VLOOKUP(AT342,Потребители_обозначение,3,FALSE)*(H342*2-1)+BV342+VLOOKUP(AV342,Этаж_обозначение,3,FALSE)+VLOOKUP(AV342,Этаж_обозначение,4,FALSE),VLOOKUP(AT342,Потребители_обозначение,3,FALSE)*(H342*2-1)+BV342),BV342))</f>
        <v>24</v>
      </c>
      <c r="BX342">
        <f t="shared" si="453"/>
        <v>19</v>
      </c>
      <c r="BY342">
        <f t="shared" si="454"/>
        <v>5</v>
      </c>
      <c r="BZ342">
        <f t="shared" si="455"/>
        <v>2</v>
      </c>
      <c r="CA342">
        <f t="shared" si="456"/>
        <v>0.31</v>
      </c>
      <c r="CB342">
        <f t="shared" si="457"/>
        <v>0</v>
      </c>
      <c r="CC342">
        <f>IFERROR(ROUNDUP(CB342/((Uн_лин/SQRT(3))*1000)*100,2),"")</f>
        <v>0</v>
      </c>
      <c r="CD342">
        <f>IF(ISNUMBER(CC342),CC342+IFERROR(_xlfn.XLOOKUP(A342,Щиты[Щит],Щиты[ΔU до шин, %]),0),"")</f>
        <v>3.21</v>
      </c>
      <c r="CE342">
        <f>IF(D342="","",IF(IFERROR(VLOOKUP(AT342,УГО_спр,2,FALSE),"")="Светильник",3,4)+IF(Методика="нормы 2026",MIN(0.5,MAX(0,N(BW342)-100)*0.005),0))</f>
        <v>4</v>
      </c>
      <c r="CF342" t="str">
        <f>IFERROR(VLOOKUP(BI342,Кабель_обозначение,2,FALSE),"")</f>
        <v>МКЭШнг(A)-LS</v>
      </c>
      <c r="CG342" t="str">
        <f>IFERROR(IF(VLOOKUP(BI342,Кабель_обозначение,3,FALSE)=1,CF342&amp;" ("&amp;BJ342&amp;"х"&amp;BS342&amp;")",CF342),"")</f>
        <v>МКЭШнг(A)-LS (2х0,75)</v>
      </c>
      <c r="CH342" t="str">
        <f t="shared" si="458"/>
        <v>МКЭШнг(A)-LS (2х0,75)
L=24-0%</v>
      </c>
      <c r="CI342">
        <f>IFERROR(2*ρкз_Cu*BW342/BS342,"")</f>
        <v>1.6832</v>
      </c>
      <c r="CJ342">
        <f t="shared" si="459"/>
        <v>0.56000000000000005</v>
      </c>
      <c r="CK342" t="str">
        <f>IFERROR(IF(OR(D342="",NOT(ISNUMBER(BS342)),N(BW342)=0),"",_xlfn.XLOOKUP(A342,Щиты[Щит],Щиты[Zпетли на шинах, Ом])+CI342),"")</f>
        <v/>
      </c>
      <c r="CL342" t="str">
        <f>IF(ISNUMBER(CK342),c_min*(Uн_лин*1000/SQRT(3))/CK342,"")</f>
        <v/>
      </c>
      <c r="CM342" t="str">
        <f>IFERROR(IF(OR(D342="",NOT(ISNUMBER(BS342))),"",1.05*(Uн_лин*1000/SQRT(3))/(_xlfn.XLOOKUP(A342,Щиты[Щит],Щиты[Zmax на шинах, Ом])+CJ342)/1000),"")</f>
        <v/>
      </c>
      <c r="CN342" t="str">
        <f>IF(D342="","",IF(BA342&lt;&gt;"","Щит",IF(K342&lt;&gt;"",K342,IF(ISNUMBER(L342),"Сил",IF(IFERROR(_xlfn.XLOOKUP(AT342,Коды_код,Коды_группа)&amp;"","")="","Быт",_xlfn.XLOOKUP(AT342,Коды_код,Коды_группа)&amp;"")))))</f>
        <v>Пост</v>
      </c>
      <c r="CO342">
        <f>IF(CN342="Щит","щит",IF(CN342="","",IF(CN342="Быт",IFERROR(_xlfn.XLOOKUP(A342,Щиты[Щит],Щиты[Кс быт]),1),IF(CN342="Сил",IF(ISNUMBER(L342),L342,IF(Методика="нормы 2026",IFERROR(_xlfn.XLOOKUP(A342,Щиты[Щит],Щиты[Кс силовых (табл. 7.5)]),1),1)),IF(OR(CN342="Пост",CN342="Отоп"),1,IF(CN342="ВНГ",0.7,0))))))</f>
        <v>1</v>
      </c>
      <c r="CP342">
        <f t="shared" si="460"/>
        <v>1</v>
      </c>
      <c r="CQ342">
        <f t="shared" si="461"/>
        <v>0</v>
      </c>
      <c r="CR342">
        <f t="shared" si="462"/>
        <v>0</v>
      </c>
      <c r="CS342">
        <f t="shared" si="463"/>
        <v>0</v>
      </c>
      <c r="CT342">
        <f t="shared" si="464"/>
        <v>0</v>
      </c>
      <c r="CU342">
        <f t="shared" si="465"/>
        <v>0</v>
      </c>
      <c r="CV342">
        <f t="shared" si="466"/>
        <v>0</v>
      </c>
      <c r="CW342">
        <f t="shared" si="467"/>
        <v>0</v>
      </c>
      <c r="CX342">
        <f t="shared" si="468"/>
        <v>0</v>
      </c>
      <c r="CY342">
        <f t="shared" si="469"/>
        <v>1</v>
      </c>
      <c r="CZ342" t="str">
        <f t="shared" si="470"/>
        <v>L1</v>
      </c>
      <c r="DA342" cm="1">
        <f t="array" ref="DA342">IFERROR(IF(BL342=2,_xlfn.IFS(BH342=3,VLOOKUP(BF342,Справочная_двигатели,3,FALSE),BH342=1,VLOOKUP(BF342,Справочная_двигатели,5,TRUE)),0),0)</f>
        <v>0</v>
      </c>
      <c r="DB342">
        <f>IFERROR(IF(BL342=3,VLOOKUP(BF342,Справочная_ЛЭД,2,TRUE),0),0)</f>
        <v>0</v>
      </c>
      <c r="DC342">
        <f t="shared" si="471"/>
        <v>0</v>
      </c>
      <c r="DD342" t="str">
        <f t="shared" si="472"/>
        <v>L2</v>
      </c>
      <c r="DE342" t="str" cm="1">
        <f t="array" ref="DE342">IF(D342="","",IFERROR(INDEX({"I особая","I","II","III"},MATCH(TRIM(AA342&amp;""),{"I особая","I","II","III"},0)),"III"))</f>
        <v>II</v>
      </c>
      <c r="DF342" t="str">
        <f>IF(D342="","",IF(TRIM(AB342&amp;"")&lt;&gt;"",IF(LOWER(TRIM(AB342&amp;""))="да","да","нет"),IF(IFERROR(_xlfn.XLOOKUP(AT342,Коды_код,Коды_пожарная),"")="да","да","нет")))</f>
        <v>нет</v>
      </c>
      <c r="DG342" t="str">
        <f t="shared" si="473"/>
        <v/>
      </c>
      <c r="DH342" t="str">
        <f t="shared" si="474"/>
        <v>основная</v>
      </c>
      <c r="DI342">
        <f t="shared" si="475"/>
        <v>1</v>
      </c>
      <c r="DJ342" t="str" cm="1">
        <f t="array" ref="DJ342">IF(D342="","",_xlfn.LET(_xlpm.t,IFERROR(_xlfn.XLOOKUP(1,(Шины[Шина]=DH342)*(((Шины[Щит]=A342)+(Шины[Щит]=""))&gt;0),Шины[Тип]),"")&amp;"",IF(_xlpm.t&lt;&gt;"",_xlpm.t,IF(ISNUMBER(SEARCH("ИБП",DH342)),"ИБП",IF(ISNUMBER(SEARCH("ДГУ",DH342)),"ДГУ","Ввод "&amp;DI342)))))</f>
        <v>Ввод 1</v>
      </c>
      <c r="DK342" t="str">
        <f t="shared" si="476"/>
        <v>Ввод 1</v>
      </c>
      <c r="DL342" t="str">
        <f>IF(D342="","",IF(OR(DJ342="ИБП",DJ342="ДГУ"),"I особая",IF(DJ342="Одиночная","III",_xlfn.XLOOKUP(A342,Щиты[Щит],Щиты[Категория шины «Ввод»],"III"))))</f>
        <v>II</v>
      </c>
      <c r="DM342">
        <f>IF(D342="",0,IFERROR(MATCH(DE342,{"III","II","I","I особая"},0),1))</f>
        <v>2</v>
      </c>
      <c r="DN342">
        <f t="shared" si="477"/>
        <v>2</v>
      </c>
      <c r="DO342" t="str">
        <f>IF(D342="","",IF(DM342&gt;IFERROR(MATCH(DL342,{"III","II","I","I особая"},0),1),"НЕ ОБЕСПЕЧЕНА","ОК"))</f>
        <v>ОК</v>
      </c>
      <c r="DP342" t="str">
        <f>IF(A342="","",_xlfn.XLOOKUP(A342,Щиты[Щит],Щиты[Путь],""))</f>
        <v>|ГРЩ-ЖД|ЩУОВ|</v>
      </c>
      <c r="DQ342" t="str">
        <f>IF(D342="","",IF(Z342&lt;&gt;"",Z342,IF(IFERROR(_xlfn.XLOOKUP(AT342,Коды_код,Коды_вид)&amp;"","")="","Прочее",_xlfn.XLOOKUP(AT342,Коды_код,Коды_вид)&amp;"")))</f>
        <v>Обогрев водостоков и кровли</v>
      </c>
      <c r="DR342">
        <f>IF(BD342="","",INT((BD342-1)/Столбцов_на_лист)+1)</f>
        <v>1</v>
      </c>
      <c r="DS342" t="str">
        <f t="shared" si="478"/>
        <v>МКЭШнг(A)-LS (2х0,75) L=24-0%</v>
      </c>
      <c r="DT342">
        <f t="shared" si="479"/>
        <v>0</v>
      </c>
      <c r="DU342">
        <f t="shared" si="480"/>
        <v>0</v>
      </c>
      <c r="DV342">
        <f t="shared" si="481"/>
        <v>1</v>
      </c>
      <c r="DW342">
        <f>IF(AT342="",0,_xlfn.LET(_xlpm.v,IFERROR(VLOOKUP(D342,УГО_спр,3,FALSE),IFERROR(VLOOKUP(AT342,УГО_спр,3,FALSE),IFERROR(VLOOKUP(LEFT(AT342,2),УГО_спр,3,FALSE),""))),IF(_xlpm.v="да",30,IF(ISNUMBER(_xlpm.v),_xlpm.v,0))))</f>
        <v>0</v>
      </c>
      <c r="DX342">
        <f t="shared" si="482"/>
        <v>0</v>
      </c>
      <c r="DY342">
        <f>IF(BD342="","",IF(AD342&lt;&gt;"",COUNTIFS(A$3:A342,A342,AD$3:AD342,"?*"),IF(OR(OR(AS342=1,A342&lt;&gt;A341),AL342="вручную"),"",IF(AS342=1,"",DZ341))))</f>
        <v>1</v>
      </c>
      <c r="DZ342">
        <f t="shared" si="483"/>
        <v>1</v>
      </c>
      <c r="EA342">
        <f>IF(D342="",0,MAX(IFERROR(--X342,0),IFERROR(--VLOOKUP(D342,УГО_спр,4,FALSE),IFERROR(--VLOOKUP(AT342,УГО_спр,4,FALSE),IFERROR(--VLOOKUP(LEFT(AT342,2),УГО_спр,4,FALSE),0)))))</f>
        <v>0</v>
      </c>
      <c r="EB342" t="str">
        <f>IF(D342="","",IFERROR(LOOKUP(INDEX(CHOOSE(BR342,Iдоп_1ж,Iдоп_2ж,Iдоп_3ж),MATCH(BS342,Iдоп_S,0))*BP342*BQ342,{6,10,16,20,25,32,40,50,63,80,100,125,160,200,250,315,400,500,630}),""))</f>
        <v/>
      </c>
      <c r="EC342">
        <f>IF(AD342="","",SUMIFS(Линии[_Ток схемы],Линии[_гр.],DY342,Линии[Щит],A342,Линии[_в кабель выше],0))</f>
        <v>0</v>
      </c>
      <c r="ED342">
        <f>IF(AD342="","",IFERROR(VLOOKUP(EC342,Автомат_номиналы,2,TRUE),""))</f>
        <v>6</v>
      </c>
      <c r="EE342">
        <f>IF(AD342="","",MAX(N(ED342),_xlfn.MAXIFS(Линии[_мин. по типу],Линии[_гр.],DY342,Линии[Щит],A342)))</f>
        <v>6</v>
      </c>
      <c r="EF342">
        <f>IF(AD342="","",_xlfn.MINIFS(Линии[_макс. автомат по кабелю],Линии[_гр.],DY342,Линии[Щит],A342))</f>
        <v>0</v>
      </c>
      <c r="EG342">
        <f>IF(AD342="","",MAX(1,_xlfn.MAXIFS(Линии[_фаз],Линии[_гр.],DY342,Линии[Щит],A342)))</f>
        <v>1</v>
      </c>
      <c r="EH342">
        <f>IF(AD342="","",IF(AND(AD342&lt;&gt;"авто",AD342&lt;&gt;"+"),IF(ISNUMBER(SEARCH("мА",AD342)),IFERROR(--TRIM(RIGHT(SUBSTITUTE(LEFT(AD342,SEARCH("мА",AD342)-1)," ",REPT(" ",9)),6)),30),0),IF(AE342="нет",0,IF(ISNUMBER(AE342),AE342,IF(AE342="да",30,_xlfn.MINIFS(Линии[_дифзащита по коду, мА],Линии[_гр.],DY342,Линии[Щит],A342,Линии[_дифзащита по коду, мА],"&gt;0"))))))</f>
        <v>0</v>
      </c>
      <c r="EI342">
        <f t="shared" si="484"/>
        <v>0</v>
      </c>
      <c r="EJ342" t="str">
        <f t="shared" si="485"/>
        <v>QF1</v>
      </c>
      <c r="EK342" t="str">
        <f t="shared" si="486"/>
        <v>QF1</v>
      </c>
      <c r="EL342" t="str">
        <f t="shared" si="487"/>
        <v/>
      </c>
      <c r="EM342">
        <f t="shared" si="488"/>
        <v>0</v>
      </c>
      <c r="EN342">
        <f>IF(AD342="","",IF(EM342=1,MAX(EE342,Мин_автомат_БП),EE342))</f>
        <v>6</v>
      </c>
      <c r="EO342" t="str">
        <f t="shared" si="489"/>
        <v>1P</v>
      </c>
      <c r="EP342" t="str">
        <f t="shared" si="490"/>
        <v>1P С6А</v>
      </c>
      <c r="EQ342">
        <f t="shared" si="491"/>
        <v>6</v>
      </c>
      <c r="ER342" t="str">
        <f>IF(OR(AI342="",AI342="-"),"",IFERROR(VLOOKUP(AI342,Модули_спр,2,FALSE),"R"))</f>
        <v/>
      </c>
      <c r="ES342" t="str">
        <f>IF(ER342="","",ER342&amp;"."&amp;COUNTIFS(A$3:A342,A342,ER$3:ER342,ER342))</f>
        <v/>
      </c>
      <c r="ET342" t="str">
        <f t="shared" si="492"/>
        <v/>
      </c>
      <c r="EU342" t="str">
        <f t="shared" si="493"/>
        <v/>
      </c>
      <c r="EV342" t="str">
        <f t="shared" si="494"/>
        <v/>
      </c>
      <c r="EW342" t="str">
        <f t="shared" si="495"/>
        <v/>
      </c>
      <c r="EX342">
        <f t="shared" si="496"/>
        <v>1</v>
      </c>
      <c r="EY342" t="str">
        <f>IF(AK342="нет","",IF(AK342&lt;&gt;"",AK342,IF(EX342=1,"XT"&amp;COUNTIFS(A$3:A342,A342,EX$3:EX342,1),"")))</f>
        <v>XT1</v>
      </c>
      <c r="EZ342" t="str">
        <f t="shared" si="497"/>
        <v>QF1</v>
      </c>
      <c r="FA342" t="str">
        <f t="shared" si="498"/>
        <v/>
      </c>
      <c r="FB342" t="str">
        <f t="shared" si="499"/>
        <v>ok</v>
      </c>
      <c r="FC342" t="str">
        <f>IF(OR(EV342="",ET342=""),"",IF(EV342&gt;IFERROR(VLOOKUP(EU342,Модули_спр,3,FALSE),99),"ЛИШНИЙ КАНАЛ",IF(AND(AJ342&lt;&gt;"=",COUNTIFS(Линии[_модуль гр.],ET342,Линии[Канал (итог)],EV342,Линии[Канал],"&lt;&gt;=",Линии[Щит],A342)&gt;1),"ДУБЛЬ КАНАЛА","")))</f>
        <v/>
      </c>
      <c r="FD342">
        <f t="shared" si="500"/>
        <v>6</v>
      </c>
      <c r="FE342" t="str">
        <f t="shared" si="501"/>
        <v>1P С6А</v>
      </c>
      <c r="FF342">
        <f t="shared" si="502"/>
        <v>0</v>
      </c>
      <c r="FG342">
        <f t="shared" si="503"/>
        <v>0</v>
      </c>
      <c r="FH342" t="str">
        <f t="shared" si="504"/>
        <v/>
      </c>
      <c r="FI342">
        <f t="shared" si="505"/>
        <v>10</v>
      </c>
      <c r="FJ342" t="str">
        <f t="shared" si="506"/>
        <v/>
      </c>
      <c r="FK342" t="str">
        <f>IF(AND(D342="",EZ342=""),"",_xlfn.TEXTJOIN("; ",TRUE,IF(AND(D342&lt;&gt;"",DD342=""),"нет фазы",""),IF(AND(D342&lt;&gt;"",N(DT342)=0,CN342&lt;&gt;"Нет"),"нет мощности",""),IF(AND(EY342&lt;&gt;"",COUNTIFS(Линии[Щит],A342,Линии[Клемма (итог)],EY342)&gt;1),"дубль клеммы "&amp;EY342,""),IF(AND(FB342&lt;&gt;"",FB342&lt;&gt;"ok"),FB342,""),IF(FC342&lt;&gt;"",FC342,""),IF(AND(ISNUMBER(SEARCH("(5х",DS342)),N(DV342)=1),"5 жил на 1 фазе",""),IF(AND(AT342="R",AD342&lt;&gt;"",OR(N(EH342)=0,N(EH342)&gt;30)),"розетка без дифзащиты до 30 мА",""),IFERROR(IF(AND(ISNUMBER(CD342),CD342&gt;CE342),"потери "&amp;FIXED(CD342,1)&amp;" % &gt; "&amp;CE342&amp;" %",""),""),IFERROR(IF(LEFT(FJ342,4)="мало","Iкз мало — отключение &gt; 0,4 с",""),""),IF(AND(D342&lt;&gt;"",BD342=""),"не на схеме","")))</f>
        <v>нет мощности</v>
      </c>
      <c r="FL342" t="str">
        <f>IF(AD342="","",_xlfn.LET(_xlpm.t,IFERROR(_xlfn.XLOOKUP(EP342,Каталог!$U$4:$U$500,Каталог!$G$4:$G$500),""),_xlpm.k,SEARCH("кА",_xlpm.t),IFERROR(--TRIM(RIGHT(SUBSTITUTE(MID(_xlpm.t,MAX(1,_xlpm.k-4),_xlpm.k-MAX(1,_xlpm.k-4))," ",REPT(" ",9)),5)),"")))</f>
        <v/>
      </c>
      <c r="FM342" t="str">
        <f>IF(OR(FL342="",AD342=""),"",IF(_xlfn.XLOOKUP(A342,Щиты[Щит],Щиты[Iкз max на шинах, кА],"")="","",IF(FL342&lt;_xlfn.XLOOKUP(A342,Щиты[Щит],Щиты[Iкз max на шинах, кА]),"Icu "&amp;FL342&amp;" кА &lt; Iкз max","ok")))</f>
        <v/>
      </c>
      <c r="FN342" t="str">
        <f t="shared" si="507"/>
        <v>QF1|XT1</v>
      </c>
      <c r="FO342" t="str">
        <f t="shared" si="508"/>
        <v xml:space="preserve">QF1|XT1|кабель МКЭШнг(A)-LS (2х0,75) → </v>
      </c>
      <c r="FP342" t="str" cm="1">
        <f t="array" ref="FP342">IF(FO342="","",_xlfn.LET(_xlpm.nd,_xlfn.TEXTSPLIT(FO342,"|"),IF(COLUMNS(_xlpm.nd)&gt;1,A342&amp;"¦"&amp;INDEX(_xlpm.nd,1)&amp;"¦"&amp;INDEX(_xlpm.nd,2),"")))</f>
        <v>ЩУОВ¦QF1¦XT1</v>
      </c>
      <c r="FQ342" t="str">
        <f t="shared" si="509"/>
        <v>DW.1¦</v>
      </c>
      <c r="FR342" t="str" cm="1">
        <f t="array" ref="FR342">IF(FO342="","",_xlfn.LET(_xlpm.nd,_xlfn.TEXTSPLIT(FO342,"|"),IF(COLUMNS(_xlpm.nd)&gt;2,A342&amp;"¦"&amp;INDEX(_xlpm.nd,2)&amp;"¦"&amp;INDEX(_xlpm.nd,3),"")))</f>
        <v xml:space="preserve">ЩУОВ¦XT1¦кабель МКЭШнг(A)-LS (2х0,75) → </v>
      </c>
      <c r="FS342" t="str">
        <f t="shared" si="510"/>
        <v>DW.1¦</v>
      </c>
      <c r="FT342" t="str" cm="1">
        <f t="array" ref="FT342">IF(FO342="","",_xlfn.LET(_xlpm.nd,_xlfn.TEXTSPLIT(FO342,"|"),IF(COLUMNS(_xlpm.nd)&gt;3,A342&amp;"¦"&amp;INDEX(_xlpm.nd,3)&amp;"¦"&amp;INDEX(_xlpm.nd,4),"")))</f>
        <v/>
      </c>
      <c r="FU342" t="str">
        <f t="shared" si="511"/>
        <v/>
      </c>
      <c r="FV342" t="str" cm="1">
        <f t="array" ref="FV342">IF(FO342="","",_xlfn.LET(_xlpm.nd,_xlfn.TEXTSPLIT(FO342,"|"),IF(COLUMNS(_xlpm.nd)&gt;4,A342&amp;"¦"&amp;INDEX(_xlpm.nd,4)&amp;"¦"&amp;INDEX(_xlpm.nd,5),"")))</f>
        <v/>
      </c>
      <c r="FW342" t="str">
        <f t="shared" si="512"/>
        <v/>
      </c>
      <c r="FX342" t="str" cm="1">
        <f t="array" ref="FX342">IF(FO342="","",_xlfn.LET(_xlpm.nd,_xlfn.TEXTSPLIT(FO342,"|"),IF(COLUMNS(_xlpm.nd)&gt;5,A342&amp;"¦"&amp;INDEX(_xlpm.nd,5)&amp;"¦"&amp;INDEX(_xlpm.nd,6),"")))</f>
        <v/>
      </c>
      <c r="FY342" t="str">
        <f t="shared" si="513"/>
        <v/>
      </c>
      <c r="FZ342" t="str" cm="1">
        <f t="array" ref="FZ342">IF(FO342="","",_xlfn.LET(_xlpm.nd,_xlfn.TEXTSPLIT(FO342,"|"),IF(COLUMNS(_xlpm.nd)&gt;6,A342&amp;"¦"&amp;INDEX(_xlpm.nd,6)&amp;"¦"&amp;INDEX(_xlpm.nd,7),"")))</f>
        <v/>
      </c>
      <c r="GA342" t="str">
        <f t="shared" si="514"/>
        <v/>
      </c>
      <c r="GB342" t="str">
        <f t="shared" si="515"/>
        <v/>
      </c>
      <c r="GC342" t="str">
        <f t="shared" si="516"/>
        <v>QF1 → XT1</v>
      </c>
      <c r="GD342">
        <f t="shared" si="517"/>
        <v>1</v>
      </c>
      <c r="GE342">
        <f t="shared" si="518"/>
        <v>0</v>
      </c>
      <c r="GF342">
        <f t="shared" si="519"/>
        <v>0</v>
      </c>
      <c r="GG342" t="str">
        <f t="shared" si="520"/>
        <v/>
      </c>
      <c r="GH342" t="str">
        <f t="shared" si="521"/>
        <v/>
      </c>
      <c r="GI342" t="str">
        <f t="shared" si="522"/>
        <v/>
      </c>
      <c r="GJ342" t="str">
        <f t="shared" si="523"/>
        <v/>
      </c>
      <c r="GK342" t="str">
        <f>IF(D342="","",IFERROR(VLOOKUP(D342,УГО_спр,2,FALSE),IFERROR(VLOOKUP(AT342,УГО_спр,2,FALSE),IFERROR(VLOOKUP(LEFT(AT342,2),УГО_спр,2,FALSE),""))))</f>
        <v/>
      </c>
      <c r="GL342" t="str">
        <f>IF(D342="","",IF(OR(GK342="",GK342=0),"BOX",IFERROR(IF(VLOOKUP(GK342,УГО_блоки,3,FALSE)&amp;""&lt;&gt;"",VLOOKUP(GK342,УГО_блоки,3,FALSE),VLOOKUP(GK342,УГО_блоки,2,FALSE)),GK342)))</f>
        <v>BOX</v>
      </c>
      <c r="GM342">
        <f t="shared" si="524"/>
        <v>1</v>
      </c>
      <c r="GN342" t="str">
        <f>IF(EP342="","",IF(COUNTIF(EP$3:EP342,EP342)=1,MAX(GN$2:GN341)+1,""))</f>
        <v/>
      </c>
      <c r="GO342" t="str">
        <f>IF(AF342="","",IF(COUNTIF(AF$3:AF342,AF342)+COUNTIF(AG$2:AG341,AF342)+COUNTIF(AH$2:AH341,AF342)=1,MAX(GO$2:GQ341)+1,""))</f>
        <v/>
      </c>
      <c r="GP342" t="str">
        <f>IF(AG342="","",IF(COUNTIF(AF$3:AF342,AG342)+COUNTIF(AG$3:AG342,AG342)+COUNTIF(AH$2:AH341,AG342)=1,MAX(GO$2:GQ341,GO342)+1,""))</f>
        <v/>
      </c>
      <c r="GQ342" t="str">
        <f>IF(AH342="","",IF(COUNTIF(AF$3:AF342,AH342)+COUNTIF(AG$3:AG342,AH342)+COUNTIF(AH$3:AH342,AH342)=1,MAX(GO$2:GQ341,GO342,GP342)+1,""))</f>
        <v/>
      </c>
      <c r="GR342" t="str">
        <f t="shared" si="525"/>
        <v>2х0,75</v>
      </c>
      <c r="GS342">
        <f>IF(GR342="","",IF(COUNTIF(GR$3:GR342,GR342)=1,MAX(GS$2:GS341)+1,""))</f>
        <v>14</v>
      </c>
      <c r="GT342" t="str">
        <f>IF(ES342="","",COUNTIF(ES$3:ES342,"?*"))</f>
        <v/>
      </c>
      <c r="GU342" t="str">
        <f>IF(OR(ES342="",EU342=""),"",IF(COUNTIFS(ES$3:ES342,"?*",EU$3:EU342,EU342)=1,MAX(GU$2:GU341)+1,""))</f>
        <v/>
      </c>
      <c r="GV342">
        <f t="shared" si="526"/>
        <v>1</v>
      </c>
      <c r="GW342">
        <f>IF(D342="","",COUNTIF(D$3:D342,"?*"))</f>
        <v>340</v>
      </c>
      <c r="GX342">
        <f>IF(EX342&lt;&gt;1,0,_xlfn.LET(_xlpm.k,MAX(IFERROR(--VLOOKUP(D342,УГО_спр,5,FALSE),0),IFERROR(--VLOOKUP(AT342,УГО_спр,5,FALSE),0),IFERROR(--VLOOKUP(LEFT(AT342,2),УГО_спр,5,FALSE),0)),IF(_xlpm.k&gt;0,_xlpm.k,IF(IFERROR(--LEFT(SUBSTITUTE(GR342,"x","х"),FIND("х",SUBSTITUTE(GR342,"x","х"))-1),3)&gt;3,Каталог!$S$9,1))))</f>
        <v>1</v>
      </c>
      <c r="GY342">
        <f t="shared" si="527"/>
        <v>0</v>
      </c>
    </row>
    <row r="343" spans="1:207" x14ac:dyDescent="0.3">
      <c r="A343" t="s">
        <v>774</v>
      </c>
      <c r="B343">
        <v>12</v>
      </c>
      <c r="C343" t="str">
        <f>IF(BD343="","",IF(BE343="вводной узел","узел ","")&amp;"л."&amp;(INT((BD343-1)/Столбцов_на_лист)+1)&amp;" / "&amp;(MOD(BD343-1,Столбцов_на_лист)+1))</f>
        <v>л.1 / 12</v>
      </c>
      <c r="D343" t="s">
        <v>1682</v>
      </c>
      <c r="E343" s="133" t="str">
        <f t="shared" si="440"/>
        <v/>
      </c>
      <c r="G343">
        <v>0</v>
      </c>
      <c r="H343">
        <v>1</v>
      </c>
      <c r="I343">
        <v>1</v>
      </c>
      <c r="J343">
        <v>0</v>
      </c>
      <c r="K343" t="s">
        <v>577</v>
      </c>
      <c r="O343">
        <v>2</v>
      </c>
      <c r="P343">
        <v>19</v>
      </c>
      <c r="R343">
        <v>9</v>
      </c>
      <c r="S343">
        <v>10</v>
      </c>
      <c r="U343" t="s">
        <v>605</v>
      </c>
      <c r="V343">
        <v>2</v>
      </c>
      <c r="W343">
        <v>0.75</v>
      </c>
      <c r="Z343" t="s">
        <v>613</v>
      </c>
      <c r="AA343" t="s">
        <v>818</v>
      </c>
      <c r="AD343" t="s">
        <v>517</v>
      </c>
      <c r="AR343" t="str">
        <f t="shared" si="441"/>
        <v>нет мощности</v>
      </c>
      <c r="AS343" cm="1">
        <f t="array" ref="AS343">ROW()-ROW(Линии[#Headers])</f>
        <v>341</v>
      </c>
      <c r="AT343" t="str">
        <f t="shared" si="442"/>
        <v>DT</v>
      </c>
      <c r="AU343" t="str">
        <f t="shared" si="443"/>
        <v>1</v>
      </c>
      <c r="AV343" t="str">
        <f t="shared" si="444"/>
        <v>1</v>
      </c>
      <c r="AW343" t="str">
        <f t="shared" si="445"/>
        <v/>
      </c>
      <c r="AX343" t="str">
        <f t="shared" si="446"/>
        <v/>
      </c>
      <c r="AY343" t="str">
        <f>IF(D343="","",IF(ISERROR(SEARCH(".",D343)),IFERROR(VLOOKUP(D343,Потребители_обозначение,2,FALSE)&amp;"",""),IFERROR(IF(VLOOKUP(AT343,Потребители_обозначение,4,FALSE)=1,VLOOKUP(AT343,Потребители_обозначение,2,FALSE)&amp;" "&amp;VLOOKUP(AV343,Этаж_обозначение,2,FALSE)&amp;" Пом. №"&amp;AX343,VLOOKUP(AT343,Потребители_обозначение,2,FALSE)&amp;" Шлейф №"&amp;AV343),IFERROR(VLOOKUP(D343,Потребители_обозначение,2,FALSE),""))))</f>
        <v/>
      </c>
      <c r="AZ343" t="str">
        <f t="shared" si="447"/>
        <v/>
      </c>
      <c r="BA343" t="str">
        <f>IF(F343&lt;&gt;"",F343,IF(AND(D343&lt;&gt;"",D343&lt;&gt;A343,ISNUMBER(_xlfn.XMATCH(D343,Щиты[Щит]))),D343,""))</f>
        <v/>
      </c>
      <c r="BB343">
        <f>IFERROR(_xlfn.XMATCH(A343,Щиты[Щит]),0)</f>
        <v>17</v>
      </c>
      <c r="BC343">
        <f>IFERROR(N(_xlfn.XLOOKUP(A343,Щиты[Щит],Щиты[Мест под вводной узел])),15)</f>
        <v>10</v>
      </c>
      <c r="BD343">
        <f t="shared" si="448"/>
        <v>12</v>
      </c>
      <c r="BE343" t="str">
        <f t="shared" si="449"/>
        <v>линии</v>
      </c>
      <c r="BF343">
        <f>IF(D343="","",IF(BA343&lt;&gt;"",IFERROR(_xlfn.XLOOKUP(BA343,Щиты[Щит],Щиты[Руст, кВт]),0),N(G343)))</f>
        <v>0</v>
      </c>
      <c r="BG343">
        <f>IF(J343&lt;&gt;"",J343,IF(D343="","",IFERROR(IF(VLOOKUP(AT343,Потребители_обозначение,8,FALSE)=0,"",VLOOKUP(AT343,Потребители_обозначение,8,FALSE)),"")))</f>
        <v>0</v>
      </c>
      <c r="BH343">
        <f>IF(I343&lt;&gt;"",I343,IF(D343="","",IFERROR(IF(VLOOKUP(AT343,Потребители_обозначение,9,FALSE)=0,"",VLOOKUP(AT343,Потребители_обозначение,9,FALSE)),"")))</f>
        <v>1</v>
      </c>
      <c r="BI343" t="str">
        <f>IF(U343&lt;&gt;"",U343,IF(D343="","",IFERROR(IF(VLOOKUP(AT343,Потребители_обозначение,6,FALSE)=0,"",VLOOKUP(AT343,Потребители_обозначение,6,FALSE)),"")))</f>
        <v>эк</v>
      </c>
      <c r="BJ343">
        <f>IF(V343&lt;&gt;"",V343,IF(D343="","",IFERROR(IF(VLOOKUP(AT343,Потребители_обозначение,7,FALSE)=0,"",VLOOKUP(AT343,Потребители_обозначение,7,FALSE)),"")))</f>
        <v>2</v>
      </c>
      <c r="BK343">
        <f>IF(W343&lt;&gt;"",W343,IF(D343="","",IFERROR(IF(VLOOKUP(AT343,Потребители_обозначение,10,FALSE)=0,"",VLOOKUP(AT343,Потребители_обозначение,10,FALSE)),"")))</f>
        <v>0.75</v>
      </c>
      <c r="BL343">
        <f>IFERROR(VLOOKUP(AT343,Потребители_обозначение,5,FALSE),0)</f>
        <v>0</v>
      </c>
      <c r="BM343" cm="1">
        <f t="array" ref="BM343">IF(D343="","",IF(BA343&lt;&gt;"",IFERROR(_xlfn.XLOOKUP(BA343,Щиты[Щит],Щиты[cos φ]),0.95),IF(ISNUMBER(M343),M343,IFERROR(IF(BL343=2,_xlfn.IFS(BH343=3,VLOOKUP(BF343,Справочная_двигатели,8,FALSE),BH343=1,VLOOKUP(BF343,Справочная_двигатели,10,TRUE)),IF(AND(Методика="нормы 2026",CN343="Сил"),0.8,0.95)),0.95))))</f>
        <v>0.95</v>
      </c>
      <c r="BN343" cm="1">
        <f t="array" ref="BN343">IF(D343="","",IF(BA343&lt;&gt;"",IFERROR(_xlfn.XLOOKUP(BA343,Щиты[Щит],Щиты[Iр, А]),""),IFERROR(_xlfn.IFS(BH343=1,BF343/((Uн_лин/SQRT(3))*BM343),BH343=3,BF343/(SQRT(3)*Uн_лин*BM343)),"")))</f>
        <v>0</v>
      </c>
      <c r="BO343">
        <f>IF(D343="","",IF(N(X343)=0,IFERROR(VLOOKUP(BN343,Автомат_номиналы,2,TRUE),""),X343))</f>
        <v>6</v>
      </c>
      <c r="BP343">
        <f t="shared" si="450"/>
        <v>1</v>
      </c>
      <c r="BQ343">
        <f>IF(ISNUMBER(Y343),Y343,К_прокл)</f>
        <v>1</v>
      </c>
      <c r="BR343">
        <f t="shared" si="451"/>
        <v>2</v>
      </c>
      <c r="BS343" cm="1">
        <f t="array" ref="BS343">IF(D343="","",IF(N(BK343)&lt;&gt;0,BK343,IFERROR(_xlfn.LET(_xlpm.need,BO343/(BP343*BQ343),_xlpm.t,CHOOSE(BR343,Iдоп_1ж,Iдоп_2ж,Iдоп_3ж),_xlpm.k,_xlfn.XMATCH(_xlpm.need,_xlpm.t,1),IF(ISNA(_xlpm.k),"Не исп",INDEX(Iдоп_S,_xlpm.k))),"Не исп")))</f>
        <v>0.75</v>
      </c>
      <c r="BT343">
        <f>IFERROR(VLOOKUP(BS343,Кабель_сопротивление,3,FALSE),"")</f>
        <v>2.2499999999999999E-2</v>
      </c>
      <c r="BU343">
        <f>IFERROR(VLOOKUP(BS343,Кабель_сопротивление,2,FALSE),"")</f>
        <v>0.13</v>
      </c>
      <c r="BV343">
        <f t="shared" si="452"/>
        <v>19</v>
      </c>
      <c r="BW343">
        <f>IF(D343="","",IFERROR(IF(VLOOKUP(AT343,Потребители_обозначение,4,FALSE)=1,VLOOKUP(AT343,Потребители_обозначение,3,FALSE)*(H343*2-1)+BV343+VLOOKUP(AV343,Этаж_обозначение,3,FALSE)+VLOOKUP(AV343,Этаж_обозначение,4,FALSE),VLOOKUP(AT343,Потребители_обозначение,3,FALSE)*(H343*2-1)+BV343),BV343))</f>
        <v>19</v>
      </c>
      <c r="BX343">
        <f t="shared" si="453"/>
        <v>9</v>
      </c>
      <c r="BY343">
        <f t="shared" si="454"/>
        <v>10</v>
      </c>
      <c r="BZ343">
        <f t="shared" si="455"/>
        <v>2</v>
      </c>
      <c r="CA343">
        <f t="shared" si="456"/>
        <v>0.31</v>
      </c>
      <c r="CB343">
        <f t="shared" si="457"/>
        <v>0</v>
      </c>
      <c r="CC343">
        <f>IFERROR(ROUNDUP(CB343/((Uн_лин/SQRT(3))*1000)*100,2),"")</f>
        <v>0</v>
      </c>
      <c r="CD343">
        <f>IF(ISNUMBER(CC343),CC343+IFERROR(_xlfn.XLOOKUP(A343,Щиты[Щит],Щиты[ΔU до шин, %]),0),"")</f>
        <v>3.21</v>
      </c>
      <c r="CE343">
        <f>IF(D343="","",IF(IFERROR(VLOOKUP(AT343,УГО_спр,2,FALSE),"")="Светильник",3,4)+IF(Методика="нормы 2026",MIN(0.5,MAX(0,N(BW343)-100)*0.005),0))</f>
        <v>4</v>
      </c>
      <c r="CF343" t="str">
        <f>IFERROR(VLOOKUP(BI343,Кабель_обозначение,2,FALSE),"")</f>
        <v>МКЭШнг(A)-LS</v>
      </c>
      <c r="CG343" t="str">
        <f>IFERROR(IF(VLOOKUP(BI343,Кабель_обозначение,3,FALSE)=1,CF343&amp;" ("&amp;BJ343&amp;"х"&amp;BS343&amp;")",CF343),"")</f>
        <v>МКЭШнг(A)-LS (2х0,75)</v>
      </c>
      <c r="CH343" t="str">
        <f t="shared" si="458"/>
        <v>МКЭШнг(A)-LS (2х0,75)
L=19-0%</v>
      </c>
      <c r="CI343">
        <f>IFERROR(2*ρкз_Cu*BW343/BS343,"")</f>
        <v>1.3325333333333333</v>
      </c>
      <c r="CJ343">
        <f t="shared" si="459"/>
        <v>0.44333333333333336</v>
      </c>
      <c r="CK343" t="str">
        <f>IFERROR(IF(OR(D343="",NOT(ISNUMBER(BS343)),N(BW343)=0),"",_xlfn.XLOOKUP(A343,Щиты[Щит],Щиты[Zпетли на шинах, Ом])+CI343),"")</f>
        <v/>
      </c>
      <c r="CL343" t="str">
        <f>IF(ISNUMBER(CK343),c_min*(Uн_лин*1000/SQRT(3))/CK343,"")</f>
        <v/>
      </c>
      <c r="CM343" t="str">
        <f>IFERROR(IF(OR(D343="",NOT(ISNUMBER(BS343))),"",1.05*(Uн_лин*1000/SQRT(3))/(_xlfn.XLOOKUP(A343,Щиты[Щит],Щиты[Zmax на шинах, Ом])+CJ343)/1000),"")</f>
        <v/>
      </c>
      <c r="CN343" t="str">
        <f>IF(D343="","",IF(BA343&lt;&gt;"","Щит",IF(K343&lt;&gt;"",K343,IF(ISNUMBER(L343),"Сил",IF(IFERROR(_xlfn.XLOOKUP(AT343,Коды_код,Коды_группа)&amp;"","")="","Быт",_xlfn.XLOOKUP(AT343,Коды_код,Коды_группа)&amp;"")))))</f>
        <v>Пост</v>
      </c>
      <c r="CO343">
        <f>IF(CN343="Щит","щит",IF(CN343="","",IF(CN343="Быт",IFERROR(_xlfn.XLOOKUP(A343,Щиты[Щит],Щиты[Кс быт]),1),IF(CN343="Сил",IF(ISNUMBER(L343),L343,IF(Методика="нормы 2026",IFERROR(_xlfn.XLOOKUP(A343,Щиты[Щит],Щиты[Кс силовых (табл. 7.5)]),1),1)),IF(OR(CN343="Пост",CN343="Отоп"),1,IF(CN343="ВНГ",0.7,0))))))</f>
        <v>1</v>
      </c>
      <c r="CP343">
        <f t="shared" si="460"/>
        <v>1</v>
      </c>
      <c r="CQ343">
        <f t="shared" si="461"/>
        <v>0</v>
      </c>
      <c r="CR343">
        <f t="shared" si="462"/>
        <v>0</v>
      </c>
      <c r="CS343">
        <f t="shared" si="463"/>
        <v>0</v>
      </c>
      <c r="CT343">
        <f t="shared" si="464"/>
        <v>0</v>
      </c>
      <c r="CU343">
        <f t="shared" si="465"/>
        <v>0</v>
      </c>
      <c r="CV343">
        <f t="shared" si="466"/>
        <v>0</v>
      </c>
      <c r="CW343">
        <f t="shared" si="467"/>
        <v>0</v>
      </c>
      <c r="CX343">
        <f t="shared" si="468"/>
        <v>0</v>
      </c>
      <c r="CY343">
        <f t="shared" si="469"/>
        <v>2</v>
      </c>
      <c r="CZ343" t="str">
        <f t="shared" si="470"/>
        <v>L2</v>
      </c>
      <c r="DA343" cm="1">
        <f t="array" ref="DA343">IFERROR(IF(BL343=2,_xlfn.IFS(BH343=3,VLOOKUP(BF343,Справочная_двигатели,3,FALSE),BH343=1,VLOOKUP(BF343,Справочная_двигатели,5,TRUE)),0),0)</f>
        <v>0</v>
      </c>
      <c r="DB343">
        <f>IFERROR(IF(BL343=3,VLOOKUP(BF343,Справочная_ЛЭД,2,TRUE),0),0)</f>
        <v>0</v>
      </c>
      <c r="DC343">
        <f t="shared" si="471"/>
        <v>0</v>
      </c>
      <c r="DD343" t="str">
        <f t="shared" si="472"/>
        <v>L2</v>
      </c>
      <c r="DE343" t="str" cm="1">
        <f t="array" ref="DE343">IF(D343="","",IFERROR(INDEX({"I особая","I","II","III"},MATCH(TRIM(AA343&amp;""),{"I особая","I","II","III"},0)),"III"))</f>
        <v>II</v>
      </c>
      <c r="DF343" t="str">
        <f>IF(D343="","",IF(TRIM(AB343&amp;"")&lt;&gt;"",IF(LOWER(TRIM(AB343&amp;""))="да","да","нет"),IF(IFERROR(_xlfn.XLOOKUP(AT343,Коды_код,Коды_пожарная),"")="да","да","нет")))</f>
        <v>нет</v>
      </c>
      <c r="DG343" t="str">
        <f t="shared" si="473"/>
        <v/>
      </c>
      <c r="DH343" t="str">
        <f t="shared" si="474"/>
        <v>основная</v>
      </c>
      <c r="DI343">
        <f t="shared" si="475"/>
        <v>1</v>
      </c>
      <c r="DJ343" t="str" cm="1">
        <f t="array" ref="DJ343">IF(D343="","",_xlfn.LET(_xlpm.t,IFERROR(_xlfn.XLOOKUP(1,(Шины[Шина]=DH343)*(((Шины[Щит]=A343)+(Шины[Щит]=""))&gt;0),Шины[Тип]),"")&amp;"",IF(_xlpm.t&lt;&gt;"",_xlpm.t,IF(ISNUMBER(SEARCH("ИБП",DH343)),"ИБП",IF(ISNUMBER(SEARCH("ДГУ",DH343)),"ДГУ","Ввод "&amp;DI343)))))</f>
        <v>Ввод 1</v>
      </c>
      <c r="DK343" t="str">
        <f t="shared" si="476"/>
        <v>Ввод 1</v>
      </c>
      <c r="DL343" t="str">
        <f>IF(D343="","",IF(OR(DJ343="ИБП",DJ343="ДГУ"),"I особая",IF(DJ343="Одиночная","III",_xlfn.XLOOKUP(A343,Щиты[Щит],Щиты[Категория шины «Ввод»],"III"))))</f>
        <v>II</v>
      </c>
      <c r="DM343">
        <f>IF(D343="",0,IFERROR(MATCH(DE343,{"III","II","I","I особая"},0),1))</f>
        <v>2</v>
      </c>
      <c r="DN343">
        <f t="shared" si="477"/>
        <v>2</v>
      </c>
      <c r="DO343" t="str">
        <f>IF(D343="","",IF(DM343&gt;IFERROR(MATCH(DL343,{"III","II","I","I особая"},0),1),"НЕ ОБЕСПЕЧЕНА","ОК"))</f>
        <v>ОК</v>
      </c>
      <c r="DP343" t="str">
        <f>IF(A343="","",_xlfn.XLOOKUP(A343,Щиты[Щит],Щиты[Путь],""))</f>
        <v>|ГРЩ-ЖД|ЩУОВ|</v>
      </c>
      <c r="DQ343" t="str">
        <f>IF(D343="","",IF(Z343&lt;&gt;"",Z343,IF(IFERROR(_xlfn.XLOOKUP(AT343,Коды_код,Коды_вид)&amp;"","")="","Прочее",_xlfn.XLOOKUP(AT343,Коды_код,Коды_вид)&amp;"")))</f>
        <v>Обогрев водостоков и кровли</v>
      </c>
      <c r="DR343">
        <f>IF(BD343="","",INT((BD343-1)/Столбцов_на_лист)+1)</f>
        <v>1</v>
      </c>
      <c r="DS343" t="str">
        <f t="shared" si="478"/>
        <v>МКЭШнг(A)-LS (2х0,75) L=19-0%</v>
      </c>
      <c r="DT343">
        <f t="shared" si="479"/>
        <v>0</v>
      </c>
      <c r="DU343">
        <f t="shared" si="480"/>
        <v>0</v>
      </c>
      <c r="DV343">
        <f t="shared" si="481"/>
        <v>1</v>
      </c>
      <c r="DW343">
        <f>IF(AT343="",0,_xlfn.LET(_xlpm.v,IFERROR(VLOOKUP(D343,УГО_спр,3,FALSE),IFERROR(VLOOKUP(AT343,УГО_спр,3,FALSE),IFERROR(VLOOKUP(LEFT(AT343,2),УГО_спр,3,FALSE),""))),IF(_xlpm.v="да",30,IF(ISNUMBER(_xlpm.v),_xlpm.v,0))))</f>
        <v>0</v>
      </c>
      <c r="DX343">
        <f t="shared" si="482"/>
        <v>0</v>
      </c>
      <c r="DY343">
        <f>IF(BD343="","",IF(AD343&lt;&gt;"",COUNTIFS(A$3:A343,A343,AD$3:AD343,"?*"),IF(OR(OR(AS343=1,A343&lt;&gt;A342),AL343="вручную"),"",IF(AS343=1,"",DZ342))))</f>
        <v>2</v>
      </c>
      <c r="DZ343">
        <f t="shared" si="483"/>
        <v>2</v>
      </c>
      <c r="EA343">
        <f>IF(D343="",0,MAX(IFERROR(--X343,0),IFERROR(--VLOOKUP(D343,УГО_спр,4,FALSE),IFERROR(--VLOOKUP(AT343,УГО_спр,4,FALSE),IFERROR(--VLOOKUP(LEFT(AT343,2),УГО_спр,4,FALSE),0)))))</f>
        <v>0</v>
      </c>
      <c r="EB343" t="str">
        <f>IF(D343="","",IFERROR(LOOKUP(INDEX(CHOOSE(BR343,Iдоп_1ж,Iдоп_2ж,Iдоп_3ж),MATCH(BS343,Iдоп_S,0))*BP343*BQ343,{6,10,16,20,25,32,40,50,63,80,100,125,160,200,250,315,400,500,630}),""))</f>
        <v/>
      </c>
      <c r="EC343">
        <f>IF(AD343="","",SUMIFS(Линии[_Ток схемы],Линии[_гр.],DY343,Линии[Щит],A343,Линии[_в кабель выше],0))</f>
        <v>0</v>
      </c>
      <c r="ED343">
        <f>IF(AD343="","",IFERROR(VLOOKUP(EC343,Автомат_номиналы,2,TRUE),""))</f>
        <v>6</v>
      </c>
      <c r="EE343">
        <f>IF(AD343="","",MAX(N(ED343),_xlfn.MAXIFS(Линии[_мин. по типу],Линии[_гр.],DY343,Линии[Щит],A343)))</f>
        <v>6</v>
      </c>
      <c r="EF343">
        <f>IF(AD343="","",_xlfn.MINIFS(Линии[_макс. автомат по кабелю],Линии[_гр.],DY343,Линии[Щит],A343))</f>
        <v>0</v>
      </c>
      <c r="EG343">
        <f>IF(AD343="","",MAX(1,_xlfn.MAXIFS(Линии[_фаз],Линии[_гр.],DY343,Линии[Щит],A343)))</f>
        <v>1</v>
      </c>
      <c r="EH343">
        <f>IF(AD343="","",IF(AND(AD343&lt;&gt;"авто",AD343&lt;&gt;"+"),IF(ISNUMBER(SEARCH("мА",AD343)),IFERROR(--TRIM(RIGHT(SUBSTITUTE(LEFT(AD343,SEARCH("мА",AD343)-1)," ",REPT(" ",9)),6)),30),0),IF(AE343="нет",0,IF(ISNUMBER(AE343),AE343,IF(AE343="да",30,_xlfn.MINIFS(Линии[_дифзащита по коду, мА],Линии[_гр.],DY343,Линии[Щит],A343,Линии[_дифзащита по коду, мА],"&gt;0"))))))</f>
        <v>0</v>
      </c>
      <c r="EI343">
        <f t="shared" si="484"/>
        <v>0</v>
      </c>
      <c r="EJ343" t="str">
        <f t="shared" si="485"/>
        <v>QF2</v>
      </c>
      <c r="EK343" t="str">
        <f t="shared" si="486"/>
        <v>QF2</v>
      </c>
      <c r="EL343" t="str">
        <f t="shared" si="487"/>
        <v/>
      </c>
      <c r="EM343">
        <f t="shared" si="488"/>
        <v>0</v>
      </c>
      <c r="EN343">
        <f>IF(AD343="","",IF(EM343=1,MAX(EE343,Мин_автомат_БП),EE343))</f>
        <v>6</v>
      </c>
      <c r="EO343" t="str">
        <f t="shared" si="489"/>
        <v>1P</v>
      </c>
      <c r="EP343" t="str">
        <f t="shared" si="490"/>
        <v>1P С6А</v>
      </c>
      <c r="EQ343">
        <f t="shared" si="491"/>
        <v>6</v>
      </c>
      <c r="ER343" t="str">
        <f>IF(OR(AI343="",AI343="-"),"",IFERROR(VLOOKUP(AI343,Модули_спр,2,FALSE),"R"))</f>
        <v/>
      </c>
      <c r="ES343" t="str">
        <f>IF(ER343="","",ER343&amp;"."&amp;COUNTIFS(A$3:A343,A343,ER$3:ER343,ER343))</f>
        <v/>
      </c>
      <c r="ET343" t="str">
        <f t="shared" si="492"/>
        <v/>
      </c>
      <c r="EU343" t="str">
        <f t="shared" si="493"/>
        <v/>
      </c>
      <c r="EV343" t="str">
        <f t="shared" si="494"/>
        <v/>
      </c>
      <c r="EW343" t="str">
        <f t="shared" si="495"/>
        <v/>
      </c>
      <c r="EX343">
        <f t="shared" si="496"/>
        <v>1</v>
      </c>
      <c r="EY343" t="str">
        <f>IF(AK343="нет","",IF(AK343&lt;&gt;"",AK343,IF(EX343=1,"XT"&amp;COUNTIFS(A$3:A343,A343,EX$3:EX343,1),"")))</f>
        <v>XT2</v>
      </c>
      <c r="EZ343" t="str">
        <f t="shared" si="497"/>
        <v>QF2</v>
      </c>
      <c r="FA343" t="str">
        <f t="shared" si="498"/>
        <v/>
      </c>
      <c r="FB343" t="str">
        <f t="shared" si="499"/>
        <v>ok</v>
      </c>
      <c r="FC343" t="str">
        <f>IF(OR(EV343="",ET343=""),"",IF(EV343&gt;IFERROR(VLOOKUP(EU343,Модули_спр,3,FALSE),99),"ЛИШНИЙ КАНАЛ",IF(AND(AJ343&lt;&gt;"=",COUNTIFS(Линии[_модуль гр.],ET343,Линии[Канал (итог)],EV343,Линии[Канал],"&lt;&gt;=",Линии[Щит],A343)&gt;1),"ДУБЛЬ КАНАЛА","")))</f>
        <v/>
      </c>
      <c r="FD343">
        <f t="shared" si="500"/>
        <v>6</v>
      </c>
      <c r="FE343" t="str">
        <f t="shared" si="501"/>
        <v>1P С6А</v>
      </c>
      <c r="FF343">
        <f t="shared" si="502"/>
        <v>0</v>
      </c>
      <c r="FG343">
        <f t="shared" si="503"/>
        <v>0</v>
      </c>
      <c r="FH343" t="str">
        <f t="shared" si="504"/>
        <v/>
      </c>
      <c r="FI343">
        <f t="shared" si="505"/>
        <v>10</v>
      </c>
      <c r="FJ343" t="str">
        <f t="shared" si="506"/>
        <v/>
      </c>
      <c r="FK343" t="str">
        <f>IF(AND(D343="",EZ343=""),"",_xlfn.TEXTJOIN("; ",TRUE,IF(AND(D343&lt;&gt;"",DD343=""),"нет фазы",""),IF(AND(D343&lt;&gt;"",N(DT343)=0,CN343&lt;&gt;"Нет"),"нет мощности",""),IF(AND(EY343&lt;&gt;"",COUNTIFS(Линии[Щит],A343,Линии[Клемма (итог)],EY343)&gt;1),"дубль клеммы "&amp;EY343,""),IF(AND(FB343&lt;&gt;"",FB343&lt;&gt;"ok"),FB343,""),IF(FC343&lt;&gt;"",FC343,""),IF(AND(ISNUMBER(SEARCH("(5х",DS343)),N(DV343)=1),"5 жил на 1 фазе",""),IF(AND(AT343="R",AD343&lt;&gt;"",OR(N(EH343)=0,N(EH343)&gt;30)),"розетка без дифзащиты до 30 мА",""),IFERROR(IF(AND(ISNUMBER(CD343),CD343&gt;CE343),"потери "&amp;FIXED(CD343,1)&amp;" % &gt; "&amp;CE343&amp;" %",""),""),IFERROR(IF(LEFT(FJ343,4)="мало","Iкз мало — отключение &gt; 0,4 с",""),""),IF(AND(D343&lt;&gt;"",BD343=""),"не на схеме","")))</f>
        <v>нет мощности</v>
      </c>
      <c r="FL343" t="str">
        <f>IF(AD343="","",_xlfn.LET(_xlpm.t,IFERROR(_xlfn.XLOOKUP(EP343,Каталог!$U$4:$U$500,Каталог!$G$4:$G$500),""),_xlpm.k,SEARCH("кА",_xlpm.t),IFERROR(--TRIM(RIGHT(SUBSTITUTE(MID(_xlpm.t,MAX(1,_xlpm.k-4),_xlpm.k-MAX(1,_xlpm.k-4))," ",REPT(" ",9)),5)),"")))</f>
        <v/>
      </c>
      <c r="FM343" t="str">
        <f>IF(OR(FL343="",AD343=""),"",IF(_xlfn.XLOOKUP(A343,Щиты[Щит],Щиты[Iкз max на шинах, кА],"")="","",IF(FL343&lt;_xlfn.XLOOKUP(A343,Щиты[Щит],Щиты[Iкз max на шинах, кА]),"Icu "&amp;FL343&amp;" кА &lt; Iкз max","ok")))</f>
        <v/>
      </c>
      <c r="FN343" t="str">
        <f t="shared" si="507"/>
        <v>QF2|XT2</v>
      </c>
      <c r="FO343" t="str">
        <f t="shared" si="508"/>
        <v xml:space="preserve">QF2|XT2|кабель МКЭШнг(A)-LS (2х0,75) → </v>
      </c>
      <c r="FP343" t="str" cm="1">
        <f t="array" ref="FP343">IF(FO343="","",_xlfn.LET(_xlpm.nd,_xlfn.TEXTSPLIT(FO343,"|"),IF(COLUMNS(_xlpm.nd)&gt;1,A343&amp;"¦"&amp;INDEX(_xlpm.nd,1)&amp;"¦"&amp;INDEX(_xlpm.nd,2),"")))</f>
        <v>ЩУОВ¦QF2¦XT2</v>
      </c>
      <c r="FQ343" t="str">
        <f t="shared" si="509"/>
        <v>DT.1¦</v>
      </c>
      <c r="FR343" t="str" cm="1">
        <f t="array" ref="FR343">IF(FO343="","",_xlfn.LET(_xlpm.nd,_xlfn.TEXTSPLIT(FO343,"|"),IF(COLUMNS(_xlpm.nd)&gt;2,A343&amp;"¦"&amp;INDEX(_xlpm.nd,2)&amp;"¦"&amp;INDEX(_xlpm.nd,3),"")))</f>
        <v xml:space="preserve">ЩУОВ¦XT2¦кабель МКЭШнг(A)-LS (2х0,75) → </v>
      </c>
      <c r="FS343" t="str">
        <f t="shared" si="510"/>
        <v>DT.1¦</v>
      </c>
      <c r="FT343" t="str" cm="1">
        <f t="array" ref="FT343">IF(FO343="","",_xlfn.LET(_xlpm.nd,_xlfn.TEXTSPLIT(FO343,"|"),IF(COLUMNS(_xlpm.nd)&gt;3,A343&amp;"¦"&amp;INDEX(_xlpm.nd,3)&amp;"¦"&amp;INDEX(_xlpm.nd,4),"")))</f>
        <v/>
      </c>
      <c r="FU343" t="str">
        <f t="shared" si="511"/>
        <v/>
      </c>
      <c r="FV343" t="str" cm="1">
        <f t="array" ref="FV343">IF(FO343="","",_xlfn.LET(_xlpm.nd,_xlfn.TEXTSPLIT(FO343,"|"),IF(COLUMNS(_xlpm.nd)&gt;4,A343&amp;"¦"&amp;INDEX(_xlpm.nd,4)&amp;"¦"&amp;INDEX(_xlpm.nd,5),"")))</f>
        <v/>
      </c>
      <c r="FW343" t="str">
        <f t="shared" si="512"/>
        <v/>
      </c>
      <c r="FX343" t="str" cm="1">
        <f t="array" ref="FX343">IF(FO343="","",_xlfn.LET(_xlpm.nd,_xlfn.TEXTSPLIT(FO343,"|"),IF(COLUMNS(_xlpm.nd)&gt;5,A343&amp;"¦"&amp;INDEX(_xlpm.nd,5)&amp;"¦"&amp;INDEX(_xlpm.nd,6),"")))</f>
        <v/>
      </c>
      <c r="FY343" t="str">
        <f t="shared" si="513"/>
        <v/>
      </c>
      <c r="FZ343" t="str" cm="1">
        <f t="array" ref="FZ343">IF(FO343="","",_xlfn.LET(_xlpm.nd,_xlfn.TEXTSPLIT(FO343,"|"),IF(COLUMNS(_xlpm.nd)&gt;6,A343&amp;"¦"&amp;INDEX(_xlpm.nd,6)&amp;"¦"&amp;INDEX(_xlpm.nd,7),"")))</f>
        <v/>
      </c>
      <c r="GA343" t="str">
        <f t="shared" si="514"/>
        <v/>
      </c>
      <c r="GB343" t="str">
        <f t="shared" si="515"/>
        <v/>
      </c>
      <c r="GC343" t="str">
        <f t="shared" si="516"/>
        <v>QF2 → XT2</v>
      </c>
      <c r="GD343">
        <f t="shared" si="517"/>
        <v>1</v>
      </c>
      <c r="GE343">
        <f t="shared" si="518"/>
        <v>0</v>
      </c>
      <c r="GF343">
        <f t="shared" si="519"/>
        <v>0</v>
      </c>
      <c r="GG343" t="str">
        <f t="shared" si="520"/>
        <v/>
      </c>
      <c r="GH343" t="str">
        <f t="shared" si="521"/>
        <v/>
      </c>
      <c r="GI343" t="str">
        <f t="shared" si="522"/>
        <v/>
      </c>
      <c r="GJ343" t="str">
        <f t="shared" si="523"/>
        <v/>
      </c>
      <c r="GK343" t="str">
        <f>IF(D343="","",IFERROR(VLOOKUP(D343,УГО_спр,2,FALSE),IFERROR(VLOOKUP(AT343,УГО_спр,2,FALSE),IFERROR(VLOOKUP(LEFT(AT343,2),УГО_спр,2,FALSE),""))))</f>
        <v/>
      </c>
      <c r="GL343" t="str">
        <f>IF(D343="","",IF(OR(GK343="",GK343=0),"BOX",IFERROR(IF(VLOOKUP(GK343,УГО_блоки,3,FALSE)&amp;""&lt;&gt;"",VLOOKUP(GK343,УГО_блоки,3,FALSE),VLOOKUP(GK343,УГО_блоки,2,FALSE)),GK343)))</f>
        <v>BOX</v>
      </c>
      <c r="GM343">
        <f t="shared" si="524"/>
        <v>1</v>
      </c>
      <c r="GN343" t="str">
        <f>IF(EP343="","",IF(COUNTIF(EP$3:EP343,EP343)=1,MAX(GN$2:GN342)+1,""))</f>
        <v/>
      </c>
      <c r="GO343" t="str">
        <f>IF(AF343="","",IF(COUNTIF(AF$3:AF343,AF343)+COUNTIF(AG$2:AG342,AF343)+COUNTIF(AH$2:AH342,AF343)=1,MAX(GO$2:GQ342)+1,""))</f>
        <v/>
      </c>
      <c r="GP343" t="str">
        <f>IF(AG343="","",IF(COUNTIF(AF$3:AF343,AG343)+COUNTIF(AG$3:AG343,AG343)+COUNTIF(AH$2:AH342,AG343)=1,MAX(GO$2:GQ342,GO343)+1,""))</f>
        <v/>
      </c>
      <c r="GQ343" t="str">
        <f>IF(AH343="","",IF(COUNTIF(AF$3:AF343,AH343)+COUNTIF(AG$3:AG343,AH343)+COUNTIF(AH$3:AH343,AH343)=1,MAX(GO$2:GQ342,GO343,GP343)+1,""))</f>
        <v/>
      </c>
      <c r="GR343" t="str">
        <f t="shared" si="525"/>
        <v>2х0,75</v>
      </c>
      <c r="GS343" t="str">
        <f>IF(GR343="","",IF(COUNTIF(GR$3:GR343,GR343)=1,MAX(GS$2:GS342)+1,""))</f>
        <v/>
      </c>
      <c r="GT343" t="str">
        <f>IF(ES343="","",COUNTIF(ES$3:ES343,"?*"))</f>
        <v/>
      </c>
      <c r="GU343" t="str">
        <f>IF(OR(ES343="",EU343=""),"",IF(COUNTIFS(ES$3:ES343,"?*",EU$3:EU343,EU343)=1,MAX(GU$2:GU342)+1,""))</f>
        <v/>
      </c>
      <c r="GV343">
        <f t="shared" si="526"/>
        <v>1</v>
      </c>
      <c r="GW343">
        <f>IF(D343="","",COUNTIF(D$3:D343,"?*"))</f>
        <v>341</v>
      </c>
      <c r="GX343">
        <f>IF(EX343&lt;&gt;1,0,_xlfn.LET(_xlpm.k,MAX(IFERROR(--VLOOKUP(D343,УГО_спр,5,FALSE),0),IFERROR(--VLOOKUP(AT343,УГО_спр,5,FALSE),0),IFERROR(--VLOOKUP(LEFT(AT343,2),УГО_спр,5,FALSE),0)),IF(_xlpm.k&gt;0,_xlpm.k,IF(IFERROR(--LEFT(SUBSTITUTE(GR343,"x","х"),FIND("х",SUBSTITUTE(GR343,"x","х"))-1),3)&gt;3,Каталог!$S$9,1))))</f>
        <v>1</v>
      </c>
      <c r="GY343">
        <f t="shared" si="527"/>
        <v>0</v>
      </c>
    </row>
    <row r="344" spans="1:207" x14ac:dyDescent="0.3">
      <c r="A344" t="s">
        <v>774</v>
      </c>
      <c r="B344">
        <v>19</v>
      </c>
      <c r="C344" t="str">
        <f>IF(BD344="","",IF(BE344="вводной узел","узел ","")&amp;"л."&amp;(INT((BD344-1)/Столбцов_на_лист)+1)&amp;" / "&amp;(MOD(BD344-1,Столбцов_на_лист)+1))</f>
        <v>л.2 / 2</v>
      </c>
      <c r="D344" t="s">
        <v>1683</v>
      </c>
      <c r="E344" s="133" t="str">
        <f t="shared" si="440"/>
        <v/>
      </c>
      <c r="G344">
        <v>2.37</v>
      </c>
      <c r="H344">
        <v>5</v>
      </c>
      <c r="I344">
        <v>1</v>
      </c>
      <c r="J344">
        <v>230</v>
      </c>
      <c r="K344" t="s">
        <v>577</v>
      </c>
      <c r="O344">
        <v>1</v>
      </c>
      <c r="P344">
        <v>95</v>
      </c>
      <c r="Q344">
        <v>7</v>
      </c>
      <c r="R344">
        <v>38</v>
      </c>
      <c r="S344">
        <v>50</v>
      </c>
      <c r="T344">
        <v>1</v>
      </c>
      <c r="U344" t="s">
        <v>11</v>
      </c>
      <c r="V344">
        <v>3</v>
      </c>
      <c r="W344">
        <v>4</v>
      </c>
      <c r="X344">
        <v>16</v>
      </c>
      <c r="Z344" t="s">
        <v>613</v>
      </c>
      <c r="AA344" t="s">
        <v>818</v>
      </c>
      <c r="AD344" t="s">
        <v>517</v>
      </c>
      <c r="AK344" t="s">
        <v>488</v>
      </c>
      <c r="AR344" t="str">
        <f t="shared" si="441"/>
        <v>потери 8,0 % &gt; 4 %</v>
      </c>
      <c r="AS344" cm="1">
        <f t="array" ref="AS344">ROW()-ROW(Линии[#Headers])</f>
        <v>342</v>
      </c>
      <c r="AT344" t="str">
        <f t="shared" si="442"/>
        <v>OV</v>
      </c>
      <c r="AU344" t="str">
        <f t="shared" si="443"/>
        <v>2.002Г.1</v>
      </c>
      <c r="AV344" t="str">
        <f t="shared" si="444"/>
        <v>2</v>
      </c>
      <c r="AW344" t="str">
        <f t="shared" si="445"/>
        <v>002Г.1</v>
      </c>
      <c r="AX344" t="str">
        <f t="shared" si="446"/>
        <v>002Г</v>
      </c>
      <c r="AY344" t="str">
        <f>IF(D344="","",IF(ISERROR(SEARCH(".",D344)),IFERROR(VLOOKUP(D344,Потребители_обозначение,2,FALSE)&amp;"",""),IFERROR(IF(VLOOKUP(AT344,Потребители_обозначение,4,FALSE)=1,VLOOKUP(AT344,Потребители_обозначение,2,FALSE)&amp;" "&amp;VLOOKUP(AV344,Этаж_обозначение,2,FALSE)&amp;" Пом. №"&amp;AX344,VLOOKUP(AT344,Потребители_обозначение,2,FALSE)&amp;" Шлейф №"&amp;AV344),IFERROR(VLOOKUP(D344,Потребители_обозначение,2,FALSE),""))))</f>
        <v/>
      </c>
      <c r="AZ344" t="str">
        <f t="shared" si="447"/>
        <v/>
      </c>
      <c r="BA344" t="str">
        <f>IF(F344&lt;&gt;"",F344,IF(AND(D344&lt;&gt;"",D344&lt;&gt;A344,ISNUMBER(_xlfn.XMATCH(D344,Щиты[Щит]))),D344,""))</f>
        <v/>
      </c>
      <c r="BB344">
        <f>IFERROR(_xlfn.XMATCH(A344,Щиты[Щит]),0)</f>
        <v>17</v>
      </c>
      <c r="BC344">
        <f>IFERROR(N(_xlfn.XLOOKUP(A344,Щиты[Щит],Щиты[Мест под вводной узел])),15)</f>
        <v>10</v>
      </c>
      <c r="BD344">
        <f t="shared" si="448"/>
        <v>19</v>
      </c>
      <c r="BE344" t="str">
        <f t="shared" si="449"/>
        <v>линии</v>
      </c>
      <c r="BF344">
        <f>IF(D344="","",IF(BA344&lt;&gt;"",IFERROR(_xlfn.XLOOKUP(BA344,Щиты[Щит],Щиты[Руст, кВт]),0),N(G344)))</f>
        <v>2.37</v>
      </c>
      <c r="BG344">
        <f>IF(J344&lt;&gt;"",J344,IF(D344="","",IFERROR(IF(VLOOKUP(AT344,Потребители_обозначение,8,FALSE)=0,"",VLOOKUP(AT344,Потребители_обозначение,8,FALSE)),"")))</f>
        <v>230</v>
      </c>
      <c r="BH344">
        <f>IF(I344&lt;&gt;"",I344,IF(D344="","",IFERROR(IF(VLOOKUP(AT344,Потребители_обозначение,9,FALSE)=0,"",VLOOKUP(AT344,Потребители_обозначение,9,FALSE)),"")))</f>
        <v>1</v>
      </c>
      <c r="BI344" t="str">
        <f>IF(U344&lt;&gt;"",U344,IF(D344="","",IFERROR(IF(VLOOKUP(AT344,Потребители_обозначение,6,FALSE)=0,"",VLOOKUP(AT344,Потребители_обозначение,6,FALSE)),"")))</f>
        <v>мс</v>
      </c>
      <c r="BJ344">
        <f>IF(V344&lt;&gt;"",V344,IF(D344="","",IFERROR(IF(VLOOKUP(AT344,Потребители_обозначение,7,FALSE)=0,"",VLOOKUP(AT344,Потребители_обозначение,7,FALSE)),"")))</f>
        <v>3</v>
      </c>
      <c r="BK344">
        <f>IF(W344&lt;&gt;"",W344,IF(D344="","",IFERROR(IF(VLOOKUP(AT344,Потребители_обозначение,10,FALSE)=0,"",VLOOKUP(AT344,Потребители_обозначение,10,FALSE)),"")))</f>
        <v>4</v>
      </c>
      <c r="BL344">
        <f>IFERROR(VLOOKUP(AT344,Потребители_обозначение,5,FALSE),0)</f>
        <v>0</v>
      </c>
      <c r="BM344" cm="1">
        <f t="array" ref="BM344">IF(D344="","",IF(BA344&lt;&gt;"",IFERROR(_xlfn.XLOOKUP(BA344,Щиты[Щит],Щиты[cos φ]),0.95),IF(ISNUMBER(M344),M344,IFERROR(IF(BL344=2,_xlfn.IFS(BH344=3,VLOOKUP(BF344,Справочная_двигатели,8,FALSE),BH344=1,VLOOKUP(BF344,Справочная_двигатели,10,TRUE)),IF(AND(Методика="нормы 2026",CN344="Сил"),0.8,0.95)),0.95))))</f>
        <v>0.95</v>
      </c>
      <c r="BN344" cm="1">
        <f t="array" ref="BN344">IF(D344="","",IF(BA344&lt;&gt;"",IFERROR(_xlfn.XLOOKUP(BA344,Щиты[Щит],Щиты[Iр, А]),""),IFERROR(_xlfn.IFS(BH344=1,BF344/((Uн_лин/SQRT(3))*BM344),BH344=3,BF344/(SQRT(3)*Uн_лин*BM344)),"")))</f>
        <v>10.80252740510063</v>
      </c>
      <c r="BO344">
        <f>IF(D344="","",IF(N(X344)=0,IFERROR(VLOOKUP(BN344,Автомат_номиналы,2,TRUE),""),X344))</f>
        <v>16</v>
      </c>
      <c r="BP344">
        <f t="shared" si="450"/>
        <v>1</v>
      </c>
      <c r="BQ344">
        <f>IF(ISNUMBER(Y344),Y344,К_прокл)</f>
        <v>1</v>
      </c>
      <c r="BR344">
        <f t="shared" si="451"/>
        <v>2</v>
      </c>
      <c r="BS344" cm="1">
        <f t="array" ref="BS344">IF(D344="","",IF(N(BK344)&lt;&gt;0,BK344,IFERROR(_xlfn.LET(_xlpm.need,BO344/(BP344*BQ344),_xlpm.t,CHOOSE(BR344,Iдоп_1ж,Iдоп_2ж,Iдоп_3ж),_xlpm.k,_xlfn.XMATCH(_xlpm.need,_xlpm.t,1),IF(ISNA(_xlpm.k),"Не исп",INDEX(Iдоп_S,_xlpm.k))),"Не исп")))</f>
        <v>4</v>
      </c>
      <c r="BT344">
        <f>IFERROR(VLOOKUP(BS344,Кабель_сопротивление,3,FALSE),"")</f>
        <v>2.2499999999999999E-2</v>
      </c>
      <c r="BU344">
        <f>IFERROR(VLOOKUP(BS344,Кабель_сопротивление,2,FALSE),"")</f>
        <v>9.5000000000000001E-2</v>
      </c>
      <c r="BV344">
        <f t="shared" si="452"/>
        <v>95</v>
      </c>
      <c r="BW344">
        <f>IF(D344="","",IFERROR(IF(VLOOKUP(AT344,Потребители_обозначение,4,FALSE)=1,VLOOKUP(AT344,Потребители_обозначение,3,FALSE)*(H344*2-1)+BV344+VLOOKUP(AV344,Этаж_обозначение,3,FALSE)+VLOOKUP(AV344,Этаж_обозначение,4,FALSE),VLOOKUP(AT344,Потребители_обозначение,3,FALSE)*(H344*2-1)+BV344),BV344))</f>
        <v>95</v>
      </c>
      <c r="BX344">
        <f t="shared" si="453"/>
        <v>38</v>
      </c>
      <c r="BY344">
        <f t="shared" si="454"/>
        <v>50</v>
      </c>
      <c r="BZ344">
        <f t="shared" si="455"/>
        <v>2</v>
      </c>
      <c r="CA344">
        <f t="shared" si="456"/>
        <v>0.31</v>
      </c>
      <c r="CB344">
        <f t="shared" si="457"/>
        <v>11.028386648086473</v>
      </c>
      <c r="CC344">
        <f>IFERROR(ROUNDUP(CB344/((Uн_лин/SQRT(3))*1000)*100,2),"")</f>
        <v>4.7799999999999994</v>
      </c>
      <c r="CD344">
        <f>IF(ISNUMBER(CC344),CC344+IFERROR(_xlfn.XLOOKUP(A344,Щиты[Щит],Щиты[ΔU до шин, %]),0),"")</f>
        <v>7.9899999999999993</v>
      </c>
      <c r="CE344">
        <f>IF(D344="","",IF(IFERROR(VLOOKUP(AT344,УГО_спр,2,FALSE),"")="Светильник",3,4)+IF(Методика="нормы 2026",MIN(0.5,MAX(0,N(BW344)-100)*0.005),0))</f>
        <v>4</v>
      </c>
      <c r="CF344" t="str">
        <f>IFERROR(VLOOKUP(BI344,Кабель_обозначение,2,FALSE),"")</f>
        <v>ВВГнг(А)-LS</v>
      </c>
      <c r="CG344" t="str">
        <f>IFERROR(IF(VLOOKUP(BI344,Кабель_обозначение,3,FALSE)=1,CF344&amp;" ("&amp;BJ344&amp;"х"&amp;BS344&amp;")",CF344),"")</f>
        <v>ВВГнг(А)-LS (3х4)</v>
      </c>
      <c r="CH344" t="str">
        <f t="shared" si="458"/>
        <v>ВВГнг(А)-LS (3х4)
L=95-4,78%</v>
      </c>
      <c r="CI344">
        <f>IFERROR(2*ρкз_Cu*BW344/BS344,"")</f>
        <v>1.24925</v>
      </c>
      <c r="CJ344">
        <f t="shared" si="459"/>
        <v>0.41562500000000002</v>
      </c>
      <c r="CK344" t="str">
        <f>IFERROR(IF(OR(D344="",NOT(ISNUMBER(BS344)),N(BW344)=0),"",_xlfn.XLOOKUP(A344,Щиты[Щит],Щиты[Zпетли на шинах, Ом])+CI344),"")</f>
        <v/>
      </c>
      <c r="CL344" t="str">
        <f>IF(ISNUMBER(CK344),c_min*(Uн_лин*1000/SQRT(3))/CK344,"")</f>
        <v/>
      </c>
      <c r="CM344" t="str">
        <f>IFERROR(IF(OR(D344="",NOT(ISNUMBER(BS344))),"",1.05*(Uн_лин*1000/SQRT(3))/(_xlfn.XLOOKUP(A344,Щиты[Щит],Щиты[Zmax на шинах, Ом])+CJ344)/1000),"")</f>
        <v/>
      </c>
      <c r="CN344" t="str">
        <f>IF(D344="","",IF(BA344&lt;&gt;"","Щит",IF(K344&lt;&gt;"",K344,IF(ISNUMBER(L344),"Сил",IF(IFERROR(_xlfn.XLOOKUP(AT344,Коды_код,Коды_группа)&amp;"","")="","Быт",_xlfn.XLOOKUP(AT344,Коды_код,Коды_группа)&amp;"")))))</f>
        <v>Пост</v>
      </c>
      <c r="CO344">
        <f>IF(CN344="Щит","щит",IF(CN344="","",IF(CN344="Быт",IFERROR(_xlfn.XLOOKUP(A344,Щиты[Щит],Щиты[Кс быт]),1),IF(CN344="Сил",IF(ISNUMBER(L344),L344,IF(Методика="нормы 2026",IFERROR(_xlfn.XLOOKUP(A344,Щиты[Щит],Щиты[Кс силовых (табл. 7.5)]),1),1)),IF(OR(CN344="Пост",CN344="Отоп"),1,IF(CN344="ВНГ",0.7,0))))))</f>
        <v>1</v>
      </c>
      <c r="CP344">
        <f t="shared" si="460"/>
        <v>1</v>
      </c>
      <c r="CQ344">
        <f t="shared" si="461"/>
        <v>2.37</v>
      </c>
      <c r="CR344">
        <f t="shared" si="462"/>
        <v>0</v>
      </c>
      <c r="CS344">
        <f t="shared" si="463"/>
        <v>0</v>
      </c>
      <c r="CT344">
        <f t="shared" si="464"/>
        <v>2.37</v>
      </c>
      <c r="CU344">
        <f t="shared" si="465"/>
        <v>0</v>
      </c>
      <c r="CV344">
        <f t="shared" si="466"/>
        <v>0</v>
      </c>
      <c r="CW344">
        <f t="shared" si="467"/>
        <v>2.37</v>
      </c>
      <c r="CX344">
        <f t="shared" si="468"/>
        <v>2.2515000000000001</v>
      </c>
      <c r="CY344">
        <f t="shared" si="469"/>
        <v>3</v>
      </c>
      <c r="CZ344" t="str">
        <f t="shared" si="470"/>
        <v>L3</v>
      </c>
      <c r="DA344" cm="1">
        <f t="array" ref="DA344">IFERROR(IF(BL344=2,_xlfn.IFS(BH344=3,VLOOKUP(BF344,Справочная_двигатели,3,FALSE),BH344=1,VLOOKUP(BF344,Справочная_двигатели,5,TRUE)),0),0)</f>
        <v>0</v>
      </c>
      <c r="DB344">
        <f>IFERROR(IF(BL344=3,VLOOKUP(BF344,Справочная_ЛЭД,2,TRUE),0),0)</f>
        <v>0</v>
      </c>
      <c r="DC344">
        <f t="shared" si="471"/>
        <v>0</v>
      </c>
      <c r="DD344" t="str">
        <f t="shared" si="472"/>
        <v>L1</v>
      </c>
      <c r="DE344" t="str" cm="1">
        <f t="array" ref="DE344">IF(D344="","",IFERROR(INDEX({"I особая","I","II","III"},MATCH(TRIM(AA344&amp;""),{"I особая","I","II","III"},0)),"III"))</f>
        <v>II</v>
      </c>
      <c r="DF344" t="str">
        <f>IF(D344="","",IF(TRIM(AB344&amp;"")&lt;&gt;"",IF(LOWER(TRIM(AB344&amp;""))="да","да","нет"),IF(IFERROR(_xlfn.XLOOKUP(AT344,Коды_код,Коды_пожарная),"")="да","да","нет")))</f>
        <v>нет</v>
      </c>
      <c r="DG344" t="str">
        <f t="shared" si="473"/>
        <v/>
      </c>
      <c r="DH344" t="str">
        <f t="shared" si="474"/>
        <v>основная</v>
      </c>
      <c r="DI344">
        <f t="shared" si="475"/>
        <v>1</v>
      </c>
      <c r="DJ344" t="str" cm="1">
        <f t="array" ref="DJ344">IF(D344="","",_xlfn.LET(_xlpm.t,IFERROR(_xlfn.XLOOKUP(1,(Шины[Шина]=DH344)*(((Шины[Щит]=A344)+(Шины[Щит]=""))&gt;0),Шины[Тип]),"")&amp;"",IF(_xlpm.t&lt;&gt;"",_xlpm.t,IF(ISNUMBER(SEARCH("ИБП",DH344)),"ИБП",IF(ISNUMBER(SEARCH("ДГУ",DH344)),"ДГУ","Ввод "&amp;DI344)))))</f>
        <v>Ввод 1</v>
      </c>
      <c r="DK344" t="str">
        <f t="shared" si="476"/>
        <v>Ввод 1</v>
      </c>
      <c r="DL344" t="str">
        <f>IF(D344="","",IF(OR(DJ344="ИБП",DJ344="ДГУ"),"I особая",IF(DJ344="Одиночная","III",_xlfn.XLOOKUP(A344,Щиты[Щит],Щиты[Категория шины «Ввод»],"III"))))</f>
        <v>II</v>
      </c>
      <c r="DM344">
        <f>IF(D344="",0,IFERROR(MATCH(DE344,{"III","II","I","I особая"},0),1))</f>
        <v>2</v>
      </c>
      <c r="DN344">
        <f t="shared" si="477"/>
        <v>2</v>
      </c>
      <c r="DO344" t="str">
        <f>IF(D344="","",IF(DM344&gt;IFERROR(MATCH(DL344,{"III","II","I","I особая"},0),1),"НЕ ОБЕСПЕЧЕНА","ОК"))</f>
        <v>ОК</v>
      </c>
      <c r="DP344" t="str">
        <f>IF(A344="","",_xlfn.XLOOKUP(A344,Щиты[Щит],Щиты[Путь],""))</f>
        <v>|ГРЩ-ЖД|ЩУОВ|</v>
      </c>
      <c r="DQ344" t="str">
        <f>IF(D344="","",IF(Z344&lt;&gt;"",Z344,IF(IFERROR(_xlfn.XLOOKUP(AT344,Коды_код,Коды_вид)&amp;"","")="","Прочее",_xlfn.XLOOKUP(AT344,Коды_код,Коды_вид)&amp;"")))</f>
        <v>Обогрев водостоков и кровли</v>
      </c>
      <c r="DR344">
        <f>IF(BD344="","",INT((BD344-1)/Столбцов_на_лист)+1)</f>
        <v>2</v>
      </c>
      <c r="DS344" t="str">
        <f t="shared" si="478"/>
        <v>ВВГнг(А)-LS (3х4) L=95-4,78%</v>
      </c>
      <c r="DT344">
        <f t="shared" si="479"/>
        <v>2.37</v>
      </c>
      <c r="DU344">
        <f t="shared" si="480"/>
        <v>10.81</v>
      </c>
      <c r="DV344">
        <f t="shared" si="481"/>
        <v>1</v>
      </c>
      <c r="DW344">
        <f>IF(AT344="",0,_xlfn.LET(_xlpm.v,IFERROR(VLOOKUP(D344,УГО_спр,3,FALSE),IFERROR(VLOOKUP(AT344,УГО_спр,3,FALSE),IFERROR(VLOOKUP(LEFT(AT344,2),УГО_спр,3,FALSE),""))),IF(_xlpm.v="да",30,IF(ISNUMBER(_xlpm.v),_xlpm.v,0))))</f>
        <v>0</v>
      </c>
      <c r="DX344">
        <f t="shared" si="482"/>
        <v>0</v>
      </c>
      <c r="DY344">
        <f>IF(BD344="","",IF(AD344&lt;&gt;"",COUNTIFS(A$3:A344,A344,AD$3:AD344,"?*"),IF(OR(OR(AS344=1,A344&lt;&gt;A343),AL344="вручную"),"",IF(AS344=1,"",DZ343))))</f>
        <v>3</v>
      </c>
      <c r="DZ344">
        <f t="shared" si="483"/>
        <v>3</v>
      </c>
      <c r="EA344">
        <f>IF(D344="",0,MAX(IFERROR(--X344,0),IFERROR(--VLOOKUP(D344,УГО_спр,4,FALSE),IFERROR(--VLOOKUP(AT344,УГО_спр,4,FALSE),IFERROR(--VLOOKUP(LEFT(AT344,2),УГО_спр,4,FALSE),0)))))</f>
        <v>16</v>
      </c>
      <c r="EB344">
        <f>IF(D344="","",IFERROR(LOOKUP(INDEX(CHOOSE(BR344,Iдоп_1ж,Iдоп_2ж,Iдоп_3ж),MATCH(BS344,Iдоп_S,0))*BP344*BQ344,{6,10,16,20,25,32,40,50,63,80,100,125,160,200,250,315,400,500,630}),""))</f>
        <v>32</v>
      </c>
      <c r="EC344">
        <f>IF(AD344="","",SUMIFS(Линии[_Ток схемы],Линии[_гр.],DY344,Линии[Щит],A344,Линии[_в кабель выше],0))</f>
        <v>10.81</v>
      </c>
      <c r="ED344">
        <f>IF(AD344="","",IFERROR(VLOOKUP(EC344,Автомат_номиналы,2,TRUE),""))</f>
        <v>16</v>
      </c>
      <c r="EE344">
        <f>IF(AD344="","",MAX(N(ED344),_xlfn.MAXIFS(Линии[_мин. по типу],Линии[_гр.],DY344,Линии[Щит],A344)))</f>
        <v>16</v>
      </c>
      <c r="EF344">
        <f>IF(AD344="","",_xlfn.MINIFS(Линии[_макс. автомат по кабелю],Линии[_гр.],DY344,Линии[Щит],A344))</f>
        <v>32</v>
      </c>
      <c r="EG344">
        <f>IF(AD344="","",MAX(1,_xlfn.MAXIFS(Линии[_фаз],Линии[_гр.],DY344,Линии[Щит],A344)))</f>
        <v>1</v>
      </c>
      <c r="EH344">
        <f>IF(AD344="","",IF(AND(AD344&lt;&gt;"авто",AD344&lt;&gt;"+"),IF(ISNUMBER(SEARCH("мА",AD344)),IFERROR(--TRIM(RIGHT(SUBSTITUTE(LEFT(AD344,SEARCH("мА",AD344)-1)," ",REPT(" ",9)),6)),30),0),IF(AE344="нет",0,IF(ISNUMBER(AE344),AE344,IF(AE344="да",30,_xlfn.MINIFS(Линии[_дифзащита по коду, мА],Линии[_гр.],DY344,Линии[Щит],A344,Линии[_дифзащита по коду, мА],"&gt;0"))))))</f>
        <v>0</v>
      </c>
      <c r="EI344">
        <f t="shared" si="484"/>
        <v>0</v>
      </c>
      <c r="EJ344" t="str">
        <f t="shared" si="485"/>
        <v>QF3</v>
      </c>
      <c r="EK344" t="str">
        <f t="shared" si="486"/>
        <v>QF3</v>
      </c>
      <c r="EL344" t="str">
        <f t="shared" si="487"/>
        <v/>
      </c>
      <c r="EM344">
        <f t="shared" si="488"/>
        <v>0</v>
      </c>
      <c r="EN344">
        <f>IF(AD344="","",IF(EM344=1,MAX(EE344,Мин_автомат_БП),EE344))</f>
        <v>16</v>
      </c>
      <c r="EO344" t="str">
        <f t="shared" si="489"/>
        <v>1P</v>
      </c>
      <c r="EP344" t="str">
        <f t="shared" si="490"/>
        <v>1P С16А</v>
      </c>
      <c r="EQ344">
        <f t="shared" si="491"/>
        <v>16</v>
      </c>
      <c r="ER344" t="str">
        <f>IF(OR(AI344="",AI344="-"),"",IFERROR(VLOOKUP(AI344,Модули_спр,2,FALSE),"R"))</f>
        <v/>
      </c>
      <c r="ES344" t="str">
        <f>IF(ER344="","",ER344&amp;"."&amp;COUNTIFS(A$3:A344,A344,ER$3:ER344,ER344))</f>
        <v/>
      </c>
      <c r="ET344" t="str">
        <f t="shared" si="492"/>
        <v/>
      </c>
      <c r="EU344" t="str">
        <f t="shared" si="493"/>
        <v/>
      </c>
      <c r="EV344" t="str">
        <f t="shared" si="494"/>
        <v/>
      </c>
      <c r="EW344" t="str">
        <f t="shared" si="495"/>
        <v/>
      </c>
      <c r="EX344">
        <f t="shared" si="496"/>
        <v>1</v>
      </c>
      <c r="EY344" t="str">
        <f>IF(AK344="нет","",IF(AK344&lt;&gt;"",AK344,IF(EX344=1,"XT"&amp;COUNTIFS(A$3:A344,A344,EX$3:EX344,1),"")))</f>
        <v/>
      </c>
      <c r="EZ344" t="str">
        <f t="shared" si="497"/>
        <v>QF3</v>
      </c>
      <c r="FA344" t="str">
        <f t="shared" si="498"/>
        <v/>
      </c>
      <c r="FB344" t="str">
        <f t="shared" si="499"/>
        <v>ok</v>
      </c>
      <c r="FC344" t="str">
        <f>IF(OR(EV344="",ET344=""),"",IF(EV344&gt;IFERROR(VLOOKUP(EU344,Модули_спр,3,FALSE),99),"ЛИШНИЙ КАНАЛ",IF(AND(AJ344&lt;&gt;"=",COUNTIFS(Линии[_модуль гр.],ET344,Линии[Канал (итог)],EV344,Линии[Канал],"&lt;&gt;=",Линии[Щит],A344)&gt;1),"ДУБЛЬ КАНАЛА","")))</f>
        <v/>
      </c>
      <c r="FD344">
        <f t="shared" si="500"/>
        <v>16</v>
      </c>
      <c r="FE344" t="str">
        <f t="shared" si="501"/>
        <v>1P С16А</v>
      </c>
      <c r="FF344">
        <f t="shared" si="502"/>
        <v>0</v>
      </c>
      <c r="FG344">
        <f t="shared" si="503"/>
        <v>0</v>
      </c>
      <c r="FH344" t="str">
        <f t="shared" si="504"/>
        <v/>
      </c>
      <c r="FI344">
        <f t="shared" si="505"/>
        <v>10</v>
      </c>
      <c r="FJ344" t="str">
        <f t="shared" si="506"/>
        <v/>
      </c>
      <c r="FK344" t="str">
        <f>IF(AND(D344="",EZ344=""),"",_xlfn.TEXTJOIN("; ",TRUE,IF(AND(D344&lt;&gt;"",DD344=""),"нет фазы",""),IF(AND(D344&lt;&gt;"",N(DT344)=0,CN344&lt;&gt;"Нет"),"нет мощности",""),IF(AND(EY344&lt;&gt;"",COUNTIFS(Линии[Щит],A344,Линии[Клемма (итог)],EY344)&gt;1),"дубль клеммы "&amp;EY344,""),IF(AND(FB344&lt;&gt;"",FB344&lt;&gt;"ok"),FB344,""),IF(FC344&lt;&gt;"",FC344,""),IF(AND(ISNUMBER(SEARCH("(5х",DS344)),N(DV344)=1),"5 жил на 1 фазе",""),IF(AND(AT344="R",AD344&lt;&gt;"",OR(N(EH344)=0,N(EH344)&gt;30)),"розетка без дифзащиты до 30 мА",""),IFERROR(IF(AND(ISNUMBER(CD344),CD344&gt;CE344),"потери "&amp;FIXED(CD344,1)&amp;" % &gt; "&amp;CE344&amp;" %",""),""),IFERROR(IF(LEFT(FJ344,4)="мало","Iкз мало — отключение &gt; 0,4 с",""),""),IF(AND(D344&lt;&gt;"",BD344=""),"не на схеме","")))</f>
        <v>потери 8,0 % &gt; 4 %</v>
      </c>
      <c r="FL344">
        <f>IF(AD344="","",_xlfn.LET(_xlpm.t,IFERROR(_xlfn.XLOOKUP(EP344,Каталог!$U$4:$U$500,Каталог!$G$4:$G$500),""),_xlpm.k,SEARCH("кА",_xlpm.t),IFERROR(--TRIM(RIGHT(SUBSTITUTE(MID(_xlpm.t,MAX(1,_xlpm.k-4),_xlpm.k-MAX(1,_xlpm.k-4))," ",REPT(" ",9)),5)),"")))</f>
        <v>6</v>
      </c>
      <c r="FM344" t="str">
        <f>IF(OR(FL344="",AD344=""),"",IF(_xlfn.XLOOKUP(A344,Щиты[Щит],Щиты[Iкз max на шинах, кА],"")="","",IF(FL344&lt;_xlfn.XLOOKUP(A344,Щиты[Щит],Щиты[Iкз max на шинах, кА]),"Icu "&amp;FL344&amp;" кА &lt; Iкз max","ok")))</f>
        <v/>
      </c>
      <c r="FN344" t="str">
        <f t="shared" si="507"/>
        <v>QF3</v>
      </c>
      <c r="FO344" t="str">
        <f t="shared" si="508"/>
        <v xml:space="preserve">QF3|кабель ВВГнг(А)-LS (3х4) → </v>
      </c>
      <c r="FP344" t="str" cm="1">
        <f t="array" ref="FP344">IF(FO344="","",_xlfn.LET(_xlpm.nd,_xlfn.TEXTSPLIT(FO344,"|"),IF(COLUMNS(_xlpm.nd)&gt;1,A344&amp;"¦"&amp;INDEX(_xlpm.nd,1)&amp;"¦"&amp;INDEX(_xlpm.nd,2),"")))</f>
        <v xml:space="preserve">ЩУОВ¦QF3¦кабель ВВГнг(А)-LS (3х4) → </v>
      </c>
      <c r="FQ344" t="str">
        <f t="shared" si="509"/>
        <v>OV.2.002Г.1¦</v>
      </c>
      <c r="FR344" t="str" cm="1">
        <f t="array" ref="FR344">IF(FO344="","",_xlfn.LET(_xlpm.nd,_xlfn.TEXTSPLIT(FO344,"|"),IF(COLUMNS(_xlpm.nd)&gt;2,A344&amp;"¦"&amp;INDEX(_xlpm.nd,2)&amp;"¦"&amp;INDEX(_xlpm.nd,3),"")))</f>
        <v/>
      </c>
      <c r="FS344" t="str">
        <f t="shared" si="510"/>
        <v/>
      </c>
      <c r="FT344" t="str" cm="1">
        <f t="array" ref="FT344">IF(FO344="","",_xlfn.LET(_xlpm.nd,_xlfn.TEXTSPLIT(FO344,"|"),IF(COLUMNS(_xlpm.nd)&gt;3,A344&amp;"¦"&amp;INDEX(_xlpm.nd,3)&amp;"¦"&amp;INDEX(_xlpm.nd,4),"")))</f>
        <v/>
      </c>
      <c r="FU344" t="str">
        <f t="shared" si="511"/>
        <v/>
      </c>
      <c r="FV344" t="str" cm="1">
        <f t="array" ref="FV344">IF(FO344="","",_xlfn.LET(_xlpm.nd,_xlfn.TEXTSPLIT(FO344,"|"),IF(COLUMNS(_xlpm.nd)&gt;4,A344&amp;"¦"&amp;INDEX(_xlpm.nd,4)&amp;"¦"&amp;INDEX(_xlpm.nd,5),"")))</f>
        <v/>
      </c>
      <c r="FW344" t="str">
        <f t="shared" si="512"/>
        <v/>
      </c>
      <c r="FX344" t="str" cm="1">
        <f t="array" ref="FX344">IF(FO344="","",_xlfn.LET(_xlpm.nd,_xlfn.TEXTSPLIT(FO344,"|"),IF(COLUMNS(_xlpm.nd)&gt;5,A344&amp;"¦"&amp;INDEX(_xlpm.nd,5)&amp;"¦"&amp;INDEX(_xlpm.nd,6),"")))</f>
        <v/>
      </c>
      <c r="FY344" t="str">
        <f t="shared" si="513"/>
        <v/>
      </c>
      <c r="FZ344" t="str" cm="1">
        <f t="array" ref="FZ344">IF(FO344="","",_xlfn.LET(_xlpm.nd,_xlfn.TEXTSPLIT(FO344,"|"),IF(COLUMNS(_xlpm.nd)&gt;6,A344&amp;"¦"&amp;INDEX(_xlpm.nd,6)&amp;"¦"&amp;INDEX(_xlpm.nd,7),"")))</f>
        <v/>
      </c>
      <c r="GA344" t="str">
        <f t="shared" si="514"/>
        <v/>
      </c>
      <c r="GB344" t="str">
        <f t="shared" si="515"/>
        <v/>
      </c>
      <c r="GC344" t="str">
        <f t="shared" si="516"/>
        <v>QF3</v>
      </c>
      <c r="GD344">
        <f t="shared" si="517"/>
        <v>1</v>
      </c>
      <c r="GE344">
        <f t="shared" si="518"/>
        <v>0</v>
      </c>
      <c r="GF344">
        <f t="shared" si="519"/>
        <v>0</v>
      </c>
      <c r="GG344" t="str">
        <f t="shared" si="520"/>
        <v/>
      </c>
      <c r="GH344" t="str">
        <f t="shared" si="521"/>
        <v/>
      </c>
      <c r="GI344" t="str">
        <f t="shared" si="522"/>
        <v/>
      </c>
      <c r="GJ344" t="str">
        <f t="shared" si="523"/>
        <v/>
      </c>
      <c r="GK344" t="str">
        <f>IF(D344="","",IFERROR(VLOOKUP(D344,УГО_спр,2,FALSE),IFERROR(VLOOKUP(AT344,УГО_спр,2,FALSE),IFERROR(VLOOKUP(LEFT(AT344,2),УГО_спр,2,FALSE),""))))</f>
        <v/>
      </c>
      <c r="GL344" t="str">
        <f>IF(D344="","",IF(OR(GK344="",GK344=0),"BOX",IFERROR(IF(VLOOKUP(GK344,УГО_блоки,3,FALSE)&amp;""&lt;&gt;"",VLOOKUP(GK344,УГО_блоки,3,FALSE),VLOOKUP(GK344,УГО_блоки,2,FALSE)),GK344)))</f>
        <v>BOX</v>
      </c>
      <c r="GM344">
        <f t="shared" si="524"/>
        <v>1</v>
      </c>
      <c r="GN344" t="str">
        <f>IF(EP344="","",IF(COUNTIF(EP$3:EP344,EP344)=1,MAX(GN$2:GN343)+1,""))</f>
        <v/>
      </c>
      <c r="GO344" t="str">
        <f>IF(AF344="","",IF(COUNTIF(AF$3:AF344,AF344)+COUNTIF(AG$2:AG343,AF344)+COUNTIF(AH$2:AH343,AF344)=1,MAX(GO$2:GQ343)+1,""))</f>
        <v/>
      </c>
      <c r="GP344" t="str">
        <f>IF(AG344="","",IF(COUNTIF(AF$3:AF344,AG344)+COUNTIF(AG$3:AG344,AG344)+COUNTIF(AH$2:AH343,AG344)=1,MAX(GO$2:GQ343,GO344)+1,""))</f>
        <v/>
      </c>
      <c r="GQ344" t="str">
        <f>IF(AH344="","",IF(COUNTIF(AF$3:AF344,AH344)+COUNTIF(AG$3:AG344,AH344)+COUNTIF(AH$3:AH344,AH344)=1,MAX(GO$2:GQ343,GO344,GP344)+1,""))</f>
        <v/>
      </c>
      <c r="GR344" t="str">
        <f t="shared" si="525"/>
        <v>3х4</v>
      </c>
      <c r="GS344" t="str">
        <f>IF(GR344="","",IF(COUNTIF(GR$3:GR344,GR344)=1,MAX(GS$2:GS343)+1,""))</f>
        <v/>
      </c>
      <c r="GT344" t="str">
        <f>IF(ES344="","",COUNTIF(ES$3:ES344,"?*"))</f>
        <v/>
      </c>
      <c r="GU344" t="str">
        <f>IF(OR(ES344="",EU344=""),"",IF(COUNTIFS(ES$3:ES344,"?*",EU$3:EU344,EU344)=1,MAX(GU$2:GU343)+1,""))</f>
        <v/>
      </c>
      <c r="GV344">
        <f t="shared" si="526"/>
        <v>1</v>
      </c>
      <c r="GW344">
        <f>IF(D344="","",COUNTIF(D$3:D344,"?*"))</f>
        <v>342</v>
      </c>
      <c r="GX344">
        <f>IF(EX344&lt;&gt;1,0,_xlfn.LET(_xlpm.k,MAX(IFERROR(--VLOOKUP(D344,УГО_спр,5,FALSE),0),IFERROR(--VLOOKUP(AT344,УГО_спр,5,FALSE),0),IFERROR(--VLOOKUP(LEFT(AT344,2),УГО_спр,5,FALSE),0)),IF(_xlpm.k&gt;0,_xlpm.k,IF(IFERROR(--LEFT(SUBSTITUTE(GR344,"x","х"),FIND("х",SUBSTITUTE(GR344,"x","х"))-1),3)&gt;3,Каталог!$S$9,1))))</f>
        <v>1</v>
      </c>
      <c r="GY344">
        <f t="shared" si="527"/>
        <v>0</v>
      </c>
    </row>
    <row r="345" spans="1:207" x14ac:dyDescent="0.3">
      <c r="A345" t="s">
        <v>774</v>
      </c>
      <c r="B345">
        <v>20</v>
      </c>
      <c r="C345" t="str">
        <f>IF(BD345="","",IF(BE345="вводной узел","узел ","")&amp;"л."&amp;(INT((BD345-1)/Столбцов_на_лист)+1)&amp;" / "&amp;(MOD(BD345-1,Столбцов_на_лист)+1))</f>
        <v>л.2 / 3</v>
      </c>
      <c r="D345" t="s">
        <v>1684</v>
      </c>
      <c r="E345" s="133" t="str">
        <f t="shared" si="440"/>
        <v/>
      </c>
      <c r="G345">
        <v>0.96</v>
      </c>
      <c r="H345">
        <v>2</v>
      </c>
      <c r="I345">
        <v>1</v>
      </c>
      <c r="J345">
        <v>230</v>
      </c>
      <c r="K345" t="s">
        <v>577</v>
      </c>
      <c r="O345">
        <v>2</v>
      </c>
      <c r="P345">
        <v>44</v>
      </c>
      <c r="Q345">
        <v>7</v>
      </c>
      <c r="R345">
        <v>17</v>
      </c>
      <c r="S345">
        <v>20</v>
      </c>
      <c r="T345">
        <v>1</v>
      </c>
      <c r="U345" t="s">
        <v>11</v>
      </c>
      <c r="V345">
        <v>3</v>
      </c>
      <c r="W345">
        <v>2.5</v>
      </c>
      <c r="X345">
        <v>16</v>
      </c>
      <c r="Z345" t="s">
        <v>613</v>
      </c>
      <c r="AA345" t="s">
        <v>818</v>
      </c>
      <c r="AD345" t="s">
        <v>517</v>
      </c>
      <c r="AR345" t="str">
        <f t="shared" si="441"/>
        <v>потери 4,7 % &gt; 4 %</v>
      </c>
      <c r="AS345" cm="1">
        <f t="array" ref="AS345">ROW()-ROW(Линии[#Headers])</f>
        <v>343</v>
      </c>
      <c r="AT345" t="str">
        <f t="shared" si="442"/>
        <v>OV</v>
      </c>
      <c r="AU345" t="str">
        <f t="shared" si="443"/>
        <v>2.003Г.1</v>
      </c>
      <c r="AV345" t="str">
        <f t="shared" si="444"/>
        <v>2</v>
      </c>
      <c r="AW345" t="str">
        <f t="shared" si="445"/>
        <v>003Г.1</v>
      </c>
      <c r="AX345" t="str">
        <f t="shared" si="446"/>
        <v>003Г</v>
      </c>
      <c r="AY345" t="str">
        <f>IF(D345="","",IF(ISERROR(SEARCH(".",D345)),IFERROR(VLOOKUP(D345,Потребители_обозначение,2,FALSE)&amp;"",""),IFERROR(IF(VLOOKUP(AT345,Потребители_обозначение,4,FALSE)=1,VLOOKUP(AT345,Потребители_обозначение,2,FALSE)&amp;" "&amp;VLOOKUP(AV345,Этаж_обозначение,2,FALSE)&amp;" Пом. №"&amp;AX345,VLOOKUP(AT345,Потребители_обозначение,2,FALSE)&amp;" Шлейф №"&amp;AV345),IFERROR(VLOOKUP(D345,Потребители_обозначение,2,FALSE),""))))</f>
        <v/>
      </c>
      <c r="AZ345" t="str">
        <f t="shared" si="447"/>
        <v/>
      </c>
      <c r="BA345" t="str">
        <f>IF(F345&lt;&gt;"",F345,IF(AND(D345&lt;&gt;"",D345&lt;&gt;A345,ISNUMBER(_xlfn.XMATCH(D345,Щиты[Щит]))),D345,""))</f>
        <v/>
      </c>
      <c r="BB345">
        <f>IFERROR(_xlfn.XMATCH(A345,Щиты[Щит]),0)</f>
        <v>17</v>
      </c>
      <c r="BC345">
        <f>IFERROR(N(_xlfn.XLOOKUP(A345,Щиты[Щит],Щиты[Мест под вводной узел])),15)</f>
        <v>10</v>
      </c>
      <c r="BD345">
        <f t="shared" si="448"/>
        <v>20</v>
      </c>
      <c r="BE345" t="str">
        <f t="shared" si="449"/>
        <v>линии</v>
      </c>
      <c r="BF345">
        <f>IF(D345="","",IF(BA345&lt;&gt;"",IFERROR(_xlfn.XLOOKUP(BA345,Щиты[Щит],Щиты[Руст, кВт]),0),N(G345)))</f>
        <v>0.96</v>
      </c>
      <c r="BG345">
        <f>IF(J345&lt;&gt;"",J345,IF(D345="","",IFERROR(IF(VLOOKUP(AT345,Потребители_обозначение,8,FALSE)=0,"",VLOOKUP(AT345,Потребители_обозначение,8,FALSE)),"")))</f>
        <v>230</v>
      </c>
      <c r="BH345">
        <f>IF(I345&lt;&gt;"",I345,IF(D345="","",IFERROR(IF(VLOOKUP(AT345,Потребители_обозначение,9,FALSE)=0,"",VLOOKUP(AT345,Потребители_обозначение,9,FALSE)),"")))</f>
        <v>1</v>
      </c>
      <c r="BI345" t="str">
        <f>IF(U345&lt;&gt;"",U345,IF(D345="","",IFERROR(IF(VLOOKUP(AT345,Потребители_обозначение,6,FALSE)=0,"",VLOOKUP(AT345,Потребители_обозначение,6,FALSE)),"")))</f>
        <v>мс</v>
      </c>
      <c r="BJ345">
        <f>IF(V345&lt;&gt;"",V345,IF(D345="","",IFERROR(IF(VLOOKUP(AT345,Потребители_обозначение,7,FALSE)=0,"",VLOOKUP(AT345,Потребители_обозначение,7,FALSE)),"")))</f>
        <v>3</v>
      </c>
      <c r="BK345">
        <f>IF(W345&lt;&gt;"",W345,IF(D345="","",IFERROR(IF(VLOOKUP(AT345,Потребители_обозначение,10,FALSE)=0,"",VLOOKUP(AT345,Потребители_обозначение,10,FALSE)),"")))</f>
        <v>2.5</v>
      </c>
      <c r="BL345">
        <f>IFERROR(VLOOKUP(AT345,Потребители_обозначение,5,FALSE),0)</f>
        <v>0</v>
      </c>
      <c r="BM345" cm="1">
        <f t="array" ref="BM345">IF(D345="","",IF(BA345&lt;&gt;"",IFERROR(_xlfn.XLOOKUP(BA345,Щиты[Щит],Щиты[cos φ]),0.95),IF(ISNUMBER(M345),M345,IFERROR(IF(BL345=2,_xlfn.IFS(BH345=3,VLOOKUP(BF345,Справочная_двигатели,8,FALSE),BH345=1,VLOOKUP(BF345,Справочная_двигатели,10,TRUE)),IF(AND(Методика="нормы 2026",CN345="Сил"),0.8,0.95)),0.95))))</f>
        <v>0.95</v>
      </c>
      <c r="BN345" cm="1">
        <f t="array" ref="BN345">IF(D345="","",IF(BA345&lt;&gt;"",IFERROR(_xlfn.XLOOKUP(BA345,Щиты[Щит],Щиты[Iр, А]),""),IFERROR(_xlfn.IFS(BH345=1,BF345/((Uн_лин/SQRT(3))*BM345),BH345=3,BF345/(SQRT(3)*Uн_лин*BM345)),"")))</f>
        <v>4.3757073033319003</v>
      </c>
      <c r="BO345">
        <f>IF(D345="","",IF(N(X345)=0,IFERROR(VLOOKUP(BN345,Автомат_номиналы,2,TRUE),""),X345))</f>
        <v>16</v>
      </c>
      <c r="BP345">
        <f t="shared" si="450"/>
        <v>1</v>
      </c>
      <c r="BQ345">
        <f>IF(ISNUMBER(Y345),Y345,К_прокл)</f>
        <v>1</v>
      </c>
      <c r="BR345">
        <f t="shared" si="451"/>
        <v>2</v>
      </c>
      <c r="BS345" cm="1">
        <f t="array" ref="BS345">IF(D345="","",IF(N(BK345)&lt;&gt;0,BK345,IFERROR(_xlfn.LET(_xlpm.need,BO345/(BP345*BQ345),_xlpm.t,CHOOSE(BR345,Iдоп_1ж,Iдоп_2ж,Iдоп_3ж),_xlpm.k,_xlfn.XMATCH(_xlpm.need,_xlpm.t,1),IF(ISNA(_xlpm.k),"Не исп",INDEX(Iдоп_S,_xlpm.k))),"Не исп")))</f>
        <v>2.5</v>
      </c>
      <c r="BT345">
        <f>IFERROR(VLOOKUP(BS345,Кабель_сопротивление,3,FALSE),"")</f>
        <v>2.2499999999999999E-2</v>
      </c>
      <c r="BU345">
        <f>IFERROR(VLOOKUP(BS345,Кабель_сопротивление,2,FALSE),"")</f>
        <v>0.1</v>
      </c>
      <c r="BV345">
        <f t="shared" si="452"/>
        <v>44</v>
      </c>
      <c r="BW345">
        <f>IF(D345="","",IFERROR(IF(VLOOKUP(AT345,Потребители_обозначение,4,FALSE)=1,VLOOKUP(AT345,Потребители_обозначение,3,FALSE)*(H345*2-1)+BV345+VLOOKUP(AV345,Этаж_обозначение,3,FALSE)+VLOOKUP(AV345,Этаж_обозначение,4,FALSE),VLOOKUP(AT345,Потребители_обозначение,3,FALSE)*(H345*2-1)+BV345),BV345))</f>
        <v>44</v>
      </c>
      <c r="BX345">
        <f t="shared" si="453"/>
        <v>17</v>
      </c>
      <c r="BY345">
        <f t="shared" si="454"/>
        <v>20</v>
      </c>
      <c r="BZ345">
        <f t="shared" si="455"/>
        <v>2</v>
      </c>
      <c r="CA345">
        <f t="shared" si="456"/>
        <v>0.31</v>
      </c>
      <c r="CB345">
        <f t="shared" si="457"/>
        <v>3.3042191045504108</v>
      </c>
      <c r="CC345">
        <f>IFERROR(ROUNDUP(CB345/((Uн_лин/SQRT(3))*1000)*100,2),"")</f>
        <v>1.44</v>
      </c>
      <c r="CD345">
        <f>IF(ISNUMBER(CC345),CC345+IFERROR(_xlfn.XLOOKUP(A345,Щиты[Щит],Щиты[ΔU до шин, %]),0),"")</f>
        <v>4.6500000000000004</v>
      </c>
      <c r="CE345">
        <f>IF(D345="","",IF(IFERROR(VLOOKUP(AT345,УГО_спр,2,FALSE),"")="Светильник",3,4)+IF(Методика="нормы 2026",MIN(0.5,MAX(0,N(BW345)-100)*0.005),0))</f>
        <v>4</v>
      </c>
      <c r="CF345" t="str">
        <f>IFERROR(VLOOKUP(BI345,Кабель_обозначение,2,FALSE),"")</f>
        <v>ВВГнг(А)-LS</v>
      </c>
      <c r="CG345" t="str">
        <f>IFERROR(IF(VLOOKUP(BI345,Кабель_обозначение,3,FALSE)=1,CF345&amp;" ("&amp;BJ345&amp;"х"&amp;BS345&amp;")",CF345),"")</f>
        <v>ВВГнг(А)-LS (3х2,5)</v>
      </c>
      <c r="CH345" t="str">
        <f t="shared" si="458"/>
        <v>ВВГнг(А)-LS (3х2,5)
L=44-1,44%</v>
      </c>
      <c r="CI345">
        <f>IFERROR(2*ρкз_Cu*BW345/BS345,"")</f>
        <v>0.92576000000000003</v>
      </c>
      <c r="CJ345">
        <f t="shared" si="459"/>
        <v>0.308</v>
      </c>
      <c r="CK345" t="str">
        <f>IFERROR(IF(OR(D345="",NOT(ISNUMBER(BS345)),N(BW345)=0),"",_xlfn.XLOOKUP(A345,Щиты[Щит],Щиты[Zпетли на шинах, Ом])+CI345),"")</f>
        <v/>
      </c>
      <c r="CL345" t="str">
        <f>IF(ISNUMBER(CK345),c_min*(Uн_лин*1000/SQRT(3))/CK345,"")</f>
        <v/>
      </c>
      <c r="CM345" t="str">
        <f>IFERROR(IF(OR(D345="",NOT(ISNUMBER(BS345))),"",1.05*(Uн_лин*1000/SQRT(3))/(_xlfn.XLOOKUP(A345,Щиты[Щит],Щиты[Zmax на шинах, Ом])+CJ345)/1000),"")</f>
        <v/>
      </c>
      <c r="CN345" t="str">
        <f>IF(D345="","",IF(BA345&lt;&gt;"","Щит",IF(K345&lt;&gt;"",K345,IF(ISNUMBER(L345),"Сил",IF(IFERROR(_xlfn.XLOOKUP(AT345,Коды_код,Коды_группа)&amp;"","")="","Быт",_xlfn.XLOOKUP(AT345,Коды_код,Коды_группа)&amp;"")))))</f>
        <v>Пост</v>
      </c>
      <c r="CO345">
        <f>IF(CN345="Щит","щит",IF(CN345="","",IF(CN345="Быт",IFERROR(_xlfn.XLOOKUP(A345,Щиты[Щит],Щиты[Кс быт]),1),IF(CN345="Сил",IF(ISNUMBER(L345),L345,IF(Методика="нормы 2026",IFERROR(_xlfn.XLOOKUP(A345,Щиты[Щит],Щиты[Кс силовых (табл. 7.5)]),1),1)),IF(OR(CN345="Пост",CN345="Отоп"),1,IF(CN345="ВНГ",0.7,0))))))</f>
        <v>1</v>
      </c>
      <c r="CP345">
        <f t="shared" si="460"/>
        <v>1</v>
      </c>
      <c r="CQ345">
        <f t="shared" si="461"/>
        <v>0.96</v>
      </c>
      <c r="CR345">
        <f t="shared" si="462"/>
        <v>0</v>
      </c>
      <c r="CS345">
        <f t="shared" si="463"/>
        <v>0</v>
      </c>
      <c r="CT345">
        <f t="shared" si="464"/>
        <v>0.96</v>
      </c>
      <c r="CU345">
        <f t="shared" si="465"/>
        <v>0</v>
      </c>
      <c r="CV345">
        <f t="shared" si="466"/>
        <v>0</v>
      </c>
      <c r="CW345">
        <f t="shared" si="467"/>
        <v>0.96</v>
      </c>
      <c r="CX345">
        <f t="shared" si="468"/>
        <v>0.91199999999999992</v>
      </c>
      <c r="CY345">
        <f t="shared" si="469"/>
        <v>1</v>
      </c>
      <c r="CZ345" t="str">
        <f t="shared" si="470"/>
        <v>L1</v>
      </c>
      <c r="DA345" cm="1">
        <f t="array" ref="DA345">IFERROR(IF(BL345=2,_xlfn.IFS(BH345=3,VLOOKUP(BF345,Справочная_двигатели,3,FALSE),BH345=1,VLOOKUP(BF345,Справочная_двигатели,5,TRUE)),0),0)</f>
        <v>0</v>
      </c>
      <c r="DB345">
        <f>IFERROR(IF(BL345=3,VLOOKUP(BF345,Справочная_ЛЭД,2,TRUE),0),0)</f>
        <v>0</v>
      </c>
      <c r="DC345">
        <f t="shared" si="471"/>
        <v>0</v>
      </c>
      <c r="DD345" t="str">
        <f t="shared" si="472"/>
        <v>L2</v>
      </c>
      <c r="DE345" t="str" cm="1">
        <f t="array" ref="DE345">IF(D345="","",IFERROR(INDEX({"I особая","I","II","III"},MATCH(TRIM(AA345&amp;""),{"I особая","I","II","III"},0)),"III"))</f>
        <v>II</v>
      </c>
      <c r="DF345" t="str">
        <f>IF(D345="","",IF(TRIM(AB345&amp;"")&lt;&gt;"",IF(LOWER(TRIM(AB345&amp;""))="да","да","нет"),IF(IFERROR(_xlfn.XLOOKUP(AT345,Коды_код,Коды_пожарная),"")="да","да","нет")))</f>
        <v>нет</v>
      </c>
      <c r="DG345" t="str">
        <f t="shared" si="473"/>
        <v/>
      </c>
      <c r="DH345" t="str">
        <f t="shared" si="474"/>
        <v>основная</v>
      </c>
      <c r="DI345">
        <f t="shared" si="475"/>
        <v>1</v>
      </c>
      <c r="DJ345" t="str" cm="1">
        <f t="array" ref="DJ345">IF(D345="","",_xlfn.LET(_xlpm.t,IFERROR(_xlfn.XLOOKUP(1,(Шины[Шина]=DH345)*(((Шины[Щит]=A345)+(Шины[Щит]=""))&gt;0),Шины[Тип]),"")&amp;"",IF(_xlpm.t&lt;&gt;"",_xlpm.t,IF(ISNUMBER(SEARCH("ИБП",DH345)),"ИБП",IF(ISNUMBER(SEARCH("ДГУ",DH345)),"ДГУ","Ввод "&amp;DI345)))))</f>
        <v>Ввод 1</v>
      </c>
      <c r="DK345" t="str">
        <f t="shared" si="476"/>
        <v>Ввод 1</v>
      </c>
      <c r="DL345" t="str">
        <f>IF(D345="","",IF(OR(DJ345="ИБП",DJ345="ДГУ"),"I особая",IF(DJ345="Одиночная","III",_xlfn.XLOOKUP(A345,Щиты[Щит],Щиты[Категория шины «Ввод»],"III"))))</f>
        <v>II</v>
      </c>
      <c r="DM345">
        <f>IF(D345="",0,IFERROR(MATCH(DE345,{"III","II","I","I особая"},0),1))</f>
        <v>2</v>
      </c>
      <c r="DN345">
        <f t="shared" si="477"/>
        <v>2</v>
      </c>
      <c r="DO345" t="str">
        <f>IF(D345="","",IF(DM345&gt;IFERROR(MATCH(DL345,{"III","II","I","I особая"},0),1),"НЕ ОБЕСПЕЧЕНА","ОК"))</f>
        <v>ОК</v>
      </c>
      <c r="DP345" t="str">
        <f>IF(A345="","",_xlfn.XLOOKUP(A345,Щиты[Щит],Щиты[Путь],""))</f>
        <v>|ГРЩ-ЖД|ЩУОВ|</v>
      </c>
      <c r="DQ345" t="str">
        <f>IF(D345="","",IF(Z345&lt;&gt;"",Z345,IF(IFERROR(_xlfn.XLOOKUP(AT345,Коды_код,Коды_вид)&amp;"","")="","Прочее",_xlfn.XLOOKUP(AT345,Коды_код,Коды_вид)&amp;"")))</f>
        <v>Обогрев водостоков и кровли</v>
      </c>
      <c r="DR345">
        <f>IF(BD345="","",INT((BD345-1)/Столбцов_на_лист)+1)</f>
        <v>2</v>
      </c>
      <c r="DS345" t="str">
        <f t="shared" si="478"/>
        <v>ВВГнг(А)-LS (3х2,5) L=44-1,44%</v>
      </c>
      <c r="DT345">
        <f t="shared" si="479"/>
        <v>0.96</v>
      </c>
      <c r="DU345">
        <f t="shared" si="480"/>
        <v>4.38</v>
      </c>
      <c r="DV345">
        <f t="shared" si="481"/>
        <v>1</v>
      </c>
      <c r="DW345">
        <f>IF(AT345="",0,_xlfn.LET(_xlpm.v,IFERROR(VLOOKUP(D345,УГО_спр,3,FALSE),IFERROR(VLOOKUP(AT345,УГО_спр,3,FALSE),IFERROR(VLOOKUP(LEFT(AT345,2),УГО_спр,3,FALSE),""))),IF(_xlpm.v="да",30,IF(ISNUMBER(_xlpm.v),_xlpm.v,0))))</f>
        <v>0</v>
      </c>
      <c r="DX345">
        <f t="shared" si="482"/>
        <v>0</v>
      </c>
      <c r="DY345">
        <f>IF(BD345="","",IF(AD345&lt;&gt;"",COUNTIFS(A$3:A345,A345,AD$3:AD345,"?*"),IF(OR(OR(AS345=1,A345&lt;&gt;A344),AL345="вручную"),"",IF(AS345=1,"",DZ344))))</f>
        <v>4</v>
      </c>
      <c r="DZ345">
        <f t="shared" si="483"/>
        <v>4</v>
      </c>
      <c r="EA345">
        <f>IF(D345="",0,MAX(IFERROR(--X345,0),IFERROR(--VLOOKUP(D345,УГО_спр,4,FALSE),IFERROR(--VLOOKUP(AT345,УГО_спр,4,FALSE),IFERROR(--VLOOKUP(LEFT(AT345,2),УГО_спр,4,FALSE),0)))))</f>
        <v>16</v>
      </c>
      <c r="EB345">
        <f>IF(D345="","",IFERROR(LOOKUP(INDEX(CHOOSE(BR345,Iдоп_1ж,Iдоп_2ж,Iдоп_3ж),MATCH(BS345,Iдоп_S,0))*BP345*BQ345,{6,10,16,20,25,32,40,50,63,80,100,125,160,200,250,315,400,500,630}),""))</f>
        <v>25</v>
      </c>
      <c r="EC345">
        <f>IF(AD345="","",SUMIFS(Линии[_Ток схемы],Линии[_гр.],DY345,Линии[Щит],A345,Линии[_в кабель выше],0))</f>
        <v>4.38</v>
      </c>
      <c r="ED345">
        <f>IF(AD345="","",IFERROR(VLOOKUP(EC345,Автомат_номиналы,2,TRUE),""))</f>
        <v>6</v>
      </c>
      <c r="EE345">
        <f>IF(AD345="","",MAX(N(ED345),_xlfn.MAXIFS(Линии[_мин. по типу],Линии[_гр.],DY345,Линии[Щит],A345)))</f>
        <v>16</v>
      </c>
      <c r="EF345">
        <f>IF(AD345="","",_xlfn.MINIFS(Линии[_макс. автомат по кабелю],Линии[_гр.],DY345,Линии[Щит],A345))</f>
        <v>25</v>
      </c>
      <c r="EG345">
        <f>IF(AD345="","",MAX(1,_xlfn.MAXIFS(Линии[_фаз],Линии[_гр.],DY345,Линии[Щит],A345)))</f>
        <v>1</v>
      </c>
      <c r="EH345">
        <f>IF(AD345="","",IF(AND(AD345&lt;&gt;"авто",AD345&lt;&gt;"+"),IF(ISNUMBER(SEARCH("мА",AD345)),IFERROR(--TRIM(RIGHT(SUBSTITUTE(LEFT(AD345,SEARCH("мА",AD345)-1)," ",REPT(" ",9)),6)),30),0),IF(AE345="нет",0,IF(ISNUMBER(AE345),AE345,IF(AE345="да",30,_xlfn.MINIFS(Линии[_дифзащита по коду, мА],Линии[_гр.],DY345,Линии[Щит],A345,Линии[_дифзащита по коду, мА],"&gt;0"))))))</f>
        <v>0</v>
      </c>
      <c r="EI345">
        <f t="shared" si="484"/>
        <v>0</v>
      </c>
      <c r="EJ345" t="str">
        <f t="shared" si="485"/>
        <v>QF4</v>
      </c>
      <c r="EK345" t="str">
        <f t="shared" si="486"/>
        <v>QF4</v>
      </c>
      <c r="EL345" t="str">
        <f t="shared" si="487"/>
        <v/>
      </c>
      <c r="EM345">
        <f t="shared" si="488"/>
        <v>0</v>
      </c>
      <c r="EN345">
        <f>IF(AD345="","",IF(EM345=1,MAX(EE345,Мин_автомат_БП),EE345))</f>
        <v>16</v>
      </c>
      <c r="EO345" t="str">
        <f t="shared" si="489"/>
        <v>1P</v>
      </c>
      <c r="EP345" t="str">
        <f t="shared" si="490"/>
        <v>1P С16А</v>
      </c>
      <c r="EQ345">
        <f t="shared" si="491"/>
        <v>16</v>
      </c>
      <c r="ER345" t="str">
        <f>IF(OR(AI345="",AI345="-"),"",IFERROR(VLOOKUP(AI345,Модули_спр,2,FALSE),"R"))</f>
        <v/>
      </c>
      <c r="ES345" t="str">
        <f>IF(ER345="","",ER345&amp;"."&amp;COUNTIFS(A$3:A345,A345,ER$3:ER345,ER345))</f>
        <v/>
      </c>
      <c r="ET345" t="str">
        <f t="shared" si="492"/>
        <v/>
      </c>
      <c r="EU345" t="str">
        <f t="shared" si="493"/>
        <v/>
      </c>
      <c r="EV345" t="str">
        <f t="shared" si="494"/>
        <v/>
      </c>
      <c r="EW345" t="str">
        <f t="shared" si="495"/>
        <v/>
      </c>
      <c r="EX345">
        <f t="shared" si="496"/>
        <v>1</v>
      </c>
      <c r="EY345" t="str">
        <f>IF(AK345="нет","",IF(AK345&lt;&gt;"",AK345,IF(EX345=1,"XT"&amp;COUNTIFS(A$3:A345,A345,EX$3:EX345,1),"")))</f>
        <v>XT4</v>
      </c>
      <c r="EZ345" t="str">
        <f t="shared" si="497"/>
        <v>QF4</v>
      </c>
      <c r="FA345" t="str">
        <f t="shared" si="498"/>
        <v/>
      </c>
      <c r="FB345" t="str">
        <f t="shared" si="499"/>
        <v>ok</v>
      </c>
      <c r="FC345" t="str">
        <f>IF(OR(EV345="",ET345=""),"",IF(EV345&gt;IFERROR(VLOOKUP(EU345,Модули_спр,3,FALSE),99),"ЛИШНИЙ КАНАЛ",IF(AND(AJ345&lt;&gt;"=",COUNTIFS(Линии[_модуль гр.],ET345,Линии[Канал (итог)],EV345,Линии[Канал],"&lt;&gt;=",Линии[Щит],A345)&gt;1),"ДУБЛЬ КАНАЛА","")))</f>
        <v/>
      </c>
      <c r="FD345">
        <f t="shared" si="500"/>
        <v>16</v>
      </c>
      <c r="FE345" t="str">
        <f t="shared" si="501"/>
        <v>1P С16А</v>
      </c>
      <c r="FF345">
        <f t="shared" si="502"/>
        <v>0</v>
      </c>
      <c r="FG345">
        <f t="shared" si="503"/>
        <v>0</v>
      </c>
      <c r="FH345" t="str">
        <f t="shared" si="504"/>
        <v/>
      </c>
      <c r="FI345">
        <f t="shared" si="505"/>
        <v>10</v>
      </c>
      <c r="FJ345" t="str">
        <f t="shared" si="506"/>
        <v/>
      </c>
      <c r="FK345" t="str">
        <f>IF(AND(D345="",EZ345=""),"",_xlfn.TEXTJOIN("; ",TRUE,IF(AND(D345&lt;&gt;"",DD345=""),"нет фазы",""),IF(AND(D345&lt;&gt;"",N(DT345)=0,CN345&lt;&gt;"Нет"),"нет мощности",""),IF(AND(EY345&lt;&gt;"",COUNTIFS(Линии[Щит],A345,Линии[Клемма (итог)],EY345)&gt;1),"дубль клеммы "&amp;EY345,""),IF(AND(FB345&lt;&gt;"",FB345&lt;&gt;"ok"),FB345,""),IF(FC345&lt;&gt;"",FC345,""),IF(AND(ISNUMBER(SEARCH("(5х",DS345)),N(DV345)=1),"5 жил на 1 фазе",""),IF(AND(AT345="R",AD345&lt;&gt;"",OR(N(EH345)=0,N(EH345)&gt;30)),"розетка без дифзащиты до 30 мА",""),IFERROR(IF(AND(ISNUMBER(CD345),CD345&gt;CE345),"потери "&amp;FIXED(CD345,1)&amp;" % &gt; "&amp;CE345&amp;" %",""),""),IFERROR(IF(LEFT(FJ345,4)="мало","Iкз мало — отключение &gt; 0,4 с",""),""),IF(AND(D345&lt;&gt;"",BD345=""),"не на схеме","")))</f>
        <v>потери 4,7 % &gt; 4 %</v>
      </c>
      <c r="FL345">
        <f>IF(AD345="","",_xlfn.LET(_xlpm.t,IFERROR(_xlfn.XLOOKUP(EP345,Каталог!$U$4:$U$500,Каталог!$G$4:$G$500),""),_xlpm.k,SEARCH("кА",_xlpm.t),IFERROR(--TRIM(RIGHT(SUBSTITUTE(MID(_xlpm.t,MAX(1,_xlpm.k-4),_xlpm.k-MAX(1,_xlpm.k-4))," ",REPT(" ",9)),5)),"")))</f>
        <v>6</v>
      </c>
      <c r="FM345" t="str">
        <f>IF(OR(FL345="",AD345=""),"",IF(_xlfn.XLOOKUP(A345,Щиты[Щит],Щиты[Iкз max на шинах, кА],"")="","",IF(FL345&lt;_xlfn.XLOOKUP(A345,Щиты[Щит],Щиты[Iкз max на шинах, кА]),"Icu "&amp;FL345&amp;" кА &lt; Iкз max","ok")))</f>
        <v/>
      </c>
      <c r="FN345" t="str">
        <f t="shared" si="507"/>
        <v>QF4|XT4</v>
      </c>
      <c r="FO345" t="str">
        <f t="shared" si="508"/>
        <v xml:space="preserve">QF4|XT4|кабель ВВГнг(А)-LS (3х2,5) → </v>
      </c>
      <c r="FP345" t="str" cm="1">
        <f t="array" ref="FP345">IF(FO345="","",_xlfn.LET(_xlpm.nd,_xlfn.TEXTSPLIT(FO345,"|"),IF(COLUMNS(_xlpm.nd)&gt;1,A345&amp;"¦"&amp;INDEX(_xlpm.nd,1)&amp;"¦"&amp;INDEX(_xlpm.nd,2),"")))</f>
        <v>ЩУОВ¦QF4¦XT4</v>
      </c>
      <c r="FQ345" t="str">
        <f t="shared" si="509"/>
        <v>OV.2.003Г.1¦</v>
      </c>
      <c r="FR345" t="str" cm="1">
        <f t="array" ref="FR345">IF(FO345="","",_xlfn.LET(_xlpm.nd,_xlfn.TEXTSPLIT(FO345,"|"),IF(COLUMNS(_xlpm.nd)&gt;2,A345&amp;"¦"&amp;INDEX(_xlpm.nd,2)&amp;"¦"&amp;INDEX(_xlpm.nd,3),"")))</f>
        <v xml:space="preserve">ЩУОВ¦XT4¦кабель ВВГнг(А)-LS (3х2,5) → </v>
      </c>
      <c r="FS345" t="str">
        <f t="shared" si="510"/>
        <v>OV.2.003Г.1¦</v>
      </c>
      <c r="FT345" t="str" cm="1">
        <f t="array" ref="FT345">IF(FO345="","",_xlfn.LET(_xlpm.nd,_xlfn.TEXTSPLIT(FO345,"|"),IF(COLUMNS(_xlpm.nd)&gt;3,A345&amp;"¦"&amp;INDEX(_xlpm.nd,3)&amp;"¦"&amp;INDEX(_xlpm.nd,4),"")))</f>
        <v/>
      </c>
      <c r="FU345" t="str">
        <f t="shared" si="511"/>
        <v/>
      </c>
      <c r="FV345" t="str" cm="1">
        <f t="array" ref="FV345">IF(FO345="","",_xlfn.LET(_xlpm.nd,_xlfn.TEXTSPLIT(FO345,"|"),IF(COLUMNS(_xlpm.nd)&gt;4,A345&amp;"¦"&amp;INDEX(_xlpm.nd,4)&amp;"¦"&amp;INDEX(_xlpm.nd,5),"")))</f>
        <v/>
      </c>
      <c r="FW345" t="str">
        <f t="shared" si="512"/>
        <v/>
      </c>
      <c r="FX345" t="str" cm="1">
        <f t="array" ref="FX345">IF(FO345="","",_xlfn.LET(_xlpm.nd,_xlfn.TEXTSPLIT(FO345,"|"),IF(COLUMNS(_xlpm.nd)&gt;5,A345&amp;"¦"&amp;INDEX(_xlpm.nd,5)&amp;"¦"&amp;INDEX(_xlpm.nd,6),"")))</f>
        <v/>
      </c>
      <c r="FY345" t="str">
        <f t="shared" si="513"/>
        <v/>
      </c>
      <c r="FZ345" t="str" cm="1">
        <f t="array" ref="FZ345">IF(FO345="","",_xlfn.LET(_xlpm.nd,_xlfn.TEXTSPLIT(FO345,"|"),IF(COLUMNS(_xlpm.nd)&gt;6,A345&amp;"¦"&amp;INDEX(_xlpm.nd,6)&amp;"¦"&amp;INDEX(_xlpm.nd,7),"")))</f>
        <v/>
      </c>
      <c r="GA345" t="str">
        <f t="shared" si="514"/>
        <v/>
      </c>
      <c r="GB345" t="str">
        <f t="shared" si="515"/>
        <v/>
      </c>
      <c r="GC345" t="str">
        <f t="shared" si="516"/>
        <v>QF4 → XT4</v>
      </c>
      <c r="GD345">
        <f t="shared" si="517"/>
        <v>1</v>
      </c>
      <c r="GE345">
        <f t="shared" si="518"/>
        <v>0</v>
      </c>
      <c r="GF345">
        <f t="shared" si="519"/>
        <v>0</v>
      </c>
      <c r="GG345" t="str">
        <f t="shared" si="520"/>
        <v/>
      </c>
      <c r="GH345" t="str">
        <f t="shared" si="521"/>
        <v/>
      </c>
      <c r="GI345" t="str">
        <f t="shared" si="522"/>
        <v/>
      </c>
      <c r="GJ345" t="str">
        <f t="shared" si="523"/>
        <v/>
      </c>
      <c r="GK345" t="str">
        <f>IF(D345="","",IFERROR(VLOOKUP(D345,УГО_спр,2,FALSE),IFERROR(VLOOKUP(AT345,УГО_спр,2,FALSE),IFERROR(VLOOKUP(LEFT(AT345,2),УГО_спр,2,FALSE),""))))</f>
        <v/>
      </c>
      <c r="GL345" t="str">
        <f>IF(D345="","",IF(OR(GK345="",GK345=0),"BOX",IFERROR(IF(VLOOKUP(GK345,УГО_блоки,3,FALSE)&amp;""&lt;&gt;"",VLOOKUP(GK345,УГО_блоки,3,FALSE),VLOOKUP(GK345,УГО_блоки,2,FALSE)),GK345)))</f>
        <v>BOX</v>
      </c>
      <c r="GM345">
        <f t="shared" si="524"/>
        <v>1</v>
      </c>
      <c r="GN345" t="str">
        <f>IF(EP345="","",IF(COUNTIF(EP$3:EP345,EP345)=1,MAX(GN$2:GN344)+1,""))</f>
        <v/>
      </c>
      <c r="GO345" t="str">
        <f>IF(AF345="","",IF(COUNTIF(AF$3:AF345,AF345)+COUNTIF(AG$2:AG344,AF345)+COUNTIF(AH$2:AH344,AF345)=1,MAX(GO$2:GQ344)+1,""))</f>
        <v/>
      </c>
      <c r="GP345" t="str">
        <f>IF(AG345="","",IF(COUNTIF(AF$3:AF345,AG345)+COUNTIF(AG$3:AG345,AG345)+COUNTIF(AH$2:AH344,AG345)=1,MAX(GO$2:GQ344,GO345)+1,""))</f>
        <v/>
      </c>
      <c r="GQ345" t="str">
        <f>IF(AH345="","",IF(COUNTIF(AF$3:AF345,AH345)+COUNTIF(AG$3:AG345,AH345)+COUNTIF(AH$3:AH345,AH345)=1,MAX(GO$2:GQ344,GO345,GP345)+1,""))</f>
        <v/>
      </c>
      <c r="GR345" t="str">
        <f t="shared" si="525"/>
        <v>3х2,5</v>
      </c>
      <c r="GS345" t="str">
        <f>IF(GR345="","",IF(COUNTIF(GR$3:GR345,GR345)=1,MAX(GS$2:GS344)+1,""))</f>
        <v/>
      </c>
      <c r="GT345" t="str">
        <f>IF(ES345="","",COUNTIF(ES$3:ES345,"?*"))</f>
        <v/>
      </c>
      <c r="GU345" t="str">
        <f>IF(OR(ES345="",EU345=""),"",IF(COUNTIFS(ES$3:ES345,"?*",EU$3:EU345,EU345)=1,MAX(GU$2:GU344)+1,""))</f>
        <v/>
      </c>
      <c r="GV345">
        <f t="shared" si="526"/>
        <v>1</v>
      </c>
      <c r="GW345">
        <f>IF(D345="","",COUNTIF(D$3:D345,"?*"))</f>
        <v>343</v>
      </c>
      <c r="GX345">
        <f>IF(EX345&lt;&gt;1,0,_xlfn.LET(_xlpm.k,MAX(IFERROR(--VLOOKUP(D345,УГО_спр,5,FALSE),0),IFERROR(--VLOOKUP(AT345,УГО_спр,5,FALSE),0),IFERROR(--VLOOKUP(LEFT(AT345,2),УГО_спр,5,FALSE),0)),IF(_xlpm.k&gt;0,_xlpm.k,IF(IFERROR(--LEFT(SUBSTITUTE(GR345,"x","х"),FIND("х",SUBSTITUTE(GR345,"x","х"))-1),3)&gt;3,Каталог!$S$9,1))))</f>
        <v>1</v>
      </c>
      <c r="GY345">
        <f t="shared" si="527"/>
        <v>0</v>
      </c>
    </row>
    <row r="346" spans="1:207" x14ac:dyDescent="0.3">
      <c r="A346" t="s">
        <v>774</v>
      </c>
      <c r="B346">
        <v>21</v>
      </c>
      <c r="C346" t="str">
        <f>IF(BD346="","",IF(BE346="вводной узел","узел ","")&amp;"л."&amp;(INT((BD346-1)/Столбцов_на_лист)+1)&amp;" / "&amp;(MOD(BD346-1,Столбцов_на_лист)+1))</f>
        <v>л.2 / 4</v>
      </c>
      <c r="D346" t="s">
        <v>1685</v>
      </c>
      <c r="E346" s="133" t="s">
        <v>1686</v>
      </c>
      <c r="G346">
        <v>2.5499999999999998</v>
      </c>
      <c r="H346">
        <v>5</v>
      </c>
      <c r="I346">
        <v>1</v>
      </c>
      <c r="J346">
        <v>230</v>
      </c>
      <c r="K346" t="s">
        <v>577</v>
      </c>
      <c r="O346">
        <v>1</v>
      </c>
      <c r="P346">
        <v>97</v>
      </c>
      <c r="Q346">
        <v>4</v>
      </c>
      <c r="R346">
        <v>90</v>
      </c>
      <c r="S346">
        <v>0</v>
      </c>
      <c r="T346">
        <v>1</v>
      </c>
      <c r="U346" t="s">
        <v>11</v>
      </c>
      <c r="V346">
        <v>3</v>
      </c>
      <c r="W346">
        <v>6</v>
      </c>
      <c r="X346">
        <v>16</v>
      </c>
      <c r="Z346" t="s">
        <v>613</v>
      </c>
      <c r="AA346" t="s">
        <v>818</v>
      </c>
      <c r="AD346" t="s">
        <v>517</v>
      </c>
      <c r="AK346" t="s">
        <v>488</v>
      </c>
      <c r="AR346" t="str">
        <f t="shared" si="441"/>
        <v>потери 6,7 % &gt; 4 %</v>
      </c>
      <c r="AS346" cm="1">
        <f t="array" ref="AS346">ROW()-ROW(Линии[#Headers])</f>
        <v>344</v>
      </c>
      <c r="AT346" t="str">
        <f t="shared" si="442"/>
        <v>OV</v>
      </c>
      <c r="AU346" t="str">
        <f t="shared" si="443"/>
        <v>2.1.1</v>
      </c>
      <c r="AV346" t="str">
        <f t="shared" si="444"/>
        <v>2</v>
      </c>
      <c r="AW346" t="str">
        <f t="shared" si="445"/>
        <v>1.1</v>
      </c>
      <c r="AX346" t="str">
        <f t="shared" si="446"/>
        <v>1</v>
      </c>
      <c r="AY346" t="str">
        <f>IF(D346="","",IF(ISERROR(SEARCH(".",D346)),IFERROR(VLOOKUP(D346,Потребители_обозначение,2,FALSE)&amp;"",""),IFERROR(IF(VLOOKUP(AT346,Потребители_обозначение,4,FALSE)=1,VLOOKUP(AT346,Потребители_обозначение,2,FALSE)&amp;" "&amp;VLOOKUP(AV346,Этаж_обозначение,2,FALSE)&amp;" Пом. №"&amp;AX346,VLOOKUP(AT346,Потребители_обозначение,2,FALSE)&amp;" Шлейф №"&amp;AV346),IFERROR(VLOOKUP(D346,Потребители_обозначение,2,FALSE),""))))</f>
        <v/>
      </c>
      <c r="AZ346" t="str">
        <f t="shared" si="447"/>
        <v>Обогревл ливнестоков Кровля бассейна</v>
      </c>
      <c r="BA346" t="str">
        <f>IF(F346&lt;&gt;"",F346,IF(AND(D346&lt;&gt;"",D346&lt;&gt;A346,ISNUMBER(_xlfn.XMATCH(D346,Щиты[Щит]))),D346,""))</f>
        <v/>
      </c>
      <c r="BB346">
        <f>IFERROR(_xlfn.XMATCH(A346,Щиты[Щит]),0)</f>
        <v>17</v>
      </c>
      <c r="BC346">
        <f>IFERROR(N(_xlfn.XLOOKUP(A346,Щиты[Щит],Щиты[Мест под вводной узел])),15)</f>
        <v>10</v>
      </c>
      <c r="BD346">
        <f t="shared" si="448"/>
        <v>21</v>
      </c>
      <c r="BE346" t="str">
        <f t="shared" si="449"/>
        <v>линии</v>
      </c>
      <c r="BF346">
        <f>IF(D346="","",IF(BA346&lt;&gt;"",IFERROR(_xlfn.XLOOKUP(BA346,Щиты[Щит],Щиты[Руст, кВт]),0),N(G346)))</f>
        <v>2.5499999999999998</v>
      </c>
      <c r="BG346">
        <f>IF(J346&lt;&gt;"",J346,IF(D346="","",IFERROR(IF(VLOOKUP(AT346,Потребители_обозначение,8,FALSE)=0,"",VLOOKUP(AT346,Потребители_обозначение,8,FALSE)),"")))</f>
        <v>230</v>
      </c>
      <c r="BH346">
        <f>IF(I346&lt;&gt;"",I346,IF(D346="","",IFERROR(IF(VLOOKUP(AT346,Потребители_обозначение,9,FALSE)=0,"",VLOOKUP(AT346,Потребители_обозначение,9,FALSE)),"")))</f>
        <v>1</v>
      </c>
      <c r="BI346" t="str">
        <f>IF(U346&lt;&gt;"",U346,IF(D346="","",IFERROR(IF(VLOOKUP(AT346,Потребители_обозначение,6,FALSE)=0,"",VLOOKUP(AT346,Потребители_обозначение,6,FALSE)),"")))</f>
        <v>мс</v>
      </c>
      <c r="BJ346">
        <f>IF(V346&lt;&gt;"",V346,IF(D346="","",IFERROR(IF(VLOOKUP(AT346,Потребители_обозначение,7,FALSE)=0,"",VLOOKUP(AT346,Потребители_обозначение,7,FALSE)),"")))</f>
        <v>3</v>
      </c>
      <c r="BK346">
        <f>IF(W346&lt;&gt;"",W346,IF(D346="","",IFERROR(IF(VLOOKUP(AT346,Потребители_обозначение,10,FALSE)=0,"",VLOOKUP(AT346,Потребители_обозначение,10,FALSE)),"")))</f>
        <v>6</v>
      </c>
      <c r="BL346">
        <f>IFERROR(VLOOKUP(AT346,Потребители_обозначение,5,FALSE),0)</f>
        <v>0</v>
      </c>
      <c r="BM346" cm="1">
        <f t="array" ref="BM346">IF(D346="","",IF(BA346&lt;&gt;"",IFERROR(_xlfn.XLOOKUP(BA346,Щиты[Щит],Щиты[cos φ]),0.95),IF(ISNUMBER(M346),M346,IFERROR(IF(BL346=2,_xlfn.IFS(BH346=3,VLOOKUP(BF346,Справочная_двигатели,8,FALSE),BH346=1,VLOOKUP(BF346,Справочная_двигатели,10,TRUE)),IF(AND(Методика="нормы 2026",CN346="Сил"),0.8,0.95)),0.95))))</f>
        <v>0.95</v>
      </c>
      <c r="BN346" cm="1">
        <f t="array" ref="BN346">IF(D346="","",IF(BA346&lt;&gt;"",IFERROR(_xlfn.XLOOKUP(BA346,Щиты[Щит],Щиты[Iр, А]),""),IFERROR(_xlfn.IFS(BH346=1,BF346/((Uн_лин/SQRT(3))*BM346),BH346=3,BF346/(SQRT(3)*Uн_лин*BM346)),"")))</f>
        <v>11.62297252447536</v>
      </c>
      <c r="BO346">
        <f>IF(D346="","",IF(N(X346)=0,IFERROR(VLOOKUP(BN346,Автомат_номиналы,2,TRUE),""),X346))</f>
        <v>16</v>
      </c>
      <c r="BP346">
        <f t="shared" si="450"/>
        <v>1</v>
      </c>
      <c r="BQ346">
        <f>IF(ISNUMBER(Y346),Y346,К_прокл)</f>
        <v>1</v>
      </c>
      <c r="BR346">
        <f t="shared" si="451"/>
        <v>2</v>
      </c>
      <c r="BS346" cm="1">
        <f t="array" ref="BS346">IF(D346="","",IF(N(BK346)&lt;&gt;0,BK346,IFERROR(_xlfn.LET(_xlpm.need,BO346/(BP346*BQ346),_xlpm.t,CHOOSE(BR346,Iдоп_1ж,Iдоп_2ж,Iдоп_3ж),_xlpm.k,_xlfn.XMATCH(_xlpm.need,_xlpm.t,1),IF(ISNA(_xlpm.k),"Не исп",INDEX(Iдоп_S,_xlpm.k))),"Не исп")))</f>
        <v>6</v>
      </c>
      <c r="BT346">
        <f>IFERROR(VLOOKUP(BS346,Кабель_сопротивление,3,FALSE),"")</f>
        <v>2.2499999999999999E-2</v>
      </c>
      <c r="BU346">
        <f>IFERROR(VLOOKUP(BS346,Кабель_сопротивление,2,FALSE),"")</f>
        <v>0.09</v>
      </c>
      <c r="BV346">
        <f t="shared" si="452"/>
        <v>97</v>
      </c>
      <c r="BW346">
        <f>IF(D346="","",IFERROR(IF(VLOOKUP(AT346,Потребители_обозначение,4,FALSE)=1,VLOOKUP(AT346,Потребители_обозначение,3,FALSE)*(H346*2-1)+BV346+VLOOKUP(AV346,Этаж_обозначение,3,FALSE)+VLOOKUP(AV346,Этаж_обозначение,4,FALSE),VLOOKUP(AT346,Потребители_обозначение,3,FALSE)*(H346*2-1)+BV346),BV346))</f>
        <v>97</v>
      </c>
      <c r="BX346">
        <f t="shared" si="453"/>
        <v>90</v>
      </c>
      <c r="BY346">
        <f t="shared" si="454"/>
        <v>0</v>
      </c>
      <c r="BZ346">
        <f t="shared" si="455"/>
        <v>2</v>
      </c>
      <c r="CA346">
        <f t="shared" si="456"/>
        <v>0.31</v>
      </c>
      <c r="CB346">
        <f t="shared" si="457"/>
        <v>8.0958373870640088</v>
      </c>
      <c r="CC346">
        <f>IFERROR(ROUNDUP(CB346/((Uн_лин/SQRT(3))*1000)*100,2),"")</f>
        <v>3.51</v>
      </c>
      <c r="CD346">
        <f>IF(ISNUMBER(CC346),CC346+IFERROR(_xlfn.XLOOKUP(A346,Щиты[Щит],Щиты[ΔU до шин, %]),0),"")</f>
        <v>6.72</v>
      </c>
      <c r="CE346">
        <f>IF(D346="","",IF(IFERROR(VLOOKUP(AT346,УГО_спр,2,FALSE),"")="Светильник",3,4)+IF(Методика="нормы 2026",MIN(0.5,MAX(0,N(BW346)-100)*0.005),0))</f>
        <v>4</v>
      </c>
      <c r="CF346" t="str">
        <f>IFERROR(VLOOKUP(BI346,Кабель_обозначение,2,FALSE),"")</f>
        <v>ВВГнг(А)-LS</v>
      </c>
      <c r="CG346" t="str">
        <f>IFERROR(IF(VLOOKUP(BI346,Кабель_обозначение,3,FALSE)=1,CF346&amp;" ("&amp;BJ346&amp;"х"&amp;BS346&amp;")",CF346),"")</f>
        <v>ВВГнг(А)-LS (3х6)</v>
      </c>
      <c r="CH346" t="str">
        <f t="shared" si="458"/>
        <v>ВВГнг(А)-LS (3х6)
L=97-3,51%</v>
      </c>
      <c r="CI346">
        <f>IFERROR(2*ρкз_Cu*BW346/BS346,"")</f>
        <v>0.8503666666666666</v>
      </c>
      <c r="CJ346">
        <f t="shared" si="459"/>
        <v>0.28291666666666671</v>
      </c>
      <c r="CK346" t="str">
        <f>IFERROR(IF(OR(D346="",NOT(ISNUMBER(BS346)),N(BW346)=0),"",_xlfn.XLOOKUP(A346,Щиты[Щит],Щиты[Zпетли на шинах, Ом])+CI346),"")</f>
        <v/>
      </c>
      <c r="CL346" t="str">
        <f>IF(ISNUMBER(CK346),c_min*(Uн_лин*1000/SQRT(3))/CK346,"")</f>
        <v/>
      </c>
      <c r="CM346" t="str">
        <f>IFERROR(IF(OR(D346="",NOT(ISNUMBER(BS346))),"",1.05*(Uн_лин*1000/SQRT(3))/(_xlfn.XLOOKUP(A346,Щиты[Щит],Щиты[Zmax на шинах, Ом])+CJ346)/1000),"")</f>
        <v/>
      </c>
      <c r="CN346" t="str">
        <f>IF(D346="","",IF(BA346&lt;&gt;"","Щит",IF(K346&lt;&gt;"",K346,IF(ISNUMBER(L346),"Сил",IF(IFERROR(_xlfn.XLOOKUP(AT346,Коды_код,Коды_группа)&amp;"","")="","Быт",_xlfn.XLOOKUP(AT346,Коды_код,Коды_группа)&amp;"")))))</f>
        <v>Пост</v>
      </c>
      <c r="CO346">
        <f>IF(CN346="Щит","щит",IF(CN346="","",IF(CN346="Быт",IFERROR(_xlfn.XLOOKUP(A346,Щиты[Щит],Щиты[Кс быт]),1),IF(CN346="Сил",IF(ISNUMBER(L346),L346,IF(Методика="нормы 2026",IFERROR(_xlfn.XLOOKUP(A346,Щиты[Щит],Щиты[Кс силовых (табл. 7.5)]),1),1)),IF(OR(CN346="Пост",CN346="Отоп"),1,IF(CN346="ВНГ",0.7,0))))))</f>
        <v>1</v>
      </c>
      <c r="CP346">
        <f t="shared" si="460"/>
        <v>1</v>
      </c>
      <c r="CQ346">
        <f t="shared" si="461"/>
        <v>2.5499999999999998</v>
      </c>
      <c r="CR346">
        <f t="shared" si="462"/>
        <v>0</v>
      </c>
      <c r="CS346">
        <f t="shared" si="463"/>
        <v>0</v>
      </c>
      <c r="CT346">
        <f t="shared" si="464"/>
        <v>2.5499999999999998</v>
      </c>
      <c r="CU346">
        <f t="shared" si="465"/>
        <v>0</v>
      </c>
      <c r="CV346">
        <f t="shared" si="466"/>
        <v>0</v>
      </c>
      <c r="CW346">
        <f t="shared" si="467"/>
        <v>2.5499999999999998</v>
      </c>
      <c r="CX346">
        <f t="shared" si="468"/>
        <v>2.4224999999999999</v>
      </c>
      <c r="CY346">
        <f t="shared" si="469"/>
        <v>2</v>
      </c>
      <c r="CZ346" t="str">
        <f t="shared" si="470"/>
        <v>L2</v>
      </c>
      <c r="DA346" cm="1">
        <f t="array" ref="DA346">IFERROR(IF(BL346=2,_xlfn.IFS(BH346=3,VLOOKUP(BF346,Справочная_двигатели,3,FALSE),BH346=1,VLOOKUP(BF346,Справочная_двигатели,5,TRUE)),0),0)</f>
        <v>0</v>
      </c>
      <c r="DB346">
        <f>IFERROR(IF(BL346=3,VLOOKUP(BF346,Справочная_ЛЭД,2,TRUE),0),0)</f>
        <v>0</v>
      </c>
      <c r="DC346">
        <f t="shared" si="471"/>
        <v>0</v>
      </c>
      <c r="DD346" t="str">
        <f t="shared" si="472"/>
        <v>L1</v>
      </c>
      <c r="DE346" t="str" cm="1">
        <f t="array" ref="DE346">IF(D346="","",IFERROR(INDEX({"I особая","I","II","III"},MATCH(TRIM(AA346&amp;""),{"I особая","I","II","III"},0)),"III"))</f>
        <v>II</v>
      </c>
      <c r="DF346" t="str">
        <f>IF(D346="","",IF(TRIM(AB346&amp;"")&lt;&gt;"",IF(LOWER(TRIM(AB346&amp;""))="да","да","нет"),IF(IFERROR(_xlfn.XLOOKUP(AT346,Коды_код,Коды_пожарная),"")="да","да","нет")))</f>
        <v>нет</v>
      </c>
      <c r="DG346" t="str">
        <f t="shared" si="473"/>
        <v/>
      </c>
      <c r="DH346" t="str">
        <f t="shared" si="474"/>
        <v>основная</v>
      </c>
      <c r="DI346">
        <f t="shared" si="475"/>
        <v>1</v>
      </c>
      <c r="DJ346" t="str" cm="1">
        <f t="array" ref="DJ346">IF(D346="","",_xlfn.LET(_xlpm.t,IFERROR(_xlfn.XLOOKUP(1,(Шины[Шина]=DH346)*(((Шины[Щит]=A346)+(Шины[Щит]=""))&gt;0),Шины[Тип]),"")&amp;"",IF(_xlpm.t&lt;&gt;"",_xlpm.t,IF(ISNUMBER(SEARCH("ИБП",DH346)),"ИБП",IF(ISNUMBER(SEARCH("ДГУ",DH346)),"ДГУ","Ввод "&amp;DI346)))))</f>
        <v>Ввод 1</v>
      </c>
      <c r="DK346" t="str">
        <f t="shared" si="476"/>
        <v>Ввод 1</v>
      </c>
      <c r="DL346" t="str">
        <f>IF(D346="","",IF(OR(DJ346="ИБП",DJ346="ДГУ"),"I особая",IF(DJ346="Одиночная","III",_xlfn.XLOOKUP(A346,Щиты[Щит],Щиты[Категория шины «Ввод»],"III"))))</f>
        <v>II</v>
      </c>
      <c r="DM346">
        <f>IF(D346="",0,IFERROR(MATCH(DE346,{"III","II","I","I особая"},0),1))</f>
        <v>2</v>
      </c>
      <c r="DN346">
        <f t="shared" si="477"/>
        <v>2</v>
      </c>
      <c r="DO346" t="str">
        <f>IF(D346="","",IF(DM346&gt;IFERROR(MATCH(DL346,{"III","II","I","I особая"},0),1),"НЕ ОБЕСПЕЧЕНА","ОК"))</f>
        <v>ОК</v>
      </c>
      <c r="DP346" t="str">
        <f>IF(A346="","",_xlfn.XLOOKUP(A346,Щиты[Щит],Щиты[Путь],""))</f>
        <v>|ГРЩ-ЖД|ЩУОВ|</v>
      </c>
      <c r="DQ346" t="str">
        <f>IF(D346="","",IF(Z346&lt;&gt;"",Z346,IF(IFERROR(_xlfn.XLOOKUP(AT346,Коды_код,Коды_вид)&amp;"","")="","Прочее",_xlfn.XLOOKUP(AT346,Коды_код,Коды_вид)&amp;"")))</f>
        <v>Обогрев водостоков и кровли</v>
      </c>
      <c r="DR346">
        <f>IF(BD346="","",INT((BD346-1)/Столбцов_на_лист)+1)</f>
        <v>2</v>
      </c>
      <c r="DS346" t="str">
        <f t="shared" si="478"/>
        <v>ВВГнг(А)-LS (3х6) L=97-3,51%</v>
      </c>
      <c r="DT346">
        <f t="shared" si="479"/>
        <v>2.5499999999999998</v>
      </c>
      <c r="DU346">
        <f t="shared" si="480"/>
        <v>11.629999999999999</v>
      </c>
      <c r="DV346">
        <f t="shared" si="481"/>
        <v>1</v>
      </c>
      <c r="DW346">
        <f>IF(AT346="",0,_xlfn.LET(_xlpm.v,IFERROR(VLOOKUP(D346,УГО_спр,3,FALSE),IFERROR(VLOOKUP(AT346,УГО_спр,3,FALSE),IFERROR(VLOOKUP(LEFT(AT346,2),УГО_спр,3,FALSE),""))),IF(_xlpm.v="да",30,IF(ISNUMBER(_xlpm.v),_xlpm.v,0))))</f>
        <v>0</v>
      </c>
      <c r="DX346">
        <f t="shared" si="482"/>
        <v>0</v>
      </c>
      <c r="DY346">
        <f>IF(BD346="","",IF(AD346&lt;&gt;"",COUNTIFS(A$3:A346,A346,AD$3:AD346,"?*"),IF(OR(OR(AS346=1,A346&lt;&gt;A345),AL346="вручную"),"",IF(AS346=1,"",DZ345))))</f>
        <v>5</v>
      </c>
      <c r="DZ346">
        <f t="shared" si="483"/>
        <v>5</v>
      </c>
      <c r="EA346">
        <f>IF(D346="",0,MAX(IFERROR(--X346,0),IFERROR(--VLOOKUP(D346,УГО_спр,4,FALSE),IFERROR(--VLOOKUP(AT346,УГО_спр,4,FALSE),IFERROR(--VLOOKUP(LEFT(AT346,2),УГО_спр,4,FALSE),0)))))</f>
        <v>16</v>
      </c>
      <c r="EB346">
        <f>IF(D346="","",IFERROR(LOOKUP(INDEX(CHOOSE(BR346,Iдоп_1ж,Iдоп_2ж,Iдоп_3ж),MATCH(BS346,Iдоп_S,0))*BP346*BQ346,{6,10,16,20,25,32,40,50,63,80,100,125,160,200,250,315,400,500,630}),""))</f>
        <v>50</v>
      </c>
      <c r="EC346">
        <f>IF(AD346="","",SUMIFS(Линии[_Ток схемы],Линии[_гр.],DY346,Линии[Щит],A346,Линии[_в кабель выше],0))</f>
        <v>11.629999999999999</v>
      </c>
      <c r="ED346">
        <f>IF(AD346="","",IFERROR(VLOOKUP(EC346,Автомат_номиналы,2,TRUE),""))</f>
        <v>16</v>
      </c>
      <c r="EE346">
        <f>IF(AD346="","",MAX(N(ED346),_xlfn.MAXIFS(Линии[_мин. по типу],Линии[_гр.],DY346,Линии[Щит],A346)))</f>
        <v>16</v>
      </c>
      <c r="EF346">
        <f>IF(AD346="","",_xlfn.MINIFS(Линии[_макс. автомат по кабелю],Линии[_гр.],DY346,Линии[Щит],A346))</f>
        <v>50</v>
      </c>
      <c r="EG346">
        <f>IF(AD346="","",MAX(1,_xlfn.MAXIFS(Линии[_фаз],Линии[_гр.],DY346,Линии[Щит],A346)))</f>
        <v>1</v>
      </c>
      <c r="EH346">
        <f>IF(AD346="","",IF(AND(AD346&lt;&gt;"авто",AD346&lt;&gt;"+"),IF(ISNUMBER(SEARCH("мА",AD346)),IFERROR(--TRIM(RIGHT(SUBSTITUTE(LEFT(AD346,SEARCH("мА",AD346)-1)," ",REPT(" ",9)),6)),30),0),IF(AE346="нет",0,IF(ISNUMBER(AE346),AE346,IF(AE346="да",30,_xlfn.MINIFS(Линии[_дифзащита по коду, мА],Линии[_гр.],DY346,Линии[Щит],A346,Линии[_дифзащита по коду, мА],"&gt;0"))))))</f>
        <v>0</v>
      </c>
      <c r="EI346">
        <f t="shared" si="484"/>
        <v>0</v>
      </c>
      <c r="EJ346" t="str">
        <f t="shared" si="485"/>
        <v>QF5</v>
      </c>
      <c r="EK346" t="str">
        <f t="shared" si="486"/>
        <v>QF5</v>
      </c>
      <c r="EL346" t="str">
        <f t="shared" si="487"/>
        <v/>
      </c>
      <c r="EM346">
        <f t="shared" si="488"/>
        <v>0</v>
      </c>
      <c r="EN346">
        <f>IF(AD346="","",IF(EM346=1,MAX(EE346,Мин_автомат_БП),EE346))</f>
        <v>16</v>
      </c>
      <c r="EO346" t="str">
        <f t="shared" si="489"/>
        <v>1P</v>
      </c>
      <c r="EP346" t="str">
        <f t="shared" si="490"/>
        <v>1P С16А</v>
      </c>
      <c r="EQ346">
        <f t="shared" si="491"/>
        <v>16</v>
      </c>
      <c r="ER346" t="str">
        <f>IF(OR(AI346="",AI346="-"),"",IFERROR(VLOOKUP(AI346,Модули_спр,2,FALSE),"R"))</f>
        <v/>
      </c>
      <c r="ES346" t="str">
        <f>IF(ER346="","",ER346&amp;"."&amp;COUNTIFS(A$3:A346,A346,ER$3:ER346,ER346))</f>
        <v/>
      </c>
      <c r="ET346" t="str">
        <f t="shared" si="492"/>
        <v/>
      </c>
      <c r="EU346" t="str">
        <f t="shared" si="493"/>
        <v/>
      </c>
      <c r="EV346" t="str">
        <f t="shared" si="494"/>
        <v/>
      </c>
      <c r="EW346" t="str">
        <f t="shared" si="495"/>
        <v/>
      </c>
      <c r="EX346">
        <f t="shared" si="496"/>
        <v>1</v>
      </c>
      <c r="EY346" t="str">
        <f>IF(AK346="нет","",IF(AK346&lt;&gt;"",AK346,IF(EX346=1,"XT"&amp;COUNTIFS(A$3:A346,A346,EX$3:EX346,1),"")))</f>
        <v/>
      </c>
      <c r="EZ346" t="str">
        <f t="shared" si="497"/>
        <v>QF5</v>
      </c>
      <c r="FA346" t="str">
        <f t="shared" si="498"/>
        <v/>
      </c>
      <c r="FB346" t="str">
        <f t="shared" si="499"/>
        <v>ok</v>
      </c>
      <c r="FC346" t="str">
        <f>IF(OR(EV346="",ET346=""),"",IF(EV346&gt;IFERROR(VLOOKUP(EU346,Модули_спр,3,FALSE),99),"ЛИШНИЙ КАНАЛ",IF(AND(AJ346&lt;&gt;"=",COUNTIFS(Линии[_модуль гр.],ET346,Линии[Канал (итог)],EV346,Линии[Канал],"&lt;&gt;=",Линии[Щит],A346)&gt;1),"ДУБЛЬ КАНАЛА","")))</f>
        <v/>
      </c>
      <c r="FD346">
        <f t="shared" si="500"/>
        <v>16</v>
      </c>
      <c r="FE346" t="str">
        <f t="shared" si="501"/>
        <v>1P С16А</v>
      </c>
      <c r="FF346">
        <f t="shared" si="502"/>
        <v>0</v>
      </c>
      <c r="FG346">
        <f t="shared" si="503"/>
        <v>0</v>
      </c>
      <c r="FH346" t="str">
        <f t="shared" si="504"/>
        <v/>
      </c>
      <c r="FI346">
        <f t="shared" si="505"/>
        <v>10</v>
      </c>
      <c r="FJ346" t="str">
        <f t="shared" si="506"/>
        <v/>
      </c>
      <c r="FK346" t="str">
        <f>IF(AND(D346="",EZ346=""),"",_xlfn.TEXTJOIN("; ",TRUE,IF(AND(D346&lt;&gt;"",DD346=""),"нет фазы",""),IF(AND(D346&lt;&gt;"",N(DT346)=0,CN346&lt;&gt;"Нет"),"нет мощности",""),IF(AND(EY346&lt;&gt;"",COUNTIFS(Линии[Щит],A346,Линии[Клемма (итог)],EY346)&gt;1),"дубль клеммы "&amp;EY346,""),IF(AND(FB346&lt;&gt;"",FB346&lt;&gt;"ok"),FB346,""),IF(FC346&lt;&gt;"",FC346,""),IF(AND(ISNUMBER(SEARCH("(5х",DS346)),N(DV346)=1),"5 жил на 1 фазе",""),IF(AND(AT346="R",AD346&lt;&gt;"",OR(N(EH346)=0,N(EH346)&gt;30)),"розетка без дифзащиты до 30 мА",""),IFERROR(IF(AND(ISNUMBER(CD346),CD346&gt;CE346),"потери "&amp;FIXED(CD346,1)&amp;" % &gt; "&amp;CE346&amp;" %",""),""),IFERROR(IF(LEFT(FJ346,4)="мало","Iкз мало — отключение &gt; 0,4 с",""),""),IF(AND(D346&lt;&gt;"",BD346=""),"не на схеме","")))</f>
        <v>потери 6,7 % &gt; 4 %</v>
      </c>
      <c r="FL346">
        <f>IF(AD346="","",_xlfn.LET(_xlpm.t,IFERROR(_xlfn.XLOOKUP(EP346,Каталог!$U$4:$U$500,Каталог!$G$4:$G$500),""),_xlpm.k,SEARCH("кА",_xlpm.t),IFERROR(--TRIM(RIGHT(SUBSTITUTE(MID(_xlpm.t,MAX(1,_xlpm.k-4),_xlpm.k-MAX(1,_xlpm.k-4))," ",REPT(" ",9)),5)),"")))</f>
        <v>6</v>
      </c>
      <c r="FM346" t="str">
        <f>IF(OR(FL346="",AD346=""),"",IF(_xlfn.XLOOKUP(A346,Щиты[Щит],Щиты[Iкз max на шинах, кА],"")="","",IF(FL346&lt;_xlfn.XLOOKUP(A346,Щиты[Щит],Щиты[Iкз max на шинах, кА]),"Icu "&amp;FL346&amp;" кА &lt; Iкз max","ok")))</f>
        <v/>
      </c>
      <c r="FN346" t="str">
        <f t="shared" si="507"/>
        <v>QF5</v>
      </c>
      <c r="FO346" t="str">
        <f t="shared" si="508"/>
        <v>QF5|кабель ВВГнг(А)-LS (3х6) → Обогревл ливнестоков Кровля бассейна</v>
      </c>
      <c r="FP346" t="str" cm="1">
        <f t="array" ref="FP346">IF(FO346="","",_xlfn.LET(_xlpm.nd,_xlfn.TEXTSPLIT(FO346,"|"),IF(COLUMNS(_xlpm.nd)&gt;1,A346&amp;"¦"&amp;INDEX(_xlpm.nd,1)&amp;"¦"&amp;INDEX(_xlpm.nd,2),"")))</f>
        <v>ЩУОВ¦QF5¦кабель ВВГнг(А)-LS (3х6) → Обогревл ливнестоков Кровля бассейна</v>
      </c>
      <c r="FQ346" t="str">
        <f t="shared" si="509"/>
        <v>OV.2.1.1¦Обогревл ливнестоков Кровля бассейна</v>
      </c>
      <c r="FR346" t="str" cm="1">
        <f t="array" ref="FR346">IF(FO346="","",_xlfn.LET(_xlpm.nd,_xlfn.TEXTSPLIT(FO346,"|"),IF(COLUMNS(_xlpm.nd)&gt;2,A346&amp;"¦"&amp;INDEX(_xlpm.nd,2)&amp;"¦"&amp;INDEX(_xlpm.nd,3),"")))</f>
        <v/>
      </c>
      <c r="FS346" t="str">
        <f t="shared" si="510"/>
        <v/>
      </c>
      <c r="FT346" t="str" cm="1">
        <f t="array" ref="FT346">IF(FO346="","",_xlfn.LET(_xlpm.nd,_xlfn.TEXTSPLIT(FO346,"|"),IF(COLUMNS(_xlpm.nd)&gt;3,A346&amp;"¦"&amp;INDEX(_xlpm.nd,3)&amp;"¦"&amp;INDEX(_xlpm.nd,4),"")))</f>
        <v/>
      </c>
      <c r="FU346" t="str">
        <f t="shared" si="511"/>
        <v/>
      </c>
      <c r="FV346" t="str" cm="1">
        <f t="array" ref="FV346">IF(FO346="","",_xlfn.LET(_xlpm.nd,_xlfn.TEXTSPLIT(FO346,"|"),IF(COLUMNS(_xlpm.nd)&gt;4,A346&amp;"¦"&amp;INDEX(_xlpm.nd,4)&amp;"¦"&amp;INDEX(_xlpm.nd,5),"")))</f>
        <v/>
      </c>
      <c r="FW346" t="str">
        <f t="shared" si="512"/>
        <v/>
      </c>
      <c r="FX346" t="str" cm="1">
        <f t="array" ref="FX346">IF(FO346="","",_xlfn.LET(_xlpm.nd,_xlfn.TEXTSPLIT(FO346,"|"),IF(COLUMNS(_xlpm.nd)&gt;5,A346&amp;"¦"&amp;INDEX(_xlpm.nd,5)&amp;"¦"&amp;INDEX(_xlpm.nd,6),"")))</f>
        <v/>
      </c>
      <c r="FY346" t="str">
        <f t="shared" si="513"/>
        <v/>
      </c>
      <c r="FZ346" t="str" cm="1">
        <f t="array" ref="FZ346">IF(FO346="","",_xlfn.LET(_xlpm.nd,_xlfn.TEXTSPLIT(FO346,"|"),IF(COLUMNS(_xlpm.nd)&gt;6,A346&amp;"¦"&amp;INDEX(_xlpm.nd,6)&amp;"¦"&amp;INDEX(_xlpm.nd,7),"")))</f>
        <v/>
      </c>
      <c r="GA346" t="str">
        <f t="shared" si="514"/>
        <v/>
      </c>
      <c r="GB346" t="str">
        <f t="shared" si="515"/>
        <v/>
      </c>
      <c r="GC346" t="str">
        <f t="shared" si="516"/>
        <v>QF5</v>
      </c>
      <c r="GD346">
        <f t="shared" si="517"/>
        <v>1</v>
      </c>
      <c r="GE346">
        <f t="shared" si="518"/>
        <v>0</v>
      </c>
      <c r="GF346">
        <f t="shared" si="519"/>
        <v>0</v>
      </c>
      <c r="GG346" t="str">
        <f t="shared" si="520"/>
        <v/>
      </c>
      <c r="GH346" t="str">
        <f t="shared" si="521"/>
        <v/>
      </c>
      <c r="GI346" t="str">
        <f t="shared" si="522"/>
        <v/>
      </c>
      <c r="GJ346" t="str">
        <f t="shared" si="523"/>
        <v/>
      </c>
      <c r="GK346" t="str">
        <f>IF(D346="","",IFERROR(VLOOKUP(D346,УГО_спр,2,FALSE),IFERROR(VLOOKUP(AT346,УГО_спр,2,FALSE),IFERROR(VLOOKUP(LEFT(AT346,2),УГО_спр,2,FALSE),""))))</f>
        <v/>
      </c>
      <c r="GL346" t="str">
        <f>IF(D346="","",IF(OR(GK346="",GK346=0),"BOX",IFERROR(IF(VLOOKUP(GK346,УГО_блоки,3,FALSE)&amp;""&lt;&gt;"",VLOOKUP(GK346,УГО_блоки,3,FALSE),VLOOKUP(GK346,УГО_блоки,2,FALSE)),GK346)))</f>
        <v>BOX</v>
      </c>
      <c r="GM346">
        <f t="shared" si="524"/>
        <v>1</v>
      </c>
      <c r="GN346" t="str">
        <f>IF(EP346="","",IF(COUNTIF(EP$3:EP346,EP346)=1,MAX(GN$2:GN345)+1,""))</f>
        <v/>
      </c>
      <c r="GO346" t="str">
        <f>IF(AF346="","",IF(COUNTIF(AF$3:AF346,AF346)+COUNTIF(AG$2:AG345,AF346)+COUNTIF(AH$2:AH345,AF346)=1,MAX(GO$2:GQ345)+1,""))</f>
        <v/>
      </c>
      <c r="GP346" t="str">
        <f>IF(AG346="","",IF(COUNTIF(AF$3:AF346,AG346)+COUNTIF(AG$3:AG346,AG346)+COUNTIF(AH$2:AH345,AG346)=1,MAX(GO$2:GQ345,GO346)+1,""))</f>
        <v/>
      </c>
      <c r="GQ346" t="str">
        <f>IF(AH346="","",IF(COUNTIF(AF$3:AF346,AH346)+COUNTIF(AG$3:AG346,AH346)+COUNTIF(AH$3:AH346,AH346)=1,MAX(GO$2:GQ345,GO346,GP346)+1,""))</f>
        <v/>
      </c>
      <c r="GR346" t="str">
        <f t="shared" si="525"/>
        <v>3х6</v>
      </c>
      <c r="GS346" t="str">
        <f>IF(GR346="","",IF(COUNTIF(GR$3:GR346,GR346)=1,MAX(GS$2:GS345)+1,""))</f>
        <v/>
      </c>
      <c r="GT346" t="str">
        <f>IF(ES346="","",COUNTIF(ES$3:ES346,"?*"))</f>
        <v/>
      </c>
      <c r="GU346" t="str">
        <f>IF(OR(ES346="",EU346=""),"",IF(COUNTIFS(ES$3:ES346,"?*",EU$3:EU346,EU346)=1,MAX(GU$2:GU345)+1,""))</f>
        <v/>
      </c>
      <c r="GV346">
        <f t="shared" si="526"/>
        <v>1</v>
      </c>
      <c r="GW346">
        <f>IF(D346="","",COUNTIF(D$3:D346,"?*"))</f>
        <v>344</v>
      </c>
      <c r="GX346">
        <f>IF(EX346&lt;&gt;1,0,_xlfn.LET(_xlpm.k,MAX(IFERROR(--VLOOKUP(D346,УГО_спр,5,FALSE),0),IFERROR(--VLOOKUP(AT346,УГО_спр,5,FALSE),0),IFERROR(--VLOOKUP(LEFT(AT346,2),УГО_спр,5,FALSE),0)),IF(_xlpm.k&gt;0,_xlpm.k,IF(IFERROR(--LEFT(SUBSTITUTE(GR346,"x","х"),FIND("х",SUBSTITUTE(GR346,"x","х"))-1),3)&gt;3,Каталог!$S$9,1))))</f>
        <v>1</v>
      </c>
      <c r="GY346">
        <f t="shared" si="527"/>
        <v>0</v>
      </c>
    </row>
    <row r="347" spans="1:207" x14ac:dyDescent="0.3">
      <c r="A347" t="s">
        <v>774</v>
      </c>
      <c r="B347">
        <v>22</v>
      </c>
      <c r="C347" t="str">
        <f>IF(BD347="","",IF(BE347="вводной узел","узел ","")&amp;"л."&amp;(INT((BD347-1)/Столбцов_на_лист)+1)&amp;" / "&amp;(MOD(BD347-1,Столбцов_на_лист)+1))</f>
        <v>л.2 / 5</v>
      </c>
      <c r="D347" t="s">
        <v>1687</v>
      </c>
      <c r="E347" s="133" t="s">
        <v>1688</v>
      </c>
      <c r="G347">
        <v>2.04</v>
      </c>
      <c r="H347">
        <v>4</v>
      </c>
      <c r="I347">
        <v>1</v>
      </c>
      <c r="J347">
        <v>230</v>
      </c>
      <c r="K347" t="s">
        <v>577</v>
      </c>
      <c r="O347">
        <v>3</v>
      </c>
      <c r="P347">
        <v>84</v>
      </c>
      <c r="Q347">
        <v>7</v>
      </c>
      <c r="R347">
        <v>42</v>
      </c>
      <c r="S347">
        <v>35</v>
      </c>
      <c r="T347">
        <v>1</v>
      </c>
      <c r="U347" t="s">
        <v>11</v>
      </c>
      <c r="V347">
        <v>3</v>
      </c>
      <c r="W347">
        <v>4</v>
      </c>
      <c r="X347">
        <v>16</v>
      </c>
      <c r="Z347" t="s">
        <v>613</v>
      </c>
      <c r="AA347" t="s">
        <v>818</v>
      </c>
      <c r="AD347" t="s">
        <v>517</v>
      </c>
      <c r="AK347" t="s">
        <v>488</v>
      </c>
      <c r="AR347" t="str">
        <f t="shared" si="441"/>
        <v>потери 6,9 % &gt; 4 %</v>
      </c>
      <c r="AS347" cm="1">
        <f t="array" ref="AS347">ROW()-ROW(Линии[#Headers])</f>
        <v>345</v>
      </c>
      <c r="AT347" t="str">
        <f t="shared" si="442"/>
        <v>OV</v>
      </c>
      <c r="AU347" t="str">
        <f t="shared" si="443"/>
        <v>2.1.2</v>
      </c>
      <c r="AV347" t="str">
        <f t="shared" si="444"/>
        <v>2</v>
      </c>
      <c r="AW347" t="str">
        <f t="shared" si="445"/>
        <v>1.2</v>
      </c>
      <c r="AX347" t="str">
        <f t="shared" si="446"/>
        <v>1</v>
      </c>
      <c r="AY347" t="str">
        <f>IF(D347="","",IF(ISERROR(SEARCH(".",D347)),IFERROR(VLOOKUP(D347,Потребители_обозначение,2,FALSE)&amp;"",""),IFERROR(IF(VLOOKUP(AT347,Потребители_обозначение,4,FALSE)=1,VLOOKUP(AT347,Потребители_обозначение,2,FALSE)&amp;" "&amp;VLOOKUP(AV347,Этаж_обозначение,2,FALSE)&amp;" Пом. №"&amp;AX347,VLOOKUP(AT347,Потребители_обозначение,2,FALSE)&amp;" Шлейф №"&amp;AV347),IFERROR(VLOOKUP(D347,Потребители_обозначение,2,FALSE),""))))</f>
        <v/>
      </c>
      <c r="AZ347" t="str">
        <f t="shared" si="447"/>
        <v>Обогревл ливнестоков Второй этаж</v>
      </c>
      <c r="BA347" t="str">
        <f>IF(F347&lt;&gt;"",F347,IF(AND(D347&lt;&gt;"",D347&lt;&gt;A347,ISNUMBER(_xlfn.XMATCH(D347,Щиты[Щит]))),D347,""))</f>
        <v/>
      </c>
      <c r="BB347">
        <f>IFERROR(_xlfn.XMATCH(A347,Щиты[Щит]),0)</f>
        <v>17</v>
      </c>
      <c r="BC347">
        <f>IFERROR(N(_xlfn.XLOOKUP(A347,Щиты[Щит],Щиты[Мест под вводной узел])),15)</f>
        <v>10</v>
      </c>
      <c r="BD347">
        <f t="shared" si="448"/>
        <v>22</v>
      </c>
      <c r="BE347" t="str">
        <f t="shared" si="449"/>
        <v>линии</v>
      </c>
      <c r="BF347">
        <f>IF(D347="","",IF(BA347&lt;&gt;"",IFERROR(_xlfn.XLOOKUP(BA347,Щиты[Щит],Щиты[Руст, кВт]),0),N(G347)))</f>
        <v>2.04</v>
      </c>
      <c r="BG347">
        <f>IF(J347&lt;&gt;"",J347,IF(D347="","",IFERROR(IF(VLOOKUP(AT347,Потребители_обозначение,8,FALSE)=0,"",VLOOKUP(AT347,Потребители_обозначение,8,FALSE)),"")))</f>
        <v>230</v>
      </c>
      <c r="BH347">
        <f>IF(I347&lt;&gt;"",I347,IF(D347="","",IFERROR(IF(VLOOKUP(AT347,Потребители_обозначение,9,FALSE)=0,"",VLOOKUP(AT347,Потребители_обозначение,9,FALSE)),"")))</f>
        <v>1</v>
      </c>
      <c r="BI347" t="str">
        <f>IF(U347&lt;&gt;"",U347,IF(D347="","",IFERROR(IF(VLOOKUP(AT347,Потребители_обозначение,6,FALSE)=0,"",VLOOKUP(AT347,Потребители_обозначение,6,FALSE)),"")))</f>
        <v>мс</v>
      </c>
      <c r="BJ347">
        <f>IF(V347&lt;&gt;"",V347,IF(D347="","",IFERROR(IF(VLOOKUP(AT347,Потребители_обозначение,7,FALSE)=0,"",VLOOKUP(AT347,Потребители_обозначение,7,FALSE)),"")))</f>
        <v>3</v>
      </c>
      <c r="BK347">
        <f>IF(W347&lt;&gt;"",W347,IF(D347="","",IFERROR(IF(VLOOKUP(AT347,Потребители_обозначение,10,FALSE)=0,"",VLOOKUP(AT347,Потребители_обозначение,10,FALSE)),"")))</f>
        <v>4</v>
      </c>
      <c r="BL347">
        <f>IFERROR(VLOOKUP(AT347,Потребители_обозначение,5,FALSE),0)</f>
        <v>0</v>
      </c>
      <c r="BM347" cm="1">
        <f t="array" ref="BM347">IF(D347="","",IF(BA347&lt;&gt;"",IFERROR(_xlfn.XLOOKUP(BA347,Щиты[Щит],Щиты[cos φ]),0.95),IF(ISNUMBER(M347),M347,IFERROR(IF(BL347=2,_xlfn.IFS(BH347=3,VLOOKUP(BF347,Справочная_двигатели,8,FALSE),BH347=1,VLOOKUP(BF347,Справочная_двигатели,10,TRUE)),IF(AND(Методика="нормы 2026",CN347="Сил"),0.8,0.95)),0.95))))</f>
        <v>0.95</v>
      </c>
      <c r="BN347" cm="1">
        <f t="array" ref="BN347">IF(D347="","",IF(BA347&lt;&gt;"",IFERROR(_xlfn.XLOOKUP(BA347,Щиты[Щит],Щиты[Iр, А]),""),IFERROR(_xlfn.IFS(BH347=1,BF347/((Uн_лин/SQRT(3))*BM347),BH347=3,BF347/(SQRT(3)*Uн_лин*BM347)),"")))</f>
        <v>9.298378019580289</v>
      </c>
      <c r="BO347">
        <f>IF(D347="","",IF(N(X347)=0,IFERROR(VLOOKUP(BN347,Автомат_номиналы,2,TRUE),""),X347))</f>
        <v>16</v>
      </c>
      <c r="BP347">
        <f t="shared" si="450"/>
        <v>1</v>
      </c>
      <c r="BQ347">
        <f>IF(ISNUMBER(Y347),Y347,К_прокл)</f>
        <v>1</v>
      </c>
      <c r="BR347">
        <f t="shared" si="451"/>
        <v>2</v>
      </c>
      <c r="BS347" cm="1">
        <f t="array" ref="BS347">IF(D347="","",IF(N(BK347)&lt;&gt;0,BK347,IFERROR(_xlfn.LET(_xlpm.need,BO347/(BP347*BQ347),_xlpm.t,CHOOSE(BR347,Iдоп_1ж,Iдоп_2ж,Iдоп_3ж),_xlpm.k,_xlfn.XMATCH(_xlpm.need,_xlpm.t,1),IF(ISNA(_xlpm.k),"Не исп",INDEX(Iдоп_S,_xlpm.k))),"Не исп")))</f>
        <v>4</v>
      </c>
      <c r="BT347">
        <f>IFERROR(VLOOKUP(BS347,Кабель_сопротивление,3,FALSE),"")</f>
        <v>2.2499999999999999E-2</v>
      </c>
      <c r="BU347">
        <f>IFERROR(VLOOKUP(BS347,Кабель_сопротивление,2,FALSE),"")</f>
        <v>9.5000000000000001E-2</v>
      </c>
      <c r="BV347">
        <f t="shared" si="452"/>
        <v>84</v>
      </c>
      <c r="BW347">
        <f>IF(D347="","",IFERROR(IF(VLOOKUP(AT347,Потребители_обозначение,4,FALSE)=1,VLOOKUP(AT347,Потребители_обозначение,3,FALSE)*(H347*2-1)+BV347+VLOOKUP(AV347,Этаж_обозначение,3,FALSE)+VLOOKUP(AV347,Этаж_обозначение,4,FALSE),VLOOKUP(AT347,Потребители_обозначение,3,FALSE)*(H347*2-1)+BV347),BV347))</f>
        <v>84</v>
      </c>
      <c r="BX347">
        <f t="shared" si="453"/>
        <v>42</v>
      </c>
      <c r="BY347">
        <f t="shared" si="454"/>
        <v>35</v>
      </c>
      <c r="BZ347">
        <f t="shared" si="455"/>
        <v>2</v>
      </c>
      <c r="CA347">
        <f t="shared" si="456"/>
        <v>0.31</v>
      </c>
      <c r="CB347">
        <f t="shared" si="457"/>
        <v>8.3936235221678803</v>
      </c>
      <c r="CC347">
        <f>IFERROR(ROUNDUP(CB347/((Uн_лин/SQRT(3))*1000)*100,2),"")</f>
        <v>3.6399999999999997</v>
      </c>
      <c r="CD347">
        <f>IF(ISNUMBER(CC347),CC347+IFERROR(_xlfn.XLOOKUP(A347,Щиты[Щит],Щиты[ΔU до шин, %]),0),"")</f>
        <v>6.85</v>
      </c>
      <c r="CE347">
        <f>IF(D347="","",IF(IFERROR(VLOOKUP(AT347,УГО_спр,2,FALSE),"")="Светильник",3,4)+IF(Методика="нормы 2026",MIN(0.5,MAX(0,N(BW347)-100)*0.005),0))</f>
        <v>4</v>
      </c>
      <c r="CF347" t="str">
        <f>IFERROR(VLOOKUP(BI347,Кабель_обозначение,2,FALSE),"")</f>
        <v>ВВГнг(А)-LS</v>
      </c>
      <c r="CG347" t="str">
        <f>IFERROR(IF(VLOOKUP(BI347,Кабель_обозначение,3,FALSE)=1,CF347&amp;" ("&amp;BJ347&amp;"х"&amp;BS347&amp;")",CF347),"")</f>
        <v>ВВГнг(А)-LS (3х4)</v>
      </c>
      <c r="CH347" t="str">
        <f t="shared" si="458"/>
        <v>ВВГнг(А)-LS (3х4)
L=84-3,64%</v>
      </c>
      <c r="CI347">
        <f>IFERROR(2*ρкз_Cu*BW347/BS347,"")</f>
        <v>1.1046</v>
      </c>
      <c r="CJ347">
        <f t="shared" si="459"/>
        <v>0.36750000000000005</v>
      </c>
      <c r="CK347" t="str">
        <f>IFERROR(IF(OR(D347="",NOT(ISNUMBER(BS347)),N(BW347)=0),"",_xlfn.XLOOKUP(A347,Щиты[Щит],Щиты[Zпетли на шинах, Ом])+CI347),"")</f>
        <v/>
      </c>
      <c r="CL347" t="str">
        <f>IF(ISNUMBER(CK347),c_min*(Uн_лин*1000/SQRT(3))/CK347,"")</f>
        <v/>
      </c>
      <c r="CM347" t="str">
        <f>IFERROR(IF(OR(D347="",NOT(ISNUMBER(BS347))),"",1.05*(Uн_лин*1000/SQRT(3))/(_xlfn.XLOOKUP(A347,Щиты[Щит],Щиты[Zmax на шинах, Ом])+CJ347)/1000),"")</f>
        <v/>
      </c>
      <c r="CN347" t="str">
        <f>IF(D347="","",IF(BA347&lt;&gt;"","Щит",IF(K347&lt;&gt;"",K347,IF(ISNUMBER(L347),"Сил",IF(IFERROR(_xlfn.XLOOKUP(AT347,Коды_код,Коды_группа)&amp;"","")="","Быт",_xlfn.XLOOKUP(AT347,Коды_код,Коды_группа)&amp;"")))))</f>
        <v>Пост</v>
      </c>
      <c r="CO347">
        <f>IF(CN347="Щит","щит",IF(CN347="","",IF(CN347="Быт",IFERROR(_xlfn.XLOOKUP(A347,Щиты[Щит],Щиты[Кс быт]),1),IF(CN347="Сил",IF(ISNUMBER(L347),L347,IF(Методика="нормы 2026",IFERROR(_xlfn.XLOOKUP(A347,Щиты[Щит],Щиты[Кс силовых (табл. 7.5)]),1),1)),IF(OR(CN347="Пост",CN347="Отоп"),1,IF(CN347="ВНГ",0.7,0))))))</f>
        <v>1</v>
      </c>
      <c r="CP347">
        <f t="shared" si="460"/>
        <v>1</v>
      </c>
      <c r="CQ347">
        <f t="shared" si="461"/>
        <v>2.04</v>
      </c>
      <c r="CR347">
        <f t="shared" si="462"/>
        <v>0</v>
      </c>
      <c r="CS347">
        <f t="shared" si="463"/>
        <v>0</v>
      </c>
      <c r="CT347">
        <f t="shared" si="464"/>
        <v>2.04</v>
      </c>
      <c r="CU347">
        <f t="shared" si="465"/>
        <v>0</v>
      </c>
      <c r="CV347">
        <f t="shared" si="466"/>
        <v>0</v>
      </c>
      <c r="CW347">
        <f t="shared" si="467"/>
        <v>2.04</v>
      </c>
      <c r="CX347">
        <f t="shared" si="468"/>
        <v>1.9379999999999999</v>
      </c>
      <c r="CY347">
        <f t="shared" si="469"/>
        <v>3</v>
      </c>
      <c r="CZ347" t="str">
        <f t="shared" si="470"/>
        <v>L3</v>
      </c>
      <c r="DA347" cm="1">
        <f t="array" ref="DA347">IFERROR(IF(BL347=2,_xlfn.IFS(BH347=3,VLOOKUP(BF347,Справочная_двигатели,3,FALSE),BH347=1,VLOOKUP(BF347,Справочная_двигатели,5,TRUE)),0),0)</f>
        <v>0</v>
      </c>
      <c r="DB347">
        <f>IFERROR(IF(BL347=3,VLOOKUP(BF347,Справочная_ЛЭД,2,TRUE),0),0)</f>
        <v>0</v>
      </c>
      <c r="DC347">
        <f t="shared" si="471"/>
        <v>0</v>
      </c>
      <c r="DD347" t="str">
        <f t="shared" si="472"/>
        <v>L3</v>
      </c>
      <c r="DE347" t="str" cm="1">
        <f t="array" ref="DE347">IF(D347="","",IFERROR(INDEX({"I особая","I","II","III"},MATCH(TRIM(AA347&amp;""),{"I особая","I","II","III"},0)),"III"))</f>
        <v>II</v>
      </c>
      <c r="DF347" t="str">
        <f>IF(D347="","",IF(TRIM(AB347&amp;"")&lt;&gt;"",IF(LOWER(TRIM(AB347&amp;""))="да","да","нет"),IF(IFERROR(_xlfn.XLOOKUP(AT347,Коды_код,Коды_пожарная),"")="да","да","нет")))</f>
        <v>нет</v>
      </c>
      <c r="DG347" t="str">
        <f t="shared" si="473"/>
        <v/>
      </c>
      <c r="DH347" t="str">
        <f t="shared" si="474"/>
        <v>основная</v>
      </c>
      <c r="DI347">
        <f t="shared" si="475"/>
        <v>1</v>
      </c>
      <c r="DJ347" t="str" cm="1">
        <f t="array" ref="DJ347">IF(D347="","",_xlfn.LET(_xlpm.t,IFERROR(_xlfn.XLOOKUP(1,(Шины[Шина]=DH347)*(((Шины[Щит]=A347)+(Шины[Щит]=""))&gt;0),Шины[Тип]),"")&amp;"",IF(_xlpm.t&lt;&gt;"",_xlpm.t,IF(ISNUMBER(SEARCH("ИБП",DH347)),"ИБП",IF(ISNUMBER(SEARCH("ДГУ",DH347)),"ДГУ","Ввод "&amp;DI347)))))</f>
        <v>Ввод 1</v>
      </c>
      <c r="DK347" t="str">
        <f t="shared" si="476"/>
        <v>Ввод 1</v>
      </c>
      <c r="DL347" t="str">
        <f>IF(D347="","",IF(OR(DJ347="ИБП",DJ347="ДГУ"),"I особая",IF(DJ347="Одиночная","III",_xlfn.XLOOKUP(A347,Щиты[Щит],Щиты[Категория шины «Ввод»],"III"))))</f>
        <v>II</v>
      </c>
      <c r="DM347">
        <f>IF(D347="",0,IFERROR(MATCH(DE347,{"III","II","I","I особая"},0),1))</f>
        <v>2</v>
      </c>
      <c r="DN347">
        <f t="shared" si="477"/>
        <v>2</v>
      </c>
      <c r="DO347" t="str">
        <f>IF(D347="","",IF(DM347&gt;IFERROR(MATCH(DL347,{"III","II","I","I особая"},0),1),"НЕ ОБЕСПЕЧЕНА","ОК"))</f>
        <v>ОК</v>
      </c>
      <c r="DP347" t="str">
        <f>IF(A347="","",_xlfn.XLOOKUP(A347,Щиты[Щит],Щиты[Путь],""))</f>
        <v>|ГРЩ-ЖД|ЩУОВ|</v>
      </c>
      <c r="DQ347" t="str">
        <f>IF(D347="","",IF(Z347&lt;&gt;"",Z347,IF(IFERROR(_xlfn.XLOOKUP(AT347,Коды_код,Коды_вид)&amp;"","")="","Прочее",_xlfn.XLOOKUP(AT347,Коды_код,Коды_вид)&amp;"")))</f>
        <v>Обогрев водостоков и кровли</v>
      </c>
      <c r="DR347">
        <f>IF(BD347="","",INT((BD347-1)/Столбцов_на_лист)+1)</f>
        <v>2</v>
      </c>
      <c r="DS347" t="str">
        <f t="shared" si="478"/>
        <v>ВВГнг(А)-LS (3х4) L=84-3,64%</v>
      </c>
      <c r="DT347">
        <f t="shared" si="479"/>
        <v>2.04</v>
      </c>
      <c r="DU347">
        <f t="shared" si="480"/>
        <v>9.2999999999999989</v>
      </c>
      <c r="DV347">
        <f t="shared" si="481"/>
        <v>1</v>
      </c>
      <c r="DW347">
        <f>IF(AT347="",0,_xlfn.LET(_xlpm.v,IFERROR(VLOOKUP(D347,УГО_спр,3,FALSE),IFERROR(VLOOKUP(AT347,УГО_спр,3,FALSE),IFERROR(VLOOKUP(LEFT(AT347,2),УГО_спр,3,FALSE),""))),IF(_xlpm.v="да",30,IF(ISNUMBER(_xlpm.v),_xlpm.v,0))))</f>
        <v>0</v>
      </c>
      <c r="DX347">
        <f t="shared" si="482"/>
        <v>0</v>
      </c>
      <c r="DY347">
        <f>IF(BD347="","",IF(AD347&lt;&gt;"",COUNTIFS(A$3:A347,A347,AD$3:AD347,"?*"),IF(OR(OR(AS347=1,A347&lt;&gt;A346),AL347="вручную"),"",IF(AS347=1,"",DZ346))))</f>
        <v>6</v>
      </c>
      <c r="DZ347">
        <f t="shared" si="483"/>
        <v>6</v>
      </c>
      <c r="EA347">
        <f>IF(D347="",0,MAX(IFERROR(--X347,0),IFERROR(--VLOOKUP(D347,УГО_спр,4,FALSE),IFERROR(--VLOOKUP(AT347,УГО_спр,4,FALSE),IFERROR(--VLOOKUP(LEFT(AT347,2),УГО_спр,4,FALSE),0)))))</f>
        <v>16</v>
      </c>
      <c r="EB347">
        <f>IF(D347="","",IFERROR(LOOKUP(INDEX(CHOOSE(BR347,Iдоп_1ж,Iдоп_2ж,Iдоп_3ж),MATCH(BS347,Iдоп_S,0))*BP347*BQ347,{6,10,16,20,25,32,40,50,63,80,100,125,160,200,250,315,400,500,630}),""))</f>
        <v>32</v>
      </c>
      <c r="EC347">
        <f>IF(AD347="","",SUMIFS(Линии[_Ток схемы],Линии[_гр.],DY347,Линии[Щит],A347,Линии[_в кабель выше],0))</f>
        <v>9.2999999999999989</v>
      </c>
      <c r="ED347">
        <f>IF(AD347="","",IFERROR(VLOOKUP(EC347,Автомат_номиналы,2,TRUE),""))</f>
        <v>16</v>
      </c>
      <c r="EE347">
        <f>IF(AD347="","",MAX(N(ED347),_xlfn.MAXIFS(Линии[_мин. по типу],Линии[_гр.],DY347,Линии[Щит],A347)))</f>
        <v>16</v>
      </c>
      <c r="EF347">
        <f>IF(AD347="","",_xlfn.MINIFS(Линии[_макс. автомат по кабелю],Линии[_гр.],DY347,Линии[Щит],A347))</f>
        <v>32</v>
      </c>
      <c r="EG347">
        <f>IF(AD347="","",MAX(1,_xlfn.MAXIFS(Линии[_фаз],Линии[_гр.],DY347,Линии[Щит],A347)))</f>
        <v>1</v>
      </c>
      <c r="EH347">
        <f>IF(AD347="","",IF(AND(AD347&lt;&gt;"авто",AD347&lt;&gt;"+"),IF(ISNUMBER(SEARCH("мА",AD347)),IFERROR(--TRIM(RIGHT(SUBSTITUTE(LEFT(AD347,SEARCH("мА",AD347)-1)," ",REPT(" ",9)),6)),30),0),IF(AE347="нет",0,IF(ISNUMBER(AE347),AE347,IF(AE347="да",30,_xlfn.MINIFS(Линии[_дифзащита по коду, мА],Линии[_гр.],DY347,Линии[Щит],A347,Линии[_дифзащита по коду, мА],"&gt;0"))))))</f>
        <v>0</v>
      </c>
      <c r="EI347">
        <f t="shared" si="484"/>
        <v>0</v>
      </c>
      <c r="EJ347" t="str">
        <f t="shared" si="485"/>
        <v>QF6</v>
      </c>
      <c r="EK347" t="str">
        <f t="shared" si="486"/>
        <v>QF6</v>
      </c>
      <c r="EL347" t="str">
        <f t="shared" si="487"/>
        <v/>
      </c>
      <c r="EM347">
        <f t="shared" si="488"/>
        <v>0</v>
      </c>
      <c r="EN347">
        <f>IF(AD347="","",IF(EM347=1,MAX(EE347,Мин_автомат_БП),EE347))</f>
        <v>16</v>
      </c>
      <c r="EO347" t="str">
        <f t="shared" si="489"/>
        <v>1P</v>
      </c>
      <c r="EP347" t="str">
        <f t="shared" si="490"/>
        <v>1P С16А</v>
      </c>
      <c r="EQ347">
        <f t="shared" si="491"/>
        <v>16</v>
      </c>
      <c r="ER347" t="str">
        <f>IF(OR(AI347="",AI347="-"),"",IFERROR(VLOOKUP(AI347,Модули_спр,2,FALSE),"R"))</f>
        <v/>
      </c>
      <c r="ES347" t="str">
        <f>IF(ER347="","",ER347&amp;"."&amp;COUNTIFS(A$3:A347,A347,ER$3:ER347,ER347))</f>
        <v/>
      </c>
      <c r="ET347" t="str">
        <f t="shared" si="492"/>
        <v/>
      </c>
      <c r="EU347" t="str">
        <f t="shared" si="493"/>
        <v/>
      </c>
      <c r="EV347" t="str">
        <f t="shared" si="494"/>
        <v/>
      </c>
      <c r="EW347" t="str">
        <f t="shared" si="495"/>
        <v/>
      </c>
      <c r="EX347">
        <f t="shared" si="496"/>
        <v>1</v>
      </c>
      <c r="EY347" t="str">
        <f>IF(AK347="нет","",IF(AK347&lt;&gt;"",AK347,IF(EX347=1,"XT"&amp;COUNTIFS(A$3:A347,A347,EX$3:EX347,1),"")))</f>
        <v/>
      </c>
      <c r="EZ347" t="str">
        <f t="shared" si="497"/>
        <v>QF6</v>
      </c>
      <c r="FA347" t="str">
        <f t="shared" si="498"/>
        <v/>
      </c>
      <c r="FB347" t="str">
        <f t="shared" si="499"/>
        <v>ok</v>
      </c>
      <c r="FC347" t="str">
        <f>IF(OR(EV347="",ET347=""),"",IF(EV347&gt;IFERROR(VLOOKUP(EU347,Модули_спр,3,FALSE),99),"ЛИШНИЙ КАНАЛ",IF(AND(AJ347&lt;&gt;"=",COUNTIFS(Линии[_модуль гр.],ET347,Линии[Канал (итог)],EV347,Линии[Канал],"&lt;&gt;=",Линии[Щит],A347)&gt;1),"ДУБЛЬ КАНАЛА","")))</f>
        <v/>
      </c>
      <c r="FD347">
        <f t="shared" si="500"/>
        <v>16</v>
      </c>
      <c r="FE347" t="str">
        <f t="shared" si="501"/>
        <v>1P С16А</v>
      </c>
      <c r="FF347">
        <f t="shared" si="502"/>
        <v>0</v>
      </c>
      <c r="FG347">
        <f t="shared" si="503"/>
        <v>0</v>
      </c>
      <c r="FH347" t="str">
        <f t="shared" si="504"/>
        <v/>
      </c>
      <c r="FI347">
        <f t="shared" si="505"/>
        <v>10</v>
      </c>
      <c r="FJ347" t="str">
        <f t="shared" si="506"/>
        <v/>
      </c>
      <c r="FK347" t="str">
        <f>IF(AND(D347="",EZ347=""),"",_xlfn.TEXTJOIN("; ",TRUE,IF(AND(D347&lt;&gt;"",DD347=""),"нет фазы",""),IF(AND(D347&lt;&gt;"",N(DT347)=0,CN347&lt;&gt;"Нет"),"нет мощности",""),IF(AND(EY347&lt;&gt;"",COUNTIFS(Линии[Щит],A347,Линии[Клемма (итог)],EY347)&gt;1),"дубль клеммы "&amp;EY347,""),IF(AND(FB347&lt;&gt;"",FB347&lt;&gt;"ok"),FB347,""),IF(FC347&lt;&gt;"",FC347,""),IF(AND(ISNUMBER(SEARCH("(5х",DS347)),N(DV347)=1),"5 жил на 1 фазе",""),IF(AND(AT347="R",AD347&lt;&gt;"",OR(N(EH347)=0,N(EH347)&gt;30)),"розетка без дифзащиты до 30 мА",""),IFERROR(IF(AND(ISNUMBER(CD347),CD347&gt;CE347),"потери "&amp;FIXED(CD347,1)&amp;" % &gt; "&amp;CE347&amp;" %",""),""),IFERROR(IF(LEFT(FJ347,4)="мало","Iкз мало — отключение &gt; 0,4 с",""),""),IF(AND(D347&lt;&gt;"",BD347=""),"не на схеме","")))</f>
        <v>потери 6,9 % &gt; 4 %</v>
      </c>
      <c r="FL347">
        <f>IF(AD347="","",_xlfn.LET(_xlpm.t,IFERROR(_xlfn.XLOOKUP(EP347,Каталог!$U$4:$U$500,Каталог!$G$4:$G$500),""),_xlpm.k,SEARCH("кА",_xlpm.t),IFERROR(--TRIM(RIGHT(SUBSTITUTE(MID(_xlpm.t,MAX(1,_xlpm.k-4),_xlpm.k-MAX(1,_xlpm.k-4))," ",REPT(" ",9)),5)),"")))</f>
        <v>6</v>
      </c>
      <c r="FM347" t="str">
        <f>IF(OR(FL347="",AD347=""),"",IF(_xlfn.XLOOKUP(A347,Щиты[Щит],Щиты[Iкз max на шинах, кА],"")="","",IF(FL347&lt;_xlfn.XLOOKUP(A347,Щиты[Щит],Щиты[Iкз max на шинах, кА]),"Icu "&amp;FL347&amp;" кА &lt; Iкз max","ok")))</f>
        <v/>
      </c>
      <c r="FN347" t="str">
        <f t="shared" si="507"/>
        <v>QF6</v>
      </c>
      <c r="FO347" t="str">
        <f t="shared" si="508"/>
        <v>QF6|кабель ВВГнг(А)-LS (3х4) → Обогревл ливнестоков Второй этаж</v>
      </c>
      <c r="FP347" t="str" cm="1">
        <f t="array" ref="FP347">IF(FO347="","",_xlfn.LET(_xlpm.nd,_xlfn.TEXTSPLIT(FO347,"|"),IF(COLUMNS(_xlpm.nd)&gt;1,A347&amp;"¦"&amp;INDEX(_xlpm.nd,1)&amp;"¦"&amp;INDEX(_xlpm.nd,2),"")))</f>
        <v>ЩУОВ¦QF6¦кабель ВВГнг(А)-LS (3х4) → Обогревл ливнестоков Второй этаж</v>
      </c>
      <c r="FQ347" t="str">
        <f t="shared" si="509"/>
        <v>OV.2.1.2¦Обогревл ливнестоков Второй этаж</v>
      </c>
      <c r="FR347" t="str" cm="1">
        <f t="array" ref="FR347">IF(FO347="","",_xlfn.LET(_xlpm.nd,_xlfn.TEXTSPLIT(FO347,"|"),IF(COLUMNS(_xlpm.nd)&gt;2,A347&amp;"¦"&amp;INDEX(_xlpm.nd,2)&amp;"¦"&amp;INDEX(_xlpm.nd,3),"")))</f>
        <v/>
      </c>
      <c r="FS347" t="str">
        <f t="shared" si="510"/>
        <v/>
      </c>
      <c r="FT347" t="str" cm="1">
        <f t="array" ref="FT347">IF(FO347="","",_xlfn.LET(_xlpm.nd,_xlfn.TEXTSPLIT(FO347,"|"),IF(COLUMNS(_xlpm.nd)&gt;3,A347&amp;"¦"&amp;INDEX(_xlpm.nd,3)&amp;"¦"&amp;INDEX(_xlpm.nd,4),"")))</f>
        <v/>
      </c>
      <c r="FU347" t="str">
        <f t="shared" si="511"/>
        <v/>
      </c>
      <c r="FV347" t="str" cm="1">
        <f t="array" ref="FV347">IF(FO347="","",_xlfn.LET(_xlpm.nd,_xlfn.TEXTSPLIT(FO347,"|"),IF(COLUMNS(_xlpm.nd)&gt;4,A347&amp;"¦"&amp;INDEX(_xlpm.nd,4)&amp;"¦"&amp;INDEX(_xlpm.nd,5),"")))</f>
        <v/>
      </c>
      <c r="FW347" t="str">
        <f t="shared" si="512"/>
        <v/>
      </c>
      <c r="FX347" t="str" cm="1">
        <f t="array" ref="FX347">IF(FO347="","",_xlfn.LET(_xlpm.nd,_xlfn.TEXTSPLIT(FO347,"|"),IF(COLUMNS(_xlpm.nd)&gt;5,A347&amp;"¦"&amp;INDEX(_xlpm.nd,5)&amp;"¦"&amp;INDEX(_xlpm.nd,6),"")))</f>
        <v/>
      </c>
      <c r="FY347" t="str">
        <f t="shared" si="513"/>
        <v/>
      </c>
      <c r="FZ347" t="str" cm="1">
        <f t="array" ref="FZ347">IF(FO347="","",_xlfn.LET(_xlpm.nd,_xlfn.TEXTSPLIT(FO347,"|"),IF(COLUMNS(_xlpm.nd)&gt;6,A347&amp;"¦"&amp;INDEX(_xlpm.nd,6)&amp;"¦"&amp;INDEX(_xlpm.nd,7),"")))</f>
        <v/>
      </c>
      <c r="GA347" t="str">
        <f t="shared" si="514"/>
        <v/>
      </c>
      <c r="GB347" t="str">
        <f t="shared" si="515"/>
        <v/>
      </c>
      <c r="GC347" t="str">
        <f t="shared" si="516"/>
        <v>QF6</v>
      </c>
      <c r="GD347">
        <f t="shared" si="517"/>
        <v>1</v>
      </c>
      <c r="GE347">
        <f t="shared" si="518"/>
        <v>0</v>
      </c>
      <c r="GF347">
        <f t="shared" si="519"/>
        <v>0</v>
      </c>
      <c r="GG347" t="str">
        <f t="shared" si="520"/>
        <v/>
      </c>
      <c r="GH347" t="str">
        <f t="shared" si="521"/>
        <v/>
      </c>
      <c r="GI347" t="str">
        <f t="shared" si="522"/>
        <v/>
      </c>
      <c r="GJ347" t="str">
        <f t="shared" si="523"/>
        <v/>
      </c>
      <c r="GK347" t="str">
        <f>IF(D347="","",IFERROR(VLOOKUP(D347,УГО_спр,2,FALSE),IFERROR(VLOOKUP(AT347,УГО_спр,2,FALSE),IFERROR(VLOOKUP(LEFT(AT347,2),УГО_спр,2,FALSE),""))))</f>
        <v/>
      </c>
      <c r="GL347" t="str">
        <f>IF(D347="","",IF(OR(GK347="",GK347=0),"BOX",IFERROR(IF(VLOOKUP(GK347,УГО_блоки,3,FALSE)&amp;""&lt;&gt;"",VLOOKUP(GK347,УГО_блоки,3,FALSE),VLOOKUP(GK347,УГО_блоки,2,FALSE)),GK347)))</f>
        <v>BOX</v>
      </c>
      <c r="GM347">
        <f t="shared" si="524"/>
        <v>1</v>
      </c>
      <c r="GN347" t="str">
        <f>IF(EP347="","",IF(COUNTIF(EP$3:EP347,EP347)=1,MAX(GN$2:GN346)+1,""))</f>
        <v/>
      </c>
      <c r="GO347" t="str">
        <f>IF(AF347="","",IF(COUNTIF(AF$3:AF347,AF347)+COUNTIF(AG$2:AG346,AF347)+COUNTIF(AH$2:AH346,AF347)=1,MAX(GO$2:GQ346)+1,""))</f>
        <v/>
      </c>
      <c r="GP347" t="str">
        <f>IF(AG347="","",IF(COUNTIF(AF$3:AF347,AG347)+COUNTIF(AG$3:AG347,AG347)+COUNTIF(AH$2:AH346,AG347)=1,MAX(GO$2:GQ346,GO347)+1,""))</f>
        <v/>
      </c>
      <c r="GQ347" t="str">
        <f>IF(AH347="","",IF(COUNTIF(AF$3:AF347,AH347)+COUNTIF(AG$3:AG347,AH347)+COUNTIF(AH$3:AH347,AH347)=1,MAX(GO$2:GQ346,GO347,GP347)+1,""))</f>
        <v/>
      </c>
      <c r="GR347" t="str">
        <f t="shared" si="525"/>
        <v>3х4</v>
      </c>
      <c r="GS347" t="str">
        <f>IF(GR347="","",IF(COUNTIF(GR$3:GR347,GR347)=1,MAX(GS$2:GS346)+1,""))</f>
        <v/>
      </c>
      <c r="GT347" t="str">
        <f>IF(ES347="","",COUNTIF(ES$3:ES347,"?*"))</f>
        <v/>
      </c>
      <c r="GU347" t="str">
        <f>IF(OR(ES347="",EU347=""),"",IF(COUNTIFS(ES$3:ES347,"?*",EU$3:EU347,EU347)=1,MAX(GU$2:GU346)+1,""))</f>
        <v/>
      </c>
      <c r="GV347">
        <f t="shared" si="526"/>
        <v>1</v>
      </c>
      <c r="GW347">
        <f>IF(D347="","",COUNTIF(D$3:D347,"?*"))</f>
        <v>345</v>
      </c>
      <c r="GX347">
        <f>IF(EX347&lt;&gt;1,0,_xlfn.LET(_xlpm.k,MAX(IFERROR(--VLOOKUP(D347,УГО_спр,5,FALSE),0),IFERROR(--VLOOKUP(AT347,УГО_спр,5,FALSE),0),IFERROR(--VLOOKUP(LEFT(AT347,2),УГО_спр,5,FALSE),0)),IF(_xlpm.k&gt;0,_xlpm.k,IF(IFERROR(--LEFT(SUBSTITUTE(GR347,"x","х"),FIND("х",SUBSTITUTE(GR347,"x","х"))-1),3)&gt;3,Каталог!$S$9,1))))</f>
        <v>1</v>
      </c>
      <c r="GY347">
        <f t="shared" si="527"/>
        <v>0</v>
      </c>
    </row>
    <row r="348" spans="1:207" x14ac:dyDescent="0.3">
      <c r="A348" t="s">
        <v>774</v>
      </c>
      <c r="B348">
        <v>23</v>
      </c>
      <c r="C348" t="str">
        <f>IF(BD348="","",IF(BE348="вводной узел","узел ","")&amp;"л."&amp;(INT((BD348-1)/Столбцов_на_лист)+1)&amp;" / "&amp;(MOD(BD348-1,Столбцов_на_лист)+1))</f>
        <v>л.2 / 6</v>
      </c>
      <c r="D348" t="s">
        <v>1689</v>
      </c>
      <c r="E348" s="133" t="s">
        <v>1688</v>
      </c>
      <c r="G348">
        <v>0.66</v>
      </c>
      <c r="H348">
        <v>2</v>
      </c>
      <c r="I348">
        <v>1</v>
      </c>
      <c r="J348">
        <v>230</v>
      </c>
      <c r="K348" t="s">
        <v>577</v>
      </c>
      <c r="O348">
        <v>3</v>
      </c>
      <c r="P348">
        <v>44</v>
      </c>
      <c r="Q348">
        <v>7</v>
      </c>
      <c r="R348">
        <v>24</v>
      </c>
      <c r="S348">
        <v>13</v>
      </c>
      <c r="T348">
        <v>1</v>
      </c>
      <c r="U348" t="s">
        <v>11</v>
      </c>
      <c r="V348">
        <v>3</v>
      </c>
      <c r="W348">
        <v>2.5</v>
      </c>
      <c r="X348">
        <v>16</v>
      </c>
      <c r="Z348" t="s">
        <v>613</v>
      </c>
      <c r="AA348" t="s">
        <v>818</v>
      </c>
      <c r="AD348" t="s">
        <v>517</v>
      </c>
      <c r="AK348" t="s">
        <v>488</v>
      </c>
      <c r="AR348" t="str">
        <f t="shared" si="441"/>
        <v>потери 4,2 % &gt; 4 %</v>
      </c>
      <c r="AS348" cm="1">
        <f t="array" ref="AS348">ROW()-ROW(Линии[#Headers])</f>
        <v>346</v>
      </c>
      <c r="AT348" t="str">
        <f t="shared" si="442"/>
        <v>OV</v>
      </c>
      <c r="AU348" t="str">
        <f t="shared" si="443"/>
        <v>2.1.3</v>
      </c>
      <c r="AV348" t="str">
        <f t="shared" si="444"/>
        <v>2</v>
      </c>
      <c r="AW348" t="str">
        <f t="shared" si="445"/>
        <v>1.3</v>
      </c>
      <c r="AX348" t="str">
        <f t="shared" si="446"/>
        <v>1</v>
      </c>
      <c r="AY348" t="str">
        <f>IF(D348="","",IF(ISERROR(SEARCH(".",D348)),IFERROR(VLOOKUP(D348,Потребители_обозначение,2,FALSE)&amp;"",""),IFERROR(IF(VLOOKUP(AT348,Потребители_обозначение,4,FALSE)=1,VLOOKUP(AT348,Потребители_обозначение,2,FALSE)&amp;" "&amp;VLOOKUP(AV348,Этаж_обозначение,2,FALSE)&amp;" Пом. №"&amp;AX348,VLOOKUP(AT348,Потребители_обозначение,2,FALSE)&amp;" Шлейф №"&amp;AV348),IFERROR(VLOOKUP(D348,Потребители_обозначение,2,FALSE),""))))</f>
        <v/>
      </c>
      <c r="AZ348" t="str">
        <f t="shared" si="447"/>
        <v>Обогревл ливнестоков Второй этаж</v>
      </c>
      <c r="BA348" t="str">
        <f>IF(F348&lt;&gt;"",F348,IF(AND(D348&lt;&gt;"",D348&lt;&gt;A348,ISNUMBER(_xlfn.XMATCH(D348,Щиты[Щит]))),D348,""))</f>
        <v/>
      </c>
      <c r="BB348">
        <f>IFERROR(_xlfn.XMATCH(A348,Щиты[Щит]),0)</f>
        <v>17</v>
      </c>
      <c r="BC348">
        <f>IFERROR(N(_xlfn.XLOOKUP(A348,Щиты[Щит],Щиты[Мест под вводной узел])),15)</f>
        <v>10</v>
      </c>
      <c r="BD348">
        <f t="shared" si="448"/>
        <v>23</v>
      </c>
      <c r="BE348" t="str">
        <f t="shared" si="449"/>
        <v>линии</v>
      </c>
      <c r="BF348">
        <f>IF(D348="","",IF(BA348&lt;&gt;"",IFERROR(_xlfn.XLOOKUP(BA348,Щиты[Щит],Щиты[Руст, кВт]),0),N(G348)))</f>
        <v>0.66</v>
      </c>
      <c r="BG348">
        <f>IF(J348&lt;&gt;"",J348,IF(D348="","",IFERROR(IF(VLOOKUP(AT348,Потребители_обозначение,8,FALSE)=0,"",VLOOKUP(AT348,Потребители_обозначение,8,FALSE)),"")))</f>
        <v>230</v>
      </c>
      <c r="BH348">
        <f>IF(I348&lt;&gt;"",I348,IF(D348="","",IFERROR(IF(VLOOKUP(AT348,Потребители_обозначение,9,FALSE)=0,"",VLOOKUP(AT348,Потребители_обозначение,9,FALSE)),"")))</f>
        <v>1</v>
      </c>
      <c r="BI348" t="str">
        <f>IF(U348&lt;&gt;"",U348,IF(D348="","",IFERROR(IF(VLOOKUP(AT348,Потребители_обозначение,6,FALSE)=0,"",VLOOKUP(AT348,Потребители_обозначение,6,FALSE)),"")))</f>
        <v>мс</v>
      </c>
      <c r="BJ348">
        <f>IF(V348&lt;&gt;"",V348,IF(D348="","",IFERROR(IF(VLOOKUP(AT348,Потребители_обозначение,7,FALSE)=0,"",VLOOKUP(AT348,Потребители_обозначение,7,FALSE)),"")))</f>
        <v>3</v>
      </c>
      <c r="BK348">
        <f>IF(W348&lt;&gt;"",W348,IF(D348="","",IFERROR(IF(VLOOKUP(AT348,Потребители_обозначение,10,FALSE)=0,"",VLOOKUP(AT348,Потребители_обозначение,10,FALSE)),"")))</f>
        <v>2.5</v>
      </c>
      <c r="BL348">
        <f>IFERROR(VLOOKUP(AT348,Потребители_обозначение,5,FALSE),0)</f>
        <v>0</v>
      </c>
      <c r="BM348" cm="1">
        <f t="array" ref="BM348">IF(D348="","",IF(BA348&lt;&gt;"",IFERROR(_xlfn.XLOOKUP(BA348,Щиты[Щит],Щиты[cos φ]),0.95),IF(ISNUMBER(M348),M348,IFERROR(IF(BL348=2,_xlfn.IFS(BH348=3,VLOOKUP(BF348,Справочная_двигатели,8,FALSE),BH348=1,VLOOKUP(BF348,Справочная_двигатели,10,TRUE)),IF(AND(Методика="нормы 2026",CN348="Сил"),0.8,0.95)),0.95))))</f>
        <v>0.95</v>
      </c>
      <c r="BN348" cm="1">
        <f t="array" ref="BN348">IF(D348="","",IF(BA348&lt;&gt;"",IFERROR(_xlfn.XLOOKUP(BA348,Щиты[Щит],Щиты[Iр, А]),""),IFERROR(_xlfn.IFS(BH348=1,BF348/((Uн_лин/SQRT(3))*BM348),BH348=3,BF348/(SQRT(3)*Uн_лин*BM348)),"")))</f>
        <v>3.0082987710406814</v>
      </c>
      <c r="BO348">
        <f>IF(D348="","",IF(N(X348)=0,IFERROR(VLOOKUP(BN348,Автомат_номиналы,2,TRUE),""),X348))</f>
        <v>16</v>
      </c>
      <c r="BP348">
        <f t="shared" si="450"/>
        <v>1</v>
      </c>
      <c r="BQ348">
        <f>IF(ISNUMBER(Y348),Y348,К_прокл)</f>
        <v>1</v>
      </c>
      <c r="BR348">
        <f t="shared" si="451"/>
        <v>2</v>
      </c>
      <c r="BS348" cm="1">
        <f t="array" ref="BS348">IF(D348="","",IF(N(BK348)&lt;&gt;0,BK348,IFERROR(_xlfn.LET(_xlpm.need,BO348/(BP348*BQ348),_xlpm.t,CHOOSE(BR348,Iдоп_1ж,Iдоп_2ж,Iдоп_3ж),_xlpm.k,_xlfn.XMATCH(_xlpm.need,_xlpm.t,1),IF(ISNA(_xlpm.k),"Не исп",INDEX(Iдоп_S,_xlpm.k))),"Не исп")))</f>
        <v>2.5</v>
      </c>
      <c r="BT348">
        <f>IFERROR(VLOOKUP(BS348,Кабель_сопротивление,3,FALSE),"")</f>
        <v>2.2499999999999999E-2</v>
      </c>
      <c r="BU348">
        <f>IFERROR(VLOOKUP(BS348,Кабель_сопротивление,2,FALSE),"")</f>
        <v>0.1</v>
      </c>
      <c r="BV348">
        <f t="shared" si="452"/>
        <v>44</v>
      </c>
      <c r="BW348">
        <f>IF(D348="","",IFERROR(IF(VLOOKUP(AT348,Потребители_обозначение,4,FALSE)=1,VLOOKUP(AT348,Потребители_обозначение,3,FALSE)*(H348*2-1)+BV348+VLOOKUP(AV348,Этаж_обозначение,3,FALSE)+VLOOKUP(AV348,Этаж_обозначение,4,FALSE),VLOOKUP(AT348,Потребители_обозначение,3,FALSE)*(H348*2-1)+BV348),BV348))</f>
        <v>44</v>
      </c>
      <c r="BX348">
        <f t="shared" si="453"/>
        <v>24</v>
      </c>
      <c r="BY348">
        <f t="shared" si="454"/>
        <v>13</v>
      </c>
      <c r="BZ348">
        <f t="shared" si="455"/>
        <v>2</v>
      </c>
      <c r="CA348">
        <f t="shared" si="456"/>
        <v>0.31</v>
      </c>
      <c r="CB348">
        <f t="shared" si="457"/>
        <v>2.2716506343784073</v>
      </c>
      <c r="CC348">
        <f>IFERROR(ROUNDUP(CB348/((Uн_лин/SQRT(3))*1000)*100,2),"")</f>
        <v>0.99</v>
      </c>
      <c r="CD348">
        <f>IF(ISNUMBER(CC348),CC348+IFERROR(_xlfn.XLOOKUP(A348,Щиты[Щит],Щиты[ΔU до шин, %]),0),"")</f>
        <v>4.2</v>
      </c>
      <c r="CE348">
        <f>IF(D348="","",IF(IFERROR(VLOOKUP(AT348,УГО_спр,2,FALSE),"")="Светильник",3,4)+IF(Методика="нормы 2026",MIN(0.5,MAX(0,N(BW348)-100)*0.005),0))</f>
        <v>4</v>
      </c>
      <c r="CF348" t="str">
        <f>IFERROR(VLOOKUP(BI348,Кабель_обозначение,2,FALSE),"")</f>
        <v>ВВГнг(А)-LS</v>
      </c>
      <c r="CG348" t="str">
        <f>IFERROR(IF(VLOOKUP(BI348,Кабель_обозначение,3,FALSE)=1,CF348&amp;" ("&amp;BJ348&amp;"х"&amp;BS348&amp;")",CF348),"")</f>
        <v>ВВГнг(А)-LS (3х2,5)</v>
      </c>
      <c r="CH348" t="str">
        <f t="shared" si="458"/>
        <v>ВВГнг(А)-LS (3х2,5)
L=44-0,99%</v>
      </c>
      <c r="CI348">
        <f>IFERROR(2*ρкз_Cu*BW348/BS348,"")</f>
        <v>0.92576000000000003</v>
      </c>
      <c r="CJ348">
        <f t="shared" si="459"/>
        <v>0.308</v>
      </c>
      <c r="CK348" t="str">
        <f>IFERROR(IF(OR(D348="",NOT(ISNUMBER(BS348)),N(BW348)=0),"",_xlfn.XLOOKUP(A348,Щиты[Щит],Щиты[Zпетли на шинах, Ом])+CI348),"")</f>
        <v/>
      </c>
      <c r="CL348" t="str">
        <f>IF(ISNUMBER(CK348),c_min*(Uн_лин*1000/SQRT(3))/CK348,"")</f>
        <v/>
      </c>
      <c r="CM348" t="str">
        <f>IFERROR(IF(OR(D348="",NOT(ISNUMBER(BS348))),"",1.05*(Uн_лин*1000/SQRT(3))/(_xlfn.XLOOKUP(A348,Щиты[Щит],Щиты[Zmax на шинах, Ом])+CJ348)/1000),"")</f>
        <v/>
      </c>
      <c r="CN348" t="str">
        <f>IF(D348="","",IF(BA348&lt;&gt;"","Щит",IF(K348&lt;&gt;"",K348,IF(ISNUMBER(L348),"Сил",IF(IFERROR(_xlfn.XLOOKUP(AT348,Коды_код,Коды_группа)&amp;"","")="","Быт",_xlfn.XLOOKUP(AT348,Коды_код,Коды_группа)&amp;"")))))</f>
        <v>Пост</v>
      </c>
      <c r="CO348">
        <f>IF(CN348="Щит","щит",IF(CN348="","",IF(CN348="Быт",IFERROR(_xlfn.XLOOKUP(A348,Щиты[Щит],Щиты[Кс быт]),1),IF(CN348="Сил",IF(ISNUMBER(L348),L348,IF(Методика="нормы 2026",IFERROR(_xlfn.XLOOKUP(A348,Щиты[Щит],Щиты[Кс силовых (табл. 7.5)]),1),1)),IF(OR(CN348="Пост",CN348="Отоп"),1,IF(CN348="ВНГ",0.7,0))))))</f>
        <v>1</v>
      </c>
      <c r="CP348">
        <f t="shared" si="460"/>
        <v>1</v>
      </c>
      <c r="CQ348">
        <f t="shared" si="461"/>
        <v>0.66</v>
      </c>
      <c r="CR348">
        <f t="shared" si="462"/>
        <v>0</v>
      </c>
      <c r="CS348">
        <f t="shared" si="463"/>
        <v>0</v>
      </c>
      <c r="CT348">
        <f t="shared" si="464"/>
        <v>0.66</v>
      </c>
      <c r="CU348">
        <f t="shared" si="465"/>
        <v>0</v>
      </c>
      <c r="CV348">
        <f t="shared" si="466"/>
        <v>0</v>
      </c>
      <c r="CW348">
        <f t="shared" si="467"/>
        <v>0.66</v>
      </c>
      <c r="CX348">
        <f t="shared" si="468"/>
        <v>0.627</v>
      </c>
      <c r="CY348">
        <f t="shared" si="469"/>
        <v>1</v>
      </c>
      <c r="CZ348" t="str">
        <f t="shared" si="470"/>
        <v>L1</v>
      </c>
      <c r="DA348" cm="1">
        <f t="array" ref="DA348">IFERROR(IF(BL348=2,_xlfn.IFS(BH348=3,VLOOKUP(BF348,Справочная_двигатели,3,FALSE),BH348=1,VLOOKUP(BF348,Справочная_двигатели,5,TRUE)),0),0)</f>
        <v>0</v>
      </c>
      <c r="DB348">
        <f>IFERROR(IF(BL348=3,VLOOKUP(BF348,Справочная_ЛЭД,2,TRUE),0),0)</f>
        <v>0</v>
      </c>
      <c r="DC348">
        <f t="shared" si="471"/>
        <v>0</v>
      </c>
      <c r="DD348" t="str">
        <f t="shared" si="472"/>
        <v>L3</v>
      </c>
      <c r="DE348" t="str" cm="1">
        <f t="array" ref="DE348">IF(D348="","",IFERROR(INDEX({"I особая","I","II","III"},MATCH(TRIM(AA348&amp;""),{"I особая","I","II","III"},0)),"III"))</f>
        <v>II</v>
      </c>
      <c r="DF348" t="str">
        <f>IF(D348="","",IF(TRIM(AB348&amp;"")&lt;&gt;"",IF(LOWER(TRIM(AB348&amp;""))="да","да","нет"),IF(IFERROR(_xlfn.XLOOKUP(AT348,Коды_код,Коды_пожарная),"")="да","да","нет")))</f>
        <v>нет</v>
      </c>
      <c r="DG348" t="str">
        <f t="shared" si="473"/>
        <v/>
      </c>
      <c r="DH348" t="str">
        <f t="shared" si="474"/>
        <v>основная</v>
      </c>
      <c r="DI348">
        <f t="shared" si="475"/>
        <v>1</v>
      </c>
      <c r="DJ348" t="str" cm="1">
        <f t="array" ref="DJ348">IF(D348="","",_xlfn.LET(_xlpm.t,IFERROR(_xlfn.XLOOKUP(1,(Шины[Шина]=DH348)*(((Шины[Щит]=A348)+(Шины[Щит]=""))&gt;0),Шины[Тип]),"")&amp;"",IF(_xlpm.t&lt;&gt;"",_xlpm.t,IF(ISNUMBER(SEARCH("ИБП",DH348)),"ИБП",IF(ISNUMBER(SEARCH("ДГУ",DH348)),"ДГУ","Ввод "&amp;DI348)))))</f>
        <v>Ввод 1</v>
      </c>
      <c r="DK348" t="str">
        <f t="shared" si="476"/>
        <v>Ввод 1</v>
      </c>
      <c r="DL348" t="str">
        <f>IF(D348="","",IF(OR(DJ348="ИБП",DJ348="ДГУ"),"I особая",IF(DJ348="Одиночная","III",_xlfn.XLOOKUP(A348,Щиты[Щит],Щиты[Категория шины «Ввод»],"III"))))</f>
        <v>II</v>
      </c>
      <c r="DM348">
        <f>IF(D348="",0,IFERROR(MATCH(DE348,{"III","II","I","I особая"},0),1))</f>
        <v>2</v>
      </c>
      <c r="DN348">
        <f t="shared" si="477"/>
        <v>2</v>
      </c>
      <c r="DO348" t="str">
        <f>IF(D348="","",IF(DM348&gt;IFERROR(MATCH(DL348,{"III","II","I","I особая"},0),1),"НЕ ОБЕСПЕЧЕНА","ОК"))</f>
        <v>ОК</v>
      </c>
      <c r="DP348" t="str">
        <f>IF(A348="","",_xlfn.XLOOKUP(A348,Щиты[Щит],Щиты[Путь],""))</f>
        <v>|ГРЩ-ЖД|ЩУОВ|</v>
      </c>
      <c r="DQ348" t="str">
        <f>IF(D348="","",IF(Z348&lt;&gt;"",Z348,IF(IFERROR(_xlfn.XLOOKUP(AT348,Коды_код,Коды_вид)&amp;"","")="","Прочее",_xlfn.XLOOKUP(AT348,Коды_код,Коды_вид)&amp;"")))</f>
        <v>Обогрев водостоков и кровли</v>
      </c>
      <c r="DR348">
        <f>IF(BD348="","",INT((BD348-1)/Столбцов_на_лист)+1)</f>
        <v>2</v>
      </c>
      <c r="DS348" t="str">
        <f t="shared" si="478"/>
        <v>ВВГнг(А)-LS (3х2,5) L=44-0,99%</v>
      </c>
      <c r="DT348">
        <f t="shared" si="479"/>
        <v>0.66</v>
      </c>
      <c r="DU348">
        <f t="shared" si="480"/>
        <v>3.01</v>
      </c>
      <c r="DV348">
        <f t="shared" si="481"/>
        <v>1</v>
      </c>
      <c r="DW348">
        <f>IF(AT348="",0,_xlfn.LET(_xlpm.v,IFERROR(VLOOKUP(D348,УГО_спр,3,FALSE),IFERROR(VLOOKUP(AT348,УГО_спр,3,FALSE),IFERROR(VLOOKUP(LEFT(AT348,2),УГО_спр,3,FALSE),""))),IF(_xlpm.v="да",30,IF(ISNUMBER(_xlpm.v),_xlpm.v,0))))</f>
        <v>0</v>
      </c>
      <c r="DX348">
        <f t="shared" si="482"/>
        <v>0</v>
      </c>
      <c r="DY348">
        <f>IF(BD348="","",IF(AD348&lt;&gt;"",COUNTIFS(A$3:A348,A348,AD$3:AD348,"?*"),IF(OR(OR(AS348=1,A348&lt;&gt;A347),AL348="вручную"),"",IF(AS348=1,"",DZ347))))</f>
        <v>7</v>
      </c>
      <c r="DZ348">
        <f t="shared" si="483"/>
        <v>7</v>
      </c>
      <c r="EA348">
        <f>IF(D348="",0,MAX(IFERROR(--X348,0),IFERROR(--VLOOKUP(D348,УГО_спр,4,FALSE),IFERROR(--VLOOKUP(AT348,УГО_спр,4,FALSE),IFERROR(--VLOOKUP(LEFT(AT348,2),УГО_спр,4,FALSE),0)))))</f>
        <v>16</v>
      </c>
      <c r="EB348">
        <f>IF(D348="","",IFERROR(LOOKUP(INDEX(CHOOSE(BR348,Iдоп_1ж,Iдоп_2ж,Iдоп_3ж),MATCH(BS348,Iдоп_S,0))*BP348*BQ348,{6,10,16,20,25,32,40,50,63,80,100,125,160,200,250,315,400,500,630}),""))</f>
        <v>25</v>
      </c>
      <c r="EC348">
        <f>IF(AD348="","",SUMIFS(Линии[_Ток схемы],Линии[_гр.],DY348,Линии[Щит],A348,Линии[_в кабель выше],0))</f>
        <v>3.01</v>
      </c>
      <c r="ED348">
        <f>IF(AD348="","",IFERROR(VLOOKUP(EC348,Автомат_номиналы,2,TRUE),""))</f>
        <v>6</v>
      </c>
      <c r="EE348">
        <f>IF(AD348="","",MAX(N(ED348),_xlfn.MAXIFS(Линии[_мин. по типу],Линии[_гр.],DY348,Линии[Щит],A348)))</f>
        <v>16</v>
      </c>
      <c r="EF348">
        <f>IF(AD348="","",_xlfn.MINIFS(Линии[_макс. автомат по кабелю],Линии[_гр.],DY348,Линии[Щит],A348))</f>
        <v>25</v>
      </c>
      <c r="EG348">
        <f>IF(AD348="","",MAX(1,_xlfn.MAXIFS(Линии[_фаз],Линии[_гр.],DY348,Линии[Щит],A348)))</f>
        <v>1</v>
      </c>
      <c r="EH348">
        <f>IF(AD348="","",IF(AND(AD348&lt;&gt;"авто",AD348&lt;&gt;"+"),IF(ISNUMBER(SEARCH("мА",AD348)),IFERROR(--TRIM(RIGHT(SUBSTITUTE(LEFT(AD348,SEARCH("мА",AD348)-1)," ",REPT(" ",9)),6)),30),0),IF(AE348="нет",0,IF(ISNUMBER(AE348),AE348,IF(AE348="да",30,_xlfn.MINIFS(Линии[_дифзащита по коду, мА],Линии[_гр.],DY348,Линии[Щит],A348,Линии[_дифзащита по коду, мА],"&gt;0"))))))</f>
        <v>0</v>
      </c>
      <c r="EI348">
        <f t="shared" si="484"/>
        <v>0</v>
      </c>
      <c r="EJ348" t="str">
        <f t="shared" si="485"/>
        <v>QF7</v>
      </c>
      <c r="EK348" t="str">
        <f t="shared" si="486"/>
        <v>QF7</v>
      </c>
      <c r="EL348" t="str">
        <f t="shared" si="487"/>
        <v/>
      </c>
      <c r="EM348">
        <f t="shared" si="488"/>
        <v>0</v>
      </c>
      <c r="EN348">
        <f>IF(AD348="","",IF(EM348=1,MAX(EE348,Мин_автомат_БП),EE348))</f>
        <v>16</v>
      </c>
      <c r="EO348" t="str">
        <f t="shared" si="489"/>
        <v>1P</v>
      </c>
      <c r="EP348" t="str">
        <f t="shared" si="490"/>
        <v>1P С16А</v>
      </c>
      <c r="EQ348">
        <f t="shared" si="491"/>
        <v>16</v>
      </c>
      <c r="ER348" t="str">
        <f>IF(OR(AI348="",AI348="-"),"",IFERROR(VLOOKUP(AI348,Модули_спр,2,FALSE),"R"))</f>
        <v/>
      </c>
      <c r="ES348" t="str">
        <f>IF(ER348="","",ER348&amp;"."&amp;COUNTIFS(A$3:A348,A348,ER$3:ER348,ER348))</f>
        <v/>
      </c>
      <c r="ET348" t="str">
        <f t="shared" si="492"/>
        <v/>
      </c>
      <c r="EU348" t="str">
        <f t="shared" si="493"/>
        <v/>
      </c>
      <c r="EV348" t="str">
        <f t="shared" si="494"/>
        <v/>
      </c>
      <c r="EW348" t="str">
        <f t="shared" si="495"/>
        <v/>
      </c>
      <c r="EX348">
        <f t="shared" si="496"/>
        <v>1</v>
      </c>
      <c r="EY348" t="str">
        <f>IF(AK348="нет","",IF(AK348&lt;&gt;"",AK348,IF(EX348=1,"XT"&amp;COUNTIFS(A$3:A348,A348,EX$3:EX348,1),"")))</f>
        <v/>
      </c>
      <c r="EZ348" t="str">
        <f t="shared" si="497"/>
        <v>QF7</v>
      </c>
      <c r="FA348" t="str">
        <f t="shared" si="498"/>
        <v/>
      </c>
      <c r="FB348" t="str">
        <f t="shared" si="499"/>
        <v>ok</v>
      </c>
      <c r="FC348" t="str">
        <f>IF(OR(EV348="",ET348=""),"",IF(EV348&gt;IFERROR(VLOOKUP(EU348,Модули_спр,3,FALSE),99),"ЛИШНИЙ КАНАЛ",IF(AND(AJ348&lt;&gt;"=",COUNTIFS(Линии[_модуль гр.],ET348,Линии[Канал (итог)],EV348,Линии[Канал],"&lt;&gt;=",Линии[Щит],A348)&gt;1),"ДУБЛЬ КАНАЛА","")))</f>
        <v/>
      </c>
      <c r="FD348">
        <f t="shared" si="500"/>
        <v>16</v>
      </c>
      <c r="FE348" t="str">
        <f t="shared" si="501"/>
        <v>1P С16А</v>
      </c>
      <c r="FF348">
        <f t="shared" si="502"/>
        <v>0</v>
      </c>
      <c r="FG348">
        <f t="shared" si="503"/>
        <v>0</v>
      </c>
      <c r="FH348" t="str">
        <f t="shared" si="504"/>
        <v/>
      </c>
      <c r="FI348">
        <f t="shared" si="505"/>
        <v>10</v>
      </c>
      <c r="FJ348" t="str">
        <f t="shared" si="506"/>
        <v/>
      </c>
      <c r="FK348" t="str">
        <f>IF(AND(D348="",EZ348=""),"",_xlfn.TEXTJOIN("; ",TRUE,IF(AND(D348&lt;&gt;"",DD348=""),"нет фазы",""),IF(AND(D348&lt;&gt;"",N(DT348)=0,CN348&lt;&gt;"Нет"),"нет мощности",""),IF(AND(EY348&lt;&gt;"",COUNTIFS(Линии[Щит],A348,Линии[Клемма (итог)],EY348)&gt;1),"дубль клеммы "&amp;EY348,""),IF(AND(FB348&lt;&gt;"",FB348&lt;&gt;"ok"),FB348,""),IF(FC348&lt;&gt;"",FC348,""),IF(AND(ISNUMBER(SEARCH("(5х",DS348)),N(DV348)=1),"5 жил на 1 фазе",""),IF(AND(AT348="R",AD348&lt;&gt;"",OR(N(EH348)=0,N(EH348)&gt;30)),"розетка без дифзащиты до 30 мА",""),IFERROR(IF(AND(ISNUMBER(CD348),CD348&gt;CE348),"потери "&amp;FIXED(CD348,1)&amp;" % &gt; "&amp;CE348&amp;" %",""),""),IFERROR(IF(LEFT(FJ348,4)="мало","Iкз мало — отключение &gt; 0,4 с",""),""),IF(AND(D348&lt;&gt;"",BD348=""),"не на схеме","")))</f>
        <v>потери 4,2 % &gt; 4 %</v>
      </c>
      <c r="FL348">
        <f>IF(AD348="","",_xlfn.LET(_xlpm.t,IFERROR(_xlfn.XLOOKUP(EP348,Каталог!$U$4:$U$500,Каталог!$G$4:$G$500),""),_xlpm.k,SEARCH("кА",_xlpm.t),IFERROR(--TRIM(RIGHT(SUBSTITUTE(MID(_xlpm.t,MAX(1,_xlpm.k-4),_xlpm.k-MAX(1,_xlpm.k-4))," ",REPT(" ",9)),5)),"")))</f>
        <v>6</v>
      </c>
      <c r="FM348" t="str">
        <f>IF(OR(FL348="",AD348=""),"",IF(_xlfn.XLOOKUP(A348,Щиты[Щит],Щиты[Iкз max на шинах, кА],"")="","",IF(FL348&lt;_xlfn.XLOOKUP(A348,Щиты[Щит],Щиты[Iкз max на шинах, кА]),"Icu "&amp;FL348&amp;" кА &lt; Iкз max","ok")))</f>
        <v/>
      </c>
      <c r="FN348" t="str">
        <f t="shared" si="507"/>
        <v>QF7</v>
      </c>
      <c r="FO348" t="str">
        <f t="shared" si="508"/>
        <v>QF7|кабель ВВГнг(А)-LS (3х2,5) → Обогревл ливнестоков Второй этаж</v>
      </c>
      <c r="FP348" t="str" cm="1">
        <f t="array" ref="FP348">IF(FO348="","",_xlfn.LET(_xlpm.nd,_xlfn.TEXTSPLIT(FO348,"|"),IF(COLUMNS(_xlpm.nd)&gt;1,A348&amp;"¦"&amp;INDEX(_xlpm.nd,1)&amp;"¦"&amp;INDEX(_xlpm.nd,2),"")))</f>
        <v>ЩУОВ¦QF7¦кабель ВВГнг(А)-LS (3х2,5) → Обогревл ливнестоков Второй этаж</v>
      </c>
      <c r="FQ348" t="str">
        <f t="shared" si="509"/>
        <v>OV.2.1.3¦Обогревл ливнестоков Второй этаж</v>
      </c>
      <c r="FR348" t="str" cm="1">
        <f t="array" ref="FR348">IF(FO348="","",_xlfn.LET(_xlpm.nd,_xlfn.TEXTSPLIT(FO348,"|"),IF(COLUMNS(_xlpm.nd)&gt;2,A348&amp;"¦"&amp;INDEX(_xlpm.nd,2)&amp;"¦"&amp;INDEX(_xlpm.nd,3),"")))</f>
        <v/>
      </c>
      <c r="FS348" t="str">
        <f t="shared" si="510"/>
        <v/>
      </c>
      <c r="FT348" t="str" cm="1">
        <f t="array" ref="FT348">IF(FO348="","",_xlfn.LET(_xlpm.nd,_xlfn.TEXTSPLIT(FO348,"|"),IF(COLUMNS(_xlpm.nd)&gt;3,A348&amp;"¦"&amp;INDEX(_xlpm.nd,3)&amp;"¦"&amp;INDEX(_xlpm.nd,4),"")))</f>
        <v/>
      </c>
      <c r="FU348" t="str">
        <f t="shared" si="511"/>
        <v/>
      </c>
      <c r="FV348" t="str" cm="1">
        <f t="array" ref="FV348">IF(FO348="","",_xlfn.LET(_xlpm.nd,_xlfn.TEXTSPLIT(FO348,"|"),IF(COLUMNS(_xlpm.nd)&gt;4,A348&amp;"¦"&amp;INDEX(_xlpm.nd,4)&amp;"¦"&amp;INDEX(_xlpm.nd,5),"")))</f>
        <v/>
      </c>
      <c r="FW348" t="str">
        <f t="shared" si="512"/>
        <v/>
      </c>
      <c r="FX348" t="str" cm="1">
        <f t="array" ref="FX348">IF(FO348="","",_xlfn.LET(_xlpm.nd,_xlfn.TEXTSPLIT(FO348,"|"),IF(COLUMNS(_xlpm.nd)&gt;5,A348&amp;"¦"&amp;INDEX(_xlpm.nd,5)&amp;"¦"&amp;INDEX(_xlpm.nd,6),"")))</f>
        <v/>
      </c>
      <c r="FY348" t="str">
        <f t="shared" si="513"/>
        <v/>
      </c>
      <c r="FZ348" t="str" cm="1">
        <f t="array" ref="FZ348">IF(FO348="","",_xlfn.LET(_xlpm.nd,_xlfn.TEXTSPLIT(FO348,"|"),IF(COLUMNS(_xlpm.nd)&gt;6,A348&amp;"¦"&amp;INDEX(_xlpm.nd,6)&amp;"¦"&amp;INDEX(_xlpm.nd,7),"")))</f>
        <v/>
      </c>
      <c r="GA348" t="str">
        <f t="shared" si="514"/>
        <v/>
      </c>
      <c r="GB348" t="str">
        <f t="shared" si="515"/>
        <v/>
      </c>
      <c r="GC348" t="str">
        <f t="shared" si="516"/>
        <v>QF7</v>
      </c>
      <c r="GD348">
        <f t="shared" si="517"/>
        <v>1</v>
      </c>
      <c r="GE348">
        <f t="shared" si="518"/>
        <v>0</v>
      </c>
      <c r="GF348">
        <f t="shared" si="519"/>
        <v>0</v>
      </c>
      <c r="GG348" t="str">
        <f t="shared" si="520"/>
        <v/>
      </c>
      <c r="GH348" t="str">
        <f t="shared" si="521"/>
        <v/>
      </c>
      <c r="GI348" t="str">
        <f t="shared" si="522"/>
        <v/>
      </c>
      <c r="GJ348" t="str">
        <f t="shared" si="523"/>
        <v/>
      </c>
      <c r="GK348" t="str">
        <f>IF(D348="","",IFERROR(VLOOKUP(D348,УГО_спр,2,FALSE),IFERROR(VLOOKUP(AT348,УГО_спр,2,FALSE),IFERROR(VLOOKUP(LEFT(AT348,2),УГО_спр,2,FALSE),""))))</f>
        <v/>
      </c>
      <c r="GL348" t="str">
        <f>IF(D348="","",IF(OR(GK348="",GK348=0),"BOX",IFERROR(IF(VLOOKUP(GK348,УГО_блоки,3,FALSE)&amp;""&lt;&gt;"",VLOOKUP(GK348,УГО_блоки,3,FALSE),VLOOKUP(GK348,УГО_блоки,2,FALSE)),GK348)))</f>
        <v>BOX</v>
      </c>
      <c r="GM348">
        <f t="shared" si="524"/>
        <v>1</v>
      </c>
      <c r="GN348" t="str">
        <f>IF(EP348="","",IF(COUNTIF(EP$3:EP348,EP348)=1,MAX(GN$2:GN347)+1,""))</f>
        <v/>
      </c>
      <c r="GO348" t="str">
        <f>IF(AF348="","",IF(COUNTIF(AF$3:AF348,AF348)+COUNTIF(AG$2:AG347,AF348)+COUNTIF(AH$2:AH347,AF348)=1,MAX(GO$2:GQ347)+1,""))</f>
        <v/>
      </c>
      <c r="GP348" t="str">
        <f>IF(AG348="","",IF(COUNTIF(AF$3:AF348,AG348)+COUNTIF(AG$3:AG348,AG348)+COUNTIF(AH$2:AH347,AG348)=1,MAX(GO$2:GQ347,GO348)+1,""))</f>
        <v/>
      </c>
      <c r="GQ348" t="str">
        <f>IF(AH348="","",IF(COUNTIF(AF$3:AF348,AH348)+COUNTIF(AG$3:AG348,AH348)+COUNTIF(AH$3:AH348,AH348)=1,MAX(GO$2:GQ347,GO348,GP348)+1,""))</f>
        <v/>
      </c>
      <c r="GR348" t="str">
        <f t="shared" si="525"/>
        <v>3х2,5</v>
      </c>
      <c r="GS348" t="str">
        <f>IF(GR348="","",IF(COUNTIF(GR$3:GR348,GR348)=1,MAX(GS$2:GS347)+1,""))</f>
        <v/>
      </c>
      <c r="GT348" t="str">
        <f>IF(ES348="","",COUNTIF(ES$3:ES348,"?*"))</f>
        <v/>
      </c>
      <c r="GU348" t="str">
        <f>IF(OR(ES348="",EU348=""),"",IF(COUNTIFS(ES$3:ES348,"?*",EU$3:EU348,EU348)=1,MAX(GU$2:GU347)+1,""))</f>
        <v/>
      </c>
      <c r="GV348">
        <f t="shared" si="526"/>
        <v>1</v>
      </c>
      <c r="GW348">
        <f>IF(D348="","",COUNTIF(D$3:D348,"?*"))</f>
        <v>346</v>
      </c>
      <c r="GX348">
        <f>IF(EX348&lt;&gt;1,0,_xlfn.LET(_xlpm.k,MAX(IFERROR(--VLOOKUP(D348,УГО_спр,5,FALSE),0),IFERROR(--VLOOKUP(AT348,УГО_спр,5,FALSE),0),IFERROR(--VLOOKUP(LEFT(AT348,2),УГО_спр,5,FALSE),0)),IF(_xlpm.k&gt;0,_xlpm.k,IF(IFERROR(--LEFT(SUBSTITUTE(GR348,"x","х"),FIND("х",SUBSTITUTE(GR348,"x","х"))-1),3)&gt;3,Каталог!$S$9,1))))</f>
        <v>1</v>
      </c>
      <c r="GY348">
        <f t="shared" si="527"/>
        <v>0</v>
      </c>
    </row>
    <row r="349" spans="1:207" x14ac:dyDescent="0.3">
      <c r="A349" t="s">
        <v>774</v>
      </c>
      <c r="B349">
        <v>24</v>
      </c>
      <c r="C349" t="str">
        <f>IF(BD349="","",IF(BE349="вводной узел","узел ","")&amp;"л."&amp;(INT((BD349-1)/Столбцов_на_лист)+1)&amp;" / "&amp;(MOD(BD349-1,Столбцов_на_лист)+1))</f>
        <v>л.2 / 7</v>
      </c>
      <c r="D349" t="s">
        <v>1690</v>
      </c>
      <c r="E349" s="133" t="s">
        <v>1691</v>
      </c>
      <c r="G349">
        <v>1.92</v>
      </c>
      <c r="H349">
        <v>3</v>
      </c>
      <c r="I349">
        <v>1</v>
      </c>
      <c r="J349">
        <v>230</v>
      </c>
      <c r="K349" t="s">
        <v>577</v>
      </c>
      <c r="O349">
        <v>3</v>
      </c>
      <c r="P349">
        <v>40</v>
      </c>
      <c r="Q349">
        <v>12</v>
      </c>
      <c r="R349">
        <v>12</v>
      </c>
      <c r="S349">
        <v>22</v>
      </c>
      <c r="T349">
        <v>1</v>
      </c>
      <c r="U349" t="s">
        <v>11</v>
      </c>
      <c r="V349">
        <v>3</v>
      </c>
      <c r="W349">
        <v>2.5</v>
      </c>
      <c r="X349">
        <v>16</v>
      </c>
      <c r="Z349" t="s">
        <v>613</v>
      </c>
      <c r="AA349" t="s">
        <v>818</v>
      </c>
      <c r="AD349" t="s">
        <v>517</v>
      </c>
      <c r="AK349" t="s">
        <v>488</v>
      </c>
      <c r="AR349" t="str">
        <f t="shared" si="441"/>
        <v>потери 5,8 % &gt; 4 %</v>
      </c>
      <c r="AS349" cm="1">
        <f t="array" ref="AS349">ROW()-ROW(Линии[#Headers])</f>
        <v>347</v>
      </c>
      <c r="AT349" t="str">
        <f t="shared" si="442"/>
        <v>OV</v>
      </c>
      <c r="AU349" t="str">
        <f t="shared" si="443"/>
        <v>4.1.1</v>
      </c>
      <c r="AV349" t="str">
        <f t="shared" si="444"/>
        <v>4</v>
      </c>
      <c r="AW349" t="str">
        <f t="shared" si="445"/>
        <v>1.1</v>
      </c>
      <c r="AX349" t="str">
        <f t="shared" si="446"/>
        <v>1</v>
      </c>
      <c r="AY349" t="str">
        <f>IF(D349="","",IF(ISERROR(SEARCH(".",D349)),IFERROR(VLOOKUP(D349,Потребители_обозначение,2,FALSE)&amp;"",""),IFERROR(IF(VLOOKUP(AT349,Потребители_обозначение,4,FALSE)=1,VLOOKUP(AT349,Потребители_обозначение,2,FALSE)&amp;" "&amp;VLOOKUP(AV349,Этаж_обозначение,2,FALSE)&amp;" Пом. №"&amp;AX349,VLOOKUP(AT349,Потребители_обозначение,2,FALSE)&amp;" Шлейф №"&amp;AV349),IFERROR(VLOOKUP(D349,Потребители_обозначение,2,FALSE),""))))</f>
        <v/>
      </c>
      <c r="AZ349" t="str">
        <f t="shared" si="447"/>
        <v>Обогревл ливнестоков Кровля</v>
      </c>
      <c r="BA349" t="str">
        <f>IF(F349&lt;&gt;"",F349,IF(AND(D349&lt;&gt;"",D349&lt;&gt;A349,ISNUMBER(_xlfn.XMATCH(D349,Щиты[Щит]))),D349,""))</f>
        <v/>
      </c>
      <c r="BB349">
        <f>IFERROR(_xlfn.XMATCH(A349,Щиты[Щит]),0)</f>
        <v>17</v>
      </c>
      <c r="BC349">
        <f>IFERROR(N(_xlfn.XLOOKUP(A349,Щиты[Щит],Щиты[Мест под вводной узел])),15)</f>
        <v>10</v>
      </c>
      <c r="BD349">
        <f t="shared" si="448"/>
        <v>24</v>
      </c>
      <c r="BE349" t="str">
        <f t="shared" si="449"/>
        <v>линии</v>
      </c>
      <c r="BF349">
        <f>IF(D349="","",IF(BA349&lt;&gt;"",IFERROR(_xlfn.XLOOKUP(BA349,Щиты[Щит],Щиты[Руст, кВт]),0),N(G349)))</f>
        <v>1.92</v>
      </c>
      <c r="BG349">
        <f>IF(J349&lt;&gt;"",J349,IF(D349="","",IFERROR(IF(VLOOKUP(AT349,Потребители_обозначение,8,FALSE)=0,"",VLOOKUP(AT349,Потребители_обозначение,8,FALSE)),"")))</f>
        <v>230</v>
      </c>
      <c r="BH349">
        <f>IF(I349&lt;&gt;"",I349,IF(D349="","",IFERROR(IF(VLOOKUP(AT349,Потребители_обозначение,9,FALSE)=0,"",VLOOKUP(AT349,Потребители_обозначение,9,FALSE)),"")))</f>
        <v>1</v>
      </c>
      <c r="BI349" t="str">
        <f>IF(U349&lt;&gt;"",U349,IF(D349="","",IFERROR(IF(VLOOKUP(AT349,Потребители_обозначение,6,FALSE)=0,"",VLOOKUP(AT349,Потребители_обозначение,6,FALSE)),"")))</f>
        <v>мс</v>
      </c>
      <c r="BJ349">
        <f>IF(V349&lt;&gt;"",V349,IF(D349="","",IFERROR(IF(VLOOKUP(AT349,Потребители_обозначение,7,FALSE)=0,"",VLOOKUP(AT349,Потребители_обозначение,7,FALSE)),"")))</f>
        <v>3</v>
      </c>
      <c r="BK349">
        <f>IF(W349&lt;&gt;"",W349,IF(D349="","",IFERROR(IF(VLOOKUP(AT349,Потребители_обозначение,10,FALSE)=0,"",VLOOKUP(AT349,Потребители_обозначение,10,FALSE)),"")))</f>
        <v>2.5</v>
      </c>
      <c r="BL349">
        <f>IFERROR(VLOOKUP(AT349,Потребители_обозначение,5,FALSE),0)</f>
        <v>0</v>
      </c>
      <c r="BM349" cm="1">
        <f t="array" ref="BM349">IF(D349="","",IF(BA349&lt;&gt;"",IFERROR(_xlfn.XLOOKUP(BA349,Щиты[Щит],Щиты[cos φ]),0.95),IF(ISNUMBER(M349),M349,IFERROR(IF(BL349=2,_xlfn.IFS(BH349=3,VLOOKUP(BF349,Справочная_двигатели,8,FALSE),BH349=1,VLOOKUP(BF349,Справочная_двигатели,10,TRUE)),IF(AND(Методика="нормы 2026",CN349="Сил"),0.8,0.95)),0.95))))</f>
        <v>0.95</v>
      </c>
      <c r="BN349" cm="1">
        <f t="array" ref="BN349">IF(D349="","",IF(BA349&lt;&gt;"",IFERROR(_xlfn.XLOOKUP(BA349,Щиты[Щит],Щиты[Iр, А]),""),IFERROR(_xlfn.IFS(BH349=1,BF349/((Uн_лин/SQRT(3))*BM349),BH349=3,BF349/(SQRT(3)*Uн_лин*BM349)),"")))</f>
        <v>8.7514146066638006</v>
      </c>
      <c r="BO349">
        <f>IF(D349="","",IF(N(X349)=0,IFERROR(VLOOKUP(BN349,Автомат_номиналы,2,TRUE),""),X349))</f>
        <v>16</v>
      </c>
      <c r="BP349">
        <f t="shared" si="450"/>
        <v>1</v>
      </c>
      <c r="BQ349">
        <f>IF(ISNUMBER(Y349),Y349,К_прокл)</f>
        <v>1</v>
      </c>
      <c r="BR349">
        <f t="shared" si="451"/>
        <v>2</v>
      </c>
      <c r="BS349" cm="1">
        <f t="array" ref="BS349">IF(D349="","",IF(N(BK349)&lt;&gt;0,BK349,IFERROR(_xlfn.LET(_xlpm.need,BO349/(BP349*BQ349),_xlpm.t,CHOOSE(BR349,Iдоп_1ж,Iдоп_2ж,Iдоп_3ж),_xlpm.k,_xlfn.XMATCH(_xlpm.need,_xlpm.t,1),IF(ISNA(_xlpm.k),"Не исп",INDEX(Iдоп_S,_xlpm.k))),"Не исп")))</f>
        <v>2.5</v>
      </c>
      <c r="BT349">
        <f>IFERROR(VLOOKUP(BS349,Кабель_сопротивление,3,FALSE),"")</f>
        <v>2.2499999999999999E-2</v>
      </c>
      <c r="BU349">
        <f>IFERROR(VLOOKUP(BS349,Кабель_сопротивление,2,FALSE),"")</f>
        <v>0.1</v>
      </c>
      <c r="BV349">
        <f t="shared" si="452"/>
        <v>40</v>
      </c>
      <c r="BW349">
        <f>IF(D349="","",IFERROR(IF(VLOOKUP(AT349,Потребители_обозначение,4,FALSE)=1,VLOOKUP(AT349,Потребители_обозначение,3,FALSE)*(H349*2-1)+BV349+VLOOKUP(AV349,Этаж_обозначение,3,FALSE)+VLOOKUP(AV349,Этаж_обозначение,4,FALSE),VLOOKUP(AT349,Потребители_обозначение,3,FALSE)*(H349*2-1)+BV349),BV349))</f>
        <v>40</v>
      </c>
      <c r="BX349">
        <f t="shared" si="453"/>
        <v>12</v>
      </c>
      <c r="BY349">
        <f t="shared" si="454"/>
        <v>22</v>
      </c>
      <c r="BZ349">
        <f t="shared" si="455"/>
        <v>2</v>
      </c>
      <c r="CA349">
        <f t="shared" si="456"/>
        <v>0.31</v>
      </c>
      <c r="CB349">
        <f t="shared" si="457"/>
        <v>6.0076710991825655</v>
      </c>
      <c r="CC349">
        <f>IFERROR(ROUNDUP(CB349/((Uн_лин/SQRT(3))*1000)*100,2),"")</f>
        <v>2.61</v>
      </c>
      <c r="CD349">
        <f>IF(ISNUMBER(CC349),CC349+IFERROR(_xlfn.XLOOKUP(A349,Щиты[Щит],Щиты[ΔU до шин, %]),0),"")</f>
        <v>5.82</v>
      </c>
      <c r="CE349">
        <f>IF(D349="","",IF(IFERROR(VLOOKUP(AT349,УГО_спр,2,FALSE),"")="Светильник",3,4)+IF(Методика="нормы 2026",MIN(0.5,MAX(0,N(BW349)-100)*0.005),0))</f>
        <v>4</v>
      </c>
      <c r="CF349" t="str">
        <f>IFERROR(VLOOKUP(BI349,Кабель_обозначение,2,FALSE),"")</f>
        <v>ВВГнг(А)-LS</v>
      </c>
      <c r="CG349" t="str">
        <f>IFERROR(IF(VLOOKUP(BI349,Кабель_обозначение,3,FALSE)=1,CF349&amp;" ("&amp;BJ349&amp;"х"&amp;BS349&amp;")",CF349),"")</f>
        <v>ВВГнг(А)-LS (3х2,5)</v>
      </c>
      <c r="CH349" t="str">
        <f t="shared" si="458"/>
        <v>ВВГнг(А)-LS (3х2,5)
L=40-2,61%</v>
      </c>
      <c r="CI349">
        <f>IFERROR(2*ρкз_Cu*BW349/BS349,"")</f>
        <v>0.84160000000000001</v>
      </c>
      <c r="CJ349">
        <f t="shared" si="459"/>
        <v>0.28000000000000003</v>
      </c>
      <c r="CK349" t="str">
        <f>IFERROR(IF(OR(D349="",NOT(ISNUMBER(BS349)),N(BW349)=0),"",_xlfn.XLOOKUP(A349,Щиты[Щит],Щиты[Zпетли на шинах, Ом])+CI349),"")</f>
        <v/>
      </c>
      <c r="CL349" t="str">
        <f>IF(ISNUMBER(CK349),c_min*(Uн_лин*1000/SQRT(3))/CK349,"")</f>
        <v/>
      </c>
      <c r="CM349" t="str">
        <f>IFERROR(IF(OR(D349="",NOT(ISNUMBER(BS349))),"",1.05*(Uн_лин*1000/SQRT(3))/(_xlfn.XLOOKUP(A349,Щиты[Щит],Щиты[Zmax на шинах, Ом])+CJ349)/1000),"")</f>
        <v/>
      </c>
      <c r="CN349" t="str">
        <f>IF(D349="","",IF(BA349&lt;&gt;"","Щит",IF(K349&lt;&gt;"",K349,IF(ISNUMBER(L349),"Сил",IF(IFERROR(_xlfn.XLOOKUP(AT349,Коды_код,Коды_группа)&amp;"","")="","Быт",_xlfn.XLOOKUP(AT349,Коды_код,Коды_группа)&amp;"")))))</f>
        <v>Пост</v>
      </c>
      <c r="CO349">
        <f>IF(CN349="Щит","щит",IF(CN349="","",IF(CN349="Быт",IFERROR(_xlfn.XLOOKUP(A349,Щиты[Щит],Щиты[Кс быт]),1),IF(CN349="Сил",IF(ISNUMBER(L349),L349,IF(Методика="нормы 2026",IFERROR(_xlfn.XLOOKUP(A349,Щиты[Щит],Щиты[Кс силовых (табл. 7.5)]),1),1)),IF(OR(CN349="Пост",CN349="Отоп"),1,IF(CN349="ВНГ",0.7,0))))))</f>
        <v>1</v>
      </c>
      <c r="CP349">
        <f t="shared" si="460"/>
        <v>1</v>
      </c>
      <c r="CQ349">
        <f t="shared" si="461"/>
        <v>1.92</v>
      </c>
      <c r="CR349">
        <f t="shared" si="462"/>
        <v>0</v>
      </c>
      <c r="CS349">
        <f t="shared" si="463"/>
        <v>0</v>
      </c>
      <c r="CT349">
        <f t="shared" si="464"/>
        <v>1.92</v>
      </c>
      <c r="CU349">
        <f t="shared" si="465"/>
        <v>0</v>
      </c>
      <c r="CV349">
        <f t="shared" si="466"/>
        <v>0</v>
      </c>
      <c r="CW349">
        <f t="shared" si="467"/>
        <v>1.92</v>
      </c>
      <c r="CX349">
        <f t="shared" si="468"/>
        <v>1.8239999999999998</v>
      </c>
      <c r="CY349">
        <f t="shared" si="469"/>
        <v>2</v>
      </c>
      <c r="CZ349" t="str">
        <f t="shared" si="470"/>
        <v>L2</v>
      </c>
      <c r="DA349" cm="1">
        <f t="array" ref="DA349">IFERROR(IF(BL349=2,_xlfn.IFS(BH349=3,VLOOKUP(BF349,Справочная_двигатели,3,FALSE),BH349=1,VLOOKUP(BF349,Справочная_двигатели,5,TRUE)),0),0)</f>
        <v>0</v>
      </c>
      <c r="DB349">
        <f>IFERROR(IF(BL349=3,VLOOKUP(BF349,Справочная_ЛЭД,2,TRUE),0),0)</f>
        <v>0</v>
      </c>
      <c r="DC349">
        <f t="shared" si="471"/>
        <v>0</v>
      </c>
      <c r="DD349" t="str">
        <f t="shared" si="472"/>
        <v>L3</v>
      </c>
      <c r="DE349" t="str" cm="1">
        <f t="array" ref="DE349">IF(D349="","",IFERROR(INDEX({"I особая","I","II","III"},MATCH(TRIM(AA349&amp;""),{"I особая","I","II","III"},0)),"III"))</f>
        <v>II</v>
      </c>
      <c r="DF349" t="str">
        <f>IF(D349="","",IF(TRIM(AB349&amp;"")&lt;&gt;"",IF(LOWER(TRIM(AB349&amp;""))="да","да","нет"),IF(IFERROR(_xlfn.XLOOKUP(AT349,Коды_код,Коды_пожарная),"")="да","да","нет")))</f>
        <v>нет</v>
      </c>
      <c r="DG349" t="str">
        <f t="shared" si="473"/>
        <v/>
      </c>
      <c r="DH349" t="str">
        <f t="shared" si="474"/>
        <v>основная</v>
      </c>
      <c r="DI349">
        <f t="shared" si="475"/>
        <v>1</v>
      </c>
      <c r="DJ349" t="str" cm="1">
        <f t="array" ref="DJ349">IF(D349="","",_xlfn.LET(_xlpm.t,IFERROR(_xlfn.XLOOKUP(1,(Шины[Шина]=DH349)*(((Шины[Щит]=A349)+(Шины[Щит]=""))&gt;0),Шины[Тип]),"")&amp;"",IF(_xlpm.t&lt;&gt;"",_xlpm.t,IF(ISNUMBER(SEARCH("ИБП",DH349)),"ИБП",IF(ISNUMBER(SEARCH("ДГУ",DH349)),"ДГУ","Ввод "&amp;DI349)))))</f>
        <v>Ввод 1</v>
      </c>
      <c r="DK349" t="str">
        <f t="shared" si="476"/>
        <v>Ввод 1</v>
      </c>
      <c r="DL349" t="str">
        <f>IF(D349="","",IF(OR(DJ349="ИБП",DJ349="ДГУ"),"I особая",IF(DJ349="Одиночная","III",_xlfn.XLOOKUP(A349,Щиты[Щит],Щиты[Категория шины «Ввод»],"III"))))</f>
        <v>II</v>
      </c>
      <c r="DM349">
        <f>IF(D349="",0,IFERROR(MATCH(DE349,{"III","II","I","I особая"},0),1))</f>
        <v>2</v>
      </c>
      <c r="DN349">
        <f t="shared" si="477"/>
        <v>2</v>
      </c>
      <c r="DO349" t="str">
        <f>IF(D349="","",IF(DM349&gt;IFERROR(MATCH(DL349,{"III","II","I","I особая"},0),1),"НЕ ОБЕСПЕЧЕНА","ОК"))</f>
        <v>ОК</v>
      </c>
      <c r="DP349" t="str">
        <f>IF(A349="","",_xlfn.XLOOKUP(A349,Щиты[Щит],Щиты[Путь],""))</f>
        <v>|ГРЩ-ЖД|ЩУОВ|</v>
      </c>
      <c r="DQ349" t="str">
        <f>IF(D349="","",IF(Z349&lt;&gt;"",Z349,IF(IFERROR(_xlfn.XLOOKUP(AT349,Коды_код,Коды_вид)&amp;"","")="","Прочее",_xlfn.XLOOKUP(AT349,Коды_код,Коды_вид)&amp;"")))</f>
        <v>Обогрев водостоков и кровли</v>
      </c>
      <c r="DR349">
        <f>IF(BD349="","",INT((BD349-1)/Столбцов_на_лист)+1)</f>
        <v>2</v>
      </c>
      <c r="DS349" t="str">
        <f t="shared" si="478"/>
        <v>ВВГнг(А)-LS (3х2,5) L=40-2,61%</v>
      </c>
      <c r="DT349">
        <f t="shared" si="479"/>
        <v>1.92</v>
      </c>
      <c r="DU349">
        <f t="shared" si="480"/>
        <v>8.76</v>
      </c>
      <c r="DV349">
        <f t="shared" si="481"/>
        <v>1</v>
      </c>
      <c r="DW349">
        <f>IF(AT349="",0,_xlfn.LET(_xlpm.v,IFERROR(VLOOKUP(D349,УГО_спр,3,FALSE),IFERROR(VLOOKUP(AT349,УГО_спр,3,FALSE),IFERROR(VLOOKUP(LEFT(AT349,2),УГО_спр,3,FALSE),""))),IF(_xlpm.v="да",30,IF(ISNUMBER(_xlpm.v),_xlpm.v,0))))</f>
        <v>0</v>
      </c>
      <c r="DX349">
        <f t="shared" si="482"/>
        <v>0</v>
      </c>
      <c r="DY349">
        <f>IF(BD349="","",IF(AD349&lt;&gt;"",COUNTIFS(A$3:A349,A349,AD$3:AD349,"?*"),IF(OR(OR(AS349=1,A349&lt;&gt;A348),AL349="вручную"),"",IF(AS349=1,"",DZ348))))</f>
        <v>8</v>
      </c>
      <c r="DZ349">
        <f t="shared" si="483"/>
        <v>8</v>
      </c>
      <c r="EA349">
        <f>IF(D349="",0,MAX(IFERROR(--X349,0),IFERROR(--VLOOKUP(D349,УГО_спр,4,FALSE),IFERROR(--VLOOKUP(AT349,УГО_спр,4,FALSE),IFERROR(--VLOOKUP(LEFT(AT349,2),УГО_спр,4,FALSE),0)))))</f>
        <v>16</v>
      </c>
      <c r="EB349">
        <f>IF(D349="","",IFERROR(LOOKUP(INDEX(CHOOSE(BR349,Iдоп_1ж,Iдоп_2ж,Iдоп_3ж),MATCH(BS349,Iдоп_S,0))*BP349*BQ349,{6,10,16,20,25,32,40,50,63,80,100,125,160,200,250,315,400,500,630}),""))</f>
        <v>25</v>
      </c>
      <c r="EC349">
        <f>IF(AD349="","",SUMIFS(Линии[_Ток схемы],Линии[_гр.],DY349,Линии[Щит],A349,Линии[_в кабель выше],0))</f>
        <v>8.76</v>
      </c>
      <c r="ED349">
        <f>IF(AD349="","",IFERROR(VLOOKUP(EC349,Автомат_номиналы,2,TRUE),""))</f>
        <v>10</v>
      </c>
      <c r="EE349">
        <f>IF(AD349="","",MAX(N(ED349),_xlfn.MAXIFS(Линии[_мин. по типу],Линии[_гр.],DY349,Линии[Щит],A349)))</f>
        <v>16</v>
      </c>
      <c r="EF349">
        <f>IF(AD349="","",_xlfn.MINIFS(Линии[_макс. автомат по кабелю],Линии[_гр.],DY349,Линии[Щит],A349))</f>
        <v>25</v>
      </c>
      <c r="EG349">
        <f>IF(AD349="","",MAX(1,_xlfn.MAXIFS(Линии[_фаз],Линии[_гр.],DY349,Линии[Щит],A349)))</f>
        <v>1</v>
      </c>
      <c r="EH349">
        <f>IF(AD349="","",IF(AND(AD349&lt;&gt;"авто",AD349&lt;&gt;"+"),IF(ISNUMBER(SEARCH("мА",AD349)),IFERROR(--TRIM(RIGHT(SUBSTITUTE(LEFT(AD349,SEARCH("мА",AD349)-1)," ",REPT(" ",9)),6)),30),0),IF(AE349="нет",0,IF(ISNUMBER(AE349),AE349,IF(AE349="да",30,_xlfn.MINIFS(Линии[_дифзащита по коду, мА],Линии[_гр.],DY349,Линии[Щит],A349,Линии[_дифзащита по коду, мА],"&gt;0"))))))</f>
        <v>0</v>
      </c>
      <c r="EI349">
        <f t="shared" si="484"/>
        <v>0</v>
      </c>
      <c r="EJ349" t="str">
        <f t="shared" si="485"/>
        <v>QF8</v>
      </c>
      <c r="EK349" t="str">
        <f t="shared" si="486"/>
        <v>QF8</v>
      </c>
      <c r="EL349" t="str">
        <f t="shared" si="487"/>
        <v/>
      </c>
      <c r="EM349">
        <f t="shared" si="488"/>
        <v>0</v>
      </c>
      <c r="EN349">
        <f>IF(AD349="","",IF(EM349=1,MAX(EE349,Мин_автомат_БП),EE349))</f>
        <v>16</v>
      </c>
      <c r="EO349" t="str">
        <f t="shared" si="489"/>
        <v>1P</v>
      </c>
      <c r="EP349" t="str">
        <f t="shared" si="490"/>
        <v>1P С16А</v>
      </c>
      <c r="EQ349">
        <f t="shared" si="491"/>
        <v>16</v>
      </c>
      <c r="ER349" t="str">
        <f>IF(OR(AI349="",AI349="-"),"",IFERROR(VLOOKUP(AI349,Модули_спр,2,FALSE),"R"))</f>
        <v/>
      </c>
      <c r="ES349" t="str">
        <f>IF(ER349="","",ER349&amp;"."&amp;COUNTIFS(A$3:A349,A349,ER$3:ER349,ER349))</f>
        <v/>
      </c>
      <c r="ET349" t="str">
        <f t="shared" si="492"/>
        <v/>
      </c>
      <c r="EU349" t="str">
        <f t="shared" si="493"/>
        <v/>
      </c>
      <c r="EV349" t="str">
        <f t="shared" si="494"/>
        <v/>
      </c>
      <c r="EW349" t="str">
        <f t="shared" si="495"/>
        <v/>
      </c>
      <c r="EX349">
        <f t="shared" si="496"/>
        <v>1</v>
      </c>
      <c r="EY349" t="str">
        <f>IF(AK349="нет","",IF(AK349&lt;&gt;"",AK349,IF(EX349=1,"XT"&amp;COUNTIFS(A$3:A349,A349,EX$3:EX349,1),"")))</f>
        <v/>
      </c>
      <c r="EZ349" t="str">
        <f t="shared" si="497"/>
        <v>QF8</v>
      </c>
      <c r="FA349" t="str">
        <f t="shared" si="498"/>
        <v/>
      </c>
      <c r="FB349" t="str">
        <f t="shared" si="499"/>
        <v>ok</v>
      </c>
      <c r="FC349" t="str">
        <f>IF(OR(EV349="",ET349=""),"",IF(EV349&gt;IFERROR(VLOOKUP(EU349,Модули_спр,3,FALSE),99),"ЛИШНИЙ КАНАЛ",IF(AND(AJ349&lt;&gt;"=",COUNTIFS(Линии[_модуль гр.],ET349,Линии[Канал (итог)],EV349,Линии[Канал],"&lt;&gt;=",Линии[Щит],A349)&gt;1),"ДУБЛЬ КАНАЛА","")))</f>
        <v/>
      </c>
      <c r="FD349">
        <f t="shared" si="500"/>
        <v>16</v>
      </c>
      <c r="FE349" t="str">
        <f t="shared" si="501"/>
        <v>1P С16А</v>
      </c>
      <c r="FF349">
        <f t="shared" si="502"/>
        <v>0</v>
      </c>
      <c r="FG349">
        <f t="shared" si="503"/>
        <v>0</v>
      </c>
      <c r="FH349" t="str">
        <f t="shared" si="504"/>
        <v/>
      </c>
      <c r="FI349">
        <f t="shared" si="505"/>
        <v>10</v>
      </c>
      <c r="FJ349" t="str">
        <f t="shared" si="506"/>
        <v/>
      </c>
      <c r="FK349" t="str">
        <f>IF(AND(D349="",EZ349=""),"",_xlfn.TEXTJOIN("; ",TRUE,IF(AND(D349&lt;&gt;"",DD349=""),"нет фазы",""),IF(AND(D349&lt;&gt;"",N(DT349)=0,CN349&lt;&gt;"Нет"),"нет мощности",""),IF(AND(EY349&lt;&gt;"",COUNTIFS(Линии[Щит],A349,Линии[Клемма (итог)],EY349)&gt;1),"дубль клеммы "&amp;EY349,""),IF(AND(FB349&lt;&gt;"",FB349&lt;&gt;"ok"),FB349,""),IF(FC349&lt;&gt;"",FC349,""),IF(AND(ISNUMBER(SEARCH("(5х",DS349)),N(DV349)=1),"5 жил на 1 фазе",""),IF(AND(AT349="R",AD349&lt;&gt;"",OR(N(EH349)=0,N(EH349)&gt;30)),"розетка без дифзащиты до 30 мА",""),IFERROR(IF(AND(ISNUMBER(CD349),CD349&gt;CE349),"потери "&amp;FIXED(CD349,1)&amp;" % &gt; "&amp;CE349&amp;" %",""),""),IFERROR(IF(LEFT(FJ349,4)="мало","Iкз мало — отключение &gt; 0,4 с",""),""),IF(AND(D349&lt;&gt;"",BD349=""),"не на схеме","")))</f>
        <v>потери 5,8 % &gt; 4 %</v>
      </c>
      <c r="FL349">
        <f>IF(AD349="","",_xlfn.LET(_xlpm.t,IFERROR(_xlfn.XLOOKUP(EP349,Каталог!$U$4:$U$500,Каталог!$G$4:$G$500),""),_xlpm.k,SEARCH("кА",_xlpm.t),IFERROR(--TRIM(RIGHT(SUBSTITUTE(MID(_xlpm.t,MAX(1,_xlpm.k-4),_xlpm.k-MAX(1,_xlpm.k-4))," ",REPT(" ",9)),5)),"")))</f>
        <v>6</v>
      </c>
      <c r="FM349" t="str">
        <f>IF(OR(FL349="",AD349=""),"",IF(_xlfn.XLOOKUP(A349,Щиты[Щит],Щиты[Iкз max на шинах, кА],"")="","",IF(FL349&lt;_xlfn.XLOOKUP(A349,Щиты[Щит],Щиты[Iкз max на шинах, кА]),"Icu "&amp;FL349&amp;" кА &lt; Iкз max","ok")))</f>
        <v/>
      </c>
      <c r="FN349" t="str">
        <f t="shared" si="507"/>
        <v>QF8</v>
      </c>
      <c r="FO349" t="str">
        <f t="shared" si="508"/>
        <v>QF8|кабель ВВГнг(А)-LS (3х2,5) → Обогревл ливнестоков Кровля</v>
      </c>
      <c r="FP349" t="str" cm="1">
        <f t="array" ref="FP349">IF(FO349="","",_xlfn.LET(_xlpm.nd,_xlfn.TEXTSPLIT(FO349,"|"),IF(COLUMNS(_xlpm.nd)&gt;1,A349&amp;"¦"&amp;INDEX(_xlpm.nd,1)&amp;"¦"&amp;INDEX(_xlpm.nd,2),"")))</f>
        <v>ЩУОВ¦QF8¦кабель ВВГнг(А)-LS (3х2,5) → Обогревл ливнестоков Кровля</v>
      </c>
      <c r="FQ349" t="str">
        <f t="shared" si="509"/>
        <v>OV.4.1.1¦Обогревл ливнестоков Кровля</v>
      </c>
      <c r="FR349" t="str" cm="1">
        <f t="array" ref="FR349">IF(FO349="","",_xlfn.LET(_xlpm.nd,_xlfn.TEXTSPLIT(FO349,"|"),IF(COLUMNS(_xlpm.nd)&gt;2,A349&amp;"¦"&amp;INDEX(_xlpm.nd,2)&amp;"¦"&amp;INDEX(_xlpm.nd,3),"")))</f>
        <v/>
      </c>
      <c r="FS349" t="str">
        <f t="shared" si="510"/>
        <v/>
      </c>
      <c r="FT349" t="str" cm="1">
        <f t="array" ref="FT349">IF(FO349="","",_xlfn.LET(_xlpm.nd,_xlfn.TEXTSPLIT(FO349,"|"),IF(COLUMNS(_xlpm.nd)&gt;3,A349&amp;"¦"&amp;INDEX(_xlpm.nd,3)&amp;"¦"&amp;INDEX(_xlpm.nd,4),"")))</f>
        <v/>
      </c>
      <c r="FU349" t="str">
        <f t="shared" si="511"/>
        <v/>
      </c>
      <c r="FV349" t="str" cm="1">
        <f t="array" ref="FV349">IF(FO349="","",_xlfn.LET(_xlpm.nd,_xlfn.TEXTSPLIT(FO349,"|"),IF(COLUMNS(_xlpm.nd)&gt;4,A349&amp;"¦"&amp;INDEX(_xlpm.nd,4)&amp;"¦"&amp;INDEX(_xlpm.nd,5),"")))</f>
        <v/>
      </c>
      <c r="FW349" t="str">
        <f t="shared" si="512"/>
        <v/>
      </c>
      <c r="FX349" t="str" cm="1">
        <f t="array" ref="FX349">IF(FO349="","",_xlfn.LET(_xlpm.nd,_xlfn.TEXTSPLIT(FO349,"|"),IF(COLUMNS(_xlpm.nd)&gt;5,A349&amp;"¦"&amp;INDEX(_xlpm.nd,5)&amp;"¦"&amp;INDEX(_xlpm.nd,6),"")))</f>
        <v/>
      </c>
      <c r="FY349" t="str">
        <f t="shared" si="513"/>
        <v/>
      </c>
      <c r="FZ349" t="str" cm="1">
        <f t="array" ref="FZ349">IF(FO349="","",_xlfn.LET(_xlpm.nd,_xlfn.TEXTSPLIT(FO349,"|"),IF(COLUMNS(_xlpm.nd)&gt;6,A349&amp;"¦"&amp;INDEX(_xlpm.nd,6)&amp;"¦"&amp;INDEX(_xlpm.nd,7),"")))</f>
        <v/>
      </c>
      <c r="GA349" t="str">
        <f t="shared" si="514"/>
        <v/>
      </c>
      <c r="GB349" t="str">
        <f t="shared" si="515"/>
        <v/>
      </c>
      <c r="GC349" t="str">
        <f t="shared" si="516"/>
        <v>QF8</v>
      </c>
      <c r="GD349">
        <f t="shared" si="517"/>
        <v>1</v>
      </c>
      <c r="GE349">
        <f t="shared" si="518"/>
        <v>0</v>
      </c>
      <c r="GF349">
        <f t="shared" si="519"/>
        <v>0</v>
      </c>
      <c r="GG349" t="str">
        <f t="shared" si="520"/>
        <v/>
      </c>
      <c r="GH349" t="str">
        <f t="shared" si="521"/>
        <v/>
      </c>
      <c r="GI349" t="str">
        <f t="shared" si="522"/>
        <v/>
      </c>
      <c r="GJ349" t="str">
        <f t="shared" si="523"/>
        <v/>
      </c>
      <c r="GK349" t="str">
        <f>IF(D349="","",IFERROR(VLOOKUP(D349,УГО_спр,2,FALSE),IFERROR(VLOOKUP(AT349,УГО_спр,2,FALSE),IFERROR(VLOOKUP(LEFT(AT349,2),УГО_спр,2,FALSE),""))))</f>
        <v/>
      </c>
      <c r="GL349" t="str">
        <f>IF(D349="","",IF(OR(GK349="",GK349=0),"BOX",IFERROR(IF(VLOOKUP(GK349,УГО_блоки,3,FALSE)&amp;""&lt;&gt;"",VLOOKUP(GK349,УГО_блоки,3,FALSE),VLOOKUP(GK349,УГО_блоки,2,FALSE)),GK349)))</f>
        <v>BOX</v>
      </c>
      <c r="GM349">
        <f t="shared" si="524"/>
        <v>1</v>
      </c>
      <c r="GN349" t="str">
        <f>IF(EP349="","",IF(COUNTIF(EP$3:EP349,EP349)=1,MAX(GN$2:GN348)+1,""))</f>
        <v/>
      </c>
      <c r="GO349" t="str">
        <f>IF(AF349="","",IF(COUNTIF(AF$3:AF349,AF349)+COUNTIF(AG$2:AG348,AF349)+COUNTIF(AH$2:AH348,AF349)=1,MAX(GO$2:GQ348)+1,""))</f>
        <v/>
      </c>
      <c r="GP349" t="str">
        <f>IF(AG349="","",IF(COUNTIF(AF$3:AF349,AG349)+COUNTIF(AG$3:AG349,AG349)+COUNTIF(AH$2:AH348,AG349)=1,MAX(GO$2:GQ348,GO349)+1,""))</f>
        <v/>
      </c>
      <c r="GQ349" t="str">
        <f>IF(AH349="","",IF(COUNTIF(AF$3:AF349,AH349)+COUNTIF(AG$3:AG349,AH349)+COUNTIF(AH$3:AH349,AH349)=1,MAX(GO$2:GQ348,GO349,GP349)+1,""))</f>
        <v/>
      </c>
      <c r="GR349" t="str">
        <f t="shared" si="525"/>
        <v>3х2,5</v>
      </c>
      <c r="GS349" t="str">
        <f>IF(GR349="","",IF(COUNTIF(GR$3:GR349,GR349)=1,MAX(GS$2:GS348)+1,""))</f>
        <v/>
      </c>
      <c r="GT349" t="str">
        <f>IF(ES349="","",COUNTIF(ES$3:ES349,"?*"))</f>
        <v/>
      </c>
      <c r="GU349" t="str">
        <f>IF(OR(ES349="",EU349=""),"",IF(COUNTIFS(ES$3:ES349,"?*",EU$3:EU349,EU349)=1,MAX(GU$2:GU348)+1,""))</f>
        <v/>
      </c>
      <c r="GV349">
        <f t="shared" si="526"/>
        <v>1</v>
      </c>
      <c r="GW349">
        <f>IF(D349="","",COUNTIF(D$3:D349,"?*"))</f>
        <v>347</v>
      </c>
      <c r="GX349">
        <f>IF(EX349&lt;&gt;1,0,_xlfn.LET(_xlpm.k,MAX(IFERROR(--VLOOKUP(D349,УГО_спр,5,FALSE),0),IFERROR(--VLOOKUP(AT349,УГО_спр,5,FALSE),0),IFERROR(--VLOOKUP(LEFT(AT349,2),УГО_спр,5,FALSE),0)),IF(_xlpm.k&gt;0,_xlpm.k,IF(IFERROR(--LEFT(SUBSTITUTE(GR349,"x","х"),FIND("х",SUBSTITUTE(GR349,"x","х"))-1),3)&gt;3,Каталог!$S$9,1))))</f>
        <v>1</v>
      </c>
      <c r="GY349">
        <f t="shared" si="527"/>
        <v>0</v>
      </c>
    </row>
    <row r="350" spans="1:207" x14ac:dyDescent="0.3">
      <c r="A350" t="s">
        <v>774</v>
      </c>
      <c r="B350">
        <v>25</v>
      </c>
      <c r="C350" t="str">
        <f>IF(BD350="","",IF(BE350="вводной узел","узел ","")&amp;"л."&amp;(INT((BD350-1)/Столбцов_на_лист)+1)&amp;" / "&amp;(MOD(BD350-1,Столбцов_на_лист)+1))</f>
        <v>л.2 / 8</v>
      </c>
      <c r="D350" t="s">
        <v>1692</v>
      </c>
      <c r="E350" s="133" t="s">
        <v>1691</v>
      </c>
      <c r="G350">
        <v>1.83</v>
      </c>
      <c r="H350">
        <v>3</v>
      </c>
      <c r="I350">
        <v>1</v>
      </c>
      <c r="J350">
        <v>230</v>
      </c>
      <c r="K350" t="s">
        <v>577</v>
      </c>
      <c r="O350">
        <v>1</v>
      </c>
      <c r="P350">
        <v>50</v>
      </c>
      <c r="Q350">
        <v>12</v>
      </c>
      <c r="R350">
        <v>12</v>
      </c>
      <c r="S350">
        <v>39</v>
      </c>
      <c r="T350">
        <v>1</v>
      </c>
      <c r="U350" t="s">
        <v>11</v>
      </c>
      <c r="V350">
        <v>3</v>
      </c>
      <c r="W350">
        <v>2.5</v>
      </c>
      <c r="X350">
        <v>16</v>
      </c>
      <c r="Z350" t="s">
        <v>613</v>
      </c>
      <c r="AA350" t="s">
        <v>818</v>
      </c>
      <c r="AD350" t="s">
        <v>517</v>
      </c>
      <c r="AK350" t="s">
        <v>488</v>
      </c>
      <c r="AR350" t="str">
        <f t="shared" si="441"/>
        <v>потери 6,3 % &gt; 4 %</v>
      </c>
      <c r="AS350" cm="1">
        <f t="array" ref="AS350">ROW()-ROW(Линии[#Headers])</f>
        <v>348</v>
      </c>
      <c r="AT350" t="str">
        <f t="shared" si="442"/>
        <v>OV</v>
      </c>
      <c r="AU350" t="str">
        <f t="shared" si="443"/>
        <v>4.1.2</v>
      </c>
      <c r="AV350" t="str">
        <f t="shared" si="444"/>
        <v>4</v>
      </c>
      <c r="AW350" t="str">
        <f t="shared" si="445"/>
        <v>1.2</v>
      </c>
      <c r="AX350" t="str">
        <f t="shared" si="446"/>
        <v>1</v>
      </c>
      <c r="AY350" t="str">
        <f>IF(D350="","",IF(ISERROR(SEARCH(".",D350)),IFERROR(VLOOKUP(D350,Потребители_обозначение,2,FALSE)&amp;"",""),IFERROR(IF(VLOOKUP(AT350,Потребители_обозначение,4,FALSE)=1,VLOOKUP(AT350,Потребители_обозначение,2,FALSE)&amp;" "&amp;VLOOKUP(AV350,Этаж_обозначение,2,FALSE)&amp;" Пом. №"&amp;AX350,VLOOKUP(AT350,Потребители_обозначение,2,FALSE)&amp;" Шлейф №"&amp;AV350),IFERROR(VLOOKUP(D350,Потребители_обозначение,2,FALSE),""))))</f>
        <v/>
      </c>
      <c r="AZ350" t="str">
        <f t="shared" si="447"/>
        <v>Обогревл ливнестоков Кровля</v>
      </c>
      <c r="BA350" t="str">
        <f>IF(F350&lt;&gt;"",F350,IF(AND(D350&lt;&gt;"",D350&lt;&gt;A350,ISNUMBER(_xlfn.XMATCH(D350,Щиты[Щит]))),D350,""))</f>
        <v/>
      </c>
      <c r="BB350">
        <f>IFERROR(_xlfn.XMATCH(A350,Щиты[Щит]),0)</f>
        <v>17</v>
      </c>
      <c r="BC350">
        <f>IFERROR(N(_xlfn.XLOOKUP(A350,Щиты[Щит],Щиты[Мест под вводной узел])),15)</f>
        <v>10</v>
      </c>
      <c r="BD350">
        <f t="shared" si="448"/>
        <v>25</v>
      </c>
      <c r="BE350" t="str">
        <f t="shared" si="449"/>
        <v>линии</v>
      </c>
      <c r="BF350">
        <f>IF(D350="","",IF(BA350&lt;&gt;"",IFERROR(_xlfn.XLOOKUP(BA350,Щиты[Щит],Щиты[Руст, кВт]),0),N(G350)))</f>
        <v>1.83</v>
      </c>
      <c r="BG350">
        <f>IF(J350&lt;&gt;"",J350,IF(D350="","",IFERROR(IF(VLOOKUP(AT350,Потребители_обозначение,8,FALSE)=0,"",VLOOKUP(AT350,Потребители_обозначение,8,FALSE)),"")))</f>
        <v>230</v>
      </c>
      <c r="BH350">
        <f>IF(I350&lt;&gt;"",I350,IF(D350="","",IFERROR(IF(VLOOKUP(AT350,Потребители_обозначение,9,FALSE)=0,"",VLOOKUP(AT350,Потребители_обозначение,9,FALSE)),"")))</f>
        <v>1</v>
      </c>
      <c r="BI350" t="str">
        <f>IF(U350&lt;&gt;"",U350,IF(D350="","",IFERROR(IF(VLOOKUP(AT350,Потребители_обозначение,6,FALSE)=0,"",VLOOKUP(AT350,Потребители_обозначение,6,FALSE)),"")))</f>
        <v>мс</v>
      </c>
      <c r="BJ350">
        <f>IF(V350&lt;&gt;"",V350,IF(D350="","",IFERROR(IF(VLOOKUP(AT350,Потребители_обозначение,7,FALSE)=0,"",VLOOKUP(AT350,Потребители_обозначение,7,FALSE)),"")))</f>
        <v>3</v>
      </c>
      <c r="BK350">
        <f>IF(W350&lt;&gt;"",W350,IF(D350="","",IFERROR(IF(VLOOKUP(AT350,Потребители_обозначение,10,FALSE)=0,"",VLOOKUP(AT350,Потребители_обозначение,10,FALSE)),"")))</f>
        <v>2.5</v>
      </c>
      <c r="BL350">
        <f>IFERROR(VLOOKUP(AT350,Потребители_обозначение,5,FALSE),0)</f>
        <v>0</v>
      </c>
      <c r="BM350" cm="1">
        <f t="array" ref="BM350">IF(D350="","",IF(BA350&lt;&gt;"",IFERROR(_xlfn.XLOOKUP(BA350,Щиты[Щит],Щиты[cos φ]),0.95),IF(ISNUMBER(M350),M350,IFERROR(IF(BL350=2,_xlfn.IFS(BH350=3,VLOOKUP(BF350,Справочная_двигатели,8,FALSE),BH350=1,VLOOKUP(BF350,Справочная_двигатели,10,TRUE)),IF(AND(Методика="нормы 2026",CN350="Сил"),0.8,0.95)),0.95))))</f>
        <v>0.95</v>
      </c>
      <c r="BN350" cm="1">
        <f t="array" ref="BN350">IF(D350="","",IF(BA350&lt;&gt;"",IFERROR(_xlfn.XLOOKUP(BA350,Щиты[Щит],Щиты[Iр, А]),""),IFERROR(_xlfn.IFS(BH350=1,BF350/((Uн_лин/SQRT(3))*BM350),BH350=3,BF350/(SQRT(3)*Uн_лин*BM350)),"")))</f>
        <v>8.3411920469764347</v>
      </c>
      <c r="BO350">
        <f>IF(D350="","",IF(N(X350)=0,IFERROR(VLOOKUP(BN350,Автомат_номиналы,2,TRUE),""),X350))</f>
        <v>16</v>
      </c>
      <c r="BP350">
        <f t="shared" si="450"/>
        <v>1</v>
      </c>
      <c r="BQ350">
        <f>IF(ISNUMBER(Y350),Y350,К_прокл)</f>
        <v>1</v>
      </c>
      <c r="BR350">
        <f t="shared" si="451"/>
        <v>2</v>
      </c>
      <c r="BS350" cm="1">
        <f t="array" ref="BS350">IF(D350="","",IF(N(BK350)&lt;&gt;0,BK350,IFERROR(_xlfn.LET(_xlpm.need,BO350/(BP350*BQ350),_xlpm.t,CHOOSE(BR350,Iдоп_1ж,Iдоп_2ж,Iдоп_3ж),_xlpm.k,_xlfn.XMATCH(_xlpm.need,_xlpm.t,1),IF(ISNA(_xlpm.k),"Не исп",INDEX(Iдоп_S,_xlpm.k))),"Не исп")))</f>
        <v>2.5</v>
      </c>
      <c r="BT350">
        <f>IFERROR(VLOOKUP(BS350,Кабель_сопротивление,3,FALSE),"")</f>
        <v>2.2499999999999999E-2</v>
      </c>
      <c r="BU350">
        <f>IFERROR(VLOOKUP(BS350,Кабель_сопротивление,2,FALSE),"")</f>
        <v>0.1</v>
      </c>
      <c r="BV350">
        <f t="shared" si="452"/>
        <v>50</v>
      </c>
      <c r="BW350">
        <f>IF(D350="","",IFERROR(IF(VLOOKUP(AT350,Потребители_обозначение,4,FALSE)=1,VLOOKUP(AT350,Потребители_обозначение,3,FALSE)*(H350*2-1)+BV350+VLOOKUP(AV350,Этаж_обозначение,3,FALSE)+VLOOKUP(AV350,Этаж_обозначение,4,FALSE),VLOOKUP(AT350,Потребители_обозначение,3,FALSE)*(H350*2-1)+BV350),BV350))</f>
        <v>50</v>
      </c>
      <c r="BX350">
        <f t="shared" si="453"/>
        <v>12</v>
      </c>
      <c r="BY350">
        <f t="shared" si="454"/>
        <v>39</v>
      </c>
      <c r="BZ350">
        <f t="shared" si="455"/>
        <v>2</v>
      </c>
      <c r="CA350">
        <f t="shared" si="456"/>
        <v>0.31</v>
      </c>
      <c r="CB350">
        <f t="shared" si="457"/>
        <v>7.1575768955104788</v>
      </c>
      <c r="CC350">
        <f>IFERROR(ROUNDUP(CB350/((Uн_лин/SQRT(3))*1000)*100,2),"")</f>
        <v>3.0999999999999996</v>
      </c>
      <c r="CD350">
        <f>IF(ISNUMBER(CC350),CC350+IFERROR(_xlfn.XLOOKUP(A350,Щиты[Щит],Щиты[ΔU до шин, %]),0),"")</f>
        <v>6.31</v>
      </c>
      <c r="CE350">
        <f>IF(D350="","",IF(IFERROR(VLOOKUP(AT350,УГО_спр,2,FALSE),"")="Светильник",3,4)+IF(Методика="нормы 2026",MIN(0.5,MAX(0,N(BW350)-100)*0.005),0))</f>
        <v>4</v>
      </c>
      <c r="CF350" t="str">
        <f>IFERROR(VLOOKUP(BI350,Кабель_обозначение,2,FALSE),"")</f>
        <v>ВВГнг(А)-LS</v>
      </c>
      <c r="CG350" t="str">
        <f>IFERROR(IF(VLOOKUP(BI350,Кабель_обозначение,3,FALSE)=1,CF350&amp;" ("&amp;BJ350&amp;"х"&amp;BS350&amp;")",CF350),"")</f>
        <v>ВВГнг(А)-LS (3х2,5)</v>
      </c>
      <c r="CH350" t="str">
        <f t="shared" si="458"/>
        <v>ВВГнг(А)-LS (3х2,5)
L=50-3,1%</v>
      </c>
      <c r="CI350">
        <f>IFERROR(2*ρкз_Cu*BW350/BS350,"")</f>
        <v>1.052</v>
      </c>
      <c r="CJ350">
        <f t="shared" si="459"/>
        <v>0.35000000000000003</v>
      </c>
      <c r="CK350" t="str">
        <f>IFERROR(IF(OR(D350="",NOT(ISNUMBER(BS350)),N(BW350)=0),"",_xlfn.XLOOKUP(A350,Щиты[Щит],Щиты[Zпетли на шинах, Ом])+CI350),"")</f>
        <v/>
      </c>
      <c r="CL350" t="str">
        <f>IF(ISNUMBER(CK350),c_min*(Uн_лин*1000/SQRT(3))/CK350,"")</f>
        <v/>
      </c>
      <c r="CM350" t="str">
        <f>IFERROR(IF(OR(D350="",NOT(ISNUMBER(BS350))),"",1.05*(Uн_лин*1000/SQRT(3))/(_xlfn.XLOOKUP(A350,Щиты[Щит],Щиты[Zmax на шинах, Ом])+CJ350)/1000),"")</f>
        <v/>
      </c>
      <c r="CN350" t="str">
        <f>IF(D350="","",IF(BA350&lt;&gt;"","Щит",IF(K350&lt;&gt;"",K350,IF(ISNUMBER(L350),"Сил",IF(IFERROR(_xlfn.XLOOKUP(AT350,Коды_код,Коды_группа)&amp;"","")="","Быт",_xlfn.XLOOKUP(AT350,Коды_код,Коды_группа)&amp;"")))))</f>
        <v>Пост</v>
      </c>
      <c r="CO350">
        <f>IF(CN350="Щит","щит",IF(CN350="","",IF(CN350="Быт",IFERROR(_xlfn.XLOOKUP(A350,Щиты[Щит],Щиты[Кс быт]),1),IF(CN350="Сил",IF(ISNUMBER(L350),L350,IF(Методика="нормы 2026",IFERROR(_xlfn.XLOOKUP(A350,Щиты[Щит],Щиты[Кс силовых (табл. 7.5)]),1),1)),IF(OR(CN350="Пост",CN350="Отоп"),1,IF(CN350="ВНГ",0.7,0))))))</f>
        <v>1</v>
      </c>
      <c r="CP350">
        <f t="shared" si="460"/>
        <v>1</v>
      </c>
      <c r="CQ350">
        <f t="shared" si="461"/>
        <v>1.83</v>
      </c>
      <c r="CR350">
        <f t="shared" si="462"/>
        <v>0</v>
      </c>
      <c r="CS350">
        <f t="shared" si="463"/>
        <v>0</v>
      </c>
      <c r="CT350">
        <f t="shared" si="464"/>
        <v>1.83</v>
      </c>
      <c r="CU350">
        <f t="shared" si="465"/>
        <v>0</v>
      </c>
      <c r="CV350">
        <f t="shared" si="466"/>
        <v>0</v>
      </c>
      <c r="CW350">
        <f t="shared" si="467"/>
        <v>1.83</v>
      </c>
      <c r="CX350">
        <f t="shared" si="468"/>
        <v>1.7384999999999999</v>
      </c>
      <c r="CY350">
        <f t="shared" si="469"/>
        <v>3</v>
      </c>
      <c r="CZ350" t="str">
        <f t="shared" si="470"/>
        <v>L3</v>
      </c>
      <c r="DA350" cm="1">
        <f t="array" ref="DA350">IFERROR(IF(BL350=2,_xlfn.IFS(BH350=3,VLOOKUP(BF350,Справочная_двигатели,3,FALSE),BH350=1,VLOOKUP(BF350,Справочная_двигатели,5,TRUE)),0),0)</f>
        <v>0</v>
      </c>
      <c r="DB350">
        <f>IFERROR(IF(BL350=3,VLOOKUP(BF350,Справочная_ЛЭД,2,TRUE),0),0)</f>
        <v>0</v>
      </c>
      <c r="DC350">
        <f t="shared" si="471"/>
        <v>0</v>
      </c>
      <c r="DD350" t="str">
        <f t="shared" si="472"/>
        <v>L1</v>
      </c>
      <c r="DE350" t="str" cm="1">
        <f t="array" ref="DE350">IF(D350="","",IFERROR(INDEX({"I особая","I","II","III"},MATCH(TRIM(AA350&amp;""),{"I особая","I","II","III"},0)),"III"))</f>
        <v>II</v>
      </c>
      <c r="DF350" t="str">
        <f>IF(D350="","",IF(TRIM(AB350&amp;"")&lt;&gt;"",IF(LOWER(TRIM(AB350&amp;""))="да","да","нет"),IF(IFERROR(_xlfn.XLOOKUP(AT350,Коды_код,Коды_пожарная),"")="да","да","нет")))</f>
        <v>нет</v>
      </c>
      <c r="DG350" t="str">
        <f t="shared" si="473"/>
        <v/>
      </c>
      <c r="DH350" t="str">
        <f t="shared" si="474"/>
        <v>основная</v>
      </c>
      <c r="DI350">
        <f t="shared" si="475"/>
        <v>1</v>
      </c>
      <c r="DJ350" t="str" cm="1">
        <f t="array" ref="DJ350">IF(D350="","",_xlfn.LET(_xlpm.t,IFERROR(_xlfn.XLOOKUP(1,(Шины[Шина]=DH350)*(((Шины[Щит]=A350)+(Шины[Щит]=""))&gt;0),Шины[Тип]),"")&amp;"",IF(_xlpm.t&lt;&gt;"",_xlpm.t,IF(ISNUMBER(SEARCH("ИБП",DH350)),"ИБП",IF(ISNUMBER(SEARCH("ДГУ",DH350)),"ДГУ","Ввод "&amp;DI350)))))</f>
        <v>Ввод 1</v>
      </c>
      <c r="DK350" t="str">
        <f t="shared" si="476"/>
        <v>Ввод 1</v>
      </c>
      <c r="DL350" t="str">
        <f>IF(D350="","",IF(OR(DJ350="ИБП",DJ350="ДГУ"),"I особая",IF(DJ350="Одиночная","III",_xlfn.XLOOKUP(A350,Щиты[Щит],Щиты[Категория шины «Ввод»],"III"))))</f>
        <v>II</v>
      </c>
      <c r="DM350">
        <f>IF(D350="",0,IFERROR(MATCH(DE350,{"III","II","I","I особая"},0),1))</f>
        <v>2</v>
      </c>
      <c r="DN350">
        <f t="shared" si="477"/>
        <v>2</v>
      </c>
      <c r="DO350" t="str">
        <f>IF(D350="","",IF(DM350&gt;IFERROR(MATCH(DL350,{"III","II","I","I особая"},0),1),"НЕ ОБЕСПЕЧЕНА","ОК"))</f>
        <v>ОК</v>
      </c>
      <c r="DP350" t="str">
        <f>IF(A350="","",_xlfn.XLOOKUP(A350,Щиты[Щит],Щиты[Путь],""))</f>
        <v>|ГРЩ-ЖД|ЩУОВ|</v>
      </c>
      <c r="DQ350" t="str">
        <f>IF(D350="","",IF(Z350&lt;&gt;"",Z350,IF(IFERROR(_xlfn.XLOOKUP(AT350,Коды_код,Коды_вид)&amp;"","")="","Прочее",_xlfn.XLOOKUP(AT350,Коды_код,Коды_вид)&amp;"")))</f>
        <v>Обогрев водостоков и кровли</v>
      </c>
      <c r="DR350">
        <f>IF(BD350="","",INT((BD350-1)/Столбцов_на_лист)+1)</f>
        <v>2</v>
      </c>
      <c r="DS350" t="str">
        <f t="shared" si="478"/>
        <v>ВВГнг(А)-LS (3х2,5) L=50-3,1%</v>
      </c>
      <c r="DT350">
        <f t="shared" si="479"/>
        <v>1.83</v>
      </c>
      <c r="DU350">
        <f t="shared" si="480"/>
        <v>8.35</v>
      </c>
      <c r="DV350">
        <f t="shared" si="481"/>
        <v>1</v>
      </c>
      <c r="DW350">
        <f>IF(AT350="",0,_xlfn.LET(_xlpm.v,IFERROR(VLOOKUP(D350,УГО_спр,3,FALSE),IFERROR(VLOOKUP(AT350,УГО_спр,3,FALSE),IFERROR(VLOOKUP(LEFT(AT350,2),УГО_спр,3,FALSE),""))),IF(_xlpm.v="да",30,IF(ISNUMBER(_xlpm.v),_xlpm.v,0))))</f>
        <v>0</v>
      </c>
      <c r="DX350">
        <f t="shared" si="482"/>
        <v>0</v>
      </c>
      <c r="DY350">
        <f>IF(BD350="","",IF(AD350&lt;&gt;"",COUNTIFS(A$3:A350,A350,AD$3:AD350,"?*"),IF(OR(OR(AS350=1,A350&lt;&gt;A349),AL350="вручную"),"",IF(AS350=1,"",DZ349))))</f>
        <v>9</v>
      </c>
      <c r="DZ350">
        <f t="shared" si="483"/>
        <v>9</v>
      </c>
      <c r="EA350">
        <f>IF(D350="",0,MAX(IFERROR(--X350,0),IFERROR(--VLOOKUP(D350,УГО_спр,4,FALSE),IFERROR(--VLOOKUP(AT350,УГО_спр,4,FALSE),IFERROR(--VLOOKUP(LEFT(AT350,2),УГО_спр,4,FALSE),0)))))</f>
        <v>16</v>
      </c>
      <c r="EB350">
        <f>IF(D350="","",IFERROR(LOOKUP(INDEX(CHOOSE(BR350,Iдоп_1ж,Iдоп_2ж,Iдоп_3ж),MATCH(BS350,Iдоп_S,0))*BP350*BQ350,{6,10,16,20,25,32,40,50,63,80,100,125,160,200,250,315,400,500,630}),""))</f>
        <v>25</v>
      </c>
      <c r="EC350">
        <f>IF(AD350="","",SUMIFS(Линии[_Ток схемы],Линии[_гр.],DY350,Линии[Щит],A350,Линии[_в кабель выше],0))</f>
        <v>8.35</v>
      </c>
      <c r="ED350">
        <f>IF(AD350="","",IFERROR(VLOOKUP(EC350,Автомат_номиналы,2,TRUE),""))</f>
        <v>10</v>
      </c>
      <c r="EE350">
        <f>IF(AD350="","",MAX(N(ED350),_xlfn.MAXIFS(Линии[_мин. по типу],Линии[_гр.],DY350,Линии[Щит],A350)))</f>
        <v>16</v>
      </c>
      <c r="EF350">
        <f>IF(AD350="","",_xlfn.MINIFS(Линии[_макс. автомат по кабелю],Линии[_гр.],DY350,Линии[Щит],A350))</f>
        <v>25</v>
      </c>
      <c r="EG350">
        <f>IF(AD350="","",MAX(1,_xlfn.MAXIFS(Линии[_фаз],Линии[_гр.],DY350,Линии[Щит],A350)))</f>
        <v>1</v>
      </c>
      <c r="EH350">
        <f>IF(AD350="","",IF(AND(AD350&lt;&gt;"авто",AD350&lt;&gt;"+"),IF(ISNUMBER(SEARCH("мА",AD350)),IFERROR(--TRIM(RIGHT(SUBSTITUTE(LEFT(AD350,SEARCH("мА",AD350)-1)," ",REPT(" ",9)),6)),30),0),IF(AE350="нет",0,IF(ISNUMBER(AE350),AE350,IF(AE350="да",30,_xlfn.MINIFS(Линии[_дифзащита по коду, мА],Линии[_гр.],DY350,Линии[Щит],A350,Линии[_дифзащита по коду, мА],"&gt;0"))))))</f>
        <v>0</v>
      </c>
      <c r="EI350">
        <f t="shared" si="484"/>
        <v>0</v>
      </c>
      <c r="EJ350" t="str">
        <f t="shared" si="485"/>
        <v>QF9</v>
      </c>
      <c r="EK350" t="str">
        <f t="shared" si="486"/>
        <v>QF9</v>
      </c>
      <c r="EL350" t="str">
        <f t="shared" si="487"/>
        <v/>
      </c>
      <c r="EM350">
        <f t="shared" si="488"/>
        <v>0</v>
      </c>
      <c r="EN350">
        <f>IF(AD350="","",IF(EM350=1,MAX(EE350,Мин_автомат_БП),EE350))</f>
        <v>16</v>
      </c>
      <c r="EO350" t="str">
        <f t="shared" si="489"/>
        <v>1P</v>
      </c>
      <c r="EP350" t="str">
        <f t="shared" si="490"/>
        <v>1P С16А</v>
      </c>
      <c r="EQ350">
        <f t="shared" si="491"/>
        <v>16</v>
      </c>
      <c r="ER350" t="str">
        <f>IF(OR(AI350="",AI350="-"),"",IFERROR(VLOOKUP(AI350,Модули_спр,2,FALSE),"R"))</f>
        <v/>
      </c>
      <c r="ES350" t="str">
        <f>IF(ER350="","",ER350&amp;"."&amp;COUNTIFS(A$3:A350,A350,ER$3:ER350,ER350))</f>
        <v/>
      </c>
      <c r="ET350" t="str">
        <f t="shared" si="492"/>
        <v/>
      </c>
      <c r="EU350" t="str">
        <f t="shared" si="493"/>
        <v/>
      </c>
      <c r="EV350" t="str">
        <f t="shared" si="494"/>
        <v/>
      </c>
      <c r="EW350" t="str">
        <f t="shared" si="495"/>
        <v/>
      </c>
      <c r="EX350">
        <f t="shared" si="496"/>
        <v>1</v>
      </c>
      <c r="EY350" t="str">
        <f>IF(AK350="нет","",IF(AK350&lt;&gt;"",AK350,IF(EX350=1,"XT"&amp;COUNTIFS(A$3:A350,A350,EX$3:EX350,1),"")))</f>
        <v/>
      </c>
      <c r="EZ350" t="str">
        <f t="shared" si="497"/>
        <v>QF9</v>
      </c>
      <c r="FA350" t="str">
        <f t="shared" si="498"/>
        <v/>
      </c>
      <c r="FB350" t="str">
        <f t="shared" si="499"/>
        <v>ok</v>
      </c>
      <c r="FC350" t="str">
        <f>IF(OR(EV350="",ET350=""),"",IF(EV350&gt;IFERROR(VLOOKUP(EU350,Модули_спр,3,FALSE),99),"ЛИШНИЙ КАНАЛ",IF(AND(AJ350&lt;&gt;"=",COUNTIFS(Линии[_модуль гр.],ET350,Линии[Канал (итог)],EV350,Линии[Канал],"&lt;&gt;=",Линии[Щит],A350)&gt;1),"ДУБЛЬ КАНАЛА","")))</f>
        <v/>
      </c>
      <c r="FD350">
        <f t="shared" si="500"/>
        <v>16</v>
      </c>
      <c r="FE350" t="str">
        <f t="shared" si="501"/>
        <v>1P С16А</v>
      </c>
      <c r="FF350">
        <f t="shared" si="502"/>
        <v>0</v>
      </c>
      <c r="FG350">
        <f t="shared" si="503"/>
        <v>0</v>
      </c>
      <c r="FH350" t="str">
        <f t="shared" si="504"/>
        <v/>
      </c>
      <c r="FI350">
        <f t="shared" si="505"/>
        <v>10</v>
      </c>
      <c r="FJ350" t="str">
        <f t="shared" si="506"/>
        <v/>
      </c>
      <c r="FK350" t="str">
        <f>IF(AND(D350="",EZ350=""),"",_xlfn.TEXTJOIN("; ",TRUE,IF(AND(D350&lt;&gt;"",DD350=""),"нет фазы",""),IF(AND(D350&lt;&gt;"",N(DT350)=0,CN350&lt;&gt;"Нет"),"нет мощности",""),IF(AND(EY350&lt;&gt;"",COUNTIFS(Линии[Щит],A350,Линии[Клемма (итог)],EY350)&gt;1),"дубль клеммы "&amp;EY350,""),IF(AND(FB350&lt;&gt;"",FB350&lt;&gt;"ok"),FB350,""),IF(FC350&lt;&gt;"",FC350,""),IF(AND(ISNUMBER(SEARCH("(5х",DS350)),N(DV350)=1),"5 жил на 1 фазе",""),IF(AND(AT350="R",AD350&lt;&gt;"",OR(N(EH350)=0,N(EH350)&gt;30)),"розетка без дифзащиты до 30 мА",""),IFERROR(IF(AND(ISNUMBER(CD350),CD350&gt;CE350),"потери "&amp;FIXED(CD350,1)&amp;" % &gt; "&amp;CE350&amp;" %",""),""),IFERROR(IF(LEFT(FJ350,4)="мало","Iкз мало — отключение &gt; 0,4 с",""),""),IF(AND(D350&lt;&gt;"",BD350=""),"не на схеме","")))</f>
        <v>потери 6,3 % &gt; 4 %</v>
      </c>
      <c r="FL350">
        <f>IF(AD350="","",_xlfn.LET(_xlpm.t,IFERROR(_xlfn.XLOOKUP(EP350,Каталог!$U$4:$U$500,Каталог!$G$4:$G$500),""),_xlpm.k,SEARCH("кА",_xlpm.t),IFERROR(--TRIM(RIGHT(SUBSTITUTE(MID(_xlpm.t,MAX(1,_xlpm.k-4),_xlpm.k-MAX(1,_xlpm.k-4))," ",REPT(" ",9)),5)),"")))</f>
        <v>6</v>
      </c>
      <c r="FM350" t="str">
        <f>IF(OR(FL350="",AD350=""),"",IF(_xlfn.XLOOKUP(A350,Щиты[Щит],Щиты[Iкз max на шинах, кА],"")="","",IF(FL350&lt;_xlfn.XLOOKUP(A350,Щиты[Щит],Щиты[Iкз max на шинах, кА]),"Icu "&amp;FL350&amp;" кА &lt; Iкз max","ok")))</f>
        <v/>
      </c>
      <c r="FN350" t="str">
        <f t="shared" si="507"/>
        <v>QF9</v>
      </c>
      <c r="FO350" t="str">
        <f t="shared" si="508"/>
        <v>QF9|кабель ВВГнг(А)-LS (3х2,5) → Обогревл ливнестоков Кровля</v>
      </c>
      <c r="FP350" t="str" cm="1">
        <f t="array" ref="FP350">IF(FO350="","",_xlfn.LET(_xlpm.nd,_xlfn.TEXTSPLIT(FO350,"|"),IF(COLUMNS(_xlpm.nd)&gt;1,A350&amp;"¦"&amp;INDEX(_xlpm.nd,1)&amp;"¦"&amp;INDEX(_xlpm.nd,2),"")))</f>
        <v>ЩУОВ¦QF9¦кабель ВВГнг(А)-LS (3х2,5) → Обогревл ливнестоков Кровля</v>
      </c>
      <c r="FQ350" t="str">
        <f t="shared" si="509"/>
        <v>OV.4.1.2¦Обогревл ливнестоков Кровля</v>
      </c>
      <c r="FR350" t="str" cm="1">
        <f t="array" ref="FR350">IF(FO350="","",_xlfn.LET(_xlpm.nd,_xlfn.TEXTSPLIT(FO350,"|"),IF(COLUMNS(_xlpm.nd)&gt;2,A350&amp;"¦"&amp;INDEX(_xlpm.nd,2)&amp;"¦"&amp;INDEX(_xlpm.nd,3),"")))</f>
        <v/>
      </c>
      <c r="FS350" t="str">
        <f t="shared" si="510"/>
        <v/>
      </c>
      <c r="FT350" t="str" cm="1">
        <f t="array" ref="FT350">IF(FO350="","",_xlfn.LET(_xlpm.nd,_xlfn.TEXTSPLIT(FO350,"|"),IF(COLUMNS(_xlpm.nd)&gt;3,A350&amp;"¦"&amp;INDEX(_xlpm.nd,3)&amp;"¦"&amp;INDEX(_xlpm.nd,4),"")))</f>
        <v/>
      </c>
      <c r="FU350" t="str">
        <f t="shared" si="511"/>
        <v/>
      </c>
      <c r="FV350" t="str" cm="1">
        <f t="array" ref="FV350">IF(FO350="","",_xlfn.LET(_xlpm.nd,_xlfn.TEXTSPLIT(FO350,"|"),IF(COLUMNS(_xlpm.nd)&gt;4,A350&amp;"¦"&amp;INDEX(_xlpm.nd,4)&amp;"¦"&amp;INDEX(_xlpm.nd,5),"")))</f>
        <v/>
      </c>
      <c r="FW350" t="str">
        <f t="shared" si="512"/>
        <v/>
      </c>
      <c r="FX350" t="str" cm="1">
        <f t="array" ref="FX350">IF(FO350="","",_xlfn.LET(_xlpm.nd,_xlfn.TEXTSPLIT(FO350,"|"),IF(COLUMNS(_xlpm.nd)&gt;5,A350&amp;"¦"&amp;INDEX(_xlpm.nd,5)&amp;"¦"&amp;INDEX(_xlpm.nd,6),"")))</f>
        <v/>
      </c>
      <c r="FY350" t="str">
        <f t="shared" si="513"/>
        <v/>
      </c>
      <c r="FZ350" t="str" cm="1">
        <f t="array" ref="FZ350">IF(FO350="","",_xlfn.LET(_xlpm.nd,_xlfn.TEXTSPLIT(FO350,"|"),IF(COLUMNS(_xlpm.nd)&gt;6,A350&amp;"¦"&amp;INDEX(_xlpm.nd,6)&amp;"¦"&amp;INDEX(_xlpm.nd,7),"")))</f>
        <v/>
      </c>
      <c r="GA350" t="str">
        <f t="shared" si="514"/>
        <v/>
      </c>
      <c r="GB350" t="str">
        <f t="shared" si="515"/>
        <v/>
      </c>
      <c r="GC350" t="str">
        <f t="shared" si="516"/>
        <v>QF9</v>
      </c>
      <c r="GD350">
        <f t="shared" si="517"/>
        <v>1</v>
      </c>
      <c r="GE350">
        <f t="shared" si="518"/>
        <v>0</v>
      </c>
      <c r="GF350">
        <f t="shared" si="519"/>
        <v>0</v>
      </c>
      <c r="GG350" t="str">
        <f t="shared" si="520"/>
        <v/>
      </c>
      <c r="GH350" t="str">
        <f t="shared" si="521"/>
        <v/>
      </c>
      <c r="GI350" t="str">
        <f t="shared" si="522"/>
        <v/>
      </c>
      <c r="GJ350" t="str">
        <f t="shared" si="523"/>
        <v/>
      </c>
      <c r="GK350" t="str">
        <f>IF(D350="","",IFERROR(VLOOKUP(D350,УГО_спр,2,FALSE),IFERROR(VLOOKUP(AT350,УГО_спр,2,FALSE),IFERROR(VLOOKUP(LEFT(AT350,2),УГО_спр,2,FALSE),""))))</f>
        <v/>
      </c>
      <c r="GL350" t="str">
        <f>IF(D350="","",IF(OR(GK350="",GK350=0),"BOX",IFERROR(IF(VLOOKUP(GK350,УГО_блоки,3,FALSE)&amp;""&lt;&gt;"",VLOOKUP(GK350,УГО_блоки,3,FALSE),VLOOKUP(GK350,УГО_блоки,2,FALSE)),GK350)))</f>
        <v>BOX</v>
      </c>
      <c r="GM350">
        <f t="shared" si="524"/>
        <v>1</v>
      </c>
      <c r="GN350" t="str">
        <f>IF(EP350="","",IF(COUNTIF(EP$3:EP350,EP350)=1,MAX(GN$2:GN349)+1,""))</f>
        <v/>
      </c>
      <c r="GO350" t="str">
        <f>IF(AF350="","",IF(COUNTIF(AF$3:AF350,AF350)+COUNTIF(AG$2:AG349,AF350)+COUNTIF(AH$2:AH349,AF350)=1,MAX(GO$2:GQ349)+1,""))</f>
        <v/>
      </c>
      <c r="GP350" t="str">
        <f>IF(AG350="","",IF(COUNTIF(AF$3:AF350,AG350)+COUNTIF(AG$3:AG350,AG350)+COUNTIF(AH$2:AH349,AG350)=1,MAX(GO$2:GQ349,GO350)+1,""))</f>
        <v/>
      </c>
      <c r="GQ350" t="str">
        <f>IF(AH350="","",IF(COUNTIF(AF$3:AF350,AH350)+COUNTIF(AG$3:AG350,AH350)+COUNTIF(AH$3:AH350,AH350)=1,MAX(GO$2:GQ349,GO350,GP350)+1,""))</f>
        <v/>
      </c>
      <c r="GR350" t="str">
        <f t="shared" si="525"/>
        <v>3х2,5</v>
      </c>
      <c r="GS350" t="str">
        <f>IF(GR350="","",IF(COUNTIF(GR$3:GR350,GR350)=1,MAX(GS$2:GS349)+1,""))</f>
        <v/>
      </c>
      <c r="GT350" t="str">
        <f>IF(ES350="","",COUNTIF(ES$3:ES350,"?*"))</f>
        <v/>
      </c>
      <c r="GU350" t="str">
        <f>IF(OR(ES350="",EU350=""),"",IF(COUNTIFS(ES$3:ES350,"?*",EU$3:EU350,EU350)=1,MAX(GU$2:GU349)+1,""))</f>
        <v/>
      </c>
      <c r="GV350">
        <f t="shared" si="526"/>
        <v>1</v>
      </c>
      <c r="GW350">
        <f>IF(D350="","",COUNTIF(D$3:D350,"?*"))</f>
        <v>348</v>
      </c>
      <c r="GX350">
        <f>IF(EX350&lt;&gt;1,0,_xlfn.LET(_xlpm.k,MAX(IFERROR(--VLOOKUP(D350,УГО_спр,5,FALSE),0),IFERROR(--VLOOKUP(AT350,УГО_спр,5,FALSE),0),IFERROR(--VLOOKUP(LEFT(AT350,2),УГО_спр,5,FALSE),0)),IF(_xlpm.k&gt;0,_xlpm.k,IF(IFERROR(--LEFT(SUBSTITUTE(GR350,"x","х"),FIND("х",SUBSTITUTE(GR350,"x","х"))-1),3)&gt;3,Каталог!$S$9,1))))</f>
        <v>1</v>
      </c>
      <c r="GY350">
        <f t="shared" si="527"/>
        <v>0</v>
      </c>
    </row>
    <row r="351" spans="1:207" x14ac:dyDescent="0.3">
      <c r="A351" t="s">
        <v>774</v>
      </c>
      <c r="B351">
        <v>26</v>
      </c>
      <c r="C351" t="str">
        <f>IF(BD351="","",IF(BE351="вводной узел","узел ","")&amp;"л."&amp;(INT((BD351-1)/Столбцов_на_лист)+1)&amp;" / "&amp;(MOD(BD351-1,Столбцов_на_лист)+1))</f>
        <v>л.2 / 9</v>
      </c>
      <c r="D351" t="s">
        <v>1693</v>
      </c>
      <c r="E351" s="133" t="s">
        <v>1691</v>
      </c>
      <c r="G351">
        <v>1.95</v>
      </c>
      <c r="H351">
        <v>3</v>
      </c>
      <c r="I351">
        <v>1</v>
      </c>
      <c r="J351">
        <v>230</v>
      </c>
      <c r="K351" t="s">
        <v>577</v>
      </c>
      <c r="O351">
        <v>1</v>
      </c>
      <c r="P351">
        <v>83</v>
      </c>
      <c r="Q351">
        <v>12</v>
      </c>
      <c r="R351">
        <v>12</v>
      </c>
      <c r="S351">
        <v>72</v>
      </c>
      <c r="T351">
        <v>1</v>
      </c>
      <c r="U351" t="s">
        <v>11</v>
      </c>
      <c r="V351">
        <v>3</v>
      </c>
      <c r="W351">
        <v>4</v>
      </c>
      <c r="X351">
        <v>16</v>
      </c>
      <c r="Z351" t="s">
        <v>613</v>
      </c>
      <c r="AA351" t="s">
        <v>818</v>
      </c>
      <c r="AD351" t="s">
        <v>517</v>
      </c>
      <c r="AK351" t="s">
        <v>488</v>
      </c>
      <c r="AR351" t="str">
        <f t="shared" si="441"/>
        <v>потери 6,7 % &gt; 4 %</v>
      </c>
      <c r="AS351" cm="1">
        <f t="array" ref="AS351">ROW()-ROW(Линии[#Headers])</f>
        <v>349</v>
      </c>
      <c r="AT351" t="str">
        <f t="shared" si="442"/>
        <v>OV</v>
      </c>
      <c r="AU351" t="str">
        <f t="shared" si="443"/>
        <v>4.1.3</v>
      </c>
      <c r="AV351" t="str">
        <f t="shared" si="444"/>
        <v>4</v>
      </c>
      <c r="AW351" t="str">
        <f t="shared" si="445"/>
        <v>1.3</v>
      </c>
      <c r="AX351" t="str">
        <f t="shared" si="446"/>
        <v>1</v>
      </c>
      <c r="AY351" t="str">
        <f>IF(D351="","",IF(ISERROR(SEARCH(".",D351)),IFERROR(VLOOKUP(D351,Потребители_обозначение,2,FALSE)&amp;"",""),IFERROR(IF(VLOOKUP(AT351,Потребители_обозначение,4,FALSE)=1,VLOOKUP(AT351,Потребители_обозначение,2,FALSE)&amp;" "&amp;VLOOKUP(AV351,Этаж_обозначение,2,FALSE)&amp;" Пом. №"&amp;AX351,VLOOKUP(AT351,Потребители_обозначение,2,FALSE)&amp;" Шлейф №"&amp;AV351),IFERROR(VLOOKUP(D351,Потребители_обозначение,2,FALSE),""))))</f>
        <v/>
      </c>
      <c r="AZ351" t="str">
        <f t="shared" si="447"/>
        <v>Обогревл ливнестоков Кровля</v>
      </c>
      <c r="BA351" t="str">
        <f>IF(F351&lt;&gt;"",F351,IF(AND(D351&lt;&gt;"",D351&lt;&gt;A351,ISNUMBER(_xlfn.XMATCH(D351,Щиты[Щит]))),D351,""))</f>
        <v/>
      </c>
      <c r="BB351">
        <f>IFERROR(_xlfn.XMATCH(A351,Щиты[Щит]),0)</f>
        <v>17</v>
      </c>
      <c r="BC351">
        <f>IFERROR(N(_xlfn.XLOOKUP(A351,Щиты[Щит],Щиты[Мест под вводной узел])),15)</f>
        <v>10</v>
      </c>
      <c r="BD351">
        <f t="shared" si="448"/>
        <v>26</v>
      </c>
      <c r="BE351" t="str">
        <f t="shared" si="449"/>
        <v>линии</v>
      </c>
      <c r="BF351">
        <f>IF(D351="","",IF(BA351&lt;&gt;"",IFERROR(_xlfn.XLOOKUP(BA351,Щиты[Щит],Щиты[Руст, кВт]),0),N(G351)))</f>
        <v>1.95</v>
      </c>
      <c r="BG351">
        <f>IF(J351&lt;&gt;"",J351,IF(D351="","",IFERROR(IF(VLOOKUP(AT351,Потребители_обозначение,8,FALSE)=0,"",VLOOKUP(AT351,Потребители_обозначение,8,FALSE)),"")))</f>
        <v>230</v>
      </c>
      <c r="BH351">
        <f>IF(I351&lt;&gt;"",I351,IF(D351="","",IFERROR(IF(VLOOKUP(AT351,Потребители_обозначение,9,FALSE)=0,"",VLOOKUP(AT351,Потребители_обозначение,9,FALSE)),"")))</f>
        <v>1</v>
      </c>
      <c r="BI351" t="str">
        <f>IF(U351&lt;&gt;"",U351,IF(D351="","",IFERROR(IF(VLOOKUP(AT351,Потребители_обозначение,6,FALSE)=0,"",VLOOKUP(AT351,Потребители_обозначение,6,FALSE)),"")))</f>
        <v>мс</v>
      </c>
      <c r="BJ351">
        <f>IF(V351&lt;&gt;"",V351,IF(D351="","",IFERROR(IF(VLOOKUP(AT351,Потребители_обозначение,7,FALSE)=0,"",VLOOKUP(AT351,Потребители_обозначение,7,FALSE)),"")))</f>
        <v>3</v>
      </c>
      <c r="BK351">
        <f>IF(W351&lt;&gt;"",W351,IF(D351="","",IFERROR(IF(VLOOKUP(AT351,Потребители_обозначение,10,FALSE)=0,"",VLOOKUP(AT351,Потребители_обозначение,10,FALSE)),"")))</f>
        <v>4</v>
      </c>
      <c r="BL351">
        <f>IFERROR(VLOOKUP(AT351,Потребители_обозначение,5,FALSE),0)</f>
        <v>0</v>
      </c>
      <c r="BM351" cm="1">
        <f t="array" ref="BM351">IF(D351="","",IF(BA351&lt;&gt;"",IFERROR(_xlfn.XLOOKUP(BA351,Щиты[Щит],Щиты[cos φ]),0.95),IF(ISNUMBER(M351),M351,IFERROR(IF(BL351=2,_xlfn.IFS(BH351=3,VLOOKUP(BF351,Справочная_двигатели,8,FALSE),BH351=1,VLOOKUP(BF351,Справочная_двигатели,10,TRUE)),IF(AND(Методика="нормы 2026",CN351="Сил"),0.8,0.95)),0.95))))</f>
        <v>0.95</v>
      </c>
      <c r="BN351" cm="1">
        <f t="array" ref="BN351">IF(D351="","",IF(BA351&lt;&gt;"",IFERROR(_xlfn.XLOOKUP(BA351,Щиты[Щит],Щиты[Iр, А]),""),IFERROR(_xlfn.IFS(BH351=1,BF351/((Uн_лин/SQRT(3))*BM351),BH351=3,BF351/(SQRT(3)*Uн_лин*BM351)),"")))</f>
        <v>8.8881554598929231</v>
      </c>
      <c r="BO351">
        <f>IF(D351="","",IF(N(X351)=0,IFERROR(VLOOKUP(BN351,Автомат_номиналы,2,TRUE),""),X351))</f>
        <v>16</v>
      </c>
      <c r="BP351">
        <f t="shared" si="450"/>
        <v>1</v>
      </c>
      <c r="BQ351">
        <f>IF(ISNUMBER(Y351),Y351,К_прокл)</f>
        <v>1</v>
      </c>
      <c r="BR351">
        <f t="shared" si="451"/>
        <v>2</v>
      </c>
      <c r="BS351" cm="1">
        <f t="array" ref="BS351">IF(D351="","",IF(N(BK351)&lt;&gt;0,BK351,IFERROR(_xlfn.LET(_xlpm.need,BO351/(BP351*BQ351),_xlpm.t,CHOOSE(BR351,Iдоп_1ж,Iдоп_2ж,Iдоп_3ж),_xlpm.k,_xlfn.XMATCH(_xlpm.need,_xlpm.t,1),IF(ISNA(_xlpm.k),"Не исп",INDEX(Iдоп_S,_xlpm.k))),"Не исп")))</f>
        <v>4</v>
      </c>
      <c r="BT351">
        <f>IFERROR(VLOOKUP(BS351,Кабель_сопротивление,3,FALSE),"")</f>
        <v>2.2499999999999999E-2</v>
      </c>
      <c r="BU351">
        <f>IFERROR(VLOOKUP(BS351,Кабель_сопротивление,2,FALSE),"")</f>
        <v>9.5000000000000001E-2</v>
      </c>
      <c r="BV351">
        <f t="shared" si="452"/>
        <v>83</v>
      </c>
      <c r="BW351">
        <f>IF(D351="","",IFERROR(IF(VLOOKUP(AT351,Потребители_обозначение,4,FALSE)=1,VLOOKUP(AT351,Потребители_обозначение,3,FALSE)*(H351*2-1)+BV351+VLOOKUP(AV351,Этаж_обозначение,3,FALSE)+VLOOKUP(AV351,Этаж_обозначение,4,FALSE),VLOOKUP(AT351,Потребители_обозначение,3,FALSE)*(H351*2-1)+BV351),BV351))</f>
        <v>83</v>
      </c>
      <c r="BX351">
        <f t="shared" si="453"/>
        <v>12</v>
      </c>
      <c r="BY351">
        <f t="shared" si="454"/>
        <v>72</v>
      </c>
      <c r="BZ351">
        <f t="shared" si="455"/>
        <v>2</v>
      </c>
      <c r="CA351">
        <f t="shared" si="456"/>
        <v>0.31</v>
      </c>
      <c r="CB351">
        <f t="shared" si="457"/>
        <v>7.9278009282380442</v>
      </c>
      <c r="CC351">
        <f>IFERROR(ROUNDUP(CB351/((Uн_лин/SQRT(3))*1000)*100,2),"")</f>
        <v>3.44</v>
      </c>
      <c r="CD351">
        <f>IF(ISNUMBER(CC351),CC351+IFERROR(_xlfn.XLOOKUP(A351,Щиты[Щит],Щиты[ΔU до шин, %]),0),"")</f>
        <v>6.65</v>
      </c>
      <c r="CE351">
        <f>IF(D351="","",IF(IFERROR(VLOOKUP(AT351,УГО_спр,2,FALSE),"")="Светильник",3,4)+IF(Методика="нормы 2026",MIN(0.5,MAX(0,N(BW351)-100)*0.005),0))</f>
        <v>4</v>
      </c>
      <c r="CF351" t="str">
        <f>IFERROR(VLOOKUP(BI351,Кабель_обозначение,2,FALSE),"")</f>
        <v>ВВГнг(А)-LS</v>
      </c>
      <c r="CG351" t="str">
        <f>IFERROR(IF(VLOOKUP(BI351,Кабель_обозначение,3,FALSE)=1,CF351&amp;" ("&amp;BJ351&amp;"х"&amp;BS351&amp;")",CF351),"")</f>
        <v>ВВГнг(А)-LS (3х4)</v>
      </c>
      <c r="CH351" t="str">
        <f t="shared" si="458"/>
        <v>ВВГнг(А)-LS (3х4)
L=83-3,44%</v>
      </c>
      <c r="CI351">
        <f>IFERROR(2*ρкз_Cu*BW351/BS351,"")</f>
        <v>1.09145</v>
      </c>
      <c r="CJ351">
        <f t="shared" si="459"/>
        <v>0.36312500000000003</v>
      </c>
      <c r="CK351" t="str">
        <f>IFERROR(IF(OR(D351="",NOT(ISNUMBER(BS351)),N(BW351)=0),"",_xlfn.XLOOKUP(A351,Щиты[Щит],Щиты[Zпетли на шинах, Ом])+CI351),"")</f>
        <v/>
      </c>
      <c r="CL351" t="str">
        <f>IF(ISNUMBER(CK351),c_min*(Uн_лин*1000/SQRT(3))/CK351,"")</f>
        <v/>
      </c>
      <c r="CM351" t="str">
        <f>IFERROR(IF(OR(D351="",NOT(ISNUMBER(BS351))),"",1.05*(Uн_лин*1000/SQRT(3))/(_xlfn.XLOOKUP(A351,Щиты[Щит],Щиты[Zmax на шинах, Ом])+CJ351)/1000),"")</f>
        <v/>
      </c>
      <c r="CN351" t="str">
        <f>IF(D351="","",IF(BA351&lt;&gt;"","Щит",IF(K351&lt;&gt;"",K351,IF(ISNUMBER(L351),"Сил",IF(IFERROR(_xlfn.XLOOKUP(AT351,Коды_код,Коды_группа)&amp;"","")="","Быт",_xlfn.XLOOKUP(AT351,Коды_код,Коды_группа)&amp;"")))))</f>
        <v>Пост</v>
      </c>
      <c r="CO351">
        <f>IF(CN351="Щит","щит",IF(CN351="","",IF(CN351="Быт",IFERROR(_xlfn.XLOOKUP(A351,Щиты[Щит],Щиты[Кс быт]),1),IF(CN351="Сил",IF(ISNUMBER(L351),L351,IF(Методика="нормы 2026",IFERROR(_xlfn.XLOOKUP(A351,Щиты[Щит],Щиты[Кс силовых (табл. 7.5)]),1),1)),IF(OR(CN351="Пост",CN351="Отоп"),1,IF(CN351="ВНГ",0.7,0))))))</f>
        <v>1</v>
      </c>
      <c r="CP351">
        <f t="shared" si="460"/>
        <v>1</v>
      </c>
      <c r="CQ351">
        <f t="shared" si="461"/>
        <v>1.95</v>
      </c>
      <c r="CR351">
        <f t="shared" si="462"/>
        <v>0</v>
      </c>
      <c r="CS351">
        <f t="shared" si="463"/>
        <v>0</v>
      </c>
      <c r="CT351">
        <f t="shared" si="464"/>
        <v>1.95</v>
      </c>
      <c r="CU351">
        <f t="shared" si="465"/>
        <v>0</v>
      </c>
      <c r="CV351">
        <f t="shared" si="466"/>
        <v>0</v>
      </c>
      <c r="CW351">
        <f t="shared" si="467"/>
        <v>1.95</v>
      </c>
      <c r="CX351">
        <f t="shared" si="468"/>
        <v>1.8524999999999998</v>
      </c>
      <c r="CY351">
        <f t="shared" si="469"/>
        <v>1</v>
      </c>
      <c r="CZ351" t="str">
        <f t="shared" si="470"/>
        <v>L1</v>
      </c>
      <c r="DA351" cm="1">
        <f t="array" ref="DA351">IFERROR(IF(BL351=2,_xlfn.IFS(BH351=3,VLOOKUP(BF351,Справочная_двигатели,3,FALSE),BH351=1,VLOOKUP(BF351,Справочная_двигатели,5,TRUE)),0),0)</f>
        <v>0</v>
      </c>
      <c r="DB351">
        <f>IFERROR(IF(BL351=3,VLOOKUP(BF351,Справочная_ЛЭД,2,TRUE),0),0)</f>
        <v>0</v>
      </c>
      <c r="DC351">
        <f t="shared" si="471"/>
        <v>0</v>
      </c>
      <c r="DD351" t="str">
        <f t="shared" si="472"/>
        <v>L1</v>
      </c>
      <c r="DE351" t="str" cm="1">
        <f t="array" ref="DE351">IF(D351="","",IFERROR(INDEX({"I особая","I","II","III"},MATCH(TRIM(AA351&amp;""),{"I особая","I","II","III"},0)),"III"))</f>
        <v>II</v>
      </c>
      <c r="DF351" t="str">
        <f>IF(D351="","",IF(TRIM(AB351&amp;"")&lt;&gt;"",IF(LOWER(TRIM(AB351&amp;""))="да","да","нет"),IF(IFERROR(_xlfn.XLOOKUP(AT351,Коды_код,Коды_пожарная),"")="да","да","нет")))</f>
        <v>нет</v>
      </c>
      <c r="DG351" t="str">
        <f t="shared" si="473"/>
        <v/>
      </c>
      <c r="DH351" t="str">
        <f t="shared" si="474"/>
        <v>основная</v>
      </c>
      <c r="DI351">
        <f t="shared" si="475"/>
        <v>1</v>
      </c>
      <c r="DJ351" t="str" cm="1">
        <f t="array" ref="DJ351">IF(D351="","",_xlfn.LET(_xlpm.t,IFERROR(_xlfn.XLOOKUP(1,(Шины[Шина]=DH351)*(((Шины[Щит]=A351)+(Шины[Щит]=""))&gt;0),Шины[Тип]),"")&amp;"",IF(_xlpm.t&lt;&gt;"",_xlpm.t,IF(ISNUMBER(SEARCH("ИБП",DH351)),"ИБП",IF(ISNUMBER(SEARCH("ДГУ",DH351)),"ДГУ","Ввод "&amp;DI351)))))</f>
        <v>Ввод 1</v>
      </c>
      <c r="DK351" t="str">
        <f t="shared" si="476"/>
        <v>Ввод 1</v>
      </c>
      <c r="DL351" t="str">
        <f>IF(D351="","",IF(OR(DJ351="ИБП",DJ351="ДГУ"),"I особая",IF(DJ351="Одиночная","III",_xlfn.XLOOKUP(A351,Щиты[Щит],Щиты[Категория шины «Ввод»],"III"))))</f>
        <v>II</v>
      </c>
      <c r="DM351">
        <f>IF(D351="",0,IFERROR(MATCH(DE351,{"III","II","I","I особая"},0),1))</f>
        <v>2</v>
      </c>
      <c r="DN351">
        <f t="shared" si="477"/>
        <v>2</v>
      </c>
      <c r="DO351" t="str">
        <f>IF(D351="","",IF(DM351&gt;IFERROR(MATCH(DL351,{"III","II","I","I особая"},0),1),"НЕ ОБЕСПЕЧЕНА","ОК"))</f>
        <v>ОК</v>
      </c>
      <c r="DP351" t="str">
        <f>IF(A351="","",_xlfn.XLOOKUP(A351,Щиты[Щит],Щиты[Путь],""))</f>
        <v>|ГРЩ-ЖД|ЩУОВ|</v>
      </c>
      <c r="DQ351" t="str">
        <f>IF(D351="","",IF(Z351&lt;&gt;"",Z351,IF(IFERROR(_xlfn.XLOOKUP(AT351,Коды_код,Коды_вид)&amp;"","")="","Прочее",_xlfn.XLOOKUP(AT351,Коды_код,Коды_вид)&amp;"")))</f>
        <v>Обогрев водостоков и кровли</v>
      </c>
      <c r="DR351">
        <f>IF(BD351="","",INT((BD351-1)/Столбцов_на_лист)+1)</f>
        <v>2</v>
      </c>
      <c r="DS351" t="str">
        <f t="shared" si="478"/>
        <v>ВВГнг(А)-LS (3х4) L=83-3,44%</v>
      </c>
      <c r="DT351">
        <f t="shared" si="479"/>
        <v>1.95</v>
      </c>
      <c r="DU351">
        <f t="shared" si="480"/>
        <v>8.89</v>
      </c>
      <c r="DV351">
        <f t="shared" si="481"/>
        <v>1</v>
      </c>
      <c r="DW351">
        <f>IF(AT351="",0,_xlfn.LET(_xlpm.v,IFERROR(VLOOKUP(D351,УГО_спр,3,FALSE),IFERROR(VLOOKUP(AT351,УГО_спр,3,FALSE),IFERROR(VLOOKUP(LEFT(AT351,2),УГО_спр,3,FALSE),""))),IF(_xlpm.v="да",30,IF(ISNUMBER(_xlpm.v),_xlpm.v,0))))</f>
        <v>0</v>
      </c>
      <c r="DX351">
        <f t="shared" si="482"/>
        <v>0</v>
      </c>
      <c r="DY351">
        <f>IF(BD351="","",IF(AD351&lt;&gt;"",COUNTIFS(A$3:A351,A351,AD$3:AD351,"?*"),IF(OR(OR(AS351=1,A351&lt;&gt;A350),AL351="вручную"),"",IF(AS351=1,"",DZ350))))</f>
        <v>10</v>
      </c>
      <c r="DZ351">
        <f t="shared" si="483"/>
        <v>10</v>
      </c>
      <c r="EA351">
        <f>IF(D351="",0,MAX(IFERROR(--X351,0),IFERROR(--VLOOKUP(D351,УГО_спр,4,FALSE),IFERROR(--VLOOKUP(AT351,УГО_спр,4,FALSE),IFERROR(--VLOOKUP(LEFT(AT351,2),УГО_спр,4,FALSE),0)))))</f>
        <v>16</v>
      </c>
      <c r="EB351">
        <f>IF(D351="","",IFERROR(LOOKUP(INDEX(CHOOSE(BR351,Iдоп_1ж,Iдоп_2ж,Iдоп_3ж),MATCH(BS351,Iдоп_S,0))*BP351*BQ351,{6,10,16,20,25,32,40,50,63,80,100,125,160,200,250,315,400,500,630}),""))</f>
        <v>32</v>
      </c>
      <c r="EC351">
        <f>IF(AD351="","",SUMIFS(Линии[_Ток схемы],Линии[_гр.],DY351,Линии[Щит],A351,Линии[_в кабель выше],0))</f>
        <v>8.89</v>
      </c>
      <c r="ED351">
        <f>IF(AD351="","",IFERROR(VLOOKUP(EC351,Автомат_номиналы,2,TRUE),""))</f>
        <v>10</v>
      </c>
      <c r="EE351">
        <f>IF(AD351="","",MAX(N(ED351),_xlfn.MAXIFS(Линии[_мин. по типу],Линии[_гр.],DY351,Линии[Щит],A351)))</f>
        <v>16</v>
      </c>
      <c r="EF351">
        <f>IF(AD351="","",_xlfn.MINIFS(Линии[_макс. автомат по кабелю],Линии[_гр.],DY351,Линии[Щит],A351))</f>
        <v>32</v>
      </c>
      <c r="EG351">
        <f>IF(AD351="","",MAX(1,_xlfn.MAXIFS(Линии[_фаз],Линии[_гр.],DY351,Линии[Щит],A351)))</f>
        <v>1</v>
      </c>
      <c r="EH351">
        <f>IF(AD351="","",IF(AND(AD351&lt;&gt;"авто",AD351&lt;&gt;"+"),IF(ISNUMBER(SEARCH("мА",AD351)),IFERROR(--TRIM(RIGHT(SUBSTITUTE(LEFT(AD351,SEARCH("мА",AD351)-1)," ",REPT(" ",9)),6)),30),0),IF(AE351="нет",0,IF(ISNUMBER(AE351),AE351,IF(AE351="да",30,_xlfn.MINIFS(Линии[_дифзащита по коду, мА],Линии[_гр.],DY351,Линии[Щит],A351,Линии[_дифзащита по коду, мА],"&gt;0"))))))</f>
        <v>0</v>
      </c>
      <c r="EI351">
        <f t="shared" si="484"/>
        <v>0</v>
      </c>
      <c r="EJ351" t="str">
        <f t="shared" si="485"/>
        <v>QF10</v>
      </c>
      <c r="EK351" t="str">
        <f t="shared" si="486"/>
        <v>QF10</v>
      </c>
      <c r="EL351" t="str">
        <f t="shared" si="487"/>
        <v/>
      </c>
      <c r="EM351">
        <f t="shared" si="488"/>
        <v>0</v>
      </c>
      <c r="EN351">
        <f>IF(AD351="","",IF(EM351=1,MAX(EE351,Мин_автомат_БП),EE351))</f>
        <v>16</v>
      </c>
      <c r="EO351" t="str">
        <f t="shared" si="489"/>
        <v>1P</v>
      </c>
      <c r="EP351" t="str">
        <f t="shared" si="490"/>
        <v>1P С16А</v>
      </c>
      <c r="EQ351">
        <f t="shared" si="491"/>
        <v>16</v>
      </c>
      <c r="ER351" t="str">
        <f>IF(OR(AI351="",AI351="-"),"",IFERROR(VLOOKUP(AI351,Модули_спр,2,FALSE),"R"))</f>
        <v/>
      </c>
      <c r="ES351" t="str">
        <f>IF(ER351="","",ER351&amp;"."&amp;COUNTIFS(A$3:A351,A351,ER$3:ER351,ER351))</f>
        <v/>
      </c>
      <c r="ET351" t="str">
        <f t="shared" si="492"/>
        <v/>
      </c>
      <c r="EU351" t="str">
        <f t="shared" si="493"/>
        <v/>
      </c>
      <c r="EV351" t="str">
        <f t="shared" si="494"/>
        <v/>
      </c>
      <c r="EW351" t="str">
        <f t="shared" si="495"/>
        <v/>
      </c>
      <c r="EX351">
        <f t="shared" si="496"/>
        <v>1</v>
      </c>
      <c r="EY351" t="str">
        <f>IF(AK351="нет","",IF(AK351&lt;&gt;"",AK351,IF(EX351=1,"XT"&amp;COUNTIFS(A$3:A351,A351,EX$3:EX351,1),"")))</f>
        <v/>
      </c>
      <c r="EZ351" t="str">
        <f t="shared" si="497"/>
        <v>QF10</v>
      </c>
      <c r="FA351" t="str">
        <f t="shared" si="498"/>
        <v/>
      </c>
      <c r="FB351" t="str">
        <f t="shared" si="499"/>
        <v>ok</v>
      </c>
      <c r="FC351" t="str">
        <f>IF(OR(EV351="",ET351=""),"",IF(EV351&gt;IFERROR(VLOOKUP(EU351,Модули_спр,3,FALSE),99),"ЛИШНИЙ КАНАЛ",IF(AND(AJ351&lt;&gt;"=",COUNTIFS(Линии[_модуль гр.],ET351,Линии[Канал (итог)],EV351,Линии[Канал],"&lt;&gt;=",Линии[Щит],A351)&gt;1),"ДУБЛЬ КАНАЛА","")))</f>
        <v/>
      </c>
      <c r="FD351">
        <f t="shared" si="500"/>
        <v>16</v>
      </c>
      <c r="FE351" t="str">
        <f t="shared" si="501"/>
        <v>1P С16А</v>
      </c>
      <c r="FF351">
        <f t="shared" si="502"/>
        <v>0</v>
      </c>
      <c r="FG351">
        <f t="shared" si="503"/>
        <v>0</v>
      </c>
      <c r="FH351" t="str">
        <f t="shared" si="504"/>
        <v/>
      </c>
      <c r="FI351">
        <f t="shared" si="505"/>
        <v>10</v>
      </c>
      <c r="FJ351" t="str">
        <f t="shared" si="506"/>
        <v/>
      </c>
      <c r="FK351" t="str">
        <f>IF(AND(D351="",EZ351=""),"",_xlfn.TEXTJOIN("; ",TRUE,IF(AND(D351&lt;&gt;"",DD351=""),"нет фазы",""),IF(AND(D351&lt;&gt;"",N(DT351)=0,CN351&lt;&gt;"Нет"),"нет мощности",""),IF(AND(EY351&lt;&gt;"",COUNTIFS(Линии[Щит],A351,Линии[Клемма (итог)],EY351)&gt;1),"дубль клеммы "&amp;EY351,""),IF(AND(FB351&lt;&gt;"",FB351&lt;&gt;"ok"),FB351,""),IF(FC351&lt;&gt;"",FC351,""),IF(AND(ISNUMBER(SEARCH("(5х",DS351)),N(DV351)=1),"5 жил на 1 фазе",""),IF(AND(AT351="R",AD351&lt;&gt;"",OR(N(EH351)=0,N(EH351)&gt;30)),"розетка без дифзащиты до 30 мА",""),IFERROR(IF(AND(ISNUMBER(CD351),CD351&gt;CE351),"потери "&amp;FIXED(CD351,1)&amp;" % &gt; "&amp;CE351&amp;" %",""),""),IFERROR(IF(LEFT(FJ351,4)="мало","Iкз мало — отключение &gt; 0,4 с",""),""),IF(AND(D351&lt;&gt;"",BD351=""),"не на схеме","")))</f>
        <v>потери 6,7 % &gt; 4 %</v>
      </c>
      <c r="FL351">
        <f>IF(AD351="","",_xlfn.LET(_xlpm.t,IFERROR(_xlfn.XLOOKUP(EP351,Каталог!$U$4:$U$500,Каталог!$G$4:$G$500),""),_xlpm.k,SEARCH("кА",_xlpm.t),IFERROR(--TRIM(RIGHT(SUBSTITUTE(MID(_xlpm.t,MAX(1,_xlpm.k-4),_xlpm.k-MAX(1,_xlpm.k-4))," ",REPT(" ",9)),5)),"")))</f>
        <v>6</v>
      </c>
      <c r="FM351" t="str">
        <f>IF(OR(FL351="",AD351=""),"",IF(_xlfn.XLOOKUP(A351,Щиты[Щит],Щиты[Iкз max на шинах, кА],"")="","",IF(FL351&lt;_xlfn.XLOOKUP(A351,Щиты[Щит],Щиты[Iкз max на шинах, кА]),"Icu "&amp;FL351&amp;" кА &lt; Iкз max","ok")))</f>
        <v/>
      </c>
      <c r="FN351" t="str">
        <f t="shared" si="507"/>
        <v>QF10</v>
      </c>
      <c r="FO351" t="str">
        <f t="shared" si="508"/>
        <v>QF10|кабель ВВГнг(А)-LS (3х4) → Обогревл ливнестоков Кровля</v>
      </c>
      <c r="FP351" t="str" cm="1">
        <f t="array" ref="FP351">IF(FO351="","",_xlfn.LET(_xlpm.nd,_xlfn.TEXTSPLIT(FO351,"|"),IF(COLUMNS(_xlpm.nd)&gt;1,A351&amp;"¦"&amp;INDEX(_xlpm.nd,1)&amp;"¦"&amp;INDEX(_xlpm.nd,2),"")))</f>
        <v>ЩУОВ¦QF10¦кабель ВВГнг(А)-LS (3х4) → Обогревл ливнестоков Кровля</v>
      </c>
      <c r="FQ351" t="str">
        <f t="shared" si="509"/>
        <v>OV.4.1.3¦Обогревл ливнестоков Кровля</v>
      </c>
      <c r="FR351" t="str" cm="1">
        <f t="array" ref="FR351">IF(FO351="","",_xlfn.LET(_xlpm.nd,_xlfn.TEXTSPLIT(FO351,"|"),IF(COLUMNS(_xlpm.nd)&gt;2,A351&amp;"¦"&amp;INDEX(_xlpm.nd,2)&amp;"¦"&amp;INDEX(_xlpm.nd,3),"")))</f>
        <v/>
      </c>
      <c r="FS351" t="str">
        <f t="shared" si="510"/>
        <v/>
      </c>
      <c r="FT351" t="str" cm="1">
        <f t="array" ref="FT351">IF(FO351="","",_xlfn.LET(_xlpm.nd,_xlfn.TEXTSPLIT(FO351,"|"),IF(COLUMNS(_xlpm.nd)&gt;3,A351&amp;"¦"&amp;INDEX(_xlpm.nd,3)&amp;"¦"&amp;INDEX(_xlpm.nd,4),"")))</f>
        <v/>
      </c>
      <c r="FU351" t="str">
        <f t="shared" si="511"/>
        <v/>
      </c>
      <c r="FV351" t="str" cm="1">
        <f t="array" ref="FV351">IF(FO351="","",_xlfn.LET(_xlpm.nd,_xlfn.TEXTSPLIT(FO351,"|"),IF(COLUMNS(_xlpm.nd)&gt;4,A351&amp;"¦"&amp;INDEX(_xlpm.nd,4)&amp;"¦"&amp;INDEX(_xlpm.nd,5),"")))</f>
        <v/>
      </c>
      <c r="FW351" t="str">
        <f t="shared" si="512"/>
        <v/>
      </c>
      <c r="FX351" t="str" cm="1">
        <f t="array" ref="FX351">IF(FO351="","",_xlfn.LET(_xlpm.nd,_xlfn.TEXTSPLIT(FO351,"|"),IF(COLUMNS(_xlpm.nd)&gt;5,A351&amp;"¦"&amp;INDEX(_xlpm.nd,5)&amp;"¦"&amp;INDEX(_xlpm.nd,6),"")))</f>
        <v/>
      </c>
      <c r="FY351" t="str">
        <f t="shared" si="513"/>
        <v/>
      </c>
      <c r="FZ351" t="str" cm="1">
        <f t="array" ref="FZ351">IF(FO351="","",_xlfn.LET(_xlpm.nd,_xlfn.TEXTSPLIT(FO351,"|"),IF(COLUMNS(_xlpm.nd)&gt;6,A351&amp;"¦"&amp;INDEX(_xlpm.nd,6)&amp;"¦"&amp;INDEX(_xlpm.nd,7),"")))</f>
        <v/>
      </c>
      <c r="GA351" t="str">
        <f t="shared" si="514"/>
        <v/>
      </c>
      <c r="GB351" t="str">
        <f t="shared" si="515"/>
        <v/>
      </c>
      <c r="GC351" t="str">
        <f t="shared" si="516"/>
        <v>QF10</v>
      </c>
      <c r="GD351">
        <f t="shared" si="517"/>
        <v>1</v>
      </c>
      <c r="GE351">
        <f t="shared" si="518"/>
        <v>0</v>
      </c>
      <c r="GF351">
        <f t="shared" si="519"/>
        <v>0</v>
      </c>
      <c r="GG351" t="str">
        <f t="shared" si="520"/>
        <v/>
      </c>
      <c r="GH351" t="str">
        <f t="shared" si="521"/>
        <v/>
      </c>
      <c r="GI351" t="str">
        <f t="shared" si="522"/>
        <v/>
      </c>
      <c r="GJ351" t="str">
        <f t="shared" si="523"/>
        <v/>
      </c>
      <c r="GK351" t="str">
        <f>IF(D351="","",IFERROR(VLOOKUP(D351,УГО_спр,2,FALSE),IFERROR(VLOOKUP(AT351,УГО_спр,2,FALSE),IFERROR(VLOOKUP(LEFT(AT351,2),УГО_спр,2,FALSE),""))))</f>
        <v/>
      </c>
      <c r="GL351" t="str">
        <f>IF(D351="","",IF(OR(GK351="",GK351=0),"BOX",IFERROR(IF(VLOOKUP(GK351,УГО_блоки,3,FALSE)&amp;""&lt;&gt;"",VLOOKUP(GK351,УГО_блоки,3,FALSE),VLOOKUP(GK351,УГО_блоки,2,FALSE)),GK351)))</f>
        <v>BOX</v>
      </c>
      <c r="GM351">
        <f t="shared" si="524"/>
        <v>1</v>
      </c>
      <c r="GN351" t="str">
        <f>IF(EP351="","",IF(COUNTIF(EP$3:EP351,EP351)=1,MAX(GN$2:GN350)+1,""))</f>
        <v/>
      </c>
      <c r="GO351" t="str">
        <f>IF(AF351="","",IF(COUNTIF(AF$3:AF351,AF351)+COUNTIF(AG$2:AG350,AF351)+COUNTIF(AH$2:AH350,AF351)=1,MAX(GO$2:GQ350)+1,""))</f>
        <v/>
      </c>
      <c r="GP351" t="str">
        <f>IF(AG351="","",IF(COUNTIF(AF$3:AF351,AG351)+COUNTIF(AG$3:AG351,AG351)+COUNTIF(AH$2:AH350,AG351)=1,MAX(GO$2:GQ350,GO351)+1,""))</f>
        <v/>
      </c>
      <c r="GQ351" t="str">
        <f>IF(AH351="","",IF(COUNTIF(AF$3:AF351,AH351)+COUNTIF(AG$3:AG351,AH351)+COUNTIF(AH$3:AH351,AH351)=1,MAX(GO$2:GQ350,GO351,GP351)+1,""))</f>
        <v/>
      </c>
      <c r="GR351" t="str">
        <f t="shared" si="525"/>
        <v>3х4</v>
      </c>
      <c r="GS351" t="str">
        <f>IF(GR351="","",IF(COUNTIF(GR$3:GR351,GR351)=1,MAX(GS$2:GS350)+1,""))</f>
        <v/>
      </c>
      <c r="GT351" t="str">
        <f>IF(ES351="","",COUNTIF(ES$3:ES351,"?*"))</f>
        <v/>
      </c>
      <c r="GU351" t="str">
        <f>IF(OR(ES351="",EU351=""),"",IF(COUNTIFS(ES$3:ES351,"?*",EU$3:EU351,EU351)=1,MAX(GU$2:GU350)+1,""))</f>
        <v/>
      </c>
      <c r="GV351">
        <f t="shared" si="526"/>
        <v>1</v>
      </c>
      <c r="GW351">
        <f>IF(D351="","",COUNTIF(D$3:D351,"?*"))</f>
        <v>349</v>
      </c>
      <c r="GX351">
        <f>IF(EX351&lt;&gt;1,0,_xlfn.LET(_xlpm.k,MAX(IFERROR(--VLOOKUP(D351,УГО_спр,5,FALSE),0),IFERROR(--VLOOKUP(AT351,УГО_спр,5,FALSE),0),IFERROR(--VLOOKUP(LEFT(AT351,2),УГО_спр,5,FALSE),0)),IF(_xlpm.k&gt;0,_xlpm.k,IF(IFERROR(--LEFT(SUBSTITUTE(GR351,"x","х"),FIND("х",SUBSTITUTE(GR351,"x","х"))-1),3)&gt;3,Каталог!$S$9,1))))</f>
        <v>1</v>
      </c>
      <c r="GY351">
        <f t="shared" si="527"/>
        <v>0</v>
      </c>
    </row>
    <row r="352" spans="1:207" x14ac:dyDescent="0.3">
      <c r="A352" t="s">
        <v>774</v>
      </c>
      <c r="B352">
        <v>27</v>
      </c>
      <c r="C352" t="str">
        <f>IF(BD352="","",IF(BE352="вводной узел","узел ","")&amp;"л."&amp;(INT((BD352-1)/Столбцов_на_лист)+1)&amp;" / "&amp;(MOD(BD352-1,Столбцов_на_лист)+1))</f>
        <v>л.2 / 10</v>
      </c>
      <c r="D352" t="s">
        <v>1694</v>
      </c>
      <c r="E352" s="133" t="s">
        <v>1691</v>
      </c>
      <c r="G352">
        <v>2.16</v>
      </c>
      <c r="H352">
        <v>3</v>
      </c>
      <c r="I352">
        <v>1</v>
      </c>
      <c r="J352">
        <v>230</v>
      </c>
      <c r="K352" t="s">
        <v>577</v>
      </c>
      <c r="O352">
        <v>2</v>
      </c>
      <c r="P352">
        <v>66</v>
      </c>
      <c r="Q352">
        <v>12</v>
      </c>
      <c r="R352">
        <v>12</v>
      </c>
      <c r="S352">
        <v>55</v>
      </c>
      <c r="T352">
        <v>1</v>
      </c>
      <c r="U352" t="s">
        <v>11</v>
      </c>
      <c r="V352">
        <v>3</v>
      </c>
      <c r="W352">
        <v>2.5</v>
      </c>
      <c r="X352">
        <v>16</v>
      </c>
      <c r="Z352" t="s">
        <v>613</v>
      </c>
      <c r="AA352" t="s">
        <v>818</v>
      </c>
      <c r="AD352" t="s">
        <v>517</v>
      </c>
      <c r="AK352" t="s">
        <v>488</v>
      </c>
      <c r="AR352" t="str">
        <f t="shared" si="441"/>
        <v>потери 8,0 % &gt; 4 %</v>
      </c>
      <c r="AS352" cm="1">
        <f t="array" ref="AS352">ROW()-ROW(Линии[#Headers])</f>
        <v>350</v>
      </c>
      <c r="AT352" t="str">
        <f t="shared" si="442"/>
        <v>OV</v>
      </c>
      <c r="AU352" t="str">
        <f t="shared" si="443"/>
        <v>4.1.4</v>
      </c>
      <c r="AV352" t="str">
        <f t="shared" si="444"/>
        <v>4</v>
      </c>
      <c r="AW352" t="str">
        <f t="shared" si="445"/>
        <v>1.4</v>
      </c>
      <c r="AX352" t="str">
        <f t="shared" si="446"/>
        <v>1</v>
      </c>
      <c r="AY352" t="str">
        <f>IF(D352="","",IF(ISERROR(SEARCH(".",D352)),IFERROR(VLOOKUP(D352,Потребители_обозначение,2,FALSE)&amp;"",""),IFERROR(IF(VLOOKUP(AT352,Потребители_обозначение,4,FALSE)=1,VLOOKUP(AT352,Потребители_обозначение,2,FALSE)&amp;" "&amp;VLOOKUP(AV352,Этаж_обозначение,2,FALSE)&amp;" Пом. №"&amp;AX352,VLOOKUP(AT352,Потребители_обозначение,2,FALSE)&amp;" Шлейф №"&amp;AV352),IFERROR(VLOOKUP(D352,Потребители_обозначение,2,FALSE),""))))</f>
        <v/>
      </c>
      <c r="AZ352" t="str">
        <f t="shared" si="447"/>
        <v>Обогревл ливнестоков Кровля</v>
      </c>
      <c r="BA352" t="str">
        <f>IF(F352&lt;&gt;"",F352,IF(AND(D352&lt;&gt;"",D352&lt;&gt;A352,ISNUMBER(_xlfn.XMATCH(D352,Щиты[Щит]))),D352,""))</f>
        <v/>
      </c>
      <c r="BB352">
        <f>IFERROR(_xlfn.XMATCH(A352,Щиты[Щит]),0)</f>
        <v>17</v>
      </c>
      <c r="BC352">
        <f>IFERROR(N(_xlfn.XLOOKUP(A352,Щиты[Щит],Щиты[Мест под вводной узел])),15)</f>
        <v>10</v>
      </c>
      <c r="BD352">
        <f t="shared" si="448"/>
        <v>27</v>
      </c>
      <c r="BE352" t="str">
        <f t="shared" si="449"/>
        <v>линии</v>
      </c>
      <c r="BF352">
        <f>IF(D352="","",IF(BA352&lt;&gt;"",IFERROR(_xlfn.XLOOKUP(BA352,Щиты[Щит],Щиты[Руст, кВт]),0),N(G352)))</f>
        <v>2.16</v>
      </c>
      <c r="BG352">
        <f>IF(J352&lt;&gt;"",J352,IF(D352="","",IFERROR(IF(VLOOKUP(AT352,Потребители_обозначение,8,FALSE)=0,"",VLOOKUP(AT352,Потребители_обозначение,8,FALSE)),"")))</f>
        <v>230</v>
      </c>
      <c r="BH352">
        <f>IF(I352&lt;&gt;"",I352,IF(D352="","",IFERROR(IF(VLOOKUP(AT352,Потребители_обозначение,9,FALSE)=0,"",VLOOKUP(AT352,Потребители_обозначение,9,FALSE)),"")))</f>
        <v>1</v>
      </c>
      <c r="BI352" t="str">
        <f>IF(U352&lt;&gt;"",U352,IF(D352="","",IFERROR(IF(VLOOKUP(AT352,Потребители_обозначение,6,FALSE)=0,"",VLOOKUP(AT352,Потребители_обозначение,6,FALSE)),"")))</f>
        <v>мс</v>
      </c>
      <c r="BJ352">
        <f>IF(V352&lt;&gt;"",V352,IF(D352="","",IFERROR(IF(VLOOKUP(AT352,Потребители_обозначение,7,FALSE)=0,"",VLOOKUP(AT352,Потребители_обозначение,7,FALSE)),"")))</f>
        <v>3</v>
      </c>
      <c r="BK352">
        <f>IF(W352&lt;&gt;"",W352,IF(D352="","",IFERROR(IF(VLOOKUP(AT352,Потребители_обозначение,10,FALSE)=0,"",VLOOKUP(AT352,Потребители_обозначение,10,FALSE)),"")))</f>
        <v>2.5</v>
      </c>
      <c r="BL352">
        <f>IFERROR(VLOOKUP(AT352,Потребители_обозначение,5,FALSE),0)</f>
        <v>0</v>
      </c>
      <c r="BM352" cm="1">
        <f t="array" ref="BM352">IF(D352="","",IF(BA352&lt;&gt;"",IFERROR(_xlfn.XLOOKUP(BA352,Щиты[Щит],Щиты[cos φ]),0.95),IF(ISNUMBER(M352),M352,IFERROR(IF(BL352=2,_xlfn.IFS(BH352=3,VLOOKUP(BF352,Справочная_двигатели,8,FALSE),BH352=1,VLOOKUP(BF352,Справочная_двигатели,10,TRUE)),IF(AND(Методика="нормы 2026",CN352="Сил"),0.8,0.95)),0.95))))</f>
        <v>0.95</v>
      </c>
      <c r="BN352" cm="1">
        <f t="array" ref="BN352">IF(D352="","",IF(BA352&lt;&gt;"",IFERROR(_xlfn.XLOOKUP(BA352,Щиты[Щит],Щиты[Iр, А]),""),IFERROR(_xlfn.IFS(BH352=1,BF352/((Uн_лин/SQRT(3))*BM352),BH352=3,BF352/(SQRT(3)*Uн_лин*BM352)),"")))</f>
        <v>9.8453414324967756</v>
      </c>
      <c r="BO352">
        <f>IF(D352="","",IF(N(X352)=0,IFERROR(VLOOKUP(BN352,Автомат_номиналы,2,TRUE),""),X352))</f>
        <v>16</v>
      </c>
      <c r="BP352">
        <f t="shared" si="450"/>
        <v>1</v>
      </c>
      <c r="BQ352">
        <f>IF(ISNUMBER(Y352),Y352,К_прокл)</f>
        <v>1</v>
      </c>
      <c r="BR352">
        <f t="shared" si="451"/>
        <v>2</v>
      </c>
      <c r="BS352" cm="1">
        <f t="array" ref="BS352">IF(D352="","",IF(N(BK352)&lt;&gt;0,BK352,IFERROR(_xlfn.LET(_xlpm.need,BO352/(BP352*BQ352),_xlpm.t,CHOOSE(BR352,Iдоп_1ж,Iдоп_2ж,Iдоп_3ж),_xlpm.k,_xlfn.XMATCH(_xlpm.need,_xlpm.t,1),IF(ISNA(_xlpm.k),"Не исп",INDEX(Iдоп_S,_xlpm.k))),"Не исп")))</f>
        <v>2.5</v>
      </c>
      <c r="BT352">
        <f>IFERROR(VLOOKUP(BS352,Кабель_сопротивление,3,FALSE),"")</f>
        <v>2.2499999999999999E-2</v>
      </c>
      <c r="BU352">
        <f>IFERROR(VLOOKUP(BS352,Кабель_сопротивление,2,FALSE),"")</f>
        <v>0.1</v>
      </c>
      <c r="BV352">
        <f t="shared" si="452"/>
        <v>66</v>
      </c>
      <c r="BW352">
        <f>IF(D352="","",IFERROR(IF(VLOOKUP(AT352,Потребители_обозначение,4,FALSE)=1,VLOOKUP(AT352,Потребители_обозначение,3,FALSE)*(H352*2-1)+BV352+VLOOKUP(AV352,Этаж_обозначение,3,FALSE)+VLOOKUP(AV352,Этаж_обозначение,4,FALSE),VLOOKUP(AT352,Потребители_обозначение,3,FALSE)*(H352*2-1)+BV352),BV352))</f>
        <v>66</v>
      </c>
      <c r="BX352">
        <f t="shared" si="453"/>
        <v>12</v>
      </c>
      <c r="BY352">
        <f t="shared" si="454"/>
        <v>55</v>
      </c>
      <c r="BZ352">
        <f t="shared" si="455"/>
        <v>2</v>
      </c>
      <c r="CA352">
        <f t="shared" si="456"/>
        <v>0.31</v>
      </c>
      <c r="CB352">
        <f t="shared" si="457"/>
        <v>11.151739477857635</v>
      </c>
      <c r="CC352">
        <f>IFERROR(ROUNDUP(CB352/((Uн_лин/SQRT(3))*1000)*100,2),"")</f>
        <v>4.83</v>
      </c>
      <c r="CD352">
        <f>IF(ISNUMBER(CC352),CC352+IFERROR(_xlfn.XLOOKUP(A352,Щиты[Щит],Щиты[ΔU до шин, %]),0),"")</f>
        <v>8.0399999999999991</v>
      </c>
      <c r="CE352">
        <f>IF(D352="","",IF(IFERROR(VLOOKUP(AT352,УГО_спр,2,FALSE),"")="Светильник",3,4)+IF(Методика="нормы 2026",MIN(0.5,MAX(0,N(BW352)-100)*0.005),0))</f>
        <v>4</v>
      </c>
      <c r="CF352" t="str">
        <f>IFERROR(VLOOKUP(BI352,Кабель_обозначение,2,FALSE),"")</f>
        <v>ВВГнг(А)-LS</v>
      </c>
      <c r="CG352" t="str">
        <f>IFERROR(IF(VLOOKUP(BI352,Кабель_обозначение,3,FALSE)=1,CF352&amp;" ("&amp;BJ352&amp;"х"&amp;BS352&amp;")",CF352),"")</f>
        <v>ВВГнг(А)-LS (3х2,5)</v>
      </c>
      <c r="CH352" t="str">
        <f t="shared" si="458"/>
        <v>ВВГнг(А)-LS (3х2,5)
L=66-4,83%</v>
      </c>
      <c r="CI352">
        <f>IFERROR(2*ρкз_Cu*BW352/BS352,"")</f>
        <v>1.3886400000000001</v>
      </c>
      <c r="CJ352">
        <f t="shared" si="459"/>
        <v>0.46200000000000002</v>
      </c>
      <c r="CK352" t="str">
        <f>IFERROR(IF(OR(D352="",NOT(ISNUMBER(BS352)),N(BW352)=0),"",_xlfn.XLOOKUP(A352,Щиты[Щит],Щиты[Zпетли на шинах, Ом])+CI352),"")</f>
        <v/>
      </c>
      <c r="CL352" t="str">
        <f>IF(ISNUMBER(CK352),c_min*(Uн_лин*1000/SQRT(3))/CK352,"")</f>
        <v/>
      </c>
      <c r="CM352" t="str">
        <f>IFERROR(IF(OR(D352="",NOT(ISNUMBER(BS352))),"",1.05*(Uн_лин*1000/SQRT(3))/(_xlfn.XLOOKUP(A352,Щиты[Щит],Щиты[Zmax на шинах, Ом])+CJ352)/1000),"")</f>
        <v/>
      </c>
      <c r="CN352" t="str">
        <f>IF(D352="","",IF(BA352&lt;&gt;"","Щит",IF(K352&lt;&gt;"",K352,IF(ISNUMBER(L352),"Сил",IF(IFERROR(_xlfn.XLOOKUP(AT352,Коды_код,Коды_группа)&amp;"","")="","Быт",_xlfn.XLOOKUP(AT352,Коды_код,Коды_группа)&amp;"")))))</f>
        <v>Пост</v>
      </c>
      <c r="CO352">
        <f>IF(CN352="Щит","щит",IF(CN352="","",IF(CN352="Быт",IFERROR(_xlfn.XLOOKUP(A352,Щиты[Щит],Щиты[Кс быт]),1),IF(CN352="Сил",IF(ISNUMBER(L352),L352,IF(Методика="нормы 2026",IFERROR(_xlfn.XLOOKUP(A352,Щиты[Щит],Щиты[Кс силовых (табл. 7.5)]),1),1)),IF(OR(CN352="Пост",CN352="Отоп"),1,IF(CN352="ВНГ",0.7,0))))))</f>
        <v>1</v>
      </c>
      <c r="CP352">
        <f t="shared" si="460"/>
        <v>1</v>
      </c>
      <c r="CQ352">
        <f t="shared" si="461"/>
        <v>2.16</v>
      </c>
      <c r="CR352">
        <f t="shared" si="462"/>
        <v>0</v>
      </c>
      <c r="CS352">
        <f t="shared" si="463"/>
        <v>0</v>
      </c>
      <c r="CT352">
        <f t="shared" si="464"/>
        <v>2.16</v>
      </c>
      <c r="CU352">
        <f t="shared" si="465"/>
        <v>0</v>
      </c>
      <c r="CV352">
        <f t="shared" si="466"/>
        <v>0</v>
      </c>
      <c r="CW352">
        <f t="shared" si="467"/>
        <v>2.16</v>
      </c>
      <c r="CX352">
        <f t="shared" si="468"/>
        <v>2.052</v>
      </c>
      <c r="CY352">
        <f t="shared" si="469"/>
        <v>2</v>
      </c>
      <c r="CZ352" t="str">
        <f t="shared" si="470"/>
        <v>L2</v>
      </c>
      <c r="DA352" cm="1">
        <f t="array" ref="DA352">IFERROR(IF(BL352=2,_xlfn.IFS(BH352=3,VLOOKUP(BF352,Справочная_двигатели,3,FALSE),BH352=1,VLOOKUP(BF352,Справочная_двигатели,5,TRUE)),0),0)</f>
        <v>0</v>
      </c>
      <c r="DB352">
        <f>IFERROR(IF(BL352=3,VLOOKUP(BF352,Справочная_ЛЭД,2,TRUE),0),0)</f>
        <v>0</v>
      </c>
      <c r="DC352">
        <f t="shared" si="471"/>
        <v>0</v>
      </c>
      <c r="DD352" t="str">
        <f t="shared" si="472"/>
        <v>L2</v>
      </c>
      <c r="DE352" t="str" cm="1">
        <f t="array" ref="DE352">IF(D352="","",IFERROR(INDEX({"I особая","I","II","III"},MATCH(TRIM(AA352&amp;""),{"I особая","I","II","III"},0)),"III"))</f>
        <v>II</v>
      </c>
      <c r="DF352" t="str">
        <f>IF(D352="","",IF(TRIM(AB352&amp;"")&lt;&gt;"",IF(LOWER(TRIM(AB352&amp;""))="да","да","нет"),IF(IFERROR(_xlfn.XLOOKUP(AT352,Коды_код,Коды_пожарная),"")="да","да","нет")))</f>
        <v>нет</v>
      </c>
      <c r="DG352" t="str">
        <f t="shared" si="473"/>
        <v/>
      </c>
      <c r="DH352" t="str">
        <f t="shared" si="474"/>
        <v>основная</v>
      </c>
      <c r="DI352">
        <f t="shared" si="475"/>
        <v>1</v>
      </c>
      <c r="DJ352" t="str" cm="1">
        <f t="array" ref="DJ352">IF(D352="","",_xlfn.LET(_xlpm.t,IFERROR(_xlfn.XLOOKUP(1,(Шины[Шина]=DH352)*(((Шины[Щит]=A352)+(Шины[Щит]=""))&gt;0),Шины[Тип]),"")&amp;"",IF(_xlpm.t&lt;&gt;"",_xlpm.t,IF(ISNUMBER(SEARCH("ИБП",DH352)),"ИБП",IF(ISNUMBER(SEARCH("ДГУ",DH352)),"ДГУ","Ввод "&amp;DI352)))))</f>
        <v>Ввод 1</v>
      </c>
      <c r="DK352" t="str">
        <f t="shared" si="476"/>
        <v>Ввод 1</v>
      </c>
      <c r="DL352" t="str">
        <f>IF(D352="","",IF(OR(DJ352="ИБП",DJ352="ДГУ"),"I особая",IF(DJ352="Одиночная","III",_xlfn.XLOOKUP(A352,Щиты[Щит],Щиты[Категория шины «Ввод»],"III"))))</f>
        <v>II</v>
      </c>
      <c r="DM352">
        <f>IF(D352="",0,IFERROR(MATCH(DE352,{"III","II","I","I особая"},0),1))</f>
        <v>2</v>
      </c>
      <c r="DN352">
        <f t="shared" si="477"/>
        <v>2</v>
      </c>
      <c r="DO352" t="str">
        <f>IF(D352="","",IF(DM352&gt;IFERROR(MATCH(DL352,{"III","II","I","I особая"},0),1),"НЕ ОБЕСПЕЧЕНА","ОК"))</f>
        <v>ОК</v>
      </c>
      <c r="DP352" t="str">
        <f>IF(A352="","",_xlfn.XLOOKUP(A352,Щиты[Щит],Щиты[Путь],""))</f>
        <v>|ГРЩ-ЖД|ЩУОВ|</v>
      </c>
      <c r="DQ352" t="str">
        <f>IF(D352="","",IF(Z352&lt;&gt;"",Z352,IF(IFERROR(_xlfn.XLOOKUP(AT352,Коды_код,Коды_вид)&amp;"","")="","Прочее",_xlfn.XLOOKUP(AT352,Коды_код,Коды_вид)&amp;"")))</f>
        <v>Обогрев водостоков и кровли</v>
      </c>
      <c r="DR352">
        <f>IF(BD352="","",INT((BD352-1)/Столбцов_на_лист)+1)</f>
        <v>2</v>
      </c>
      <c r="DS352" t="str">
        <f t="shared" si="478"/>
        <v>ВВГнг(А)-LS (3х2,5) L=66-4,83%</v>
      </c>
      <c r="DT352">
        <f t="shared" si="479"/>
        <v>2.16</v>
      </c>
      <c r="DU352">
        <f t="shared" si="480"/>
        <v>9.85</v>
      </c>
      <c r="DV352">
        <f t="shared" si="481"/>
        <v>1</v>
      </c>
      <c r="DW352">
        <f>IF(AT352="",0,_xlfn.LET(_xlpm.v,IFERROR(VLOOKUP(D352,УГО_спр,3,FALSE),IFERROR(VLOOKUP(AT352,УГО_спр,3,FALSE),IFERROR(VLOOKUP(LEFT(AT352,2),УГО_спр,3,FALSE),""))),IF(_xlpm.v="да",30,IF(ISNUMBER(_xlpm.v),_xlpm.v,0))))</f>
        <v>0</v>
      </c>
      <c r="DX352">
        <f t="shared" si="482"/>
        <v>0</v>
      </c>
      <c r="DY352">
        <f>IF(BD352="","",IF(AD352&lt;&gt;"",COUNTIFS(A$3:A352,A352,AD$3:AD352,"?*"),IF(OR(OR(AS352=1,A352&lt;&gt;A351),AL352="вручную"),"",IF(AS352=1,"",DZ351))))</f>
        <v>11</v>
      </c>
      <c r="DZ352">
        <f t="shared" si="483"/>
        <v>11</v>
      </c>
      <c r="EA352">
        <f>IF(D352="",0,MAX(IFERROR(--X352,0),IFERROR(--VLOOKUP(D352,УГО_спр,4,FALSE),IFERROR(--VLOOKUP(AT352,УГО_спр,4,FALSE),IFERROR(--VLOOKUP(LEFT(AT352,2),УГО_спр,4,FALSE),0)))))</f>
        <v>16</v>
      </c>
      <c r="EB352">
        <f>IF(D352="","",IFERROR(LOOKUP(INDEX(CHOOSE(BR352,Iдоп_1ж,Iдоп_2ж,Iдоп_3ж),MATCH(BS352,Iдоп_S,0))*BP352*BQ352,{6,10,16,20,25,32,40,50,63,80,100,125,160,200,250,315,400,500,630}),""))</f>
        <v>25</v>
      </c>
      <c r="EC352">
        <f>IF(AD352="","",SUMIFS(Линии[_Ток схемы],Линии[_гр.],DY352,Линии[Щит],A352,Линии[_в кабель выше],0))</f>
        <v>9.85</v>
      </c>
      <c r="ED352">
        <f>IF(AD352="","",IFERROR(VLOOKUP(EC352,Автомат_номиналы,2,TRUE),""))</f>
        <v>16</v>
      </c>
      <c r="EE352">
        <f>IF(AD352="","",MAX(N(ED352),_xlfn.MAXIFS(Линии[_мин. по типу],Линии[_гр.],DY352,Линии[Щит],A352)))</f>
        <v>16</v>
      </c>
      <c r="EF352">
        <f>IF(AD352="","",_xlfn.MINIFS(Линии[_макс. автомат по кабелю],Линии[_гр.],DY352,Линии[Щит],A352))</f>
        <v>25</v>
      </c>
      <c r="EG352">
        <f>IF(AD352="","",MAX(1,_xlfn.MAXIFS(Линии[_фаз],Линии[_гр.],DY352,Линии[Щит],A352)))</f>
        <v>1</v>
      </c>
      <c r="EH352">
        <f>IF(AD352="","",IF(AND(AD352&lt;&gt;"авто",AD352&lt;&gt;"+"),IF(ISNUMBER(SEARCH("мА",AD352)),IFERROR(--TRIM(RIGHT(SUBSTITUTE(LEFT(AD352,SEARCH("мА",AD352)-1)," ",REPT(" ",9)),6)),30),0),IF(AE352="нет",0,IF(ISNUMBER(AE352),AE352,IF(AE352="да",30,_xlfn.MINIFS(Линии[_дифзащита по коду, мА],Линии[_гр.],DY352,Линии[Щит],A352,Линии[_дифзащита по коду, мА],"&gt;0"))))))</f>
        <v>0</v>
      </c>
      <c r="EI352">
        <f t="shared" si="484"/>
        <v>0</v>
      </c>
      <c r="EJ352" t="str">
        <f t="shared" si="485"/>
        <v>QF11</v>
      </c>
      <c r="EK352" t="str">
        <f t="shared" si="486"/>
        <v>QF11</v>
      </c>
      <c r="EL352" t="str">
        <f t="shared" si="487"/>
        <v/>
      </c>
      <c r="EM352">
        <f t="shared" si="488"/>
        <v>0</v>
      </c>
      <c r="EN352">
        <f>IF(AD352="","",IF(EM352=1,MAX(EE352,Мин_автомат_БП),EE352))</f>
        <v>16</v>
      </c>
      <c r="EO352" t="str">
        <f t="shared" si="489"/>
        <v>1P</v>
      </c>
      <c r="EP352" t="str">
        <f t="shared" si="490"/>
        <v>1P С16А</v>
      </c>
      <c r="EQ352">
        <f t="shared" si="491"/>
        <v>16</v>
      </c>
      <c r="ER352" t="str">
        <f>IF(OR(AI352="",AI352="-"),"",IFERROR(VLOOKUP(AI352,Модули_спр,2,FALSE),"R"))</f>
        <v/>
      </c>
      <c r="ES352" t="str">
        <f>IF(ER352="","",ER352&amp;"."&amp;COUNTIFS(A$3:A352,A352,ER$3:ER352,ER352))</f>
        <v/>
      </c>
      <c r="ET352" t="str">
        <f t="shared" si="492"/>
        <v/>
      </c>
      <c r="EU352" t="str">
        <f t="shared" si="493"/>
        <v/>
      </c>
      <c r="EV352" t="str">
        <f t="shared" si="494"/>
        <v/>
      </c>
      <c r="EW352" t="str">
        <f t="shared" si="495"/>
        <v/>
      </c>
      <c r="EX352">
        <f t="shared" si="496"/>
        <v>1</v>
      </c>
      <c r="EY352" t="str">
        <f>IF(AK352="нет","",IF(AK352&lt;&gt;"",AK352,IF(EX352=1,"XT"&amp;COUNTIFS(A$3:A352,A352,EX$3:EX352,1),"")))</f>
        <v/>
      </c>
      <c r="EZ352" t="str">
        <f t="shared" si="497"/>
        <v>QF11</v>
      </c>
      <c r="FA352" t="str">
        <f t="shared" si="498"/>
        <v/>
      </c>
      <c r="FB352" t="str">
        <f t="shared" si="499"/>
        <v>ok</v>
      </c>
      <c r="FC352" t="str">
        <f>IF(OR(EV352="",ET352=""),"",IF(EV352&gt;IFERROR(VLOOKUP(EU352,Модули_спр,3,FALSE),99),"ЛИШНИЙ КАНАЛ",IF(AND(AJ352&lt;&gt;"=",COUNTIFS(Линии[_модуль гр.],ET352,Линии[Канал (итог)],EV352,Линии[Канал],"&lt;&gt;=",Линии[Щит],A352)&gt;1),"ДУБЛЬ КАНАЛА","")))</f>
        <v/>
      </c>
      <c r="FD352">
        <f t="shared" si="500"/>
        <v>16</v>
      </c>
      <c r="FE352" t="str">
        <f t="shared" si="501"/>
        <v>1P С16А</v>
      </c>
      <c r="FF352">
        <f t="shared" si="502"/>
        <v>0</v>
      </c>
      <c r="FG352">
        <f t="shared" si="503"/>
        <v>0</v>
      </c>
      <c r="FH352" t="str">
        <f t="shared" si="504"/>
        <v/>
      </c>
      <c r="FI352">
        <f t="shared" si="505"/>
        <v>10</v>
      </c>
      <c r="FJ352" t="str">
        <f t="shared" si="506"/>
        <v/>
      </c>
      <c r="FK352" t="str">
        <f>IF(AND(D352="",EZ352=""),"",_xlfn.TEXTJOIN("; ",TRUE,IF(AND(D352&lt;&gt;"",DD352=""),"нет фазы",""),IF(AND(D352&lt;&gt;"",N(DT352)=0,CN352&lt;&gt;"Нет"),"нет мощности",""),IF(AND(EY352&lt;&gt;"",COUNTIFS(Линии[Щит],A352,Линии[Клемма (итог)],EY352)&gt;1),"дубль клеммы "&amp;EY352,""),IF(AND(FB352&lt;&gt;"",FB352&lt;&gt;"ok"),FB352,""),IF(FC352&lt;&gt;"",FC352,""),IF(AND(ISNUMBER(SEARCH("(5х",DS352)),N(DV352)=1),"5 жил на 1 фазе",""),IF(AND(AT352="R",AD352&lt;&gt;"",OR(N(EH352)=0,N(EH352)&gt;30)),"розетка без дифзащиты до 30 мА",""),IFERROR(IF(AND(ISNUMBER(CD352),CD352&gt;CE352),"потери "&amp;FIXED(CD352,1)&amp;" % &gt; "&amp;CE352&amp;" %",""),""),IFERROR(IF(LEFT(FJ352,4)="мало","Iкз мало — отключение &gt; 0,4 с",""),""),IF(AND(D352&lt;&gt;"",BD352=""),"не на схеме","")))</f>
        <v>потери 8,0 % &gt; 4 %</v>
      </c>
      <c r="FL352">
        <f>IF(AD352="","",_xlfn.LET(_xlpm.t,IFERROR(_xlfn.XLOOKUP(EP352,Каталог!$U$4:$U$500,Каталог!$G$4:$G$500),""),_xlpm.k,SEARCH("кА",_xlpm.t),IFERROR(--TRIM(RIGHT(SUBSTITUTE(MID(_xlpm.t,MAX(1,_xlpm.k-4),_xlpm.k-MAX(1,_xlpm.k-4))," ",REPT(" ",9)),5)),"")))</f>
        <v>6</v>
      </c>
      <c r="FM352" t="str">
        <f>IF(OR(FL352="",AD352=""),"",IF(_xlfn.XLOOKUP(A352,Щиты[Щит],Щиты[Iкз max на шинах, кА],"")="","",IF(FL352&lt;_xlfn.XLOOKUP(A352,Щиты[Щит],Щиты[Iкз max на шинах, кА]),"Icu "&amp;FL352&amp;" кА &lt; Iкз max","ok")))</f>
        <v/>
      </c>
      <c r="FN352" t="str">
        <f t="shared" si="507"/>
        <v>QF11</v>
      </c>
      <c r="FO352" t="str">
        <f t="shared" si="508"/>
        <v>QF11|кабель ВВГнг(А)-LS (3х2,5) → Обогревл ливнестоков Кровля</v>
      </c>
      <c r="FP352" t="str" cm="1">
        <f t="array" ref="FP352">IF(FO352="","",_xlfn.LET(_xlpm.nd,_xlfn.TEXTSPLIT(FO352,"|"),IF(COLUMNS(_xlpm.nd)&gt;1,A352&amp;"¦"&amp;INDEX(_xlpm.nd,1)&amp;"¦"&amp;INDEX(_xlpm.nd,2),"")))</f>
        <v>ЩУОВ¦QF11¦кабель ВВГнг(А)-LS (3х2,5) → Обогревл ливнестоков Кровля</v>
      </c>
      <c r="FQ352" t="str">
        <f t="shared" si="509"/>
        <v>OV.4.1.4¦Обогревл ливнестоков Кровля</v>
      </c>
      <c r="FR352" t="str" cm="1">
        <f t="array" ref="FR352">IF(FO352="","",_xlfn.LET(_xlpm.nd,_xlfn.TEXTSPLIT(FO352,"|"),IF(COLUMNS(_xlpm.nd)&gt;2,A352&amp;"¦"&amp;INDEX(_xlpm.nd,2)&amp;"¦"&amp;INDEX(_xlpm.nd,3),"")))</f>
        <v/>
      </c>
      <c r="FS352" t="str">
        <f t="shared" si="510"/>
        <v/>
      </c>
      <c r="FT352" t="str" cm="1">
        <f t="array" ref="FT352">IF(FO352="","",_xlfn.LET(_xlpm.nd,_xlfn.TEXTSPLIT(FO352,"|"),IF(COLUMNS(_xlpm.nd)&gt;3,A352&amp;"¦"&amp;INDEX(_xlpm.nd,3)&amp;"¦"&amp;INDEX(_xlpm.nd,4),"")))</f>
        <v/>
      </c>
      <c r="FU352" t="str">
        <f t="shared" si="511"/>
        <v/>
      </c>
      <c r="FV352" t="str" cm="1">
        <f t="array" ref="FV352">IF(FO352="","",_xlfn.LET(_xlpm.nd,_xlfn.TEXTSPLIT(FO352,"|"),IF(COLUMNS(_xlpm.nd)&gt;4,A352&amp;"¦"&amp;INDEX(_xlpm.nd,4)&amp;"¦"&amp;INDEX(_xlpm.nd,5),"")))</f>
        <v/>
      </c>
      <c r="FW352" t="str">
        <f t="shared" si="512"/>
        <v/>
      </c>
      <c r="FX352" t="str" cm="1">
        <f t="array" ref="FX352">IF(FO352="","",_xlfn.LET(_xlpm.nd,_xlfn.TEXTSPLIT(FO352,"|"),IF(COLUMNS(_xlpm.nd)&gt;5,A352&amp;"¦"&amp;INDEX(_xlpm.nd,5)&amp;"¦"&amp;INDEX(_xlpm.nd,6),"")))</f>
        <v/>
      </c>
      <c r="FY352" t="str">
        <f t="shared" si="513"/>
        <v/>
      </c>
      <c r="FZ352" t="str" cm="1">
        <f t="array" ref="FZ352">IF(FO352="","",_xlfn.LET(_xlpm.nd,_xlfn.TEXTSPLIT(FO352,"|"),IF(COLUMNS(_xlpm.nd)&gt;6,A352&amp;"¦"&amp;INDEX(_xlpm.nd,6)&amp;"¦"&amp;INDEX(_xlpm.nd,7),"")))</f>
        <v/>
      </c>
      <c r="GA352" t="str">
        <f t="shared" si="514"/>
        <v/>
      </c>
      <c r="GB352" t="str">
        <f t="shared" si="515"/>
        <v/>
      </c>
      <c r="GC352" t="str">
        <f t="shared" si="516"/>
        <v>QF11</v>
      </c>
      <c r="GD352">
        <f t="shared" si="517"/>
        <v>1</v>
      </c>
      <c r="GE352">
        <f t="shared" si="518"/>
        <v>0</v>
      </c>
      <c r="GF352">
        <f t="shared" si="519"/>
        <v>0</v>
      </c>
      <c r="GG352" t="str">
        <f t="shared" si="520"/>
        <v/>
      </c>
      <c r="GH352" t="str">
        <f t="shared" si="521"/>
        <v/>
      </c>
      <c r="GI352" t="str">
        <f t="shared" si="522"/>
        <v/>
      </c>
      <c r="GJ352" t="str">
        <f t="shared" si="523"/>
        <v/>
      </c>
      <c r="GK352" t="str">
        <f>IF(D352="","",IFERROR(VLOOKUP(D352,УГО_спр,2,FALSE),IFERROR(VLOOKUP(AT352,УГО_спр,2,FALSE),IFERROR(VLOOKUP(LEFT(AT352,2),УГО_спр,2,FALSE),""))))</f>
        <v/>
      </c>
      <c r="GL352" t="str">
        <f>IF(D352="","",IF(OR(GK352="",GK352=0),"BOX",IFERROR(IF(VLOOKUP(GK352,УГО_блоки,3,FALSE)&amp;""&lt;&gt;"",VLOOKUP(GK352,УГО_блоки,3,FALSE),VLOOKUP(GK352,УГО_блоки,2,FALSE)),GK352)))</f>
        <v>BOX</v>
      </c>
      <c r="GM352">
        <f t="shared" si="524"/>
        <v>1</v>
      </c>
      <c r="GN352" t="str">
        <f>IF(EP352="","",IF(COUNTIF(EP$3:EP352,EP352)=1,MAX(GN$2:GN351)+1,""))</f>
        <v/>
      </c>
      <c r="GO352" t="str">
        <f>IF(AF352="","",IF(COUNTIF(AF$3:AF352,AF352)+COUNTIF(AG$2:AG351,AF352)+COUNTIF(AH$2:AH351,AF352)=1,MAX(GO$2:GQ351)+1,""))</f>
        <v/>
      </c>
      <c r="GP352" t="str">
        <f>IF(AG352="","",IF(COUNTIF(AF$3:AF352,AG352)+COUNTIF(AG$3:AG352,AG352)+COUNTIF(AH$2:AH351,AG352)=1,MAX(GO$2:GQ351,GO352)+1,""))</f>
        <v/>
      </c>
      <c r="GQ352" t="str">
        <f>IF(AH352="","",IF(COUNTIF(AF$3:AF352,AH352)+COUNTIF(AG$3:AG352,AH352)+COUNTIF(AH$3:AH352,AH352)=1,MAX(GO$2:GQ351,GO352,GP352)+1,""))</f>
        <v/>
      </c>
      <c r="GR352" t="str">
        <f t="shared" si="525"/>
        <v>3х2,5</v>
      </c>
      <c r="GS352" t="str">
        <f>IF(GR352="","",IF(COUNTIF(GR$3:GR352,GR352)=1,MAX(GS$2:GS351)+1,""))</f>
        <v/>
      </c>
      <c r="GT352" t="str">
        <f>IF(ES352="","",COUNTIF(ES$3:ES352,"?*"))</f>
        <v/>
      </c>
      <c r="GU352" t="str">
        <f>IF(OR(ES352="",EU352=""),"",IF(COUNTIFS(ES$3:ES352,"?*",EU$3:EU352,EU352)=1,MAX(GU$2:GU351)+1,""))</f>
        <v/>
      </c>
      <c r="GV352">
        <f t="shared" si="526"/>
        <v>1</v>
      </c>
      <c r="GW352">
        <f>IF(D352="","",COUNTIF(D$3:D352,"?*"))</f>
        <v>350</v>
      </c>
      <c r="GX352">
        <f>IF(EX352&lt;&gt;1,0,_xlfn.LET(_xlpm.k,MAX(IFERROR(--VLOOKUP(D352,УГО_спр,5,FALSE),0),IFERROR(--VLOOKUP(AT352,УГО_спр,5,FALSE),0),IFERROR(--VLOOKUP(LEFT(AT352,2),УГО_спр,5,FALSE),0)),IF(_xlpm.k&gt;0,_xlpm.k,IF(IFERROR(--LEFT(SUBSTITUTE(GR352,"x","х"),FIND("х",SUBSTITUTE(GR352,"x","х"))-1),3)&gt;3,Каталог!$S$9,1))))</f>
        <v>1</v>
      </c>
      <c r="GY352">
        <f t="shared" si="527"/>
        <v>0</v>
      </c>
    </row>
  </sheetData>
  <conditionalFormatting sqref="A3:GY653">
    <cfRule type="expression" dxfId="46" priority="1" stopIfTrue="1">
      <formula>$BE3="вводной узел"</formula>
    </cfRule>
    <cfRule type="expression" dxfId="45" priority="2" stopIfTrue="1">
      <formula>ODD($BB3)</formula>
    </cfRule>
    <cfRule type="expression" dxfId="44" priority="3" stopIfTrue="1">
      <formula>AND($AS3&gt;1,$A3&lt;&gt;$A2)</formula>
    </cfRule>
    <cfRule type="expression" dxfId="43" priority="4" stopIfTrue="1">
      <formula>AND($A3=$A2,$DR3&lt;&gt;$DR2,$DR3&lt;&gt;"")</formula>
    </cfRule>
  </conditionalFormatting>
  <dataValidations count="1">
    <dataValidation type="list" allowBlank="1" showInputMessage="1" sqref="AL3:AL352" xr:uid="{D6E3DDE2-35C6-4BE9-8CEC-2405815AC5B3}">
      <formula1>"вручную,рисовать"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3A14-F42C-4A95-8CD5-3CE2F059ED22}">
  <sheetPr>
    <tabColor rgb="FFED7D31"/>
  </sheetPr>
  <dimension ref="B1:AE352"/>
  <sheetViews>
    <sheetView workbookViewId="0"/>
  </sheetViews>
  <sheetFormatPr defaultRowHeight="14.4" x14ac:dyDescent="0.3"/>
  <cols>
    <col min="2" max="2" width="34.77734375" customWidth="1"/>
    <col min="3" max="9" width="13.77734375" customWidth="1"/>
    <col min="27" max="31" width="0" hidden="1" customWidth="1"/>
  </cols>
  <sheetData>
    <row r="1" spans="2:31" ht="18" x14ac:dyDescent="0.35">
      <c r="B1" s="113" t="s">
        <v>1703</v>
      </c>
    </row>
    <row r="2" spans="2:31" x14ac:dyDescent="0.3">
      <c r="AA2" t="s">
        <v>1706</v>
      </c>
      <c r="AB2" t="s">
        <v>1707</v>
      </c>
      <c r="AC2" t="s">
        <v>1708</v>
      </c>
      <c r="AD2" t="s">
        <v>1709</v>
      </c>
      <c r="AE2" t="s">
        <v>1710</v>
      </c>
    </row>
    <row r="3" spans="2:31" x14ac:dyDescent="0.3">
      <c r="B3" t="s">
        <v>1705</v>
      </c>
      <c r="C3" s="114" t="s">
        <v>788</v>
      </c>
      <c r="D3" t="str">
        <f>"Вводов: "&amp;_xlfn.XLOOKUP($C$3,Щиты[Щит],Щиты[Вводов],"")&amp;", АВР: "&amp;_xlfn.XLOOKUP($C$3,Щиты[Щит],Щиты[АВР],"")&amp;", ИБП питается от: "&amp;_xlfn.XLOOKUP($C$3,Щиты[Щит],Щиты[ИБП от],"Ввод 1")</f>
        <v>Вводов: 2, АВР: да, ИБП питается от: Ввод 1</v>
      </c>
      <c r="E3" t="s">
        <v>1704</v>
      </c>
      <c r="AA3" cm="1">
        <f t="array" ref="AA3:AA352">--(ISNUMBER(SEARCH("|"&amp;$C$3&amp;"|",Линии[_путь щита]))*(Линии[Номер линии]&lt;&gt;""))</f>
        <v>1</v>
      </c>
      <c r="AB3" t="str" cm="1">
        <f t="array" ref="AB3:AB352">IFERROR(_xlfn.TEXTBEFORE(_xlfn.TEXTAFTER(Линии[_путь щита],"|"&amp;$C$3&amp;"|"),"|"),"")</f>
        <v/>
      </c>
      <c r="AC3" t="str" cm="1">
        <f t="array" ref="AC3:AC352">IF(_xlfn.ANCHORARRAY(AB3)="",Линии[Источник для режимов],_xlfn.XLOOKUP(_xlfn.ANCHORARRAY(AB3),Щиты[Щит],Щиты[Источник фидера],"Ввод 1"))</f>
        <v>Ввод 1</v>
      </c>
      <c r="AD3" t="str" cm="1">
        <f t="array" ref="AD3:AD352">IF(_xlfn.ANCHORARRAY(AB3)="",Линии[Пожарная (итог)],IF(_xlfn.XLOOKUP(_xlfn.ANCHORARRAY(AB3),Щиты[Щит],Щиты[Пожарный фидер],"нет")="да","да",Линии[Пожарная (итог)]))</f>
        <v>нет</v>
      </c>
      <c r="AE3" t="str" cm="1">
        <f t="array" ref="AE3:AE352">Линии[Категория (итог)]</f>
        <v>III</v>
      </c>
    </row>
    <row r="4" spans="2:31" x14ac:dyDescent="0.3">
      <c r="AA4">
        <v>1</v>
      </c>
      <c r="AB4" t="str">
        <v/>
      </c>
      <c r="AC4" t="str">
        <v>Ввод 1</v>
      </c>
      <c r="AD4" t="str">
        <v>нет</v>
      </c>
      <c r="AE4" t="str">
        <v>III</v>
      </c>
    </row>
    <row r="5" spans="2:31" x14ac:dyDescent="0.3">
      <c r="B5" t="s">
        <v>1711</v>
      </c>
      <c r="C5" cm="1">
        <f t="array" ref="C5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r,_xlpm.РАСЧЁТ(_xlfn.ANCHORARRAY(AA3)*(_xlfn.ANCHORARRAY(AC3)="ИБП")*(_xlfn.ANCHORARRAY(AD3)="нет"),0,0),INDEX(_xlpm.r,5)/ИБП_КПД*(1+ИБП_заряд)))</f>
        <v>0</v>
      </c>
      <c r="D5">
        <f>C5*TAN(ACOS(ИБП_cos_вх))</f>
        <v>0</v>
      </c>
      <c r="E5" s="116" t="str">
        <f>_xlfn.XLOOKUP($C$3,Щиты[Щит],Щиты[ИБП от],"Ввод 1")&amp;""</f>
        <v>Ввод 1</v>
      </c>
      <c r="AA5">
        <v>1</v>
      </c>
      <c r="AB5" t="str">
        <v/>
      </c>
      <c r="AC5" t="str">
        <v>Ввод 1</v>
      </c>
      <c r="AD5" t="str">
        <v>да</v>
      </c>
      <c r="AE5" t="str">
        <v>I</v>
      </c>
    </row>
    <row r="6" spans="2:31" x14ac:dyDescent="0.3">
      <c r="AA6">
        <v>1</v>
      </c>
      <c r="AB6" t="str">
        <v/>
      </c>
      <c r="AC6" t="str">
        <v>Ввод 2</v>
      </c>
      <c r="AD6" t="str">
        <v>да</v>
      </c>
      <c r="AE6" t="str">
        <v>I</v>
      </c>
    </row>
    <row r="7" spans="2:31" x14ac:dyDescent="0.3">
      <c r="B7" s="36" t="s">
        <v>1712</v>
      </c>
      <c r="AA7">
        <v>1</v>
      </c>
      <c r="AB7" t="str">
        <v/>
      </c>
      <c r="AC7" t="str">
        <v>Ввод 1</v>
      </c>
      <c r="AD7" t="str">
        <v>нет</v>
      </c>
      <c r="AE7" t="str">
        <v>II</v>
      </c>
    </row>
    <row r="8" spans="2:31" x14ac:dyDescent="0.3">
      <c r="B8" s="117" t="s">
        <v>806</v>
      </c>
      <c r="C8" s="118" t="s">
        <v>845</v>
      </c>
      <c r="D8" s="118" t="s">
        <v>859</v>
      </c>
      <c r="E8" s="118" t="s">
        <v>860</v>
      </c>
      <c r="F8" s="118" t="s">
        <v>861</v>
      </c>
      <c r="G8" s="118" t="s">
        <v>862</v>
      </c>
      <c r="H8" s="118" t="s">
        <v>1713</v>
      </c>
      <c r="AA8">
        <v>1</v>
      </c>
      <c r="AB8" t="str">
        <v/>
      </c>
      <c r="AC8" t="str">
        <v>Ввод 2</v>
      </c>
      <c r="AD8" t="str">
        <v>нет</v>
      </c>
      <c r="AE8" t="str">
        <v>II</v>
      </c>
    </row>
    <row r="9" spans="2:31" x14ac:dyDescent="0.3">
      <c r="B9" t="s">
        <v>811</v>
      </c>
      <c r="C9" s="6" cm="1">
        <f t="array" ref="C9:C16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Ввод 1")*(_xlfn.ANCHORARRAY(AD3)="нет"),IF(OR($E$5="Ввод 1"),$C$5,0),IF(OR($E$5="Ввод 1"),$D$5,0)))</f>
        <v>262.78100000000052</v>
      </c>
      <c r="D9" s="6" cm="1">
        <f t="array" ref="D9:D16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Ввод 2")*(_xlfn.ANCHORARRAY(AD3)="нет"),IF(OR($E$5="Ввод 2"),$C$5,0),IF(OR($E$5="Ввод 2"),$D$5,0)))</f>
        <v>261.90000000000026</v>
      </c>
      <c r="E9" s="6" cm="1">
        <f t="array" ref="E9:E16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Ввод 3")*(_xlfn.ANCHORARRAY(AD3)="нет"),IF(OR($E$5="Ввод 3"),$C$5,0),IF(OR($E$5="Ввод 3"),$D$5,0)))</f>
        <v>0</v>
      </c>
      <c r="F9" s="6" cm="1">
        <f t="array" ref="F9:F16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ИБП")*(_xlfn.ANCHORARRAY(AD3)="нет"),0,0))</f>
        <v>0</v>
      </c>
      <c r="G9" s="6" cm="1">
        <f t="array" ref="G9:G16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ДГУ")*(_xlfn.ANCHORARRAY(AD3)="нет"),0,0))</f>
        <v>0</v>
      </c>
      <c r="H9" s="6" cm="1">
        <f t="array" ref="H9:H16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(_xlfn.ANCHORARRAY(AC3)="Ввод 1")+(_xlfn.ANCHORARRAY(AC3)="Ввод 2")+(_xlfn.ANCHORARRAY(AC3)="Ввод 3"))*(_xlfn.ANCHORARRAY(AD3)="нет"),IF(OR($E$5="Ввод 1",$E$5="Ввод 2",$E$5="Ввод 3"),$C$5,0),IF(OR($E$5="Ввод 1",$E$5="Ввод 2",$E$5="Ввод 3"),$D$5,0)))</f>
        <v>524.68100000000049</v>
      </c>
      <c r="AA9">
        <v>1</v>
      </c>
      <c r="AB9" t="str">
        <v/>
      </c>
      <c r="AC9" t="str">
        <v>Ввод 1</v>
      </c>
      <c r="AD9" t="str">
        <v>нет</v>
      </c>
      <c r="AE9" t="str">
        <v>II</v>
      </c>
    </row>
    <row r="10" spans="2:31" x14ac:dyDescent="0.3">
      <c r="B10" t="s">
        <v>1714</v>
      </c>
      <c r="C10" s="6">
        <v>0.6037681491432022</v>
      </c>
      <c r="D10" s="6">
        <v>0.47141665521191239</v>
      </c>
      <c r="E10" s="6">
        <v>0</v>
      </c>
      <c r="F10" s="6">
        <v>0</v>
      </c>
      <c r="G10" s="6">
        <v>0</v>
      </c>
      <c r="H10" s="6">
        <v>0.52384563420440133</v>
      </c>
      <c r="AA10">
        <v>1</v>
      </c>
      <c r="AB10" t="str">
        <v/>
      </c>
      <c r="AC10" t="str">
        <v>Ввод 1</v>
      </c>
      <c r="AD10" t="str">
        <v>нет</v>
      </c>
      <c r="AE10" t="str">
        <v>II</v>
      </c>
    </row>
    <row r="11" spans="2:31" x14ac:dyDescent="0.3">
      <c r="B11" t="s">
        <v>807</v>
      </c>
      <c r="C11" s="6">
        <v>0.94999999999999796</v>
      </c>
      <c r="D11" s="6">
        <v>0.94999999999999873</v>
      </c>
      <c r="E11" s="6">
        <v>0</v>
      </c>
      <c r="F11" s="6">
        <v>0</v>
      </c>
      <c r="G11" s="6">
        <v>0</v>
      </c>
      <c r="H11" s="6">
        <v>0.94999999999999873</v>
      </c>
      <c r="AA11">
        <v>1</v>
      </c>
      <c r="AB11" t="str">
        <v/>
      </c>
      <c r="AC11" t="str">
        <v>Ввод 2</v>
      </c>
      <c r="AD11" t="str">
        <v>нет</v>
      </c>
      <c r="AE11" t="str">
        <v>II</v>
      </c>
    </row>
    <row r="12" spans="2:31" x14ac:dyDescent="0.3">
      <c r="B12" t="s">
        <v>820</v>
      </c>
      <c r="C12" s="6">
        <v>0.32868410517887059</v>
      </c>
      <c r="D12" s="6">
        <v>0.32868410517886743</v>
      </c>
      <c r="E12" s="6">
        <v>0</v>
      </c>
      <c r="F12" s="6">
        <v>0</v>
      </c>
      <c r="G12" s="6">
        <v>0</v>
      </c>
      <c r="H12" s="6">
        <v>0.32868410517886743</v>
      </c>
      <c r="AA12">
        <v>1</v>
      </c>
      <c r="AB12" t="str">
        <v/>
      </c>
      <c r="AC12" t="str">
        <v>Ввод 1</v>
      </c>
      <c r="AD12" t="str">
        <v>нет</v>
      </c>
      <c r="AE12" t="str">
        <v>II</v>
      </c>
    </row>
    <row r="13" spans="2:31" x14ac:dyDescent="0.3">
      <c r="B13" t="s">
        <v>856</v>
      </c>
      <c r="C13" s="6">
        <v>158.65879800000013</v>
      </c>
      <c r="D13" s="6">
        <v>123.46402199999999</v>
      </c>
      <c r="E13" s="6">
        <v>0</v>
      </c>
      <c r="F13" s="6">
        <v>0</v>
      </c>
      <c r="G13" s="6">
        <v>0</v>
      </c>
      <c r="H13" s="6">
        <v>274.85185119999977</v>
      </c>
      <c r="AA13">
        <v>1</v>
      </c>
      <c r="AB13" t="str">
        <v/>
      </c>
      <c r="AC13" t="str">
        <v>Ввод 1</v>
      </c>
      <c r="AD13" t="str">
        <v>нет</v>
      </c>
      <c r="AE13" t="str">
        <v>II</v>
      </c>
    </row>
    <row r="14" spans="2:31" x14ac:dyDescent="0.3">
      <c r="B14" t="s">
        <v>857</v>
      </c>
      <c r="C14" s="6">
        <v>52.148625049385224</v>
      </c>
      <c r="D14" s="6">
        <v>40.580661592854</v>
      </c>
      <c r="E14" s="6">
        <v>0</v>
      </c>
      <c r="F14" s="6">
        <v>0</v>
      </c>
      <c r="G14" s="6">
        <v>0</v>
      </c>
      <c r="H14" s="6">
        <v>90.339434768427139</v>
      </c>
      <c r="AA14">
        <v>1</v>
      </c>
      <c r="AB14" t="str">
        <v/>
      </c>
      <c r="AC14" t="str">
        <v>Ввод 2</v>
      </c>
      <c r="AD14" t="str">
        <v>нет</v>
      </c>
      <c r="AE14" t="str">
        <v>II</v>
      </c>
    </row>
    <row r="15" spans="2:31" x14ac:dyDescent="0.3">
      <c r="B15" t="s">
        <v>858</v>
      </c>
      <c r="C15" s="6">
        <v>167.00926105263207</v>
      </c>
      <c r="D15" s="6">
        <v>129.9621284210528</v>
      </c>
      <c r="E15" s="6">
        <v>0</v>
      </c>
      <c r="F15" s="6">
        <v>0</v>
      </c>
      <c r="G15" s="6">
        <v>0</v>
      </c>
      <c r="H15" s="6">
        <v>289.31773810526329</v>
      </c>
      <c r="AA15">
        <v>1</v>
      </c>
      <c r="AB15" t="str">
        <v/>
      </c>
      <c r="AC15" t="str">
        <v>Ввод 1</v>
      </c>
      <c r="AD15" t="str">
        <v>нет</v>
      </c>
      <c r="AE15" t="str">
        <v>II</v>
      </c>
    </row>
    <row r="16" spans="2:31" x14ac:dyDescent="0.3">
      <c r="B16" t="s">
        <v>813</v>
      </c>
      <c r="C16" s="6">
        <v>241.05710456474401</v>
      </c>
      <c r="D16" s="6">
        <v>187.58417457087887</v>
      </c>
      <c r="E16" s="6">
        <v>0</v>
      </c>
      <c r="F16" s="6">
        <v>0</v>
      </c>
      <c r="G16" s="6">
        <v>0</v>
      </c>
      <c r="H16" s="6">
        <v>417.59418494101851</v>
      </c>
      <c r="AA16">
        <v>1</v>
      </c>
      <c r="AB16" t="str">
        <v/>
      </c>
      <c r="AC16" t="str">
        <v>Ввод 1</v>
      </c>
      <c r="AD16" t="str">
        <v>нет</v>
      </c>
      <c r="AE16" t="str">
        <v>III</v>
      </c>
    </row>
    <row r="17" spans="2:31" x14ac:dyDescent="0.3">
      <c r="AA17">
        <v>1</v>
      </c>
      <c r="AB17" t="str">
        <v/>
      </c>
      <c r="AC17" t="str">
        <v>Ввод 2</v>
      </c>
      <c r="AD17" t="str">
        <v>нет</v>
      </c>
      <c r="AE17" t="str">
        <v>I</v>
      </c>
    </row>
    <row r="18" spans="2:31" x14ac:dyDescent="0.3">
      <c r="B18" s="36" t="s">
        <v>1715</v>
      </c>
      <c r="AA18">
        <v>1</v>
      </c>
      <c r="AB18" t="str">
        <v/>
      </c>
      <c r="AC18" t="str">
        <v>Ввод 2</v>
      </c>
      <c r="AD18" t="str">
        <v>нет</v>
      </c>
      <c r="AE18" t="str">
        <v>II</v>
      </c>
    </row>
    <row r="19" spans="2:31" x14ac:dyDescent="0.3">
      <c r="B19" s="117" t="s">
        <v>806</v>
      </c>
      <c r="C19" s="118" t="s">
        <v>859</v>
      </c>
      <c r="D19" s="118" t="s">
        <v>860</v>
      </c>
      <c r="AA19">
        <v>1</v>
      </c>
      <c r="AB19" t="str">
        <v/>
      </c>
      <c r="AC19" t="str">
        <v>Ввод 2</v>
      </c>
      <c r="AD19" t="str">
        <v>нет</v>
      </c>
      <c r="AE19" t="str">
        <v>II</v>
      </c>
    </row>
    <row r="20" spans="2:31" x14ac:dyDescent="0.3">
      <c r="B20" t="s">
        <v>811</v>
      </c>
      <c r="C20" s="6" cm="1">
        <f t="array" ref="C20:C27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(_xlfn.ANCHORARRAY(AC3)="Ввод 1")+(_xlfn.ANCHORARRAY(AC3)="Ввод 2"))*(_xlfn.ANCHORARRAY(AD3)="нет"),IF(OR($E$5="Ввод 1",$E$5="Ввод 2"),$C$5,0),IF(OR($E$5="Ввод 1",$E$5="Ввод 2"),$D$5,0)))</f>
        <v>524.68100000000049</v>
      </c>
      <c r="D20" s="6" cm="1">
        <f t="array" ref="D20:D27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Ввод 3")*(_xlfn.ANCHORARRAY(AD3)="нет"),IF(OR($E$5="Ввод 3"),$C$5,0),IF(OR($E$5="Ввод 3"),$D$5,0)))</f>
        <v>0</v>
      </c>
      <c r="AA20">
        <v>1</v>
      </c>
      <c r="AB20" t="str">
        <v/>
      </c>
      <c r="AC20" t="str">
        <v>Ввод 1</v>
      </c>
      <c r="AD20" t="str">
        <v>нет</v>
      </c>
      <c r="AE20" t="str">
        <v>II</v>
      </c>
    </row>
    <row r="21" spans="2:31" x14ac:dyDescent="0.3">
      <c r="B21" t="s">
        <v>1714</v>
      </c>
      <c r="C21" s="6">
        <v>0.52384563420440133</v>
      </c>
      <c r="D21" s="6">
        <v>0</v>
      </c>
      <c r="AA21">
        <v>1</v>
      </c>
      <c r="AB21" t="str">
        <v/>
      </c>
      <c r="AC21" t="str">
        <v>Ввод 1</v>
      </c>
      <c r="AD21" t="str">
        <v>нет</v>
      </c>
      <c r="AE21" t="str">
        <v>III</v>
      </c>
    </row>
    <row r="22" spans="2:31" x14ac:dyDescent="0.3">
      <c r="B22" t="s">
        <v>807</v>
      </c>
      <c r="C22" s="6">
        <v>0.94999999999999873</v>
      </c>
      <c r="D22" s="6">
        <v>0</v>
      </c>
      <c r="AA22">
        <v>1</v>
      </c>
      <c r="AB22" t="str">
        <v/>
      </c>
      <c r="AC22" t="str">
        <v>Ввод 1</v>
      </c>
      <c r="AD22" t="str">
        <v>нет</v>
      </c>
      <c r="AE22" t="str">
        <v>III</v>
      </c>
    </row>
    <row r="23" spans="2:31" x14ac:dyDescent="0.3">
      <c r="B23" t="s">
        <v>820</v>
      </c>
      <c r="C23" s="6">
        <v>0.32868410517886743</v>
      </c>
      <c r="D23" s="6">
        <v>0</v>
      </c>
      <c r="AA23">
        <v>1</v>
      </c>
      <c r="AB23" t="str">
        <v/>
      </c>
      <c r="AC23" t="str">
        <v>Ввод 2</v>
      </c>
      <c r="AD23" t="str">
        <v>нет</v>
      </c>
      <c r="AE23" t="str">
        <v>III</v>
      </c>
    </row>
    <row r="24" spans="2:31" x14ac:dyDescent="0.3">
      <c r="B24" t="s">
        <v>856</v>
      </c>
      <c r="C24" s="6">
        <v>274.85185119999977</v>
      </c>
      <c r="D24" s="6">
        <v>0</v>
      </c>
      <c r="AA24">
        <v>1</v>
      </c>
      <c r="AB24" t="str">
        <v/>
      </c>
      <c r="AC24" t="str">
        <v>Ввод 2</v>
      </c>
      <c r="AD24" t="str">
        <v>нет</v>
      </c>
      <c r="AE24" t="str">
        <v>I</v>
      </c>
    </row>
    <row r="25" spans="2:31" x14ac:dyDescent="0.3">
      <c r="B25" t="s">
        <v>857</v>
      </c>
      <c r="C25" s="6">
        <v>90.339434768427139</v>
      </c>
      <c r="D25" s="6">
        <v>0</v>
      </c>
      <c r="AA25">
        <v>1</v>
      </c>
      <c r="AB25" t="str">
        <v/>
      </c>
      <c r="AC25" t="str">
        <v>Ввод 1</v>
      </c>
      <c r="AD25" t="str">
        <v>нет</v>
      </c>
      <c r="AE25" t="str">
        <v>III</v>
      </c>
    </row>
    <row r="26" spans="2:31" x14ac:dyDescent="0.3">
      <c r="B26" t="s">
        <v>858</v>
      </c>
      <c r="C26" s="6">
        <v>289.31773810526329</v>
      </c>
      <c r="D26" s="6">
        <v>0</v>
      </c>
      <c r="AA26">
        <v>1</v>
      </c>
      <c r="AB26" t="str">
        <v>ЩГП</v>
      </c>
      <c r="AC26" t="str">
        <v>Ввод 1</v>
      </c>
      <c r="AD26" t="str">
        <v>нет</v>
      </c>
      <c r="AE26" t="str">
        <v>III</v>
      </c>
    </row>
    <row r="27" spans="2:31" x14ac:dyDescent="0.3">
      <c r="B27" t="s">
        <v>813</v>
      </c>
      <c r="C27" s="6">
        <v>417.59418494101851</v>
      </c>
      <c r="D27" s="6">
        <v>0</v>
      </c>
      <c r="AA27">
        <v>1</v>
      </c>
      <c r="AB27" t="str">
        <v>ЩГП</v>
      </c>
      <c r="AC27" t="str">
        <v>Ввод 1</v>
      </c>
      <c r="AD27" t="str">
        <v>нет</v>
      </c>
      <c r="AE27" t="str">
        <v>III</v>
      </c>
    </row>
    <row r="28" spans="2:31" x14ac:dyDescent="0.3">
      <c r="AA28">
        <v>1</v>
      </c>
      <c r="AB28" t="str">
        <v>ЩГП</v>
      </c>
      <c r="AC28" t="str">
        <v>Ввод 1</v>
      </c>
      <c r="AD28" t="str">
        <v>нет</v>
      </c>
      <c r="AE28" t="str">
        <v>III</v>
      </c>
    </row>
    <row r="29" spans="2:31" x14ac:dyDescent="0.3">
      <c r="B29" s="36" t="s">
        <v>1716</v>
      </c>
      <c r="AA29">
        <v>1</v>
      </c>
      <c r="AB29" t="str">
        <v>ЩГП</v>
      </c>
      <c r="AC29" t="str">
        <v>Ввод 1</v>
      </c>
      <c r="AD29" t="str">
        <v>нет</v>
      </c>
      <c r="AE29" t="str">
        <v>I</v>
      </c>
    </row>
    <row r="30" spans="2:31" x14ac:dyDescent="0.3">
      <c r="B30" s="117" t="s">
        <v>806</v>
      </c>
      <c r="C30" s="118" t="s">
        <v>845</v>
      </c>
      <c r="D30" s="118" t="s">
        <v>860</v>
      </c>
      <c r="AA30">
        <v>1</v>
      </c>
      <c r="AB30" t="str">
        <v>ЩГП</v>
      </c>
      <c r="AC30" t="str">
        <v>Ввод 1</v>
      </c>
      <c r="AD30" t="str">
        <v>нет</v>
      </c>
      <c r="AE30" t="str">
        <v>I</v>
      </c>
    </row>
    <row r="31" spans="2:31" x14ac:dyDescent="0.3">
      <c r="B31" t="s">
        <v>811</v>
      </c>
      <c r="C31" s="6" cm="1">
        <f t="array" ref="C31:C38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(_xlfn.ANCHORARRAY(AC3)="Ввод 1")+(_xlfn.ANCHORARRAY(AC3)="Ввод 2"))*(_xlfn.ANCHORARRAY(AD3)="нет"),IF(OR($E$5="Ввод 1",$E$5="Ввод 2"),$C$5,0),IF(OR($E$5="Ввод 1",$E$5="Ввод 2"),$D$5,0)))</f>
        <v>524.68100000000049</v>
      </c>
      <c r="D31" s="6" cm="1">
        <f t="array" ref="D31:D38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Ввод 3")*(_xlfn.ANCHORARRAY(AD3)="нет"),IF(OR($E$5="Ввод 3"),$C$5,0),IF(OR($E$5="Ввод 3"),$D$5,0)))</f>
        <v>0</v>
      </c>
      <c r="AA31">
        <v>1</v>
      </c>
      <c r="AB31" t="str">
        <v>ЩГП</v>
      </c>
      <c r="AC31" t="str">
        <v>Ввод 1</v>
      </c>
      <c r="AD31" t="str">
        <v>нет</v>
      </c>
      <c r="AE31" t="str">
        <v>III</v>
      </c>
    </row>
    <row r="32" spans="2:31" x14ac:dyDescent="0.3">
      <c r="B32" t="s">
        <v>1714</v>
      </c>
      <c r="C32" s="6">
        <v>0.52384563420440133</v>
      </c>
      <c r="D32" s="6">
        <v>0</v>
      </c>
      <c r="AA32">
        <v>1</v>
      </c>
      <c r="AB32" t="str">
        <v>ЩГП</v>
      </c>
      <c r="AC32" t="str">
        <v>Ввод 1</v>
      </c>
      <c r="AD32" t="str">
        <v>нет</v>
      </c>
      <c r="AE32" t="str">
        <v>III</v>
      </c>
    </row>
    <row r="33" spans="2:31" x14ac:dyDescent="0.3">
      <c r="B33" t="s">
        <v>807</v>
      </c>
      <c r="C33" s="6">
        <v>0.94999999999999873</v>
      </c>
      <c r="D33" s="6">
        <v>0</v>
      </c>
      <c r="AA33">
        <v>1</v>
      </c>
      <c r="AB33" t="str">
        <v>ЩГП</v>
      </c>
      <c r="AC33" t="str">
        <v>Ввод 1</v>
      </c>
      <c r="AD33" t="str">
        <v>нет</v>
      </c>
      <c r="AE33" t="str">
        <v>III</v>
      </c>
    </row>
    <row r="34" spans="2:31" x14ac:dyDescent="0.3">
      <c r="B34" t="s">
        <v>820</v>
      </c>
      <c r="C34" s="6">
        <v>0.32868410517886743</v>
      </c>
      <c r="D34" s="6">
        <v>0</v>
      </c>
      <c r="AA34">
        <v>1</v>
      </c>
      <c r="AB34" t="str">
        <v>ЩГП</v>
      </c>
      <c r="AC34" t="str">
        <v>Ввод 1</v>
      </c>
      <c r="AD34" t="str">
        <v>нет</v>
      </c>
      <c r="AE34" t="str">
        <v>III</v>
      </c>
    </row>
    <row r="35" spans="2:31" x14ac:dyDescent="0.3">
      <c r="B35" t="s">
        <v>856</v>
      </c>
      <c r="C35" s="6">
        <v>274.85185119999977</v>
      </c>
      <c r="D35" s="6">
        <v>0</v>
      </c>
      <c r="AA35">
        <v>1</v>
      </c>
      <c r="AB35" t="str">
        <v>ЩГП</v>
      </c>
      <c r="AC35" t="str">
        <v>Ввод 1</v>
      </c>
      <c r="AD35" t="str">
        <v>нет</v>
      </c>
      <c r="AE35" t="str">
        <v>III</v>
      </c>
    </row>
    <row r="36" spans="2:31" x14ac:dyDescent="0.3">
      <c r="B36" t="s">
        <v>857</v>
      </c>
      <c r="C36" s="6">
        <v>90.339434768427139</v>
      </c>
      <c r="D36" s="6">
        <v>0</v>
      </c>
      <c r="AA36">
        <v>1</v>
      </c>
      <c r="AB36" t="str">
        <v>ЩГП</v>
      </c>
      <c r="AC36" t="str">
        <v>Ввод 1</v>
      </c>
      <c r="AD36" t="str">
        <v>нет</v>
      </c>
      <c r="AE36" t="str">
        <v>III</v>
      </c>
    </row>
    <row r="37" spans="2:31" x14ac:dyDescent="0.3">
      <c r="B37" t="s">
        <v>858</v>
      </c>
      <c r="C37" s="6">
        <v>289.31773810526329</v>
      </c>
      <c r="D37" s="6">
        <v>0</v>
      </c>
      <c r="AA37">
        <v>1</v>
      </c>
      <c r="AB37" t="str">
        <v>ЩГП</v>
      </c>
      <c r="AC37" t="str">
        <v>Ввод 1</v>
      </c>
      <c r="AD37" t="str">
        <v>нет</v>
      </c>
      <c r="AE37" t="str">
        <v>III</v>
      </c>
    </row>
    <row r="38" spans="2:31" x14ac:dyDescent="0.3">
      <c r="B38" t="s">
        <v>813</v>
      </c>
      <c r="C38" s="6">
        <v>417.59418494101851</v>
      </c>
      <c r="D38" s="6">
        <v>0</v>
      </c>
      <c r="AA38">
        <v>1</v>
      </c>
      <c r="AB38" t="str">
        <v>ЩГП</v>
      </c>
      <c r="AC38" t="str">
        <v>Ввод 1</v>
      </c>
      <c r="AD38" t="str">
        <v>нет</v>
      </c>
      <c r="AE38" t="str">
        <v>III</v>
      </c>
    </row>
    <row r="39" spans="2:31" x14ac:dyDescent="0.3">
      <c r="AA39">
        <v>1</v>
      </c>
      <c r="AB39" t="str">
        <v>ЩГП</v>
      </c>
      <c r="AC39" t="str">
        <v>Ввод 1</v>
      </c>
      <c r="AD39" t="str">
        <v>нет</v>
      </c>
      <c r="AE39" t="str">
        <v>III</v>
      </c>
    </row>
    <row r="40" spans="2:31" x14ac:dyDescent="0.3">
      <c r="B40" s="36" t="s">
        <v>1717</v>
      </c>
      <c r="AA40">
        <v>1</v>
      </c>
      <c r="AB40" t="str">
        <v>ЩГП</v>
      </c>
      <c r="AC40" t="str">
        <v>Ввод 1</v>
      </c>
      <c r="AD40" t="str">
        <v>нет</v>
      </c>
      <c r="AE40" t="str">
        <v>III</v>
      </c>
    </row>
    <row r="41" spans="2:31" x14ac:dyDescent="0.3">
      <c r="B41" s="117" t="s">
        <v>806</v>
      </c>
      <c r="C41" s="118" t="s">
        <v>861</v>
      </c>
      <c r="D41" s="118" t="s">
        <v>862</v>
      </c>
      <c r="AA41">
        <v>1</v>
      </c>
      <c r="AB41" t="str">
        <v>ЩГП</v>
      </c>
      <c r="AC41" t="str">
        <v>Ввод 1</v>
      </c>
      <c r="AD41" t="str">
        <v>нет</v>
      </c>
      <c r="AE41" t="str">
        <v>III</v>
      </c>
    </row>
    <row r="42" spans="2:31" x14ac:dyDescent="0.3">
      <c r="B42" t="s">
        <v>811</v>
      </c>
      <c r="C42" s="6" cm="1">
        <f t="array" ref="C42:C49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ИБП")*(_xlfn.ANCHORARRAY(AD3)="нет"),0,0))</f>
        <v>0</v>
      </c>
      <c r="D42" s="6" cm="1">
        <f t="array" ref="D42:D49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ДГУ")*(_xlfn.ANCHORARRAY(AD3)="нет"),0,0))</f>
        <v>0</v>
      </c>
      <c r="AA42">
        <v>1</v>
      </c>
      <c r="AB42" t="str">
        <v>ЩГП</v>
      </c>
      <c r="AC42" t="str">
        <v>Ввод 1</v>
      </c>
      <c r="AD42" t="str">
        <v>нет</v>
      </c>
      <c r="AE42" t="str">
        <v>III</v>
      </c>
    </row>
    <row r="43" spans="2:31" x14ac:dyDescent="0.3">
      <c r="B43" t="s">
        <v>1714</v>
      </c>
      <c r="C43" s="6">
        <v>0</v>
      </c>
      <c r="D43" s="6">
        <v>0</v>
      </c>
      <c r="AA43">
        <v>1</v>
      </c>
      <c r="AB43" t="str">
        <v>ЩГП</v>
      </c>
      <c r="AC43" t="str">
        <v>Ввод 1</v>
      </c>
      <c r="AD43" t="str">
        <v>нет</v>
      </c>
      <c r="AE43" t="str">
        <v>III</v>
      </c>
    </row>
    <row r="44" spans="2:31" x14ac:dyDescent="0.3">
      <c r="B44" t="s">
        <v>807</v>
      </c>
      <c r="C44" s="6">
        <v>0</v>
      </c>
      <c r="D44" s="6">
        <v>0</v>
      </c>
      <c r="AA44">
        <v>1</v>
      </c>
      <c r="AB44" t="str">
        <v>ЩГП</v>
      </c>
      <c r="AC44" t="str">
        <v>Ввод 1</v>
      </c>
      <c r="AD44" t="str">
        <v>нет</v>
      </c>
      <c r="AE44" t="str">
        <v>III</v>
      </c>
    </row>
    <row r="45" spans="2:31" x14ac:dyDescent="0.3">
      <c r="B45" t="s">
        <v>820</v>
      </c>
      <c r="C45" s="6">
        <v>0</v>
      </c>
      <c r="D45" s="6">
        <v>0</v>
      </c>
      <c r="AA45">
        <v>1</v>
      </c>
      <c r="AB45" t="str">
        <v>ЩГП</v>
      </c>
      <c r="AC45" t="str">
        <v>Ввод 1</v>
      </c>
      <c r="AD45" t="str">
        <v>нет</v>
      </c>
      <c r="AE45" t="str">
        <v>III</v>
      </c>
    </row>
    <row r="46" spans="2:31" x14ac:dyDescent="0.3">
      <c r="B46" t="s">
        <v>856</v>
      </c>
      <c r="C46" s="6">
        <v>0</v>
      </c>
      <c r="D46" s="6">
        <v>0</v>
      </c>
      <c r="AA46">
        <v>1</v>
      </c>
      <c r="AB46" t="str">
        <v>ЩГП</v>
      </c>
      <c r="AC46" t="str">
        <v>Ввод 1</v>
      </c>
      <c r="AD46" t="str">
        <v>нет</v>
      </c>
      <c r="AE46" t="str">
        <v>III</v>
      </c>
    </row>
    <row r="47" spans="2:31" x14ac:dyDescent="0.3">
      <c r="B47" t="s">
        <v>857</v>
      </c>
      <c r="C47" s="6">
        <v>0</v>
      </c>
      <c r="D47" s="6">
        <v>0</v>
      </c>
      <c r="AA47">
        <v>1</v>
      </c>
      <c r="AB47" t="str">
        <v>ЩГП</v>
      </c>
      <c r="AC47" t="str">
        <v>Ввод 1</v>
      </c>
      <c r="AD47" t="str">
        <v>нет</v>
      </c>
      <c r="AE47" t="str">
        <v>III</v>
      </c>
    </row>
    <row r="48" spans="2:31" x14ac:dyDescent="0.3">
      <c r="B48" t="s">
        <v>858</v>
      </c>
      <c r="C48" s="6">
        <v>0</v>
      </c>
      <c r="D48" s="6">
        <v>0</v>
      </c>
      <c r="AA48">
        <v>1</v>
      </c>
      <c r="AB48" t="str">
        <v>ЩГП</v>
      </c>
      <c r="AC48" t="str">
        <v>Ввод 1</v>
      </c>
      <c r="AD48" t="str">
        <v>нет</v>
      </c>
      <c r="AE48" t="str">
        <v>III</v>
      </c>
    </row>
    <row r="49" spans="2:31" x14ac:dyDescent="0.3">
      <c r="B49" t="s">
        <v>813</v>
      </c>
      <c r="C49" s="6">
        <v>0</v>
      </c>
      <c r="D49" s="6">
        <v>0</v>
      </c>
      <c r="AA49">
        <v>1</v>
      </c>
      <c r="AB49" t="str">
        <v>ЩГП</v>
      </c>
      <c r="AC49" t="str">
        <v>Ввод 1</v>
      </c>
      <c r="AD49" t="str">
        <v>нет</v>
      </c>
      <c r="AE49" t="str">
        <v>III</v>
      </c>
    </row>
    <row r="50" spans="2:31" x14ac:dyDescent="0.3">
      <c r="AA50">
        <v>1</v>
      </c>
      <c r="AB50" t="str">
        <v>ЩГП</v>
      </c>
      <c r="AC50" t="str">
        <v>Ввод 1</v>
      </c>
      <c r="AD50" t="str">
        <v>нет</v>
      </c>
      <c r="AE50" t="str">
        <v>III</v>
      </c>
    </row>
    <row r="51" spans="2:31" x14ac:dyDescent="0.3">
      <c r="B51" s="36" t="s">
        <v>1718</v>
      </c>
      <c r="AA51">
        <v>1</v>
      </c>
      <c r="AB51" t="str">
        <v>ЩГП</v>
      </c>
      <c r="AC51" t="str">
        <v>Ввод 1</v>
      </c>
      <c r="AD51" t="str">
        <v>нет</v>
      </c>
      <c r="AE51" t="str">
        <v>III</v>
      </c>
    </row>
    <row r="52" spans="2:31" x14ac:dyDescent="0.3">
      <c r="B52" s="117" t="s">
        <v>806</v>
      </c>
      <c r="C52" s="118" t="s">
        <v>845</v>
      </c>
      <c r="D52" s="118" t="s">
        <v>859</v>
      </c>
      <c r="E52" s="118" t="s">
        <v>860</v>
      </c>
      <c r="F52" s="118" t="s">
        <v>861</v>
      </c>
      <c r="G52" s="118" t="s">
        <v>862</v>
      </c>
      <c r="H52" s="118" t="s">
        <v>863</v>
      </c>
      <c r="AA52">
        <v>1</v>
      </c>
      <c r="AB52" t="str">
        <v>ЩГП</v>
      </c>
      <c r="AC52" t="str">
        <v>Ввод 1</v>
      </c>
      <c r="AD52" t="str">
        <v>нет</v>
      </c>
      <c r="AE52" t="str">
        <v>III</v>
      </c>
    </row>
    <row r="53" spans="2:31" x14ac:dyDescent="0.3">
      <c r="B53" t="s">
        <v>811</v>
      </c>
      <c r="C53" s="6" cm="1">
        <f t="array" ref="C53:C60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Ввод 1")*(_xlfn.ANCHORARRAY(AD3)="да"),0,0))</f>
        <v>1.6</v>
      </c>
      <c r="D53" s="6" cm="1">
        <f t="array" ref="D53:D60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Ввод 2")*(_xlfn.ANCHORARRAY(AD3)="да"),0,0))</f>
        <v>0</v>
      </c>
      <c r="E53" s="6" cm="1">
        <f t="array" ref="E53:E60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Ввод 3")*(_xlfn.ANCHORARRAY(AD3)="да"),0,0))</f>
        <v>0</v>
      </c>
      <c r="F53" s="6" cm="1">
        <f t="array" ref="F53:F60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ИБП")*(_xlfn.ANCHORARRAY(AD3)="да"),0,0))</f>
        <v>0</v>
      </c>
      <c r="G53" s="6" cm="1">
        <f t="array" ref="G53:G60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ДГУ")*(_xlfn.ANCHORARRAY(AD3)="да"),0,0))</f>
        <v>0</v>
      </c>
      <c r="H53" s="6" cm="1">
        <f t="array" ref="H53:H60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D3)="да"),0,0))</f>
        <v>1.6</v>
      </c>
      <c r="AA53">
        <v>1</v>
      </c>
      <c r="AB53" t="str">
        <v>ЩОВ-001</v>
      </c>
      <c r="AC53" t="str">
        <v>Ввод 2</v>
      </c>
      <c r="AD53" t="str">
        <v>нет</v>
      </c>
      <c r="AE53" t="str">
        <v>III</v>
      </c>
    </row>
    <row r="54" spans="2:31" x14ac:dyDescent="0.3">
      <c r="B54" t="s">
        <v>1714</v>
      </c>
      <c r="C54" s="6">
        <v>1</v>
      </c>
      <c r="D54" s="6">
        <v>0</v>
      </c>
      <c r="E54" s="6">
        <v>0</v>
      </c>
      <c r="F54" s="6">
        <v>0</v>
      </c>
      <c r="G54" s="6">
        <v>0</v>
      </c>
      <c r="H54" s="6">
        <v>1</v>
      </c>
      <c r="AA54">
        <v>1</v>
      </c>
      <c r="AB54" t="str">
        <v>ЩОВ-001</v>
      </c>
      <c r="AC54" t="str">
        <v>Ввод 2</v>
      </c>
      <c r="AD54" t="str">
        <v>нет</v>
      </c>
      <c r="AE54" t="str">
        <v>II</v>
      </c>
    </row>
    <row r="55" spans="2:31" x14ac:dyDescent="0.3">
      <c r="B55" t="s">
        <v>807</v>
      </c>
      <c r="C55" s="6">
        <v>0.94999999999999984</v>
      </c>
      <c r="D55" s="6">
        <v>0</v>
      </c>
      <c r="E55" s="6">
        <v>0</v>
      </c>
      <c r="F55" s="6">
        <v>0</v>
      </c>
      <c r="G55" s="6">
        <v>0</v>
      </c>
      <c r="H55" s="6">
        <v>0.94999999999999984</v>
      </c>
      <c r="AA55">
        <v>1</v>
      </c>
      <c r="AB55" t="str">
        <v>ЩОВ-001</v>
      </c>
      <c r="AC55" t="str">
        <v>Ввод 2</v>
      </c>
      <c r="AD55" t="str">
        <v>нет</v>
      </c>
      <c r="AE55" t="str">
        <v>II</v>
      </c>
    </row>
    <row r="56" spans="2:31" x14ac:dyDescent="0.3">
      <c r="B56" t="s">
        <v>820</v>
      </c>
      <c r="C56" s="6">
        <v>0.32868410517886321</v>
      </c>
      <c r="D56" s="6">
        <v>0</v>
      </c>
      <c r="E56" s="6">
        <v>0</v>
      </c>
      <c r="F56" s="6">
        <v>0</v>
      </c>
      <c r="G56" s="6">
        <v>0</v>
      </c>
      <c r="H56" s="6">
        <v>0.32868410517886321</v>
      </c>
      <c r="AA56">
        <v>1</v>
      </c>
      <c r="AB56" t="str">
        <v>ЩОВ-001</v>
      </c>
      <c r="AC56" t="str">
        <v>Ввод 2</v>
      </c>
      <c r="AD56" t="str">
        <v>нет</v>
      </c>
      <c r="AE56" t="str">
        <v>II</v>
      </c>
    </row>
    <row r="57" spans="2:31" x14ac:dyDescent="0.3">
      <c r="B57" t="s">
        <v>856</v>
      </c>
      <c r="C57" s="6">
        <v>1.6</v>
      </c>
      <c r="D57" s="6">
        <v>0</v>
      </c>
      <c r="E57" s="6">
        <v>0</v>
      </c>
      <c r="F57" s="6">
        <v>0</v>
      </c>
      <c r="G57" s="6">
        <v>0</v>
      </c>
      <c r="H57" s="6">
        <v>1.6</v>
      </c>
      <c r="AA57">
        <v>1</v>
      </c>
      <c r="AB57" t="str">
        <v>ЩОВ-001</v>
      </c>
      <c r="AC57" t="str">
        <v>Ввод 2</v>
      </c>
      <c r="AD57" t="str">
        <v>нет</v>
      </c>
      <c r="AE57" t="str">
        <v>II</v>
      </c>
    </row>
    <row r="58" spans="2:31" x14ac:dyDescent="0.3">
      <c r="B58" t="s">
        <v>857</v>
      </c>
      <c r="C58" s="6">
        <v>0.5258945682861812</v>
      </c>
      <c r="D58" s="6">
        <v>0</v>
      </c>
      <c r="E58" s="6">
        <v>0</v>
      </c>
      <c r="F58" s="6">
        <v>0</v>
      </c>
      <c r="G58" s="6">
        <v>0</v>
      </c>
      <c r="H58" s="6">
        <v>0.5258945682861812</v>
      </c>
      <c r="AA58">
        <v>1</v>
      </c>
      <c r="AB58" t="str">
        <v>ЩОВ-001</v>
      </c>
      <c r="AC58" t="str">
        <v>Ввод 2</v>
      </c>
      <c r="AD58" t="str">
        <v>нет</v>
      </c>
      <c r="AE58" t="str">
        <v>II</v>
      </c>
    </row>
    <row r="59" spans="2:31" x14ac:dyDescent="0.3">
      <c r="B59" t="s">
        <v>858</v>
      </c>
      <c r="C59" s="6">
        <v>1.6842105263157898</v>
      </c>
      <c r="D59" s="6">
        <v>0</v>
      </c>
      <c r="E59" s="6">
        <v>0</v>
      </c>
      <c r="F59" s="6">
        <v>0</v>
      </c>
      <c r="G59" s="6">
        <v>0</v>
      </c>
      <c r="H59" s="6">
        <v>1.6842105263157898</v>
      </c>
      <c r="AA59">
        <v>1</v>
      </c>
      <c r="AB59" t="str">
        <v>ЩОВ-001</v>
      </c>
      <c r="AC59" t="str">
        <v>Ввод 2</v>
      </c>
      <c r="AD59" t="str">
        <v>нет</v>
      </c>
      <c r="AE59" t="str">
        <v>II</v>
      </c>
    </row>
    <row r="60" spans="2:31" x14ac:dyDescent="0.3">
      <c r="B60" t="s">
        <v>813</v>
      </c>
      <c r="C60" s="6">
        <v>2.4309485018510562</v>
      </c>
      <c r="D60" s="6">
        <v>0</v>
      </c>
      <c r="E60" s="6">
        <v>0</v>
      </c>
      <c r="F60" s="6">
        <v>0</v>
      </c>
      <c r="G60" s="6">
        <v>0</v>
      </c>
      <c r="H60" s="6">
        <v>2.4309485018510562</v>
      </c>
      <c r="AA60">
        <v>1</v>
      </c>
      <c r="AB60" t="str">
        <v>ЩОВ-001</v>
      </c>
      <c r="AC60" t="str">
        <v>Ввод 2</v>
      </c>
      <c r="AD60" t="str">
        <v>нет</v>
      </c>
      <c r="AE60" t="str">
        <v>II</v>
      </c>
    </row>
    <row r="61" spans="2:31" x14ac:dyDescent="0.3">
      <c r="AA61">
        <v>1</v>
      </c>
      <c r="AB61" t="str">
        <v>ЩОВ-001</v>
      </c>
      <c r="AC61" t="str">
        <v>Ввод 2</v>
      </c>
      <c r="AD61" t="str">
        <v>нет</v>
      </c>
      <c r="AE61" t="str">
        <v>II</v>
      </c>
    </row>
    <row r="62" spans="2:31" x14ac:dyDescent="0.3">
      <c r="B62" s="36" t="s">
        <v>1719</v>
      </c>
      <c r="AA62">
        <v>1</v>
      </c>
      <c r="AB62" t="str">
        <v>ЩОВ-001</v>
      </c>
      <c r="AC62" t="str">
        <v>Ввод 2</v>
      </c>
      <c r="AD62" t="str">
        <v>нет</v>
      </c>
      <c r="AE62" t="str">
        <v>II</v>
      </c>
    </row>
    <row r="63" spans="2:31" x14ac:dyDescent="0.3">
      <c r="B63" s="117" t="s">
        <v>806</v>
      </c>
      <c r="C63" s="118" t="s">
        <v>1713</v>
      </c>
      <c r="AA63">
        <v>1</v>
      </c>
      <c r="AB63" t="str">
        <v>ЩОВ-001</v>
      </c>
      <c r="AC63" t="str">
        <v>Ввод 2</v>
      </c>
      <c r="AD63" t="str">
        <v>нет</v>
      </c>
      <c r="AE63" t="str">
        <v>II</v>
      </c>
    </row>
    <row r="64" spans="2:31" x14ac:dyDescent="0.3">
      <c r="B64" t="s">
        <v>811</v>
      </c>
      <c r="C64" s="6" cm="1">
        <f t="array" ref="C64:C71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(_xlfn.ANCHORARRAY(AC3)="Ввод 1")+(_xlfn.ANCHORARRAY(AC3)="Ввод 2")+(_xlfn.ANCHORARRAY(AC3)="Ввод 3")),IF(OR($E$5="Ввод 1",$E$5="Ввод 2",$E$5="Ввод 3"),$C$5,0),IF(OR($E$5="Ввод 1",$E$5="Ввод 2",$E$5="Ввод 3"),$D$5,0)))</f>
        <v>526.2810000000004</v>
      </c>
      <c r="AA64">
        <v>1</v>
      </c>
      <c r="AB64" t="str">
        <v>ЩОВ-001</v>
      </c>
      <c r="AC64" t="str">
        <v>Ввод 2</v>
      </c>
      <c r="AD64" t="str">
        <v>нет</v>
      </c>
      <c r="AE64" t="str">
        <v>II</v>
      </c>
    </row>
    <row r="65" spans="2:31" x14ac:dyDescent="0.3">
      <c r="B65" t="s">
        <v>1714</v>
      </c>
      <c r="C65" s="6">
        <v>0.52529323916310777</v>
      </c>
      <c r="AA65">
        <v>1</v>
      </c>
      <c r="AB65" t="str">
        <v>ЩОВ-001</v>
      </c>
      <c r="AC65" t="str">
        <v>Ввод 2</v>
      </c>
      <c r="AD65" t="str">
        <v>нет</v>
      </c>
      <c r="AE65" t="str">
        <v>II</v>
      </c>
    </row>
    <row r="66" spans="2:31" x14ac:dyDescent="0.3">
      <c r="B66" t="s">
        <v>807</v>
      </c>
      <c r="C66" s="6">
        <v>0.94999999999999885</v>
      </c>
      <c r="AA66">
        <v>1</v>
      </c>
      <c r="AB66" t="str">
        <v>ЩОВ-001</v>
      </c>
      <c r="AC66" t="str">
        <v>Ввод 2</v>
      </c>
      <c r="AD66" t="str">
        <v>нет</v>
      </c>
      <c r="AE66" t="str">
        <v>II</v>
      </c>
    </row>
    <row r="67" spans="2:31" x14ac:dyDescent="0.3">
      <c r="B67" t="s">
        <v>820</v>
      </c>
      <c r="C67" s="6">
        <v>0.32868410517886715</v>
      </c>
      <c r="AA67">
        <v>1</v>
      </c>
      <c r="AB67" t="str">
        <v>ЩОВ-001</v>
      </c>
      <c r="AC67" t="str">
        <v>Ввод 2</v>
      </c>
      <c r="AD67" t="str">
        <v>нет</v>
      </c>
      <c r="AE67" t="str">
        <v>II</v>
      </c>
    </row>
    <row r="68" spans="2:31" x14ac:dyDescent="0.3">
      <c r="B68" t="s">
        <v>856</v>
      </c>
      <c r="C68" s="6">
        <v>276.45185119999974</v>
      </c>
      <c r="AA68">
        <v>1</v>
      </c>
      <c r="AB68" t="str">
        <v>ЩОВ-001</v>
      </c>
      <c r="AC68" t="str">
        <v>Ввод 2</v>
      </c>
      <c r="AD68" t="str">
        <v>нет</v>
      </c>
      <c r="AE68" t="str">
        <v>II</v>
      </c>
    </row>
    <row r="69" spans="2:31" x14ac:dyDescent="0.3">
      <c r="B69" t="s">
        <v>857</v>
      </c>
      <c r="C69" s="6">
        <v>90.865329336713245</v>
      </c>
      <c r="AA69">
        <v>1</v>
      </c>
      <c r="AB69" t="str">
        <v>ЩОВ-001</v>
      </c>
      <c r="AC69" t="str">
        <v>Ввод 2</v>
      </c>
      <c r="AD69" t="str">
        <v>нет</v>
      </c>
      <c r="AE69" t="str">
        <v>II</v>
      </c>
    </row>
    <row r="70" spans="2:31" x14ac:dyDescent="0.3">
      <c r="B70" t="s">
        <v>858</v>
      </c>
      <c r="C70" s="6">
        <v>291.00194863157901</v>
      </c>
      <c r="AA70">
        <v>1</v>
      </c>
      <c r="AB70" t="str">
        <v>ЩОВ-001</v>
      </c>
      <c r="AC70" t="str">
        <v>Ввод 2</v>
      </c>
      <c r="AD70" t="str">
        <v>нет</v>
      </c>
      <c r="AE70" t="str">
        <v>II</v>
      </c>
    </row>
    <row r="71" spans="2:31" x14ac:dyDescent="0.3">
      <c r="B71" t="s">
        <v>813</v>
      </c>
      <c r="C71" s="6">
        <v>420.0251334428695</v>
      </c>
      <c r="AA71">
        <v>1</v>
      </c>
      <c r="AB71" t="str">
        <v>ЩОВ-001</v>
      </c>
      <c r="AC71" t="str">
        <v>Ввод 2</v>
      </c>
      <c r="AD71" t="str">
        <v>нет</v>
      </c>
      <c r="AE71" t="str">
        <v>II</v>
      </c>
    </row>
    <row r="72" spans="2:31" x14ac:dyDescent="0.3">
      <c r="AA72">
        <v>1</v>
      </c>
      <c r="AB72" t="str">
        <v>ЩОВ-001</v>
      </c>
      <c r="AC72" t="str">
        <v>Ввод 2</v>
      </c>
      <c r="AD72" t="str">
        <v>нет</v>
      </c>
      <c r="AE72" t="str">
        <v>II</v>
      </c>
    </row>
    <row r="73" spans="2:31" x14ac:dyDescent="0.3">
      <c r="B73" s="36" t="s">
        <v>1720</v>
      </c>
      <c r="AA73">
        <v>1</v>
      </c>
      <c r="AB73" t="str">
        <v>ЩОВ-001</v>
      </c>
      <c r="AC73" t="str">
        <v>Ввод 2</v>
      </c>
      <c r="AD73" t="str">
        <v>нет</v>
      </c>
      <c r="AE73" t="str">
        <v>II</v>
      </c>
    </row>
    <row r="74" spans="2:31" x14ac:dyDescent="0.3">
      <c r="B74" s="117" t="s">
        <v>821</v>
      </c>
      <c r="C74" s="117" t="s">
        <v>1721</v>
      </c>
      <c r="D74" s="117" t="s">
        <v>811</v>
      </c>
      <c r="E74" s="117" t="s">
        <v>856</v>
      </c>
      <c r="F74" s="117" t="s">
        <v>857</v>
      </c>
      <c r="G74" s="117" t="s">
        <v>858</v>
      </c>
      <c r="H74" s="117" t="s">
        <v>1722</v>
      </c>
      <c r="I74" s="117" t="s">
        <v>1723</v>
      </c>
      <c r="AA74">
        <v>1</v>
      </c>
      <c r="AB74" t="str">
        <v>ЩОВ-001</v>
      </c>
      <c r="AC74" t="str">
        <v>Ввод 2</v>
      </c>
      <c r="AD74" t="str">
        <v>нет</v>
      </c>
      <c r="AE74" t="str">
        <v>II</v>
      </c>
    </row>
    <row r="75" spans="2:31" x14ac:dyDescent="0.3">
      <c r="B75" t="s">
        <v>865</v>
      </c>
      <c r="C75" cm="1">
        <f t="array" ref="C75">SUM(_xlfn.ANCHORARRAY(AA3)*(_xlfn.ANCHORARRAY(AE3)="I особая"))</f>
        <v>0</v>
      </c>
      <c r="D75" s="6" cm="1">
        <f t="array" ref="D75:G75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x,_xlpm.РАСЧЁТ(_xlfn.ANCHORARRAY(AA3)*(_xlfn.ANCHORARRAY(AE3)="I особая")*(_xlfn.ANCHORARRAY(AD3)="нет"),0,0),_xlfn.HSTACK(INDEX(_xlpm.x,1),INDEX(_xlpm.x,5),INDEX(_xlpm.x,6),INDEX(_xlpm.x,7))))</f>
        <v>0</v>
      </c>
      <c r="E75" s="6">
        <v>0</v>
      </c>
      <c r="F75" s="6">
        <v>0</v>
      </c>
      <c r="G75" s="6">
        <v>0</v>
      </c>
      <c r="H75" s="6" cm="1">
        <f t="array" ref="H75:I75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x,_xlpm.РАСЧЁТ(_xlfn.ANCHORARRAY(AA3)*(_xlfn.ANCHORARRAY(AE3)="I особая")*(_xlfn.ANCHORARRAY(AD3)="да"),0,0),_xlfn.HSTACK(INDEX(_xlpm.x,1),INDEX(_xlpm.x,5))))</f>
        <v>0</v>
      </c>
      <c r="I75" s="6">
        <v>0</v>
      </c>
      <c r="AA75">
        <v>1</v>
      </c>
      <c r="AB75" t="str">
        <v>ЩОВ-001</v>
      </c>
      <c r="AC75" t="str">
        <v>Ввод 2</v>
      </c>
      <c r="AD75" t="str">
        <v>нет</v>
      </c>
      <c r="AE75" t="str">
        <v>II</v>
      </c>
    </row>
    <row r="76" spans="2:31" x14ac:dyDescent="0.3">
      <c r="B76" t="s">
        <v>866</v>
      </c>
      <c r="C76" cm="1">
        <f t="array" ref="C76">SUM(_xlfn.ANCHORARRAY(AA3)*(_xlfn.ANCHORARRAY(AE3)="I"))</f>
        <v>17</v>
      </c>
      <c r="D76" s="6" cm="1">
        <f t="array" ref="D76:G76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x,_xlpm.РАСЧЁТ(_xlfn.ANCHORARRAY(AA3)*(_xlfn.ANCHORARRAY(AE3)="I")*(_xlfn.ANCHORARRAY(AD3)="нет"),0,0),_xlfn.HSTACK(INDEX(_xlpm.x,1),INDEX(_xlpm.x,5),INDEX(_xlpm.x,6),INDEX(_xlpm.x,7))))</f>
        <v>4.1000000000000005</v>
      </c>
      <c r="E76" s="6">
        <v>2.0100000000000002</v>
      </c>
      <c r="F76" s="6">
        <v>0.66065505140951764</v>
      </c>
      <c r="G76" s="6">
        <v>2.1157894736842118</v>
      </c>
      <c r="H76" s="6" cm="1">
        <f t="array" ref="H76:I76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x,_xlpm.РАСЧЁТ(_xlfn.ANCHORARRAY(AA3)*(_xlfn.ANCHORARRAY(AE3)="I")*(_xlfn.ANCHORARRAY(AD3)="да"),0,0),_xlfn.HSTACK(INDEX(_xlpm.x,1),INDEX(_xlpm.x,5))))</f>
        <v>1.6</v>
      </c>
      <c r="I76" s="6">
        <v>1.6</v>
      </c>
      <c r="AA76">
        <v>1</v>
      </c>
      <c r="AB76" t="str">
        <v>ЩОВ-001</v>
      </c>
      <c r="AC76" t="str">
        <v>Ввод 2</v>
      </c>
      <c r="AD76" t="str">
        <v>нет</v>
      </c>
      <c r="AE76" t="str">
        <v>II</v>
      </c>
    </row>
    <row r="77" spans="2:31" x14ac:dyDescent="0.3">
      <c r="B77" t="s">
        <v>818</v>
      </c>
      <c r="C77" cm="1">
        <f t="array" ref="C77">SUM(_xlfn.ANCHORARRAY(AA3)*(_xlfn.ANCHORARRAY(AE3)="II"))</f>
        <v>282</v>
      </c>
      <c r="D77" s="6" cm="1">
        <f t="array" ref="D77:G77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x,_xlpm.РАСЧЁТ(_xlfn.ANCHORARRAY(AA3)*(_xlfn.ANCHORARRAY(AE3)="II")*(_xlfn.ANCHORARRAY(AD3)="нет"),0,0),_xlfn.HSTACK(INDEX(_xlpm.x,1),INDEX(_xlpm.x,5),INDEX(_xlpm.x,6),INDEX(_xlpm.x,7))))</f>
        <v>346.63000000000125</v>
      </c>
      <c r="E77" s="6">
        <v>179.98046680000016</v>
      </c>
      <c r="F77" s="6">
        <v>59.156718679834185</v>
      </c>
      <c r="G77" s="6">
        <v>189.45312294736925</v>
      </c>
      <c r="H77" s="6" cm="1">
        <f t="array" ref="H77:I77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x,_xlpm.РАСЧЁТ(_xlfn.ANCHORARRAY(AA3)*(_xlfn.ANCHORARRAY(AE3)="II")*(_xlfn.ANCHORARRAY(AD3)="да"),0,0),_xlfn.HSTACK(INDEX(_xlpm.x,1),INDEX(_xlpm.x,5))))</f>
        <v>0</v>
      </c>
      <c r="I77" s="6">
        <v>0</v>
      </c>
      <c r="AA77">
        <v>1</v>
      </c>
      <c r="AB77" t="str">
        <v>ЩОВ-001</v>
      </c>
      <c r="AC77" t="str">
        <v>Ввод 2</v>
      </c>
      <c r="AD77" t="str">
        <v>нет</v>
      </c>
      <c r="AE77" t="str">
        <v>II</v>
      </c>
    </row>
    <row r="78" spans="2:31" x14ac:dyDescent="0.3">
      <c r="B78" t="s">
        <v>867</v>
      </c>
      <c r="C78" cm="1">
        <f t="array" ref="C78">SUM(_xlfn.ANCHORARRAY(AA3)*(_xlfn.ANCHORARRAY(AE3)="III"))</f>
        <v>51</v>
      </c>
      <c r="D78" s="6" cm="1">
        <f t="array" ref="D78:G78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x,_xlpm.РАСЧЁТ(_xlfn.ANCHORARRAY(AA3)*(_xlfn.ANCHORARRAY(AE3)="III")*(_xlfn.ANCHORARRAY(AD3)="нет"),0,0),_xlfn.HSTACK(INDEX(_xlpm.x,1),INDEX(_xlpm.x,5),INDEX(_xlpm.x,6),INDEX(_xlpm.x,7))))</f>
        <v>173.95099999999985</v>
      </c>
      <c r="E78" s="6">
        <v>93.78394999999999</v>
      </c>
      <c r="F78" s="6">
        <v>30.825293685889083</v>
      </c>
      <c r="G78" s="6">
        <v>98.719947368420989</v>
      </c>
      <c r="H78" s="6" cm="1">
        <f t="array" ref="H78:I78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x,_xlpm.РАСЧЁТ(_xlfn.ANCHORARRAY(AA3)*(_xlfn.ANCHORARRAY(AE3)="III")*(_xlfn.ANCHORARRAY(AD3)="да"),0,0),_xlfn.HSTACK(INDEX(_xlpm.x,1),INDEX(_xlpm.x,5))))</f>
        <v>0</v>
      </c>
      <c r="I78" s="6">
        <v>0</v>
      </c>
      <c r="AA78">
        <v>1</v>
      </c>
      <c r="AB78" t="str">
        <v>ЩОВ-001</v>
      </c>
      <c r="AC78" t="str">
        <v>Ввод 2</v>
      </c>
      <c r="AD78" t="str">
        <v>нет</v>
      </c>
      <c r="AE78" t="str">
        <v>II</v>
      </c>
    </row>
    <row r="79" spans="2:31" x14ac:dyDescent="0.3">
      <c r="B79" t="s">
        <v>863</v>
      </c>
      <c r="C79">
        <f>SUM(_xlfn.ANCHORARRAY(AA3))</f>
        <v>350</v>
      </c>
      <c r="D79" s="6" cm="1">
        <f t="array" ref="D79:G79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x,_xlpm.РАСЧЁТ(_xlfn.ANCHORARRAY(AA3)*(_xlfn.ANCHORARRAY(AD3)="нет"),0,0),_xlfn.HSTACK(INDEX(_xlpm.x,1),INDEX(_xlpm.x,5),INDEX(_xlpm.x,6),INDEX(_xlpm.x,7))))</f>
        <v>524.68100000000049</v>
      </c>
      <c r="E79" s="6">
        <v>274.85185119999977</v>
      </c>
      <c r="F79" s="6">
        <v>90.339434768427139</v>
      </c>
      <c r="G79" s="6">
        <v>289.31773810526329</v>
      </c>
      <c r="H79" s="6" cm="1">
        <f t="array" ref="H79:I79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x,_xlpm.РАСЧЁТ(_xlfn.ANCHORARRAY(AA3)*(_xlfn.ANCHORARRAY(AD3)="да"),0,0),_xlfn.HSTACK(INDEX(_xlpm.x,1),INDEX(_xlpm.x,5))))</f>
        <v>1.6</v>
      </c>
      <c r="I79" s="6">
        <v>1.6</v>
      </c>
      <c r="AA79">
        <v>1</v>
      </c>
      <c r="AB79" t="str">
        <v>ЩОВ-001</v>
      </c>
      <c r="AC79" t="str">
        <v>Ввод 2</v>
      </c>
      <c r="AD79" t="str">
        <v>нет</v>
      </c>
      <c r="AE79" t="str">
        <v>II</v>
      </c>
    </row>
    <row r="80" spans="2:31" x14ac:dyDescent="0.3">
      <c r="B80" s="116" t="s">
        <v>1724</v>
      </c>
      <c r="AA80">
        <v>1</v>
      </c>
      <c r="AB80" t="str">
        <v>ЩОВ-001</v>
      </c>
      <c r="AC80" t="str">
        <v>Ввод 2</v>
      </c>
      <c r="AD80" t="str">
        <v>нет</v>
      </c>
      <c r="AE80" t="str">
        <v>II</v>
      </c>
    </row>
    <row r="81" spans="2:31" x14ac:dyDescent="0.3">
      <c r="AA81">
        <v>1</v>
      </c>
      <c r="AB81" t="str">
        <v>ЩОВ-001</v>
      </c>
      <c r="AC81" t="str">
        <v>Ввод 2</v>
      </c>
      <c r="AD81" t="str">
        <v>нет</v>
      </c>
      <c r="AE81" t="str">
        <v>II</v>
      </c>
    </row>
    <row r="82" spans="2:31" x14ac:dyDescent="0.3">
      <c r="B82" s="36" t="s">
        <v>1725</v>
      </c>
      <c r="AA82">
        <v>1</v>
      </c>
      <c r="AB82" t="str">
        <v>ЩОВ-001</v>
      </c>
      <c r="AC82" t="str">
        <v>Ввод 2</v>
      </c>
      <c r="AD82" t="str">
        <v>нет</v>
      </c>
      <c r="AE82" t="str">
        <v>II</v>
      </c>
    </row>
    <row r="83" spans="2:31" x14ac:dyDescent="0.3">
      <c r="B83" t="s">
        <v>1726</v>
      </c>
      <c r="C83" s="6" cm="1">
        <f t="array" ref="C83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INDEX(_xlpm.РАСЧЁТ(_xlfn.ANCHORARRAY(AA3)*(_xlfn.ANCHORARRAY(AC3)="ИБП")*(_xlfn.ANCHORARRAY(AD3)="нет"),0,0),5))</f>
        <v>0</v>
      </c>
      <c r="AA83">
        <v>1</v>
      </c>
      <c r="AB83" t="str">
        <v>ЩОВ-001</v>
      </c>
      <c r="AC83" t="str">
        <v>Ввод 2</v>
      </c>
      <c r="AD83" t="str">
        <v>нет</v>
      </c>
      <c r="AE83" t="str">
        <v>II</v>
      </c>
    </row>
    <row r="84" spans="2:31" x14ac:dyDescent="0.3">
      <c r="B84" t="s">
        <v>1727</v>
      </c>
      <c r="C84" s="6">
        <f>C83/ИБП_cos_вых/ИБП_загрузка</f>
        <v>0</v>
      </c>
      <c r="AA84">
        <v>1</v>
      </c>
      <c r="AB84" t="str">
        <v>ЩОВ-001</v>
      </c>
      <c r="AC84" t="str">
        <v>Ввод 2</v>
      </c>
      <c r="AD84" t="str">
        <v>нет</v>
      </c>
      <c r="AE84" t="str">
        <v>II</v>
      </c>
    </row>
    <row r="85" spans="2:31" x14ac:dyDescent="0.3">
      <c r="B85" t="s">
        <v>1728</v>
      </c>
      <c r="C85" s="6" cm="1">
        <f t="array" ref="C85">IFERROR(MIN(_xlfn._xlws.FILTER(ИБП_ряд,ИБП_ряд&gt;=C84)),"больше ряда")</f>
        <v>6</v>
      </c>
      <c r="AA85">
        <v>1</v>
      </c>
      <c r="AB85" t="str">
        <v>ЩОВ-001</v>
      </c>
      <c r="AC85" t="str">
        <v>Ввод 2</v>
      </c>
      <c r="AD85" t="str">
        <v>нет</v>
      </c>
      <c r="AE85" t="str">
        <v>II</v>
      </c>
    </row>
    <row r="86" spans="2:31" x14ac:dyDescent="0.3">
      <c r="B86" t="s">
        <v>1729</v>
      </c>
      <c r="C86" s="6">
        <f>IFERROR(C83/ИБП_cos_вых/C85,"")</f>
        <v>0</v>
      </c>
      <c r="AA86">
        <v>1</v>
      </c>
      <c r="AB86" t="str">
        <v>ЩОВ-001</v>
      </c>
      <c r="AC86" t="str">
        <v>Ввод 2</v>
      </c>
      <c r="AD86" t="str">
        <v>нет</v>
      </c>
      <c r="AE86" t="str">
        <v>II</v>
      </c>
    </row>
    <row r="87" spans="2:31" x14ac:dyDescent="0.3">
      <c r="B87" t="s">
        <v>1730</v>
      </c>
      <c r="C87" s="6">
        <f>C83*1000*ИБП_t/60/(ИБП_U*ИБП_КПД*ИБП_k)</f>
        <v>0</v>
      </c>
      <c r="AA87">
        <v>1</v>
      </c>
      <c r="AB87" t="str">
        <v>ЩОВ-001</v>
      </c>
      <c r="AC87" t="str">
        <v>Ввод 2</v>
      </c>
      <c r="AD87" t="str">
        <v>нет</v>
      </c>
      <c r="AE87" t="str">
        <v>II</v>
      </c>
    </row>
    <row r="88" spans="2:31" x14ac:dyDescent="0.3">
      <c r="B88" t="s">
        <v>1731</v>
      </c>
      <c r="C88" s="6">
        <f>C5</f>
        <v>0</v>
      </c>
      <c r="AA88">
        <v>1</v>
      </c>
      <c r="AB88" t="str">
        <v>ЩОВ-002</v>
      </c>
      <c r="AC88" t="str">
        <v>Ввод 1</v>
      </c>
      <c r="AD88" t="str">
        <v>нет</v>
      </c>
      <c r="AE88" t="str">
        <v>III</v>
      </c>
    </row>
    <row r="89" spans="2:31" x14ac:dyDescent="0.3">
      <c r="AA89">
        <v>1</v>
      </c>
      <c r="AB89" t="str">
        <v>ЩОВ-002</v>
      </c>
      <c r="AC89" t="str">
        <v>Ввод 1</v>
      </c>
      <c r="AD89" t="str">
        <v>нет</v>
      </c>
      <c r="AE89" t="str">
        <v>II</v>
      </c>
    </row>
    <row r="90" spans="2:31" x14ac:dyDescent="0.3">
      <c r="AA90">
        <v>1</v>
      </c>
      <c r="AB90" t="str">
        <v>ЩОВ-002</v>
      </c>
      <c r="AC90" t="str">
        <v>Ввод 1</v>
      </c>
      <c r="AD90" t="str">
        <v>нет</v>
      </c>
      <c r="AE90" t="str">
        <v>II</v>
      </c>
    </row>
    <row r="91" spans="2:31" x14ac:dyDescent="0.3">
      <c r="AA91">
        <v>1</v>
      </c>
      <c r="AB91" t="str">
        <v>ЩОВ-002</v>
      </c>
      <c r="AC91" t="str">
        <v>Ввод 1</v>
      </c>
      <c r="AD91" t="str">
        <v>нет</v>
      </c>
      <c r="AE91" t="str">
        <v>II</v>
      </c>
    </row>
    <row r="92" spans="2:31" x14ac:dyDescent="0.3">
      <c r="AA92">
        <v>1</v>
      </c>
      <c r="AB92" t="str">
        <v>ЩОВ-002</v>
      </c>
      <c r="AC92" t="str">
        <v>Ввод 1</v>
      </c>
      <c r="AD92" t="str">
        <v>нет</v>
      </c>
      <c r="AE92" t="str">
        <v>II</v>
      </c>
    </row>
    <row r="93" spans="2:31" x14ac:dyDescent="0.3">
      <c r="AA93">
        <v>1</v>
      </c>
      <c r="AB93" t="str">
        <v>ЩОВ-002</v>
      </c>
      <c r="AC93" t="str">
        <v>Ввод 1</v>
      </c>
      <c r="AD93" t="str">
        <v>нет</v>
      </c>
      <c r="AE93" t="str">
        <v>II</v>
      </c>
    </row>
    <row r="94" spans="2:31" x14ac:dyDescent="0.3">
      <c r="AA94">
        <v>1</v>
      </c>
      <c r="AB94" t="str">
        <v>ЩОВ-002</v>
      </c>
      <c r="AC94" t="str">
        <v>Ввод 1</v>
      </c>
      <c r="AD94" t="str">
        <v>нет</v>
      </c>
      <c r="AE94" t="str">
        <v>II</v>
      </c>
    </row>
    <row r="95" spans="2:31" x14ac:dyDescent="0.3">
      <c r="AA95">
        <v>1</v>
      </c>
      <c r="AB95" t="str">
        <v>ЩОВ-002</v>
      </c>
      <c r="AC95" t="str">
        <v>Ввод 1</v>
      </c>
      <c r="AD95" t="str">
        <v>нет</v>
      </c>
      <c r="AE95" t="str">
        <v>II</v>
      </c>
    </row>
    <row r="96" spans="2:31" x14ac:dyDescent="0.3">
      <c r="AA96">
        <v>1</v>
      </c>
      <c r="AB96" t="str">
        <v>ЩОВ-002</v>
      </c>
      <c r="AC96" t="str">
        <v>Ввод 1</v>
      </c>
      <c r="AD96" t="str">
        <v>нет</v>
      </c>
      <c r="AE96" t="str">
        <v>II</v>
      </c>
    </row>
    <row r="97" spans="27:31" x14ac:dyDescent="0.3">
      <c r="AA97">
        <v>1</v>
      </c>
      <c r="AB97" t="str">
        <v>ЩОВ-002</v>
      </c>
      <c r="AC97" t="str">
        <v>Ввод 1</v>
      </c>
      <c r="AD97" t="str">
        <v>нет</v>
      </c>
      <c r="AE97" t="str">
        <v>II</v>
      </c>
    </row>
    <row r="98" spans="27:31" x14ac:dyDescent="0.3">
      <c r="AA98">
        <v>1</v>
      </c>
      <c r="AB98" t="str">
        <v>ЩОВ-002</v>
      </c>
      <c r="AC98" t="str">
        <v>Ввод 1</v>
      </c>
      <c r="AD98" t="str">
        <v>нет</v>
      </c>
      <c r="AE98" t="str">
        <v>II</v>
      </c>
    </row>
    <row r="99" spans="27:31" x14ac:dyDescent="0.3">
      <c r="AA99">
        <v>1</v>
      </c>
      <c r="AB99" t="str">
        <v>ЩОВ-002</v>
      </c>
      <c r="AC99" t="str">
        <v>Ввод 1</v>
      </c>
      <c r="AD99" t="str">
        <v>нет</v>
      </c>
      <c r="AE99" t="str">
        <v>II</v>
      </c>
    </row>
    <row r="100" spans="27:31" x14ac:dyDescent="0.3">
      <c r="AA100">
        <v>1</v>
      </c>
      <c r="AB100" t="str">
        <v>ЩОВ-002</v>
      </c>
      <c r="AC100" t="str">
        <v>Ввод 1</v>
      </c>
      <c r="AD100" t="str">
        <v>нет</v>
      </c>
      <c r="AE100" t="str">
        <v>II</v>
      </c>
    </row>
    <row r="101" spans="27:31" x14ac:dyDescent="0.3">
      <c r="AA101">
        <v>1</v>
      </c>
      <c r="AB101" t="str">
        <v>ЩОВ-002</v>
      </c>
      <c r="AC101" t="str">
        <v>Ввод 1</v>
      </c>
      <c r="AD101" t="str">
        <v>нет</v>
      </c>
      <c r="AE101" t="str">
        <v>II</v>
      </c>
    </row>
    <row r="102" spans="27:31" x14ac:dyDescent="0.3">
      <c r="AA102">
        <v>1</v>
      </c>
      <c r="AB102" t="str">
        <v>ЩОВ-01</v>
      </c>
      <c r="AC102" t="str">
        <v>Ввод 1</v>
      </c>
      <c r="AD102" t="str">
        <v>нет</v>
      </c>
      <c r="AE102" t="str">
        <v>III</v>
      </c>
    </row>
    <row r="103" spans="27:31" x14ac:dyDescent="0.3">
      <c r="AA103">
        <v>1</v>
      </c>
      <c r="AB103" t="str">
        <v>ЩОВ-01</v>
      </c>
      <c r="AC103" t="str">
        <v>Ввод 1</v>
      </c>
      <c r="AD103" t="str">
        <v>нет</v>
      </c>
      <c r="AE103" t="str">
        <v>II</v>
      </c>
    </row>
    <row r="104" spans="27:31" x14ac:dyDescent="0.3">
      <c r="AA104">
        <v>1</v>
      </c>
      <c r="AB104" t="str">
        <v>ЩОВ-01</v>
      </c>
      <c r="AC104" t="str">
        <v>Ввод 1</v>
      </c>
      <c r="AD104" t="str">
        <v>нет</v>
      </c>
      <c r="AE104" t="str">
        <v>II</v>
      </c>
    </row>
    <row r="105" spans="27:31" x14ac:dyDescent="0.3">
      <c r="AA105">
        <v>1</v>
      </c>
      <c r="AB105" t="str">
        <v>ЩОВ-01</v>
      </c>
      <c r="AC105" t="str">
        <v>Ввод 1</v>
      </c>
      <c r="AD105" t="str">
        <v>нет</v>
      </c>
      <c r="AE105" t="str">
        <v>II</v>
      </c>
    </row>
    <row r="106" spans="27:31" x14ac:dyDescent="0.3">
      <c r="AA106">
        <v>1</v>
      </c>
      <c r="AB106" t="str">
        <v>ЩОВ-01</v>
      </c>
      <c r="AC106" t="str">
        <v>Ввод 1</v>
      </c>
      <c r="AD106" t="str">
        <v>нет</v>
      </c>
      <c r="AE106" t="str">
        <v>II</v>
      </c>
    </row>
    <row r="107" spans="27:31" x14ac:dyDescent="0.3">
      <c r="AA107">
        <v>1</v>
      </c>
      <c r="AB107" t="str">
        <v>ЩОВ-01</v>
      </c>
      <c r="AC107" t="str">
        <v>Ввод 1</v>
      </c>
      <c r="AD107" t="str">
        <v>нет</v>
      </c>
      <c r="AE107" t="str">
        <v>II</v>
      </c>
    </row>
    <row r="108" spans="27:31" x14ac:dyDescent="0.3">
      <c r="AA108">
        <v>1</v>
      </c>
      <c r="AB108" t="str">
        <v>ЩОВ-01</v>
      </c>
      <c r="AC108" t="str">
        <v>Ввод 1</v>
      </c>
      <c r="AD108" t="str">
        <v>нет</v>
      </c>
      <c r="AE108" t="str">
        <v>II</v>
      </c>
    </row>
    <row r="109" spans="27:31" x14ac:dyDescent="0.3">
      <c r="AA109">
        <v>1</v>
      </c>
      <c r="AB109" t="str">
        <v>ЩОВ-01</v>
      </c>
      <c r="AC109" t="str">
        <v>Ввод 1</v>
      </c>
      <c r="AD109" t="str">
        <v>нет</v>
      </c>
      <c r="AE109" t="str">
        <v>II</v>
      </c>
    </row>
    <row r="110" spans="27:31" x14ac:dyDescent="0.3">
      <c r="AA110">
        <v>1</v>
      </c>
      <c r="AB110" t="str">
        <v>ЩОВ-01</v>
      </c>
      <c r="AC110" t="str">
        <v>Ввод 1</v>
      </c>
      <c r="AD110" t="str">
        <v>нет</v>
      </c>
      <c r="AE110" t="str">
        <v>II</v>
      </c>
    </row>
    <row r="111" spans="27:31" x14ac:dyDescent="0.3">
      <c r="AA111">
        <v>1</v>
      </c>
      <c r="AB111" t="str">
        <v>ЩОВ-01</v>
      </c>
      <c r="AC111" t="str">
        <v>Ввод 1</v>
      </c>
      <c r="AD111" t="str">
        <v>нет</v>
      </c>
      <c r="AE111" t="str">
        <v>II</v>
      </c>
    </row>
    <row r="112" spans="27:31" x14ac:dyDescent="0.3">
      <c r="AA112">
        <v>1</v>
      </c>
      <c r="AB112" t="str">
        <v>ЩОВ-01</v>
      </c>
      <c r="AC112" t="str">
        <v>Ввод 1</v>
      </c>
      <c r="AD112" t="str">
        <v>нет</v>
      </c>
      <c r="AE112" t="str">
        <v>II</v>
      </c>
    </row>
    <row r="113" spans="27:31" x14ac:dyDescent="0.3">
      <c r="AA113">
        <v>1</v>
      </c>
      <c r="AB113" t="str">
        <v>ЩОВ-01</v>
      </c>
      <c r="AC113" t="str">
        <v>Ввод 1</v>
      </c>
      <c r="AD113" t="str">
        <v>нет</v>
      </c>
      <c r="AE113" t="str">
        <v>II</v>
      </c>
    </row>
    <row r="114" spans="27:31" x14ac:dyDescent="0.3">
      <c r="AA114">
        <v>1</v>
      </c>
      <c r="AB114" t="str">
        <v>ЩОВ-01</v>
      </c>
      <c r="AC114" t="str">
        <v>Ввод 1</v>
      </c>
      <c r="AD114" t="str">
        <v>нет</v>
      </c>
      <c r="AE114" t="str">
        <v>II</v>
      </c>
    </row>
    <row r="115" spans="27:31" x14ac:dyDescent="0.3">
      <c r="AA115">
        <v>1</v>
      </c>
      <c r="AB115" t="str">
        <v>ЩОВ-01</v>
      </c>
      <c r="AC115" t="str">
        <v>Ввод 1</v>
      </c>
      <c r="AD115" t="str">
        <v>нет</v>
      </c>
      <c r="AE115" t="str">
        <v>II</v>
      </c>
    </row>
    <row r="116" spans="27:31" x14ac:dyDescent="0.3">
      <c r="AA116">
        <v>1</v>
      </c>
      <c r="AB116" t="str">
        <v>ЩОВ-01</v>
      </c>
      <c r="AC116" t="str">
        <v>Ввод 1</v>
      </c>
      <c r="AD116" t="str">
        <v>нет</v>
      </c>
      <c r="AE116" t="str">
        <v>II</v>
      </c>
    </row>
    <row r="117" spans="27:31" x14ac:dyDescent="0.3">
      <c r="AA117">
        <v>1</v>
      </c>
      <c r="AB117" t="str">
        <v>ЩОВ-01</v>
      </c>
      <c r="AC117" t="str">
        <v>Ввод 1</v>
      </c>
      <c r="AD117" t="str">
        <v>нет</v>
      </c>
      <c r="AE117" t="str">
        <v>II</v>
      </c>
    </row>
    <row r="118" spans="27:31" x14ac:dyDescent="0.3">
      <c r="AA118">
        <v>1</v>
      </c>
      <c r="AB118" t="str">
        <v>ЩОВ-01</v>
      </c>
      <c r="AC118" t="str">
        <v>Ввод 1</v>
      </c>
      <c r="AD118" t="str">
        <v>нет</v>
      </c>
      <c r="AE118" t="str">
        <v>II</v>
      </c>
    </row>
    <row r="119" spans="27:31" x14ac:dyDescent="0.3">
      <c r="AA119">
        <v>1</v>
      </c>
      <c r="AB119" t="str">
        <v>ЩОВ-01</v>
      </c>
      <c r="AC119" t="str">
        <v>Ввод 1</v>
      </c>
      <c r="AD119" t="str">
        <v>нет</v>
      </c>
      <c r="AE119" t="str">
        <v>II</v>
      </c>
    </row>
    <row r="120" spans="27:31" x14ac:dyDescent="0.3">
      <c r="AA120">
        <v>1</v>
      </c>
      <c r="AB120" t="str">
        <v>ЩОВ-01</v>
      </c>
      <c r="AC120" t="str">
        <v>Ввод 1</v>
      </c>
      <c r="AD120" t="str">
        <v>нет</v>
      </c>
      <c r="AE120" t="str">
        <v>II</v>
      </c>
    </row>
    <row r="121" spans="27:31" x14ac:dyDescent="0.3">
      <c r="AA121">
        <v>1</v>
      </c>
      <c r="AB121" t="str">
        <v>ЩОВ-01</v>
      </c>
      <c r="AC121" t="str">
        <v>Ввод 1</v>
      </c>
      <c r="AD121" t="str">
        <v>нет</v>
      </c>
      <c r="AE121" t="str">
        <v>II</v>
      </c>
    </row>
    <row r="122" spans="27:31" x14ac:dyDescent="0.3">
      <c r="AA122">
        <v>1</v>
      </c>
      <c r="AB122" t="str">
        <v>ЩОВ-01</v>
      </c>
      <c r="AC122" t="str">
        <v>Ввод 1</v>
      </c>
      <c r="AD122" t="str">
        <v>нет</v>
      </c>
      <c r="AE122" t="str">
        <v>II</v>
      </c>
    </row>
    <row r="123" spans="27:31" x14ac:dyDescent="0.3">
      <c r="AA123">
        <v>1</v>
      </c>
      <c r="AB123" t="str">
        <v>ЩОВ-01</v>
      </c>
      <c r="AC123" t="str">
        <v>Ввод 1</v>
      </c>
      <c r="AD123" t="str">
        <v>нет</v>
      </c>
      <c r="AE123" t="str">
        <v>II</v>
      </c>
    </row>
    <row r="124" spans="27:31" x14ac:dyDescent="0.3">
      <c r="AA124">
        <v>1</v>
      </c>
      <c r="AB124" t="str">
        <v>ЩОВ-01</v>
      </c>
      <c r="AC124" t="str">
        <v>Ввод 1</v>
      </c>
      <c r="AD124" t="str">
        <v>нет</v>
      </c>
      <c r="AE124" t="str">
        <v>II</v>
      </c>
    </row>
    <row r="125" spans="27:31" x14ac:dyDescent="0.3">
      <c r="AA125">
        <v>1</v>
      </c>
      <c r="AB125" t="str">
        <v>ЩОВ-01</v>
      </c>
      <c r="AC125" t="str">
        <v>Ввод 1</v>
      </c>
      <c r="AD125" t="str">
        <v>нет</v>
      </c>
      <c r="AE125" t="str">
        <v>II</v>
      </c>
    </row>
    <row r="126" spans="27:31" x14ac:dyDescent="0.3">
      <c r="AA126">
        <v>1</v>
      </c>
      <c r="AB126" t="str">
        <v>ЩОВ-01</v>
      </c>
      <c r="AC126" t="str">
        <v>Ввод 1</v>
      </c>
      <c r="AD126" t="str">
        <v>нет</v>
      </c>
      <c r="AE126" t="str">
        <v>II</v>
      </c>
    </row>
    <row r="127" spans="27:31" x14ac:dyDescent="0.3">
      <c r="AA127">
        <v>1</v>
      </c>
      <c r="AB127" t="str">
        <v>ЩОВ-01</v>
      </c>
      <c r="AC127" t="str">
        <v>Ввод 1</v>
      </c>
      <c r="AD127" t="str">
        <v>нет</v>
      </c>
      <c r="AE127" t="str">
        <v>II</v>
      </c>
    </row>
    <row r="128" spans="27:31" x14ac:dyDescent="0.3">
      <c r="AA128">
        <v>1</v>
      </c>
      <c r="AB128" t="str">
        <v>ЩОВ-01</v>
      </c>
      <c r="AC128" t="str">
        <v>Ввод 1</v>
      </c>
      <c r="AD128" t="str">
        <v>нет</v>
      </c>
      <c r="AE128" t="str">
        <v>II</v>
      </c>
    </row>
    <row r="129" spans="27:31" x14ac:dyDescent="0.3">
      <c r="AA129">
        <v>1</v>
      </c>
      <c r="AB129" t="str">
        <v>ЩОВ-01</v>
      </c>
      <c r="AC129" t="str">
        <v>Ввод 1</v>
      </c>
      <c r="AD129" t="str">
        <v>нет</v>
      </c>
      <c r="AE129" t="str">
        <v>III</v>
      </c>
    </row>
    <row r="130" spans="27:31" x14ac:dyDescent="0.3">
      <c r="AA130">
        <v>1</v>
      </c>
      <c r="AB130" t="str">
        <v>ЩОВ-2</v>
      </c>
      <c r="AC130" t="str">
        <v>Ввод 1</v>
      </c>
      <c r="AD130" t="str">
        <v>нет</v>
      </c>
      <c r="AE130" t="str">
        <v>III</v>
      </c>
    </row>
    <row r="131" spans="27:31" x14ac:dyDescent="0.3">
      <c r="AA131">
        <v>1</v>
      </c>
      <c r="AB131" t="str">
        <v>ЩОВ-2</v>
      </c>
      <c r="AC131" t="str">
        <v>Ввод 1</v>
      </c>
      <c r="AD131" t="str">
        <v>нет</v>
      </c>
      <c r="AE131" t="str">
        <v>II</v>
      </c>
    </row>
    <row r="132" spans="27:31" x14ac:dyDescent="0.3">
      <c r="AA132">
        <v>1</v>
      </c>
      <c r="AB132" t="str">
        <v>ЩОВ-2</v>
      </c>
      <c r="AC132" t="str">
        <v>Ввод 1</v>
      </c>
      <c r="AD132" t="str">
        <v>нет</v>
      </c>
      <c r="AE132" t="str">
        <v>II</v>
      </c>
    </row>
    <row r="133" spans="27:31" x14ac:dyDescent="0.3">
      <c r="AA133">
        <v>1</v>
      </c>
      <c r="AB133" t="str">
        <v>ЩОВ-2</v>
      </c>
      <c r="AC133" t="str">
        <v>Ввод 1</v>
      </c>
      <c r="AD133" t="str">
        <v>нет</v>
      </c>
      <c r="AE133" t="str">
        <v>II</v>
      </c>
    </row>
    <row r="134" spans="27:31" x14ac:dyDescent="0.3">
      <c r="AA134">
        <v>1</v>
      </c>
      <c r="AB134" t="str">
        <v>ЩОВ-2</v>
      </c>
      <c r="AC134" t="str">
        <v>Ввод 1</v>
      </c>
      <c r="AD134" t="str">
        <v>нет</v>
      </c>
      <c r="AE134" t="str">
        <v>II</v>
      </c>
    </row>
    <row r="135" spans="27:31" x14ac:dyDescent="0.3">
      <c r="AA135">
        <v>1</v>
      </c>
      <c r="AB135" t="str">
        <v>ЩОВ-2</v>
      </c>
      <c r="AC135" t="str">
        <v>Ввод 1</v>
      </c>
      <c r="AD135" t="str">
        <v>нет</v>
      </c>
      <c r="AE135" t="str">
        <v>II</v>
      </c>
    </row>
    <row r="136" spans="27:31" x14ac:dyDescent="0.3">
      <c r="AA136">
        <v>1</v>
      </c>
      <c r="AB136" t="str">
        <v>ЩОВ-2</v>
      </c>
      <c r="AC136" t="str">
        <v>Ввод 1</v>
      </c>
      <c r="AD136" t="str">
        <v>нет</v>
      </c>
      <c r="AE136" t="str">
        <v>II</v>
      </c>
    </row>
    <row r="137" spans="27:31" x14ac:dyDescent="0.3">
      <c r="AA137">
        <v>1</v>
      </c>
      <c r="AB137" t="str">
        <v>ЩОВ-2</v>
      </c>
      <c r="AC137" t="str">
        <v>Ввод 1</v>
      </c>
      <c r="AD137" t="str">
        <v>нет</v>
      </c>
      <c r="AE137" t="str">
        <v>II</v>
      </c>
    </row>
    <row r="138" spans="27:31" x14ac:dyDescent="0.3">
      <c r="AA138">
        <v>1</v>
      </c>
      <c r="AB138" t="str">
        <v>ЩОВ-2</v>
      </c>
      <c r="AC138" t="str">
        <v>Ввод 1</v>
      </c>
      <c r="AD138" t="str">
        <v>нет</v>
      </c>
      <c r="AE138" t="str">
        <v>II</v>
      </c>
    </row>
    <row r="139" spans="27:31" x14ac:dyDescent="0.3">
      <c r="AA139">
        <v>1</v>
      </c>
      <c r="AB139" t="str">
        <v>ЩОВ-2</v>
      </c>
      <c r="AC139" t="str">
        <v>Ввод 1</v>
      </c>
      <c r="AD139" t="str">
        <v>нет</v>
      </c>
      <c r="AE139" t="str">
        <v>II</v>
      </c>
    </row>
    <row r="140" spans="27:31" x14ac:dyDescent="0.3">
      <c r="AA140">
        <v>1</v>
      </c>
      <c r="AB140" t="str">
        <v>ЩОВ-2</v>
      </c>
      <c r="AC140" t="str">
        <v>Ввод 1</v>
      </c>
      <c r="AD140" t="str">
        <v>нет</v>
      </c>
      <c r="AE140" t="str">
        <v>II</v>
      </c>
    </row>
    <row r="141" spans="27:31" x14ac:dyDescent="0.3">
      <c r="AA141">
        <v>1</v>
      </c>
      <c r="AB141" t="str">
        <v>ЩОВ-2</v>
      </c>
      <c r="AC141" t="str">
        <v>Ввод 1</v>
      </c>
      <c r="AD141" t="str">
        <v>нет</v>
      </c>
      <c r="AE141" t="str">
        <v>II</v>
      </c>
    </row>
    <row r="142" spans="27:31" x14ac:dyDescent="0.3">
      <c r="AA142">
        <v>1</v>
      </c>
      <c r="AB142" t="str">
        <v>ЩОВ-2</v>
      </c>
      <c r="AC142" t="str">
        <v>Ввод 1</v>
      </c>
      <c r="AD142" t="str">
        <v>нет</v>
      </c>
      <c r="AE142" t="str">
        <v>II</v>
      </c>
    </row>
    <row r="143" spans="27:31" x14ac:dyDescent="0.3">
      <c r="AA143">
        <v>1</v>
      </c>
      <c r="AB143" t="str">
        <v>ЩОВ-2</v>
      </c>
      <c r="AC143" t="str">
        <v>Ввод 1</v>
      </c>
      <c r="AD143" t="str">
        <v>нет</v>
      </c>
      <c r="AE143" t="str">
        <v>II</v>
      </c>
    </row>
    <row r="144" spans="27:31" x14ac:dyDescent="0.3">
      <c r="AA144">
        <v>1</v>
      </c>
      <c r="AB144" t="str">
        <v>ЩОВ-2</v>
      </c>
      <c r="AC144" t="str">
        <v>Ввод 1</v>
      </c>
      <c r="AD144" t="str">
        <v>нет</v>
      </c>
      <c r="AE144" t="str">
        <v>II</v>
      </c>
    </row>
    <row r="145" spans="27:31" x14ac:dyDescent="0.3">
      <c r="AA145">
        <v>1</v>
      </c>
      <c r="AB145" t="str">
        <v>ЩОВ-2</v>
      </c>
      <c r="AC145" t="str">
        <v>Ввод 1</v>
      </c>
      <c r="AD145" t="str">
        <v>нет</v>
      </c>
      <c r="AE145" t="str">
        <v>II</v>
      </c>
    </row>
    <row r="146" spans="27:31" x14ac:dyDescent="0.3">
      <c r="AA146">
        <v>1</v>
      </c>
      <c r="AB146" t="str">
        <v>ЩОВ-2</v>
      </c>
      <c r="AC146" t="str">
        <v>Ввод 1</v>
      </c>
      <c r="AD146" t="str">
        <v>нет</v>
      </c>
      <c r="AE146" t="str">
        <v>II</v>
      </c>
    </row>
    <row r="147" spans="27:31" x14ac:dyDescent="0.3">
      <c r="AA147">
        <v>1</v>
      </c>
      <c r="AB147" t="str">
        <v>ЩОВ-2</v>
      </c>
      <c r="AC147" t="str">
        <v>Ввод 1</v>
      </c>
      <c r="AD147" t="str">
        <v>нет</v>
      </c>
      <c r="AE147" t="str">
        <v>II</v>
      </c>
    </row>
    <row r="148" spans="27:31" x14ac:dyDescent="0.3">
      <c r="AA148">
        <v>1</v>
      </c>
      <c r="AB148" t="str">
        <v>ЩОВ-2</v>
      </c>
      <c r="AC148" t="str">
        <v>Ввод 1</v>
      </c>
      <c r="AD148" t="str">
        <v>нет</v>
      </c>
      <c r="AE148" t="str">
        <v>II</v>
      </c>
    </row>
    <row r="149" spans="27:31" x14ac:dyDescent="0.3">
      <c r="AA149">
        <v>1</v>
      </c>
      <c r="AB149" t="str">
        <v>ЩОВ-2</v>
      </c>
      <c r="AC149" t="str">
        <v>Ввод 1</v>
      </c>
      <c r="AD149" t="str">
        <v>нет</v>
      </c>
      <c r="AE149" t="str">
        <v>II</v>
      </c>
    </row>
    <row r="150" spans="27:31" x14ac:dyDescent="0.3">
      <c r="AA150">
        <v>1</v>
      </c>
      <c r="AB150" t="str">
        <v>ЩОВ-2</v>
      </c>
      <c r="AC150" t="str">
        <v>Ввод 1</v>
      </c>
      <c r="AD150" t="str">
        <v>нет</v>
      </c>
      <c r="AE150" t="str">
        <v>II</v>
      </c>
    </row>
    <row r="151" spans="27:31" x14ac:dyDescent="0.3">
      <c r="AA151">
        <v>1</v>
      </c>
      <c r="AB151" t="str">
        <v>ЩОВ-2</v>
      </c>
      <c r="AC151" t="str">
        <v>Ввод 1</v>
      </c>
      <c r="AD151" t="str">
        <v>нет</v>
      </c>
      <c r="AE151" t="str">
        <v>II</v>
      </c>
    </row>
    <row r="152" spans="27:31" x14ac:dyDescent="0.3">
      <c r="AA152">
        <v>1</v>
      </c>
      <c r="AB152" t="str">
        <v>ЩОВ-2</v>
      </c>
      <c r="AC152" t="str">
        <v>Ввод 1</v>
      </c>
      <c r="AD152" t="str">
        <v>нет</v>
      </c>
      <c r="AE152" t="str">
        <v>II</v>
      </c>
    </row>
    <row r="153" spans="27:31" x14ac:dyDescent="0.3">
      <c r="AA153">
        <v>1</v>
      </c>
      <c r="AB153" t="str">
        <v>ЩОВ-2</v>
      </c>
      <c r="AC153" t="str">
        <v>Ввод 1</v>
      </c>
      <c r="AD153" t="str">
        <v>нет</v>
      </c>
      <c r="AE153" t="str">
        <v>II</v>
      </c>
    </row>
    <row r="154" spans="27:31" x14ac:dyDescent="0.3">
      <c r="AA154">
        <v>1</v>
      </c>
      <c r="AB154" t="str">
        <v>ЩР-001</v>
      </c>
      <c r="AC154" t="str">
        <v>Ввод 1</v>
      </c>
      <c r="AD154" t="str">
        <v>нет</v>
      </c>
      <c r="AE154" t="str">
        <v>III</v>
      </c>
    </row>
    <row r="155" spans="27:31" x14ac:dyDescent="0.3">
      <c r="AA155">
        <v>1</v>
      </c>
      <c r="AB155" t="str">
        <v>ЩР-001</v>
      </c>
      <c r="AC155" t="str">
        <v>Ввод 1</v>
      </c>
      <c r="AD155" t="str">
        <v>нет</v>
      </c>
      <c r="AE155" t="str">
        <v>II</v>
      </c>
    </row>
    <row r="156" spans="27:31" x14ac:dyDescent="0.3">
      <c r="AA156">
        <v>1</v>
      </c>
      <c r="AB156" t="str">
        <v>ЩР-001</v>
      </c>
      <c r="AC156" t="str">
        <v>Ввод 1</v>
      </c>
      <c r="AD156" t="str">
        <v>нет</v>
      </c>
      <c r="AE156" t="str">
        <v>II</v>
      </c>
    </row>
    <row r="157" spans="27:31" x14ac:dyDescent="0.3">
      <c r="AA157">
        <v>1</v>
      </c>
      <c r="AB157" t="str">
        <v>ЩР-001</v>
      </c>
      <c r="AC157" t="str">
        <v>Ввод 1</v>
      </c>
      <c r="AD157" t="str">
        <v>нет</v>
      </c>
      <c r="AE157" t="str">
        <v>II</v>
      </c>
    </row>
    <row r="158" spans="27:31" x14ac:dyDescent="0.3">
      <c r="AA158">
        <v>1</v>
      </c>
      <c r="AB158" t="str">
        <v>ЩР-001</v>
      </c>
      <c r="AC158" t="str">
        <v>Ввод 1</v>
      </c>
      <c r="AD158" t="str">
        <v>нет</v>
      </c>
      <c r="AE158" t="str">
        <v>II</v>
      </c>
    </row>
    <row r="159" spans="27:31" x14ac:dyDescent="0.3">
      <c r="AA159">
        <v>1</v>
      </c>
      <c r="AB159" t="str">
        <v>ЩР-001</v>
      </c>
      <c r="AC159" t="str">
        <v>Ввод 1</v>
      </c>
      <c r="AD159" t="str">
        <v>нет</v>
      </c>
      <c r="AE159" t="str">
        <v>II</v>
      </c>
    </row>
    <row r="160" spans="27:31" x14ac:dyDescent="0.3">
      <c r="AA160">
        <v>1</v>
      </c>
      <c r="AB160" t="str">
        <v>ЩР-001</v>
      </c>
      <c r="AC160" t="str">
        <v>Ввод 1</v>
      </c>
      <c r="AD160" t="str">
        <v>нет</v>
      </c>
      <c r="AE160" t="str">
        <v>II</v>
      </c>
    </row>
    <row r="161" spans="27:31" x14ac:dyDescent="0.3">
      <c r="AA161">
        <v>1</v>
      </c>
      <c r="AB161" t="str">
        <v>ЩР-001</v>
      </c>
      <c r="AC161" t="str">
        <v>Ввод 1</v>
      </c>
      <c r="AD161" t="str">
        <v>нет</v>
      </c>
      <c r="AE161" t="str">
        <v>II</v>
      </c>
    </row>
    <row r="162" spans="27:31" x14ac:dyDescent="0.3">
      <c r="AA162">
        <v>1</v>
      </c>
      <c r="AB162" t="str">
        <v>ЩР-001</v>
      </c>
      <c r="AC162" t="str">
        <v>Ввод 1</v>
      </c>
      <c r="AD162" t="str">
        <v>нет</v>
      </c>
      <c r="AE162" t="str">
        <v>II</v>
      </c>
    </row>
    <row r="163" spans="27:31" x14ac:dyDescent="0.3">
      <c r="AA163">
        <v>1</v>
      </c>
      <c r="AB163" t="str">
        <v>ЩР-001</v>
      </c>
      <c r="AC163" t="str">
        <v>Ввод 1</v>
      </c>
      <c r="AD163" t="str">
        <v>нет</v>
      </c>
      <c r="AE163" t="str">
        <v>II</v>
      </c>
    </row>
    <row r="164" spans="27:31" x14ac:dyDescent="0.3">
      <c r="AA164">
        <v>1</v>
      </c>
      <c r="AB164" t="str">
        <v>ЩР-001</v>
      </c>
      <c r="AC164" t="str">
        <v>Ввод 1</v>
      </c>
      <c r="AD164" t="str">
        <v>нет</v>
      </c>
      <c r="AE164" t="str">
        <v>II</v>
      </c>
    </row>
    <row r="165" spans="27:31" x14ac:dyDescent="0.3">
      <c r="AA165">
        <v>1</v>
      </c>
      <c r="AB165" t="str">
        <v>ЩР-001</v>
      </c>
      <c r="AC165" t="str">
        <v>Ввод 1</v>
      </c>
      <c r="AD165" t="str">
        <v>нет</v>
      </c>
      <c r="AE165" t="str">
        <v>II</v>
      </c>
    </row>
    <row r="166" spans="27:31" x14ac:dyDescent="0.3">
      <c r="AA166">
        <v>1</v>
      </c>
      <c r="AB166" t="str">
        <v>ЩР-001</v>
      </c>
      <c r="AC166" t="str">
        <v>Ввод 1</v>
      </c>
      <c r="AD166" t="str">
        <v>нет</v>
      </c>
      <c r="AE166" t="str">
        <v>II</v>
      </c>
    </row>
    <row r="167" spans="27:31" x14ac:dyDescent="0.3">
      <c r="AA167">
        <v>1</v>
      </c>
      <c r="AB167" t="str">
        <v>ЩР-001</v>
      </c>
      <c r="AC167" t="str">
        <v>Ввод 1</v>
      </c>
      <c r="AD167" t="str">
        <v>нет</v>
      </c>
      <c r="AE167" t="str">
        <v>II</v>
      </c>
    </row>
    <row r="168" spans="27:31" x14ac:dyDescent="0.3">
      <c r="AA168">
        <v>1</v>
      </c>
      <c r="AB168" t="str">
        <v>ЩР-001</v>
      </c>
      <c r="AC168" t="str">
        <v>Ввод 1</v>
      </c>
      <c r="AD168" t="str">
        <v>нет</v>
      </c>
      <c r="AE168" t="str">
        <v>II</v>
      </c>
    </row>
    <row r="169" spans="27:31" x14ac:dyDescent="0.3">
      <c r="AA169">
        <v>1</v>
      </c>
      <c r="AB169" t="str">
        <v>ЩР-001</v>
      </c>
      <c r="AC169" t="str">
        <v>Ввод 1</v>
      </c>
      <c r="AD169" t="str">
        <v>нет</v>
      </c>
      <c r="AE169" t="str">
        <v>II</v>
      </c>
    </row>
    <row r="170" spans="27:31" x14ac:dyDescent="0.3">
      <c r="AA170">
        <v>1</v>
      </c>
      <c r="AB170" t="str">
        <v>ЩР-001</v>
      </c>
      <c r="AC170" t="str">
        <v>Ввод 1</v>
      </c>
      <c r="AD170" t="str">
        <v>нет</v>
      </c>
      <c r="AE170" t="str">
        <v>II</v>
      </c>
    </row>
    <row r="171" spans="27:31" x14ac:dyDescent="0.3">
      <c r="AA171">
        <v>1</v>
      </c>
      <c r="AB171" t="str">
        <v>ЩР-001</v>
      </c>
      <c r="AC171" t="str">
        <v>Ввод 1</v>
      </c>
      <c r="AD171" t="str">
        <v>нет</v>
      </c>
      <c r="AE171" t="str">
        <v>II</v>
      </c>
    </row>
    <row r="172" spans="27:31" x14ac:dyDescent="0.3">
      <c r="AA172">
        <v>1</v>
      </c>
      <c r="AB172" t="str">
        <v>ЩР-001</v>
      </c>
      <c r="AC172" t="str">
        <v>Ввод 1</v>
      </c>
      <c r="AD172" t="str">
        <v>нет</v>
      </c>
      <c r="AE172" t="str">
        <v>II</v>
      </c>
    </row>
    <row r="173" spans="27:31" x14ac:dyDescent="0.3">
      <c r="AA173">
        <v>1</v>
      </c>
      <c r="AB173" t="str">
        <v>ЩР-001</v>
      </c>
      <c r="AC173" t="str">
        <v>Ввод 1</v>
      </c>
      <c r="AD173" t="str">
        <v>нет</v>
      </c>
      <c r="AE173" t="str">
        <v>II</v>
      </c>
    </row>
    <row r="174" spans="27:31" x14ac:dyDescent="0.3">
      <c r="AA174">
        <v>1</v>
      </c>
      <c r="AB174" t="str">
        <v>ЩР-001</v>
      </c>
      <c r="AC174" t="str">
        <v>Ввод 1</v>
      </c>
      <c r="AD174" t="str">
        <v>нет</v>
      </c>
      <c r="AE174" t="str">
        <v>II</v>
      </c>
    </row>
    <row r="175" spans="27:31" x14ac:dyDescent="0.3">
      <c r="AA175">
        <v>1</v>
      </c>
      <c r="AB175" t="str">
        <v>ЩР-001</v>
      </c>
      <c r="AC175" t="str">
        <v>Ввод 1</v>
      </c>
      <c r="AD175" t="str">
        <v>нет</v>
      </c>
      <c r="AE175" t="str">
        <v>II</v>
      </c>
    </row>
    <row r="176" spans="27:31" x14ac:dyDescent="0.3">
      <c r="AA176">
        <v>1</v>
      </c>
      <c r="AB176" t="str">
        <v>ЩР-001</v>
      </c>
      <c r="AC176" t="str">
        <v>Ввод 1</v>
      </c>
      <c r="AD176" t="str">
        <v>нет</v>
      </c>
      <c r="AE176" t="str">
        <v>II</v>
      </c>
    </row>
    <row r="177" spans="27:31" x14ac:dyDescent="0.3">
      <c r="AA177">
        <v>1</v>
      </c>
      <c r="AB177" t="str">
        <v>ЩР-001</v>
      </c>
      <c r="AC177" t="str">
        <v>Ввод 1</v>
      </c>
      <c r="AD177" t="str">
        <v>нет</v>
      </c>
      <c r="AE177" t="str">
        <v>II</v>
      </c>
    </row>
    <row r="178" spans="27:31" x14ac:dyDescent="0.3">
      <c r="AA178">
        <v>1</v>
      </c>
      <c r="AB178" t="str">
        <v>ЩР-001</v>
      </c>
      <c r="AC178" t="str">
        <v>Ввод 1</v>
      </c>
      <c r="AD178" t="str">
        <v>нет</v>
      </c>
      <c r="AE178" t="str">
        <v>II</v>
      </c>
    </row>
    <row r="179" spans="27:31" x14ac:dyDescent="0.3">
      <c r="AA179">
        <v>1</v>
      </c>
      <c r="AB179" t="str">
        <v>ЩР-001</v>
      </c>
      <c r="AC179" t="str">
        <v>Ввод 1</v>
      </c>
      <c r="AD179" t="str">
        <v>нет</v>
      </c>
      <c r="AE179" t="str">
        <v>II</v>
      </c>
    </row>
    <row r="180" spans="27:31" x14ac:dyDescent="0.3">
      <c r="AA180">
        <v>1</v>
      </c>
      <c r="AB180" t="str">
        <v>ЩР-001</v>
      </c>
      <c r="AC180" t="str">
        <v>Ввод 1</v>
      </c>
      <c r="AD180" t="str">
        <v>нет</v>
      </c>
      <c r="AE180" t="str">
        <v>II</v>
      </c>
    </row>
    <row r="181" spans="27:31" x14ac:dyDescent="0.3">
      <c r="AA181">
        <v>1</v>
      </c>
      <c r="AB181" t="str">
        <v>ЩР-001</v>
      </c>
      <c r="AC181" t="str">
        <v>Ввод 1</v>
      </c>
      <c r="AD181" t="str">
        <v>нет</v>
      </c>
      <c r="AE181" t="str">
        <v>II</v>
      </c>
    </row>
    <row r="182" spans="27:31" x14ac:dyDescent="0.3">
      <c r="AA182">
        <v>1</v>
      </c>
      <c r="AB182" t="str">
        <v>ЩР-001</v>
      </c>
      <c r="AC182" t="str">
        <v>Ввод 1</v>
      </c>
      <c r="AD182" t="str">
        <v>нет</v>
      </c>
      <c r="AE182" t="str">
        <v>II</v>
      </c>
    </row>
    <row r="183" spans="27:31" x14ac:dyDescent="0.3">
      <c r="AA183">
        <v>1</v>
      </c>
      <c r="AB183" t="str">
        <v>ЩР-001</v>
      </c>
      <c r="AC183" t="str">
        <v>Ввод 1</v>
      </c>
      <c r="AD183" t="str">
        <v>нет</v>
      </c>
      <c r="AE183" t="str">
        <v>II</v>
      </c>
    </row>
    <row r="184" spans="27:31" x14ac:dyDescent="0.3">
      <c r="AA184">
        <v>1</v>
      </c>
      <c r="AB184" t="str">
        <v>ЩР-01</v>
      </c>
      <c r="AC184" t="str">
        <v>Ввод 1</v>
      </c>
      <c r="AD184" t="str">
        <v>нет</v>
      </c>
      <c r="AE184" t="str">
        <v>III</v>
      </c>
    </row>
    <row r="185" spans="27:31" x14ac:dyDescent="0.3">
      <c r="AA185">
        <v>1</v>
      </c>
      <c r="AB185" t="str">
        <v>ЩР-01</v>
      </c>
      <c r="AC185" t="str">
        <v>Ввод 1</v>
      </c>
      <c r="AD185" t="str">
        <v>нет</v>
      </c>
      <c r="AE185" t="str">
        <v>II</v>
      </c>
    </row>
    <row r="186" spans="27:31" x14ac:dyDescent="0.3">
      <c r="AA186">
        <v>1</v>
      </c>
      <c r="AB186" t="str">
        <v>ЩР-01</v>
      </c>
      <c r="AC186" t="str">
        <v>Ввод 1</v>
      </c>
      <c r="AD186" t="str">
        <v>нет</v>
      </c>
      <c r="AE186" t="str">
        <v>II</v>
      </c>
    </row>
    <row r="187" spans="27:31" x14ac:dyDescent="0.3">
      <c r="AA187">
        <v>1</v>
      </c>
      <c r="AB187" t="str">
        <v>ЩР-01</v>
      </c>
      <c r="AC187" t="str">
        <v>Ввод 1</v>
      </c>
      <c r="AD187" t="str">
        <v>нет</v>
      </c>
      <c r="AE187" t="str">
        <v>II</v>
      </c>
    </row>
    <row r="188" spans="27:31" x14ac:dyDescent="0.3">
      <c r="AA188">
        <v>1</v>
      </c>
      <c r="AB188" t="str">
        <v>ЩР-01</v>
      </c>
      <c r="AC188" t="str">
        <v>Ввод 1</v>
      </c>
      <c r="AD188" t="str">
        <v>нет</v>
      </c>
      <c r="AE188" t="str">
        <v>II</v>
      </c>
    </row>
    <row r="189" spans="27:31" x14ac:dyDescent="0.3">
      <c r="AA189">
        <v>1</v>
      </c>
      <c r="AB189" t="str">
        <v>ЩР-01</v>
      </c>
      <c r="AC189" t="str">
        <v>Ввод 1</v>
      </c>
      <c r="AD189" t="str">
        <v>нет</v>
      </c>
      <c r="AE189" t="str">
        <v>II</v>
      </c>
    </row>
    <row r="190" spans="27:31" x14ac:dyDescent="0.3">
      <c r="AA190">
        <v>1</v>
      </c>
      <c r="AB190" t="str">
        <v>ЩР-01</v>
      </c>
      <c r="AC190" t="str">
        <v>Ввод 1</v>
      </c>
      <c r="AD190" t="str">
        <v>нет</v>
      </c>
      <c r="AE190" t="str">
        <v>II</v>
      </c>
    </row>
    <row r="191" spans="27:31" x14ac:dyDescent="0.3">
      <c r="AA191">
        <v>1</v>
      </c>
      <c r="AB191" t="str">
        <v>ЩР-01</v>
      </c>
      <c r="AC191" t="str">
        <v>Ввод 1</v>
      </c>
      <c r="AD191" t="str">
        <v>нет</v>
      </c>
      <c r="AE191" t="str">
        <v>II</v>
      </c>
    </row>
    <row r="192" spans="27:31" x14ac:dyDescent="0.3">
      <c r="AA192">
        <v>1</v>
      </c>
      <c r="AB192" t="str">
        <v>ЩР-01</v>
      </c>
      <c r="AC192" t="str">
        <v>Ввод 1</v>
      </c>
      <c r="AD192" t="str">
        <v>нет</v>
      </c>
      <c r="AE192" t="str">
        <v>II</v>
      </c>
    </row>
    <row r="193" spans="27:31" x14ac:dyDescent="0.3">
      <c r="AA193">
        <v>1</v>
      </c>
      <c r="AB193" t="str">
        <v>ЩР-01</v>
      </c>
      <c r="AC193" t="str">
        <v>Ввод 1</v>
      </c>
      <c r="AD193" t="str">
        <v>нет</v>
      </c>
      <c r="AE193" t="str">
        <v>II</v>
      </c>
    </row>
    <row r="194" spans="27:31" x14ac:dyDescent="0.3">
      <c r="AA194">
        <v>1</v>
      </c>
      <c r="AB194" t="str">
        <v>ЩР-01</v>
      </c>
      <c r="AC194" t="str">
        <v>Ввод 1</v>
      </c>
      <c r="AD194" t="str">
        <v>нет</v>
      </c>
      <c r="AE194" t="str">
        <v>II</v>
      </c>
    </row>
    <row r="195" spans="27:31" x14ac:dyDescent="0.3">
      <c r="AA195">
        <v>1</v>
      </c>
      <c r="AB195" t="str">
        <v>ЩР-01</v>
      </c>
      <c r="AC195" t="str">
        <v>Ввод 1</v>
      </c>
      <c r="AD195" t="str">
        <v>нет</v>
      </c>
      <c r="AE195" t="str">
        <v>II</v>
      </c>
    </row>
    <row r="196" spans="27:31" x14ac:dyDescent="0.3">
      <c r="AA196">
        <v>1</v>
      </c>
      <c r="AB196" t="str">
        <v>ЩР-01</v>
      </c>
      <c r="AC196" t="str">
        <v>Ввод 1</v>
      </c>
      <c r="AD196" t="str">
        <v>нет</v>
      </c>
      <c r="AE196" t="str">
        <v>II</v>
      </c>
    </row>
    <row r="197" spans="27:31" x14ac:dyDescent="0.3">
      <c r="AA197">
        <v>1</v>
      </c>
      <c r="AB197" t="str">
        <v>ЩР-01</v>
      </c>
      <c r="AC197" t="str">
        <v>Ввод 1</v>
      </c>
      <c r="AD197" t="str">
        <v>нет</v>
      </c>
      <c r="AE197" t="str">
        <v>II</v>
      </c>
    </row>
    <row r="198" spans="27:31" x14ac:dyDescent="0.3">
      <c r="AA198">
        <v>1</v>
      </c>
      <c r="AB198" t="str">
        <v>ЩР-01</v>
      </c>
      <c r="AC198" t="str">
        <v>Ввод 1</v>
      </c>
      <c r="AD198" t="str">
        <v>нет</v>
      </c>
      <c r="AE198" t="str">
        <v>II</v>
      </c>
    </row>
    <row r="199" spans="27:31" x14ac:dyDescent="0.3">
      <c r="AA199">
        <v>1</v>
      </c>
      <c r="AB199" t="str">
        <v>ЩР-01</v>
      </c>
      <c r="AC199" t="str">
        <v>Ввод 1</v>
      </c>
      <c r="AD199" t="str">
        <v>нет</v>
      </c>
      <c r="AE199" t="str">
        <v>II</v>
      </c>
    </row>
    <row r="200" spans="27:31" x14ac:dyDescent="0.3">
      <c r="AA200">
        <v>1</v>
      </c>
      <c r="AB200" t="str">
        <v>ЩР-01</v>
      </c>
      <c r="AC200" t="str">
        <v>Ввод 1</v>
      </c>
      <c r="AD200" t="str">
        <v>нет</v>
      </c>
      <c r="AE200" t="str">
        <v>II</v>
      </c>
    </row>
    <row r="201" spans="27:31" x14ac:dyDescent="0.3">
      <c r="AA201">
        <v>1</v>
      </c>
      <c r="AB201" t="str">
        <v>ЩР-01</v>
      </c>
      <c r="AC201" t="str">
        <v>Ввод 1</v>
      </c>
      <c r="AD201" t="str">
        <v>нет</v>
      </c>
      <c r="AE201" t="str">
        <v>II</v>
      </c>
    </row>
    <row r="202" spans="27:31" x14ac:dyDescent="0.3">
      <c r="AA202">
        <v>1</v>
      </c>
      <c r="AB202" t="str">
        <v>ЩР-01</v>
      </c>
      <c r="AC202" t="str">
        <v>Ввод 1</v>
      </c>
      <c r="AD202" t="str">
        <v>нет</v>
      </c>
      <c r="AE202" t="str">
        <v>II</v>
      </c>
    </row>
    <row r="203" spans="27:31" x14ac:dyDescent="0.3">
      <c r="AA203">
        <v>1</v>
      </c>
      <c r="AB203" t="str">
        <v>ЩР-01</v>
      </c>
      <c r="AC203" t="str">
        <v>Ввод 1</v>
      </c>
      <c r="AD203" t="str">
        <v>нет</v>
      </c>
      <c r="AE203" t="str">
        <v>II</v>
      </c>
    </row>
    <row r="204" spans="27:31" x14ac:dyDescent="0.3">
      <c r="AA204">
        <v>1</v>
      </c>
      <c r="AB204" t="str">
        <v>ЩР-01</v>
      </c>
      <c r="AC204" t="str">
        <v>Ввод 1</v>
      </c>
      <c r="AD204" t="str">
        <v>нет</v>
      </c>
      <c r="AE204" t="str">
        <v>II</v>
      </c>
    </row>
    <row r="205" spans="27:31" x14ac:dyDescent="0.3">
      <c r="AA205">
        <v>1</v>
      </c>
      <c r="AB205" t="str">
        <v>ЩР-01</v>
      </c>
      <c r="AC205" t="str">
        <v>Ввод 1</v>
      </c>
      <c r="AD205" t="str">
        <v>нет</v>
      </c>
      <c r="AE205" t="str">
        <v>II</v>
      </c>
    </row>
    <row r="206" spans="27:31" x14ac:dyDescent="0.3">
      <c r="AA206">
        <v>1</v>
      </c>
      <c r="AB206" t="str">
        <v>ЩР-01</v>
      </c>
      <c r="AC206" t="str">
        <v>Ввод 1</v>
      </c>
      <c r="AD206" t="str">
        <v>нет</v>
      </c>
      <c r="AE206" t="str">
        <v>II</v>
      </c>
    </row>
    <row r="207" spans="27:31" x14ac:dyDescent="0.3">
      <c r="AA207">
        <v>1</v>
      </c>
      <c r="AB207" t="str">
        <v>ЩР-01</v>
      </c>
      <c r="AC207" t="str">
        <v>Ввод 1</v>
      </c>
      <c r="AD207" t="str">
        <v>нет</v>
      </c>
      <c r="AE207" t="str">
        <v>II</v>
      </c>
    </row>
    <row r="208" spans="27:31" x14ac:dyDescent="0.3">
      <c r="AA208">
        <v>1</v>
      </c>
      <c r="AB208" t="str">
        <v>ЩР-01</v>
      </c>
      <c r="AC208" t="str">
        <v>Ввод 1</v>
      </c>
      <c r="AD208" t="str">
        <v>нет</v>
      </c>
      <c r="AE208" t="str">
        <v>II</v>
      </c>
    </row>
    <row r="209" spans="27:31" x14ac:dyDescent="0.3">
      <c r="AA209">
        <v>1</v>
      </c>
      <c r="AB209" t="str">
        <v>ЩР-01</v>
      </c>
      <c r="AC209" t="str">
        <v>Ввод 1</v>
      </c>
      <c r="AD209" t="str">
        <v>нет</v>
      </c>
      <c r="AE209" t="str">
        <v>II</v>
      </c>
    </row>
    <row r="210" spans="27:31" x14ac:dyDescent="0.3">
      <c r="AA210">
        <v>1</v>
      </c>
      <c r="AB210" t="str">
        <v>ЩР-01</v>
      </c>
      <c r="AC210" t="str">
        <v>Ввод 1</v>
      </c>
      <c r="AD210" t="str">
        <v>нет</v>
      </c>
      <c r="AE210" t="str">
        <v>II</v>
      </c>
    </row>
    <row r="211" spans="27:31" x14ac:dyDescent="0.3">
      <c r="AA211">
        <v>1</v>
      </c>
      <c r="AB211" t="str">
        <v>ЩР-01</v>
      </c>
      <c r="AC211" t="str">
        <v>Ввод 1</v>
      </c>
      <c r="AD211" t="str">
        <v>нет</v>
      </c>
      <c r="AE211" t="str">
        <v>II</v>
      </c>
    </row>
    <row r="212" spans="27:31" x14ac:dyDescent="0.3">
      <c r="AA212">
        <v>1</v>
      </c>
      <c r="AB212" t="str">
        <v>ЩР-01</v>
      </c>
      <c r="AC212" t="str">
        <v>Ввод 1</v>
      </c>
      <c r="AD212" t="str">
        <v>нет</v>
      </c>
      <c r="AE212" t="str">
        <v>II</v>
      </c>
    </row>
    <row r="213" spans="27:31" x14ac:dyDescent="0.3">
      <c r="AA213">
        <v>1</v>
      </c>
      <c r="AB213" t="str">
        <v>ЩР-01</v>
      </c>
      <c r="AC213" t="str">
        <v>Ввод 1</v>
      </c>
      <c r="AD213" t="str">
        <v>нет</v>
      </c>
      <c r="AE213" t="str">
        <v>II</v>
      </c>
    </row>
    <row r="214" spans="27:31" x14ac:dyDescent="0.3">
      <c r="AA214">
        <v>1</v>
      </c>
      <c r="AB214" t="str">
        <v>ЩР-01</v>
      </c>
      <c r="AC214" t="str">
        <v>Ввод 1</v>
      </c>
      <c r="AD214" t="str">
        <v>нет</v>
      </c>
      <c r="AE214" t="str">
        <v>II</v>
      </c>
    </row>
    <row r="215" spans="27:31" x14ac:dyDescent="0.3">
      <c r="AA215">
        <v>1</v>
      </c>
      <c r="AB215" t="str">
        <v>ЩР-01</v>
      </c>
      <c r="AC215" t="str">
        <v>Ввод 1</v>
      </c>
      <c r="AD215" t="str">
        <v>нет</v>
      </c>
      <c r="AE215" t="str">
        <v>II</v>
      </c>
    </row>
    <row r="216" spans="27:31" x14ac:dyDescent="0.3">
      <c r="AA216">
        <v>1</v>
      </c>
      <c r="AB216" t="str">
        <v>ЩР-01</v>
      </c>
      <c r="AC216" t="str">
        <v>Ввод 1</v>
      </c>
      <c r="AD216" t="str">
        <v>нет</v>
      </c>
      <c r="AE216" t="str">
        <v>II</v>
      </c>
    </row>
    <row r="217" spans="27:31" x14ac:dyDescent="0.3">
      <c r="AA217">
        <v>1</v>
      </c>
      <c r="AB217" t="str">
        <v>ЩР-01</v>
      </c>
      <c r="AC217" t="str">
        <v>Ввод 1</v>
      </c>
      <c r="AD217" t="str">
        <v>нет</v>
      </c>
      <c r="AE217" t="str">
        <v>II</v>
      </c>
    </row>
    <row r="218" spans="27:31" x14ac:dyDescent="0.3">
      <c r="AA218">
        <v>1</v>
      </c>
      <c r="AB218" t="str">
        <v>ЩР-01</v>
      </c>
      <c r="AC218" t="str">
        <v>Ввод 1</v>
      </c>
      <c r="AD218" t="str">
        <v>нет</v>
      </c>
      <c r="AE218" t="str">
        <v>II</v>
      </c>
    </row>
    <row r="219" spans="27:31" x14ac:dyDescent="0.3">
      <c r="AA219">
        <v>1</v>
      </c>
      <c r="AB219" t="str">
        <v>ЩР-01</v>
      </c>
      <c r="AC219" t="str">
        <v>Ввод 1</v>
      </c>
      <c r="AD219" t="str">
        <v>нет</v>
      </c>
      <c r="AE219" t="str">
        <v>II</v>
      </c>
    </row>
    <row r="220" spans="27:31" x14ac:dyDescent="0.3">
      <c r="AA220">
        <v>1</v>
      </c>
      <c r="AB220" t="str">
        <v>ЩР-01</v>
      </c>
      <c r="AC220" t="str">
        <v>Ввод 1</v>
      </c>
      <c r="AD220" t="str">
        <v>нет</v>
      </c>
      <c r="AE220" t="str">
        <v>II</v>
      </c>
    </row>
    <row r="221" spans="27:31" x14ac:dyDescent="0.3">
      <c r="AA221">
        <v>1</v>
      </c>
      <c r="AB221" t="str">
        <v>ЩР-01</v>
      </c>
      <c r="AC221" t="str">
        <v>Ввод 1</v>
      </c>
      <c r="AD221" t="str">
        <v>нет</v>
      </c>
      <c r="AE221" t="str">
        <v>II</v>
      </c>
    </row>
    <row r="222" spans="27:31" x14ac:dyDescent="0.3">
      <c r="AA222">
        <v>1</v>
      </c>
      <c r="AB222" t="str">
        <v>ЩР-01</v>
      </c>
      <c r="AC222" t="str">
        <v>Ввод 1</v>
      </c>
      <c r="AD222" t="str">
        <v>нет</v>
      </c>
      <c r="AE222" t="str">
        <v>II</v>
      </c>
    </row>
    <row r="223" spans="27:31" x14ac:dyDescent="0.3">
      <c r="AA223">
        <v>1</v>
      </c>
      <c r="AB223" t="str">
        <v>ЩР-01</v>
      </c>
      <c r="AC223" t="str">
        <v>Ввод 1</v>
      </c>
      <c r="AD223" t="str">
        <v>нет</v>
      </c>
      <c r="AE223" t="str">
        <v>II</v>
      </c>
    </row>
    <row r="224" spans="27:31" x14ac:dyDescent="0.3">
      <c r="AA224">
        <v>1</v>
      </c>
      <c r="AB224" t="str">
        <v>ЩР-1</v>
      </c>
      <c r="AC224" t="str">
        <v>Ввод 2</v>
      </c>
      <c r="AD224" t="str">
        <v>нет</v>
      </c>
      <c r="AE224" t="str">
        <v>III</v>
      </c>
    </row>
    <row r="225" spans="27:31" x14ac:dyDescent="0.3">
      <c r="AA225">
        <v>1</v>
      </c>
      <c r="AB225" t="str">
        <v>ЩР-1</v>
      </c>
      <c r="AC225" t="str">
        <v>Ввод 2</v>
      </c>
      <c r="AD225" t="str">
        <v>нет</v>
      </c>
      <c r="AE225" t="str">
        <v>II</v>
      </c>
    </row>
    <row r="226" spans="27:31" x14ac:dyDescent="0.3">
      <c r="AA226">
        <v>1</v>
      </c>
      <c r="AB226" t="str">
        <v>ЩР-1</v>
      </c>
      <c r="AC226" t="str">
        <v>Ввод 2</v>
      </c>
      <c r="AD226" t="str">
        <v>нет</v>
      </c>
      <c r="AE226" t="str">
        <v>II</v>
      </c>
    </row>
    <row r="227" spans="27:31" x14ac:dyDescent="0.3">
      <c r="AA227">
        <v>1</v>
      </c>
      <c r="AB227" t="str">
        <v>ЩР-1</v>
      </c>
      <c r="AC227" t="str">
        <v>Ввод 2</v>
      </c>
      <c r="AD227" t="str">
        <v>нет</v>
      </c>
      <c r="AE227" t="str">
        <v>II</v>
      </c>
    </row>
    <row r="228" spans="27:31" x14ac:dyDescent="0.3">
      <c r="AA228">
        <v>1</v>
      </c>
      <c r="AB228" t="str">
        <v>ЩР-1</v>
      </c>
      <c r="AC228" t="str">
        <v>Ввод 2</v>
      </c>
      <c r="AD228" t="str">
        <v>нет</v>
      </c>
      <c r="AE228" t="str">
        <v>II</v>
      </c>
    </row>
    <row r="229" spans="27:31" x14ac:dyDescent="0.3">
      <c r="AA229">
        <v>1</v>
      </c>
      <c r="AB229" t="str">
        <v>ЩР-1</v>
      </c>
      <c r="AC229" t="str">
        <v>Ввод 2</v>
      </c>
      <c r="AD229" t="str">
        <v>нет</v>
      </c>
      <c r="AE229" t="str">
        <v>II</v>
      </c>
    </row>
    <row r="230" spans="27:31" x14ac:dyDescent="0.3">
      <c r="AA230">
        <v>1</v>
      </c>
      <c r="AB230" t="str">
        <v>ЩР-1</v>
      </c>
      <c r="AC230" t="str">
        <v>Ввод 2</v>
      </c>
      <c r="AD230" t="str">
        <v>нет</v>
      </c>
      <c r="AE230" t="str">
        <v>II</v>
      </c>
    </row>
    <row r="231" spans="27:31" x14ac:dyDescent="0.3">
      <c r="AA231">
        <v>1</v>
      </c>
      <c r="AB231" t="str">
        <v>ЩР-1</v>
      </c>
      <c r="AC231" t="str">
        <v>Ввод 2</v>
      </c>
      <c r="AD231" t="str">
        <v>нет</v>
      </c>
      <c r="AE231" t="str">
        <v>II</v>
      </c>
    </row>
    <row r="232" spans="27:31" x14ac:dyDescent="0.3">
      <c r="AA232">
        <v>1</v>
      </c>
      <c r="AB232" t="str">
        <v>ЩР-1</v>
      </c>
      <c r="AC232" t="str">
        <v>Ввод 2</v>
      </c>
      <c r="AD232" t="str">
        <v>нет</v>
      </c>
      <c r="AE232" t="str">
        <v>II</v>
      </c>
    </row>
    <row r="233" spans="27:31" x14ac:dyDescent="0.3">
      <c r="AA233">
        <v>1</v>
      </c>
      <c r="AB233" t="str">
        <v>ЩР-1</v>
      </c>
      <c r="AC233" t="str">
        <v>Ввод 2</v>
      </c>
      <c r="AD233" t="str">
        <v>нет</v>
      </c>
      <c r="AE233" t="str">
        <v>II</v>
      </c>
    </row>
    <row r="234" spans="27:31" x14ac:dyDescent="0.3">
      <c r="AA234">
        <v>1</v>
      </c>
      <c r="AB234" t="str">
        <v>ЩР-1</v>
      </c>
      <c r="AC234" t="str">
        <v>Ввод 2</v>
      </c>
      <c r="AD234" t="str">
        <v>нет</v>
      </c>
      <c r="AE234" t="str">
        <v>II</v>
      </c>
    </row>
    <row r="235" spans="27:31" x14ac:dyDescent="0.3">
      <c r="AA235">
        <v>1</v>
      </c>
      <c r="AB235" t="str">
        <v>ЩР-1</v>
      </c>
      <c r="AC235" t="str">
        <v>Ввод 2</v>
      </c>
      <c r="AD235" t="str">
        <v>нет</v>
      </c>
      <c r="AE235" t="str">
        <v>II</v>
      </c>
    </row>
    <row r="236" spans="27:31" x14ac:dyDescent="0.3">
      <c r="AA236">
        <v>1</v>
      </c>
      <c r="AB236" t="str">
        <v>ЩР-1</v>
      </c>
      <c r="AC236" t="str">
        <v>Ввод 2</v>
      </c>
      <c r="AD236" t="str">
        <v>нет</v>
      </c>
      <c r="AE236" t="str">
        <v>II</v>
      </c>
    </row>
    <row r="237" spans="27:31" x14ac:dyDescent="0.3">
      <c r="AA237">
        <v>1</v>
      </c>
      <c r="AB237" t="str">
        <v>ЩР-1</v>
      </c>
      <c r="AC237" t="str">
        <v>Ввод 2</v>
      </c>
      <c r="AD237" t="str">
        <v>нет</v>
      </c>
      <c r="AE237" t="str">
        <v>II</v>
      </c>
    </row>
    <row r="238" spans="27:31" x14ac:dyDescent="0.3">
      <c r="AA238">
        <v>1</v>
      </c>
      <c r="AB238" t="str">
        <v>ЩР-1</v>
      </c>
      <c r="AC238" t="str">
        <v>Ввод 2</v>
      </c>
      <c r="AD238" t="str">
        <v>нет</v>
      </c>
      <c r="AE238" t="str">
        <v>II</v>
      </c>
    </row>
    <row r="239" spans="27:31" x14ac:dyDescent="0.3">
      <c r="AA239">
        <v>1</v>
      </c>
      <c r="AB239" t="str">
        <v>ЩР-1</v>
      </c>
      <c r="AC239" t="str">
        <v>Ввод 2</v>
      </c>
      <c r="AD239" t="str">
        <v>нет</v>
      </c>
      <c r="AE239" t="str">
        <v>II</v>
      </c>
    </row>
    <row r="240" spans="27:31" x14ac:dyDescent="0.3">
      <c r="AA240">
        <v>1</v>
      </c>
      <c r="AB240" t="str">
        <v>ЩР-1</v>
      </c>
      <c r="AC240" t="str">
        <v>Ввод 2</v>
      </c>
      <c r="AD240" t="str">
        <v>нет</v>
      </c>
      <c r="AE240" t="str">
        <v>II</v>
      </c>
    </row>
    <row r="241" spans="27:31" x14ac:dyDescent="0.3">
      <c r="AA241">
        <v>1</v>
      </c>
      <c r="AB241" t="str">
        <v>ЩР-1</v>
      </c>
      <c r="AC241" t="str">
        <v>Ввод 2</v>
      </c>
      <c r="AD241" t="str">
        <v>нет</v>
      </c>
      <c r="AE241" t="str">
        <v>II</v>
      </c>
    </row>
    <row r="242" spans="27:31" x14ac:dyDescent="0.3">
      <c r="AA242">
        <v>1</v>
      </c>
      <c r="AB242" t="str">
        <v>ЩР-1</v>
      </c>
      <c r="AC242" t="str">
        <v>Ввод 2</v>
      </c>
      <c r="AD242" t="str">
        <v>нет</v>
      </c>
      <c r="AE242" t="str">
        <v>II</v>
      </c>
    </row>
    <row r="243" spans="27:31" x14ac:dyDescent="0.3">
      <c r="AA243">
        <v>1</v>
      </c>
      <c r="AB243" t="str">
        <v>ЩР-1</v>
      </c>
      <c r="AC243" t="str">
        <v>Ввод 2</v>
      </c>
      <c r="AD243" t="str">
        <v>нет</v>
      </c>
      <c r="AE243" t="str">
        <v>II</v>
      </c>
    </row>
    <row r="244" spans="27:31" x14ac:dyDescent="0.3">
      <c r="AA244">
        <v>1</v>
      </c>
      <c r="AB244" t="str">
        <v>ЩР-1</v>
      </c>
      <c r="AC244" t="str">
        <v>Ввод 2</v>
      </c>
      <c r="AD244" t="str">
        <v>нет</v>
      </c>
      <c r="AE244" t="str">
        <v>II</v>
      </c>
    </row>
    <row r="245" spans="27:31" x14ac:dyDescent="0.3">
      <c r="AA245">
        <v>1</v>
      </c>
      <c r="AB245" t="str">
        <v>ЩР-1</v>
      </c>
      <c r="AC245" t="str">
        <v>Ввод 2</v>
      </c>
      <c r="AD245" t="str">
        <v>нет</v>
      </c>
      <c r="AE245" t="str">
        <v>II</v>
      </c>
    </row>
    <row r="246" spans="27:31" x14ac:dyDescent="0.3">
      <c r="AA246">
        <v>1</v>
      </c>
      <c r="AB246" t="str">
        <v>ЩР-1</v>
      </c>
      <c r="AC246" t="str">
        <v>Ввод 2</v>
      </c>
      <c r="AD246" t="str">
        <v>нет</v>
      </c>
      <c r="AE246" t="str">
        <v>II</v>
      </c>
    </row>
    <row r="247" spans="27:31" x14ac:dyDescent="0.3">
      <c r="AA247">
        <v>1</v>
      </c>
      <c r="AB247" t="str">
        <v>ЩР-1</v>
      </c>
      <c r="AC247" t="str">
        <v>Ввод 2</v>
      </c>
      <c r="AD247" t="str">
        <v>нет</v>
      </c>
      <c r="AE247" t="str">
        <v>II</v>
      </c>
    </row>
    <row r="248" spans="27:31" x14ac:dyDescent="0.3">
      <c r="AA248">
        <v>1</v>
      </c>
      <c r="AB248" t="str">
        <v>ЩР-1</v>
      </c>
      <c r="AC248" t="str">
        <v>Ввод 2</v>
      </c>
      <c r="AD248" t="str">
        <v>нет</v>
      </c>
      <c r="AE248" t="str">
        <v>II</v>
      </c>
    </row>
    <row r="249" spans="27:31" x14ac:dyDescent="0.3">
      <c r="AA249">
        <v>1</v>
      </c>
      <c r="AB249" t="str">
        <v>ЩР-1</v>
      </c>
      <c r="AC249" t="str">
        <v>Ввод 2</v>
      </c>
      <c r="AD249" t="str">
        <v>нет</v>
      </c>
      <c r="AE249" t="str">
        <v>II</v>
      </c>
    </row>
    <row r="250" spans="27:31" x14ac:dyDescent="0.3">
      <c r="AA250">
        <v>1</v>
      </c>
      <c r="AB250" t="str">
        <v>ЩР-1</v>
      </c>
      <c r="AC250" t="str">
        <v>Ввод 2</v>
      </c>
      <c r="AD250" t="str">
        <v>нет</v>
      </c>
      <c r="AE250" t="str">
        <v>II</v>
      </c>
    </row>
    <row r="251" spans="27:31" x14ac:dyDescent="0.3">
      <c r="AA251">
        <v>1</v>
      </c>
      <c r="AB251" t="str">
        <v>ЩР-1</v>
      </c>
      <c r="AC251" t="str">
        <v>Ввод 2</v>
      </c>
      <c r="AD251" t="str">
        <v>нет</v>
      </c>
      <c r="AE251" t="str">
        <v>II</v>
      </c>
    </row>
    <row r="252" spans="27:31" x14ac:dyDescent="0.3">
      <c r="AA252">
        <v>1</v>
      </c>
      <c r="AB252" t="str">
        <v>ЩР-1</v>
      </c>
      <c r="AC252" t="str">
        <v>Ввод 2</v>
      </c>
      <c r="AD252" t="str">
        <v>нет</v>
      </c>
      <c r="AE252" t="str">
        <v>II</v>
      </c>
    </row>
    <row r="253" spans="27:31" x14ac:dyDescent="0.3">
      <c r="AA253">
        <v>1</v>
      </c>
      <c r="AB253" t="str">
        <v>ЩР-1</v>
      </c>
      <c r="AC253" t="str">
        <v>Ввод 2</v>
      </c>
      <c r="AD253" t="str">
        <v>нет</v>
      </c>
      <c r="AE253" t="str">
        <v>II</v>
      </c>
    </row>
    <row r="254" spans="27:31" x14ac:dyDescent="0.3">
      <c r="AA254">
        <v>1</v>
      </c>
      <c r="AB254" t="str">
        <v>ЩР-1</v>
      </c>
      <c r="AC254" t="str">
        <v>Ввод 2</v>
      </c>
      <c r="AD254" t="str">
        <v>нет</v>
      </c>
      <c r="AE254" t="str">
        <v>II</v>
      </c>
    </row>
    <row r="255" spans="27:31" x14ac:dyDescent="0.3">
      <c r="AA255">
        <v>1</v>
      </c>
      <c r="AB255" t="str">
        <v>ЩР-1</v>
      </c>
      <c r="AC255" t="str">
        <v>Ввод 2</v>
      </c>
      <c r="AD255" t="str">
        <v>нет</v>
      </c>
      <c r="AE255" t="str">
        <v>II</v>
      </c>
    </row>
    <row r="256" spans="27:31" x14ac:dyDescent="0.3">
      <c r="AA256">
        <v>1</v>
      </c>
      <c r="AB256" t="str">
        <v>ЩР-1</v>
      </c>
      <c r="AC256" t="str">
        <v>Ввод 2</v>
      </c>
      <c r="AD256" t="str">
        <v>нет</v>
      </c>
      <c r="AE256" t="str">
        <v>II</v>
      </c>
    </row>
    <row r="257" spans="27:31" x14ac:dyDescent="0.3">
      <c r="AA257">
        <v>1</v>
      </c>
      <c r="AB257" t="str">
        <v>ЩР-1</v>
      </c>
      <c r="AC257" t="str">
        <v>Ввод 2</v>
      </c>
      <c r="AD257" t="str">
        <v>нет</v>
      </c>
      <c r="AE257" t="str">
        <v>II</v>
      </c>
    </row>
    <row r="258" spans="27:31" x14ac:dyDescent="0.3">
      <c r="AA258">
        <v>1</v>
      </c>
      <c r="AB258" t="str">
        <v>ЩР-1</v>
      </c>
      <c r="AC258" t="str">
        <v>Ввод 2</v>
      </c>
      <c r="AD258" t="str">
        <v>нет</v>
      </c>
      <c r="AE258" t="str">
        <v>II</v>
      </c>
    </row>
    <row r="259" spans="27:31" x14ac:dyDescent="0.3">
      <c r="AA259">
        <v>1</v>
      </c>
      <c r="AB259" t="str">
        <v>ЩР-1</v>
      </c>
      <c r="AC259" t="str">
        <v>Ввод 2</v>
      </c>
      <c r="AD259" t="str">
        <v>нет</v>
      </c>
      <c r="AE259" t="str">
        <v>II</v>
      </c>
    </row>
    <row r="260" spans="27:31" x14ac:dyDescent="0.3">
      <c r="AA260">
        <v>1</v>
      </c>
      <c r="AB260" t="str">
        <v>ЩР-1</v>
      </c>
      <c r="AC260" t="str">
        <v>Ввод 2</v>
      </c>
      <c r="AD260" t="str">
        <v>нет</v>
      </c>
      <c r="AE260" t="str">
        <v>II</v>
      </c>
    </row>
    <row r="261" spans="27:31" x14ac:dyDescent="0.3">
      <c r="AA261">
        <v>1</v>
      </c>
      <c r="AB261" t="str">
        <v>ЩР-1</v>
      </c>
      <c r="AC261" t="str">
        <v>Ввод 2</v>
      </c>
      <c r="AD261" t="str">
        <v>нет</v>
      </c>
      <c r="AE261" t="str">
        <v>II</v>
      </c>
    </row>
    <row r="262" spans="27:31" x14ac:dyDescent="0.3">
      <c r="AA262">
        <v>1</v>
      </c>
      <c r="AB262" t="str">
        <v>ЩР-1</v>
      </c>
      <c r="AC262" t="str">
        <v>Ввод 2</v>
      </c>
      <c r="AD262" t="str">
        <v>нет</v>
      </c>
      <c r="AE262" t="str">
        <v>II</v>
      </c>
    </row>
    <row r="263" spans="27:31" x14ac:dyDescent="0.3">
      <c r="AA263">
        <v>1</v>
      </c>
      <c r="AB263" t="str">
        <v>ЩР-1</v>
      </c>
      <c r="AC263" t="str">
        <v>Ввод 2</v>
      </c>
      <c r="AD263" t="str">
        <v>нет</v>
      </c>
      <c r="AE263" t="str">
        <v>II</v>
      </c>
    </row>
    <row r="264" spans="27:31" x14ac:dyDescent="0.3">
      <c r="AA264">
        <v>1</v>
      </c>
      <c r="AB264" t="str">
        <v>ЩР-1</v>
      </c>
      <c r="AC264" t="str">
        <v>Ввод 2</v>
      </c>
      <c r="AD264" t="str">
        <v>нет</v>
      </c>
      <c r="AE264" t="str">
        <v>II</v>
      </c>
    </row>
    <row r="265" spans="27:31" x14ac:dyDescent="0.3">
      <c r="AA265">
        <v>1</v>
      </c>
      <c r="AB265" t="str">
        <v>ЩР-1</v>
      </c>
      <c r="AC265" t="str">
        <v>Ввод 2</v>
      </c>
      <c r="AD265" t="str">
        <v>нет</v>
      </c>
      <c r="AE265" t="str">
        <v>II</v>
      </c>
    </row>
    <row r="266" spans="27:31" x14ac:dyDescent="0.3">
      <c r="AA266">
        <v>1</v>
      </c>
      <c r="AB266" t="str">
        <v>ЩР-1</v>
      </c>
      <c r="AC266" t="str">
        <v>Ввод 2</v>
      </c>
      <c r="AD266" t="str">
        <v>нет</v>
      </c>
      <c r="AE266" t="str">
        <v>II</v>
      </c>
    </row>
    <row r="267" spans="27:31" x14ac:dyDescent="0.3">
      <c r="AA267">
        <v>1</v>
      </c>
      <c r="AB267" t="str">
        <v>ЩР-1</v>
      </c>
      <c r="AC267" t="str">
        <v>Ввод 2</v>
      </c>
      <c r="AD267" t="str">
        <v>нет</v>
      </c>
      <c r="AE267" t="str">
        <v>II</v>
      </c>
    </row>
    <row r="268" spans="27:31" x14ac:dyDescent="0.3">
      <c r="AA268">
        <v>1</v>
      </c>
      <c r="AB268" t="str">
        <v>ЩР-1</v>
      </c>
      <c r="AC268" t="str">
        <v>Ввод 2</v>
      </c>
      <c r="AD268" t="str">
        <v>нет</v>
      </c>
      <c r="AE268" t="str">
        <v>II</v>
      </c>
    </row>
    <row r="269" spans="27:31" x14ac:dyDescent="0.3">
      <c r="AA269">
        <v>1</v>
      </c>
      <c r="AB269" t="str">
        <v>ЩР-1</v>
      </c>
      <c r="AC269" t="str">
        <v>Ввод 2</v>
      </c>
      <c r="AD269" t="str">
        <v>нет</v>
      </c>
      <c r="AE269" t="str">
        <v>II</v>
      </c>
    </row>
    <row r="270" spans="27:31" x14ac:dyDescent="0.3">
      <c r="AA270">
        <v>1</v>
      </c>
      <c r="AB270" t="str">
        <v>ЩР-1</v>
      </c>
      <c r="AC270" t="str">
        <v>Ввод 2</v>
      </c>
      <c r="AD270" t="str">
        <v>нет</v>
      </c>
      <c r="AE270" t="str">
        <v>II</v>
      </c>
    </row>
    <row r="271" spans="27:31" x14ac:dyDescent="0.3">
      <c r="AA271">
        <v>1</v>
      </c>
      <c r="AB271" t="str">
        <v>ЩР-1</v>
      </c>
      <c r="AC271" t="str">
        <v>Ввод 2</v>
      </c>
      <c r="AD271" t="str">
        <v>нет</v>
      </c>
      <c r="AE271" t="str">
        <v>II</v>
      </c>
    </row>
    <row r="272" spans="27:31" x14ac:dyDescent="0.3">
      <c r="AA272">
        <v>1</v>
      </c>
      <c r="AB272" t="str">
        <v>ЩР-1</v>
      </c>
      <c r="AC272" t="str">
        <v>Ввод 2</v>
      </c>
      <c r="AD272" t="str">
        <v>нет</v>
      </c>
      <c r="AE272" t="str">
        <v>II</v>
      </c>
    </row>
    <row r="273" spans="27:31" x14ac:dyDescent="0.3">
      <c r="AA273">
        <v>1</v>
      </c>
      <c r="AB273" t="str">
        <v>ЩР-1</v>
      </c>
      <c r="AC273" t="str">
        <v>Ввод 2</v>
      </c>
      <c r="AD273" t="str">
        <v>нет</v>
      </c>
      <c r="AE273" t="str">
        <v>II</v>
      </c>
    </row>
    <row r="274" spans="27:31" x14ac:dyDescent="0.3">
      <c r="AA274">
        <v>1</v>
      </c>
      <c r="AB274" t="str">
        <v>ЩР-1</v>
      </c>
      <c r="AC274" t="str">
        <v>Ввод 2</v>
      </c>
      <c r="AD274" t="str">
        <v>нет</v>
      </c>
      <c r="AE274" t="str">
        <v>II</v>
      </c>
    </row>
    <row r="275" spans="27:31" x14ac:dyDescent="0.3">
      <c r="AA275">
        <v>1</v>
      </c>
      <c r="AB275" t="str">
        <v>ЩР-1</v>
      </c>
      <c r="AC275" t="str">
        <v>Ввод 2</v>
      </c>
      <c r="AD275" t="str">
        <v>нет</v>
      </c>
      <c r="AE275" t="str">
        <v>II</v>
      </c>
    </row>
    <row r="276" spans="27:31" x14ac:dyDescent="0.3">
      <c r="AA276">
        <v>1</v>
      </c>
      <c r="AB276" t="str">
        <v>ЩР-1</v>
      </c>
      <c r="AC276" t="str">
        <v>Ввод 2</v>
      </c>
      <c r="AD276" t="str">
        <v>нет</v>
      </c>
      <c r="AE276" t="str">
        <v>II</v>
      </c>
    </row>
    <row r="277" spans="27:31" x14ac:dyDescent="0.3">
      <c r="AA277">
        <v>1</v>
      </c>
      <c r="AB277" t="str">
        <v>ЩР-1</v>
      </c>
      <c r="AC277" t="str">
        <v>Ввод 2</v>
      </c>
      <c r="AD277" t="str">
        <v>нет</v>
      </c>
      <c r="AE277" t="str">
        <v>II</v>
      </c>
    </row>
    <row r="278" spans="27:31" x14ac:dyDescent="0.3">
      <c r="AA278">
        <v>1</v>
      </c>
      <c r="AB278" t="str">
        <v>ЩР-1</v>
      </c>
      <c r="AC278" t="str">
        <v>Ввод 2</v>
      </c>
      <c r="AD278" t="str">
        <v>нет</v>
      </c>
      <c r="AE278" t="str">
        <v>II</v>
      </c>
    </row>
    <row r="279" spans="27:31" x14ac:dyDescent="0.3">
      <c r="AA279">
        <v>1</v>
      </c>
      <c r="AB279" t="str">
        <v>ЩР-1</v>
      </c>
      <c r="AC279" t="str">
        <v>Ввод 2</v>
      </c>
      <c r="AD279" t="str">
        <v>нет</v>
      </c>
      <c r="AE279" t="str">
        <v>II</v>
      </c>
    </row>
    <row r="280" spans="27:31" x14ac:dyDescent="0.3">
      <c r="AA280">
        <v>1</v>
      </c>
      <c r="AB280" t="str">
        <v>ЩР-1</v>
      </c>
      <c r="AC280" t="str">
        <v>Ввод 2</v>
      </c>
      <c r="AD280" t="str">
        <v>нет</v>
      </c>
      <c r="AE280" t="str">
        <v>II</v>
      </c>
    </row>
    <row r="281" spans="27:31" x14ac:dyDescent="0.3">
      <c r="AA281">
        <v>1</v>
      </c>
      <c r="AB281" t="str">
        <v>ЩР-1</v>
      </c>
      <c r="AC281" t="str">
        <v>Ввод 2</v>
      </c>
      <c r="AD281" t="str">
        <v>нет</v>
      </c>
      <c r="AE281" t="str">
        <v>II</v>
      </c>
    </row>
    <row r="282" spans="27:31" x14ac:dyDescent="0.3">
      <c r="AA282">
        <v>1</v>
      </c>
      <c r="AB282" t="str">
        <v>ЩР-1</v>
      </c>
      <c r="AC282" t="str">
        <v>Ввод 2</v>
      </c>
      <c r="AD282" t="str">
        <v>нет</v>
      </c>
      <c r="AE282" t="str">
        <v>II</v>
      </c>
    </row>
    <row r="283" spans="27:31" x14ac:dyDescent="0.3">
      <c r="AA283">
        <v>1</v>
      </c>
      <c r="AB283" t="str">
        <v>ЩР-2</v>
      </c>
      <c r="AC283" t="str">
        <v>Ввод 1</v>
      </c>
      <c r="AD283" t="str">
        <v>нет</v>
      </c>
      <c r="AE283" t="str">
        <v>III</v>
      </c>
    </row>
    <row r="284" spans="27:31" x14ac:dyDescent="0.3">
      <c r="AA284">
        <v>1</v>
      </c>
      <c r="AB284" t="str">
        <v>ЩР-2</v>
      </c>
      <c r="AC284" t="str">
        <v>Ввод 1</v>
      </c>
      <c r="AD284" t="str">
        <v>нет</v>
      </c>
      <c r="AE284" t="str">
        <v>II</v>
      </c>
    </row>
    <row r="285" spans="27:31" x14ac:dyDescent="0.3">
      <c r="AA285">
        <v>1</v>
      </c>
      <c r="AB285" t="str">
        <v>ЩР-2</v>
      </c>
      <c r="AC285" t="str">
        <v>Ввод 1</v>
      </c>
      <c r="AD285" t="str">
        <v>нет</v>
      </c>
      <c r="AE285" t="str">
        <v>II</v>
      </c>
    </row>
    <row r="286" spans="27:31" x14ac:dyDescent="0.3">
      <c r="AA286">
        <v>1</v>
      </c>
      <c r="AB286" t="str">
        <v>ЩР-2</v>
      </c>
      <c r="AC286" t="str">
        <v>Ввод 1</v>
      </c>
      <c r="AD286" t="str">
        <v>нет</v>
      </c>
      <c r="AE286" t="str">
        <v>II</v>
      </c>
    </row>
    <row r="287" spans="27:31" x14ac:dyDescent="0.3">
      <c r="AA287">
        <v>1</v>
      </c>
      <c r="AB287" t="str">
        <v>ЩР-2</v>
      </c>
      <c r="AC287" t="str">
        <v>Ввод 1</v>
      </c>
      <c r="AD287" t="str">
        <v>нет</v>
      </c>
      <c r="AE287" t="str">
        <v>II</v>
      </c>
    </row>
    <row r="288" spans="27:31" x14ac:dyDescent="0.3">
      <c r="AA288">
        <v>1</v>
      </c>
      <c r="AB288" t="str">
        <v>ЩР-2</v>
      </c>
      <c r="AC288" t="str">
        <v>Ввод 1</v>
      </c>
      <c r="AD288" t="str">
        <v>нет</v>
      </c>
      <c r="AE288" t="str">
        <v>II</v>
      </c>
    </row>
    <row r="289" spans="27:31" x14ac:dyDescent="0.3">
      <c r="AA289">
        <v>1</v>
      </c>
      <c r="AB289" t="str">
        <v>ЩР-2</v>
      </c>
      <c r="AC289" t="str">
        <v>Ввод 1</v>
      </c>
      <c r="AD289" t="str">
        <v>нет</v>
      </c>
      <c r="AE289" t="str">
        <v>II</v>
      </c>
    </row>
    <row r="290" spans="27:31" x14ac:dyDescent="0.3">
      <c r="AA290">
        <v>1</v>
      </c>
      <c r="AB290" t="str">
        <v>ЩР-2</v>
      </c>
      <c r="AC290" t="str">
        <v>Ввод 1</v>
      </c>
      <c r="AD290" t="str">
        <v>нет</v>
      </c>
      <c r="AE290" t="str">
        <v>II</v>
      </c>
    </row>
    <row r="291" spans="27:31" x14ac:dyDescent="0.3">
      <c r="AA291">
        <v>1</v>
      </c>
      <c r="AB291" t="str">
        <v>ЩР-2</v>
      </c>
      <c r="AC291" t="str">
        <v>Ввод 1</v>
      </c>
      <c r="AD291" t="str">
        <v>нет</v>
      </c>
      <c r="AE291" t="str">
        <v>II</v>
      </c>
    </row>
    <row r="292" spans="27:31" x14ac:dyDescent="0.3">
      <c r="AA292">
        <v>1</v>
      </c>
      <c r="AB292" t="str">
        <v>ЩР-2</v>
      </c>
      <c r="AC292" t="str">
        <v>Ввод 1</v>
      </c>
      <c r="AD292" t="str">
        <v>нет</v>
      </c>
      <c r="AE292" t="str">
        <v>II</v>
      </c>
    </row>
    <row r="293" spans="27:31" x14ac:dyDescent="0.3">
      <c r="AA293">
        <v>1</v>
      </c>
      <c r="AB293" t="str">
        <v>ЩР-2</v>
      </c>
      <c r="AC293" t="str">
        <v>Ввод 1</v>
      </c>
      <c r="AD293" t="str">
        <v>нет</v>
      </c>
      <c r="AE293" t="str">
        <v>II</v>
      </c>
    </row>
    <row r="294" spans="27:31" x14ac:dyDescent="0.3">
      <c r="AA294">
        <v>1</v>
      </c>
      <c r="AB294" t="str">
        <v>ЩР-2</v>
      </c>
      <c r="AC294" t="str">
        <v>Ввод 1</v>
      </c>
      <c r="AD294" t="str">
        <v>нет</v>
      </c>
      <c r="AE294" t="str">
        <v>II</v>
      </c>
    </row>
    <row r="295" spans="27:31" x14ac:dyDescent="0.3">
      <c r="AA295">
        <v>1</v>
      </c>
      <c r="AB295" t="str">
        <v>ЩР-2</v>
      </c>
      <c r="AC295" t="str">
        <v>Ввод 1</v>
      </c>
      <c r="AD295" t="str">
        <v>нет</v>
      </c>
      <c r="AE295" t="str">
        <v>II</v>
      </c>
    </row>
    <row r="296" spans="27:31" x14ac:dyDescent="0.3">
      <c r="AA296">
        <v>1</v>
      </c>
      <c r="AB296" t="str">
        <v>ЩР-2</v>
      </c>
      <c r="AC296" t="str">
        <v>Ввод 1</v>
      </c>
      <c r="AD296" t="str">
        <v>нет</v>
      </c>
      <c r="AE296" t="str">
        <v>II</v>
      </c>
    </row>
    <row r="297" spans="27:31" x14ac:dyDescent="0.3">
      <c r="AA297">
        <v>1</v>
      </c>
      <c r="AB297" t="str">
        <v>ЩР-2</v>
      </c>
      <c r="AC297" t="str">
        <v>Ввод 1</v>
      </c>
      <c r="AD297" t="str">
        <v>нет</v>
      </c>
      <c r="AE297" t="str">
        <v>II</v>
      </c>
    </row>
    <row r="298" spans="27:31" x14ac:dyDescent="0.3">
      <c r="AA298">
        <v>1</v>
      </c>
      <c r="AB298" t="str">
        <v>ЩР-2</v>
      </c>
      <c r="AC298" t="str">
        <v>Ввод 1</v>
      </c>
      <c r="AD298" t="str">
        <v>нет</v>
      </c>
      <c r="AE298" t="str">
        <v>II</v>
      </c>
    </row>
    <row r="299" spans="27:31" x14ac:dyDescent="0.3">
      <c r="AA299">
        <v>1</v>
      </c>
      <c r="AB299" t="str">
        <v>ЩР-2</v>
      </c>
      <c r="AC299" t="str">
        <v>Ввод 1</v>
      </c>
      <c r="AD299" t="str">
        <v>нет</v>
      </c>
      <c r="AE299" t="str">
        <v>II</v>
      </c>
    </row>
    <row r="300" spans="27:31" x14ac:dyDescent="0.3">
      <c r="AA300">
        <v>1</v>
      </c>
      <c r="AB300" t="str">
        <v>ЩР-2</v>
      </c>
      <c r="AC300" t="str">
        <v>Ввод 1</v>
      </c>
      <c r="AD300" t="str">
        <v>нет</v>
      </c>
      <c r="AE300" t="str">
        <v>II</v>
      </c>
    </row>
    <row r="301" spans="27:31" x14ac:dyDescent="0.3">
      <c r="AA301">
        <v>1</v>
      </c>
      <c r="AB301" t="str">
        <v>ЩР-2</v>
      </c>
      <c r="AC301" t="str">
        <v>Ввод 1</v>
      </c>
      <c r="AD301" t="str">
        <v>нет</v>
      </c>
      <c r="AE301" t="str">
        <v>II</v>
      </c>
    </row>
    <row r="302" spans="27:31" x14ac:dyDescent="0.3">
      <c r="AA302">
        <v>1</v>
      </c>
      <c r="AB302" t="str">
        <v>ЩР-2</v>
      </c>
      <c r="AC302" t="str">
        <v>Ввод 1</v>
      </c>
      <c r="AD302" t="str">
        <v>нет</v>
      </c>
      <c r="AE302" t="str">
        <v>II</v>
      </c>
    </row>
    <row r="303" spans="27:31" x14ac:dyDescent="0.3">
      <c r="AA303">
        <v>1</v>
      </c>
      <c r="AB303" t="str">
        <v>ЩР-2</v>
      </c>
      <c r="AC303" t="str">
        <v>Ввод 1</v>
      </c>
      <c r="AD303" t="str">
        <v>нет</v>
      </c>
      <c r="AE303" t="str">
        <v>II</v>
      </c>
    </row>
    <row r="304" spans="27:31" x14ac:dyDescent="0.3">
      <c r="AA304">
        <v>1</v>
      </c>
      <c r="AB304" t="str">
        <v>ЩР-2</v>
      </c>
      <c r="AC304" t="str">
        <v>Ввод 1</v>
      </c>
      <c r="AD304" t="str">
        <v>нет</v>
      </c>
      <c r="AE304" t="str">
        <v>II</v>
      </c>
    </row>
    <row r="305" spans="27:31" x14ac:dyDescent="0.3">
      <c r="AA305">
        <v>1</v>
      </c>
      <c r="AB305" t="str">
        <v>ЩР-2</v>
      </c>
      <c r="AC305" t="str">
        <v>Ввод 1</v>
      </c>
      <c r="AD305" t="str">
        <v>нет</v>
      </c>
      <c r="AE305" t="str">
        <v>II</v>
      </c>
    </row>
    <row r="306" spans="27:31" x14ac:dyDescent="0.3">
      <c r="AA306">
        <v>1</v>
      </c>
      <c r="AB306" t="str">
        <v>ЩР-2</v>
      </c>
      <c r="AC306" t="str">
        <v>Ввод 1</v>
      </c>
      <c r="AD306" t="str">
        <v>нет</v>
      </c>
      <c r="AE306" t="str">
        <v>II</v>
      </c>
    </row>
    <row r="307" spans="27:31" x14ac:dyDescent="0.3">
      <c r="AA307">
        <v>1</v>
      </c>
      <c r="AB307" t="str">
        <v>ЩР-2</v>
      </c>
      <c r="AC307" t="str">
        <v>Ввод 1</v>
      </c>
      <c r="AD307" t="str">
        <v>нет</v>
      </c>
      <c r="AE307" t="str">
        <v>II</v>
      </c>
    </row>
    <row r="308" spans="27:31" x14ac:dyDescent="0.3">
      <c r="AA308">
        <v>1</v>
      </c>
      <c r="AB308" t="str">
        <v>ЩР-2</v>
      </c>
      <c r="AC308" t="str">
        <v>Ввод 1</v>
      </c>
      <c r="AD308" t="str">
        <v>нет</v>
      </c>
      <c r="AE308" t="str">
        <v>II</v>
      </c>
    </row>
    <row r="309" spans="27:31" x14ac:dyDescent="0.3">
      <c r="AA309">
        <v>1</v>
      </c>
      <c r="AB309" t="str">
        <v>ЩР-2</v>
      </c>
      <c r="AC309" t="str">
        <v>Ввод 1</v>
      </c>
      <c r="AD309" t="str">
        <v>нет</v>
      </c>
      <c r="AE309" t="str">
        <v>II</v>
      </c>
    </row>
    <row r="310" spans="27:31" x14ac:dyDescent="0.3">
      <c r="AA310">
        <v>1</v>
      </c>
      <c r="AB310" t="str">
        <v>ЩР-2</v>
      </c>
      <c r="AC310" t="str">
        <v>Ввод 1</v>
      </c>
      <c r="AD310" t="str">
        <v>нет</v>
      </c>
      <c r="AE310" t="str">
        <v>II</v>
      </c>
    </row>
    <row r="311" spans="27:31" x14ac:dyDescent="0.3">
      <c r="AA311">
        <v>1</v>
      </c>
      <c r="AB311" t="str">
        <v>ЩР-2</v>
      </c>
      <c r="AC311" t="str">
        <v>Ввод 1</v>
      </c>
      <c r="AD311" t="str">
        <v>нет</v>
      </c>
      <c r="AE311" t="str">
        <v>II</v>
      </c>
    </row>
    <row r="312" spans="27:31" x14ac:dyDescent="0.3">
      <c r="AA312">
        <v>1</v>
      </c>
      <c r="AB312" t="str">
        <v>ЩР-2</v>
      </c>
      <c r="AC312" t="str">
        <v>Ввод 1</v>
      </c>
      <c r="AD312" t="str">
        <v>нет</v>
      </c>
      <c r="AE312" t="str">
        <v>II</v>
      </c>
    </row>
    <row r="313" spans="27:31" x14ac:dyDescent="0.3">
      <c r="AA313">
        <v>1</v>
      </c>
      <c r="AB313" t="str">
        <v>ЩС-Б</v>
      </c>
      <c r="AC313" t="str">
        <v>Ввод 1</v>
      </c>
      <c r="AD313" t="str">
        <v>нет</v>
      </c>
      <c r="AE313" t="str">
        <v>III</v>
      </c>
    </row>
    <row r="314" spans="27:31" x14ac:dyDescent="0.3">
      <c r="AA314">
        <v>1</v>
      </c>
      <c r="AB314" t="str">
        <v>ЩС-Б</v>
      </c>
      <c r="AC314" t="str">
        <v>Ввод 1</v>
      </c>
      <c r="AD314" t="str">
        <v>нет</v>
      </c>
      <c r="AE314" t="str">
        <v>III</v>
      </c>
    </row>
    <row r="315" spans="27:31" x14ac:dyDescent="0.3">
      <c r="AA315">
        <v>1</v>
      </c>
      <c r="AB315" t="str">
        <v>ЩС-Б</v>
      </c>
      <c r="AC315" t="str">
        <v>Ввод 1</v>
      </c>
      <c r="AD315" t="str">
        <v>нет</v>
      </c>
      <c r="AE315" t="str">
        <v>III</v>
      </c>
    </row>
    <row r="316" spans="27:31" x14ac:dyDescent="0.3">
      <c r="AA316">
        <v>1</v>
      </c>
      <c r="AB316" t="str">
        <v>ЩС-Б</v>
      </c>
      <c r="AC316" t="str">
        <v>Ввод 1</v>
      </c>
      <c r="AD316" t="str">
        <v>нет</v>
      </c>
      <c r="AE316" t="str">
        <v>III</v>
      </c>
    </row>
    <row r="317" spans="27:31" x14ac:dyDescent="0.3">
      <c r="AA317">
        <v>1</v>
      </c>
      <c r="AB317" t="str">
        <v>ЩС-ВК.001</v>
      </c>
      <c r="AC317" t="str">
        <v>Ввод 2</v>
      </c>
      <c r="AD317" t="str">
        <v>нет</v>
      </c>
      <c r="AE317" t="str">
        <v>III</v>
      </c>
    </row>
    <row r="318" spans="27:31" x14ac:dyDescent="0.3">
      <c r="AA318">
        <v>1</v>
      </c>
      <c r="AB318" t="str">
        <v>ЩС-ВК.001</v>
      </c>
      <c r="AC318" t="str">
        <v>Ввод 2</v>
      </c>
      <c r="AD318" t="str">
        <v>нет</v>
      </c>
      <c r="AE318" t="str">
        <v>I</v>
      </c>
    </row>
    <row r="319" spans="27:31" x14ac:dyDescent="0.3">
      <c r="AA319">
        <v>1</v>
      </c>
      <c r="AB319" t="str">
        <v>ЩС-ВК.001</v>
      </c>
      <c r="AC319" t="str">
        <v>Ввод 2</v>
      </c>
      <c r="AD319" t="str">
        <v>нет</v>
      </c>
      <c r="AE319" t="str">
        <v>I</v>
      </c>
    </row>
    <row r="320" spans="27:31" x14ac:dyDescent="0.3">
      <c r="AA320">
        <v>1</v>
      </c>
      <c r="AB320" t="str">
        <v>ЩС-ВК.001</v>
      </c>
      <c r="AC320" t="str">
        <v>Ввод 2</v>
      </c>
      <c r="AD320" t="str">
        <v>нет</v>
      </c>
      <c r="AE320" t="str">
        <v>I</v>
      </c>
    </row>
    <row r="321" spans="27:31" x14ac:dyDescent="0.3">
      <c r="AA321">
        <v>1</v>
      </c>
      <c r="AB321" t="str">
        <v>ЩС-ВК.001</v>
      </c>
      <c r="AC321" t="str">
        <v>Ввод 2</v>
      </c>
      <c r="AD321" t="str">
        <v>нет</v>
      </c>
      <c r="AE321" t="str">
        <v>I</v>
      </c>
    </row>
    <row r="322" spans="27:31" x14ac:dyDescent="0.3">
      <c r="AA322">
        <v>1</v>
      </c>
      <c r="AB322" t="str">
        <v>ЩС-ВК.001</v>
      </c>
      <c r="AC322" t="str">
        <v>Ввод 2</v>
      </c>
      <c r="AD322" t="str">
        <v>нет</v>
      </c>
      <c r="AE322" t="str">
        <v>I</v>
      </c>
    </row>
    <row r="323" spans="27:31" x14ac:dyDescent="0.3">
      <c r="AA323">
        <v>1</v>
      </c>
      <c r="AB323" t="str">
        <v>ЩС-ВК.001</v>
      </c>
      <c r="AC323" t="str">
        <v>Ввод 2</v>
      </c>
      <c r="AD323" t="str">
        <v>нет</v>
      </c>
      <c r="AE323" t="str">
        <v>I</v>
      </c>
    </row>
    <row r="324" spans="27:31" x14ac:dyDescent="0.3">
      <c r="AA324">
        <v>1</v>
      </c>
      <c r="AB324" t="str">
        <v>ЩС-ВК.001</v>
      </c>
      <c r="AC324" t="str">
        <v>Ввод 2</v>
      </c>
      <c r="AD324" t="str">
        <v>нет</v>
      </c>
      <c r="AE324" t="str">
        <v>I</v>
      </c>
    </row>
    <row r="325" spans="27:31" x14ac:dyDescent="0.3">
      <c r="AA325">
        <v>1</v>
      </c>
      <c r="AB325" t="str">
        <v>ЩС-ВК.002</v>
      </c>
      <c r="AC325" t="str">
        <v>Ввод 2</v>
      </c>
      <c r="AD325" t="str">
        <v>нет</v>
      </c>
      <c r="AE325" t="str">
        <v>III</v>
      </c>
    </row>
    <row r="326" spans="27:31" x14ac:dyDescent="0.3">
      <c r="AA326">
        <v>1</v>
      </c>
      <c r="AB326" t="str">
        <v>ЩС-ВК.002</v>
      </c>
      <c r="AC326" t="str">
        <v>Ввод 2</v>
      </c>
      <c r="AD326" t="str">
        <v>нет</v>
      </c>
      <c r="AE326" t="str">
        <v>II</v>
      </c>
    </row>
    <row r="327" spans="27:31" x14ac:dyDescent="0.3">
      <c r="AA327">
        <v>1</v>
      </c>
      <c r="AB327" t="str">
        <v>ЩС-ВК.002</v>
      </c>
      <c r="AC327" t="str">
        <v>Ввод 2</v>
      </c>
      <c r="AD327" t="str">
        <v>нет</v>
      </c>
      <c r="AE327" t="str">
        <v>II</v>
      </c>
    </row>
    <row r="328" spans="27:31" x14ac:dyDescent="0.3">
      <c r="AA328">
        <v>1</v>
      </c>
      <c r="AB328" t="str">
        <v>ЩС-ВК.002</v>
      </c>
      <c r="AC328" t="str">
        <v>Ввод 2</v>
      </c>
      <c r="AD328" t="str">
        <v>нет</v>
      </c>
      <c r="AE328" t="str">
        <v>II</v>
      </c>
    </row>
    <row r="329" spans="27:31" x14ac:dyDescent="0.3">
      <c r="AA329">
        <v>1</v>
      </c>
      <c r="AB329" t="str">
        <v>ЩС-ВК.002</v>
      </c>
      <c r="AC329" t="str">
        <v>Ввод 2</v>
      </c>
      <c r="AD329" t="str">
        <v>нет</v>
      </c>
      <c r="AE329" t="str">
        <v>II</v>
      </c>
    </row>
    <row r="330" spans="27:31" x14ac:dyDescent="0.3">
      <c r="AA330">
        <v>1</v>
      </c>
      <c r="AB330" t="str">
        <v>ЩС-ВК.003</v>
      </c>
      <c r="AC330" t="str">
        <v>Ввод 2</v>
      </c>
      <c r="AD330" t="str">
        <v>нет</v>
      </c>
      <c r="AE330" t="str">
        <v>III</v>
      </c>
    </row>
    <row r="331" spans="27:31" x14ac:dyDescent="0.3">
      <c r="AA331">
        <v>1</v>
      </c>
      <c r="AB331" t="str">
        <v>ЩС-ВК.003</v>
      </c>
      <c r="AC331" t="str">
        <v>Ввод 2</v>
      </c>
      <c r="AD331" t="str">
        <v>нет</v>
      </c>
      <c r="AE331" t="str">
        <v>II</v>
      </c>
    </row>
    <row r="332" spans="27:31" x14ac:dyDescent="0.3">
      <c r="AA332">
        <v>1</v>
      </c>
      <c r="AB332" t="str">
        <v>ЩС-ВК.003</v>
      </c>
      <c r="AC332" t="str">
        <v>Ввод 2</v>
      </c>
      <c r="AD332" t="str">
        <v>нет</v>
      </c>
      <c r="AE332" t="str">
        <v>II</v>
      </c>
    </row>
    <row r="333" spans="27:31" x14ac:dyDescent="0.3">
      <c r="AA333">
        <v>1</v>
      </c>
      <c r="AB333" t="str">
        <v>ЩС-ВК.003</v>
      </c>
      <c r="AC333" t="str">
        <v>Ввод 2</v>
      </c>
      <c r="AD333" t="str">
        <v>нет</v>
      </c>
      <c r="AE333" t="str">
        <v>II</v>
      </c>
    </row>
    <row r="334" spans="27:31" x14ac:dyDescent="0.3">
      <c r="AA334">
        <v>1</v>
      </c>
      <c r="AB334" t="str">
        <v>ЩС-ВК.003</v>
      </c>
      <c r="AC334" t="str">
        <v>Ввод 2</v>
      </c>
      <c r="AD334" t="str">
        <v>нет</v>
      </c>
      <c r="AE334" t="str">
        <v>II</v>
      </c>
    </row>
    <row r="335" spans="27:31" x14ac:dyDescent="0.3">
      <c r="AA335">
        <v>1</v>
      </c>
      <c r="AB335" t="str">
        <v>ЩСПЗ-ЖД</v>
      </c>
      <c r="AC335" t="str">
        <v>Ввод 1</v>
      </c>
      <c r="AD335" t="str">
        <v>да</v>
      </c>
      <c r="AE335" t="str">
        <v>III</v>
      </c>
    </row>
    <row r="336" spans="27:31" x14ac:dyDescent="0.3">
      <c r="AA336">
        <v>1</v>
      </c>
      <c r="AB336" t="str">
        <v>ЩСПЗ-ЖД</v>
      </c>
      <c r="AC336" t="str">
        <v>Ввод 1</v>
      </c>
      <c r="AD336" t="str">
        <v>да</v>
      </c>
      <c r="AE336" t="str">
        <v>III</v>
      </c>
    </row>
    <row r="337" spans="27:31" x14ac:dyDescent="0.3">
      <c r="AA337">
        <v>1</v>
      </c>
      <c r="AB337" t="str">
        <v>ЩСПЗ-ЖД</v>
      </c>
      <c r="AC337" t="str">
        <v>Ввод 1</v>
      </c>
      <c r="AD337" t="str">
        <v>да</v>
      </c>
      <c r="AE337" t="str">
        <v>I</v>
      </c>
    </row>
    <row r="338" spans="27:31" x14ac:dyDescent="0.3">
      <c r="AA338">
        <v>1</v>
      </c>
      <c r="AB338" t="str">
        <v>ЩСПЗ-ЖД</v>
      </c>
      <c r="AC338" t="str">
        <v>Ввод 1</v>
      </c>
      <c r="AD338" t="str">
        <v>да</v>
      </c>
      <c r="AE338" t="str">
        <v>I</v>
      </c>
    </row>
    <row r="339" spans="27:31" x14ac:dyDescent="0.3">
      <c r="AA339">
        <v>1</v>
      </c>
      <c r="AB339" t="str">
        <v>ЩСПЗ-ЖД</v>
      </c>
      <c r="AC339" t="str">
        <v>Ввод 1</v>
      </c>
      <c r="AD339" t="str">
        <v>да</v>
      </c>
      <c r="AE339" t="str">
        <v>I</v>
      </c>
    </row>
    <row r="340" spans="27:31" x14ac:dyDescent="0.3">
      <c r="AA340">
        <v>1</v>
      </c>
      <c r="AB340" t="str">
        <v>ЩСПЗ-ЖД</v>
      </c>
      <c r="AC340" t="str">
        <v>Ввод 1</v>
      </c>
      <c r="AD340" t="str">
        <v>да</v>
      </c>
      <c r="AE340" t="str">
        <v>I</v>
      </c>
    </row>
    <row r="341" spans="27:31" x14ac:dyDescent="0.3">
      <c r="AA341">
        <v>1</v>
      </c>
      <c r="AB341" t="str">
        <v>ЩУОВ</v>
      </c>
      <c r="AC341" t="str">
        <v>Ввод 1</v>
      </c>
      <c r="AD341" t="str">
        <v>нет</v>
      </c>
      <c r="AE341" t="str">
        <v>III</v>
      </c>
    </row>
    <row r="342" spans="27:31" x14ac:dyDescent="0.3">
      <c r="AA342">
        <v>1</v>
      </c>
      <c r="AB342" t="str">
        <v>ЩУОВ</v>
      </c>
      <c r="AC342" t="str">
        <v>Ввод 1</v>
      </c>
      <c r="AD342" t="str">
        <v>нет</v>
      </c>
      <c r="AE342" t="str">
        <v>II</v>
      </c>
    </row>
    <row r="343" spans="27:31" x14ac:dyDescent="0.3">
      <c r="AA343">
        <v>1</v>
      </c>
      <c r="AB343" t="str">
        <v>ЩУОВ</v>
      </c>
      <c r="AC343" t="str">
        <v>Ввод 1</v>
      </c>
      <c r="AD343" t="str">
        <v>нет</v>
      </c>
      <c r="AE343" t="str">
        <v>II</v>
      </c>
    </row>
    <row r="344" spans="27:31" x14ac:dyDescent="0.3">
      <c r="AA344">
        <v>1</v>
      </c>
      <c r="AB344" t="str">
        <v>ЩУОВ</v>
      </c>
      <c r="AC344" t="str">
        <v>Ввод 1</v>
      </c>
      <c r="AD344" t="str">
        <v>нет</v>
      </c>
      <c r="AE344" t="str">
        <v>II</v>
      </c>
    </row>
    <row r="345" spans="27:31" x14ac:dyDescent="0.3">
      <c r="AA345">
        <v>1</v>
      </c>
      <c r="AB345" t="str">
        <v>ЩУОВ</v>
      </c>
      <c r="AC345" t="str">
        <v>Ввод 1</v>
      </c>
      <c r="AD345" t="str">
        <v>нет</v>
      </c>
      <c r="AE345" t="str">
        <v>II</v>
      </c>
    </row>
    <row r="346" spans="27:31" x14ac:dyDescent="0.3">
      <c r="AA346">
        <v>1</v>
      </c>
      <c r="AB346" t="str">
        <v>ЩУОВ</v>
      </c>
      <c r="AC346" t="str">
        <v>Ввод 1</v>
      </c>
      <c r="AD346" t="str">
        <v>нет</v>
      </c>
      <c r="AE346" t="str">
        <v>II</v>
      </c>
    </row>
    <row r="347" spans="27:31" x14ac:dyDescent="0.3">
      <c r="AA347">
        <v>1</v>
      </c>
      <c r="AB347" t="str">
        <v>ЩУОВ</v>
      </c>
      <c r="AC347" t="str">
        <v>Ввод 1</v>
      </c>
      <c r="AD347" t="str">
        <v>нет</v>
      </c>
      <c r="AE347" t="str">
        <v>II</v>
      </c>
    </row>
    <row r="348" spans="27:31" x14ac:dyDescent="0.3">
      <c r="AA348">
        <v>1</v>
      </c>
      <c r="AB348" t="str">
        <v>ЩУОВ</v>
      </c>
      <c r="AC348" t="str">
        <v>Ввод 1</v>
      </c>
      <c r="AD348" t="str">
        <v>нет</v>
      </c>
      <c r="AE348" t="str">
        <v>II</v>
      </c>
    </row>
    <row r="349" spans="27:31" x14ac:dyDescent="0.3">
      <c r="AA349">
        <v>1</v>
      </c>
      <c r="AB349" t="str">
        <v>ЩУОВ</v>
      </c>
      <c r="AC349" t="str">
        <v>Ввод 1</v>
      </c>
      <c r="AD349" t="str">
        <v>нет</v>
      </c>
      <c r="AE349" t="str">
        <v>II</v>
      </c>
    </row>
    <row r="350" spans="27:31" x14ac:dyDescent="0.3">
      <c r="AA350">
        <v>1</v>
      </c>
      <c r="AB350" t="str">
        <v>ЩУОВ</v>
      </c>
      <c r="AC350" t="str">
        <v>Ввод 1</v>
      </c>
      <c r="AD350" t="str">
        <v>нет</v>
      </c>
      <c r="AE350" t="str">
        <v>II</v>
      </c>
    </row>
    <row r="351" spans="27:31" x14ac:dyDescent="0.3">
      <c r="AA351">
        <v>1</v>
      </c>
      <c r="AB351" t="str">
        <v>ЩУОВ</v>
      </c>
      <c r="AC351" t="str">
        <v>Ввод 1</v>
      </c>
      <c r="AD351" t="str">
        <v>нет</v>
      </c>
      <c r="AE351" t="str">
        <v>II</v>
      </c>
    </row>
    <row r="352" spans="27:31" x14ac:dyDescent="0.3">
      <c r="AA352">
        <v>1</v>
      </c>
      <c r="AB352" t="str">
        <v>ЩУОВ</v>
      </c>
      <c r="AC352" t="str">
        <v>Ввод 1</v>
      </c>
      <c r="AD352" t="str">
        <v>нет</v>
      </c>
      <c r="AE352" t="str">
        <v>II</v>
      </c>
    </row>
  </sheetData>
  <dataValidations count="1">
    <dataValidation type="list" allowBlank="1" showInputMessage="1" showErrorMessage="1" sqref="C3" xr:uid="{E0E1DF1C-CBDF-45FE-B6C2-B795641C205A}">
      <formula1>Список_щитов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C6145-C72A-4B70-B745-DDF676C31246}">
  <sheetPr>
    <tabColor rgb="FFED7D31"/>
  </sheetPr>
  <dimension ref="A1:L200"/>
  <sheetViews>
    <sheetView workbookViewId="0"/>
  </sheetViews>
  <sheetFormatPr defaultRowHeight="14.4" x14ac:dyDescent="0.3"/>
  <cols>
    <col min="1" max="1" width="5.77734375" customWidth="1"/>
    <col min="2" max="2" width="48.77734375" customWidth="1"/>
    <col min="3" max="3" width="11.77734375" customWidth="1"/>
    <col min="4" max="6" width="8.77734375" customWidth="1"/>
    <col min="7" max="10" width="11.77734375" customWidth="1"/>
    <col min="12" max="12" width="60.77734375" customWidth="1"/>
  </cols>
  <sheetData>
    <row r="1" spans="1:12" ht="18" x14ac:dyDescent="0.35">
      <c r="A1" s="113" t="s">
        <v>1732</v>
      </c>
    </row>
    <row r="3" spans="1:12" ht="409.6" x14ac:dyDescent="0.3">
      <c r="B3" t="s">
        <v>817</v>
      </c>
      <c r="C3" s="114" t="s">
        <v>1733</v>
      </c>
      <c r="E3" s="36" t="s">
        <v>1736</v>
      </c>
      <c r="L3" s="4" t="s">
        <v>1742</v>
      </c>
    </row>
    <row r="4" spans="1:12" x14ac:dyDescent="0.3">
      <c r="B4" t="s">
        <v>1734</v>
      </c>
      <c r="C4" s="114" t="s">
        <v>788</v>
      </c>
      <c r="E4" t="s">
        <v>824</v>
      </c>
      <c r="G4" t="str">
        <f>"~"&amp;FIXED(Uн_лин*1000,0)&amp;"/"&amp;FIXED(Uн_лин*1000/SQRT(3),0)&amp;" В, 50 Гц"</f>
        <v>~400/231 В, 50 Гц</v>
      </c>
    </row>
    <row r="5" spans="1:12" x14ac:dyDescent="0.3">
      <c r="B5" t="s">
        <v>819</v>
      </c>
      <c r="C5" s="114" t="s">
        <v>1735</v>
      </c>
      <c r="E5" t="s">
        <v>825</v>
      </c>
      <c r="G5" t="s">
        <v>826</v>
      </c>
    </row>
    <row r="6" spans="1:12" x14ac:dyDescent="0.3">
      <c r="E6" t="s">
        <v>827</v>
      </c>
      <c r="G6" t="str">
        <f>_xlfn.XLOOKUP($C$4,Щиты[Щит],Щиты[Категория шины «Ввод»],"")</f>
        <v>I</v>
      </c>
    </row>
    <row r="7" spans="1:12" x14ac:dyDescent="0.3">
      <c r="E7" t="s">
        <v>828</v>
      </c>
      <c r="G7" t="str">
        <f>FIXED(C16,2)</f>
        <v>524,68</v>
      </c>
    </row>
    <row r="8" spans="1:12" x14ac:dyDescent="0.3">
      <c r="E8" t="s">
        <v>829</v>
      </c>
      <c r="G8" t="str">
        <f>FIXED(G16,2)&amp;" / "&amp;FIXED(I16,2)&amp;" / "&amp;FIXED(IF(I16=0,0,G16/I16),2)</f>
        <v>274,85 / 289,32 / 0,95</v>
      </c>
    </row>
    <row r="9" spans="1:12" x14ac:dyDescent="0.3">
      <c r="E9" t="s">
        <v>830</v>
      </c>
      <c r="G9" t="str">
        <f>FIXED(J16,1)</f>
        <v>417,6</v>
      </c>
    </row>
    <row r="10" spans="1:12" x14ac:dyDescent="0.3">
      <c r="E10" t="s">
        <v>1737</v>
      </c>
      <c r="G10" t="str">
        <f>IFERROR(FIXED(_xlfn.XLOOKUP($C$4,Щиты[Щит],Щиты[ΔU до шин, %]),2),"—")</f>
        <v>0,00</v>
      </c>
    </row>
    <row r="11" spans="1:12" x14ac:dyDescent="0.3">
      <c r="E11" t="s">
        <v>1738</v>
      </c>
      <c r="G11" t="str">
        <f>IFERROR(FIXED(_xlfn.XLOOKUP($C$4,Щиты[Щит],Щиты[Iкз min на шинах, А]),0)&amp;" А / "&amp;FIXED(_xlfn.XLOOKUP($C$4,Щиты[Щит],Щиты[Iкз max на шинах, кА]),1)&amp;" кА","нет данных сети")</f>
        <v>нет данных сети</v>
      </c>
    </row>
    <row r="12" spans="1:12" x14ac:dyDescent="0.3">
      <c r="E12" t="s">
        <v>831</v>
      </c>
      <c r="G12" t="str">
        <f>IF(N(G16)=0,"",IF(G16*(IF(G16=0,0,H16/G16)-0.35)&lt;50,"не требуется (&lt; 50 квар на ввод, СП 256 п. 7.3)",ROUND(G16*(H16/G16-0.35),1)&amp;" квар"))</f>
        <v>не требуется (&lt; 50 квар на ввод, СП 256 п. 7.3)</v>
      </c>
    </row>
    <row r="14" spans="1:12" ht="100.8" x14ac:dyDescent="0.3">
      <c r="A14" s="119" t="s">
        <v>668</v>
      </c>
      <c r="B14" s="119" t="s">
        <v>1739</v>
      </c>
      <c r="C14" s="119" t="s">
        <v>811</v>
      </c>
      <c r="D14" s="119" t="s">
        <v>533</v>
      </c>
      <c r="E14" s="119" t="s">
        <v>807</v>
      </c>
      <c r="F14" s="119" t="s">
        <v>820</v>
      </c>
      <c r="G14" s="119" t="s">
        <v>856</v>
      </c>
      <c r="H14" s="119" t="s">
        <v>857</v>
      </c>
      <c r="I14" s="119" t="s">
        <v>858</v>
      </c>
      <c r="J14" s="119" t="s">
        <v>813</v>
      </c>
    </row>
    <row r="15" spans="1:12" x14ac:dyDescent="0.3">
      <c r="A15" s="122"/>
      <c r="B15" s="36" t="s">
        <v>1740</v>
      </c>
      <c r="C15" s="121">
        <f>IFERROR(SUM(INDEX(_xlfn.ANCHORARRAY(A17),0,3)),0)</f>
        <v>524.68100000000015</v>
      </c>
      <c r="D15" s="121"/>
      <c r="E15" s="121"/>
      <c r="F15" s="121"/>
      <c r="G15" s="121">
        <f>IFERROR(SUM(INDEX(_xlfn.ANCHORARRAY(A17),0,7)),0)</f>
        <v>297.88345120000002</v>
      </c>
      <c r="H15" s="121">
        <f>IFERROR(SUM(INDEX(_xlfn.ANCHORARRAY(A17),0,8)),0)</f>
        <v>97.909555605263719</v>
      </c>
      <c r="I15" s="121">
        <f>SQRT(G15^2+H15^2)</f>
        <v>313.56152757894745</v>
      </c>
      <c r="J15" s="121">
        <f>I15/(SQRT(3)*Uн_лин)</f>
        <v>452.58708088803894</v>
      </c>
    </row>
    <row r="16" spans="1:12" ht="201.6" x14ac:dyDescent="0.3">
      <c r="A16" s="122"/>
      <c r="B16" s="120" t="s">
        <v>1741</v>
      </c>
      <c r="C16" s="121" cm="1">
        <f t="array" ref="C16:J16">_xlfn.LET(_xlpm.щит_,$C$4,_xlpm.pth,Линии[_путь щита],_xlpm.m0,--ISNUMBER(SEARCH("|"&amp;_xlpm.щит_&amp;"|",_xlpm.pth))*(Линии[Номер линии]&lt;&gt;""),_xlpm.ch,IFERROR(_xlfn.TEXTBEFORE(_xlfn.TEXTAFTER(_xlpm.pth,"|"&amp;_xlpm.щит_&amp;"|"),"|"),""),_xlpm.src,IF(_xlpm.ch="",Линии[Источник для режимов],_xlfn.XLOOKUP(_xlpm.ch,Щиты[Щит],Щиты[Источник фидера],"Ввод 1")),_xlpm.fire,IF(_xlpm.ch="",Линии[Пожарная (итог)],IF(_xlfn.XLOOKUP(_xlpm.ch,Щиты[Щит],Щиты[Пожарный фидер],"нет")="да","да",Линии[Пожарная (итог)])),_xlpm.m,_xlpm.m0*(_xlpm.fire="нет")*IF($C$5="Весь щит",1,_xlpm.src=("Ввод "&amp;RIGHT($C$5,1))),_xlpm.byt,SUM(_xlpm.m*Линии[_Руст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cs_,IF(_xlpm.pw=0,0.95,_xlpm.pc/_xlpm.pw),_xlpm.pr,k_пк*_xlpm.byt*_xlpm.kc+_xlpm.ko*_xlpm.sil+_xlpm.post+_xlpm.otop+_xlpm.vng,_xlpm.qv_,_xlpm.pr*TAN(ACOS(_xlpm.cs_)),_xlfn.HSTACK(_xlpm.pall,IF(_xlpm.pall=0,0,_xlpm.pr/_xlpm.pall),_xlpm.cs_,TAN(ACOS(_xlpm.cs_)),_xlpm.pr,_xlpm.qv_,SQRT(_xlpm.pr^2+_xlpm.qv_^2),SQRT(_xlpm.pr^2+_xlpm.qv_^2)/(SQRT(3)*Uн_лин)))</f>
        <v>524.68100000000049</v>
      </c>
      <c r="D16" s="121">
        <v>0.52384563420440133</v>
      </c>
      <c r="E16" s="121">
        <v>0.94999999999999873</v>
      </c>
      <c r="F16" s="121">
        <v>0.32868410517886743</v>
      </c>
      <c r="G16" s="121">
        <v>274.85185119999977</v>
      </c>
      <c r="H16" s="121">
        <v>90.339434768427139</v>
      </c>
      <c r="I16" s="121">
        <v>289.31773810526329</v>
      </c>
      <c r="J16" s="121">
        <v>417.59418494101851</v>
      </c>
    </row>
    <row r="17" spans="1:10" x14ac:dyDescent="0.3">
      <c r="A17" s="7" cm="1">
        <f t="array" ref="A17:J26">_xlfn.LET(_xlpm.щит_,$C$4,_xlpm.pth,Линии[_путь щита],_xlpm.m0,--ISNUMBER(SEARCH("|"&amp;_xlpm.щит_&amp;"|",_xlpm.pth))*(Линии[Номер линии]&lt;&gt;""),_xlpm.ch,IFERROR(_xlfn.TEXTBEFORE(_xlfn.TEXTAFTER(_xlpm.pth,"|"&amp;_xlpm.щит_&amp;"|"),"|"),""),_xlpm.src,IF(_xlpm.ch="",Линии[Источник для режимов],_xlfn.XLOOKUP(_xlpm.ch,Щиты[Щит],Щиты[Источник фидера],"Ввод 1")),_xlpm.fire,IF(_xlpm.ch="",Линии[Пожарная (итог)],IF(_xlfn.XLOOKUP(_xlpm.ch,Щиты[Щит],Щиты[Пожарный фидер],"нет")="да","да",Линии[Пожарная (итог)])),_xlpm.m,_xlpm.m0*(_xlpm.fire="нет")*IF($C$5="Весь щит",1,_xlpm.src=("Ввод "&amp;RIGHT($C$5,1))),_xlpm.byt,SUM(_xlpm.m*Линии[_Руст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2026",IF(AND(_xlpm.byt&gt;0,_xlpm.sil&gt;0),Ко_сил,1),Ко_сил),_xlpm.cs_,IF(_xlpm.pw=0,0.95,_xlpm.pc/_xlpm.pw),_xlpm.kinds,_xlfn.UNIQUE(_xlfn._xlws.FILTER(Линии[Вид нагрузки (итог)],_xlpm.m,"")),_xlpm.rows,_xlfn.REDUCE("",_xlpm.kinds,_xlfn.LAMBDA(_xlpm.acc,_xlpm.k,_xlfn.LET(_xlpm.mk,_xlpm.m*(Линии[Вид нагрузки (итог)]=_xlpm.k),_xlpm.bb_,SUM(_xlpm.mk*Линии[_Руст быт]),_xlpm.ss_,SUM(_xlpm.mk*Линии[_Рр сил]),_xlpm.pp_,SUM(_xlpm.mk*Линии[_Руст пост]),_xlpm.oo_,SUM(_xlpm.mk*Линии[_Р отопления]),_xlpm.vv_,SUM(_xlpm.mk*Линии[_Рр ВНГ]),_xlpm.aa_,SUM(_xlpm.mk*Линии[_Руст (без Нет)]),_xlpm.ww_,SUM(_xlpm.mk*Линии[_P для cos]),_xlpm.cc_,SUM(_xlpm.mk*Линии[_P·cos]),_xlpm.cs,IF(_xlpm.ww_=0,0.95,_xlpm.cc_/_xlpm.ww_),_xlpm.prr_,k_пк*_xlpm.bb_*_xlpm.kc+_xlpm.ss_+_xlpm.pp_+_xlpm.oo_+_xlpm.vv_,_xlpm.qq_,_xlpm.prr_*TAN(ACOS(_xlpm.cs)),_xlfn.VSTACK(_xlpm.acc,_xlfn.HSTACK(_xlpm.k,_xlpm.aa_,IF(_xlpm.aa_=0,0,_xlpm.prr_/_xlpm.aa_),_xlpm.cs,TAN(ACOS(_xlpm.cs)),_xlpm.prr_,_xlpm.qq_,SQRT(_xlpm.prr_^2+_xlpm.qq_^2),SQRT(_xlpm.prr_^2+_xlpm.qq_^2)/(SQRT(3)*Uн_лин)))))),_xlpm.b0,_xlfn.DROP(_xlpm.rows,1),_xlpm.body,_xlfn._xlws.FILTER(_xlpm.b0,(_xlfn.CHOOSECOLS(_xlpm.b0,2)&lt;&gt;0)+(_xlfn.CHOOSECOLS(_xlpm.b0,6)&lt;&gt;0),_xlpm.b0),_xlfn.HSTACK(_xlfn.SEQUENCE(ROWS(_xlpm.body)),_xlpm.body))</f>
        <v>1</v>
      </c>
      <c r="B17" t="str">
        <v>Вентиляция</v>
      </c>
      <c r="C17" s="6">
        <v>29.240000000000002</v>
      </c>
      <c r="D17" s="6">
        <v>0.5</v>
      </c>
      <c r="E17" s="6">
        <v>0.94999999999999962</v>
      </c>
      <c r="F17" s="6">
        <v>0.32868410517886448</v>
      </c>
      <c r="G17" s="6">
        <v>14.620000000000001</v>
      </c>
      <c r="H17" s="6">
        <v>4.8053616177149987</v>
      </c>
      <c r="I17" s="6">
        <v>15.389473684210534</v>
      </c>
      <c r="J17" s="6">
        <v>22.212791935664033</v>
      </c>
    </row>
    <row r="18" spans="1:10" x14ac:dyDescent="0.3">
      <c r="A18" s="7">
        <v>2</v>
      </c>
      <c r="B18" t="str">
        <v>Бассейн, SPA, хаммам</v>
      </c>
      <c r="C18" s="6">
        <v>67.989999999999995</v>
      </c>
      <c r="D18" s="6">
        <v>0.43675540520664813</v>
      </c>
      <c r="E18" s="6">
        <v>0.95</v>
      </c>
      <c r="F18" s="6">
        <v>0.32868410517886321</v>
      </c>
      <c r="G18" s="6">
        <v>29.695000000000004</v>
      </c>
      <c r="H18" s="6">
        <v>9.7602745032863449</v>
      </c>
      <c r="I18" s="6">
        <v>31.257894736842111</v>
      </c>
      <c r="J18" s="6">
        <v>45.116884851541947</v>
      </c>
    </row>
    <row r="19" spans="1:10" x14ac:dyDescent="0.3">
      <c r="A19" s="7">
        <v>3</v>
      </c>
      <c r="B19" t="str">
        <v>Насосы (водоснабжение, дренаж)</v>
      </c>
      <c r="C19" s="6">
        <v>9.8999999999999986</v>
      </c>
      <c r="D19" s="6">
        <v>0.62323232323232336</v>
      </c>
      <c r="E19" s="6">
        <v>0.95000000000000029</v>
      </c>
      <c r="F19" s="6">
        <v>0.32868410517886198</v>
      </c>
      <c r="G19" s="6">
        <v>6.17</v>
      </c>
      <c r="H19" s="6">
        <v>2.0279809289535784</v>
      </c>
      <c r="I19" s="6">
        <v>6.4947368421052616</v>
      </c>
      <c r="J19" s="6">
        <v>9.3743451602631325</v>
      </c>
    </row>
    <row r="20" spans="1:10" x14ac:dyDescent="0.3">
      <c r="A20" s="7">
        <v>4</v>
      </c>
      <c r="B20" t="str">
        <v>Обогрев водостоков и кровли</v>
      </c>
      <c r="C20" s="6">
        <v>16.439999999999998</v>
      </c>
      <c r="D20" s="6">
        <v>1</v>
      </c>
      <c r="E20" s="6">
        <v>0.95000000000000007</v>
      </c>
      <c r="F20" s="6">
        <v>0.32868410517886271</v>
      </c>
      <c r="G20" s="6">
        <v>16.439999999999998</v>
      </c>
      <c r="H20" s="6">
        <v>5.4035666891405025</v>
      </c>
      <c r="I20" s="6">
        <v>17.305263157894732</v>
      </c>
      <c r="J20" s="6">
        <v>24.977995856519591</v>
      </c>
    </row>
    <row r="21" spans="1:10" x14ac:dyDescent="0.3">
      <c r="A21" s="7">
        <v>5</v>
      </c>
      <c r="B21" t="str">
        <v>Технология пищеприготовления</v>
      </c>
      <c r="C21" s="6">
        <v>103.95</v>
      </c>
      <c r="D21" s="6">
        <v>0.7</v>
      </c>
      <c r="E21" s="6">
        <v>0.95</v>
      </c>
      <c r="F21" s="6">
        <v>0.32868410517886321</v>
      </c>
      <c r="G21" s="6">
        <v>72.765000000000001</v>
      </c>
      <c r="H21" s="6">
        <v>23.916698913339982</v>
      </c>
      <c r="I21" s="6">
        <v>76.594736842105263</v>
      </c>
      <c r="J21" s="6">
        <v>110.55497983574504</v>
      </c>
    </row>
    <row r="22" spans="1:10" x14ac:dyDescent="0.3">
      <c r="A22" s="7">
        <v>6</v>
      </c>
      <c r="B22" t="str">
        <v>Системы безопасности и связи</v>
      </c>
      <c r="C22" s="6">
        <v>2.4000000000000004</v>
      </c>
      <c r="D22" s="6">
        <v>1</v>
      </c>
      <c r="E22" s="6">
        <v>0.94999999999999973</v>
      </c>
      <c r="F22" s="6">
        <v>0.32868410517886398</v>
      </c>
      <c r="G22" s="6">
        <v>2.4000000000000004</v>
      </c>
      <c r="H22" s="6">
        <v>0.78884185242927363</v>
      </c>
      <c r="I22" s="6">
        <v>2.526315789473685</v>
      </c>
      <c r="J22" s="6">
        <v>3.6464227527765849</v>
      </c>
    </row>
    <row r="23" spans="1:10" x14ac:dyDescent="0.3">
      <c r="A23" s="7">
        <v>7</v>
      </c>
      <c r="B23" t="str">
        <v>Рабочее освещение</v>
      </c>
      <c r="C23" s="6">
        <v>1.9000000000000006</v>
      </c>
      <c r="D23" s="6">
        <v>0.47592000000000001</v>
      </c>
      <c r="E23" s="6">
        <v>0.94999999999999951</v>
      </c>
      <c r="F23" s="6">
        <v>0.32868410517886471</v>
      </c>
      <c r="G23" s="6">
        <v>0.90424800000000027</v>
      </c>
      <c r="H23" s="6">
        <v>0.29721194473977813</v>
      </c>
      <c r="I23" s="6">
        <v>0.9518400000000008</v>
      </c>
      <c r="J23" s="6">
        <v>1.3738627005636346</v>
      </c>
    </row>
    <row r="24" spans="1:10" x14ac:dyDescent="0.3">
      <c r="A24" s="7">
        <v>8</v>
      </c>
      <c r="B24" t="str">
        <v>Кондиционирование и увлажнение</v>
      </c>
      <c r="C24" s="6">
        <v>213.23600000000019</v>
      </c>
      <c r="D24" s="6">
        <v>0.5</v>
      </c>
      <c r="E24" s="6">
        <v>0.94999999999999962</v>
      </c>
      <c r="F24" s="6">
        <v>0.32868410517886448</v>
      </c>
      <c r="G24" s="6">
        <v>106.61800000000009</v>
      </c>
      <c r="H24" s="6">
        <v>35.043641925960202</v>
      </c>
      <c r="I24" s="6">
        <v>112.22947368421067</v>
      </c>
      <c r="J24" s="6">
        <v>161.98929210647265</v>
      </c>
    </row>
    <row r="25" spans="1:10" x14ac:dyDescent="0.3">
      <c r="A25" s="7">
        <v>9</v>
      </c>
      <c r="B25" t="str">
        <v>Розеточная сеть и бытовые приборы</v>
      </c>
      <c r="C25" s="6">
        <v>60.099999999999987</v>
      </c>
      <c r="D25" s="6">
        <v>0.47830620965058235</v>
      </c>
      <c r="E25" s="6">
        <v>0.95000000000000007</v>
      </c>
      <c r="F25" s="6">
        <v>0.32868410517886271</v>
      </c>
      <c r="G25" s="6">
        <v>28.746203199999993</v>
      </c>
      <c r="H25" s="6">
        <v>9.4484200760817583</v>
      </c>
      <c r="I25" s="6">
        <v>30.259161263157885</v>
      </c>
      <c r="J25" s="6">
        <v>43.675337251841256</v>
      </c>
    </row>
    <row r="26" spans="1:10" x14ac:dyDescent="0.3">
      <c r="A26" s="7">
        <v>10</v>
      </c>
      <c r="B26" t="str">
        <v>Слаботочные системы, автоматизация, KNX</v>
      </c>
      <c r="C26" s="6">
        <v>19.524999999999999</v>
      </c>
      <c r="D26" s="6">
        <v>1</v>
      </c>
      <c r="E26" s="6">
        <v>0.95000000000000018</v>
      </c>
      <c r="F26" s="6">
        <v>0.32868410517886248</v>
      </c>
      <c r="G26" s="6">
        <v>19.524999999999999</v>
      </c>
      <c r="H26" s="6">
        <v>6.41755715361729</v>
      </c>
      <c r="I26" s="6">
        <v>20.552631578947363</v>
      </c>
      <c r="J26" s="6">
        <v>29.665168436651157</v>
      </c>
    </row>
    <row r="27" spans="1:10" x14ac:dyDescent="0.3">
      <c r="A27" s="7"/>
      <c r="C27" s="6"/>
      <c r="D27" s="6"/>
      <c r="E27" s="6"/>
      <c r="F27" s="6"/>
      <c r="G27" s="6"/>
      <c r="H27" s="6"/>
      <c r="I27" s="6"/>
      <c r="J27" s="6"/>
    </row>
    <row r="28" spans="1:10" x14ac:dyDescent="0.3">
      <c r="A28" s="7"/>
      <c r="C28" s="6"/>
      <c r="D28" s="6"/>
      <c r="E28" s="6"/>
      <c r="F28" s="6"/>
      <c r="G28" s="6"/>
      <c r="H28" s="6"/>
      <c r="I28" s="6"/>
      <c r="J28" s="6"/>
    </row>
    <row r="29" spans="1:10" x14ac:dyDescent="0.3">
      <c r="A29" s="7"/>
      <c r="C29" s="6"/>
      <c r="D29" s="6"/>
      <c r="E29" s="6"/>
      <c r="F29" s="6"/>
      <c r="G29" s="6"/>
      <c r="H29" s="6"/>
      <c r="I29" s="6"/>
      <c r="J29" s="6"/>
    </row>
    <row r="30" spans="1:10" x14ac:dyDescent="0.3">
      <c r="A30" s="7"/>
      <c r="C30" s="6"/>
      <c r="D30" s="6"/>
      <c r="E30" s="6"/>
      <c r="F30" s="6"/>
      <c r="G30" s="6"/>
      <c r="H30" s="6"/>
      <c r="I30" s="6"/>
      <c r="J30" s="6"/>
    </row>
    <row r="31" spans="1:10" x14ac:dyDescent="0.3">
      <c r="A31" s="7"/>
      <c r="C31" s="6"/>
      <c r="D31" s="6"/>
      <c r="E31" s="6"/>
      <c r="F31" s="6"/>
      <c r="G31" s="6"/>
      <c r="H31" s="6"/>
      <c r="I31" s="6"/>
      <c r="J31" s="6"/>
    </row>
    <row r="32" spans="1:10" x14ac:dyDescent="0.3">
      <c r="A32" s="7"/>
      <c r="C32" s="6"/>
      <c r="D32" s="6"/>
      <c r="E32" s="6"/>
      <c r="F32" s="6"/>
      <c r="G32" s="6"/>
      <c r="H32" s="6"/>
      <c r="I32" s="6"/>
      <c r="J32" s="6"/>
    </row>
    <row r="33" spans="1:10" x14ac:dyDescent="0.3">
      <c r="A33" s="7"/>
      <c r="C33" s="6"/>
      <c r="D33" s="6"/>
      <c r="E33" s="6"/>
      <c r="F33" s="6"/>
      <c r="G33" s="6"/>
      <c r="H33" s="6"/>
      <c r="I33" s="6"/>
      <c r="J33" s="6"/>
    </row>
    <row r="34" spans="1:10" x14ac:dyDescent="0.3">
      <c r="A34" s="7"/>
      <c r="C34" s="6"/>
      <c r="D34" s="6"/>
      <c r="E34" s="6"/>
      <c r="F34" s="6"/>
      <c r="G34" s="6"/>
      <c r="H34" s="6"/>
      <c r="I34" s="6"/>
      <c r="J34" s="6"/>
    </row>
    <row r="35" spans="1:10" x14ac:dyDescent="0.3">
      <c r="A35" s="7"/>
      <c r="C35" s="6"/>
      <c r="D35" s="6"/>
      <c r="E35" s="6"/>
      <c r="F35" s="6"/>
      <c r="G35" s="6"/>
      <c r="H35" s="6"/>
      <c r="I35" s="6"/>
      <c r="J35" s="6"/>
    </row>
    <row r="36" spans="1:10" x14ac:dyDescent="0.3">
      <c r="A36" s="7"/>
      <c r="C36" s="6"/>
      <c r="D36" s="6"/>
      <c r="E36" s="6"/>
      <c r="F36" s="6"/>
      <c r="G36" s="6"/>
      <c r="H36" s="6"/>
      <c r="I36" s="6"/>
      <c r="J36" s="6"/>
    </row>
    <row r="37" spans="1:10" x14ac:dyDescent="0.3">
      <c r="A37" s="7"/>
      <c r="C37" s="6"/>
      <c r="D37" s="6"/>
      <c r="E37" s="6"/>
      <c r="F37" s="6"/>
      <c r="G37" s="6"/>
      <c r="H37" s="6"/>
      <c r="I37" s="6"/>
      <c r="J37" s="6"/>
    </row>
    <row r="38" spans="1:10" x14ac:dyDescent="0.3">
      <c r="A38" s="7"/>
      <c r="C38" s="6"/>
      <c r="D38" s="6"/>
      <c r="E38" s="6"/>
      <c r="F38" s="6"/>
      <c r="G38" s="6"/>
      <c r="H38" s="6"/>
      <c r="I38" s="6"/>
      <c r="J38" s="6"/>
    </row>
    <row r="39" spans="1:10" x14ac:dyDescent="0.3">
      <c r="A39" s="7"/>
      <c r="C39" s="6"/>
      <c r="D39" s="6"/>
      <c r="E39" s="6"/>
      <c r="F39" s="6"/>
      <c r="G39" s="6"/>
      <c r="H39" s="6"/>
      <c r="I39" s="6"/>
      <c r="J39" s="6"/>
    </row>
    <row r="40" spans="1:10" x14ac:dyDescent="0.3">
      <c r="A40" s="7"/>
      <c r="C40" s="6"/>
      <c r="D40" s="6"/>
      <c r="E40" s="6"/>
      <c r="F40" s="6"/>
      <c r="G40" s="6"/>
      <c r="H40" s="6"/>
      <c r="I40" s="6"/>
      <c r="J40" s="6"/>
    </row>
    <row r="41" spans="1:10" x14ac:dyDescent="0.3">
      <c r="A41" s="7"/>
      <c r="C41" s="6"/>
      <c r="D41" s="6"/>
      <c r="E41" s="6"/>
      <c r="F41" s="6"/>
      <c r="G41" s="6"/>
      <c r="H41" s="6"/>
      <c r="I41" s="6"/>
      <c r="J41" s="6"/>
    </row>
    <row r="42" spans="1:10" x14ac:dyDescent="0.3">
      <c r="A42" s="7"/>
      <c r="C42" s="6"/>
      <c r="D42" s="6"/>
      <c r="E42" s="6"/>
      <c r="F42" s="6"/>
      <c r="G42" s="6"/>
      <c r="H42" s="6"/>
      <c r="I42" s="6"/>
      <c r="J42" s="6"/>
    </row>
    <row r="43" spans="1:10" x14ac:dyDescent="0.3">
      <c r="A43" s="7"/>
      <c r="C43" s="6"/>
      <c r="D43" s="6"/>
      <c r="E43" s="6"/>
      <c r="F43" s="6"/>
      <c r="G43" s="6"/>
      <c r="H43" s="6"/>
      <c r="I43" s="6"/>
      <c r="J43" s="6"/>
    </row>
    <row r="44" spans="1:10" x14ac:dyDescent="0.3">
      <c r="A44" s="7"/>
      <c r="C44" s="6"/>
      <c r="D44" s="6"/>
      <c r="E44" s="6"/>
      <c r="F44" s="6"/>
      <c r="G44" s="6"/>
      <c r="H44" s="6"/>
      <c r="I44" s="6"/>
      <c r="J44" s="6"/>
    </row>
    <row r="45" spans="1:10" x14ac:dyDescent="0.3">
      <c r="A45" s="7"/>
      <c r="C45" s="6"/>
      <c r="D45" s="6"/>
      <c r="E45" s="6"/>
      <c r="F45" s="6"/>
      <c r="G45" s="6"/>
      <c r="H45" s="6"/>
      <c r="I45" s="6"/>
      <c r="J45" s="6"/>
    </row>
    <row r="46" spans="1:10" x14ac:dyDescent="0.3">
      <c r="A46" s="7"/>
      <c r="C46" s="6"/>
      <c r="D46" s="6"/>
      <c r="E46" s="6"/>
      <c r="F46" s="6"/>
      <c r="G46" s="6"/>
      <c r="H46" s="6"/>
      <c r="I46" s="6"/>
      <c r="J46" s="6"/>
    </row>
    <row r="47" spans="1:10" x14ac:dyDescent="0.3">
      <c r="A47" s="7"/>
      <c r="C47" s="6"/>
      <c r="D47" s="6"/>
      <c r="E47" s="6"/>
      <c r="F47" s="6"/>
      <c r="G47" s="6"/>
      <c r="H47" s="6"/>
      <c r="I47" s="6"/>
      <c r="J47" s="6"/>
    </row>
    <row r="48" spans="1:10" x14ac:dyDescent="0.3">
      <c r="A48" s="7"/>
      <c r="C48" s="6"/>
      <c r="D48" s="6"/>
      <c r="E48" s="6"/>
      <c r="F48" s="6"/>
      <c r="G48" s="6"/>
      <c r="H48" s="6"/>
      <c r="I48" s="6"/>
      <c r="J48" s="6"/>
    </row>
    <row r="49" spans="1:10" x14ac:dyDescent="0.3">
      <c r="A49" s="7"/>
      <c r="C49" s="6"/>
      <c r="D49" s="6"/>
      <c r="E49" s="6"/>
      <c r="F49" s="6"/>
      <c r="G49" s="6"/>
      <c r="H49" s="6"/>
      <c r="I49" s="6"/>
      <c r="J49" s="6"/>
    </row>
    <row r="50" spans="1:10" x14ac:dyDescent="0.3">
      <c r="A50" s="7"/>
      <c r="C50" s="6"/>
      <c r="D50" s="6"/>
      <c r="E50" s="6"/>
      <c r="F50" s="6"/>
      <c r="G50" s="6"/>
      <c r="H50" s="6"/>
      <c r="I50" s="6"/>
      <c r="J50" s="6"/>
    </row>
    <row r="51" spans="1:10" x14ac:dyDescent="0.3">
      <c r="A51" s="7"/>
      <c r="C51" s="6"/>
      <c r="D51" s="6"/>
      <c r="E51" s="6"/>
      <c r="F51" s="6"/>
      <c r="G51" s="6"/>
      <c r="H51" s="6"/>
      <c r="I51" s="6"/>
      <c r="J51" s="6"/>
    </row>
    <row r="52" spans="1:10" x14ac:dyDescent="0.3">
      <c r="A52" s="7"/>
      <c r="C52" s="6"/>
      <c r="D52" s="6"/>
      <c r="E52" s="6"/>
      <c r="F52" s="6"/>
      <c r="G52" s="6"/>
      <c r="H52" s="6"/>
      <c r="I52" s="6"/>
      <c r="J52" s="6"/>
    </row>
    <row r="53" spans="1:10" x14ac:dyDescent="0.3">
      <c r="A53" s="7"/>
      <c r="C53" s="6"/>
      <c r="D53" s="6"/>
      <c r="E53" s="6"/>
      <c r="F53" s="6"/>
      <c r="G53" s="6"/>
      <c r="H53" s="6"/>
      <c r="I53" s="6"/>
      <c r="J53" s="6"/>
    </row>
    <row r="54" spans="1:10" x14ac:dyDescent="0.3">
      <c r="A54" s="7"/>
      <c r="C54" s="6"/>
      <c r="D54" s="6"/>
      <c r="E54" s="6"/>
      <c r="F54" s="6"/>
      <c r="G54" s="6"/>
      <c r="H54" s="6"/>
      <c r="I54" s="6"/>
      <c r="J54" s="6"/>
    </row>
    <row r="55" spans="1:10" x14ac:dyDescent="0.3">
      <c r="A55" s="7"/>
      <c r="C55" s="6"/>
      <c r="D55" s="6"/>
      <c r="E55" s="6"/>
      <c r="F55" s="6"/>
      <c r="G55" s="6"/>
      <c r="H55" s="6"/>
      <c r="I55" s="6"/>
      <c r="J55" s="6"/>
    </row>
    <row r="56" spans="1:10" x14ac:dyDescent="0.3">
      <c r="A56" s="7"/>
      <c r="C56" s="6"/>
      <c r="D56" s="6"/>
      <c r="E56" s="6"/>
      <c r="F56" s="6"/>
      <c r="G56" s="6"/>
      <c r="H56" s="6"/>
      <c r="I56" s="6"/>
      <c r="J56" s="6"/>
    </row>
    <row r="57" spans="1:10" x14ac:dyDescent="0.3">
      <c r="A57" s="7"/>
      <c r="C57" s="6"/>
      <c r="D57" s="6"/>
      <c r="E57" s="6"/>
      <c r="F57" s="6"/>
      <c r="G57" s="6"/>
      <c r="H57" s="6"/>
      <c r="I57" s="6"/>
      <c r="J57" s="6"/>
    </row>
    <row r="58" spans="1:10" x14ac:dyDescent="0.3">
      <c r="A58" s="7"/>
      <c r="C58" s="6"/>
      <c r="D58" s="6"/>
      <c r="E58" s="6"/>
      <c r="F58" s="6"/>
      <c r="G58" s="6"/>
      <c r="H58" s="6"/>
      <c r="I58" s="6"/>
      <c r="J58" s="6"/>
    </row>
    <row r="59" spans="1:10" x14ac:dyDescent="0.3">
      <c r="A59" s="7"/>
      <c r="C59" s="6"/>
      <c r="D59" s="6"/>
      <c r="E59" s="6"/>
      <c r="F59" s="6"/>
      <c r="G59" s="6"/>
      <c r="H59" s="6"/>
      <c r="I59" s="6"/>
      <c r="J59" s="6"/>
    </row>
    <row r="60" spans="1:10" x14ac:dyDescent="0.3">
      <c r="A60" s="7"/>
      <c r="C60" s="6"/>
      <c r="D60" s="6"/>
      <c r="E60" s="6"/>
      <c r="F60" s="6"/>
      <c r="G60" s="6"/>
      <c r="H60" s="6"/>
      <c r="I60" s="6"/>
      <c r="J60" s="6"/>
    </row>
    <row r="61" spans="1:10" x14ac:dyDescent="0.3">
      <c r="A61" s="7"/>
      <c r="C61" s="6"/>
      <c r="D61" s="6"/>
      <c r="E61" s="6"/>
      <c r="F61" s="6"/>
      <c r="G61" s="6"/>
      <c r="H61" s="6"/>
      <c r="I61" s="6"/>
      <c r="J61" s="6"/>
    </row>
    <row r="62" spans="1:10" x14ac:dyDescent="0.3">
      <c r="A62" s="7"/>
      <c r="C62" s="6"/>
      <c r="D62" s="6"/>
      <c r="E62" s="6"/>
      <c r="F62" s="6"/>
      <c r="G62" s="6"/>
      <c r="H62" s="6"/>
      <c r="I62" s="6"/>
      <c r="J62" s="6"/>
    </row>
    <row r="63" spans="1:10" x14ac:dyDescent="0.3">
      <c r="A63" s="7"/>
      <c r="C63" s="6"/>
      <c r="D63" s="6"/>
      <c r="E63" s="6"/>
      <c r="F63" s="6"/>
      <c r="G63" s="6"/>
      <c r="H63" s="6"/>
      <c r="I63" s="6"/>
      <c r="J63" s="6"/>
    </row>
    <row r="64" spans="1:10" x14ac:dyDescent="0.3">
      <c r="A64" s="7"/>
      <c r="C64" s="6"/>
      <c r="D64" s="6"/>
      <c r="E64" s="6"/>
      <c r="F64" s="6"/>
      <c r="G64" s="6"/>
      <c r="H64" s="6"/>
      <c r="I64" s="6"/>
      <c r="J64" s="6"/>
    </row>
    <row r="65" spans="1:10" x14ac:dyDescent="0.3">
      <c r="A65" s="7"/>
      <c r="C65" s="6"/>
      <c r="D65" s="6"/>
      <c r="E65" s="6"/>
      <c r="F65" s="6"/>
      <c r="G65" s="6"/>
      <c r="H65" s="6"/>
      <c r="I65" s="6"/>
      <c r="J65" s="6"/>
    </row>
    <row r="66" spans="1:10" x14ac:dyDescent="0.3">
      <c r="A66" s="7"/>
      <c r="C66" s="6"/>
      <c r="D66" s="6"/>
      <c r="E66" s="6"/>
      <c r="F66" s="6"/>
      <c r="G66" s="6"/>
      <c r="H66" s="6"/>
      <c r="I66" s="6"/>
      <c r="J66" s="6"/>
    </row>
    <row r="67" spans="1:10" x14ac:dyDescent="0.3">
      <c r="A67" s="7"/>
      <c r="C67" s="6"/>
      <c r="D67" s="6"/>
      <c r="E67" s="6"/>
      <c r="F67" s="6"/>
      <c r="G67" s="6"/>
      <c r="H67" s="6"/>
      <c r="I67" s="6"/>
      <c r="J67" s="6"/>
    </row>
    <row r="68" spans="1:10" x14ac:dyDescent="0.3">
      <c r="A68" s="7"/>
      <c r="C68" s="6"/>
      <c r="D68" s="6"/>
      <c r="E68" s="6"/>
      <c r="F68" s="6"/>
      <c r="G68" s="6"/>
      <c r="H68" s="6"/>
      <c r="I68" s="6"/>
      <c r="J68" s="6"/>
    </row>
    <row r="69" spans="1:10" x14ac:dyDescent="0.3">
      <c r="A69" s="7"/>
      <c r="C69" s="6"/>
      <c r="D69" s="6"/>
      <c r="E69" s="6"/>
      <c r="F69" s="6"/>
      <c r="G69" s="6"/>
      <c r="H69" s="6"/>
      <c r="I69" s="6"/>
      <c r="J69" s="6"/>
    </row>
    <row r="70" spans="1:10" x14ac:dyDescent="0.3">
      <c r="A70" s="7"/>
      <c r="C70" s="6"/>
      <c r="D70" s="6"/>
      <c r="E70" s="6"/>
      <c r="F70" s="6"/>
      <c r="G70" s="6"/>
      <c r="H70" s="6"/>
      <c r="I70" s="6"/>
      <c r="J70" s="6"/>
    </row>
    <row r="71" spans="1:10" x14ac:dyDescent="0.3">
      <c r="A71" s="7"/>
      <c r="C71" s="6"/>
      <c r="D71" s="6"/>
      <c r="E71" s="6"/>
      <c r="F71" s="6"/>
      <c r="G71" s="6"/>
      <c r="H71" s="6"/>
      <c r="I71" s="6"/>
      <c r="J71" s="6"/>
    </row>
    <row r="72" spans="1:10" x14ac:dyDescent="0.3">
      <c r="A72" s="7"/>
      <c r="C72" s="6"/>
      <c r="D72" s="6"/>
      <c r="E72" s="6"/>
      <c r="F72" s="6"/>
      <c r="G72" s="6"/>
      <c r="H72" s="6"/>
      <c r="I72" s="6"/>
      <c r="J72" s="6"/>
    </row>
    <row r="73" spans="1:10" x14ac:dyDescent="0.3">
      <c r="A73" s="7"/>
      <c r="C73" s="6"/>
      <c r="D73" s="6"/>
      <c r="E73" s="6"/>
      <c r="F73" s="6"/>
      <c r="G73" s="6"/>
      <c r="H73" s="6"/>
      <c r="I73" s="6"/>
      <c r="J73" s="6"/>
    </row>
    <row r="74" spans="1:10" x14ac:dyDescent="0.3">
      <c r="A74" s="7"/>
      <c r="C74" s="6"/>
      <c r="D74" s="6"/>
      <c r="E74" s="6"/>
      <c r="F74" s="6"/>
      <c r="G74" s="6"/>
      <c r="H74" s="6"/>
      <c r="I74" s="6"/>
      <c r="J74" s="6"/>
    </row>
    <row r="75" spans="1:10" x14ac:dyDescent="0.3">
      <c r="A75" s="7"/>
      <c r="C75" s="6"/>
      <c r="D75" s="6"/>
      <c r="E75" s="6"/>
      <c r="F75" s="6"/>
      <c r="G75" s="6"/>
      <c r="H75" s="6"/>
      <c r="I75" s="6"/>
      <c r="J75" s="6"/>
    </row>
    <row r="76" spans="1:10" x14ac:dyDescent="0.3">
      <c r="A76" s="7"/>
      <c r="C76" s="6"/>
      <c r="D76" s="6"/>
      <c r="E76" s="6"/>
      <c r="F76" s="6"/>
      <c r="G76" s="6"/>
      <c r="H76" s="6"/>
      <c r="I76" s="6"/>
      <c r="J76" s="6"/>
    </row>
    <row r="77" spans="1:10" x14ac:dyDescent="0.3">
      <c r="A77" s="7"/>
      <c r="C77" s="6"/>
      <c r="D77" s="6"/>
      <c r="E77" s="6"/>
      <c r="F77" s="6"/>
      <c r="G77" s="6"/>
      <c r="H77" s="6"/>
      <c r="I77" s="6"/>
      <c r="J77" s="6"/>
    </row>
    <row r="78" spans="1:10" x14ac:dyDescent="0.3">
      <c r="A78" s="7"/>
      <c r="C78" s="6"/>
      <c r="D78" s="6"/>
      <c r="E78" s="6"/>
      <c r="F78" s="6"/>
      <c r="G78" s="6"/>
      <c r="H78" s="6"/>
      <c r="I78" s="6"/>
      <c r="J78" s="6"/>
    </row>
    <row r="79" spans="1:10" x14ac:dyDescent="0.3">
      <c r="A79" s="7"/>
      <c r="C79" s="6"/>
      <c r="D79" s="6"/>
      <c r="E79" s="6"/>
      <c r="F79" s="6"/>
      <c r="G79" s="6"/>
      <c r="H79" s="6"/>
      <c r="I79" s="6"/>
      <c r="J79" s="6"/>
    </row>
    <row r="80" spans="1:10" x14ac:dyDescent="0.3">
      <c r="A80" s="7"/>
      <c r="C80" s="6"/>
      <c r="D80" s="6"/>
      <c r="E80" s="6"/>
      <c r="F80" s="6"/>
      <c r="G80" s="6"/>
      <c r="H80" s="6"/>
      <c r="I80" s="6"/>
      <c r="J80" s="6"/>
    </row>
    <row r="81" spans="1:10" x14ac:dyDescent="0.3">
      <c r="A81" s="7"/>
      <c r="C81" s="6"/>
      <c r="D81" s="6"/>
      <c r="E81" s="6"/>
      <c r="F81" s="6"/>
      <c r="G81" s="6"/>
      <c r="H81" s="6"/>
      <c r="I81" s="6"/>
      <c r="J81" s="6"/>
    </row>
    <row r="82" spans="1:10" x14ac:dyDescent="0.3">
      <c r="A82" s="7"/>
      <c r="C82" s="6"/>
      <c r="D82" s="6"/>
      <c r="E82" s="6"/>
      <c r="F82" s="6"/>
      <c r="G82" s="6"/>
      <c r="H82" s="6"/>
      <c r="I82" s="6"/>
      <c r="J82" s="6"/>
    </row>
    <row r="83" spans="1:10" x14ac:dyDescent="0.3">
      <c r="A83" s="7"/>
      <c r="C83" s="6"/>
      <c r="D83" s="6"/>
      <c r="E83" s="6"/>
      <c r="F83" s="6"/>
      <c r="G83" s="6"/>
      <c r="H83" s="6"/>
      <c r="I83" s="6"/>
      <c r="J83" s="6"/>
    </row>
    <row r="84" spans="1:10" x14ac:dyDescent="0.3">
      <c r="A84" s="7"/>
      <c r="C84" s="6"/>
      <c r="D84" s="6"/>
      <c r="E84" s="6"/>
      <c r="F84" s="6"/>
      <c r="G84" s="6"/>
      <c r="H84" s="6"/>
      <c r="I84" s="6"/>
      <c r="J84" s="6"/>
    </row>
    <row r="85" spans="1:10" x14ac:dyDescent="0.3">
      <c r="A85" s="7"/>
      <c r="C85" s="6"/>
      <c r="D85" s="6"/>
      <c r="E85" s="6"/>
      <c r="F85" s="6"/>
      <c r="G85" s="6"/>
      <c r="H85" s="6"/>
      <c r="I85" s="6"/>
      <c r="J85" s="6"/>
    </row>
    <row r="86" spans="1:10" x14ac:dyDescent="0.3">
      <c r="A86" s="7"/>
      <c r="C86" s="6"/>
      <c r="D86" s="6"/>
      <c r="E86" s="6"/>
      <c r="F86" s="6"/>
      <c r="G86" s="6"/>
      <c r="H86" s="6"/>
      <c r="I86" s="6"/>
      <c r="J86" s="6"/>
    </row>
    <row r="87" spans="1:10" x14ac:dyDescent="0.3">
      <c r="A87" s="7"/>
      <c r="C87" s="6"/>
      <c r="D87" s="6"/>
      <c r="E87" s="6"/>
      <c r="F87" s="6"/>
      <c r="G87" s="6"/>
      <c r="H87" s="6"/>
      <c r="I87" s="6"/>
      <c r="J87" s="6"/>
    </row>
    <row r="88" spans="1:10" x14ac:dyDescent="0.3">
      <c r="A88" s="7"/>
      <c r="C88" s="6"/>
      <c r="D88" s="6"/>
      <c r="E88" s="6"/>
      <c r="F88" s="6"/>
      <c r="G88" s="6"/>
      <c r="H88" s="6"/>
      <c r="I88" s="6"/>
      <c r="J88" s="6"/>
    </row>
    <row r="89" spans="1:10" x14ac:dyDescent="0.3">
      <c r="A89" s="7"/>
      <c r="C89" s="6"/>
      <c r="D89" s="6"/>
      <c r="E89" s="6"/>
      <c r="F89" s="6"/>
      <c r="G89" s="6"/>
      <c r="H89" s="6"/>
      <c r="I89" s="6"/>
      <c r="J89" s="6"/>
    </row>
    <row r="90" spans="1:10" x14ac:dyDescent="0.3">
      <c r="A90" s="7"/>
      <c r="C90" s="6"/>
      <c r="D90" s="6"/>
      <c r="E90" s="6"/>
      <c r="F90" s="6"/>
      <c r="G90" s="6"/>
      <c r="H90" s="6"/>
      <c r="I90" s="6"/>
      <c r="J90" s="6"/>
    </row>
    <row r="91" spans="1:10" x14ac:dyDescent="0.3">
      <c r="A91" s="7"/>
      <c r="C91" s="6"/>
      <c r="D91" s="6"/>
      <c r="E91" s="6"/>
      <c r="F91" s="6"/>
      <c r="G91" s="6"/>
      <c r="H91" s="6"/>
      <c r="I91" s="6"/>
      <c r="J91" s="6"/>
    </row>
    <row r="92" spans="1:10" x14ac:dyDescent="0.3">
      <c r="A92" s="7"/>
      <c r="C92" s="6"/>
      <c r="D92" s="6"/>
      <c r="E92" s="6"/>
      <c r="F92" s="6"/>
      <c r="G92" s="6"/>
      <c r="H92" s="6"/>
      <c r="I92" s="6"/>
      <c r="J92" s="6"/>
    </row>
    <row r="93" spans="1:10" x14ac:dyDescent="0.3">
      <c r="A93" s="7"/>
      <c r="C93" s="6"/>
      <c r="D93" s="6"/>
      <c r="E93" s="6"/>
      <c r="F93" s="6"/>
      <c r="G93" s="6"/>
      <c r="H93" s="6"/>
      <c r="I93" s="6"/>
      <c r="J93" s="6"/>
    </row>
    <row r="94" spans="1:10" x14ac:dyDescent="0.3">
      <c r="A94" s="7"/>
      <c r="C94" s="6"/>
      <c r="D94" s="6"/>
      <c r="E94" s="6"/>
      <c r="F94" s="6"/>
      <c r="G94" s="6"/>
      <c r="H94" s="6"/>
      <c r="I94" s="6"/>
      <c r="J94" s="6"/>
    </row>
    <row r="95" spans="1:10" x14ac:dyDescent="0.3">
      <c r="A95" s="7"/>
      <c r="C95" s="6"/>
      <c r="D95" s="6"/>
      <c r="E95" s="6"/>
      <c r="F95" s="6"/>
      <c r="G95" s="6"/>
      <c r="H95" s="6"/>
      <c r="I95" s="6"/>
      <c r="J95" s="6"/>
    </row>
    <row r="96" spans="1:10" x14ac:dyDescent="0.3">
      <c r="A96" s="7"/>
      <c r="C96" s="6"/>
      <c r="D96" s="6"/>
      <c r="E96" s="6"/>
      <c r="F96" s="6"/>
      <c r="G96" s="6"/>
      <c r="H96" s="6"/>
      <c r="I96" s="6"/>
      <c r="J96" s="6"/>
    </row>
    <row r="97" spans="1:10" x14ac:dyDescent="0.3">
      <c r="A97" s="7"/>
      <c r="C97" s="6"/>
      <c r="D97" s="6"/>
      <c r="E97" s="6"/>
      <c r="F97" s="6"/>
      <c r="G97" s="6"/>
      <c r="H97" s="6"/>
      <c r="I97" s="6"/>
      <c r="J97" s="6"/>
    </row>
    <row r="98" spans="1:10" x14ac:dyDescent="0.3">
      <c r="A98" s="7"/>
      <c r="C98" s="6"/>
      <c r="D98" s="6"/>
      <c r="E98" s="6"/>
      <c r="F98" s="6"/>
      <c r="G98" s="6"/>
      <c r="H98" s="6"/>
      <c r="I98" s="6"/>
      <c r="J98" s="6"/>
    </row>
    <row r="99" spans="1:10" x14ac:dyDescent="0.3">
      <c r="A99" s="7"/>
      <c r="C99" s="6"/>
      <c r="D99" s="6"/>
      <c r="E99" s="6"/>
      <c r="F99" s="6"/>
      <c r="G99" s="6"/>
      <c r="H99" s="6"/>
      <c r="I99" s="6"/>
      <c r="J99" s="6"/>
    </row>
    <row r="100" spans="1:10" x14ac:dyDescent="0.3">
      <c r="A100" s="7"/>
      <c r="C100" s="6"/>
      <c r="D100" s="6"/>
      <c r="E100" s="6"/>
      <c r="F100" s="6"/>
      <c r="G100" s="6"/>
      <c r="H100" s="6"/>
      <c r="I100" s="6"/>
      <c r="J100" s="6"/>
    </row>
    <row r="101" spans="1:10" x14ac:dyDescent="0.3">
      <c r="A101" s="7"/>
      <c r="C101" s="6"/>
      <c r="D101" s="6"/>
      <c r="E101" s="6"/>
      <c r="F101" s="6"/>
      <c r="G101" s="6"/>
      <c r="H101" s="6"/>
      <c r="I101" s="6"/>
      <c r="J101" s="6"/>
    </row>
    <row r="102" spans="1:10" x14ac:dyDescent="0.3">
      <c r="A102" s="7"/>
      <c r="C102" s="6"/>
      <c r="D102" s="6"/>
      <c r="E102" s="6"/>
      <c r="F102" s="6"/>
      <c r="G102" s="6"/>
      <c r="H102" s="6"/>
      <c r="I102" s="6"/>
      <c r="J102" s="6"/>
    </row>
    <row r="103" spans="1:10" x14ac:dyDescent="0.3">
      <c r="A103" s="7"/>
      <c r="C103" s="6"/>
      <c r="D103" s="6"/>
      <c r="E103" s="6"/>
      <c r="F103" s="6"/>
      <c r="G103" s="6"/>
      <c r="H103" s="6"/>
      <c r="I103" s="6"/>
      <c r="J103" s="6"/>
    </row>
    <row r="104" spans="1:10" x14ac:dyDescent="0.3">
      <c r="A104" s="7"/>
      <c r="C104" s="6"/>
      <c r="D104" s="6"/>
      <c r="E104" s="6"/>
      <c r="F104" s="6"/>
      <c r="G104" s="6"/>
      <c r="H104" s="6"/>
      <c r="I104" s="6"/>
      <c r="J104" s="6"/>
    </row>
    <row r="105" spans="1:10" x14ac:dyDescent="0.3">
      <c r="A105" s="7"/>
      <c r="C105" s="6"/>
      <c r="D105" s="6"/>
      <c r="E105" s="6"/>
      <c r="F105" s="6"/>
      <c r="G105" s="6"/>
      <c r="H105" s="6"/>
      <c r="I105" s="6"/>
      <c r="J105" s="6"/>
    </row>
    <row r="106" spans="1:10" x14ac:dyDescent="0.3">
      <c r="A106" s="7"/>
      <c r="C106" s="6"/>
      <c r="D106" s="6"/>
      <c r="E106" s="6"/>
      <c r="F106" s="6"/>
      <c r="G106" s="6"/>
      <c r="H106" s="6"/>
      <c r="I106" s="6"/>
      <c r="J106" s="6"/>
    </row>
    <row r="107" spans="1:10" x14ac:dyDescent="0.3">
      <c r="A107" s="7"/>
      <c r="C107" s="6"/>
      <c r="D107" s="6"/>
      <c r="E107" s="6"/>
      <c r="F107" s="6"/>
      <c r="G107" s="6"/>
      <c r="H107" s="6"/>
      <c r="I107" s="6"/>
      <c r="J107" s="6"/>
    </row>
    <row r="108" spans="1:10" x14ac:dyDescent="0.3">
      <c r="A108" s="7"/>
      <c r="C108" s="6"/>
      <c r="D108" s="6"/>
      <c r="E108" s="6"/>
      <c r="F108" s="6"/>
      <c r="G108" s="6"/>
      <c r="H108" s="6"/>
      <c r="I108" s="6"/>
      <c r="J108" s="6"/>
    </row>
    <row r="109" spans="1:10" x14ac:dyDescent="0.3">
      <c r="A109" s="7"/>
      <c r="C109" s="6"/>
      <c r="D109" s="6"/>
      <c r="E109" s="6"/>
      <c r="F109" s="6"/>
      <c r="G109" s="6"/>
      <c r="H109" s="6"/>
      <c r="I109" s="6"/>
      <c r="J109" s="6"/>
    </row>
    <row r="110" spans="1:10" x14ac:dyDescent="0.3">
      <c r="A110" s="7"/>
      <c r="C110" s="6"/>
      <c r="D110" s="6"/>
      <c r="E110" s="6"/>
      <c r="F110" s="6"/>
      <c r="G110" s="6"/>
      <c r="H110" s="6"/>
      <c r="I110" s="6"/>
      <c r="J110" s="6"/>
    </row>
    <row r="111" spans="1:10" x14ac:dyDescent="0.3">
      <c r="A111" s="7"/>
      <c r="C111" s="6"/>
      <c r="D111" s="6"/>
      <c r="E111" s="6"/>
      <c r="F111" s="6"/>
      <c r="G111" s="6"/>
      <c r="H111" s="6"/>
      <c r="I111" s="6"/>
      <c r="J111" s="6"/>
    </row>
    <row r="112" spans="1:10" x14ac:dyDescent="0.3">
      <c r="A112" s="7"/>
      <c r="C112" s="6"/>
      <c r="D112" s="6"/>
      <c r="E112" s="6"/>
      <c r="F112" s="6"/>
      <c r="G112" s="6"/>
      <c r="H112" s="6"/>
      <c r="I112" s="6"/>
      <c r="J112" s="6"/>
    </row>
    <row r="113" spans="1:10" x14ac:dyDescent="0.3">
      <c r="A113" s="7"/>
      <c r="C113" s="6"/>
      <c r="D113" s="6"/>
      <c r="E113" s="6"/>
      <c r="F113" s="6"/>
      <c r="G113" s="6"/>
      <c r="H113" s="6"/>
      <c r="I113" s="6"/>
      <c r="J113" s="6"/>
    </row>
    <row r="114" spans="1:10" x14ac:dyDescent="0.3">
      <c r="A114" s="7"/>
      <c r="C114" s="6"/>
      <c r="D114" s="6"/>
      <c r="E114" s="6"/>
      <c r="F114" s="6"/>
      <c r="G114" s="6"/>
      <c r="H114" s="6"/>
      <c r="I114" s="6"/>
      <c r="J114" s="6"/>
    </row>
    <row r="115" spans="1:10" x14ac:dyDescent="0.3">
      <c r="A115" s="7"/>
      <c r="C115" s="6"/>
      <c r="D115" s="6"/>
      <c r="E115" s="6"/>
      <c r="F115" s="6"/>
      <c r="G115" s="6"/>
      <c r="H115" s="6"/>
      <c r="I115" s="6"/>
      <c r="J115" s="6"/>
    </row>
    <row r="116" spans="1:10" x14ac:dyDescent="0.3">
      <c r="A116" s="7"/>
      <c r="C116" s="6"/>
      <c r="D116" s="6"/>
      <c r="E116" s="6"/>
      <c r="F116" s="6"/>
      <c r="G116" s="6"/>
      <c r="H116" s="6"/>
      <c r="I116" s="6"/>
      <c r="J116" s="6"/>
    </row>
    <row r="117" spans="1:10" x14ac:dyDescent="0.3">
      <c r="A117" s="7"/>
      <c r="C117" s="6"/>
      <c r="D117" s="6"/>
      <c r="E117" s="6"/>
      <c r="F117" s="6"/>
      <c r="G117" s="6"/>
      <c r="H117" s="6"/>
      <c r="I117" s="6"/>
      <c r="J117" s="6"/>
    </row>
    <row r="118" spans="1:10" x14ac:dyDescent="0.3">
      <c r="A118" s="7"/>
      <c r="C118" s="6"/>
      <c r="D118" s="6"/>
      <c r="E118" s="6"/>
      <c r="F118" s="6"/>
      <c r="G118" s="6"/>
      <c r="H118" s="6"/>
      <c r="I118" s="6"/>
      <c r="J118" s="6"/>
    </row>
    <row r="119" spans="1:10" x14ac:dyDescent="0.3">
      <c r="A119" s="7"/>
      <c r="C119" s="6"/>
      <c r="D119" s="6"/>
      <c r="E119" s="6"/>
      <c r="F119" s="6"/>
      <c r="G119" s="6"/>
      <c r="H119" s="6"/>
      <c r="I119" s="6"/>
      <c r="J119" s="6"/>
    </row>
    <row r="120" spans="1:10" x14ac:dyDescent="0.3">
      <c r="A120" s="7"/>
      <c r="C120" s="6"/>
      <c r="D120" s="6"/>
      <c r="E120" s="6"/>
      <c r="F120" s="6"/>
      <c r="G120" s="6"/>
      <c r="H120" s="6"/>
      <c r="I120" s="6"/>
      <c r="J120" s="6"/>
    </row>
    <row r="121" spans="1:10" x14ac:dyDescent="0.3">
      <c r="A121" s="7"/>
      <c r="C121" s="6"/>
      <c r="D121" s="6"/>
      <c r="E121" s="6"/>
      <c r="F121" s="6"/>
      <c r="G121" s="6"/>
      <c r="H121" s="6"/>
      <c r="I121" s="6"/>
      <c r="J121" s="6"/>
    </row>
    <row r="122" spans="1:10" x14ac:dyDescent="0.3">
      <c r="A122" s="7"/>
      <c r="C122" s="6"/>
      <c r="D122" s="6"/>
      <c r="E122" s="6"/>
      <c r="F122" s="6"/>
      <c r="G122" s="6"/>
      <c r="H122" s="6"/>
      <c r="I122" s="6"/>
      <c r="J122" s="6"/>
    </row>
    <row r="123" spans="1:10" x14ac:dyDescent="0.3">
      <c r="A123" s="7"/>
      <c r="C123" s="6"/>
      <c r="D123" s="6"/>
      <c r="E123" s="6"/>
      <c r="F123" s="6"/>
      <c r="G123" s="6"/>
      <c r="H123" s="6"/>
      <c r="I123" s="6"/>
      <c r="J123" s="6"/>
    </row>
    <row r="124" spans="1:10" x14ac:dyDescent="0.3">
      <c r="A124" s="7"/>
      <c r="C124" s="6"/>
      <c r="D124" s="6"/>
      <c r="E124" s="6"/>
      <c r="F124" s="6"/>
      <c r="G124" s="6"/>
      <c r="H124" s="6"/>
      <c r="I124" s="6"/>
      <c r="J124" s="6"/>
    </row>
    <row r="125" spans="1:10" x14ac:dyDescent="0.3">
      <c r="A125" s="7"/>
      <c r="C125" s="6"/>
      <c r="D125" s="6"/>
      <c r="E125" s="6"/>
      <c r="F125" s="6"/>
      <c r="G125" s="6"/>
      <c r="H125" s="6"/>
      <c r="I125" s="6"/>
      <c r="J125" s="6"/>
    </row>
    <row r="126" spans="1:10" x14ac:dyDescent="0.3">
      <c r="A126" s="7"/>
      <c r="C126" s="6"/>
      <c r="D126" s="6"/>
      <c r="E126" s="6"/>
      <c r="F126" s="6"/>
      <c r="G126" s="6"/>
      <c r="H126" s="6"/>
      <c r="I126" s="6"/>
      <c r="J126" s="6"/>
    </row>
    <row r="127" spans="1:10" x14ac:dyDescent="0.3">
      <c r="A127" s="7"/>
      <c r="C127" s="6"/>
      <c r="D127" s="6"/>
      <c r="E127" s="6"/>
      <c r="F127" s="6"/>
      <c r="G127" s="6"/>
      <c r="H127" s="6"/>
      <c r="I127" s="6"/>
      <c r="J127" s="6"/>
    </row>
    <row r="128" spans="1:10" x14ac:dyDescent="0.3">
      <c r="A128" s="7"/>
      <c r="C128" s="6"/>
      <c r="D128" s="6"/>
      <c r="E128" s="6"/>
      <c r="F128" s="6"/>
      <c r="G128" s="6"/>
      <c r="H128" s="6"/>
      <c r="I128" s="6"/>
      <c r="J128" s="6"/>
    </row>
    <row r="129" spans="1:10" x14ac:dyDescent="0.3">
      <c r="A129" s="7"/>
      <c r="C129" s="6"/>
      <c r="D129" s="6"/>
      <c r="E129" s="6"/>
      <c r="F129" s="6"/>
      <c r="G129" s="6"/>
      <c r="H129" s="6"/>
      <c r="I129" s="6"/>
      <c r="J129" s="6"/>
    </row>
    <row r="130" spans="1:10" x14ac:dyDescent="0.3">
      <c r="A130" s="7"/>
      <c r="C130" s="6"/>
      <c r="D130" s="6"/>
      <c r="E130" s="6"/>
      <c r="F130" s="6"/>
      <c r="G130" s="6"/>
      <c r="H130" s="6"/>
      <c r="I130" s="6"/>
      <c r="J130" s="6"/>
    </row>
    <row r="131" spans="1:10" x14ac:dyDescent="0.3">
      <c r="A131" s="7"/>
      <c r="C131" s="6"/>
      <c r="D131" s="6"/>
      <c r="E131" s="6"/>
      <c r="F131" s="6"/>
      <c r="G131" s="6"/>
      <c r="H131" s="6"/>
      <c r="I131" s="6"/>
      <c r="J131" s="6"/>
    </row>
    <row r="132" spans="1:10" x14ac:dyDescent="0.3">
      <c r="A132" s="7"/>
      <c r="C132" s="6"/>
      <c r="D132" s="6"/>
      <c r="E132" s="6"/>
      <c r="F132" s="6"/>
      <c r="G132" s="6"/>
      <c r="H132" s="6"/>
      <c r="I132" s="6"/>
      <c r="J132" s="6"/>
    </row>
    <row r="133" spans="1:10" x14ac:dyDescent="0.3">
      <c r="A133" s="7"/>
      <c r="C133" s="6"/>
      <c r="D133" s="6"/>
      <c r="E133" s="6"/>
      <c r="F133" s="6"/>
      <c r="G133" s="6"/>
      <c r="H133" s="6"/>
      <c r="I133" s="6"/>
      <c r="J133" s="6"/>
    </row>
    <row r="134" spans="1:10" x14ac:dyDescent="0.3">
      <c r="A134" s="7"/>
      <c r="C134" s="6"/>
      <c r="D134" s="6"/>
      <c r="E134" s="6"/>
      <c r="F134" s="6"/>
      <c r="G134" s="6"/>
      <c r="H134" s="6"/>
      <c r="I134" s="6"/>
      <c r="J134" s="6"/>
    </row>
    <row r="135" spans="1:10" x14ac:dyDescent="0.3">
      <c r="A135" s="7"/>
      <c r="C135" s="6"/>
      <c r="D135" s="6"/>
      <c r="E135" s="6"/>
      <c r="F135" s="6"/>
      <c r="G135" s="6"/>
      <c r="H135" s="6"/>
      <c r="I135" s="6"/>
      <c r="J135" s="6"/>
    </row>
    <row r="136" spans="1:10" x14ac:dyDescent="0.3">
      <c r="A136" s="7"/>
      <c r="C136" s="6"/>
      <c r="D136" s="6"/>
      <c r="E136" s="6"/>
      <c r="F136" s="6"/>
      <c r="G136" s="6"/>
      <c r="H136" s="6"/>
      <c r="I136" s="6"/>
      <c r="J136" s="6"/>
    </row>
    <row r="137" spans="1:10" x14ac:dyDescent="0.3">
      <c r="A137" s="7"/>
      <c r="C137" s="6"/>
      <c r="D137" s="6"/>
      <c r="E137" s="6"/>
      <c r="F137" s="6"/>
      <c r="G137" s="6"/>
      <c r="H137" s="6"/>
      <c r="I137" s="6"/>
      <c r="J137" s="6"/>
    </row>
    <row r="138" spans="1:10" x14ac:dyDescent="0.3">
      <c r="A138" s="7"/>
      <c r="C138" s="6"/>
      <c r="D138" s="6"/>
      <c r="E138" s="6"/>
      <c r="F138" s="6"/>
      <c r="G138" s="6"/>
      <c r="H138" s="6"/>
      <c r="I138" s="6"/>
      <c r="J138" s="6"/>
    </row>
    <row r="139" spans="1:10" x14ac:dyDescent="0.3">
      <c r="A139" s="7"/>
      <c r="C139" s="6"/>
      <c r="D139" s="6"/>
      <c r="E139" s="6"/>
      <c r="F139" s="6"/>
      <c r="G139" s="6"/>
      <c r="H139" s="6"/>
      <c r="I139" s="6"/>
      <c r="J139" s="6"/>
    </row>
    <row r="140" spans="1:10" x14ac:dyDescent="0.3">
      <c r="A140" s="7"/>
      <c r="C140" s="6"/>
      <c r="D140" s="6"/>
      <c r="E140" s="6"/>
      <c r="F140" s="6"/>
      <c r="G140" s="6"/>
      <c r="H140" s="6"/>
      <c r="I140" s="6"/>
      <c r="J140" s="6"/>
    </row>
    <row r="141" spans="1:10" x14ac:dyDescent="0.3">
      <c r="A141" s="7"/>
      <c r="C141" s="6"/>
      <c r="D141" s="6"/>
      <c r="E141" s="6"/>
      <c r="F141" s="6"/>
      <c r="G141" s="6"/>
      <c r="H141" s="6"/>
      <c r="I141" s="6"/>
      <c r="J141" s="6"/>
    </row>
    <row r="142" spans="1:10" x14ac:dyDescent="0.3">
      <c r="A142" s="7"/>
      <c r="C142" s="6"/>
      <c r="D142" s="6"/>
      <c r="E142" s="6"/>
      <c r="F142" s="6"/>
      <c r="G142" s="6"/>
      <c r="H142" s="6"/>
      <c r="I142" s="6"/>
      <c r="J142" s="6"/>
    </row>
    <row r="143" spans="1:10" x14ac:dyDescent="0.3">
      <c r="A143" s="7"/>
      <c r="C143" s="6"/>
      <c r="D143" s="6"/>
      <c r="E143" s="6"/>
      <c r="F143" s="6"/>
      <c r="G143" s="6"/>
      <c r="H143" s="6"/>
      <c r="I143" s="6"/>
      <c r="J143" s="6"/>
    </row>
    <row r="144" spans="1:10" x14ac:dyDescent="0.3">
      <c r="A144" s="7"/>
      <c r="C144" s="6"/>
      <c r="D144" s="6"/>
      <c r="E144" s="6"/>
      <c r="F144" s="6"/>
      <c r="G144" s="6"/>
      <c r="H144" s="6"/>
      <c r="I144" s="6"/>
      <c r="J144" s="6"/>
    </row>
    <row r="145" spans="1:10" x14ac:dyDescent="0.3">
      <c r="A145" s="7"/>
      <c r="C145" s="6"/>
      <c r="D145" s="6"/>
      <c r="E145" s="6"/>
      <c r="F145" s="6"/>
      <c r="G145" s="6"/>
      <c r="H145" s="6"/>
      <c r="I145" s="6"/>
      <c r="J145" s="6"/>
    </row>
    <row r="146" spans="1:10" x14ac:dyDescent="0.3">
      <c r="A146" s="7"/>
      <c r="C146" s="6"/>
      <c r="D146" s="6"/>
      <c r="E146" s="6"/>
      <c r="F146" s="6"/>
      <c r="G146" s="6"/>
      <c r="H146" s="6"/>
      <c r="I146" s="6"/>
      <c r="J146" s="6"/>
    </row>
    <row r="147" spans="1:10" x14ac:dyDescent="0.3">
      <c r="A147" s="7"/>
      <c r="C147" s="6"/>
      <c r="D147" s="6"/>
      <c r="E147" s="6"/>
      <c r="F147" s="6"/>
      <c r="G147" s="6"/>
      <c r="H147" s="6"/>
      <c r="I147" s="6"/>
      <c r="J147" s="6"/>
    </row>
    <row r="148" spans="1:10" x14ac:dyDescent="0.3">
      <c r="A148" s="7"/>
      <c r="C148" s="6"/>
      <c r="D148" s="6"/>
      <c r="E148" s="6"/>
      <c r="F148" s="6"/>
      <c r="G148" s="6"/>
      <c r="H148" s="6"/>
      <c r="I148" s="6"/>
      <c r="J148" s="6"/>
    </row>
    <row r="149" spans="1:10" x14ac:dyDescent="0.3">
      <c r="A149" s="7"/>
      <c r="C149" s="6"/>
      <c r="D149" s="6"/>
      <c r="E149" s="6"/>
      <c r="F149" s="6"/>
      <c r="G149" s="6"/>
      <c r="H149" s="6"/>
      <c r="I149" s="6"/>
      <c r="J149" s="6"/>
    </row>
    <row r="150" spans="1:10" x14ac:dyDescent="0.3">
      <c r="A150" s="7"/>
      <c r="C150" s="6"/>
      <c r="D150" s="6"/>
      <c r="E150" s="6"/>
      <c r="F150" s="6"/>
      <c r="G150" s="6"/>
      <c r="H150" s="6"/>
      <c r="I150" s="6"/>
      <c r="J150" s="6"/>
    </row>
    <row r="151" spans="1:10" x14ac:dyDescent="0.3">
      <c r="A151" s="7"/>
      <c r="C151" s="6"/>
      <c r="D151" s="6"/>
      <c r="E151" s="6"/>
      <c r="F151" s="6"/>
      <c r="G151" s="6"/>
      <c r="H151" s="6"/>
      <c r="I151" s="6"/>
      <c r="J151" s="6"/>
    </row>
    <row r="152" spans="1:10" x14ac:dyDescent="0.3">
      <c r="A152" s="7"/>
      <c r="C152" s="6"/>
      <c r="D152" s="6"/>
      <c r="E152" s="6"/>
      <c r="F152" s="6"/>
      <c r="G152" s="6"/>
      <c r="H152" s="6"/>
      <c r="I152" s="6"/>
      <c r="J152" s="6"/>
    </row>
    <row r="153" spans="1:10" x14ac:dyDescent="0.3">
      <c r="A153" s="7"/>
      <c r="C153" s="6"/>
      <c r="D153" s="6"/>
      <c r="E153" s="6"/>
      <c r="F153" s="6"/>
      <c r="G153" s="6"/>
      <c r="H153" s="6"/>
      <c r="I153" s="6"/>
      <c r="J153" s="6"/>
    </row>
    <row r="154" spans="1:10" x14ac:dyDescent="0.3">
      <c r="A154" s="7"/>
      <c r="C154" s="6"/>
      <c r="D154" s="6"/>
      <c r="E154" s="6"/>
      <c r="F154" s="6"/>
      <c r="G154" s="6"/>
      <c r="H154" s="6"/>
      <c r="I154" s="6"/>
      <c r="J154" s="6"/>
    </row>
    <row r="155" spans="1:10" x14ac:dyDescent="0.3">
      <c r="A155" s="7"/>
      <c r="C155" s="6"/>
      <c r="D155" s="6"/>
      <c r="E155" s="6"/>
      <c r="F155" s="6"/>
      <c r="G155" s="6"/>
      <c r="H155" s="6"/>
      <c r="I155" s="6"/>
      <c r="J155" s="6"/>
    </row>
    <row r="156" spans="1:10" x14ac:dyDescent="0.3">
      <c r="A156" s="7"/>
      <c r="C156" s="6"/>
      <c r="D156" s="6"/>
      <c r="E156" s="6"/>
      <c r="F156" s="6"/>
      <c r="G156" s="6"/>
      <c r="H156" s="6"/>
      <c r="I156" s="6"/>
      <c r="J156" s="6"/>
    </row>
    <row r="157" spans="1:10" x14ac:dyDescent="0.3">
      <c r="A157" s="7"/>
      <c r="C157" s="6"/>
      <c r="D157" s="6"/>
      <c r="E157" s="6"/>
      <c r="F157" s="6"/>
      <c r="G157" s="6"/>
      <c r="H157" s="6"/>
      <c r="I157" s="6"/>
      <c r="J157" s="6"/>
    </row>
    <row r="158" spans="1:10" x14ac:dyDescent="0.3">
      <c r="A158" s="7"/>
      <c r="C158" s="6"/>
      <c r="D158" s="6"/>
      <c r="E158" s="6"/>
      <c r="F158" s="6"/>
      <c r="G158" s="6"/>
      <c r="H158" s="6"/>
      <c r="I158" s="6"/>
      <c r="J158" s="6"/>
    </row>
    <row r="159" spans="1:10" x14ac:dyDescent="0.3">
      <c r="A159" s="7"/>
      <c r="C159" s="6"/>
      <c r="D159" s="6"/>
      <c r="E159" s="6"/>
      <c r="F159" s="6"/>
      <c r="G159" s="6"/>
      <c r="H159" s="6"/>
      <c r="I159" s="6"/>
      <c r="J159" s="6"/>
    </row>
    <row r="160" spans="1:10" x14ac:dyDescent="0.3">
      <c r="A160" s="7"/>
      <c r="C160" s="6"/>
      <c r="D160" s="6"/>
      <c r="E160" s="6"/>
      <c r="F160" s="6"/>
      <c r="G160" s="6"/>
      <c r="H160" s="6"/>
      <c r="I160" s="6"/>
      <c r="J160" s="6"/>
    </row>
    <row r="161" spans="1:10" x14ac:dyDescent="0.3">
      <c r="A161" s="7"/>
      <c r="C161" s="6"/>
      <c r="D161" s="6"/>
      <c r="E161" s="6"/>
      <c r="F161" s="6"/>
      <c r="G161" s="6"/>
      <c r="H161" s="6"/>
      <c r="I161" s="6"/>
      <c r="J161" s="6"/>
    </row>
    <row r="162" spans="1:10" x14ac:dyDescent="0.3">
      <c r="A162" s="7"/>
      <c r="C162" s="6"/>
      <c r="D162" s="6"/>
      <c r="E162" s="6"/>
      <c r="F162" s="6"/>
      <c r="G162" s="6"/>
      <c r="H162" s="6"/>
      <c r="I162" s="6"/>
      <c r="J162" s="6"/>
    </row>
    <row r="163" spans="1:10" x14ac:dyDescent="0.3">
      <c r="A163" s="7"/>
      <c r="C163" s="6"/>
      <c r="D163" s="6"/>
      <c r="E163" s="6"/>
      <c r="F163" s="6"/>
      <c r="G163" s="6"/>
      <c r="H163" s="6"/>
      <c r="I163" s="6"/>
      <c r="J163" s="6"/>
    </row>
    <row r="164" spans="1:10" x14ac:dyDescent="0.3">
      <c r="A164" s="7"/>
      <c r="C164" s="6"/>
      <c r="D164" s="6"/>
      <c r="E164" s="6"/>
      <c r="F164" s="6"/>
      <c r="G164" s="6"/>
      <c r="H164" s="6"/>
      <c r="I164" s="6"/>
      <c r="J164" s="6"/>
    </row>
    <row r="165" spans="1:10" x14ac:dyDescent="0.3">
      <c r="A165" s="7"/>
      <c r="C165" s="6"/>
      <c r="D165" s="6"/>
      <c r="E165" s="6"/>
      <c r="F165" s="6"/>
      <c r="G165" s="6"/>
      <c r="H165" s="6"/>
      <c r="I165" s="6"/>
      <c r="J165" s="6"/>
    </row>
    <row r="166" spans="1:10" x14ac:dyDescent="0.3">
      <c r="A166" s="7"/>
      <c r="C166" s="6"/>
      <c r="D166" s="6"/>
      <c r="E166" s="6"/>
      <c r="F166" s="6"/>
      <c r="G166" s="6"/>
      <c r="H166" s="6"/>
      <c r="I166" s="6"/>
      <c r="J166" s="6"/>
    </row>
    <row r="167" spans="1:10" x14ac:dyDescent="0.3">
      <c r="A167" s="7"/>
      <c r="C167" s="6"/>
      <c r="D167" s="6"/>
      <c r="E167" s="6"/>
      <c r="F167" s="6"/>
      <c r="G167" s="6"/>
      <c r="H167" s="6"/>
      <c r="I167" s="6"/>
      <c r="J167" s="6"/>
    </row>
    <row r="168" spans="1:10" x14ac:dyDescent="0.3">
      <c r="A168" s="7"/>
      <c r="C168" s="6"/>
      <c r="D168" s="6"/>
      <c r="E168" s="6"/>
      <c r="F168" s="6"/>
      <c r="G168" s="6"/>
      <c r="H168" s="6"/>
      <c r="I168" s="6"/>
      <c r="J168" s="6"/>
    </row>
    <row r="169" spans="1:10" x14ac:dyDescent="0.3">
      <c r="A169" s="7"/>
      <c r="C169" s="6"/>
      <c r="D169" s="6"/>
      <c r="E169" s="6"/>
      <c r="F169" s="6"/>
      <c r="G169" s="6"/>
      <c r="H169" s="6"/>
      <c r="I169" s="6"/>
      <c r="J169" s="6"/>
    </row>
    <row r="170" spans="1:10" x14ac:dyDescent="0.3">
      <c r="A170" s="7"/>
      <c r="C170" s="6"/>
      <c r="D170" s="6"/>
      <c r="E170" s="6"/>
      <c r="F170" s="6"/>
      <c r="G170" s="6"/>
      <c r="H170" s="6"/>
      <c r="I170" s="6"/>
      <c r="J170" s="6"/>
    </row>
    <row r="171" spans="1:10" x14ac:dyDescent="0.3">
      <c r="A171" s="7"/>
      <c r="C171" s="6"/>
      <c r="D171" s="6"/>
      <c r="E171" s="6"/>
      <c r="F171" s="6"/>
      <c r="G171" s="6"/>
      <c r="H171" s="6"/>
      <c r="I171" s="6"/>
      <c r="J171" s="6"/>
    </row>
    <row r="172" spans="1:10" x14ac:dyDescent="0.3">
      <c r="A172" s="7"/>
      <c r="C172" s="6"/>
      <c r="D172" s="6"/>
      <c r="E172" s="6"/>
      <c r="F172" s="6"/>
      <c r="G172" s="6"/>
      <c r="H172" s="6"/>
      <c r="I172" s="6"/>
      <c r="J172" s="6"/>
    </row>
    <row r="173" spans="1:10" x14ac:dyDescent="0.3">
      <c r="A173" s="7"/>
      <c r="C173" s="6"/>
      <c r="D173" s="6"/>
      <c r="E173" s="6"/>
      <c r="F173" s="6"/>
      <c r="G173" s="6"/>
      <c r="H173" s="6"/>
      <c r="I173" s="6"/>
      <c r="J173" s="6"/>
    </row>
    <row r="174" spans="1:10" x14ac:dyDescent="0.3">
      <c r="A174" s="7"/>
      <c r="C174" s="6"/>
      <c r="D174" s="6"/>
      <c r="E174" s="6"/>
      <c r="F174" s="6"/>
      <c r="G174" s="6"/>
      <c r="H174" s="6"/>
      <c r="I174" s="6"/>
      <c r="J174" s="6"/>
    </row>
    <row r="175" spans="1:10" x14ac:dyDescent="0.3">
      <c r="A175" s="7"/>
      <c r="C175" s="6"/>
      <c r="D175" s="6"/>
      <c r="E175" s="6"/>
      <c r="F175" s="6"/>
      <c r="G175" s="6"/>
      <c r="H175" s="6"/>
      <c r="I175" s="6"/>
      <c r="J175" s="6"/>
    </row>
    <row r="176" spans="1:10" x14ac:dyDescent="0.3">
      <c r="A176" s="7"/>
      <c r="C176" s="6"/>
      <c r="D176" s="6"/>
      <c r="E176" s="6"/>
      <c r="F176" s="6"/>
      <c r="G176" s="6"/>
      <c r="H176" s="6"/>
      <c r="I176" s="6"/>
      <c r="J176" s="6"/>
    </row>
    <row r="177" spans="1:10" x14ac:dyDescent="0.3">
      <c r="A177" s="7"/>
      <c r="C177" s="6"/>
      <c r="D177" s="6"/>
      <c r="E177" s="6"/>
      <c r="F177" s="6"/>
      <c r="G177" s="6"/>
      <c r="H177" s="6"/>
      <c r="I177" s="6"/>
      <c r="J177" s="6"/>
    </row>
    <row r="178" spans="1:10" x14ac:dyDescent="0.3">
      <c r="A178" s="7"/>
      <c r="C178" s="6"/>
      <c r="D178" s="6"/>
      <c r="E178" s="6"/>
      <c r="F178" s="6"/>
      <c r="G178" s="6"/>
      <c r="H178" s="6"/>
      <c r="I178" s="6"/>
      <c r="J178" s="6"/>
    </row>
    <row r="179" spans="1:10" x14ac:dyDescent="0.3">
      <c r="A179" s="7"/>
      <c r="C179" s="6"/>
      <c r="D179" s="6"/>
      <c r="E179" s="6"/>
      <c r="F179" s="6"/>
      <c r="G179" s="6"/>
      <c r="H179" s="6"/>
      <c r="I179" s="6"/>
      <c r="J179" s="6"/>
    </row>
    <row r="180" spans="1:10" x14ac:dyDescent="0.3">
      <c r="A180" s="7"/>
      <c r="C180" s="6"/>
      <c r="D180" s="6"/>
      <c r="E180" s="6"/>
      <c r="F180" s="6"/>
      <c r="G180" s="6"/>
      <c r="H180" s="6"/>
      <c r="I180" s="6"/>
      <c r="J180" s="6"/>
    </row>
    <row r="181" spans="1:10" x14ac:dyDescent="0.3">
      <c r="A181" s="7"/>
      <c r="C181" s="6"/>
      <c r="D181" s="6"/>
      <c r="E181" s="6"/>
      <c r="F181" s="6"/>
      <c r="G181" s="6"/>
      <c r="H181" s="6"/>
      <c r="I181" s="6"/>
      <c r="J181" s="6"/>
    </row>
    <row r="182" spans="1:10" x14ac:dyDescent="0.3">
      <c r="A182" s="7"/>
      <c r="C182" s="6"/>
      <c r="D182" s="6"/>
      <c r="E182" s="6"/>
      <c r="F182" s="6"/>
      <c r="G182" s="6"/>
      <c r="H182" s="6"/>
      <c r="I182" s="6"/>
      <c r="J182" s="6"/>
    </row>
    <row r="183" spans="1:10" x14ac:dyDescent="0.3">
      <c r="A183" s="7"/>
      <c r="C183" s="6"/>
      <c r="D183" s="6"/>
      <c r="E183" s="6"/>
      <c r="F183" s="6"/>
      <c r="G183" s="6"/>
      <c r="H183" s="6"/>
      <c r="I183" s="6"/>
      <c r="J183" s="6"/>
    </row>
    <row r="184" spans="1:10" x14ac:dyDescent="0.3">
      <c r="A184" s="7"/>
      <c r="C184" s="6"/>
      <c r="D184" s="6"/>
      <c r="E184" s="6"/>
      <c r="F184" s="6"/>
      <c r="G184" s="6"/>
      <c r="H184" s="6"/>
      <c r="I184" s="6"/>
      <c r="J184" s="6"/>
    </row>
    <row r="185" spans="1:10" x14ac:dyDescent="0.3">
      <c r="A185" s="7"/>
      <c r="C185" s="6"/>
      <c r="D185" s="6"/>
      <c r="E185" s="6"/>
      <c r="F185" s="6"/>
      <c r="G185" s="6"/>
      <c r="H185" s="6"/>
      <c r="I185" s="6"/>
      <c r="J185" s="6"/>
    </row>
    <row r="186" spans="1:10" x14ac:dyDescent="0.3">
      <c r="A186" s="7"/>
      <c r="C186" s="6"/>
      <c r="D186" s="6"/>
      <c r="E186" s="6"/>
      <c r="F186" s="6"/>
      <c r="G186" s="6"/>
      <c r="H186" s="6"/>
      <c r="I186" s="6"/>
      <c r="J186" s="6"/>
    </row>
    <row r="187" spans="1:10" x14ac:dyDescent="0.3">
      <c r="A187" s="7"/>
      <c r="C187" s="6"/>
      <c r="D187" s="6"/>
      <c r="E187" s="6"/>
      <c r="F187" s="6"/>
      <c r="G187" s="6"/>
      <c r="H187" s="6"/>
      <c r="I187" s="6"/>
      <c r="J187" s="6"/>
    </row>
    <row r="188" spans="1:10" x14ac:dyDescent="0.3">
      <c r="A188" s="7"/>
      <c r="C188" s="6"/>
      <c r="D188" s="6"/>
      <c r="E188" s="6"/>
      <c r="F188" s="6"/>
      <c r="G188" s="6"/>
      <c r="H188" s="6"/>
      <c r="I188" s="6"/>
      <c r="J188" s="6"/>
    </row>
    <row r="189" spans="1:10" x14ac:dyDescent="0.3">
      <c r="A189" s="7"/>
      <c r="C189" s="6"/>
      <c r="D189" s="6"/>
      <c r="E189" s="6"/>
      <c r="F189" s="6"/>
      <c r="G189" s="6"/>
      <c r="H189" s="6"/>
      <c r="I189" s="6"/>
      <c r="J189" s="6"/>
    </row>
    <row r="190" spans="1:10" x14ac:dyDescent="0.3">
      <c r="A190" s="7"/>
      <c r="C190" s="6"/>
      <c r="D190" s="6"/>
      <c r="E190" s="6"/>
      <c r="F190" s="6"/>
      <c r="G190" s="6"/>
      <c r="H190" s="6"/>
      <c r="I190" s="6"/>
      <c r="J190" s="6"/>
    </row>
    <row r="191" spans="1:10" x14ac:dyDescent="0.3">
      <c r="A191" s="7"/>
      <c r="C191" s="6"/>
      <c r="D191" s="6"/>
      <c r="E191" s="6"/>
      <c r="F191" s="6"/>
      <c r="G191" s="6"/>
      <c r="H191" s="6"/>
      <c r="I191" s="6"/>
      <c r="J191" s="6"/>
    </row>
    <row r="192" spans="1:10" x14ac:dyDescent="0.3">
      <c r="A192" s="7"/>
      <c r="C192" s="6"/>
      <c r="D192" s="6"/>
      <c r="E192" s="6"/>
      <c r="F192" s="6"/>
      <c r="G192" s="6"/>
      <c r="H192" s="6"/>
      <c r="I192" s="6"/>
      <c r="J192" s="6"/>
    </row>
    <row r="193" spans="1:10" x14ac:dyDescent="0.3">
      <c r="A193" s="7"/>
      <c r="C193" s="6"/>
      <c r="D193" s="6"/>
      <c r="E193" s="6"/>
      <c r="F193" s="6"/>
      <c r="G193" s="6"/>
      <c r="H193" s="6"/>
      <c r="I193" s="6"/>
      <c r="J193" s="6"/>
    </row>
    <row r="194" spans="1:10" x14ac:dyDescent="0.3">
      <c r="A194" s="7"/>
      <c r="C194" s="6"/>
      <c r="D194" s="6"/>
      <c r="E194" s="6"/>
      <c r="F194" s="6"/>
      <c r="G194" s="6"/>
      <c r="H194" s="6"/>
      <c r="I194" s="6"/>
      <c r="J194" s="6"/>
    </row>
    <row r="195" spans="1:10" x14ac:dyDescent="0.3">
      <c r="A195" s="7"/>
      <c r="C195" s="6"/>
      <c r="D195" s="6"/>
      <c r="E195" s="6"/>
      <c r="F195" s="6"/>
      <c r="G195" s="6"/>
      <c r="H195" s="6"/>
      <c r="I195" s="6"/>
      <c r="J195" s="6"/>
    </row>
    <row r="196" spans="1:10" x14ac:dyDescent="0.3">
      <c r="A196" s="7"/>
      <c r="C196" s="6"/>
      <c r="D196" s="6"/>
      <c r="E196" s="6"/>
      <c r="F196" s="6"/>
      <c r="G196" s="6"/>
      <c r="H196" s="6"/>
      <c r="I196" s="6"/>
      <c r="J196" s="6"/>
    </row>
    <row r="197" spans="1:10" x14ac:dyDescent="0.3">
      <c r="A197" s="7"/>
      <c r="C197" s="6"/>
      <c r="D197" s="6"/>
      <c r="E197" s="6"/>
      <c r="F197" s="6"/>
      <c r="G197" s="6"/>
      <c r="H197" s="6"/>
      <c r="I197" s="6"/>
      <c r="J197" s="6"/>
    </row>
    <row r="198" spans="1:10" x14ac:dyDescent="0.3">
      <c r="A198" s="7"/>
      <c r="C198" s="6"/>
      <c r="D198" s="6"/>
      <c r="E198" s="6"/>
      <c r="F198" s="6"/>
      <c r="G198" s="6"/>
      <c r="H198" s="6"/>
      <c r="I198" s="6"/>
      <c r="J198" s="6"/>
    </row>
    <row r="199" spans="1:10" x14ac:dyDescent="0.3">
      <c r="A199" s="7"/>
      <c r="C199" s="6"/>
      <c r="D199" s="6"/>
      <c r="E199" s="6"/>
      <c r="F199" s="6"/>
      <c r="G199" s="6"/>
      <c r="H199" s="6"/>
      <c r="I199" s="6"/>
      <c r="J199" s="6"/>
    </row>
    <row r="200" spans="1:10" x14ac:dyDescent="0.3">
      <c r="A200" s="7"/>
      <c r="C200" s="6"/>
      <c r="D200" s="6"/>
      <c r="E200" s="6"/>
      <c r="F200" s="6"/>
      <c r="G200" s="6"/>
      <c r="H200" s="6"/>
      <c r="I200" s="6"/>
      <c r="J200" s="6"/>
    </row>
  </sheetData>
  <dataValidations count="2">
    <dataValidation type="list" allowBlank="1" showInputMessage="1" showErrorMessage="1" sqref="C4" xr:uid="{6FF6CB7A-EE67-4FB6-B86E-9C17E7A3B134}">
      <formula1>Список_щитов</formula1>
    </dataValidation>
    <dataValidation type="list" allowBlank="1" showInputMessage="1" showErrorMessage="1" sqref="C5" xr:uid="{B45E025E-9DD4-45C4-A3E0-680E9EAF6FBA}">
      <formula1>"Весь щит,Секция 1,Секция 2,Секция 3"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702DD-65CA-4453-9789-18BF4FB50120}">
  <sheetPr>
    <tabColor rgb="FFED7D31"/>
  </sheetPr>
  <dimension ref="A1:Q347"/>
  <sheetViews>
    <sheetView workbookViewId="0"/>
  </sheetViews>
  <sheetFormatPr defaultRowHeight="14.4" x14ac:dyDescent="0.3"/>
  <cols>
    <col min="1" max="1" width="16.77734375" customWidth="1"/>
    <col min="2" max="2" width="12.77734375" customWidth="1"/>
    <col min="3" max="3" width="40.77734375" customWidth="1"/>
    <col min="4" max="4" width="26.77734375" customWidth="1"/>
    <col min="5" max="5" width="9.77734375" customWidth="1"/>
    <col min="6" max="7" width="14.77734375" customWidth="1"/>
    <col min="8" max="8" width="9.77734375" customWidth="1"/>
    <col min="9" max="9" width="12.77734375" customWidth="1"/>
    <col min="10" max="10" width="14.77734375" customWidth="1"/>
    <col min="11" max="11" width="9.77734375" customWidth="1"/>
    <col min="12" max="13" width="11.77734375" customWidth="1"/>
    <col min="15" max="15" width="28.77734375" customWidth="1"/>
    <col min="16" max="17" width="12.77734375" customWidth="1"/>
  </cols>
  <sheetData>
    <row r="1" spans="1:17" x14ac:dyDescent="0.3">
      <c r="A1" s="36" t="s">
        <v>1743</v>
      </c>
    </row>
    <row r="2" spans="1:17" x14ac:dyDescent="0.3">
      <c r="A2" s="123" t="s">
        <v>21</v>
      </c>
      <c r="B2" s="123" t="s">
        <v>22</v>
      </c>
      <c r="C2" s="123"/>
      <c r="D2" s="123" t="s">
        <v>9</v>
      </c>
      <c r="E2" s="123"/>
      <c r="F2" s="123"/>
      <c r="G2" s="123"/>
      <c r="H2" s="123"/>
      <c r="I2" s="123" t="s">
        <v>9</v>
      </c>
      <c r="J2" s="123"/>
      <c r="K2" s="123"/>
      <c r="L2" s="123" t="s">
        <v>23</v>
      </c>
      <c r="M2" s="123" t="s">
        <v>31</v>
      </c>
      <c r="O2" t="s">
        <v>1745</v>
      </c>
      <c r="P2" s="114">
        <v>0.2</v>
      </c>
    </row>
    <row r="3" spans="1:17" x14ac:dyDescent="0.3">
      <c r="A3" s="123"/>
      <c r="B3" s="123" t="s">
        <v>24</v>
      </c>
      <c r="C3" s="123" t="s">
        <v>25</v>
      </c>
      <c r="D3" s="123" t="s">
        <v>26</v>
      </c>
      <c r="E3" s="123"/>
      <c r="F3" s="123"/>
      <c r="G3" s="123"/>
      <c r="H3" s="123"/>
      <c r="I3" s="123" t="s">
        <v>27</v>
      </c>
      <c r="J3" s="123"/>
      <c r="K3" s="123"/>
      <c r="L3" s="123"/>
      <c r="M3" s="123"/>
    </row>
    <row r="4" spans="1:17" ht="72" x14ac:dyDescent="0.3">
      <c r="A4" s="123"/>
      <c r="B4" s="123"/>
      <c r="C4" s="123"/>
      <c r="D4" s="124" t="s">
        <v>1744</v>
      </c>
      <c r="E4" s="124" t="s">
        <v>192</v>
      </c>
      <c r="F4" s="124" t="s">
        <v>187</v>
      </c>
      <c r="G4" s="124" t="s">
        <v>189</v>
      </c>
      <c r="H4" s="124" t="s">
        <v>28</v>
      </c>
      <c r="I4" s="124" t="s">
        <v>29</v>
      </c>
      <c r="J4" s="124" t="s">
        <v>1744</v>
      </c>
      <c r="K4" s="124" t="s">
        <v>30</v>
      </c>
      <c r="L4" s="123"/>
      <c r="M4" s="123"/>
      <c r="O4" s="117" t="s">
        <v>1746</v>
      </c>
      <c r="P4" s="117" t="s">
        <v>28</v>
      </c>
      <c r="Q4" s="117" t="s">
        <v>1747</v>
      </c>
    </row>
    <row r="5" spans="1:17" x14ac:dyDescent="0.3">
      <c r="A5" t="str" cm="1">
        <f t="array" ref="A5:H347">_xlfn.LET(_xlpm.m,(Линии[Номер линии]&lt;&gt;"")*(Линии[_кабель]&lt;&gt;""),_xlpm.n,SUM(_xlpm.m),_xlpm.cs,_xlfn._xlws.FILTER(Линии[_кабель с сечением],_xlpm.m),_xlpm.tr,_xlfn._xlws.FILTER(IFERROR(--Линии[Лоток],0),_xlpm.m),_xlpm.pv,_xlfn._xlws.FILTER(IFERROR(--Линии[_гофра ПВХ],0),_xlpm.m),_xlpm.pn,_xlfn._xlws.FILTER(IFERROR(--Линии[_гофра ПНД],0),_xlpm.m),_xlpm.dpv,IFERROR(VLOOKUP(_xlpm.cs,Кабель_диаметр,4,FALSE),""),_xlpm.dpn,IFERROR(VLOOKUP(_xlpm.cs,Кабель_диаметр,5,FALSE),""),IF(_xlpm.n=0,"нет линий",_xlfn.HSTACK(_xlfn._xlws.FILTER(Линии[Номер линии],_xlpm.m),_xlfn._xlws.FILTER(Линии[Щит],_xlpm.m),_xlfn._xlws.FILTER(Линии[Наименование (итог)],_xlpm.m),_xlpm.cs,IF(_xlpm.tr=0,"","L="&amp;_xlpm.tr),IF(_xlpm.pv=0,"",_xlpm.dpv&amp;" L="&amp;_xlpm.pv),IF(_xlpm.pn=0,"",_xlpm.dpn&amp;" L="&amp;_xlpm.pn),_xlfn._xlws.FILTER(Линии[Длина, м],_xlpm.m))))</f>
        <v>ЩСПЗ-ЖД.1</v>
      </c>
      <c r="B5" t="str">
        <v>ГРЩ-ЖД</v>
      </c>
      <c r="C5" t="str">
        <v>Щит системы противопожарной защиты Цокольный этаж этаж Пом. №001Т Ввод.1</v>
      </c>
      <c r="D5" t="str">
        <v>ВВГнг(А)-FRLS (3х2,5)</v>
      </c>
      <c r="E5" t="str">
        <v/>
      </c>
      <c r="F5" t="str">
        <v>Ø25 L=15</v>
      </c>
      <c r="G5" t="str">
        <v/>
      </c>
      <c r="H5">
        <v>15</v>
      </c>
      <c r="O5" t="str" cm="1">
        <f t="array" ref="O5:Q20">_xlfn.LET(_xlpm.k,Линии[_кабель с сечением],_xlpm.m,(Линии[Номер линии]&lt;&gt;"")*(Линии[_кабель]&lt;&gt;""),_xlpm.u,_xlfn.UNIQUE(_xlfn._xlws.FILTER(_xlpm.k,_xlpm.m,"")),_xlpm.l,_xlfn.MAP(_xlpm.u,_xlfn.LAMBDA(_xlpm.x,SUM(_xlpm.m*(_xlpm.k=_xlpm.x)*IFERROR(--Линии[Длина, м],0)))),_xlfn.HSTACK(_xlpm.u,_xlpm.l,ROUNDUP(_xlpm.l*(1+Запас_кабеля),0)))</f>
        <v>ВВГнг(А)-FRLS (3х2,5)</v>
      </c>
      <c r="P5">
        <v>218</v>
      </c>
      <c r="Q5">
        <v>262</v>
      </c>
    </row>
    <row r="6" spans="1:17" x14ac:dyDescent="0.3">
      <c r="A6" t="str">
        <v>ЩСПЗ-ЖД.2</v>
      </c>
      <c r="B6" t="str">
        <v>ГРЩ-ЖД</v>
      </c>
      <c r="C6" t="str">
        <v>Щит системы противопожарной защиты Цокольный этаж этаж Пом. №001Т Ввод.2</v>
      </c>
      <c r="D6" t="str">
        <v>ВВГнг(А)-FRLS (3х2,5)</v>
      </c>
      <c r="E6" t="str">
        <v/>
      </c>
      <c r="F6" t="str">
        <v>Ø25 L=15</v>
      </c>
      <c r="G6" t="str">
        <v/>
      </c>
      <c r="H6">
        <v>15</v>
      </c>
      <c r="O6" t="str">
        <v>ВВГнг(А)-LS (5х6)</v>
      </c>
      <c r="P6">
        <v>234</v>
      </c>
      <c r="Q6">
        <v>281</v>
      </c>
    </row>
    <row r="7" spans="1:17" x14ac:dyDescent="0.3">
      <c r="A7" t="str">
        <v>ЩОВ-01</v>
      </c>
      <c r="B7" t="str">
        <v>ГРЩ-ЖД</v>
      </c>
      <c r="C7" t="str">
        <v>Щит вентиляции ЩОВ-01 Цокольный этаж этаж Пом. №0.001Тб</v>
      </c>
      <c r="D7" t="str">
        <v>ВВГнг(А)-LS (5х6)</v>
      </c>
      <c r="E7" t="str">
        <v/>
      </c>
      <c r="F7" t="str">
        <v>Ø25 L=15</v>
      </c>
      <c r="G7" t="str">
        <v/>
      </c>
      <c r="H7">
        <v>15</v>
      </c>
      <c r="O7" t="str">
        <v>5хВВГнг(А)-LS  (1х185)</v>
      </c>
      <c r="P7">
        <v>58</v>
      </c>
      <c r="Q7">
        <v>70</v>
      </c>
    </row>
    <row r="8" spans="1:17" x14ac:dyDescent="0.3">
      <c r="A8" t="str">
        <v>ЩОВ-001</v>
      </c>
      <c r="B8" t="str">
        <v>ГРЩ-ЖД</v>
      </c>
      <c r="C8" t="str">
        <v>Щит вентиляции ЩОВ-001 Подвальный этаж этаж Пом. №00.006Т</v>
      </c>
      <c r="D8" t="str">
        <v>5хВВГнг(А)-LS  (1х185)</v>
      </c>
      <c r="E8" t="str">
        <v>L=39</v>
      </c>
      <c r="F8" t="str">
        <v xml:space="preserve"> L=11</v>
      </c>
      <c r="G8" t="str">
        <v/>
      </c>
      <c r="H8">
        <v>58</v>
      </c>
      <c r="O8" t="str">
        <v>ВВГнг(А)-LS (5х4)</v>
      </c>
      <c r="P8">
        <v>393</v>
      </c>
      <c r="Q8">
        <v>472</v>
      </c>
    </row>
    <row r="9" spans="1:17" x14ac:dyDescent="0.3">
      <c r="A9" t="str">
        <v>ЩОВ-002</v>
      </c>
      <c r="B9" t="str">
        <v>ГРЩ-ЖД</v>
      </c>
      <c r="C9" t="str">
        <v>Щит вентиляции ЩОВ-002 Подвальный этаж этаж Пом. №00.003Т</v>
      </c>
      <c r="D9" t="str">
        <v>ВВГнг(А)-LS (5х4)</v>
      </c>
      <c r="E9" t="str">
        <v>L=29</v>
      </c>
      <c r="F9" t="str">
        <v>Ø25 L=12</v>
      </c>
      <c r="G9" t="str">
        <v/>
      </c>
      <c r="H9">
        <v>46</v>
      </c>
      <c r="O9" t="str">
        <v>ВВГнг(А)-LS (5х10)</v>
      </c>
      <c r="P9">
        <v>169</v>
      </c>
      <c r="Q9">
        <v>203</v>
      </c>
    </row>
    <row r="10" spans="1:17" x14ac:dyDescent="0.3">
      <c r="A10" t="str">
        <v>ЩОВ-2</v>
      </c>
      <c r="B10" t="str">
        <v>ГРЩ-ЖД</v>
      </c>
      <c r="C10" t="str">
        <v>Щит вентиляции ЩОВ-2 Техэтаж этаж Пом. №3.001Т</v>
      </c>
      <c r="D10" t="str">
        <v>ВВГнг(А)-LS (5х4)</v>
      </c>
      <c r="E10" t="str">
        <v>L=40</v>
      </c>
      <c r="F10" t="str">
        <v>Ø25 L=11</v>
      </c>
      <c r="G10" t="str">
        <v/>
      </c>
      <c r="H10">
        <v>56</v>
      </c>
      <c r="O10" t="str">
        <v>ВВГнг(А)-LS (5х16)</v>
      </c>
      <c r="P10">
        <v>124</v>
      </c>
      <c r="Q10">
        <v>149</v>
      </c>
    </row>
    <row r="11" spans="1:17" x14ac:dyDescent="0.3">
      <c r="A11" t="str">
        <v>ЩР-001</v>
      </c>
      <c r="B11" t="str">
        <v>ГРЩ-ЖД</v>
      </c>
      <c r="C11" t="str">
        <v>Щит распределительный ЩР-001 Подвальный этаж этаж Пом. №00.004Т</v>
      </c>
      <c r="D11" t="str">
        <v>ВВГнг(А)-LS (5х4)</v>
      </c>
      <c r="E11" t="str">
        <v>L=25</v>
      </c>
      <c r="F11" t="str">
        <v>Ø25 L=11</v>
      </c>
      <c r="G11" t="str">
        <v/>
      </c>
      <c r="H11">
        <v>41</v>
      </c>
      <c r="O11" t="str">
        <v>ВВГнг(А)-LS (3х4)</v>
      </c>
      <c r="P11">
        <v>722</v>
      </c>
      <c r="Q11">
        <v>867</v>
      </c>
    </row>
    <row r="12" spans="1:17" x14ac:dyDescent="0.3">
      <c r="A12" t="str">
        <v>ЩР-01</v>
      </c>
      <c r="B12" t="str">
        <v>ГРЩ-ЖД</v>
      </c>
      <c r="C12" t="str">
        <v>Щит распределительный ЩР-01 Цокольный этаж этаж Пом. №0.001Т</v>
      </c>
      <c r="D12" t="str">
        <v>ВВГнг(А)-LS (5х10)</v>
      </c>
      <c r="E12" t="str">
        <v/>
      </c>
      <c r="F12" t="str">
        <v xml:space="preserve"> L=14</v>
      </c>
      <c r="G12" t="str">
        <v/>
      </c>
      <c r="H12">
        <v>14</v>
      </c>
      <c r="O12" t="str">
        <v>5хВВГнг(А)-LS  (1х95)</v>
      </c>
      <c r="P12">
        <v>53</v>
      </c>
      <c r="Q12">
        <v>64</v>
      </c>
    </row>
    <row r="13" spans="1:17" x14ac:dyDescent="0.3">
      <c r="A13" t="str">
        <v>ЩР-1</v>
      </c>
      <c r="B13" t="str">
        <v>ГРЩ-ЖД</v>
      </c>
      <c r="C13" t="str">
        <v>Щит распределительный ЩР-1 Первый этаж этаж Пом. №1.003Б</v>
      </c>
      <c r="D13" t="str">
        <v>ВВГнг(А)-LS (5х16)</v>
      </c>
      <c r="E13" t="str">
        <v>L=51</v>
      </c>
      <c r="F13" t="str">
        <v xml:space="preserve"> L=9</v>
      </c>
      <c r="G13" t="str">
        <v/>
      </c>
      <c r="H13">
        <v>65</v>
      </c>
      <c r="O13" t="str">
        <v>ВВГнг(А)-LS (3х6)</v>
      </c>
      <c r="P13">
        <v>182</v>
      </c>
      <c r="Q13">
        <v>219</v>
      </c>
    </row>
    <row r="14" spans="1:17" x14ac:dyDescent="0.3">
      <c r="A14" t="str">
        <v>ЩР-2</v>
      </c>
      <c r="B14" t="str">
        <v>ГРЩ-ЖД</v>
      </c>
      <c r="C14" t="str">
        <v>Щит распределительный ЩР-2 Техэтаж этаж Пом. №3.001Т</v>
      </c>
      <c r="D14" t="str">
        <v>ВВГнг(А)-LS (5х4)</v>
      </c>
      <c r="E14" t="str">
        <v>L=40</v>
      </c>
      <c r="F14" t="str">
        <v>Ø25 L=11</v>
      </c>
      <c r="G14" t="str">
        <v/>
      </c>
      <c r="H14">
        <v>56</v>
      </c>
      <c r="O14" t="str">
        <v>ВВГнг(А)-LS (3х2,5)</v>
      </c>
      <c r="P14">
        <v>8649</v>
      </c>
      <c r="Q14">
        <v>10379</v>
      </c>
    </row>
    <row r="15" spans="1:17" x14ac:dyDescent="0.3">
      <c r="A15" t="str">
        <v>ЩС-Б</v>
      </c>
      <c r="B15" t="str">
        <v>ГРЩ-ЖД</v>
      </c>
      <c r="C15" t="str">
        <v>Щит бассейна ЩС-Б Подвальный этаж этаж Пом. №00.002Тб</v>
      </c>
      <c r="D15" t="str">
        <v>ВВГнг(А)-LS (5х10)</v>
      </c>
      <c r="E15" t="str">
        <v>L=35</v>
      </c>
      <c r="F15" t="str">
        <v xml:space="preserve"> L=11</v>
      </c>
      <c r="G15" t="str">
        <v/>
      </c>
      <c r="H15">
        <v>53</v>
      </c>
      <c r="O15" t="str">
        <v>ВВГнг(А)-LS (3х1,5)</v>
      </c>
      <c r="P15">
        <v>3581</v>
      </c>
      <c r="Q15">
        <v>4298</v>
      </c>
    </row>
    <row r="16" spans="1:17" x14ac:dyDescent="0.3">
      <c r="A16" t="str">
        <v>ЩС-ВК.001</v>
      </c>
      <c r="B16" t="str">
        <v>ГРЩ-ЖД</v>
      </c>
      <c r="C16" t="str">
        <v>Щит дренажных насосов ЩС-ВК.001 Подвальный этаж этаж Пом. 00.002Т</v>
      </c>
      <c r="D16" t="str">
        <v>ВВГнг(А)-LS (3х4)</v>
      </c>
      <c r="E16" t="str">
        <v>L=35</v>
      </c>
      <c r="F16" t="str">
        <v>Ø20 L=12</v>
      </c>
      <c r="G16" t="str">
        <v/>
      </c>
      <c r="H16">
        <v>52</v>
      </c>
      <c r="O16" t="str">
        <v>ВВГнг(А)-LS (5х185)</v>
      </c>
      <c r="P16">
        <v>51</v>
      </c>
      <c r="Q16">
        <v>62</v>
      </c>
    </row>
    <row r="17" spans="1:17" x14ac:dyDescent="0.3">
      <c r="A17" t="str">
        <v>ЩС-ВК.002</v>
      </c>
      <c r="B17" t="str">
        <v>ГРЩ-ЖД</v>
      </c>
      <c r="C17" t="str">
        <v>Щит насосов ЩС-ВК.002 Подвальный этаж этаж Пом. №00.002Тб</v>
      </c>
      <c r="D17" t="str">
        <v>ВВГнг(А)-LS (3х4)</v>
      </c>
      <c r="E17" t="str">
        <v>L=34</v>
      </c>
      <c r="F17" t="str">
        <v>Ø20 L=12</v>
      </c>
      <c r="G17" t="str">
        <v/>
      </c>
      <c r="H17">
        <v>51</v>
      </c>
      <c r="O17" t="str">
        <v>ВВГнг(А)-LS (5х25)</v>
      </c>
      <c r="P17">
        <v>242</v>
      </c>
      <c r="Q17">
        <v>291</v>
      </c>
    </row>
    <row r="18" spans="1:17" x14ac:dyDescent="0.3">
      <c r="A18" t="str">
        <v>ЩС-ВК.003</v>
      </c>
      <c r="B18" t="str">
        <v>ГРЩ-ЖД</v>
      </c>
      <c r="C18" t="str">
        <v>Щит насосов ЩС-ВК.003 Подвальный этаж этаж Пом. №00.006Т</v>
      </c>
      <c r="D18" t="str">
        <v>ВВГнг(А)-LS (3х4)</v>
      </c>
      <c r="E18" t="str">
        <v>L=48</v>
      </c>
      <c r="F18" t="str">
        <v>Ø20 L=5</v>
      </c>
      <c r="G18" t="str">
        <v/>
      </c>
      <c r="H18">
        <v>53</v>
      </c>
      <c r="O18" t="str">
        <v>ВВГнг(А)-LS (5х2,5)</v>
      </c>
      <c r="P18">
        <v>112</v>
      </c>
      <c r="Q18">
        <v>135</v>
      </c>
    </row>
    <row r="19" spans="1:17" x14ac:dyDescent="0.3">
      <c r="A19" t="str">
        <v>ЩУОВ</v>
      </c>
      <c r="B19" t="str">
        <v>ГРЩ-ЖД</v>
      </c>
      <c r="C19" t="str">
        <v>Щит управления обогрева воронок ЩУОВ Тех. этаж этаж Пом. №3.001</v>
      </c>
      <c r="D19" t="str">
        <v>ВВГнг(А)-LS (5х6)</v>
      </c>
      <c r="E19" t="str">
        <v>L=39</v>
      </c>
      <c r="F19" t="str">
        <v>Ø25 L=8</v>
      </c>
      <c r="G19" t="str">
        <v/>
      </c>
      <c r="H19">
        <v>52</v>
      </c>
      <c r="O19" t="str">
        <v>ВВГнг(А)-FRLS (5х2,5)</v>
      </c>
      <c r="P19">
        <v>32</v>
      </c>
      <c r="Q19">
        <v>39</v>
      </c>
    </row>
    <row r="20" spans="1:17" x14ac:dyDescent="0.3">
      <c r="A20" t="str">
        <v>ЩР-ПК</v>
      </c>
      <c r="B20" t="str">
        <v>ГРЩ-ЖД</v>
      </c>
      <c r="C20" t="str">
        <v>Щит профкухни ЩС-ПК Цокольный этаж этаж Пом. №0.0014Б</v>
      </c>
      <c r="D20" t="str">
        <v>5хВВГнг(А)-LS  (1х95)</v>
      </c>
      <c r="E20" t="str">
        <v>L=38</v>
      </c>
      <c r="F20" t="str">
        <v xml:space="preserve"> L=10</v>
      </c>
      <c r="G20" t="str">
        <v/>
      </c>
      <c r="H20">
        <v>53</v>
      </c>
      <c r="O20" t="str">
        <v>МКЭШнг(A)-LS (2х0,75)</v>
      </c>
      <c r="P20">
        <v>43</v>
      </c>
      <c r="Q20">
        <v>52</v>
      </c>
    </row>
    <row r="21" spans="1:17" x14ac:dyDescent="0.3">
      <c r="A21" t="str">
        <v>РЩ-1</v>
      </c>
      <c r="B21" t="str">
        <v>ГРЩ-ЖД</v>
      </c>
      <c r="C21" t="str">
        <v>Щит Хаммам РЩ-1  Подвальный этаж этаж Пом. №00.001Тб</v>
      </c>
      <c r="D21" t="str">
        <v>ВВГнг(А)-LS (5х16)</v>
      </c>
      <c r="E21" t="str">
        <v>L=33</v>
      </c>
      <c r="F21" t="str">
        <v xml:space="preserve"> L=21</v>
      </c>
      <c r="G21" t="str">
        <v/>
      </c>
      <c r="H21">
        <v>59</v>
      </c>
    </row>
    <row r="22" spans="1:17" x14ac:dyDescent="0.3">
      <c r="A22" t="str">
        <v>Э.4</v>
      </c>
      <c r="B22" t="str">
        <v>ГРЩ-ЖД</v>
      </c>
      <c r="C22" t="str">
        <v>Флоатинг. Цокольный этаж этаж Пом. №023A</v>
      </c>
      <c r="D22" t="str">
        <v>ВВГнг(А)-LS (3х6)</v>
      </c>
      <c r="E22" t="str">
        <v>L=43</v>
      </c>
      <c r="F22" t="str">
        <v>Ø25 L=9</v>
      </c>
      <c r="G22" t="str">
        <v/>
      </c>
      <c r="H22">
        <v>63</v>
      </c>
    </row>
    <row r="23" spans="1:17" x14ac:dyDescent="0.3">
      <c r="A23" t="str">
        <v>SEC1-21</v>
      </c>
      <c r="B23" t="str">
        <v>ГРЩ-ЖД</v>
      </c>
      <c r="C23" t="str">
        <v>Щит охранной сигнализации Подвальный этаж этаж Пом. №007Т</v>
      </c>
      <c r="D23" t="str">
        <v>ВВГнг(А)-LS (3х2,5)</v>
      </c>
      <c r="E23" t="str">
        <v>L=21</v>
      </c>
      <c r="F23" t="str">
        <v>Ø20 L=15</v>
      </c>
      <c r="G23" t="str">
        <v/>
      </c>
      <c r="H23">
        <v>44</v>
      </c>
    </row>
    <row r="24" spans="1:17" x14ac:dyDescent="0.3">
      <c r="A24" t="str">
        <v>Ввод.1</v>
      </c>
      <c r="B24" t="str">
        <v>ЩГП</v>
      </c>
      <c r="C24" t="str">
        <v>Вводной кабель Шлейф №1</v>
      </c>
      <c r="D24" t="str">
        <v>ВВГнг(А)-LS (5х10)</v>
      </c>
      <c r="E24" t="str">
        <v>L=34</v>
      </c>
      <c r="F24" t="str">
        <v xml:space="preserve"> L=12</v>
      </c>
      <c r="G24" t="str">
        <v/>
      </c>
      <c r="H24">
        <v>51</v>
      </c>
    </row>
    <row r="25" spans="1:17" x14ac:dyDescent="0.3">
      <c r="A25" t="str">
        <v>ЩО-001</v>
      </c>
      <c r="B25" t="str">
        <v>ЩГП</v>
      </c>
      <c r="C25" t="str">
        <v>Щит освещения ЩО-2 Подвальный этаж этаж Пом. №3.001</v>
      </c>
      <c r="D25" t="str">
        <v>ВВГнг(А)-LS (5х6)</v>
      </c>
      <c r="E25" t="str">
        <v>L=25</v>
      </c>
      <c r="F25" t="str">
        <v>Ø25 L=11</v>
      </c>
      <c r="G25" t="str">
        <v/>
      </c>
      <c r="H25">
        <v>41</v>
      </c>
    </row>
    <row r="26" spans="1:17" x14ac:dyDescent="0.3">
      <c r="A26" t="str">
        <v>ЩО-01</v>
      </c>
      <c r="B26" t="str">
        <v>ЩГП</v>
      </c>
      <c r="C26" t="str">
        <v>Щит освещения ЩО-2 Цокольный этаж этаж Пом. №001Т</v>
      </c>
      <c r="D26" t="str">
        <v>ВВГнг(А)-LS (5х6)</v>
      </c>
      <c r="E26" t="str">
        <v/>
      </c>
      <c r="F26" t="str">
        <v>Ø25 L=15</v>
      </c>
      <c r="G26" t="str">
        <v/>
      </c>
      <c r="H26">
        <v>15</v>
      </c>
    </row>
    <row r="27" spans="1:17" x14ac:dyDescent="0.3">
      <c r="A27" t="str">
        <v>Ввод.1</v>
      </c>
      <c r="B27" t="str">
        <v>ЩО-001</v>
      </c>
      <c r="C27" t="str">
        <v>Ввод</v>
      </c>
      <c r="D27" t="str">
        <v>ВВГнг(А)-LS (5х10)</v>
      </c>
      <c r="E27" t="str">
        <v/>
      </c>
      <c r="F27" t="str">
        <v/>
      </c>
      <c r="G27" t="str">
        <v/>
      </c>
      <c r="H27" t="str">
        <v/>
      </c>
    </row>
    <row r="28" spans="1:17" x14ac:dyDescent="0.3">
      <c r="A28" t="str">
        <v>L.00.001T.1</v>
      </c>
      <c r="B28" t="str">
        <v>ЩО-001</v>
      </c>
      <c r="C28" t="str">
        <v>Осветительная группа Подвальный этаж Пом. №001T</v>
      </c>
      <c r="D28" t="str">
        <v>ВВГнг(А)-LS (3х1,5)</v>
      </c>
      <c r="E28" t="str">
        <v>L=9</v>
      </c>
      <c r="F28" t="str">
        <v/>
      </c>
      <c r="G28" t="str">
        <v>Ø20 L=34</v>
      </c>
      <c r="H28">
        <v>27</v>
      </c>
    </row>
    <row r="29" spans="1:17" x14ac:dyDescent="0.3">
      <c r="A29" t="str">
        <v>L.00.001Б.2</v>
      </c>
      <c r="B29" t="str">
        <v>ЩО-001</v>
      </c>
      <c r="C29" t="str">
        <v>Осветительная группа Подвальный этаж Пом. №001Б</v>
      </c>
      <c r="D29" t="str">
        <v>ВВГнг(А)-LS (3х1,5)</v>
      </c>
      <c r="E29" t="str">
        <v>L=51</v>
      </c>
      <c r="F29" t="str">
        <v/>
      </c>
      <c r="G29" t="str">
        <v>Ø20 L=143</v>
      </c>
      <c r="H29">
        <v>163</v>
      </c>
    </row>
    <row r="30" spans="1:17" x14ac:dyDescent="0.3">
      <c r="A30" t="str">
        <v>L.00.001Б.3</v>
      </c>
      <c r="B30" t="str">
        <v>ЩО-001</v>
      </c>
      <c r="C30" t="str">
        <v>Осветительная группа Подвальный этаж Пом. №001Б</v>
      </c>
      <c r="D30" t="str">
        <v>ВВГнг(А)-LS (3х1,5)</v>
      </c>
      <c r="E30" t="str">
        <v>L=33</v>
      </c>
      <c r="F30" t="str">
        <v/>
      </c>
      <c r="G30" t="str">
        <v>Ø20 L=118</v>
      </c>
      <c r="H30">
        <v>126</v>
      </c>
    </row>
    <row r="31" spans="1:17" x14ac:dyDescent="0.3">
      <c r="A31" t="str">
        <v>L.00.001Т.1</v>
      </c>
      <c r="B31" t="str">
        <v>ЩО-001</v>
      </c>
      <c r="C31" t="str">
        <v>Осветительная группа Подвальный этаж Пом. №001Т</v>
      </c>
      <c r="D31" t="str">
        <v>ВВГнг(А)-LS (3х1,5)</v>
      </c>
      <c r="E31" t="str">
        <v>L=3</v>
      </c>
      <c r="F31" t="str">
        <v/>
      </c>
      <c r="G31" t="str">
        <v>Ø20 L=27</v>
      </c>
      <c r="H31">
        <v>26</v>
      </c>
    </row>
    <row r="32" spans="1:17" x14ac:dyDescent="0.3">
      <c r="A32" t="str">
        <v>L.00.002Б.1</v>
      </c>
      <c r="B32" t="str">
        <v>ЩО-001</v>
      </c>
      <c r="C32" t="str">
        <v>Осветительная группа Подвальный этаж Пом. №002Б</v>
      </c>
      <c r="D32" t="str">
        <v>ВВГнг(А)-LS (3х1,5)</v>
      </c>
      <c r="E32" t="str">
        <v>L=3</v>
      </c>
      <c r="F32" t="str">
        <v/>
      </c>
      <c r="G32" t="str">
        <v>Ø20 L=39</v>
      </c>
      <c r="H32">
        <v>41</v>
      </c>
    </row>
    <row r="33" spans="1:8" x14ac:dyDescent="0.3">
      <c r="A33" t="str">
        <v>L.00.002Т.1</v>
      </c>
      <c r="B33" t="str">
        <v>ЩО-001</v>
      </c>
      <c r="C33" t="str">
        <v>Осветительная группа Подвальный этаж Пом. №002Т</v>
      </c>
      <c r="D33" t="str">
        <v>ВВГнг(А)-LS (3х1,5)</v>
      </c>
      <c r="E33" t="str">
        <v>L=15</v>
      </c>
      <c r="F33" t="str">
        <v>Ø20 L=40</v>
      </c>
      <c r="G33" t="str">
        <v/>
      </c>
      <c r="H33">
        <v>63</v>
      </c>
    </row>
    <row r="34" spans="1:8" x14ac:dyDescent="0.3">
      <c r="A34" t="str">
        <v>L.00.003Б.1</v>
      </c>
      <c r="B34" t="str">
        <v>ЩО-001</v>
      </c>
      <c r="C34" t="str">
        <v>Осветительная группа Подвальный этаж Пом. №003Б</v>
      </c>
      <c r="D34" t="str">
        <v>ВВГнг(А)-LS (3х1,5)</v>
      </c>
      <c r="E34" t="str">
        <v>L=38</v>
      </c>
      <c r="F34" t="str">
        <v/>
      </c>
      <c r="G34" t="str">
        <v>Ø20 L=85</v>
      </c>
      <c r="H34">
        <v>91</v>
      </c>
    </row>
    <row r="35" spans="1:8" x14ac:dyDescent="0.3">
      <c r="A35" t="str">
        <v>L.00.003Tб.1</v>
      </c>
      <c r="B35" t="str">
        <v>ЩО-001</v>
      </c>
      <c r="C35" t="str">
        <v>Осветительная группа Подвальный этаж Пом. №003Tб</v>
      </c>
      <c r="D35" t="str">
        <v>ВВГнг(А)-LS (3х1,5)</v>
      </c>
      <c r="E35" t="str">
        <v>L=13</v>
      </c>
      <c r="F35" t="str">
        <v/>
      </c>
      <c r="G35" t="str">
        <v>Ø20 L=42</v>
      </c>
      <c r="H35">
        <v>37</v>
      </c>
    </row>
    <row r="36" spans="1:8" x14ac:dyDescent="0.3">
      <c r="A36" t="str">
        <v>L.00.004Б.1</v>
      </c>
      <c r="B36" t="str">
        <v>ЩО-001</v>
      </c>
      <c r="C36" t="str">
        <v>Осветительная группа Подвальный этаж Пом. №004Б</v>
      </c>
      <c r="D36" t="str">
        <v>ВВГнг(А)-LS (3х1,5)</v>
      </c>
      <c r="E36" t="str">
        <v>L=17</v>
      </c>
      <c r="F36" t="str">
        <v/>
      </c>
      <c r="G36" t="str">
        <v>Ø20 L=60</v>
      </c>
      <c r="H36">
        <v>66</v>
      </c>
    </row>
    <row r="37" spans="1:8" x14ac:dyDescent="0.3">
      <c r="A37" t="str">
        <v>L.00.004Т.1</v>
      </c>
      <c r="B37" t="str">
        <v>ЩО-001</v>
      </c>
      <c r="C37" t="str">
        <v>Осветительная группа Подвальный этаж Пом. №004Т</v>
      </c>
      <c r="D37" t="str">
        <v>ВВГнг(А)-LS (3х1,5)</v>
      </c>
      <c r="E37" t="str">
        <v>L=10</v>
      </c>
      <c r="F37" t="str">
        <v/>
      </c>
      <c r="G37" t="str">
        <v>Ø20 L=15</v>
      </c>
      <c r="H37">
        <v>19</v>
      </c>
    </row>
    <row r="38" spans="1:8" x14ac:dyDescent="0.3">
      <c r="A38" t="str">
        <v>L.00.005Б.1</v>
      </c>
      <c r="B38" t="str">
        <v>ЩО-001</v>
      </c>
      <c r="C38" t="str">
        <v>Осветительная группа Подвальный этаж Пом. №005Б</v>
      </c>
      <c r="D38" t="str">
        <v>ВВГнг(А)-LS (3х1,5)</v>
      </c>
      <c r="E38" t="str">
        <v>L=17</v>
      </c>
      <c r="F38" t="str">
        <v/>
      </c>
      <c r="G38" t="str">
        <v>Ø20 L=56</v>
      </c>
      <c r="H38">
        <v>62</v>
      </c>
    </row>
    <row r="39" spans="1:8" x14ac:dyDescent="0.3">
      <c r="A39" t="str">
        <v>L.00.005Т.1</v>
      </c>
      <c r="B39" t="str">
        <v>ЩО-001</v>
      </c>
      <c r="C39" t="str">
        <v>Осветительная группа Подвальный этаж Пом. №005Т</v>
      </c>
      <c r="D39" t="str">
        <v>ВВГнг(А)-LS (3х1,5)</v>
      </c>
      <c r="E39" t="str">
        <v>L=19</v>
      </c>
      <c r="F39" t="str">
        <v>Ø20 L=53</v>
      </c>
      <c r="G39" t="str">
        <v/>
      </c>
      <c r="H39">
        <v>80</v>
      </c>
    </row>
    <row r="40" spans="1:8" x14ac:dyDescent="0.3">
      <c r="A40" t="str">
        <v>L.00.006Б.1</v>
      </c>
      <c r="B40" t="str">
        <v>ЩО-001</v>
      </c>
      <c r="C40" t="str">
        <v>Осветительная группа Подвальный этаж Пом. №006Б</v>
      </c>
      <c r="D40" t="str">
        <v>ВВГнг(А)-LS (3х1,5)</v>
      </c>
      <c r="E40" t="str">
        <v>L=7</v>
      </c>
      <c r="F40" t="str">
        <v/>
      </c>
      <c r="G40" t="str">
        <v>Ø20 L=28</v>
      </c>
      <c r="H40">
        <v>32</v>
      </c>
    </row>
    <row r="41" spans="1:8" x14ac:dyDescent="0.3">
      <c r="A41" t="str">
        <v>L.00.006Т.1</v>
      </c>
      <c r="B41" t="str">
        <v>ЩО-001</v>
      </c>
      <c r="C41" t="str">
        <v>Осветительная группа Подвальный этаж Пом. №006Т</v>
      </c>
      <c r="D41" t="str">
        <v>ВВГнг(А)-LS (3х1,5)</v>
      </c>
      <c r="E41" t="str">
        <v>L=33</v>
      </c>
      <c r="F41" t="str">
        <v>Ø20 L=89</v>
      </c>
      <c r="G41" t="str">
        <v/>
      </c>
      <c r="H41">
        <v>127</v>
      </c>
    </row>
    <row r="42" spans="1:8" x14ac:dyDescent="0.3">
      <c r="A42" t="str">
        <v>L.00.007Б.1</v>
      </c>
      <c r="B42" t="str">
        <v>ЩО-001</v>
      </c>
      <c r="C42" t="str">
        <v>Осветительная группа Подвальный этаж Пом. №007Б</v>
      </c>
      <c r="D42" t="str">
        <v>ВВГнг(А)-LS (3х1,5)</v>
      </c>
      <c r="E42" t="str">
        <v>L=33</v>
      </c>
      <c r="F42" t="str">
        <v>Ø20 L=57</v>
      </c>
      <c r="G42" t="str">
        <v/>
      </c>
      <c r="H42">
        <v>95</v>
      </c>
    </row>
    <row r="43" spans="1:8" x14ac:dyDescent="0.3">
      <c r="A43" t="str">
        <v>L.00.007Т.1</v>
      </c>
      <c r="B43" t="str">
        <v>ЩО-001</v>
      </c>
      <c r="C43" t="str">
        <v>Осветительная группа Подвальный этаж Пом. №007Т</v>
      </c>
      <c r="D43" t="str">
        <v>ВВГнг(А)-LS (3х1,5)</v>
      </c>
      <c r="E43" t="str">
        <v>L=7</v>
      </c>
      <c r="F43" t="str">
        <v/>
      </c>
      <c r="G43" t="str">
        <v>Ø20 L=42</v>
      </c>
      <c r="H43">
        <v>46</v>
      </c>
    </row>
    <row r="44" spans="1:8" x14ac:dyDescent="0.3">
      <c r="A44" t="str">
        <v>L.00.008T.1</v>
      </c>
      <c r="B44" t="str">
        <v>ЩО-001</v>
      </c>
      <c r="C44" t="str">
        <v>Осветительная группа Подвальный этаж Пом. №008T</v>
      </c>
      <c r="D44" t="str">
        <v>ВВГнг(А)-LS (3х1,5)</v>
      </c>
      <c r="E44" t="str">
        <v>L=14</v>
      </c>
      <c r="F44" t="str">
        <v/>
      </c>
      <c r="G44" t="str">
        <v>Ø20 L=69</v>
      </c>
      <c r="H44">
        <v>63</v>
      </c>
    </row>
    <row r="45" spans="1:8" x14ac:dyDescent="0.3">
      <c r="A45" t="str">
        <v>L.00.009Б.1</v>
      </c>
      <c r="B45" t="str">
        <v>ЩО-001</v>
      </c>
      <c r="C45" t="str">
        <v>Осветительная группа Подвальный этаж Пом. №009Б</v>
      </c>
      <c r="D45" t="str">
        <v>ВВГнг(А)-LS (3х1,5)</v>
      </c>
      <c r="E45" t="str">
        <v>L=6</v>
      </c>
      <c r="F45" t="str">
        <v/>
      </c>
      <c r="G45" t="str">
        <v>Ø20 L=31</v>
      </c>
      <c r="H45">
        <v>33</v>
      </c>
    </row>
    <row r="46" spans="1:8" x14ac:dyDescent="0.3">
      <c r="A46" t="str">
        <v>L.00.010Б.1</v>
      </c>
      <c r="B46" t="str">
        <v>ЩО-001</v>
      </c>
      <c r="C46" t="str">
        <v>Осветительная группа Подвальный этаж Пом. №010Б</v>
      </c>
      <c r="D46" t="str">
        <v>ВВГнг(А)-LS (3х1,5)</v>
      </c>
      <c r="E46" t="str">
        <v/>
      </c>
      <c r="F46" t="str">
        <v>Ø20 L=70</v>
      </c>
      <c r="G46" t="str">
        <v/>
      </c>
      <c r="H46">
        <v>78</v>
      </c>
    </row>
    <row r="47" spans="1:8" x14ac:dyDescent="0.3">
      <c r="A47" t="str">
        <v>L.00.003T.1</v>
      </c>
      <c r="B47" t="str">
        <v>ЩО-001</v>
      </c>
      <c r="C47" t="str">
        <v>Осветительная группа Подвальный этаж Пом. №003T</v>
      </c>
      <c r="D47" t="str">
        <v>ВВГнг(А)-LS (3х1,5)</v>
      </c>
      <c r="E47" t="str">
        <v>L=8</v>
      </c>
      <c r="F47" t="str">
        <v>Ø20 L=71</v>
      </c>
      <c r="G47" t="str">
        <v/>
      </c>
      <c r="H47">
        <v>87</v>
      </c>
    </row>
    <row r="48" spans="1:8" x14ac:dyDescent="0.3">
      <c r="A48" t="str">
        <v>Ввод.1</v>
      </c>
      <c r="B48" t="str">
        <v>ЩОВ-001</v>
      </c>
      <c r="C48" t="str">
        <v>Ввод</v>
      </c>
      <c r="D48" t="str">
        <v>ВВГнг(А)-LS (5х185)</v>
      </c>
      <c r="E48" t="str">
        <v>L=37</v>
      </c>
      <c r="F48" t="str">
        <v xml:space="preserve"> L=14</v>
      </c>
      <c r="G48" t="str">
        <v/>
      </c>
      <c r="H48">
        <v>51</v>
      </c>
    </row>
    <row r="49" spans="1:8" x14ac:dyDescent="0.3">
      <c r="A49" t="str">
        <v>В.3</v>
      </c>
      <c r="B49" t="str">
        <v>ЩОВ-001</v>
      </c>
      <c r="C49" t="str">
        <v>Вытяжная установка Пом №006T</v>
      </c>
      <c r="D49" t="str">
        <v>ВВГнг(А)-LS (3х1,5)</v>
      </c>
      <c r="E49" t="str">
        <v/>
      </c>
      <c r="F49" t="str">
        <v>Ø20 L=21</v>
      </c>
      <c r="G49" t="str">
        <v/>
      </c>
      <c r="H49">
        <v>21</v>
      </c>
    </row>
    <row r="50" spans="1:8" x14ac:dyDescent="0.3">
      <c r="A50" t="str">
        <v>В.9</v>
      </c>
      <c r="B50" t="str">
        <v>ЩОВ-001</v>
      </c>
      <c r="C50" t="str">
        <v>Вытяжная установка Пом №006T</v>
      </c>
      <c r="D50" t="str">
        <v>ВВГнг(А)-LS (3х1,5)</v>
      </c>
      <c r="E50" t="str">
        <v/>
      </c>
      <c r="F50" t="str">
        <v>Ø20 L=17</v>
      </c>
      <c r="G50" t="str">
        <v/>
      </c>
      <c r="H50">
        <v>17</v>
      </c>
    </row>
    <row r="51" spans="1:8" x14ac:dyDescent="0.3">
      <c r="A51" t="str">
        <v>В.11</v>
      </c>
      <c r="B51" t="str">
        <v>ЩОВ-001</v>
      </c>
      <c r="C51" t="str">
        <v>Вытяжная установка Подвальный этаж Пом №006T</v>
      </c>
      <c r="D51" t="str">
        <v>ВВГнг(А)-LS (3х1,5)</v>
      </c>
      <c r="E51" t="str">
        <v/>
      </c>
      <c r="F51" t="str">
        <v>Ø20 L=18</v>
      </c>
      <c r="G51" t="str">
        <v/>
      </c>
      <c r="H51">
        <v>18</v>
      </c>
    </row>
    <row r="52" spans="1:8" x14ac:dyDescent="0.3">
      <c r="A52" t="str">
        <v>В.12</v>
      </c>
      <c r="B52" t="str">
        <v>ЩОВ-001</v>
      </c>
      <c r="C52" t="str">
        <v>Вытяжная установка Подвальный этаж Пом №006T</v>
      </c>
      <c r="D52" t="str">
        <v>ВВГнг(А)-LS (3х1,5)</v>
      </c>
      <c r="E52" t="str">
        <v/>
      </c>
      <c r="F52" t="str">
        <v>Ø20 L=15</v>
      </c>
      <c r="G52" t="str">
        <v/>
      </c>
      <c r="H52">
        <v>15</v>
      </c>
    </row>
    <row r="53" spans="1:8" x14ac:dyDescent="0.3">
      <c r="A53" t="str">
        <v>В.13</v>
      </c>
      <c r="B53" t="str">
        <v>ЩОВ-001</v>
      </c>
      <c r="C53" t="str">
        <v>Вытяжная установка Подвальный этаж Пом №006T</v>
      </c>
      <c r="D53" t="str">
        <v>ВВГнг(А)-LS (3х1,5)</v>
      </c>
      <c r="E53" t="str">
        <v/>
      </c>
      <c r="F53" t="str">
        <v>Ø20 L=16</v>
      </c>
      <c r="G53" t="str">
        <v/>
      </c>
      <c r="H53">
        <v>16</v>
      </c>
    </row>
    <row r="54" spans="1:8" x14ac:dyDescent="0.3">
      <c r="A54" t="str">
        <v>В.17</v>
      </c>
      <c r="B54" t="str">
        <v>ЩОВ-001</v>
      </c>
      <c r="C54" t="str">
        <v>Вытяжная установка Подвальный этаж Пом №006T</v>
      </c>
      <c r="D54" t="str">
        <v>ВВГнг(А)-LS (3х1,5)</v>
      </c>
      <c r="E54" t="str">
        <v/>
      </c>
      <c r="F54" t="str">
        <v>Ø20 L=20</v>
      </c>
      <c r="G54" t="str">
        <v/>
      </c>
      <c r="H54">
        <v>20</v>
      </c>
    </row>
    <row r="55" spans="1:8" x14ac:dyDescent="0.3">
      <c r="A55" t="str">
        <v>В.18</v>
      </c>
      <c r="B55" t="str">
        <v>ЩОВ-001</v>
      </c>
      <c r="C55" t="str">
        <v>Вытяжная установка Подвальный этаж Пом №006T</v>
      </c>
      <c r="D55" t="str">
        <v>ВВГнг(А)-LS (3х1,5)</v>
      </c>
      <c r="E55" t="str">
        <v/>
      </c>
      <c r="F55" t="str">
        <v>Ø20 L=23</v>
      </c>
      <c r="G55" t="str">
        <v/>
      </c>
      <c r="H55">
        <v>23</v>
      </c>
    </row>
    <row r="56" spans="1:8" x14ac:dyDescent="0.3">
      <c r="A56" t="str">
        <v>П.1</v>
      </c>
      <c r="B56" t="str">
        <v>ЩОВ-001</v>
      </c>
      <c r="C56" t="str">
        <v>Приточная установка Пом №006Т</v>
      </c>
      <c r="D56" t="str">
        <v>ВВГнг(А)-LS (3х1,5)</v>
      </c>
      <c r="E56" t="str">
        <v/>
      </c>
      <c r="F56" t="str">
        <v>Ø20 L=15</v>
      </c>
      <c r="G56" t="str">
        <v/>
      </c>
      <c r="H56">
        <v>15</v>
      </c>
    </row>
    <row r="57" spans="1:8" x14ac:dyDescent="0.3">
      <c r="A57" t="str">
        <v>П.2</v>
      </c>
      <c r="B57" t="str">
        <v>ЩОВ-001</v>
      </c>
      <c r="C57" t="str">
        <v>Приточная установка Пом №006Т</v>
      </c>
      <c r="D57" t="str">
        <v>ВВГнг(А)-LS (3х1,5)</v>
      </c>
      <c r="E57" t="str">
        <v/>
      </c>
      <c r="F57" t="str">
        <v>Ø20 L=26</v>
      </c>
      <c r="G57" t="str">
        <v/>
      </c>
      <c r="H57">
        <v>26</v>
      </c>
    </row>
    <row r="58" spans="1:8" x14ac:dyDescent="0.3">
      <c r="A58" t="str">
        <v>П.4</v>
      </c>
      <c r="B58" t="str">
        <v>ЩОВ-001</v>
      </c>
      <c r="C58" t="str">
        <v>Приточная установка Пом №006Т</v>
      </c>
      <c r="D58" t="str">
        <v>ВВГнг(А)-LS (3х1,5)</v>
      </c>
      <c r="E58" t="str">
        <v/>
      </c>
      <c r="F58" t="str">
        <v>Ø20 L=23</v>
      </c>
      <c r="G58" t="str">
        <v/>
      </c>
      <c r="H58">
        <v>23</v>
      </c>
    </row>
    <row r="59" spans="1:8" x14ac:dyDescent="0.3">
      <c r="A59" t="str">
        <v>ПВ.2</v>
      </c>
      <c r="B59" t="str">
        <v>ЩОВ-001</v>
      </c>
      <c r="C59" t="str">
        <v>Приточно-вытяжная установка Подвальный этаж Пом. №006Т</v>
      </c>
      <c r="D59" t="str">
        <v>ВВГнг(А)-LS (3х2,5)</v>
      </c>
      <c r="E59" t="str">
        <v/>
      </c>
      <c r="F59" t="str">
        <v>Ø20 L=27</v>
      </c>
      <c r="G59" t="str">
        <v/>
      </c>
      <c r="H59">
        <v>27</v>
      </c>
    </row>
    <row r="60" spans="1:8" x14ac:dyDescent="0.3">
      <c r="A60" t="str">
        <v>ПВ.3</v>
      </c>
      <c r="B60" t="str">
        <v>ЩОВ-001</v>
      </c>
      <c r="C60" t="str">
        <v>Приточно-вытяжная установка Подвальный этаж Пом. №006Т</v>
      </c>
      <c r="D60" t="str">
        <v>ВВГнг(А)-LS (3х1,5)</v>
      </c>
      <c r="E60" t="str">
        <v/>
      </c>
      <c r="F60" t="str">
        <v>Ø20 L=28</v>
      </c>
      <c r="G60" t="str">
        <v/>
      </c>
      <c r="H60">
        <v>28</v>
      </c>
    </row>
    <row r="61" spans="1:8" x14ac:dyDescent="0.3">
      <c r="A61" t="str">
        <v>ПВ.4</v>
      </c>
      <c r="B61" t="str">
        <v>ЩОВ-001</v>
      </c>
      <c r="C61" t="str">
        <v>Приточно-вытяжная установка Подвальный этаж Пом. №006Т</v>
      </c>
      <c r="D61" t="str">
        <v>ВВГнг(А)-LS (3х1,5)</v>
      </c>
      <c r="E61" t="str">
        <v/>
      </c>
      <c r="F61" t="str">
        <v>Ø20 L=27</v>
      </c>
      <c r="G61" t="str">
        <v/>
      </c>
      <c r="H61">
        <v>27</v>
      </c>
    </row>
    <row r="62" spans="1:8" x14ac:dyDescent="0.3">
      <c r="A62" t="str">
        <v>К.1.017А.1</v>
      </c>
      <c r="B62" t="str">
        <v>ЩОВ-001</v>
      </c>
      <c r="C62" t="str">
        <v>Внутренний блок кондиционера Подвальный этаж Пом. №006Т</v>
      </c>
      <c r="D62" t="str">
        <v>ВВГнг(А)-LS (3х1,5)</v>
      </c>
      <c r="E62" t="str">
        <v/>
      </c>
      <c r="F62" t="str">
        <v>Ø20 L=16</v>
      </c>
      <c r="G62" t="str">
        <v/>
      </c>
      <c r="H62">
        <v>16</v>
      </c>
    </row>
    <row r="63" spans="1:8" x14ac:dyDescent="0.3">
      <c r="A63" t="str">
        <v>К.1.021А.1</v>
      </c>
      <c r="B63" t="str">
        <v>ЩОВ-001</v>
      </c>
      <c r="C63" t="str">
        <v>Внутренний блок кондиционера Подвальный этаж Пом. №006Т</v>
      </c>
      <c r="D63" t="str">
        <v>ВВГнг(А)-LS (3х1,5)</v>
      </c>
      <c r="E63" t="str">
        <v/>
      </c>
      <c r="F63" t="str">
        <v>Ø20 L=16</v>
      </c>
      <c r="G63" t="str">
        <v/>
      </c>
      <c r="H63">
        <v>16</v>
      </c>
    </row>
    <row r="64" spans="1:8" x14ac:dyDescent="0.3">
      <c r="A64" t="str">
        <v>K.1</v>
      </c>
      <c r="B64" t="str">
        <v>ЩОВ-001</v>
      </c>
      <c r="C64" t="str">
        <v>Внешний блок кондиционирования Пом. Венткиосок</v>
      </c>
      <c r="D64" t="str">
        <v>ВВГнг(А)-LS (3х2,5)</v>
      </c>
      <c r="E64" t="str">
        <v/>
      </c>
      <c r="F64" t="str">
        <v>Ø20 L=35</v>
      </c>
      <c r="G64" t="str">
        <v/>
      </c>
      <c r="H64">
        <v>38</v>
      </c>
    </row>
    <row r="65" spans="1:8" x14ac:dyDescent="0.3">
      <c r="A65" t="str">
        <v>K.2</v>
      </c>
      <c r="B65" t="str">
        <v>ЩОВ-001</v>
      </c>
      <c r="C65" t="str">
        <v>Внешний блок кондиционирования Пом. Венткиосок</v>
      </c>
      <c r="D65" t="str">
        <v>ВВГнг(А)-LS (3х2,5)</v>
      </c>
      <c r="E65" t="str">
        <v/>
      </c>
      <c r="F65" t="str">
        <v>Ø20 L=35</v>
      </c>
      <c r="G65" t="str">
        <v/>
      </c>
      <c r="H65">
        <v>38</v>
      </c>
    </row>
    <row r="66" spans="1:8" x14ac:dyDescent="0.3">
      <c r="A66" t="str">
        <v>K.3</v>
      </c>
      <c r="B66" t="str">
        <v>ЩОВ-001</v>
      </c>
      <c r="C66" t="str">
        <v>Внешний блок кондиционирования Пом. Венткиосок</v>
      </c>
      <c r="D66" t="str">
        <v>ВВГнг(А)-LS (3х2,5)</v>
      </c>
      <c r="E66" t="str">
        <v/>
      </c>
      <c r="F66" t="str">
        <v>Ø20 L=35</v>
      </c>
      <c r="G66" t="str">
        <v/>
      </c>
      <c r="H66">
        <v>38</v>
      </c>
    </row>
    <row r="67" spans="1:8" x14ac:dyDescent="0.3">
      <c r="A67" t="str">
        <v>K.4</v>
      </c>
      <c r="B67" t="str">
        <v>ЩОВ-001</v>
      </c>
      <c r="C67" t="str">
        <v>Внешний блок кондиционирования Пом. Венткиосок</v>
      </c>
      <c r="D67" t="str">
        <v>ВВГнг(А)-LS (3х2,5)</v>
      </c>
      <c r="E67" t="str">
        <v/>
      </c>
      <c r="F67" t="str">
        <v>Ø20 L=35</v>
      </c>
      <c r="G67" t="str">
        <v/>
      </c>
      <c r="H67">
        <v>38</v>
      </c>
    </row>
    <row r="68" spans="1:8" x14ac:dyDescent="0.3">
      <c r="A68" t="str">
        <v>K.5</v>
      </c>
      <c r="B68" t="str">
        <v>ЩОВ-001</v>
      </c>
      <c r="C68" t="str">
        <v>Внешний блок кондиционирования Пом. Венткиосок</v>
      </c>
      <c r="D68" t="str">
        <v>ВВГнг(А)-LS (3х2,5)</v>
      </c>
      <c r="E68" t="str">
        <v/>
      </c>
      <c r="F68" t="str">
        <v>Ø20 L=31</v>
      </c>
      <c r="G68" t="str">
        <v/>
      </c>
      <c r="H68">
        <v>35</v>
      </c>
    </row>
    <row r="69" spans="1:8" x14ac:dyDescent="0.3">
      <c r="A69" t="str">
        <v>K.6</v>
      </c>
      <c r="B69" t="str">
        <v>ЩОВ-001</v>
      </c>
      <c r="C69" t="str">
        <v>Внешний блок кондиционирования Пом. Венткиосок</v>
      </c>
      <c r="D69" t="str">
        <v>ВВГнг(А)-LS (3х2,5)</v>
      </c>
      <c r="E69" t="str">
        <v/>
      </c>
      <c r="F69" t="str">
        <v>Ø20 L=31</v>
      </c>
      <c r="G69" t="str">
        <v/>
      </c>
      <c r="H69">
        <v>35</v>
      </c>
    </row>
    <row r="70" spans="1:8" x14ac:dyDescent="0.3">
      <c r="A70" t="str">
        <v>K.7</v>
      </c>
      <c r="B70" t="str">
        <v>ЩОВ-001</v>
      </c>
      <c r="C70" t="str">
        <v>Внешний блок кондиционирования Пом. Венткиосок</v>
      </c>
      <c r="D70" t="str">
        <v>ВВГнг(А)-LS (3х2,5)</v>
      </c>
      <c r="E70" t="str">
        <v/>
      </c>
      <c r="F70" t="str">
        <v>Ø20 L=31</v>
      </c>
      <c r="G70" t="str">
        <v/>
      </c>
      <c r="H70">
        <v>35</v>
      </c>
    </row>
    <row r="71" spans="1:8" x14ac:dyDescent="0.3">
      <c r="A71" t="str">
        <v>K.8</v>
      </c>
      <c r="B71" t="str">
        <v>ЩОВ-001</v>
      </c>
      <c r="C71" t="str">
        <v>Внешний блок кондиционирования Пом. Венткиосок</v>
      </c>
      <c r="D71" t="str">
        <v>ВВГнг(А)-LS (3х2,5)</v>
      </c>
      <c r="E71" t="str">
        <v/>
      </c>
      <c r="F71" t="str">
        <v>Ø20 L=31</v>
      </c>
      <c r="G71" t="str">
        <v/>
      </c>
      <c r="H71">
        <v>35</v>
      </c>
    </row>
    <row r="72" spans="1:8" x14ac:dyDescent="0.3">
      <c r="A72" t="str">
        <v>K.9</v>
      </c>
      <c r="B72" t="str">
        <v>ЩОВ-001</v>
      </c>
      <c r="C72" t="str">
        <v>Внешний блок кондиционирования Пом. Венткиосок</v>
      </c>
      <c r="D72" t="str">
        <v>ВВГнг(А)-LS (3х2,5)</v>
      </c>
      <c r="E72" t="str">
        <v/>
      </c>
      <c r="F72" t="str">
        <v>Ø20 L=28</v>
      </c>
      <c r="G72" t="str">
        <v/>
      </c>
      <c r="H72">
        <v>32</v>
      </c>
    </row>
    <row r="73" spans="1:8" x14ac:dyDescent="0.3">
      <c r="A73" t="str">
        <v>K.10</v>
      </c>
      <c r="B73" t="str">
        <v>ЩОВ-001</v>
      </c>
      <c r="C73" t="str">
        <v>Внешний блок кондиционирования Пом. Венткиосок</v>
      </c>
      <c r="D73" t="str">
        <v>ВВГнг(А)-LS (3х2,5)</v>
      </c>
      <c r="E73" t="str">
        <v/>
      </c>
      <c r="F73" t="str">
        <v>Ø20 L=28</v>
      </c>
      <c r="G73" t="str">
        <v/>
      </c>
      <c r="H73">
        <v>32</v>
      </c>
    </row>
    <row r="74" spans="1:8" x14ac:dyDescent="0.3">
      <c r="A74" t="str">
        <v>K.11</v>
      </c>
      <c r="B74" t="str">
        <v>ЩОВ-001</v>
      </c>
      <c r="C74" t="str">
        <v>Внешний блок кондиционирования Пом. Венткиосок</v>
      </c>
      <c r="D74" t="str">
        <v>ВВГнг(А)-LS (3х2,5)</v>
      </c>
      <c r="E74" t="str">
        <v/>
      </c>
      <c r="F74" t="str">
        <v>Ø20 L=28</v>
      </c>
      <c r="G74" t="str">
        <v/>
      </c>
      <c r="H74">
        <v>32</v>
      </c>
    </row>
    <row r="75" spans="1:8" x14ac:dyDescent="0.3">
      <c r="A75" t="str">
        <v>ККБ-1</v>
      </c>
      <c r="B75" t="str">
        <v>ЩОВ-001</v>
      </c>
      <c r="C75" t="str">
        <v>Внешний блок кондиционирования Пом. Венткиосок</v>
      </c>
      <c r="D75" t="str">
        <v>ВВГнг(А)-LS (5х25)</v>
      </c>
      <c r="E75" t="str">
        <v/>
      </c>
      <c r="F75" t="str">
        <v xml:space="preserve"> L=30</v>
      </c>
      <c r="G75" t="str">
        <v/>
      </c>
      <c r="H75">
        <v>34</v>
      </c>
    </row>
    <row r="76" spans="1:8" x14ac:dyDescent="0.3">
      <c r="A76" t="str">
        <v>ККБ-2</v>
      </c>
      <c r="B76" t="str">
        <v>ЩОВ-001</v>
      </c>
      <c r="C76" t="str">
        <v>Внешний блок кондиционирования Пом. Венткиосок</v>
      </c>
      <c r="D76" t="str">
        <v>ВВГнг(А)-LS (5х25)</v>
      </c>
      <c r="E76" t="str">
        <v/>
      </c>
      <c r="F76" t="str">
        <v xml:space="preserve"> L=33</v>
      </c>
      <c r="G76" t="str">
        <v/>
      </c>
      <c r="H76">
        <v>37</v>
      </c>
    </row>
    <row r="77" spans="1:8" x14ac:dyDescent="0.3">
      <c r="A77" t="str">
        <v>НБ-1</v>
      </c>
      <c r="B77" t="str">
        <v>ЩОВ-001</v>
      </c>
      <c r="C77" t="str">
        <v>Внешний блок кондиционирования Пом. Венткиосок</v>
      </c>
      <c r="D77" t="str">
        <v>ВВГнг(А)-LS (5х25)</v>
      </c>
      <c r="E77" t="str">
        <v/>
      </c>
      <c r="F77" t="str">
        <v xml:space="preserve"> L=47</v>
      </c>
      <c r="G77" t="str">
        <v/>
      </c>
      <c r="H77">
        <v>51</v>
      </c>
    </row>
    <row r="78" spans="1:8" x14ac:dyDescent="0.3">
      <c r="A78" t="str">
        <v>ККБ-3</v>
      </c>
      <c r="B78" t="str">
        <v>ЩОВ-001</v>
      </c>
      <c r="C78" t="str">
        <v>Внешний блок кондиционирования Пом. Венткиосок</v>
      </c>
      <c r="D78" t="str">
        <v>ВВГнг(А)-LS (5х25)</v>
      </c>
      <c r="E78" t="str">
        <v/>
      </c>
      <c r="F78" t="str">
        <v xml:space="preserve"> L=32</v>
      </c>
      <c r="G78" t="str">
        <v/>
      </c>
      <c r="H78">
        <v>36</v>
      </c>
    </row>
    <row r="79" spans="1:8" x14ac:dyDescent="0.3">
      <c r="A79" t="str">
        <v>ККБ-4</v>
      </c>
      <c r="B79" t="str">
        <v>ЩОВ-001</v>
      </c>
      <c r="C79" t="str">
        <v>Внешний блок кондиционирования Пом. Венткиосок</v>
      </c>
      <c r="D79" t="str">
        <v>ВВГнг(А)-LS (5х25)</v>
      </c>
      <c r="E79" t="str">
        <v/>
      </c>
      <c r="F79" t="str">
        <v xml:space="preserve"> L=36</v>
      </c>
      <c r="G79" t="str">
        <v/>
      </c>
      <c r="H79">
        <v>40</v>
      </c>
    </row>
    <row r="80" spans="1:8" x14ac:dyDescent="0.3">
      <c r="A80" t="str">
        <v>НБ-2</v>
      </c>
      <c r="B80" t="str">
        <v>ЩОВ-001</v>
      </c>
      <c r="C80" t="str">
        <v>Внешний блок кондиционирования Пом. Венткиосок</v>
      </c>
      <c r="D80" t="str">
        <v>ВВГнг(А)-LS (5х25)</v>
      </c>
      <c r="E80" t="str">
        <v/>
      </c>
      <c r="F80" t="str">
        <v xml:space="preserve"> L=40</v>
      </c>
      <c r="G80" t="str">
        <v/>
      </c>
      <c r="H80">
        <v>44</v>
      </c>
    </row>
    <row r="81" spans="1:8" x14ac:dyDescent="0.3">
      <c r="A81" t="str">
        <v>НБ-3</v>
      </c>
      <c r="B81" t="str">
        <v>ЩОВ-001</v>
      </c>
      <c r="C81" t="str">
        <v>Внешний блок кондиционирования Пом. Венткиосок</v>
      </c>
      <c r="D81" t="str">
        <v>ВВГнг(А)-LS (5х6)</v>
      </c>
      <c r="E81" t="str">
        <v/>
      </c>
      <c r="F81" t="str">
        <v>Ø25 L=43</v>
      </c>
      <c r="G81" t="str">
        <v/>
      </c>
      <c r="H81">
        <v>47</v>
      </c>
    </row>
    <row r="82" spans="1:8" x14ac:dyDescent="0.3">
      <c r="A82" t="str">
        <v>НБ-4</v>
      </c>
      <c r="B82" t="str">
        <v>ЩОВ-001</v>
      </c>
      <c r="C82" t="str">
        <v>Внешний блок кондиционирования Пом. Венткиосок</v>
      </c>
      <c r="D82" t="str">
        <v>ВВГнг(А)-LS (5х4)</v>
      </c>
      <c r="E82" t="str">
        <v/>
      </c>
      <c r="F82" t="str">
        <v>Ø25 L=41</v>
      </c>
      <c r="G82" t="str">
        <v/>
      </c>
      <c r="H82">
        <v>45</v>
      </c>
    </row>
    <row r="83" spans="1:8" x14ac:dyDescent="0.3">
      <c r="A83" t="str">
        <v>Ввод.1</v>
      </c>
      <c r="B83" t="str">
        <v>ЩОВ-002</v>
      </c>
      <c r="C83" t="str">
        <v>Ввод</v>
      </c>
      <c r="D83" t="str">
        <v>ВВГнг(А)-LS (5х4)</v>
      </c>
      <c r="E83" t="str">
        <v>L=16</v>
      </c>
      <c r="F83" t="str">
        <v>Ø25 L=18</v>
      </c>
      <c r="G83" t="str">
        <v/>
      </c>
      <c r="H83">
        <v>34</v>
      </c>
    </row>
    <row r="84" spans="1:8" x14ac:dyDescent="0.3">
      <c r="A84" t="str">
        <v>В.7</v>
      </c>
      <c r="B84" t="str">
        <v>ЩОВ-002</v>
      </c>
      <c r="C84" t="str">
        <v>Вытяжная установка Шлейф Подвальный этаж Пом. №003Т</v>
      </c>
      <c r="D84" t="str">
        <v>ВВГнг(А)-LS (3х1,5)</v>
      </c>
      <c r="E84" t="str">
        <v/>
      </c>
      <c r="F84" t="str">
        <v>Ø20 L=23</v>
      </c>
      <c r="G84" t="str">
        <v/>
      </c>
      <c r="H84">
        <v>23</v>
      </c>
    </row>
    <row r="85" spans="1:8" x14ac:dyDescent="0.3">
      <c r="A85" t="str">
        <v>ПВ.1</v>
      </c>
      <c r="B85" t="str">
        <v>ЩОВ-002</v>
      </c>
      <c r="C85" t="str">
        <v>Приточно-вытяжная установка Подвальный этаж Пом. №003Т</v>
      </c>
      <c r="D85" t="str">
        <v>ВВГнг(А)-LS (3х2,5)</v>
      </c>
      <c r="E85" t="str">
        <v/>
      </c>
      <c r="F85" t="str">
        <v>Ø20 L=19</v>
      </c>
      <c r="G85" t="str">
        <v/>
      </c>
      <c r="H85">
        <v>19</v>
      </c>
    </row>
    <row r="86" spans="1:8" x14ac:dyDescent="0.3">
      <c r="A86" t="str">
        <v>ПВ.К</v>
      </c>
      <c r="B86" t="str">
        <v>ЩОВ-002</v>
      </c>
      <c r="C86" t="str">
        <v>Приточно-вытяжная установка Подвальный этаж Пом. №003Т</v>
      </c>
      <c r="D86" t="str">
        <v>ВВГнг(А)-LS (3х1,5)</v>
      </c>
      <c r="E86" t="str">
        <v/>
      </c>
      <c r="F86" t="str">
        <v>Ø20 L=16</v>
      </c>
      <c r="G86" t="str">
        <v/>
      </c>
      <c r="H86">
        <v>16</v>
      </c>
    </row>
    <row r="87" spans="1:8" x14ac:dyDescent="0.3">
      <c r="A87" t="str">
        <v>ПВ.10</v>
      </c>
      <c r="B87" t="str">
        <v>ЩОВ-002</v>
      </c>
      <c r="C87" t="str">
        <v>Приточно-вытяжная установка Подвальный этаж Пом. №005Т</v>
      </c>
      <c r="D87" t="str">
        <v>ВВГнг(А)-LS (3х4)</v>
      </c>
      <c r="E87" t="str">
        <v>L=11</v>
      </c>
      <c r="F87" t="str">
        <v>Ø20 L=22</v>
      </c>
      <c r="G87" t="str">
        <v/>
      </c>
      <c r="H87">
        <v>33</v>
      </c>
    </row>
    <row r="88" spans="1:8" x14ac:dyDescent="0.3">
      <c r="A88" t="str">
        <v>K.0.002A</v>
      </c>
      <c r="B88" t="str">
        <v>ЩОВ-002</v>
      </c>
      <c r="C88" t="str">
        <v>Внутренний блок кондиционирования Подвальный этаж Пом. №005Т</v>
      </c>
      <c r="D88" t="str">
        <v>ВВГнг(А)-LS (3х1,5)</v>
      </c>
      <c r="E88" t="str">
        <v>L=11</v>
      </c>
      <c r="F88" t="str">
        <v>Ø20 L=11</v>
      </c>
      <c r="G88" t="str">
        <v/>
      </c>
      <c r="H88">
        <v>22</v>
      </c>
    </row>
    <row r="89" spans="1:8" x14ac:dyDescent="0.3">
      <c r="A89" t="str">
        <v>K.0.006A</v>
      </c>
      <c r="B89" t="str">
        <v>ЩОВ-002</v>
      </c>
      <c r="C89" t="str">
        <v>Внутренний блок кондиционирования Подвальный этаж Пом. №005Т</v>
      </c>
      <c r="D89" t="str">
        <v>ВВГнг(А)-LS (3х1,5)</v>
      </c>
      <c r="E89" t="str">
        <v>L=11</v>
      </c>
      <c r="F89" t="str">
        <v>Ø20 L=15</v>
      </c>
      <c r="G89" t="str">
        <v/>
      </c>
      <c r="H89">
        <v>26</v>
      </c>
    </row>
    <row r="90" spans="1:8" x14ac:dyDescent="0.3">
      <c r="A90" t="str">
        <v>K.00.001A</v>
      </c>
      <c r="B90" t="str">
        <v>ЩОВ-002</v>
      </c>
      <c r="C90" t="str">
        <v>Внутренний блок кондиционирования Подвальный этаж Пом. №005Т</v>
      </c>
      <c r="D90" t="str">
        <v>ВВГнг(А)-LS (3х1,5)</v>
      </c>
      <c r="E90" t="str">
        <v>L=11</v>
      </c>
      <c r="F90" t="str">
        <v>Ø20 L=16</v>
      </c>
      <c r="G90" t="str">
        <v/>
      </c>
      <c r="H90">
        <v>27</v>
      </c>
    </row>
    <row r="91" spans="1:8" x14ac:dyDescent="0.3">
      <c r="A91" t="str">
        <v>K.00.004A</v>
      </c>
      <c r="B91" t="str">
        <v>ЩОВ-002</v>
      </c>
      <c r="C91" t="str">
        <v>Внутренний блок кондиционирования Подвальный этаж Пом. №002Б</v>
      </c>
      <c r="D91" t="str">
        <v>ВВГнг(А)-LS (3х1,5)</v>
      </c>
      <c r="E91" t="str">
        <v>L=14</v>
      </c>
      <c r="F91" t="str">
        <v>Ø20 L=18</v>
      </c>
      <c r="G91" t="str">
        <v/>
      </c>
      <c r="H91">
        <v>32</v>
      </c>
    </row>
    <row r="92" spans="1:8" x14ac:dyDescent="0.3">
      <c r="A92" t="str">
        <v>K.00.004T.1</v>
      </c>
      <c r="B92" t="str">
        <v>ЩОВ-002</v>
      </c>
      <c r="C92" t="str">
        <v>Внутренний блок кондиционирования Подвальный этаж Пом. №004Т</v>
      </c>
      <c r="D92" t="str">
        <v>ВВГнг(А)-LS (3х1,5)</v>
      </c>
      <c r="E92" t="str">
        <v>L=4</v>
      </c>
      <c r="F92" t="str">
        <v>Ø20 L=12</v>
      </c>
      <c r="G92" t="str">
        <v/>
      </c>
      <c r="H92">
        <v>16</v>
      </c>
    </row>
    <row r="93" spans="1:8" x14ac:dyDescent="0.3">
      <c r="A93" t="str">
        <v>K.00.004T.2</v>
      </c>
      <c r="B93" t="str">
        <v>ЩОВ-002</v>
      </c>
      <c r="C93" t="str">
        <v>Внутренний блок кондиционирования Подвальный этаж Пом. №004Т</v>
      </c>
      <c r="D93" t="str">
        <v>ВВГнг(А)-LS (3х1,5)</v>
      </c>
      <c r="E93" t="str">
        <v>L=6</v>
      </c>
      <c r="F93" t="str">
        <v>Ø20 L=12</v>
      </c>
      <c r="G93" t="str">
        <v/>
      </c>
      <c r="H93">
        <v>18</v>
      </c>
    </row>
    <row r="94" spans="1:8" x14ac:dyDescent="0.3">
      <c r="A94" t="str">
        <v>K.00.007A</v>
      </c>
      <c r="B94" t="str">
        <v>ЩОВ-002</v>
      </c>
      <c r="C94" t="str">
        <v>Внутренний блок кондиционирования Подвальный этаж Пом. №002Б</v>
      </c>
      <c r="D94" t="str">
        <v>ВВГнг(А)-LS (3х1,5)</v>
      </c>
      <c r="E94" t="str">
        <v>L=14</v>
      </c>
      <c r="F94" t="str">
        <v>Ø20 L=19</v>
      </c>
      <c r="G94" t="str">
        <v/>
      </c>
      <c r="H94">
        <v>33</v>
      </c>
    </row>
    <row r="95" spans="1:8" x14ac:dyDescent="0.3">
      <c r="A95" t="str">
        <v>K.00.007T.1</v>
      </c>
      <c r="B95" t="str">
        <v>ЩОВ-002</v>
      </c>
      <c r="C95" t="str">
        <v>Внутренний блок кондиционирования Подвальный этаж Пом. №007Т</v>
      </c>
      <c r="D95" t="str">
        <v>ВВГнг(А)-LS (3х1,5)</v>
      </c>
      <c r="E95" t="str">
        <v>L=6</v>
      </c>
      <c r="F95" t="str">
        <v>Ø20 L=22</v>
      </c>
      <c r="G95" t="str">
        <v/>
      </c>
      <c r="H95">
        <v>28</v>
      </c>
    </row>
    <row r="96" spans="1:8" x14ac:dyDescent="0.3">
      <c r="A96" t="str">
        <v>K.00.007T.2</v>
      </c>
      <c r="B96" t="str">
        <v>ЩОВ-002</v>
      </c>
      <c r="C96" t="str">
        <v>Внутренний блок кондиционирования Подвальный этаж Пом. №007Т</v>
      </c>
      <c r="D96" t="str">
        <v>ВВГнг(А)-LS (3х1,5)</v>
      </c>
      <c r="E96" t="str">
        <v>L=6</v>
      </c>
      <c r="F96" t="str">
        <v>Ø20 L=21</v>
      </c>
      <c r="G96" t="str">
        <v/>
      </c>
      <c r="H96">
        <v>27</v>
      </c>
    </row>
    <row r="97" spans="1:8" x14ac:dyDescent="0.3">
      <c r="A97" t="str">
        <v>Ввод.1</v>
      </c>
      <c r="B97" t="str">
        <v>ЩОВ-01</v>
      </c>
      <c r="C97" t="str">
        <v>Ввод</v>
      </c>
      <c r="D97" t="str">
        <v>ВВГнг(А)-LS (5х6)</v>
      </c>
      <c r="E97" t="str">
        <v/>
      </c>
      <c r="F97" t="str">
        <v>Ø25 L=14</v>
      </c>
      <c r="G97" t="str">
        <v/>
      </c>
      <c r="H97">
        <v>14</v>
      </c>
    </row>
    <row r="98" spans="1:8" x14ac:dyDescent="0.3">
      <c r="A98" t="str">
        <v>П.6</v>
      </c>
      <c r="B98" t="str">
        <v>ЩОВ-01</v>
      </c>
      <c r="C98" t="str">
        <v>Приточная установка Цокольный этаж Пом №001Тб</v>
      </c>
      <c r="D98" t="str">
        <v>ВВГнг(А)-LS (3х1,5)</v>
      </c>
      <c r="E98" t="str">
        <v>L=20</v>
      </c>
      <c r="F98" t="str">
        <v>Ø20 L=16</v>
      </c>
      <c r="G98" t="str">
        <v/>
      </c>
      <c r="H98">
        <v>36</v>
      </c>
    </row>
    <row r="99" spans="1:8" x14ac:dyDescent="0.3">
      <c r="A99" t="str">
        <v>ПВ.6</v>
      </c>
      <c r="B99" t="str">
        <v>ЩОВ-01</v>
      </c>
      <c r="C99" t="str">
        <v>Приточно-вытяжная установка цокольный этаж Пом №001Тб</v>
      </c>
      <c r="D99" t="str">
        <v>ВВГнг(А)-LS (5х2,5)</v>
      </c>
      <c r="E99" t="str">
        <v>L=20</v>
      </c>
      <c r="F99" t="str">
        <v>Ø20 L=22</v>
      </c>
      <c r="G99" t="str">
        <v/>
      </c>
      <c r="H99">
        <v>42</v>
      </c>
    </row>
    <row r="100" spans="1:8" x14ac:dyDescent="0.3">
      <c r="A100" t="str">
        <v>ПВ.9</v>
      </c>
      <c r="B100" t="str">
        <v>ЩОВ-01</v>
      </c>
      <c r="C100" t="str">
        <v>Приточно-вытяжная установка цокольный этаж Пом №001Тб</v>
      </c>
      <c r="D100" t="str">
        <v>ВВГнг(А)-LS (3х1,5)</v>
      </c>
      <c r="E100" t="str">
        <v>L=20</v>
      </c>
      <c r="F100" t="str">
        <v>Ø20 L=24</v>
      </c>
      <c r="G100" t="str">
        <v/>
      </c>
      <c r="H100">
        <v>44</v>
      </c>
    </row>
    <row r="101" spans="1:8" x14ac:dyDescent="0.3">
      <c r="A101" t="str">
        <v>В.2</v>
      </c>
      <c r="B101" t="str">
        <v>ЩОВ-01</v>
      </c>
      <c r="C101" t="str">
        <v>Вытяжная установка Пом. №003Б</v>
      </c>
      <c r="D101" t="str">
        <v>ВВГнг(А)-LS (3х1,5)</v>
      </c>
      <c r="E101" t="str">
        <v>L=32</v>
      </c>
      <c r="F101" t="str">
        <v>Ø20 L=10</v>
      </c>
      <c r="G101" t="str">
        <v/>
      </c>
      <c r="H101">
        <v>42</v>
      </c>
    </row>
    <row r="102" spans="1:8" x14ac:dyDescent="0.3">
      <c r="A102" t="str">
        <v>В.10</v>
      </c>
      <c r="B102" t="str">
        <v>ЩОВ-01</v>
      </c>
      <c r="C102" t="str">
        <v>Вытяжная установка Пом. №019Б</v>
      </c>
      <c r="D102" t="str">
        <v>ВВГнг(А)-LS (3х1,5)</v>
      </c>
      <c r="E102" t="str">
        <v>L=29</v>
      </c>
      <c r="F102" t="str">
        <v>Ø20 L=9</v>
      </c>
      <c r="G102" t="str">
        <v/>
      </c>
      <c r="H102">
        <v>38</v>
      </c>
    </row>
    <row r="103" spans="1:8" x14ac:dyDescent="0.3">
      <c r="A103" t="str">
        <v>В.24</v>
      </c>
      <c r="B103" t="str">
        <v>ЩОВ-01</v>
      </c>
      <c r="C103" t="str">
        <v>Внутренний блок кондиционирования подвальный этаж Пом. №0001Тб</v>
      </c>
      <c r="D103" t="str">
        <v>ВВГнг(А)-LS (3х1,5)</v>
      </c>
      <c r="E103" t="str">
        <v>L=20</v>
      </c>
      <c r="F103" t="str">
        <v>Ø20 L=14</v>
      </c>
      <c r="G103" t="str">
        <v/>
      </c>
      <c r="H103">
        <v>34</v>
      </c>
    </row>
    <row r="104" spans="1:8" x14ac:dyDescent="0.3">
      <c r="A104" t="str">
        <v>В.25</v>
      </c>
      <c r="B104" t="str">
        <v>ЩОВ-01</v>
      </c>
      <c r="C104" t="str">
        <v>Внутренний блок кондиционирования подвальный этаж Пом. №01Тб</v>
      </c>
      <c r="D104" t="str">
        <v>ВВГнг(А)-LS (3х1,5)</v>
      </c>
      <c r="E104" t="str">
        <v>L=20</v>
      </c>
      <c r="F104" t="str">
        <v>Ø20 L=14</v>
      </c>
      <c r="G104" t="str">
        <v/>
      </c>
      <c r="H104">
        <v>34</v>
      </c>
    </row>
    <row r="105" spans="1:8" x14ac:dyDescent="0.3">
      <c r="A105" t="str">
        <v>K.0.001T.1</v>
      </c>
      <c r="B105" t="str">
        <v>ЩОВ-01</v>
      </c>
      <c r="C105" t="str">
        <v>Внутренний блок кондиционирования цокольный этаж Пом. №001Т</v>
      </c>
      <c r="D105" t="str">
        <v>ВВГнг(А)-LS (3х1,5)</v>
      </c>
      <c r="E105" t="str">
        <v>L=2</v>
      </c>
      <c r="F105" t="str">
        <v>Ø20 L=9</v>
      </c>
      <c r="G105" t="str">
        <v/>
      </c>
      <c r="H105">
        <v>11</v>
      </c>
    </row>
    <row r="106" spans="1:8" x14ac:dyDescent="0.3">
      <c r="A106" t="str">
        <v>K.0.001T.2</v>
      </c>
      <c r="B106" t="str">
        <v>ЩОВ-01</v>
      </c>
      <c r="C106" t="str">
        <v>Внутренний блок кондиционирования цокольный этаж Пом. №001Т</v>
      </c>
      <c r="D106" t="str">
        <v>ВВГнг(А)-LS (3х1,5)</v>
      </c>
      <c r="E106" t="str">
        <v>L=3</v>
      </c>
      <c r="F106" t="str">
        <v>Ø20 L=9</v>
      </c>
      <c r="G106" t="str">
        <v/>
      </c>
      <c r="H106">
        <v>12</v>
      </c>
    </row>
    <row r="107" spans="1:8" x14ac:dyDescent="0.3">
      <c r="A107" t="str">
        <v>K.0.002T.1</v>
      </c>
      <c r="B107" t="str">
        <v>ЩОВ-01</v>
      </c>
      <c r="C107" t="str">
        <v>Внутренний блок кондиционирования цокольный этаж Пом. №002Т</v>
      </c>
      <c r="D107" t="str">
        <v>ВВГнг(А)-LS (3х1,5)</v>
      </c>
      <c r="E107" t="str">
        <v>L=17</v>
      </c>
      <c r="F107" t="str">
        <v>Ø20 L=10</v>
      </c>
      <c r="G107" t="str">
        <v/>
      </c>
      <c r="H107">
        <v>27</v>
      </c>
    </row>
    <row r="108" spans="1:8" x14ac:dyDescent="0.3">
      <c r="A108" t="str">
        <v>K.0.002T.2</v>
      </c>
      <c r="B108" t="str">
        <v>ЩОВ-01</v>
      </c>
      <c r="C108" t="str">
        <v>Внутренний блок кондиционирования цокольный этаж Пом. №002Т</v>
      </c>
      <c r="D108" t="str">
        <v>ВВГнг(А)-LS (3х1,5)</v>
      </c>
      <c r="E108" t="str">
        <v>L=15</v>
      </c>
      <c r="F108" t="str">
        <v>Ø20 L=10</v>
      </c>
      <c r="G108" t="str">
        <v/>
      </c>
      <c r="H108">
        <v>25</v>
      </c>
    </row>
    <row r="109" spans="1:8" x14ac:dyDescent="0.3">
      <c r="A109" t="str">
        <v>K.0.004A-K.0.005A</v>
      </c>
      <c r="B109" t="str">
        <v>ЩОВ-01</v>
      </c>
      <c r="C109" t="str">
        <v>Внутренний блок кондиционирования цокольный этаж Пом. №013.1Б</v>
      </c>
      <c r="D109" t="str">
        <v>ВВГнг(А)-LS (3х1,5)</v>
      </c>
      <c r="E109" t="str">
        <v>L=36</v>
      </c>
      <c r="F109" t="str">
        <v>Ø20 L=18</v>
      </c>
      <c r="G109" t="str">
        <v/>
      </c>
      <c r="H109">
        <v>54</v>
      </c>
    </row>
    <row r="110" spans="1:8" x14ac:dyDescent="0.3">
      <c r="A110" t="str">
        <v>K.0.005Б.1</v>
      </c>
      <c r="B110" t="str">
        <v>ЩОВ-01</v>
      </c>
      <c r="C110" t="str">
        <v>Внутренний блок кондиционирования цокольный этаж Пом. №005Б</v>
      </c>
      <c r="D110" t="str">
        <v>ВВГнг(А)-LS (3х1,5)</v>
      </c>
      <c r="E110" t="str">
        <v>L=21</v>
      </c>
      <c r="F110" t="str">
        <v>Ø20 L=21</v>
      </c>
      <c r="G110" t="str">
        <v/>
      </c>
      <c r="H110">
        <v>42</v>
      </c>
    </row>
    <row r="111" spans="1:8" x14ac:dyDescent="0.3">
      <c r="A111" t="str">
        <v>K.0.005Б.2</v>
      </c>
      <c r="B111" t="str">
        <v>ЩОВ-01</v>
      </c>
      <c r="C111" t="str">
        <v>Внутренний блок кондиционирования цокольный этаж Пом. №005Б</v>
      </c>
      <c r="D111" t="str">
        <v>ВВГнг(А)-LS (3х1,5)</v>
      </c>
      <c r="E111" t="str">
        <v>L=21</v>
      </c>
      <c r="F111" t="str">
        <v>Ø20 L=29</v>
      </c>
      <c r="G111" t="str">
        <v/>
      </c>
      <c r="H111">
        <v>50</v>
      </c>
    </row>
    <row r="112" spans="1:8" x14ac:dyDescent="0.3">
      <c r="A112" t="str">
        <v>K.0.006A</v>
      </c>
      <c r="B112" t="str">
        <v>ЩОВ-01</v>
      </c>
      <c r="C112" t="str">
        <v>Внутренний блок кондиционирования цокольный этаж Пом. №014Б</v>
      </c>
      <c r="D112" t="str">
        <v>ВВГнг(А)-LS (3х1,5)</v>
      </c>
      <c r="E112" t="str">
        <v>L=36</v>
      </c>
      <c r="F112" t="str">
        <v>Ø20 L=16</v>
      </c>
      <c r="G112" t="str">
        <v/>
      </c>
      <c r="H112">
        <v>52</v>
      </c>
    </row>
    <row r="113" spans="1:8" x14ac:dyDescent="0.3">
      <c r="A113" t="str">
        <v>K.0.008A</v>
      </c>
      <c r="B113" t="str">
        <v>ЩОВ-01</v>
      </c>
      <c r="C113" t="str">
        <v>Внутренний блок кондиционирования цокольный этаж Пом. №014Б</v>
      </c>
      <c r="D113" t="str">
        <v>ВВГнг(А)-LS (3х1,5)</v>
      </c>
      <c r="E113" t="str">
        <v>L=36</v>
      </c>
      <c r="F113" t="str">
        <v>Ø20 L=19</v>
      </c>
      <c r="G113" t="str">
        <v/>
      </c>
      <c r="H113">
        <v>55</v>
      </c>
    </row>
    <row r="114" spans="1:8" x14ac:dyDescent="0.3">
      <c r="A114" t="str">
        <v>K.0.012Б</v>
      </c>
      <c r="B114" t="str">
        <v>ЩОВ-01</v>
      </c>
      <c r="C114" t="str">
        <v>Внутренний блок кондиционирования цокольный этаж Пом. №012Б</v>
      </c>
      <c r="D114" t="str">
        <v>ВВГнг(А)-LS (3х1,5)</v>
      </c>
      <c r="E114" t="str">
        <v>L=26</v>
      </c>
      <c r="F114" t="str">
        <v>Ø20 L=12</v>
      </c>
      <c r="G114" t="str">
        <v/>
      </c>
      <c r="H114">
        <v>38</v>
      </c>
    </row>
    <row r="115" spans="1:8" x14ac:dyDescent="0.3">
      <c r="A115" t="str">
        <v>K.1.002AБ.1</v>
      </c>
      <c r="B115" t="str">
        <v>ЩОВ-01</v>
      </c>
      <c r="C115" t="str">
        <v>Внутренний блок кондиционирования подвальный этаж Пом. №001Т</v>
      </c>
      <c r="D115" t="str">
        <v>ВВГнг(А)-LS (3х1,5)</v>
      </c>
      <c r="E115" t="str">
        <v>L=19</v>
      </c>
      <c r="F115" t="str">
        <v>Ø20 L=23</v>
      </c>
      <c r="G115" t="str">
        <v/>
      </c>
      <c r="H115">
        <v>42</v>
      </c>
    </row>
    <row r="116" spans="1:8" x14ac:dyDescent="0.3">
      <c r="A116" t="str">
        <v>K.1.002AБ.2</v>
      </c>
      <c r="B116" t="str">
        <v>ЩОВ-01</v>
      </c>
      <c r="C116" t="str">
        <v>Внутренний блок кондиционирования подвальный этаж Пом. №001Т</v>
      </c>
      <c r="D116" t="str">
        <v>ВВГнг(А)-LS (3х1,5)</v>
      </c>
      <c r="E116" t="str">
        <v>L=19</v>
      </c>
      <c r="F116" t="str">
        <v>Ø20 L=23</v>
      </c>
      <c r="G116" t="str">
        <v/>
      </c>
      <c r="H116">
        <v>42</v>
      </c>
    </row>
    <row r="117" spans="1:8" x14ac:dyDescent="0.3">
      <c r="A117" t="str">
        <v>K.1.006A</v>
      </c>
      <c r="B117" t="str">
        <v>ЩОВ-01</v>
      </c>
      <c r="C117" t="str">
        <v>Внутренний блок кондиционирования подвальный этаж Пом. №001Т</v>
      </c>
      <c r="D117" t="str">
        <v>ВВГнг(А)-LS (3х1,5)</v>
      </c>
      <c r="E117" t="str">
        <v>L=19</v>
      </c>
      <c r="F117" t="str">
        <v>Ø20 L=22</v>
      </c>
      <c r="G117" t="str">
        <v/>
      </c>
      <c r="H117">
        <v>41</v>
      </c>
    </row>
    <row r="118" spans="1:8" x14ac:dyDescent="0.3">
      <c r="A118" t="str">
        <v>K.1.002Б</v>
      </c>
      <c r="B118" t="str">
        <v>ЩОВ-01</v>
      </c>
      <c r="C118" t="str">
        <v>Внутренний блок кондиционирования первый этаж Пом. №002Б</v>
      </c>
      <c r="D118" t="str">
        <v>ВВГнг(А)-LS (3х1,5)</v>
      </c>
      <c r="E118" t="str">
        <v>L=60</v>
      </c>
      <c r="F118" t="str">
        <v>Ø20 L=14</v>
      </c>
      <c r="G118" t="str">
        <v/>
      </c>
      <c r="H118">
        <v>74</v>
      </c>
    </row>
    <row r="119" spans="1:8" x14ac:dyDescent="0.3">
      <c r="A119" t="str">
        <v>K.1.007A</v>
      </c>
      <c r="B119" t="str">
        <v>ЩОВ-01</v>
      </c>
      <c r="C119" t="str">
        <v>Внутренний блок кондиционирования первый этаж Пом. №003Б</v>
      </c>
      <c r="D119" t="str">
        <v>ВВГнг(А)-LS (3х1,5)</v>
      </c>
      <c r="E119" t="str">
        <v>L=60</v>
      </c>
      <c r="F119" t="str">
        <v>Ø20 L=14</v>
      </c>
      <c r="G119" t="str">
        <v/>
      </c>
      <c r="H119">
        <v>74</v>
      </c>
    </row>
    <row r="120" spans="1:8" x14ac:dyDescent="0.3">
      <c r="A120" t="str">
        <v>K.1.010A</v>
      </c>
      <c r="B120" t="str">
        <v>ЩОВ-01</v>
      </c>
      <c r="C120" t="str">
        <v>Внутренний блок кондиционирования первый этаж Пом. №003Б</v>
      </c>
      <c r="D120" t="str">
        <v>ВВГнг(А)-LS (3х1,5)</v>
      </c>
      <c r="E120" t="str">
        <v>L=60</v>
      </c>
      <c r="F120" t="str">
        <v>Ø20 L=16</v>
      </c>
      <c r="G120" t="str">
        <v/>
      </c>
      <c r="H120">
        <v>76</v>
      </c>
    </row>
    <row r="121" spans="1:8" x14ac:dyDescent="0.3">
      <c r="A121" t="str">
        <v>K.1.011A</v>
      </c>
      <c r="B121" t="str">
        <v>ЩОВ-01</v>
      </c>
      <c r="C121" t="str">
        <v>Внутренний блок кондиционирования первый этаж Пом. №002Б</v>
      </c>
      <c r="D121" t="str">
        <v>ВВГнг(А)-LS (3х1,5)</v>
      </c>
      <c r="E121" t="str">
        <v>L=58</v>
      </c>
      <c r="F121" t="str">
        <v>Ø20 L=14</v>
      </c>
      <c r="G121" t="str">
        <v/>
      </c>
      <c r="H121">
        <v>72</v>
      </c>
    </row>
    <row r="122" spans="1:8" x14ac:dyDescent="0.3">
      <c r="A122" t="str">
        <v>K.1.014A</v>
      </c>
      <c r="B122" t="str">
        <v>ЩОВ-01</v>
      </c>
      <c r="C122" t="str">
        <v>Внутренний блок кондиционирования первый этаж Пом. №002Б</v>
      </c>
      <c r="D122" t="str">
        <v>ВВГнг(А)-LS (3х1,5)</v>
      </c>
      <c r="E122" t="str">
        <v>L=58</v>
      </c>
      <c r="F122" t="str">
        <v>Ø20 L=12</v>
      </c>
      <c r="G122" t="str">
        <v/>
      </c>
      <c r="H122">
        <v>70</v>
      </c>
    </row>
    <row r="123" spans="1:8" x14ac:dyDescent="0.3">
      <c r="A123" t="str">
        <v>K.1.015A</v>
      </c>
      <c r="B123" t="str">
        <v>ЩОВ-01</v>
      </c>
      <c r="C123" t="str">
        <v>Внутренний блок кондиционирования первый этаж Пом. №002Б</v>
      </c>
      <c r="D123" t="str">
        <v>ВВГнг(А)-LS (3х1,5)</v>
      </c>
      <c r="E123" t="str">
        <v>L=58</v>
      </c>
      <c r="F123" t="str">
        <v>Ø20 L=17</v>
      </c>
      <c r="G123" t="str">
        <v/>
      </c>
      <c r="H123">
        <v>75</v>
      </c>
    </row>
    <row r="124" spans="1:8" x14ac:dyDescent="0.3">
      <c r="A124" t="str">
        <v>K.0.009А.1</v>
      </c>
      <c r="B124" t="str">
        <v>ЩОВ-01</v>
      </c>
      <c r="C124" t="str">
        <v>Внутренний блок кондиционирования цокольный этаж Пом. №0.002Т</v>
      </c>
      <c r="D124" t="str">
        <v>ВВГнг(А)-LS (3х1,5)</v>
      </c>
      <c r="E124" t="str">
        <v>L=15</v>
      </c>
      <c r="F124" t="str">
        <v>Ø20 L=10</v>
      </c>
      <c r="G124" t="str">
        <v/>
      </c>
      <c r="H124">
        <v>25</v>
      </c>
    </row>
    <row r="125" spans="1:8" x14ac:dyDescent="0.3">
      <c r="A125" t="str">
        <v>Ввод</v>
      </c>
      <c r="B125" t="str">
        <v>ЩОВ-2</v>
      </c>
      <c r="C125" t="str">
        <v>Вводной кабель</v>
      </c>
      <c r="D125" t="str">
        <v>ВВГнг(А)-LS (5х4)</v>
      </c>
      <c r="E125" t="str">
        <v>L=37</v>
      </c>
      <c r="F125" t="str">
        <v>Ø25 L=15</v>
      </c>
      <c r="G125" t="str">
        <v/>
      </c>
      <c r="H125">
        <v>52</v>
      </c>
    </row>
    <row r="126" spans="1:8" x14ac:dyDescent="0.3">
      <c r="A126" t="str">
        <v>K.1.001A.1</v>
      </c>
      <c r="B126" t="str">
        <v>ЩОВ-2</v>
      </c>
      <c r="C126" t="str">
        <v>Внутренний блок кондиционирования Технический этаж Пом. №001Т</v>
      </c>
      <c r="D126" t="str">
        <v>ВВГнг(А)-LS (3х1,5)</v>
      </c>
      <c r="E126" t="str">
        <v>L=6</v>
      </c>
      <c r="F126" t="str">
        <v>Ø20 L=24</v>
      </c>
      <c r="G126" t="str">
        <v/>
      </c>
      <c r="H126">
        <v>30</v>
      </c>
    </row>
    <row r="127" spans="1:8" x14ac:dyDescent="0.3">
      <c r="A127" t="str">
        <v>K.1.001A.2</v>
      </c>
      <c r="B127" t="str">
        <v>ЩОВ-2</v>
      </c>
      <c r="C127" t="str">
        <v>Внутренний блок кондиционирования Технический этаж Пом. №001Т</v>
      </c>
      <c r="D127" t="str">
        <v>ВВГнг(А)-LS (3х1,5)</v>
      </c>
      <c r="E127" t="str">
        <v>L=4</v>
      </c>
      <c r="F127" t="str">
        <v>Ø20 L=18</v>
      </c>
      <c r="G127" t="str">
        <v/>
      </c>
      <c r="H127">
        <v>22</v>
      </c>
    </row>
    <row r="128" spans="1:8" x14ac:dyDescent="0.3">
      <c r="A128" t="str">
        <v>K.1.003A</v>
      </c>
      <c r="B128" t="str">
        <v>ЩОВ-2</v>
      </c>
      <c r="C128" t="str">
        <v>Внутренний блок кондиционирования Технический этаж Пом. №002Т</v>
      </c>
      <c r="D128" t="str">
        <v>ВВГнг(А)-LS (3х1,5)</v>
      </c>
      <c r="E128" t="str">
        <v>L=12</v>
      </c>
      <c r="F128" t="str">
        <v>Ø20 L=14</v>
      </c>
      <c r="G128" t="str">
        <v/>
      </c>
      <c r="H128">
        <v>26</v>
      </c>
    </row>
    <row r="129" spans="1:8" x14ac:dyDescent="0.3">
      <c r="A129" t="str">
        <v>K.1.005A</v>
      </c>
      <c r="B129" t="str">
        <v>ЩОВ-2</v>
      </c>
      <c r="C129" t="str">
        <v>Внутренний блок кондиционирования Технический этаж Пом. №001Т</v>
      </c>
      <c r="D129" t="str">
        <v>ВВГнг(А)-LS (3х1,5)</v>
      </c>
      <c r="E129" t="str">
        <v>L=12</v>
      </c>
      <c r="F129" t="str">
        <v>Ø20 L=14</v>
      </c>
      <c r="G129" t="str">
        <v/>
      </c>
      <c r="H129">
        <v>26</v>
      </c>
    </row>
    <row r="130" spans="1:8" x14ac:dyDescent="0.3">
      <c r="A130" t="str">
        <v>K.2.004A</v>
      </c>
      <c r="B130" t="str">
        <v>ЩОВ-2</v>
      </c>
      <c r="C130" t="str">
        <v>Внутренний блок кондиционирования Технический этаж Пом. №002Т</v>
      </c>
      <c r="D130" t="str">
        <v>ВВГнг(А)-LS (3х1,5)</v>
      </c>
      <c r="E130" t="str">
        <v>L=12</v>
      </c>
      <c r="F130" t="str">
        <v>Ø20 L=22</v>
      </c>
      <c r="G130" t="str">
        <v/>
      </c>
      <c r="H130">
        <v>34</v>
      </c>
    </row>
    <row r="131" spans="1:8" x14ac:dyDescent="0.3">
      <c r="A131" t="str">
        <v>K.2.005A</v>
      </c>
      <c r="B131" t="str">
        <v>ЩОВ-2</v>
      </c>
      <c r="C131" t="str">
        <v>Внутренний блок кондиционирования Технический этаж Пом. №002Т</v>
      </c>
      <c r="D131" t="str">
        <v>ВВГнг(А)-LS (3х1,5)</v>
      </c>
      <c r="E131" t="str">
        <v>L=12</v>
      </c>
      <c r="F131" t="str">
        <v>Ø20 L=22</v>
      </c>
      <c r="G131" t="str">
        <v/>
      </c>
      <c r="H131">
        <v>34</v>
      </c>
    </row>
    <row r="132" spans="1:8" x14ac:dyDescent="0.3">
      <c r="A132" t="str">
        <v>K.2.008A</v>
      </c>
      <c r="B132" t="str">
        <v>ЩОВ-2</v>
      </c>
      <c r="C132" t="str">
        <v>Внутренний блок кондиционирования Технический этаж Пом. №002Т</v>
      </c>
      <c r="D132" t="str">
        <v>ВВГнг(А)-LS (3х1,5)</v>
      </c>
      <c r="E132" t="str">
        <v>L=10</v>
      </c>
      <c r="F132" t="str">
        <v>Ø20 L=13</v>
      </c>
      <c r="G132" t="str">
        <v/>
      </c>
      <c r="H132">
        <v>23</v>
      </c>
    </row>
    <row r="133" spans="1:8" x14ac:dyDescent="0.3">
      <c r="A133" t="str">
        <v>K.2.009A</v>
      </c>
      <c r="B133" t="str">
        <v>ЩОВ-2</v>
      </c>
      <c r="C133" t="str">
        <v>Внутренний блок кондиционирования Технический этаж Пом. №002Т</v>
      </c>
      <c r="D133" t="str">
        <v>ВВГнг(А)-LS (3х1,5)</v>
      </c>
      <c r="E133" t="str">
        <v>L=10</v>
      </c>
      <c r="F133" t="str">
        <v>Ø20 L=12</v>
      </c>
      <c r="G133" t="str">
        <v/>
      </c>
      <c r="H133">
        <v>22</v>
      </c>
    </row>
    <row r="134" spans="1:8" x14ac:dyDescent="0.3">
      <c r="A134" t="str">
        <v>K.2.014A</v>
      </c>
      <c r="B134" t="str">
        <v>ЩОВ-2</v>
      </c>
      <c r="C134" t="str">
        <v>Внутренний блок кондиционирования Технический этаж Пом. №002Т</v>
      </c>
      <c r="D134" t="str">
        <v>ВВГнг(А)-LS (3х1,5)</v>
      </c>
      <c r="E134" t="str">
        <v>L=10</v>
      </c>
      <c r="F134" t="str">
        <v>Ø20 L=9</v>
      </c>
      <c r="G134" t="str">
        <v/>
      </c>
      <c r="H134">
        <v>19</v>
      </c>
    </row>
    <row r="135" spans="1:8" x14ac:dyDescent="0.3">
      <c r="A135" t="str">
        <v>K.2.016A</v>
      </c>
      <c r="B135" t="str">
        <v>ЩОВ-2</v>
      </c>
      <c r="C135" t="str">
        <v>Внутренний блок кондиционирования Технический этаж Пом. №001Б</v>
      </c>
      <c r="D135" t="str">
        <v>ВВГнг(А)-LS (3х1,5)</v>
      </c>
      <c r="E135" t="str">
        <v>L=4</v>
      </c>
      <c r="F135" t="str">
        <v>Ø20 L=31</v>
      </c>
      <c r="G135" t="str">
        <v/>
      </c>
      <c r="H135">
        <v>35</v>
      </c>
    </row>
    <row r="136" spans="1:8" x14ac:dyDescent="0.3">
      <c r="A136" t="str">
        <v>K.2.019A</v>
      </c>
      <c r="B136" t="str">
        <v>ЩОВ-2</v>
      </c>
      <c r="C136" t="str">
        <v>Внутренний блок кондиционирования Технический этаж Пом. №003Т</v>
      </c>
      <c r="D136" t="str">
        <v>ВВГнг(А)-LS (3х1,5)</v>
      </c>
      <c r="E136" t="str">
        <v>L=4</v>
      </c>
      <c r="F136" t="str">
        <v>Ø20 L=28</v>
      </c>
      <c r="G136" t="str">
        <v/>
      </c>
      <c r="H136">
        <v>32</v>
      </c>
    </row>
    <row r="137" spans="1:8" x14ac:dyDescent="0.3">
      <c r="A137" t="str">
        <v>K.3.002Б</v>
      </c>
      <c r="B137" t="str">
        <v>ЩОВ-2</v>
      </c>
      <c r="C137" t="str">
        <v>Внутренний блок кондиционирования Технический этаж Пом. №003Т</v>
      </c>
      <c r="D137" t="str">
        <v>ВВГнг(А)-LS (3х1,5)</v>
      </c>
      <c r="E137" t="str">
        <v>L=4</v>
      </c>
      <c r="F137" t="str">
        <v>Ø20 L=31</v>
      </c>
      <c r="G137" t="str">
        <v/>
      </c>
      <c r="H137">
        <v>35</v>
      </c>
    </row>
    <row r="138" spans="1:8" x14ac:dyDescent="0.3">
      <c r="A138" t="str">
        <v>K.3.004T.1</v>
      </c>
      <c r="B138" t="str">
        <v>ЩОВ-2</v>
      </c>
      <c r="C138" t="str">
        <v>Внутренний блок кондиционирования Технический этаж Пом. №004Т</v>
      </c>
      <c r="D138" t="str">
        <v>ВВГнг(А)-LS (3х1,5)</v>
      </c>
      <c r="E138" t="str">
        <v>L=4</v>
      </c>
      <c r="F138" t="str">
        <v>Ø20 L=26</v>
      </c>
      <c r="G138" t="str">
        <v/>
      </c>
      <c r="H138">
        <v>30</v>
      </c>
    </row>
    <row r="139" spans="1:8" x14ac:dyDescent="0.3">
      <c r="A139" t="str">
        <v>K.3.004T.2</v>
      </c>
      <c r="B139" t="str">
        <v>ЩОВ-2</v>
      </c>
      <c r="C139" t="str">
        <v>Внутренний блок кондиционирования Технический этаж Пом. №004Т</v>
      </c>
      <c r="D139" t="str">
        <v>ВВГнг(А)-LS (3х1,5)</v>
      </c>
      <c r="E139" t="str">
        <v>L=4</v>
      </c>
      <c r="F139" t="str">
        <v>Ø20 L=25</v>
      </c>
      <c r="G139" t="str">
        <v/>
      </c>
      <c r="H139">
        <v>29</v>
      </c>
    </row>
    <row r="140" spans="1:8" x14ac:dyDescent="0.3">
      <c r="A140" t="str">
        <v>В.1</v>
      </c>
      <c r="B140" t="str">
        <v>ЩОВ-2</v>
      </c>
      <c r="C140" t="str">
        <v>Вытяжная установка Технический этаж Пом. №001Т</v>
      </c>
      <c r="D140" t="str">
        <v>ВВГнг(А)-LS (3х1,5)</v>
      </c>
      <c r="E140" t="str">
        <v>L=4</v>
      </c>
      <c r="F140" t="str">
        <v>Ø20 L=13</v>
      </c>
      <c r="G140" t="str">
        <v/>
      </c>
      <c r="H140">
        <v>17</v>
      </c>
    </row>
    <row r="141" spans="1:8" x14ac:dyDescent="0.3">
      <c r="A141" t="str">
        <v>В.22</v>
      </c>
      <c r="B141" t="str">
        <v>ЩОВ-2</v>
      </c>
      <c r="C141" t="str">
        <v>Вытяжная установка Технический этаж Пом. №001Т</v>
      </c>
      <c r="D141" t="str">
        <v>ВВГнг(А)-LS (3х1,5)</v>
      </c>
      <c r="E141" t="str">
        <v>L=4</v>
      </c>
      <c r="F141" t="str">
        <v>Ø20 L=16</v>
      </c>
      <c r="G141" t="str">
        <v/>
      </c>
      <c r="H141">
        <v>20</v>
      </c>
    </row>
    <row r="142" spans="1:8" x14ac:dyDescent="0.3">
      <c r="A142" t="str">
        <v>В.23</v>
      </c>
      <c r="B142" t="str">
        <v>ЩОВ-2</v>
      </c>
      <c r="C142" t="str">
        <v>Вытяжная установка Технический этаж Пом. №001Т</v>
      </c>
      <c r="D142" t="str">
        <v>ВВГнг(А)-LS (3х1,5)</v>
      </c>
      <c r="E142" t="str">
        <v>L=4</v>
      </c>
      <c r="F142" t="str">
        <v>Ø20 L=30</v>
      </c>
      <c r="G142" t="str">
        <v/>
      </c>
      <c r="H142">
        <v>34</v>
      </c>
    </row>
    <row r="143" spans="1:8" x14ac:dyDescent="0.3">
      <c r="A143" t="str">
        <v>В.8</v>
      </c>
      <c r="B143" t="str">
        <v>ЩОВ-2</v>
      </c>
      <c r="C143" t="str">
        <v>Вытяжная установка Технический этаж Пом. №001Т</v>
      </c>
      <c r="D143" t="str">
        <v>ВВГнг(А)-LS (3х1,5)</v>
      </c>
      <c r="E143" t="str">
        <v>L=4</v>
      </c>
      <c r="F143" t="str">
        <v>Ø20 L=13</v>
      </c>
      <c r="G143" t="str">
        <v/>
      </c>
      <c r="H143">
        <v>17</v>
      </c>
    </row>
    <row r="144" spans="1:8" x14ac:dyDescent="0.3">
      <c r="A144" t="str">
        <v>П.3</v>
      </c>
      <c r="B144" t="str">
        <v>ЩОВ-2</v>
      </c>
      <c r="C144" t="str">
        <v>Приточная установка Технический этаж Пом. №001Т</v>
      </c>
      <c r="D144" t="str">
        <v>ВВГнг(А)-LS (3х2,5)</v>
      </c>
      <c r="E144" t="str">
        <v>L=6</v>
      </c>
      <c r="F144" t="str">
        <v>Ø20 L=17</v>
      </c>
      <c r="G144" t="str">
        <v/>
      </c>
      <c r="H144">
        <v>23</v>
      </c>
    </row>
    <row r="145" spans="1:8" x14ac:dyDescent="0.3">
      <c r="A145" t="str">
        <v>П.5</v>
      </c>
      <c r="B145" t="str">
        <v>ЩОВ-2</v>
      </c>
      <c r="C145" t="str">
        <v>Приточная установка Технический этаж Пом. №001Т</v>
      </c>
      <c r="D145" t="str">
        <v>ВВГнг(А)-LS (3х2,5)</v>
      </c>
      <c r="E145" t="str">
        <v>L=4</v>
      </c>
      <c r="F145" t="str">
        <v>Ø20 L=31</v>
      </c>
      <c r="G145" t="str">
        <v/>
      </c>
      <c r="H145">
        <v>35</v>
      </c>
    </row>
    <row r="146" spans="1:8" x14ac:dyDescent="0.3">
      <c r="A146" t="str">
        <v>ПВ.5</v>
      </c>
      <c r="B146" t="str">
        <v>ЩОВ-2</v>
      </c>
      <c r="C146" t="str">
        <v>Приточно-вытяжная установка Технический этаж Пом. №001Т</v>
      </c>
      <c r="D146" t="str">
        <v>ВВГнг(А)-LS (3х4)</v>
      </c>
      <c r="E146" t="str">
        <v>L=4</v>
      </c>
      <c r="F146" t="str">
        <v>Ø20 L=30</v>
      </c>
      <c r="G146" t="str">
        <v/>
      </c>
      <c r="H146">
        <v>34</v>
      </c>
    </row>
    <row r="147" spans="1:8" x14ac:dyDescent="0.3">
      <c r="A147" t="str">
        <v>ПВ.7</v>
      </c>
      <c r="B147" t="str">
        <v>ЩОВ-2</v>
      </c>
      <c r="C147" t="str">
        <v>Приточно-вытяжная установка Технический этаж Пом. №001Т</v>
      </c>
      <c r="D147" t="str">
        <v>ВВГнг(А)-LS (3х2,5)</v>
      </c>
      <c r="E147" t="str">
        <v>L=6</v>
      </c>
      <c r="F147" t="str">
        <v>Ø20 L=24</v>
      </c>
      <c r="G147" t="str">
        <v/>
      </c>
      <c r="H147">
        <v>30</v>
      </c>
    </row>
    <row r="148" spans="1:8" x14ac:dyDescent="0.3">
      <c r="A148" t="str">
        <v>ПВ.8</v>
      </c>
      <c r="B148" t="str">
        <v>ЩОВ-2</v>
      </c>
      <c r="C148" t="str">
        <v>Приточно-вытяжная установка Технический этаж Пом. №001Т</v>
      </c>
      <c r="D148" t="str">
        <v>ВВГнг(А)-LS (3х2,5)</v>
      </c>
      <c r="E148" t="str">
        <v>L=5</v>
      </c>
      <c r="F148" t="str">
        <v>Ø20 L=10</v>
      </c>
      <c r="G148" t="str">
        <v/>
      </c>
      <c r="H148">
        <v>15</v>
      </c>
    </row>
    <row r="149" spans="1:8" x14ac:dyDescent="0.3">
      <c r="A149" t="str">
        <v>Ввод.1</v>
      </c>
      <c r="B149" t="str">
        <v>ЩР-001</v>
      </c>
      <c r="C149" t="str">
        <v>Ввод</v>
      </c>
      <c r="D149" t="str">
        <v>ВВГнг(А)-LS (5х4)</v>
      </c>
      <c r="E149" t="str">
        <v/>
      </c>
      <c r="F149" t="str">
        <v/>
      </c>
      <c r="G149" t="str">
        <v/>
      </c>
      <c r="H149" t="str">
        <v/>
      </c>
    </row>
    <row r="150" spans="1:8" x14ac:dyDescent="0.3">
      <c r="A150" t="str">
        <v>R.00.001Б.1</v>
      </c>
      <c r="B150" t="str">
        <v>ЩР-001</v>
      </c>
      <c r="C150" t="str">
        <v>Розеточная группа Подвальный этаж Пом. №001Б</v>
      </c>
      <c r="D150" t="str">
        <v>ВВГнг(А)-LS (3х2,5)</v>
      </c>
      <c r="E150" t="str">
        <v/>
      </c>
      <c r="F150" t="str">
        <v/>
      </c>
      <c r="G150" t="str">
        <v>Ø20 L=126</v>
      </c>
      <c r="H150">
        <v>126</v>
      </c>
    </row>
    <row r="151" spans="1:8" x14ac:dyDescent="0.3">
      <c r="A151" t="str">
        <v>R.00.003Т.1</v>
      </c>
      <c r="B151" t="str">
        <v>ЩР-001</v>
      </c>
      <c r="C151" t="str">
        <v>Розеточная группа Подвальный этаж Пом. №003Т</v>
      </c>
      <c r="D151" t="str">
        <v>ВВГнг(А)-LS (3х2,5)</v>
      </c>
      <c r="E151" t="str">
        <v>L=7</v>
      </c>
      <c r="F151" t="str">
        <v>Ø20 L=14</v>
      </c>
      <c r="G151" t="str">
        <v/>
      </c>
      <c r="H151">
        <v>39</v>
      </c>
    </row>
    <row r="152" spans="1:8" x14ac:dyDescent="0.3">
      <c r="A152" t="str">
        <v>R.00.004Т.1</v>
      </c>
      <c r="B152" t="str">
        <v>ЩР-001</v>
      </c>
      <c r="C152" t="str">
        <v>Розеточная группа Подвальный этаж Пом. №004Т</v>
      </c>
      <c r="D152" t="str">
        <v>ВВГнг(А)-LS (3х2,5)</v>
      </c>
      <c r="E152" t="str">
        <v/>
      </c>
      <c r="F152" t="str">
        <v/>
      </c>
      <c r="G152" t="str">
        <v>Ø20 L=5</v>
      </c>
      <c r="H152">
        <v>8</v>
      </c>
    </row>
    <row r="153" spans="1:8" x14ac:dyDescent="0.3">
      <c r="A153" t="str">
        <v>R.00.001Тб.1</v>
      </c>
      <c r="B153" t="str">
        <v>ЩР-001</v>
      </c>
      <c r="C153" t="str">
        <v>Розеточная группа Подвальный этаж Пом. №001Тб</v>
      </c>
      <c r="D153" t="str">
        <v>ВВГнг(А)-LS (3х2,5)</v>
      </c>
      <c r="E153" t="str">
        <v/>
      </c>
      <c r="F153" t="str">
        <v/>
      </c>
      <c r="G153" t="str">
        <v>Ø20 L=27</v>
      </c>
      <c r="H153">
        <v>27</v>
      </c>
    </row>
    <row r="154" spans="1:8" x14ac:dyDescent="0.3">
      <c r="A154" t="str">
        <v>R.00.001Б.2</v>
      </c>
      <c r="B154" t="str">
        <v>ЩР-001</v>
      </c>
      <c r="C154" t="str">
        <v>Розеточная группа Подвальный этаж Пом. №001Б</v>
      </c>
      <c r="D154" t="str">
        <v>ВВГнг(А)-LS (3х2,5)</v>
      </c>
      <c r="E154" t="str">
        <v/>
      </c>
      <c r="F154" t="str">
        <v/>
      </c>
      <c r="G154" t="str">
        <v>Ø20 L=48</v>
      </c>
      <c r="H154">
        <v>63</v>
      </c>
    </row>
    <row r="155" spans="1:8" x14ac:dyDescent="0.3">
      <c r="A155" t="str">
        <v>R.00.005Т.1</v>
      </c>
      <c r="B155" t="str">
        <v>ЩР-001</v>
      </c>
      <c r="C155" t="str">
        <v>Розеточная группа Подвальный этаж Пом. №005Т</v>
      </c>
      <c r="D155" t="str">
        <v>ВВГнг(А)-LS (3х2,5)</v>
      </c>
      <c r="E155" t="str">
        <v>L=16</v>
      </c>
      <c r="F155" t="str">
        <v>Ø20 L=31</v>
      </c>
      <c r="G155" t="str">
        <v>Ø20 L=15</v>
      </c>
      <c r="H155">
        <v>62</v>
      </c>
    </row>
    <row r="156" spans="1:8" x14ac:dyDescent="0.3">
      <c r="A156" t="str">
        <v>R.00.002Т.1</v>
      </c>
      <c r="B156" t="str">
        <v>ЩР-001</v>
      </c>
      <c r="C156" t="str">
        <v>Розеточная группа Подвальный этаж Пом. №002Т</v>
      </c>
      <c r="D156" t="str">
        <v>ВВГнг(А)-LS (3х2,5)</v>
      </c>
      <c r="E156" t="str">
        <v>L=14</v>
      </c>
      <c r="F156" t="str">
        <v>Ø20 L=17</v>
      </c>
      <c r="G156" t="str">
        <v/>
      </c>
      <c r="H156">
        <v>31</v>
      </c>
    </row>
    <row r="157" spans="1:8" x14ac:dyDescent="0.3">
      <c r="A157" t="str">
        <v>R.00.001А.1</v>
      </c>
      <c r="B157" t="str">
        <v>ЩР-001</v>
      </c>
      <c r="C157" t="str">
        <v>Розеточная группа Подвальный этаж Пом. №001А</v>
      </c>
      <c r="D157" t="str">
        <v>ВВГнг(А)-LS (3х2,5)</v>
      </c>
      <c r="E157" t="str">
        <v>L=46</v>
      </c>
      <c r="F157" t="str">
        <v>Ø20 L=49</v>
      </c>
      <c r="G157" t="str">
        <v/>
      </c>
      <c r="H157">
        <v>95</v>
      </c>
    </row>
    <row r="158" spans="1:8" x14ac:dyDescent="0.3">
      <c r="A158" t="str">
        <v>R.00.005А.1</v>
      </c>
      <c r="B158" t="str">
        <v>ЩР-001</v>
      </c>
      <c r="C158" t="str">
        <v>Розеточная группа Подвальный этаж Пом. №005А</v>
      </c>
      <c r="D158" t="str">
        <v>ВВГнг(А)-LS (3х2,5)</v>
      </c>
      <c r="E158" t="str">
        <v>L=35</v>
      </c>
      <c r="F158" t="str">
        <v>Ø20 L=13</v>
      </c>
      <c r="G158" t="str">
        <v/>
      </c>
      <c r="H158">
        <v>48</v>
      </c>
    </row>
    <row r="159" spans="1:8" x14ac:dyDescent="0.3">
      <c r="A159" t="str">
        <v>R.00.004А.1</v>
      </c>
      <c r="B159" t="str">
        <v>ЩР-001</v>
      </c>
      <c r="C159" t="str">
        <v>Розеточная группа Подвальный этаж Пом. №004А</v>
      </c>
      <c r="D159" t="str">
        <v>ВВГнг(А)-LS (3х2,5)</v>
      </c>
      <c r="E159" t="str">
        <v>L=35</v>
      </c>
      <c r="F159" t="str">
        <v>Ø20 L=48</v>
      </c>
      <c r="G159" t="str">
        <v/>
      </c>
      <c r="H159">
        <v>83</v>
      </c>
    </row>
    <row r="160" spans="1:8" x14ac:dyDescent="0.3">
      <c r="A160" t="str">
        <v>R.00.001А.2</v>
      </c>
      <c r="B160" t="str">
        <v>ЩР-001</v>
      </c>
      <c r="C160" t="str">
        <v>Розеточная группа Подвальный этаж Пом. №001А</v>
      </c>
      <c r="D160" t="str">
        <v>ВВГнг(А)-LS (3х2,5)</v>
      </c>
      <c r="E160" t="str">
        <v>L=29</v>
      </c>
      <c r="F160" t="str">
        <v>Ø20 L=9</v>
      </c>
      <c r="G160" t="str">
        <v/>
      </c>
      <c r="H160">
        <v>38</v>
      </c>
    </row>
    <row r="161" spans="1:8" x14ac:dyDescent="0.3">
      <c r="A161" t="str">
        <v>R.00.002.1А.1</v>
      </c>
      <c r="B161" t="str">
        <v>ЩР-001</v>
      </c>
      <c r="C161" t="str">
        <v>Розеточная группа Подвальный этаж Пом. №002</v>
      </c>
      <c r="D161" t="str">
        <v>ВВГнг(А)-LS (3х2,5)</v>
      </c>
      <c r="E161" t="str">
        <v>L=29</v>
      </c>
      <c r="F161" t="str">
        <v>Ø20 L=24</v>
      </c>
      <c r="G161" t="str">
        <v/>
      </c>
      <c r="H161">
        <v>53</v>
      </c>
    </row>
    <row r="162" spans="1:8" x14ac:dyDescent="0.3">
      <c r="A162" t="str">
        <v>R.00.006T.1</v>
      </c>
      <c r="B162" t="str">
        <v>ЩР-001</v>
      </c>
      <c r="C162" t="str">
        <v>Розеточная группа Подвальный этаж Пом. №006T</v>
      </c>
      <c r="D162" t="str">
        <v>ВВГнг(А)-LS (3х2,5)</v>
      </c>
      <c r="E162" t="str">
        <v>L=33</v>
      </c>
      <c r="F162" t="str">
        <v>Ø20 L=36</v>
      </c>
      <c r="G162" t="str">
        <v>Ø20 L=18</v>
      </c>
      <c r="H162">
        <v>69</v>
      </c>
    </row>
    <row r="163" spans="1:8" x14ac:dyDescent="0.3">
      <c r="A163" t="str">
        <v>R.00.007Т.1</v>
      </c>
      <c r="B163" t="str">
        <v>ЩР-001</v>
      </c>
      <c r="C163" t="str">
        <v>Розеточная группа Подвальный этаж Пом. №007Т</v>
      </c>
      <c r="D163" t="str">
        <v>ВВГнг(А)-LS (3х2,5)</v>
      </c>
      <c r="E163" t="str">
        <v>L=15</v>
      </c>
      <c r="F163" t="str">
        <v>Ø20 L=11</v>
      </c>
      <c r="G163" t="str">
        <v/>
      </c>
      <c r="H163">
        <v>26</v>
      </c>
    </row>
    <row r="164" spans="1:8" x14ac:dyDescent="0.3">
      <c r="A164" t="str">
        <v>R.00.008T.1</v>
      </c>
      <c r="B164" t="str">
        <v>ЩР-001</v>
      </c>
      <c r="C164" t="str">
        <v>Розеточная группа Подвальный этаж Пом. №008T</v>
      </c>
      <c r="D164" t="str">
        <v>ВВГнг(А)-LS (3х2,5)</v>
      </c>
      <c r="E164" t="str">
        <v/>
      </c>
      <c r="F164" t="str">
        <v/>
      </c>
      <c r="G164" t="str">
        <v>Ø20 L=35</v>
      </c>
      <c r="H164">
        <v>35</v>
      </c>
    </row>
    <row r="165" spans="1:8" x14ac:dyDescent="0.3">
      <c r="A165" t="str">
        <v>R.00.002Tб.1</v>
      </c>
      <c r="B165" t="str">
        <v>ЩР-001</v>
      </c>
      <c r="C165" t="str">
        <v>Розеточная группа Подвальный этаж Пом. №002Tб</v>
      </c>
      <c r="D165" t="str">
        <v>ВВГнг(А)-LS (3х2,5)</v>
      </c>
      <c r="E165" t="str">
        <v/>
      </c>
      <c r="F165" t="str">
        <v/>
      </c>
      <c r="G165" t="str">
        <v>Ø20 L=28</v>
      </c>
      <c r="H165">
        <v>31</v>
      </c>
    </row>
    <row r="166" spans="1:8" x14ac:dyDescent="0.3">
      <c r="A166" t="str">
        <v>R.00.007Б.1</v>
      </c>
      <c r="B166" t="str">
        <v>ЩР-001</v>
      </c>
      <c r="C166" t="str">
        <v>Розеточная группа Подвальный этаж Пом. №007Б</v>
      </c>
      <c r="D166" t="str">
        <v>ВВГнг(А)-LS (3х2,5)</v>
      </c>
      <c r="E166" t="str">
        <v>L=32</v>
      </c>
      <c r="F166" t="str">
        <v>Ø20 L=21</v>
      </c>
      <c r="G166" t="str">
        <v>Ø20 L=30</v>
      </c>
      <c r="H166">
        <v>83</v>
      </c>
    </row>
    <row r="167" spans="1:8" x14ac:dyDescent="0.3">
      <c r="A167" t="str">
        <v>R.00.004Б.1</v>
      </c>
      <c r="B167" t="str">
        <v>ЩР-001</v>
      </c>
      <c r="C167" t="str">
        <v>Розеточная группа Подвальный этаж Пом. №004Б</v>
      </c>
      <c r="D167" t="str">
        <v>ВВГнг(А)-LS (3х2,5)</v>
      </c>
      <c r="E167" t="str">
        <v>L=32</v>
      </c>
      <c r="F167" t="str">
        <v/>
      </c>
      <c r="G167" t="str">
        <v>Ø20 L=21</v>
      </c>
      <c r="H167">
        <v>76</v>
      </c>
    </row>
    <row r="168" spans="1:8" x14ac:dyDescent="0.3">
      <c r="A168" t="str">
        <v>R.00.005Б.1</v>
      </c>
      <c r="B168" t="str">
        <v>ЩР-001</v>
      </c>
      <c r="C168" t="str">
        <v>Розеточная группа Подвальный этаж Пом. №005Б</v>
      </c>
      <c r="D168" t="str">
        <v>ВВГнг(А)-LS (3х2,5)</v>
      </c>
      <c r="E168" t="str">
        <v>L=26</v>
      </c>
      <c r="F168" t="str">
        <v/>
      </c>
      <c r="G168" t="str">
        <v>Ø20 L=14</v>
      </c>
      <c r="H168">
        <v>71</v>
      </c>
    </row>
    <row r="169" spans="1:8" x14ac:dyDescent="0.3">
      <c r="A169" t="str">
        <v>R.00.009Б.1</v>
      </c>
      <c r="B169" t="str">
        <v>ЩР-001</v>
      </c>
      <c r="C169" t="str">
        <v>Розеточная группа Подвальный этаж Пом. №009Б</v>
      </c>
      <c r="D169" t="str">
        <v>ВВГнг(А)-LS (3х2,5)</v>
      </c>
      <c r="E169" t="str">
        <v>L=11</v>
      </c>
      <c r="F169" t="str">
        <v>Ø20 L=14</v>
      </c>
      <c r="G169" t="str">
        <v>Ø20 L=4</v>
      </c>
      <c r="H169">
        <v>29</v>
      </c>
    </row>
    <row r="170" spans="1:8" x14ac:dyDescent="0.3">
      <c r="A170" t="str">
        <v>R.00.006Б.1</v>
      </c>
      <c r="B170" t="str">
        <v>ЩР-001</v>
      </c>
      <c r="C170" t="str">
        <v>Розеточная группа Подвальный этаж Пом. №006Б</v>
      </c>
      <c r="D170" t="str">
        <v>ВВГнг(А)-LS (3х2,5)</v>
      </c>
      <c r="E170" t="str">
        <v>L=11</v>
      </c>
      <c r="F170" t="str">
        <v>Ø20 L=14</v>
      </c>
      <c r="G170" t="str">
        <v>Ø20 L=5</v>
      </c>
      <c r="H170">
        <v>30</v>
      </c>
    </row>
    <row r="171" spans="1:8" x14ac:dyDescent="0.3">
      <c r="A171" t="str">
        <v>R.00.007А.1</v>
      </c>
      <c r="B171" t="str">
        <v>ЩР-001</v>
      </c>
      <c r="C171" t="str">
        <v>Розеточная группа Подвальный этаж Пом. №007А</v>
      </c>
      <c r="D171" t="str">
        <v>ВВГнг(А)-LS (3х2,5)</v>
      </c>
      <c r="E171" t="str">
        <v>L=41</v>
      </c>
      <c r="F171" t="str">
        <v>Ø20 L=23</v>
      </c>
      <c r="G171" t="str">
        <v>Ø20 L=16</v>
      </c>
      <c r="H171">
        <v>80</v>
      </c>
    </row>
    <row r="172" spans="1:8" x14ac:dyDescent="0.3">
      <c r="A172" t="str">
        <v>R.00.008А.1</v>
      </c>
      <c r="B172" t="str">
        <v>ЩР-001</v>
      </c>
      <c r="C172" t="str">
        <v>Розеточная группа Подвальный этаж Пом. №008А</v>
      </c>
      <c r="D172" t="str">
        <v>ВВГнг(А)-LS (3х2,5)</v>
      </c>
      <c r="E172" t="str">
        <v>L=41</v>
      </c>
      <c r="F172" t="str">
        <v>Ø20 L=6</v>
      </c>
      <c r="G172" t="str">
        <v/>
      </c>
      <c r="H172">
        <v>47</v>
      </c>
    </row>
    <row r="173" spans="1:8" x14ac:dyDescent="0.3">
      <c r="A173" t="str">
        <v>R.00.002Б.1</v>
      </c>
      <c r="B173" t="str">
        <v>ЩР-001</v>
      </c>
      <c r="C173" t="str">
        <v>Розеточная группа Подвальный этаж Пом. №002Б</v>
      </c>
      <c r="D173" t="str">
        <v>ВВГнг(А)-LS (3х2,5)</v>
      </c>
      <c r="E173" t="str">
        <v>L=24</v>
      </c>
      <c r="F173" t="str">
        <v>Ø20 L=7</v>
      </c>
      <c r="G173" t="str">
        <v/>
      </c>
      <c r="H173">
        <v>31</v>
      </c>
    </row>
    <row r="174" spans="1:8" x14ac:dyDescent="0.3">
      <c r="A174" t="str">
        <v>ШТК-0</v>
      </c>
      <c r="B174" t="str">
        <v>ЩР-001</v>
      </c>
      <c r="C174" t="str">
        <v>Шкаф телекоммуникационный ШТК-0 Подвальный этаж Пом. №007Т</v>
      </c>
      <c r="D174" t="str">
        <v>ВВГнг(А)-LS (3х2,5)</v>
      </c>
      <c r="E174" t="str">
        <v>L=17</v>
      </c>
      <c r="F174" t="str">
        <v>Ø20 L=11</v>
      </c>
      <c r="G174" t="str">
        <v/>
      </c>
      <c r="H174">
        <v>36</v>
      </c>
    </row>
    <row r="175" spans="1:8" x14ac:dyDescent="0.3">
      <c r="A175" t="str">
        <v>ШТК-ЛВС.00</v>
      </c>
      <c r="B175" t="str">
        <v>ЩР-001</v>
      </c>
      <c r="C175" t="str">
        <v>Шкаф телекоммуникационный ШТК-ЛВС.00  Подвальный этаж Пом. №007Т</v>
      </c>
      <c r="D175" t="str">
        <v>ВВГнг(А)-LS (3х2,5)</v>
      </c>
      <c r="E175" t="str">
        <v>L=17</v>
      </c>
      <c r="F175" t="str">
        <v>Ø20 L=13</v>
      </c>
      <c r="G175" t="str">
        <v/>
      </c>
      <c r="H175">
        <v>38</v>
      </c>
    </row>
    <row r="176" spans="1:8" x14ac:dyDescent="0.3">
      <c r="A176" t="str">
        <v>ШТК-СОТ.00</v>
      </c>
      <c r="B176" t="str">
        <v>ЩР-001</v>
      </c>
      <c r="C176" t="str">
        <v>Шкаф телекоммуникационный ШТК-СОТ.00  Подвальный этаж Пом. №007Т</v>
      </c>
      <c r="D176" t="str">
        <v>ВВГнг(А)-LS (3х2,5)</v>
      </c>
      <c r="E176" t="str">
        <v>L=17</v>
      </c>
      <c r="F176" t="str">
        <v>Ø20 L=14</v>
      </c>
      <c r="G176" t="str">
        <v/>
      </c>
      <c r="H176">
        <v>39</v>
      </c>
    </row>
    <row r="177" spans="1:8" x14ac:dyDescent="0.3">
      <c r="A177" t="str">
        <v>ЩКД-6</v>
      </c>
      <c r="B177" t="str">
        <v>ЩР-001</v>
      </c>
      <c r="C177" t="str">
        <v>Щит контроля доступа ШДК-06. Пом. Венткиосок</v>
      </c>
      <c r="D177" t="str">
        <v>ВВГнг(А)-LS (3х2,5)</v>
      </c>
      <c r="E177" t="str">
        <v>L=32</v>
      </c>
      <c r="F177" t="str">
        <v>Ø20 L=56</v>
      </c>
      <c r="G177" t="str">
        <v/>
      </c>
      <c r="H177">
        <v>98</v>
      </c>
    </row>
    <row r="178" spans="1:8" x14ac:dyDescent="0.3">
      <c r="A178" t="str">
        <v>ЩКД-001</v>
      </c>
      <c r="B178" t="str">
        <v>ЩР-001</v>
      </c>
      <c r="C178" t="str">
        <v>Щит контроля доступа ШДК-001 Подвальный этаж Пом. №004Т</v>
      </c>
      <c r="D178" t="str">
        <v>ВВГнг(А)-LS (3х2,5)</v>
      </c>
      <c r="E178" t="str">
        <v/>
      </c>
      <c r="F178" t="str">
        <v>Ø20 L=12</v>
      </c>
      <c r="G178" t="str">
        <v/>
      </c>
      <c r="H178">
        <v>12</v>
      </c>
    </row>
    <row r="179" spans="1:8" x14ac:dyDescent="0.3">
      <c r="A179" t="str">
        <v>Ввод.1</v>
      </c>
      <c r="B179" t="str">
        <v>ЩР-01</v>
      </c>
      <c r="C179" t="str">
        <v>Ввод</v>
      </c>
      <c r="D179" t="str">
        <v>ВВГнг(А)-LS (5х10)</v>
      </c>
      <c r="E179" t="str">
        <v/>
      </c>
      <c r="F179" t="str">
        <v/>
      </c>
      <c r="G179" t="str">
        <v/>
      </c>
      <c r="H179" t="str">
        <v/>
      </c>
    </row>
    <row r="180" spans="1:8" x14ac:dyDescent="0.3">
      <c r="A180" t="str">
        <v>R.0.002A.1</v>
      </c>
      <c r="B180" t="str">
        <v>ЩР-01</v>
      </c>
      <c r="C180" t="str">
        <v>Розеточная группа Цокольный этаж Пом. №002A</v>
      </c>
      <c r="D180" t="str">
        <v>ВВГнг(А)-LS (3х2,5)</v>
      </c>
      <c r="E180" t="str">
        <v>L=8</v>
      </c>
      <c r="F180" t="str">
        <v>Ø20 L=30</v>
      </c>
      <c r="G180" t="str">
        <v/>
      </c>
      <c r="H180">
        <v>38</v>
      </c>
    </row>
    <row r="181" spans="1:8" x14ac:dyDescent="0.3">
      <c r="A181" t="str">
        <v>R.0.002A.2</v>
      </c>
      <c r="B181" t="str">
        <v>ЩР-01</v>
      </c>
      <c r="C181" t="str">
        <v>Розеточная группа Цокольный этаж Пом. №002A</v>
      </c>
      <c r="D181" t="str">
        <v>ВВГнг(А)-LS (3х2,5)</v>
      </c>
      <c r="E181" t="str">
        <v>L=19</v>
      </c>
      <c r="F181" t="str">
        <v>Ø20 L=60</v>
      </c>
      <c r="G181" t="str">
        <v/>
      </c>
      <c r="H181">
        <v>79</v>
      </c>
    </row>
    <row r="182" spans="1:8" x14ac:dyDescent="0.3">
      <c r="A182" t="str">
        <v>R.0.002A.3</v>
      </c>
      <c r="B182" t="str">
        <v>ЩР-01</v>
      </c>
      <c r="C182" t="str">
        <v>Розеточная группа Цокольный этаж Пом. №002A</v>
      </c>
      <c r="D182" t="str">
        <v>ВВГнг(А)-LS (3х2,5)</v>
      </c>
      <c r="E182" t="str">
        <v>L=17</v>
      </c>
      <c r="F182" t="str">
        <v>Ø20 L=30</v>
      </c>
      <c r="G182" t="str">
        <v/>
      </c>
      <c r="H182">
        <v>47</v>
      </c>
    </row>
    <row r="183" spans="1:8" x14ac:dyDescent="0.3">
      <c r="A183" t="str">
        <v>R.0.002T.1</v>
      </c>
      <c r="B183" t="str">
        <v>ЩР-01</v>
      </c>
      <c r="C183" t="str">
        <v>Розеточная группа Цокольный этаж Пом. №002T</v>
      </c>
      <c r="D183" t="str">
        <v>ВВГнг(А)-LS (3х2,5)</v>
      </c>
      <c r="E183" t="str">
        <v>L=8</v>
      </c>
      <c r="F183" t="str">
        <v/>
      </c>
      <c r="G183" t="str">
        <v>Ø20 L=19</v>
      </c>
      <c r="H183">
        <v>32</v>
      </c>
    </row>
    <row r="184" spans="1:8" x14ac:dyDescent="0.3">
      <c r="A184" t="str">
        <v>R.0.002Б.1</v>
      </c>
      <c r="B184" t="str">
        <v>ЩР-01</v>
      </c>
      <c r="C184" t="str">
        <v>Розеточная группа Цокольный этаж Пом. №002Б</v>
      </c>
      <c r="D184" t="str">
        <v>ВВГнг(А)-LS (3х2,5)</v>
      </c>
      <c r="E184" t="str">
        <v/>
      </c>
      <c r="F184" t="str">
        <v/>
      </c>
      <c r="G184" t="str">
        <v>Ø20 L=24</v>
      </c>
      <c r="H184">
        <v>45</v>
      </c>
    </row>
    <row r="185" spans="1:8" x14ac:dyDescent="0.3">
      <c r="A185" t="str">
        <v>R.0.002Б.2</v>
      </c>
      <c r="B185" t="str">
        <v>ЩР-01</v>
      </c>
      <c r="C185" t="str">
        <v>Розеточная группа Цокольный этаж Пом. №002Б</v>
      </c>
      <c r="D185" t="str">
        <v>ВВГнг(А)-LS (3х2,5)</v>
      </c>
      <c r="E185" t="str">
        <v/>
      </c>
      <c r="F185" t="str">
        <v/>
      </c>
      <c r="G185" t="str">
        <v>Ø20 L=70</v>
      </c>
      <c r="H185">
        <v>121</v>
      </c>
    </row>
    <row r="186" spans="1:8" x14ac:dyDescent="0.3">
      <c r="A186" t="str">
        <v>R.0.003A.1</v>
      </c>
      <c r="B186" t="str">
        <v>ЩР-01</v>
      </c>
      <c r="C186" t="str">
        <v>Розеточная группа Цокольный этаж Пом. №003A</v>
      </c>
      <c r="D186" t="str">
        <v>ВВГнг(А)-LS (3х2,5)</v>
      </c>
      <c r="E186" t="str">
        <v>L=55</v>
      </c>
      <c r="F186" t="str">
        <v>Ø20 L=22</v>
      </c>
      <c r="G186" t="str">
        <v>Ø20 L=50</v>
      </c>
      <c r="H186">
        <v>77</v>
      </c>
    </row>
    <row r="187" spans="1:8" x14ac:dyDescent="0.3">
      <c r="A187" t="str">
        <v>R.0.003A.3</v>
      </c>
      <c r="B187" t="str">
        <v>ЩР-01</v>
      </c>
      <c r="C187" t="str">
        <v>Розеточная группа Цокольный этаж Пом. №003A</v>
      </c>
      <c r="D187" t="str">
        <v>ВВГнг(А)-LS (3х2,5)</v>
      </c>
      <c r="E187" t="str">
        <v>L=10</v>
      </c>
      <c r="F187" t="str">
        <v>Ø20 L=59</v>
      </c>
      <c r="G187" t="str">
        <v/>
      </c>
      <c r="H187">
        <v>69</v>
      </c>
    </row>
    <row r="188" spans="1:8" x14ac:dyDescent="0.3">
      <c r="A188" t="str">
        <v>R.0.003Б.1</v>
      </c>
      <c r="B188" t="str">
        <v>ЩР-01</v>
      </c>
      <c r="C188" t="str">
        <v>Розеточная группа Цокольный этаж Пом. №003Б</v>
      </c>
      <c r="D188" t="str">
        <v>ВВГнг(А)-LS (3х2,5)</v>
      </c>
      <c r="E188" t="str">
        <v>L=8</v>
      </c>
      <c r="F188" t="str">
        <v>Ø20 L=39</v>
      </c>
      <c r="G188" t="str">
        <v/>
      </c>
      <c r="H188">
        <v>47</v>
      </c>
    </row>
    <row r="189" spans="1:8" x14ac:dyDescent="0.3">
      <c r="A189" t="str">
        <v>R.0.004Б.1</v>
      </c>
      <c r="B189" t="str">
        <v>ЩР-01</v>
      </c>
      <c r="C189" t="str">
        <v>Розеточная группа Цокольный этаж Пом. №004Б</v>
      </c>
      <c r="D189" t="str">
        <v>ВВГнг(А)-LS (3х2,5)</v>
      </c>
      <c r="E189" t="str">
        <v>L=12</v>
      </c>
      <c r="F189" t="str">
        <v>Ø20 L=23</v>
      </c>
      <c r="G189" t="str">
        <v/>
      </c>
      <c r="H189">
        <v>35</v>
      </c>
    </row>
    <row r="190" spans="1:8" x14ac:dyDescent="0.3">
      <c r="A190" t="str">
        <v>R.0.004Б.2</v>
      </c>
      <c r="B190" t="str">
        <v>ЩР-01</v>
      </c>
      <c r="C190" t="str">
        <v>Розеточная группа Цокольный этаж Пом. №004Б Сушильная машина</v>
      </c>
      <c r="D190" t="str">
        <v>ВВГнг(А)-LS (3х2,5)</v>
      </c>
      <c r="E190" t="str">
        <v>L=12</v>
      </c>
      <c r="F190" t="str">
        <v>Ø20 L=7</v>
      </c>
      <c r="G190" t="str">
        <v/>
      </c>
      <c r="H190">
        <v>19</v>
      </c>
    </row>
    <row r="191" spans="1:8" x14ac:dyDescent="0.3">
      <c r="A191" t="str">
        <v>R.0.004Б.3</v>
      </c>
      <c r="B191" t="str">
        <v>ЩР-01</v>
      </c>
      <c r="C191" t="str">
        <v>Розеточная группа Цокольный этаж Пом. №004Б Стиральная машина</v>
      </c>
      <c r="D191" t="str">
        <v>ВВГнг(А)-LS (3х2,5)</v>
      </c>
      <c r="E191" t="str">
        <v>L=12</v>
      </c>
      <c r="F191" t="str">
        <v>Ø20 L=17</v>
      </c>
      <c r="G191" t="str">
        <v/>
      </c>
      <c r="H191">
        <v>29</v>
      </c>
    </row>
    <row r="192" spans="1:8" x14ac:dyDescent="0.3">
      <c r="A192" t="str">
        <v>R.0.006A.1</v>
      </c>
      <c r="B192" t="str">
        <v>ЩР-01</v>
      </c>
      <c r="C192" t="str">
        <v>Розеточная группа Цокольный этаж Пом. №006A</v>
      </c>
      <c r="D192" t="str">
        <v>ВВГнг(А)-LS (3х2,5)</v>
      </c>
      <c r="E192" t="str">
        <v>L=15</v>
      </c>
      <c r="F192" t="str">
        <v>Ø20 L=39</v>
      </c>
      <c r="G192" t="str">
        <v>Ø20 L=7</v>
      </c>
      <c r="H192">
        <v>61</v>
      </c>
    </row>
    <row r="193" spans="1:8" x14ac:dyDescent="0.3">
      <c r="A193" t="str">
        <v>R.0.007A.1</v>
      </c>
      <c r="B193" t="str">
        <v>ЩР-01</v>
      </c>
      <c r="C193" t="str">
        <v>Розеточная группа Цокольный этаж Пом. №007A</v>
      </c>
      <c r="D193" t="str">
        <v>ВВГнг(А)-LS (3х2,5)</v>
      </c>
      <c r="E193" t="str">
        <v>L=7</v>
      </c>
      <c r="F193" t="str">
        <v>Ø20 L=22</v>
      </c>
      <c r="G193" t="str">
        <v/>
      </c>
      <c r="H193">
        <v>29</v>
      </c>
    </row>
    <row r="194" spans="1:8" x14ac:dyDescent="0.3">
      <c r="A194" t="str">
        <v>R.0.008A.1</v>
      </c>
      <c r="B194" t="str">
        <v>ЩР-01</v>
      </c>
      <c r="C194" t="str">
        <v>Розеточная группа Цокольный этаж Пом. №008A</v>
      </c>
      <c r="D194" t="str">
        <v>ВВГнг(А)-LS (3х2,5)</v>
      </c>
      <c r="E194" t="str">
        <v>L=47</v>
      </c>
      <c r="F194" t="str">
        <v>Ø20 L=10</v>
      </c>
      <c r="G194" t="str">
        <v>Ø20 L=5</v>
      </c>
      <c r="H194">
        <v>62</v>
      </c>
    </row>
    <row r="195" spans="1:8" x14ac:dyDescent="0.3">
      <c r="A195" t="str">
        <v>R.0.008A.2</v>
      </c>
      <c r="B195" t="str">
        <v>ЩР-01</v>
      </c>
      <c r="C195" t="str">
        <v>Розеточная группа Цокольный этаж Пом. №008A Душ виши</v>
      </c>
      <c r="D195" t="str">
        <v>ВВГнг(А)-LS (3х2,5)</v>
      </c>
      <c r="E195" t="str">
        <v>L=49</v>
      </c>
      <c r="F195" t="str">
        <v>Ø20 L=15</v>
      </c>
      <c r="G195" t="str">
        <v/>
      </c>
      <c r="H195">
        <v>64</v>
      </c>
    </row>
    <row r="196" spans="1:8" x14ac:dyDescent="0.3">
      <c r="A196" t="str">
        <v>R.0.009A.1</v>
      </c>
      <c r="B196" t="str">
        <v>ЩР-01</v>
      </c>
      <c r="C196" t="str">
        <v>Розеточная группа Цокольный этаж Пом. №009A</v>
      </c>
      <c r="D196" t="str">
        <v>ВВГнг(А)-LS (3х2,5)</v>
      </c>
      <c r="E196" t="str">
        <v>L=12</v>
      </c>
      <c r="F196" t="str">
        <v>Ø20 L=40</v>
      </c>
      <c r="G196" t="str">
        <v/>
      </c>
      <c r="H196">
        <v>52</v>
      </c>
    </row>
    <row r="197" spans="1:8" x14ac:dyDescent="0.3">
      <c r="A197" t="str">
        <v>R.0.009A.2</v>
      </c>
      <c r="B197" t="str">
        <v>ЩР-01</v>
      </c>
      <c r="C197" t="str">
        <v>Розеточная группа Цокольный этаж Пом. №009A</v>
      </c>
      <c r="D197" t="str">
        <v>ВВГнг(А)-LS (3х2,5)</v>
      </c>
      <c r="E197" t="str">
        <v>L=14</v>
      </c>
      <c r="F197" t="str">
        <v>Ø20 L=45</v>
      </c>
      <c r="G197" t="str">
        <v/>
      </c>
      <c r="H197">
        <v>59</v>
      </c>
    </row>
    <row r="198" spans="1:8" x14ac:dyDescent="0.3">
      <c r="A198" t="str">
        <v>R.0.010A.1</v>
      </c>
      <c r="B198" t="str">
        <v>ЩР-01</v>
      </c>
      <c r="C198" t="str">
        <v>Розеточная группа Цокольный этаж Пом. №010A</v>
      </c>
      <c r="D198" t="str">
        <v>ВВГнг(А)-LS (3х2,5)</v>
      </c>
      <c r="E198" t="str">
        <v>L=13</v>
      </c>
      <c r="F198" t="str">
        <v>Ø20 L=17</v>
      </c>
      <c r="G198" t="str">
        <v/>
      </c>
      <c r="H198">
        <v>30</v>
      </c>
    </row>
    <row r="199" spans="1:8" x14ac:dyDescent="0.3">
      <c r="A199" t="str">
        <v>R.0.011.1A</v>
      </c>
      <c r="B199" t="str">
        <v>ЩР-01</v>
      </c>
      <c r="C199" t="str">
        <v>Розеточная группа Цокольный этаж Пом. №011</v>
      </c>
      <c r="D199" t="str">
        <v>ВВГнг(А)-LS (3х2,5)</v>
      </c>
      <c r="E199" t="str">
        <v>L=8</v>
      </c>
      <c r="F199" t="str">
        <v>Ø20 L=17</v>
      </c>
      <c r="G199" t="str">
        <v/>
      </c>
      <c r="H199">
        <v>25</v>
      </c>
    </row>
    <row r="200" spans="1:8" x14ac:dyDescent="0.3">
      <c r="A200" t="str">
        <v>R.0.011Б.1</v>
      </c>
      <c r="B200" t="str">
        <v>ЩР-01</v>
      </c>
      <c r="C200" t="str">
        <v>Розеточная группа Цокольный этаж Пом. №011Б</v>
      </c>
      <c r="D200" t="str">
        <v>ВВГнг(А)-LS (3х2,5)</v>
      </c>
      <c r="E200" t="str">
        <v>L=17</v>
      </c>
      <c r="F200" t="str">
        <v>Ø20 L=14</v>
      </c>
      <c r="G200" t="str">
        <v/>
      </c>
      <c r="H200">
        <v>31</v>
      </c>
    </row>
    <row r="201" spans="1:8" x14ac:dyDescent="0.3">
      <c r="A201" t="str">
        <v>R.0.012A.1</v>
      </c>
      <c r="B201" t="str">
        <v>ЩР-01</v>
      </c>
      <c r="C201" t="str">
        <v>Розеточная группа Цокольный этаж Пом. №012A</v>
      </c>
      <c r="D201" t="str">
        <v>ВВГнг(А)-LS (3х2,5)</v>
      </c>
      <c r="E201" t="str">
        <v>L=48</v>
      </c>
      <c r="F201" t="str">
        <v>Ø20 L=31</v>
      </c>
      <c r="G201" t="str">
        <v/>
      </c>
      <c r="H201">
        <v>79</v>
      </c>
    </row>
    <row r="202" spans="1:8" x14ac:dyDescent="0.3">
      <c r="A202" t="str">
        <v>R.0.013A.1</v>
      </c>
      <c r="B202" t="str">
        <v>ЩР-01</v>
      </c>
      <c r="C202" t="str">
        <v>Розеточная группа Цокольный этаж Пом. №013A</v>
      </c>
      <c r="D202" t="str">
        <v>ВВГнг(А)-LS (3х2,5)</v>
      </c>
      <c r="E202" t="str">
        <v>L=40</v>
      </c>
      <c r="F202" t="str">
        <v>Ø20 L=23</v>
      </c>
      <c r="G202" t="str">
        <v>Ø20 L=8</v>
      </c>
      <c r="H202">
        <v>63</v>
      </c>
    </row>
    <row r="203" spans="1:8" x14ac:dyDescent="0.3">
      <c r="A203" t="str">
        <v>R.0.013Б.1</v>
      </c>
      <c r="B203" t="str">
        <v>ЩР-01</v>
      </c>
      <c r="C203" t="str">
        <v>Розеточная группа Цокольный этаж Пом. №013Б</v>
      </c>
      <c r="D203" t="str">
        <v>ВВГнг(А)-LS (3х2,5)</v>
      </c>
      <c r="E203" t="str">
        <v>L=40</v>
      </c>
      <c r="F203" t="str">
        <v>Ø20 L=13</v>
      </c>
      <c r="G203" t="str">
        <v>Ø20 L=4</v>
      </c>
      <c r="H203">
        <v>57</v>
      </c>
    </row>
    <row r="204" spans="1:8" x14ac:dyDescent="0.3">
      <c r="A204" t="str">
        <v>R.0.013Б.2</v>
      </c>
      <c r="B204" t="str">
        <v>ЩР-01</v>
      </c>
      <c r="C204" t="str">
        <v>Розеточная группа Цокольный этаж Пом. №013Б</v>
      </c>
      <c r="D204" t="str">
        <v>ВВГнг(А)-LS (3х2,5)</v>
      </c>
      <c r="E204" t="str">
        <v>L=33</v>
      </c>
      <c r="F204" t="str">
        <v>Ø20 L=18</v>
      </c>
      <c r="G204" t="str">
        <v/>
      </c>
      <c r="H204">
        <v>51</v>
      </c>
    </row>
    <row r="205" spans="1:8" x14ac:dyDescent="0.3">
      <c r="A205" t="str">
        <v>R.0.013Б.3</v>
      </c>
      <c r="B205" t="str">
        <v>ЩР-01</v>
      </c>
      <c r="C205" t="str">
        <v>Розеточная группа Цокольный этаж Пом. №013Б Полотенцесушитель</v>
      </c>
      <c r="D205" t="str">
        <v>ВВГнг(А)-LS (3х2,5)</v>
      </c>
      <c r="E205" t="str">
        <v>L=36</v>
      </c>
      <c r="F205" t="str">
        <v>Ø20 L=15</v>
      </c>
      <c r="G205" t="str">
        <v/>
      </c>
      <c r="H205">
        <v>51</v>
      </c>
    </row>
    <row r="206" spans="1:8" x14ac:dyDescent="0.3">
      <c r="A206" t="str">
        <v>R.0.013Б.4</v>
      </c>
      <c r="B206" t="str">
        <v>ЩР-01</v>
      </c>
      <c r="C206" t="str">
        <v>Розеточная группа Цокольный этаж Пом. №013Б Сушильная машина</v>
      </c>
      <c r="D206" t="str">
        <v>ВВГнг(А)-LS (3х2,5)</v>
      </c>
      <c r="E206" t="str">
        <v>L=44</v>
      </c>
      <c r="F206" t="str">
        <v>Ø20 L=14</v>
      </c>
      <c r="G206" t="str">
        <v/>
      </c>
      <c r="H206">
        <v>58</v>
      </c>
    </row>
    <row r="207" spans="1:8" x14ac:dyDescent="0.3">
      <c r="A207" t="str">
        <v>R.0.015A.1</v>
      </c>
      <c r="B207" t="str">
        <v>ЩР-01</v>
      </c>
      <c r="C207" t="str">
        <v>Розеточная группа Цокольный этаж Пом. №015A</v>
      </c>
      <c r="D207" t="str">
        <v>ВВГнг(А)-LS (3х2,5)</v>
      </c>
      <c r="E207" t="str">
        <v>L=50</v>
      </c>
      <c r="F207" t="str">
        <v>Ø20 L=17</v>
      </c>
      <c r="G207" t="str">
        <v>Ø20 L=5</v>
      </c>
      <c r="H207">
        <v>72</v>
      </c>
    </row>
    <row r="208" spans="1:8" x14ac:dyDescent="0.3">
      <c r="A208" t="str">
        <v>R.0.017A.1</v>
      </c>
      <c r="B208" t="str">
        <v>ЩР-01</v>
      </c>
      <c r="C208" t="str">
        <v>Розеточная группа Цокольный этаж Пом. №017A</v>
      </c>
      <c r="D208" t="str">
        <v>ВВГнг(А)-LS (3х2,5)</v>
      </c>
      <c r="E208" t="str">
        <v>L=45</v>
      </c>
      <c r="F208" t="str">
        <v>Ø20 L=30</v>
      </c>
      <c r="G208" t="str">
        <v>Ø20 L=9</v>
      </c>
      <c r="H208">
        <v>84</v>
      </c>
    </row>
    <row r="209" spans="1:8" x14ac:dyDescent="0.3">
      <c r="A209" t="str">
        <v>R.0.018A.1</v>
      </c>
      <c r="B209" t="str">
        <v>ЩР-01</v>
      </c>
      <c r="C209" t="str">
        <v>Розеточная группа Цокольный этаж Пом. №018A</v>
      </c>
      <c r="D209" t="str">
        <v>ВВГнг(А)-LS (3х2,5)</v>
      </c>
      <c r="E209" t="str">
        <v>L=43</v>
      </c>
      <c r="F209" t="str">
        <v>Ø20 L=13</v>
      </c>
      <c r="G209" t="str">
        <v/>
      </c>
      <c r="H209">
        <v>56</v>
      </c>
    </row>
    <row r="210" spans="1:8" x14ac:dyDescent="0.3">
      <c r="A210" t="str">
        <v>R.0.018Б.1</v>
      </c>
      <c r="B210" t="str">
        <v>ЩР-01</v>
      </c>
      <c r="C210" t="str">
        <v>Розеточная группа Цокольный этаж Пом. №018Б</v>
      </c>
      <c r="D210" t="str">
        <v>ВВГнг(А)-LS (3х2,5)</v>
      </c>
      <c r="E210" t="str">
        <v>L=24</v>
      </c>
      <c r="F210" t="str">
        <v>Ø20 L=9</v>
      </c>
      <c r="G210" t="str">
        <v/>
      </c>
      <c r="H210">
        <v>33</v>
      </c>
    </row>
    <row r="211" spans="1:8" x14ac:dyDescent="0.3">
      <c r="A211" t="str">
        <v>R.0.021A.1</v>
      </c>
      <c r="B211" t="str">
        <v>ЩР-01</v>
      </c>
      <c r="C211" t="str">
        <v>Розеточная группа Цокольный этаж Пом. №021A</v>
      </c>
      <c r="D211" t="str">
        <v>ВВГнг(А)-LS (3х2,5)</v>
      </c>
      <c r="E211" t="str">
        <v>L=49</v>
      </c>
      <c r="F211" t="str">
        <v>Ø20 L=14</v>
      </c>
      <c r="G211" t="str">
        <v>Ø20 L=9</v>
      </c>
      <c r="H211">
        <v>72</v>
      </c>
    </row>
    <row r="212" spans="1:8" x14ac:dyDescent="0.3">
      <c r="A212" t="str">
        <v>R.0.022.1</v>
      </c>
      <c r="B212" t="str">
        <v>ЩР-01</v>
      </c>
      <c r="C212" t="str">
        <v>Розеточная группа Цокольный этаж Пом. №022</v>
      </c>
      <c r="D212" t="str">
        <v>ВВГнг(А)-LS (3х2,5)</v>
      </c>
      <c r="E212" t="str">
        <v>L=44</v>
      </c>
      <c r="F212" t="str">
        <v>Ø20 L=7</v>
      </c>
      <c r="G212" t="str">
        <v/>
      </c>
      <c r="H212">
        <v>54</v>
      </c>
    </row>
    <row r="213" spans="1:8" x14ac:dyDescent="0.3">
      <c r="A213" t="str">
        <v>R.0.012A.2</v>
      </c>
      <c r="B213" t="str">
        <v>ЩР-01</v>
      </c>
      <c r="C213" t="str">
        <v>Розеточная группа Цокольный этаж Пом. №012A</v>
      </c>
      <c r="D213" t="str">
        <v>ВВГнг(А)-LS (3х2,5)</v>
      </c>
      <c r="E213" t="str">
        <v>L=9</v>
      </c>
      <c r="F213" t="str">
        <v>Ø20 L=54</v>
      </c>
      <c r="G213" t="str">
        <v/>
      </c>
      <c r="H213">
        <v>63</v>
      </c>
    </row>
    <row r="214" spans="1:8" x14ac:dyDescent="0.3">
      <c r="A214" t="str">
        <v>R.0.020A.1</v>
      </c>
      <c r="B214" t="str">
        <v>ЩР-01</v>
      </c>
      <c r="C214" t="str">
        <v>Розеточная группа Цокольный этаж Пом. №020A</v>
      </c>
      <c r="D214" t="str">
        <v>ВВГнг(А)-LS (3х2,5)</v>
      </c>
      <c r="E214" t="str">
        <v>L=44</v>
      </c>
      <c r="F214" t="str">
        <v>Ø20 L=7</v>
      </c>
      <c r="G214" t="str">
        <v/>
      </c>
      <c r="H214">
        <v>51</v>
      </c>
    </row>
    <row r="215" spans="1:8" x14ac:dyDescent="0.3">
      <c r="A215" t="str">
        <v>ШТК-1</v>
      </c>
      <c r="B215" t="str">
        <v>ЩР-01</v>
      </c>
      <c r="C215" t="str">
        <v>Шкаф телекоммуникационный ШТК-2 Цокольный этаж Пом. №002Т</v>
      </c>
      <c r="D215" t="str">
        <v>ВВГнг(А)-LS (3х6)</v>
      </c>
      <c r="E215" t="str">
        <v>L=6</v>
      </c>
      <c r="F215" t="str">
        <v>Ø25 L=8</v>
      </c>
      <c r="G215" t="str">
        <v/>
      </c>
      <c r="H215">
        <v>22</v>
      </c>
    </row>
    <row r="216" spans="1:8" x14ac:dyDescent="0.3">
      <c r="A216" t="str">
        <v>ШТК-СОТ.0</v>
      </c>
      <c r="B216" t="str">
        <v>ЩР-01</v>
      </c>
      <c r="C216" t="str">
        <v>Шкаф телекоммуникационный ШТК-СОТ.0 Цокольный этаж Пом. №002Т</v>
      </c>
      <c r="D216" t="str">
        <v>ВВГнг(А)-LS (3х2,5)</v>
      </c>
      <c r="E216" t="str">
        <v>L=6</v>
      </c>
      <c r="F216" t="str">
        <v>Ø20 L=8</v>
      </c>
      <c r="G216" t="str">
        <v/>
      </c>
      <c r="H216">
        <v>25</v>
      </c>
    </row>
    <row r="217" spans="1:8" x14ac:dyDescent="0.3">
      <c r="A217" t="str">
        <v>ШТК-ЛВС.0</v>
      </c>
      <c r="B217" t="str">
        <v>ЩР-01</v>
      </c>
      <c r="C217" t="str">
        <v>Шкаф телекоммуникационный ШТК-ЛВС.0 Цокольный этаж Пом. №002Т</v>
      </c>
      <c r="D217" t="str">
        <v>ВВГнг(А)-LS (3х2,5)</v>
      </c>
      <c r="E217" t="str">
        <v>L=8</v>
      </c>
      <c r="F217" t="str">
        <v>Ø20 L=11</v>
      </c>
      <c r="G217" t="str">
        <v/>
      </c>
      <c r="H217">
        <v>27</v>
      </c>
    </row>
    <row r="218" spans="1:8" x14ac:dyDescent="0.3">
      <c r="A218" t="str">
        <v>ЩДК-01</v>
      </c>
      <c r="B218" t="str">
        <v>ЩР-01</v>
      </c>
      <c r="C218" t="str">
        <v>Щит контроля доступа ШДК-01 Цокольный этаж Пом. №001Т</v>
      </c>
      <c r="D218" t="str">
        <v>ВВГнг(А)-LS (3х2,5)</v>
      </c>
      <c r="E218" t="str">
        <v/>
      </c>
      <c r="F218" t="str">
        <v>Ø20 L=12</v>
      </c>
      <c r="G218" t="str">
        <v/>
      </c>
      <c r="H218">
        <v>12</v>
      </c>
    </row>
    <row r="219" spans="1:8" x14ac:dyDescent="0.3">
      <c r="A219" t="str">
        <v>Ввод.1</v>
      </c>
      <c r="B219" t="str">
        <v>ЩР-1</v>
      </c>
      <c r="C219" t="str">
        <v>Ввод</v>
      </c>
      <c r="D219" t="str">
        <v>ВВГнг(А)-LS (5х16)</v>
      </c>
      <c r="E219" t="str">
        <v/>
      </c>
      <c r="F219" t="str">
        <v/>
      </c>
      <c r="G219" t="str">
        <v/>
      </c>
      <c r="H219" t="str">
        <v/>
      </c>
    </row>
    <row r="220" spans="1:8" x14ac:dyDescent="0.3">
      <c r="A220" t="str">
        <v>R.1.001A.1</v>
      </c>
      <c r="B220" t="str">
        <v>ЩР-1</v>
      </c>
      <c r="C220" t="str">
        <v>Розеточная группа Первый этаж Пом. №001A</v>
      </c>
      <c r="D220" t="str">
        <v>ВВГнг(А)-LS (3х2,5)</v>
      </c>
      <c r="E220" t="str">
        <v/>
      </c>
      <c r="F220" t="str">
        <v/>
      </c>
      <c r="G220" t="str">
        <v>Ø20 L=48</v>
      </c>
      <c r="H220">
        <v>81</v>
      </c>
    </row>
    <row r="221" spans="1:8" x14ac:dyDescent="0.3">
      <c r="A221" t="str">
        <v>R.1.001Aб.1</v>
      </c>
      <c r="B221" t="str">
        <v>ЩР-1</v>
      </c>
      <c r="C221" t="str">
        <v>Розеточная группа Первый этаж Пом. №001Aб, 002Аб</v>
      </c>
      <c r="D221" t="str">
        <v>ВВГнг(А)-LS (3х2,5)</v>
      </c>
      <c r="E221" t="str">
        <v>L=28</v>
      </c>
      <c r="F221" t="str">
        <v>Ø20 L=1</v>
      </c>
      <c r="G221" t="str">
        <v/>
      </c>
      <c r="H221">
        <v>73</v>
      </c>
    </row>
    <row r="222" spans="1:8" x14ac:dyDescent="0.3">
      <c r="A222" t="str">
        <v>R.1.001Г.1</v>
      </c>
      <c r="B222" t="str">
        <v>ЩР-1</v>
      </c>
      <c r="C222" t="str">
        <v>Розеточная группа Первый этаж Пом. №001Г</v>
      </c>
      <c r="D222" t="str">
        <v>ВВГнг(А)-LS (3х2,5)</v>
      </c>
      <c r="E222" t="str">
        <v>L=12</v>
      </c>
      <c r="F222" t="str">
        <v>Ø20 L=15</v>
      </c>
      <c r="G222" t="str">
        <v>Ø20 L=32</v>
      </c>
      <c r="H222">
        <v>59</v>
      </c>
    </row>
    <row r="223" spans="1:8" x14ac:dyDescent="0.3">
      <c r="A223" t="str">
        <v>R.1.002A.1</v>
      </c>
      <c r="B223" t="str">
        <v>ЩР-1</v>
      </c>
      <c r="C223" t="str">
        <v>Розеточная группа Первый этаж Пом. №002A, 023А</v>
      </c>
      <c r="D223" t="str">
        <v>ВВГнг(А)-LS (3х2,5)</v>
      </c>
      <c r="E223" t="str">
        <v>L=28</v>
      </c>
      <c r="F223" t="str">
        <v>Ø20 L=38</v>
      </c>
      <c r="G223" t="str">
        <v/>
      </c>
      <c r="H223">
        <v>66</v>
      </c>
    </row>
    <row r="224" spans="1:8" x14ac:dyDescent="0.3">
      <c r="A224" t="str">
        <v>R.1.002Aб.1</v>
      </c>
      <c r="B224" t="str">
        <v>ЩР-1</v>
      </c>
      <c r="C224" t="str">
        <v>Розеточная группа Первый этаж Пом. №002Aб</v>
      </c>
      <c r="D224" t="str">
        <v>ВВГнг(А)-LS (3х2,5)</v>
      </c>
      <c r="E224" t="str">
        <v>L=28</v>
      </c>
      <c r="F224" t="str">
        <v>Ø20 L=52</v>
      </c>
      <c r="G224" t="str">
        <v/>
      </c>
      <c r="H224">
        <v>80</v>
      </c>
    </row>
    <row r="225" spans="1:8" x14ac:dyDescent="0.3">
      <c r="A225" t="str">
        <v>R.1.002Б.1</v>
      </c>
      <c r="B225" t="str">
        <v>ЩР-1</v>
      </c>
      <c r="C225" t="str">
        <v>Розеточная группа Первый этаж Пом. №002Б Ледогенератор</v>
      </c>
      <c r="D225" t="str">
        <v>ВВГнг(А)-LS (3х2,5)</v>
      </c>
      <c r="E225" t="str">
        <v/>
      </c>
      <c r="F225" t="str">
        <v>Ø20 L=15</v>
      </c>
      <c r="G225" t="str">
        <v/>
      </c>
      <c r="H225">
        <v>30</v>
      </c>
    </row>
    <row r="226" spans="1:8" x14ac:dyDescent="0.3">
      <c r="A226" t="str">
        <v>R.1.002Б.2</v>
      </c>
      <c r="B226" t="str">
        <v>ЩР-1</v>
      </c>
      <c r="C226" t="str">
        <v>Розеточная группа Первый этаж Пом. №002Б</v>
      </c>
      <c r="D226" t="str">
        <v>ВВГнг(А)-LS (3х2,5)</v>
      </c>
      <c r="E226" t="str">
        <v/>
      </c>
      <c r="F226" t="str">
        <v>Ø20 L=14</v>
      </c>
      <c r="G226" t="str">
        <v/>
      </c>
      <c r="H226">
        <v>29</v>
      </c>
    </row>
    <row r="227" spans="1:8" x14ac:dyDescent="0.3">
      <c r="A227" t="str">
        <v>R.1.002Б.3</v>
      </c>
      <c r="B227" t="str">
        <v>ЩР-1</v>
      </c>
      <c r="C227" t="str">
        <v>Розеточная группа Первый этаж Пом. №002Б Ледогенератор</v>
      </c>
      <c r="D227" t="str">
        <v>ВВГнг(А)-LS (3х2,5)</v>
      </c>
      <c r="E227" t="str">
        <v/>
      </c>
      <c r="F227" t="str">
        <v>Ø20 L=14</v>
      </c>
      <c r="G227" t="str">
        <v/>
      </c>
      <c r="H227">
        <v>29</v>
      </c>
    </row>
    <row r="228" spans="1:8" x14ac:dyDescent="0.3">
      <c r="A228" t="str">
        <v>R.1.002Б.4</v>
      </c>
      <c r="B228" t="str">
        <v>ЩР-1</v>
      </c>
      <c r="C228" t="str">
        <v>Розеточная группа Первый этаж Пом. №002Б Фартук</v>
      </c>
      <c r="D228" t="str">
        <v>ВВГнг(А)-LS (3х2,5)</v>
      </c>
      <c r="E228" t="str">
        <v/>
      </c>
      <c r="F228" t="str">
        <v>Ø20 L=14</v>
      </c>
      <c r="G228" t="str">
        <v/>
      </c>
      <c r="H228">
        <v>17</v>
      </c>
    </row>
    <row r="229" spans="1:8" x14ac:dyDescent="0.3">
      <c r="A229" t="str">
        <v>R.1.002Б.5</v>
      </c>
      <c r="B229" t="str">
        <v>ЩР-1</v>
      </c>
      <c r="C229" t="str">
        <v>Розеточная группа Первый этаж Пом. №002Б ПММ</v>
      </c>
      <c r="D229" t="str">
        <v>ВВГнг(А)-LS (3х4)</v>
      </c>
      <c r="E229" t="str">
        <v/>
      </c>
      <c r="F229" t="str">
        <v>Ø20 L=22</v>
      </c>
      <c r="G229" t="str">
        <v/>
      </c>
      <c r="H229">
        <v>22</v>
      </c>
    </row>
    <row r="230" spans="1:8" x14ac:dyDescent="0.3">
      <c r="A230" t="str">
        <v>R.1.002Б.6</v>
      </c>
      <c r="B230" t="str">
        <v>ЩР-1</v>
      </c>
      <c r="C230" t="str">
        <v>Розеточная группа Первый этаж Пом. №002Б Стаканомоечная машина</v>
      </c>
      <c r="D230" t="str">
        <v>ВВГнг(А)-LS (3х4)</v>
      </c>
      <c r="E230" t="str">
        <v/>
      </c>
      <c r="F230" t="str">
        <v>Ø20 L=22</v>
      </c>
      <c r="G230" t="str">
        <v/>
      </c>
      <c r="H230">
        <v>22</v>
      </c>
    </row>
    <row r="231" spans="1:8" x14ac:dyDescent="0.3">
      <c r="A231" t="str">
        <v>R.1.002Б.7</v>
      </c>
      <c r="B231" t="str">
        <v>ЩР-1</v>
      </c>
      <c r="C231" t="str">
        <v>Розеточная группа Первый этаж Пом. №002Б</v>
      </c>
      <c r="D231" t="str">
        <v>ВВГнг(А)-LS (3х2,5)</v>
      </c>
      <c r="E231" t="str">
        <v/>
      </c>
      <c r="F231" t="str">
        <v>Ø20 L=22</v>
      </c>
      <c r="G231" t="str">
        <v/>
      </c>
      <c r="H231">
        <v>22</v>
      </c>
    </row>
    <row r="232" spans="1:8" x14ac:dyDescent="0.3">
      <c r="A232" t="str">
        <v>R.1.002Б.8</v>
      </c>
      <c r="B232" t="str">
        <v>ЩР-1</v>
      </c>
      <c r="C232" t="str">
        <v>Розеточная группа Первый этаж Пом. №002Б</v>
      </c>
      <c r="D232" t="str">
        <v>ВВГнг(А)-LS (3х2,5)</v>
      </c>
      <c r="E232" t="str">
        <v>L=2</v>
      </c>
      <c r="F232" t="str">
        <v>Ø20 L=6</v>
      </c>
      <c r="G232" t="str">
        <v>Ø20 L=19</v>
      </c>
      <c r="H232">
        <v>27</v>
      </c>
    </row>
    <row r="233" spans="1:8" x14ac:dyDescent="0.3">
      <c r="A233" t="str">
        <v>R.1.002Г.1</v>
      </c>
      <c r="B233" t="str">
        <v>ЩР-1</v>
      </c>
      <c r="C233" t="str">
        <v>Розеточная группа Первый этаж Пом. №002Г</v>
      </c>
      <c r="D233" t="str">
        <v>ВВГнг(А)-LS (3х2,5)</v>
      </c>
      <c r="E233" t="str">
        <v>L=28</v>
      </c>
      <c r="F233" t="str">
        <v>Ø20 L=49</v>
      </c>
      <c r="G233" t="str">
        <v>Ø20 L=36</v>
      </c>
      <c r="H233">
        <v>113</v>
      </c>
    </row>
    <row r="234" spans="1:8" x14ac:dyDescent="0.3">
      <c r="A234" t="str">
        <v>R.1.003A.1</v>
      </c>
      <c r="B234" t="str">
        <v>ЩР-1</v>
      </c>
      <c r="C234" t="str">
        <v>Розеточная группа Первый этаж Пом. №003A</v>
      </c>
      <c r="D234" t="str">
        <v>ВВГнг(А)-LS (3х2,5)</v>
      </c>
      <c r="E234" t="str">
        <v>L=28</v>
      </c>
      <c r="F234" t="str">
        <v>Ø20 L=25</v>
      </c>
      <c r="G234" t="str">
        <v>Ø20 L=7</v>
      </c>
      <c r="H234">
        <v>60</v>
      </c>
    </row>
    <row r="235" spans="1:8" x14ac:dyDescent="0.3">
      <c r="A235" t="str">
        <v>R.1.003A.2</v>
      </c>
      <c r="B235" t="str">
        <v>ЩР-1</v>
      </c>
      <c r="C235" t="str">
        <v>Розеточная группа Первый этаж Пом. №003A</v>
      </c>
      <c r="D235" t="str">
        <v>ВВГнг(А)-LS (3х2,5)</v>
      </c>
      <c r="E235" t="str">
        <v>L=28</v>
      </c>
      <c r="F235" t="str">
        <v>Ø20 L=42</v>
      </c>
      <c r="G235" t="str">
        <v>Ø20 L=5</v>
      </c>
      <c r="H235">
        <v>75</v>
      </c>
    </row>
    <row r="236" spans="1:8" x14ac:dyDescent="0.3">
      <c r="A236" t="str">
        <v>R.1.003A.3</v>
      </c>
      <c r="B236" t="str">
        <v>ЩР-1</v>
      </c>
      <c r="C236" t="str">
        <v>Розеточная группа Первый этаж Пом. №003A</v>
      </c>
      <c r="D236" t="str">
        <v>ВВГнг(А)-LS (3х2,5)</v>
      </c>
      <c r="E236" t="str">
        <v>L=28</v>
      </c>
      <c r="F236" t="str">
        <v>Ø20 L=72</v>
      </c>
      <c r="G236" t="str">
        <v>Ø20 L=7</v>
      </c>
      <c r="H236">
        <v>107</v>
      </c>
    </row>
    <row r="237" spans="1:8" x14ac:dyDescent="0.3">
      <c r="A237" t="str">
        <v>R.1.003A2</v>
      </c>
      <c r="B237" t="str">
        <v>ЩР-1</v>
      </c>
      <c r="C237" t="str">
        <v>Розеточная группа Первый этаж Пом. №003A2</v>
      </c>
      <c r="D237" t="str">
        <v>ВВГнг(А)-LS (3х2,5)</v>
      </c>
      <c r="E237" t="str">
        <v>L=28</v>
      </c>
      <c r="F237" t="str">
        <v>Ø20 L=35</v>
      </c>
      <c r="G237" t="str">
        <v>Ø20 L=6</v>
      </c>
      <c r="H237">
        <v>69</v>
      </c>
    </row>
    <row r="238" spans="1:8" x14ac:dyDescent="0.3">
      <c r="A238" t="str">
        <v>R.1.003Aб.1</v>
      </c>
      <c r="B238" t="str">
        <v>ЩР-1</v>
      </c>
      <c r="C238" t="str">
        <v>Розеточная группа Первый этаж Пом. №003Aб</v>
      </c>
      <c r="D238" t="str">
        <v>ВВГнг(А)-LS (3х2,5)</v>
      </c>
      <c r="E238" t="str">
        <v>L=28</v>
      </c>
      <c r="F238" t="str">
        <v>Ø20 L=53</v>
      </c>
      <c r="G238" t="str">
        <v/>
      </c>
      <c r="H238">
        <v>81</v>
      </c>
    </row>
    <row r="239" spans="1:8" x14ac:dyDescent="0.3">
      <c r="A239" t="str">
        <v>R.1.003Б.1</v>
      </c>
      <c r="B239" t="str">
        <v>ЩР-1</v>
      </c>
      <c r="C239" t="str">
        <v>Розеточная группа Первый этаж Пом. №003Б</v>
      </c>
      <c r="D239" t="str">
        <v>ВВГнг(А)-LS (3х2,5)</v>
      </c>
      <c r="E239" t="str">
        <v/>
      </c>
      <c r="F239" t="str">
        <v/>
      </c>
      <c r="G239" t="str">
        <v>Ø20 L=23</v>
      </c>
      <c r="H239">
        <v>28</v>
      </c>
    </row>
    <row r="240" spans="1:8" x14ac:dyDescent="0.3">
      <c r="A240" t="str">
        <v>R.1.003Б.2</v>
      </c>
      <c r="B240" t="str">
        <v>ЩР-1</v>
      </c>
      <c r="C240" t="str">
        <v>Розеточная группа Первый этаж Пом. №003Б</v>
      </c>
      <c r="D240" t="str">
        <v>ВВГнг(А)-LS (3х2,5)</v>
      </c>
      <c r="E240" t="str">
        <v/>
      </c>
      <c r="F240" t="str">
        <v/>
      </c>
      <c r="G240" t="str">
        <v>Ø20 L=8</v>
      </c>
      <c r="H240">
        <v>13</v>
      </c>
    </row>
    <row r="241" spans="1:8" x14ac:dyDescent="0.3">
      <c r="A241" t="str">
        <v>R.1.003Г.1</v>
      </c>
      <c r="B241" t="str">
        <v>ЩР-1</v>
      </c>
      <c r="C241" t="str">
        <v>Розеточная группа Первый этаж Пом. №003Г</v>
      </c>
      <c r="D241" t="str">
        <v>ВВГнг(А)-LS (3х2,5)</v>
      </c>
      <c r="E241" t="str">
        <v>L=6</v>
      </c>
      <c r="F241" t="str">
        <v>Ø20 L=26</v>
      </c>
      <c r="G241" t="str">
        <v/>
      </c>
      <c r="H241">
        <v>32</v>
      </c>
    </row>
    <row r="242" spans="1:8" x14ac:dyDescent="0.3">
      <c r="A242" t="str">
        <v>R.1.004Aб.1</v>
      </c>
      <c r="B242" t="str">
        <v>ЩР-1</v>
      </c>
      <c r="C242" t="str">
        <v>Розеточная группа Первый этаж Пом. №004Aб</v>
      </c>
      <c r="D242" t="str">
        <v>ВВГнг(А)-LS (3х2,5)</v>
      </c>
      <c r="E242" t="str">
        <v>L=28</v>
      </c>
      <c r="F242" t="str">
        <v>Ø20 L=47</v>
      </c>
      <c r="G242" t="str">
        <v/>
      </c>
      <c r="H242">
        <v>75</v>
      </c>
    </row>
    <row r="243" spans="1:8" x14ac:dyDescent="0.3">
      <c r="A243" t="str">
        <v>R.1.005A.1</v>
      </c>
      <c r="B243" t="str">
        <v>ЩР-1</v>
      </c>
      <c r="C243" t="str">
        <v>Розеточная группа Первый этаж Пом. №005A</v>
      </c>
      <c r="D243" t="str">
        <v>ВВГнг(А)-LS (3х2,5)</v>
      </c>
      <c r="E243" t="str">
        <v>L=12</v>
      </c>
      <c r="F243" t="str">
        <v>Ø20 L=19</v>
      </c>
      <c r="G243" t="str">
        <v/>
      </c>
      <c r="H243">
        <v>31</v>
      </c>
    </row>
    <row r="244" spans="1:8" x14ac:dyDescent="0.3">
      <c r="A244" t="str">
        <v>R.1.006A.1</v>
      </c>
      <c r="B244" t="str">
        <v>ЩР-1</v>
      </c>
      <c r="C244" t="str">
        <v>Розеточная группа Первый этаж Пом. №006A</v>
      </c>
      <c r="D244" t="str">
        <v>ВВГнг(А)-LS (3х2,5)</v>
      </c>
      <c r="E244" t="str">
        <v>L=28</v>
      </c>
      <c r="F244" t="str">
        <v>Ø20 L=20</v>
      </c>
      <c r="G244" t="str">
        <v>Ø20 L=6</v>
      </c>
      <c r="H244">
        <v>54</v>
      </c>
    </row>
    <row r="245" spans="1:8" x14ac:dyDescent="0.3">
      <c r="A245" t="str">
        <v>R.1.006Aб.1</v>
      </c>
      <c r="B245" t="str">
        <v>ЩР-1</v>
      </c>
      <c r="C245" t="str">
        <v>Розеточная группа Первый этаж Пом. №006Aб</v>
      </c>
      <c r="D245" t="str">
        <v>ВВГнг(А)-LS (3х2,5)</v>
      </c>
      <c r="E245" t="str">
        <v>L=28</v>
      </c>
      <c r="F245" t="str">
        <v>Ø20 L=78</v>
      </c>
      <c r="G245" t="str">
        <v/>
      </c>
      <c r="H245">
        <v>106</v>
      </c>
    </row>
    <row r="246" spans="1:8" x14ac:dyDescent="0.3">
      <c r="A246" t="str">
        <v>R.1.006Aб.2</v>
      </c>
      <c r="B246" t="str">
        <v>ЩР-1</v>
      </c>
      <c r="C246" t="str">
        <v>Розеточная группа Первый этаж Пом. №006Aб</v>
      </c>
      <c r="D246" t="str">
        <v>ВВГнг(А)-LS (3х2,5)</v>
      </c>
      <c r="E246" t="str">
        <v>L=28</v>
      </c>
      <c r="F246" t="str">
        <v>Ø20 L=96</v>
      </c>
      <c r="G246" t="str">
        <v/>
      </c>
      <c r="H246">
        <v>124</v>
      </c>
    </row>
    <row r="247" spans="1:8" x14ac:dyDescent="0.3">
      <c r="A247" t="str">
        <v>R.1.007A.1</v>
      </c>
      <c r="B247" t="str">
        <v>ЩР-1</v>
      </c>
      <c r="C247" t="str">
        <v>Розеточная группа Первый этаж Пом. №007A</v>
      </c>
      <c r="D247" t="str">
        <v>ВВГнг(А)-LS (3х2,5)</v>
      </c>
      <c r="E247" t="str">
        <v>L=7</v>
      </c>
      <c r="F247" t="str">
        <v>Ø20 L=38</v>
      </c>
      <c r="G247" t="str">
        <v/>
      </c>
      <c r="H247">
        <v>45</v>
      </c>
    </row>
    <row r="248" spans="1:8" x14ac:dyDescent="0.3">
      <c r="A248" t="str">
        <v>R.1.008A.1</v>
      </c>
      <c r="B248" t="str">
        <v>ЩР-1</v>
      </c>
      <c r="C248" t="str">
        <v>Розеточная группа Первый этаж Пом. №008A</v>
      </c>
      <c r="D248" t="str">
        <v>ВВГнг(А)-LS (3х2,5)</v>
      </c>
      <c r="E248" t="str">
        <v>L=20</v>
      </c>
      <c r="F248" t="str">
        <v>Ø20 L=26</v>
      </c>
      <c r="G248" t="str">
        <v>Ø20 L=5</v>
      </c>
      <c r="H248">
        <v>51</v>
      </c>
    </row>
    <row r="249" spans="1:8" x14ac:dyDescent="0.3">
      <c r="A249" t="str">
        <v>R.1.009A.1</v>
      </c>
      <c r="B249" t="str">
        <v>ЩР-1</v>
      </c>
      <c r="C249" t="str">
        <v>Розеточная группа Первый этаж Пом. №009A</v>
      </c>
      <c r="D249" t="str">
        <v>ВВГнг(А)-LS (3х2,5)</v>
      </c>
      <c r="E249" t="str">
        <v/>
      </c>
      <c r="F249" t="str">
        <v/>
      </c>
      <c r="G249" t="str">
        <v>Ø20 L=22</v>
      </c>
      <c r="H249">
        <v>27</v>
      </c>
    </row>
    <row r="250" spans="1:8" x14ac:dyDescent="0.3">
      <c r="A250" t="str">
        <v>R.1.010A.1</v>
      </c>
      <c r="B250" t="str">
        <v>ЩР-1</v>
      </c>
      <c r="C250" t="str">
        <v>Розеточная группа Первый этаж Пом. №010A</v>
      </c>
      <c r="D250" t="str">
        <v>ВВГнг(А)-LS (3х2,5)</v>
      </c>
      <c r="E250" t="str">
        <v/>
      </c>
      <c r="F250" t="str">
        <v/>
      </c>
      <c r="G250" t="str">
        <v>Ø20 L=40</v>
      </c>
      <c r="H250">
        <v>45</v>
      </c>
    </row>
    <row r="251" spans="1:8" x14ac:dyDescent="0.3">
      <c r="A251" t="str">
        <v>R.1.011A.1</v>
      </c>
      <c r="B251" t="str">
        <v>ЩР-1</v>
      </c>
      <c r="C251" t="str">
        <v>Розеточная группа Первый этаж Пом. №011A</v>
      </c>
      <c r="D251" t="str">
        <v>ВВГнг(А)-LS (3х2,5)</v>
      </c>
      <c r="E251" t="str">
        <v>L=11</v>
      </c>
      <c r="F251" t="str">
        <v>Ø20 L=31</v>
      </c>
      <c r="G251" t="str">
        <v>Ø20 L=36</v>
      </c>
      <c r="H251">
        <v>73</v>
      </c>
    </row>
    <row r="252" spans="1:8" x14ac:dyDescent="0.3">
      <c r="A252" t="str">
        <v>R.1.012.1A.1</v>
      </c>
      <c r="B252" t="str">
        <v>ЩР-1</v>
      </c>
      <c r="C252" t="str">
        <v>Розеточная группа Первый этаж Пом. №012</v>
      </c>
      <c r="D252" t="str">
        <v>ВВГнг(А)-LS (3х2,5)</v>
      </c>
      <c r="E252" t="str">
        <v>L=18</v>
      </c>
      <c r="F252" t="str">
        <v>Ø20 L=14</v>
      </c>
      <c r="G252" t="str">
        <v/>
      </c>
      <c r="H252">
        <v>32</v>
      </c>
    </row>
    <row r="253" spans="1:8" x14ac:dyDescent="0.3">
      <c r="A253" t="str">
        <v>R.1.013A.1</v>
      </c>
      <c r="B253" t="str">
        <v>ЩР-1</v>
      </c>
      <c r="C253" t="str">
        <v>Розеточная группа Первый этаж Пом. №013A</v>
      </c>
      <c r="D253" t="str">
        <v>ВВГнг(А)-LS (3х2,5)</v>
      </c>
      <c r="E253" t="str">
        <v>L=20</v>
      </c>
      <c r="F253" t="str">
        <v>Ø20 L=18</v>
      </c>
      <c r="G253" t="str">
        <v/>
      </c>
      <c r="H253">
        <v>38</v>
      </c>
    </row>
    <row r="254" spans="1:8" x14ac:dyDescent="0.3">
      <c r="A254" t="str">
        <v>R.1.014A.1</v>
      </c>
      <c r="B254" t="str">
        <v>ЩР-1</v>
      </c>
      <c r="C254" t="str">
        <v>Розеточная группа Первый этаж Пом. №014A</v>
      </c>
      <c r="D254" t="str">
        <v>ВВГнг(А)-LS (3х2,5)</v>
      </c>
      <c r="E254" t="str">
        <v>L=3</v>
      </c>
      <c r="F254" t="str">
        <v>Ø20 L=19</v>
      </c>
      <c r="G254" t="str">
        <v/>
      </c>
      <c r="H254">
        <v>22</v>
      </c>
    </row>
    <row r="255" spans="1:8" x14ac:dyDescent="0.3">
      <c r="A255" t="str">
        <v>R.1.015A.1</v>
      </c>
      <c r="B255" t="str">
        <v>ЩР-1</v>
      </c>
      <c r="C255" t="str">
        <v>Розеточная группа Первый этаж Пом. №015A</v>
      </c>
      <c r="D255" t="str">
        <v>ВВГнг(А)-LS (3х2,5)</v>
      </c>
      <c r="E255" t="str">
        <v>L=6</v>
      </c>
      <c r="F255" t="str">
        <v>Ø20 L=36</v>
      </c>
      <c r="G255" t="str">
        <v/>
      </c>
      <c r="H255">
        <v>42</v>
      </c>
    </row>
    <row r="256" spans="1:8" x14ac:dyDescent="0.3">
      <c r="A256" t="str">
        <v>R.1.016A.1</v>
      </c>
      <c r="B256" t="str">
        <v>ЩР-1</v>
      </c>
      <c r="C256" t="str">
        <v>Розеточная группа Первый этаж Пом. №016A</v>
      </c>
      <c r="D256" t="str">
        <v>ВВГнг(А)-LS (3х2,5)</v>
      </c>
      <c r="E256" t="str">
        <v>L=20</v>
      </c>
      <c r="F256" t="str">
        <v>Ø20 L=25</v>
      </c>
      <c r="G256" t="str">
        <v>Ø20 L=18</v>
      </c>
      <c r="H256">
        <v>63</v>
      </c>
    </row>
    <row r="257" spans="1:8" x14ac:dyDescent="0.3">
      <c r="A257" t="str">
        <v>R.1.017A.1</v>
      </c>
      <c r="B257" t="str">
        <v>ЩР-1</v>
      </c>
      <c r="C257" t="str">
        <v>Розеточная группа Первый этаж Пом. №017A</v>
      </c>
      <c r="D257" t="str">
        <v>ВВГнг(А)-LS (3х2,5)</v>
      </c>
      <c r="E257" t="str">
        <v>L=20</v>
      </c>
      <c r="F257" t="str">
        <v>Ø20 L=31</v>
      </c>
      <c r="G257" t="str">
        <v>Ø20 L=8</v>
      </c>
      <c r="H257">
        <v>59</v>
      </c>
    </row>
    <row r="258" spans="1:8" x14ac:dyDescent="0.3">
      <c r="A258" t="str">
        <v>R.1.017A.2</v>
      </c>
      <c r="B258" t="str">
        <v>ЩР-1</v>
      </c>
      <c r="C258" t="str">
        <v>Розеточная группа Первый этаж Пом. №017A</v>
      </c>
      <c r="D258" t="str">
        <v>ВВГнг(А)-LS (3х2,5)</v>
      </c>
      <c r="E258" t="str">
        <v>L=20</v>
      </c>
      <c r="F258" t="str">
        <v>Ø20 L=23</v>
      </c>
      <c r="G258" t="str">
        <v>Ø20 L=14</v>
      </c>
      <c r="H258">
        <v>57</v>
      </c>
    </row>
    <row r="259" spans="1:8" x14ac:dyDescent="0.3">
      <c r="A259" t="str">
        <v>R.1.018A.1</v>
      </c>
      <c r="B259" t="str">
        <v>ЩР-1</v>
      </c>
      <c r="C259" t="str">
        <v>Розеточная группа Первый этаж Пом. №018A</v>
      </c>
      <c r="D259" t="str">
        <v>ВВГнг(А)-LS (3х2,5)</v>
      </c>
      <c r="E259" t="str">
        <v>L=20</v>
      </c>
      <c r="F259" t="str">
        <v>Ø20 L=18</v>
      </c>
      <c r="G259" t="str">
        <v>Ø20 L=4</v>
      </c>
      <c r="H259">
        <v>42</v>
      </c>
    </row>
    <row r="260" spans="1:8" x14ac:dyDescent="0.3">
      <c r="A260" t="str">
        <v>R.1.019A.1</v>
      </c>
      <c r="B260" t="str">
        <v>ЩР-1</v>
      </c>
      <c r="C260" t="str">
        <v>Розеточная группа Первый этаж Пом. №019A Полотенцесушитель</v>
      </c>
      <c r="D260" t="str">
        <v>ВВГнг(А)-LS (3х2,5)</v>
      </c>
      <c r="E260" t="str">
        <v>L=20</v>
      </c>
      <c r="F260" t="str">
        <v/>
      </c>
      <c r="G260" t="str">
        <v/>
      </c>
      <c r="H260">
        <v>40</v>
      </c>
    </row>
    <row r="261" spans="1:8" x14ac:dyDescent="0.3">
      <c r="A261" t="str">
        <v>R.1.020A.2</v>
      </c>
      <c r="B261" t="str">
        <v>ЩР-1</v>
      </c>
      <c r="C261" t="str">
        <v>Розеточная группа Первый этаж Пом. №020A</v>
      </c>
      <c r="D261" t="str">
        <v>ВВГнг(А)-LS (3х2,5)</v>
      </c>
      <c r="E261" t="str">
        <v>L=20</v>
      </c>
      <c r="F261" t="str">
        <v>Ø20 L=34</v>
      </c>
      <c r="G261" t="str">
        <v/>
      </c>
      <c r="H261">
        <v>54</v>
      </c>
    </row>
    <row r="262" spans="1:8" x14ac:dyDescent="0.3">
      <c r="A262" t="str">
        <v>R.1.021A.1</v>
      </c>
      <c r="B262" t="str">
        <v>ЩР-1</v>
      </c>
      <c r="C262" t="str">
        <v>Розеточная группа Первый этаж Пом. №021A Кофемашина</v>
      </c>
      <c r="D262" t="str">
        <v>ВВГнг(А)-LS (3х2,5)</v>
      </c>
      <c r="E262" t="str">
        <v>L=20</v>
      </c>
      <c r="F262" t="str">
        <v>Ø20 L=19</v>
      </c>
      <c r="G262" t="str">
        <v/>
      </c>
      <c r="H262">
        <v>39</v>
      </c>
    </row>
    <row r="263" spans="1:8" x14ac:dyDescent="0.3">
      <c r="A263" t="str">
        <v>R.1.021A.10</v>
      </c>
      <c r="B263" t="str">
        <v>ЩР-1</v>
      </c>
      <c r="C263" t="str">
        <v>Розеточная группа Первый этаж Пом. №021A ПММ</v>
      </c>
      <c r="D263" t="str">
        <v>ВВГнг(А)-LS (3х2,5)</v>
      </c>
      <c r="E263" t="str">
        <v>L=20</v>
      </c>
      <c r="F263" t="str">
        <v>Ø20 L=22</v>
      </c>
      <c r="G263" t="str">
        <v/>
      </c>
      <c r="H263">
        <v>42</v>
      </c>
    </row>
    <row r="264" spans="1:8" x14ac:dyDescent="0.3">
      <c r="A264" t="str">
        <v>R.1.021A.11</v>
      </c>
      <c r="B264" t="str">
        <v>ЩР-1</v>
      </c>
      <c r="C264" t="str">
        <v>Розеточная группа Первый этаж Пом. №021A</v>
      </c>
      <c r="D264" t="str">
        <v>ВВГнг(А)-LS (3х2,5)</v>
      </c>
      <c r="E264" t="str">
        <v/>
      </c>
      <c r="F264" t="str">
        <v>Ø20 L=3</v>
      </c>
      <c r="G264" t="str">
        <v/>
      </c>
      <c r="H264">
        <v>6</v>
      </c>
    </row>
    <row r="265" spans="1:8" x14ac:dyDescent="0.3">
      <c r="A265" t="str">
        <v>R.1.021A.2</v>
      </c>
      <c r="B265" t="str">
        <v>ЩР-1</v>
      </c>
      <c r="C265" t="str">
        <v>Розеточная группа Первый этаж Пом. №021A Духовой шкаф</v>
      </c>
      <c r="D265" t="str">
        <v>ВВГнг(А)-LS (3х4)</v>
      </c>
      <c r="E265" t="str">
        <v>L=20</v>
      </c>
      <c r="F265" t="str">
        <v>Ø20 L=19</v>
      </c>
      <c r="G265" t="str">
        <v/>
      </c>
      <c r="H265">
        <v>39</v>
      </c>
    </row>
    <row r="266" spans="1:8" x14ac:dyDescent="0.3">
      <c r="A266" t="str">
        <v>R.1.021A.3</v>
      </c>
      <c r="B266" t="str">
        <v>ЩР-1</v>
      </c>
      <c r="C266" t="str">
        <v>Розеточная группа Первый этаж Пом. №021A Микроволновая печь</v>
      </c>
      <c r="D266" t="str">
        <v>ВВГнг(А)-LS (3х2,5)</v>
      </c>
      <c r="E266" t="str">
        <v>L=20</v>
      </c>
      <c r="F266" t="str">
        <v>Ø20 L=19</v>
      </c>
      <c r="G266" t="str">
        <v/>
      </c>
      <c r="H266">
        <v>39</v>
      </c>
    </row>
    <row r="267" spans="1:8" x14ac:dyDescent="0.3">
      <c r="A267" t="str">
        <v>R.1.021A.4</v>
      </c>
      <c r="B267" t="str">
        <v>ЩР-1</v>
      </c>
      <c r="C267" t="str">
        <v>Розеточная группа Первый этаж Пом. №021A Холодильник, морозильная камера</v>
      </c>
      <c r="D267" t="str">
        <v>ВВГнг(А)-LS (3х2,5)</v>
      </c>
      <c r="E267" t="str">
        <v>L=20</v>
      </c>
      <c r="F267" t="str">
        <v>Ø20 L=22</v>
      </c>
      <c r="G267" t="str">
        <v/>
      </c>
      <c r="H267">
        <v>42</v>
      </c>
    </row>
    <row r="268" spans="1:8" x14ac:dyDescent="0.3">
      <c r="A268" t="str">
        <v>R.1.021A.6</v>
      </c>
      <c r="B268" t="str">
        <v>ЩР-1</v>
      </c>
      <c r="C268" t="str">
        <v>Розеточная группа Первый этаж Пом. №021A Вывод для вытяжки</v>
      </c>
      <c r="D268" t="str">
        <v>ВВГнг(А)-LS (3х2,5)</v>
      </c>
      <c r="E268" t="str">
        <v>L=20</v>
      </c>
      <c r="F268" t="str">
        <v>Ø20 L=22</v>
      </c>
      <c r="G268" t="str">
        <v/>
      </c>
      <c r="H268">
        <v>42</v>
      </c>
    </row>
    <row r="269" spans="1:8" x14ac:dyDescent="0.3">
      <c r="A269" t="str">
        <v>R.1.021A.7</v>
      </c>
      <c r="B269" t="str">
        <v>ЩР-1</v>
      </c>
      <c r="C269" t="str">
        <v>Розеточная группа Первый этаж Пом. №021A Вывод на варочную панель</v>
      </c>
      <c r="D269" t="str">
        <v>ВВГнг(А)-LS (5х4)</v>
      </c>
      <c r="E269" t="str">
        <v>L=20</v>
      </c>
      <c r="F269" t="str">
        <v>Ø25 L=22</v>
      </c>
      <c r="G269" t="str">
        <v/>
      </c>
      <c r="H269">
        <v>42</v>
      </c>
    </row>
    <row r="270" spans="1:8" x14ac:dyDescent="0.3">
      <c r="A270" t="str">
        <v>R.1.021A.8</v>
      </c>
      <c r="B270" t="str">
        <v>ЩР-1</v>
      </c>
      <c r="C270" t="str">
        <v>Розеточная группа Первый этаж Пом. №021A</v>
      </c>
      <c r="D270" t="str">
        <v>ВВГнг(А)-LS (3х2,5)</v>
      </c>
      <c r="E270" t="str">
        <v>L=20</v>
      </c>
      <c r="F270" t="str">
        <v>Ø20 L=29</v>
      </c>
      <c r="G270" t="str">
        <v>Ø20 L=14</v>
      </c>
      <c r="H270">
        <v>63</v>
      </c>
    </row>
    <row r="271" spans="1:8" x14ac:dyDescent="0.3">
      <c r="A271" t="str">
        <v>R.1.021A.9</v>
      </c>
      <c r="B271" t="str">
        <v>ЩР-1</v>
      </c>
      <c r="C271" t="str">
        <v>Розеточная группа Первый этаж Пом. №021A Подогреватель пищи и посуды</v>
      </c>
      <c r="D271" t="str">
        <v>ВВГнг(А)-LS (3х2,5)</v>
      </c>
      <c r="E271" t="str">
        <v>L=20</v>
      </c>
      <c r="F271" t="str">
        <v>Ø20 L=20</v>
      </c>
      <c r="G271" t="str">
        <v/>
      </c>
      <c r="H271">
        <v>40</v>
      </c>
    </row>
    <row r="272" spans="1:8" x14ac:dyDescent="0.3">
      <c r="A272" t="str">
        <v>R.1.002Б.9</v>
      </c>
      <c r="B272" t="str">
        <v>ЩР-1</v>
      </c>
      <c r="C272" t="str">
        <v>Розеточная группа Первый этаж Пом. №002Б Холодильник</v>
      </c>
      <c r="D272" t="str">
        <v>ВВГнг(А)-LS (3х2,5)</v>
      </c>
      <c r="E272" t="str">
        <v/>
      </c>
      <c r="F272" t="str">
        <v/>
      </c>
      <c r="G272" t="str">
        <v>Ø20 L=6</v>
      </c>
      <c r="H272">
        <v>9</v>
      </c>
    </row>
    <row r="273" spans="1:8" x14ac:dyDescent="0.3">
      <c r="A273" t="str">
        <v>R.1.002Б.10</v>
      </c>
      <c r="B273" t="str">
        <v>ЩР-1</v>
      </c>
      <c r="C273" t="str">
        <v>Розеточная группа Первый этаж Пом. №002Б</v>
      </c>
      <c r="D273" t="str">
        <v>ВВГнг(А)-LS (3х2,5)</v>
      </c>
      <c r="E273" t="str">
        <v/>
      </c>
      <c r="F273" t="str">
        <v/>
      </c>
      <c r="G273" t="str">
        <v>Ø20 L=6</v>
      </c>
      <c r="H273">
        <v>9</v>
      </c>
    </row>
    <row r="274" spans="1:8" x14ac:dyDescent="0.3">
      <c r="A274" t="str">
        <v>R.1.021A.5</v>
      </c>
      <c r="B274" t="str">
        <v>ЩР-1</v>
      </c>
      <c r="C274" t="str">
        <v>Розеточная группа Первый этаж Пом. №021A</v>
      </c>
      <c r="D274" t="str">
        <v>ВВГнг(А)-LS (3х2,5)</v>
      </c>
      <c r="E274" t="str">
        <v>L=20</v>
      </c>
      <c r="F274" t="str">
        <v>Ø20 L=22</v>
      </c>
      <c r="G274" t="str">
        <v/>
      </c>
      <c r="H274">
        <v>42</v>
      </c>
    </row>
    <row r="275" spans="1:8" x14ac:dyDescent="0.3">
      <c r="A275" t="str">
        <v>R.1.020A.1</v>
      </c>
      <c r="B275" t="str">
        <v>ЩР-1</v>
      </c>
      <c r="C275" t="str">
        <v>Розеточная группа Первый этаж Пом. №020A Холодильник, морозильная камера</v>
      </c>
      <c r="D275" t="str">
        <v>ВВГнг(А)-LS (3х2,5)</v>
      </c>
      <c r="E275" t="str">
        <v>L=20</v>
      </c>
      <c r="F275" t="str">
        <v>Ø20 L=30</v>
      </c>
      <c r="G275" t="str">
        <v/>
      </c>
      <c r="H275">
        <v>50</v>
      </c>
    </row>
    <row r="276" spans="1:8" x14ac:dyDescent="0.3">
      <c r="A276" t="str">
        <v>R.1.022A.1</v>
      </c>
      <c r="B276" t="str">
        <v>ЩР-1</v>
      </c>
      <c r="C276" t="str">
        <v>Розеточная группа Первый этаж Пом. №022A</v>
      </c>
      <c r="D276" t="str">
        <v>ВВГнг(А)-LS (3х2,5)</v>
      </c>
      <c r="E276" t="str">
        <v>L=20</v>
      </c>
      <c r="F276" t="str">
        <v>Ø20 L=46</v>
      </c>
      <c r="G276" t="str">
        <v/>
      </c>
      <c r="H276">
        <v>66</v>
      </c>
    </row>
    <row r="277" spans="1:8" x14ac:dyDescent="0.3">
      <c r="A277" t="str">
        <v>ЩКД.1</v>
      </c>
      <c r="B277" t="str">
        <v>ЩР-1</v>
      </c>
      <c r="C277" t="str">
        <v>Щит контроля доступа ЩКД-1 Первый этаж Пом. №002Б</v>
      </c>
      <c r="D277" t="str">
        <v>ВВГнг(А)-LS (3х2,5)</v>
      </c>
      <c r="E277" t="str">
        <v/>
      </c>
      <c r="F277" t="str">
        <v>Ø20 L=8</v>
      </c>
      <c r="G277" t="str">
        <v/>
      </c>
      <c r="H277">
        <v>11</v>
      </c>
    </row>
    <row r="278" spans="1:8" x14ac:dyDescent="0.3">
      <c r="A278" t="str">
        <v>Ввод.1</v>
      </c>
      <c r="B278" t="str">
        <v>ЩР-2</v>
      </c>
      <c r="C278" t="str">
        <v>Ввод</v>
      </c>
      <c r="D278" t="str">
        <v>ВВГнг(А)-LS (5х4)</v>
      </c>
      <c r="E278" t="str">
        <v/>
      </c>
      <c r="F278" t="str">
        <v/>
      </c>
      <c r="G278" t="str">
        <v/>
      </c>
      <c r="H278" t="str">
        <v/>
      </c>
    </row>
    <row r="279" spans="1:8" x14ac:dyDescent="0.3">
      <c r="A279" t="str">
        <v>R.2.002А.1</v>
      </c>
      <c r="B279" t="str">
        <v>ЩР-2</v>
      </c>
      <c r="C279" t="str">
        <v>Розеточная группа Второй этаж Пом. №002А</v>
      </c>
      <c r="D279" t="str">
        <v>ВВГнг(А)-LS (3х2,5)</v>
      </c>
      <c r="E279" t="str">
        <v>L=12</v>
      </c>
      <c r="F279" t="str">
        <v>Ø20 L=26</v>
      </c>
      <c r="G279" t="str">
        <v>Ø20 L=10</v>
      </c>
      <c r="H279">
        <v>54</v>
      </c>
    </row>
    <row r="280" spans="1:8" x14ac:dyDescent="0.3">
      <c r="A280" t="str">
        <v>R.2.003А.1</v>
      </c>
      <c r="B280" t="str">
        <v>ЩР-2</v>
      </c>
      <c r="C280" t="str">
        <v>Розеточная группа Второй этаж Пом. №003А</v>
      </c>
      <c r="D280" t="str">
        <v>ВВГнг(А)-LS (3х2,5)</v>
      </c>
      <c r="E280" t="str">
        <v>L=12</v>
      </c>
      <c r="F280" t="str">
        <v>Ø20 L=44</v>
      </c>
      <c r="G280" t="str">
        <v>Ø20 L=58</v>
      </c>
      <c r="H280">
        <v>62</v>
      </c>
    </row>
    <row r="281" spans="1:8" x14ac:dyDescent="0.3">
      <c r="A281" t="str">
        <v>R.2.005А.1</v>
      </c>
      <c r="B281" t="str">
        <v>ЩР-2</v>
      </c>
      <c r="C281" t="str">
        <v>Розеточная группа Второй этаж Пом. №005А</v>
      </c>
      <c r="D281" t="str">
        <v>ВВГнг(А)-LS (3х2,5)</v>
      </c>
      <c r="E281" t="str">
        <v>L=12</v>
      </c>
      <c r="F281" t="str">
        <v>Ø20 L=39</v>
      </c>
      <c r="G281" t="str">
        <v>Ø20 L=53</v>
      </c>
      <c r="H281">
        <v>57</v>
      </c>
    </row>
    <row r="282" spans="1:8" x14ac:dyDescent="0.3">
      <c r="A282" t="str">
        <v>R.2.005А.2</v>
      </c>
      <c r="B282" t="str">
        <v>ЩР-2</v>
      </c>
      <c r="C282" t="str">
        <v>Розеточная группа Второй этаж Пом. №005А</v>
      </c>
      <c r="D282" t="str">
        <v>ВВГнг(А)-LS (3х2,5)</v>
      </c>
      <c r="E282" t="str">
        <v>L=12</v>
      </c>
      <c r="F282" t="str">
        <v>Ø20 L=25</v>
      </c>
      <c r="G282" t="str">
        <v>Ø20 L=39</v>
      </c>
      <c r="H282">
        <v>43</v>
      </c>
    </row>
    <row r="283" spans="1:8" x14ac:dyDescent="0.3">
      <c r="A283" t="str">
        <v>R.2.006А.1</v>
      </c>
      <c r="B283" t="str">
        <v>ЩР-2</v>
      </c>
      <c r="C283" t="str">
        <v>Розеточная группа Второй этаж Пом. №006А</v>
      </c>
      <c r="D283" t="str">
        <v>ВВГнг(А)-LS (3х2,5)</v>
      </c>
      <c r="E283" t="str">
        <v>L=12</v>
      </c>
      <c r="F283" t="str">
        <v>Ø20 L=31</v>
      </c>
      <c r="G283" t="str">
        <v>Ø20 L=30</v>
      </c>
      <c r="H283">
        <v>49</v>
      </c>
    </row>
    <row r="284" spans="1:8" x14ac:dyDescent="0.3">
      <c r="A284" t="str">
        <v>R.2.009А.1</v>
      </c>
      <c r="B284" t="str">
        <v>ЩР-2</v>
      </c>
      <c r="C284" t="str">
        <v>Розеточная группа Второй этаж Пом. №009А</v>
      </c>
      <c r="D284" t="str">
        <v>ВВГнг(А)-LS (3х2,5)</v>
      </c>
      <c r="E284" t="str">
        <v>L=12</v>
      </c>
      <c r="F284" t="str">
        <v>Ø20 L=40</v>
      </c>
      <c r="G284" t="str">
        <v>Ø20 L=10</v>
      </c>
      <c r="H284">
        <v>58</v>
      </c>
    </row>
    <row r="285" spans="1:8" x14ac:dyDescent="0.3">
      <c r="A285" t="str">
        <v>R.2.009А.2</v>
      </c>
      <c r="B285" t="str">
        <v>ЩР-2</v>
      </c>
      <c r="C285" t="str">
        <v>Розеточная группа Второй этаж Пом. №009А</v>
      </c>
      <c r="D285" t="str">
        <v>ВВГнг(А)-LS (3х2,5)</v>
      </c>
      <c r="E285" t="str">
        <v>L=12</v>
      </c>
      <c r="F285" t="str">
        <v>Ø20 L=20</v>
      </c>
      <c r="G285" t="str">
        <v>Ø20 L=34</v>
      </c>
      <c r="H285">
        <v>38</v>
      </c>
    </row>
    <row r="286" spans="1:8" x14ac:dyDescent="0.3">
      <c r="A286" t="str">
        <v>R.2.010А.1</v>
      </c>
      <c r="B286" t="str">
        <v>ЩР-2</v>
      </c>
      <c r="C286" t="str">
        <v>Розеточная группа Второй этаж Пом. №010А</v>
      </c>
      <c r="D286" t="str">
        <v>ВВГнг(А)-LS (3х2,5)</v>
      </c>
      <c r="E286" t="str">
        <v>L=12</v>
      </c>
      <c r="F286" t="str">
        <v>Ø20 L=17</v>
      </c>
      <c r="G286" t="str">
        <v/>
      </c>
      <c r="H286">
        <v>35</v>
      </c>
    </row>
    <row r="287" spans="1:8" x14ac:dyDescent="0.3">
      <c r="A287" t="str">
        <v>R.2.002Г.1</v>
      </c>
      <c r="B287" t="str">
        <v>ЩР-2</v>
      </c>
      <c r="C287" t="str">
        <v>Розеточная группа Второй этаж Пом. №002Г</v>
      </c>
      <c r="D287" t="str">
        <v>ВВГнг(А)-LS (3х2,5)</v>
      </c>
      <c r="E287" t="str">
        <v>L=12</v>
      </c>
      <c r="F287" t="str">
        <v>Ø20 L=21</v>
      </c>
      <c r="G287" t="str">
        <v/>
      </c>
      <c r="H287">
        <v>39</v>
      </c>
    </row>
    <row r="288" spans="1:8" x14ac:dyDescent="0.3">
      <c r="A288" t="str">
        <v>R.2.013А.1</v>
      </c>
      <c r="B288" t="str">
        <v>ЩР-2</v>
      </c>
      <c r="C288" t="str">
        <v>Розеточная группа Второй этаж Пом. №013А</v>
      </c>
      <c r="D288" t="str">
        <v>ВВГнг(А)-LS (3х2,5)</v>
      </c>
      <c r="E288" t="str">
        <v>L=12</v>
      </c>
      <c r="F288" t="str">
        <v>Ø20 L=20</v>
      </c>
      <c r="G288" t="str">
        <v>Ø20 L=34</v>
      </c>
      <c r="H288">
        <v>38</v>
      </c>
    </row>
    <row r="289" spans="1:8" x14ac:dyDescent="0.3">
      <c r="A289" t="str">
        <v>R.2.014А.1</v>
      </c>
      <c r="B289" t="str">
        <v>ЩР-2</v>
      </c>
      <c r="C289" t="str">
        <v>Розеточная группа Второй этаж Пом. №013А, 012А</v>
      </c>
      <c r="D289" t="str">
        <v>ВВГнг(А)-LS (3х2,5)</v>
      </c>
      <c r="E289" t="str">
        <v>L=12</v>
      </c>
      <c r="F289" t="str">
        <v>Ø20 L=17</v>
      </c>
      <c r="G289" t="str">
        <v>Ø20 L=30</v>
      </c>
      <c r="H289">
        <v>65</v>
      </c>
    </row>
    <row r="290" spans="1:8" x14ac:dyDescent="0.3">
      <c r="A290" t="str">
        <v>R.2.014А.2</v>
      </c>
      <c r="B290" t="str">
        <v>ЩР-2</v>
      </c>
      <c r="C290" t="str">
        <v>Розеточная группа Второй этаж Пом. №014А</v>
      </c>
      <c r="D290" t="str">
        <v>ВВГнг(А)-LS (3х2,5)</v>
      </c>
      <c r="E290" t="str">
        <v>L=12</v>
      </c>
      <c r="F290" t="str">
        <v>Ø20 L=24</v>
      </c>
      <c r="G290" t="str">
        <v>Ø20 L=8</v>
      </c>
      <c r="H290">
        <v>50</v>
      </c>
    </row>
    <row r="291" spans="1:8" x14ac:dyDescent="0.3">
      <c r="A291" t="str">
        <v>R.2.015А.1</v>
      </c>
      <c r="B291" t="str">
        <v>ЩР-2</v>
      </c>
      <c r="C291" t="str">
        <v>Розеточная группа Второй этаж Пом. №015А</v>
      </c>
      <c r="D291" t="str">
        <v>ВВГнг(А)-LS (3х2,5)</v>
      </c>
      <c r="E291" t="str">
        <v>L=12</v>
      </c>
      <c r="F291" t="str">
        <v>Ø20 L=16</v>
      </c>
      <c r="G291" t="str">
        <v>Ø20 L=5</v>
      </c>
      <c r="H291">
        <v>39</v>
      </c>
    </row>
    <row r="292" spans="1:8" x14ac:dyDescent="0.3">
      <c r="A292" t="str">
        <v>R.2.016А.1</v>
      </c>
      <c r="B292" t="str">
        <v>ЩР-2</v>
      </c>
      <c r="C292" t="str">
        <v>Розеточная группа Второй этаж Пом. №016А</v>
      </c>
      <c r="D292" t="str">
        <v>ВВГнг(А)-LS (3х2,5)</v>
      </c>
      <c r="E292" t="str">
        <v>L=12</v>
      </c>
      <c r="F292" t="str">
        <v>Ø20 L=16</v>
      </c>
      <c r="G292" t="str">
        <v/>
      </c>
      <c r="H292">
        <v>34</v>
      </c>
    </row>
    <row r="293" spans="1:8" x14ac:dyDescent="0.3">
      <c r="A293" t="str">
        <v>R.2.017А.1</v>
      </c>
      <c r="B293" t="str">
        <v>ЩР-2</v>
      </c>
      <c r="C293" t="str">
        <v>Розеточная группа Второй этаж Пом. №017А</v>
      </c>
      <c r="D293" t="str">
        <v>ВВГнг(А)-LS (3х2,5)</v>
      </c>
      <c r="E293" t="str">
        <v>L=12</v>
      </c>
      <c r="F293" t="str">
        <v>Ø20 L=28</v>
      </c>
      <c r="G293" t="str">
        <v>Ø20 L=8</v>
      </c>
      <c r="H293">
        <v>54</v>
      </c>
    </row>
    <row r="294" spans="1:8" x14ac:dyDescent="0.3">
      <c r="A294" t="str">
        <v>R.2.019А.1</v>
      </c>
      <c r="B294" t="str">
        <v>ЩР-2</v>
      </c>
      <c r="C294" t="str">
        <v>Розеточная группа Второй этаж Пом. №019А</v>
      </c>
      <c r="D294" t="str">
        <v>ВВГнг(А)-LS (3х2,5)</v>
      </c>
      <c r="E294" t="str">
        <v>L=12</v>
      </c>
      <c r="F294" t="str">
        <v>Ø20 L=11</v>
      </c>
      <c r="G294" t="str">
        <v>Ø20 L=26</v>
      </c>
      <c r="H294">
        <v>55</v>
      </c>
    </row>
    <row r="295" spans="1:8" x14ac:dyDescent="0.3">
      <c r="A295" t="str">
        <v>R.2.019А.2</v>
      </c>
      <c r="B295" t="str">
        <v>ЩР-2</v>
      </c>
      <c r="C295" t="str">
        <v>Розеточная группа Второй этаж Пом. №019А</v>
      </c>
      <c r="D295" t="str">
        <v>ВВГнг(А)-LS (3х2,5)</v>
      </c>
      <c r="E295" t="str">
        <v>L=12</v>
      </c>
      <c r="F295" t="str">
        <v>Ø20 L=70</v>
      </c>
      <c r="G295" t="str">
        <v>Ø20 L=84</v>
      </c>
      <c r="H295">
        <v>88</v>
      </c>
    </row>
    <row r="296" spans="1:8" x14ac:dyDescent="0.3">
      <c r="A296" t="str">
        <v>R.2.020А.1</v>
      </c>
      <c r="B296" t="str">
        <v>ЩР-2</v>
      </c>
      <c r="C296" t="str">
        <v>Розеточная группа Второй этаж Пом. №020А</v>
      </c>
      <c r="D296" t="str">
        <v>ВВГнг(А)-LS (3х2,5)</v>
      </c>
      <c r="E296" t="str">
        <v>L=12</v>
      </c>
      <c r="F296" t="str">
        <v>Ø20 L=45</v>
      </c>
      <c r="G296" t="str">
        <v>Ø20 L=59</v>
      </c>
      <c r="H296">
        <v>63</v>
      </c>
    </row>
    <row r="297" spans="1:8" x14ac:dyDescent="0.3">
      <c r="A297" t="str">
        <v>R.2.022Б.1</v>
      </c>
      <c r="B297" t="str">
        <v>ЩР-2</v>
      </c>
      <c r="C297" t="str">
        <v>Розеточная группа Второй этаж Пом. №022Б</v>
      </c>
      <c r="D297" t="str">
        <v>ВВГнг(А)-LS (3х2,5)</v>
      </c>
      <c r="E297" t="str">
        <v>L=12</v>
      </c>
      <c r="F297" t="str">
        <v>Ø20 L=26</v>
      </c>
      <c r="G297" t="str">
        <v>Ø20 L=40</v>
      </c>
      <c r="H297">
        <v>44</v>
      </c>
    </row>
    <row r="298" spans="1:8" x14ac:dyDescent="0.3">
      <c r="A298" t="str">
        <v>R.2.001.1</v>
      </c>
      <c r="B298" t="str">
        <v>ЩР-2</v>
      </c>
      <c r="C298" t="str">
        <v>Розеточная группа Второй этаж Пом. №001</v>
      </c>
      <c r="D298" t="str">
        <v>ВВГнг(А)-LS (3х2,5)</v>
      </c>
      <c r="E298" t="str">
        <v>L=12</v>
      </c>
      <c r="F298" t="str">
        <v>Ø20 L=36</v>
      </c>
      <c r="G298" t="str">
        <v>Ø20 L=33</v>
      </c>
      <c r="H298">
        <v>87</v>
      </c>
    </row>
    <row r="299" spans="1:8" x14ac:dyDescent="0.3">
      <c r="A299" t="str">
        <v>R.2.003Г.1</v>
      </c>
      <c r="B299" t="str">
        <v>ЩР-2</v>
      </c>
      <c r="C299" t="str">
        <v>Розеточная группа Второй этаж Пом. №003Г</v>
      </c>
      <c r="D299" t="str">
        <v>ВВГнг(А)-LS (3х2,5)</v>
      </c>
      <c r="E299" t="str">
        <v>L=12</v>
      </c>
      <c r="F299" t="str">
        <v>Ø20 L=27</v>
      </c>
      <c r="G299" t="str">
        <v>Ø20 L=8</v>
      </c>
      <c r="H299">
        <v>47</v>
      </c>
    </row>
    <row r="300" spans="1:8" x14ac:dyDescent="0.3">
      <c r="A300" t="str">
        <v>R.2.005А.3</v>
      </c>
      <c r="B300" t="str">
        <v>ЩР-2</v>
      </c>
      <c r="C300" t="str">
        <v>Розеточная группа Второй этаж Пом. №005А</v>
      </c>
      <c r="D300" t="str">
        <v>ВВГнг(А)-LS (3х2,5)</v>
      </c>
      <c r="E300" t="str">
        <v>L=12</v>
      </c>
      <c r="F300" t="str">
        <v>Ø20 L=28</v>
      </c>
      <c r="G300" t="str">
        <v>Ø20 L=36</v>
      </c>
      <c r="H300">
        <v>40</v>
      </c>
    </row>
    <row r="301" spans="1:8" x14ac:dyDescent="0.3">
      <c r="A301" t="str">
        <v>R.2.009А.3</v>
      </c>
      <c r="B301" t="str">
        <v>ЩР-2</v>
      </c>
      <c r="C301" t="str">
        <v>Розеточная группа Второй этаж Пом. №009А</v>
      </c>
      <c r="D301" t="str">
        <v>ВВГнг(А)-LS (3х2,5)</v>
      </c>
      <c r="E301" t="str">
        <v>L=12</v>
      </c>
      <c r="F301" t="str">
        <v>Ø20 L=17</v>
      </c>
      <c r="G301" t="str">
        <v>Ø20 L=31</v>
      </c>
      <c r="H301">
        <v>35</v>
      </c>
    </row>
    <row r="302" spans="1:8" x14ac:dyDescent="0.3">
      <c r="A302" t="str">
        <v>R.2.020А.2</v>
      </c>
      <c r="B302" t="str">
        <v>ЩР-2</v>
      </c>
      <c r="C302" t="str">
        <v>Розеточная группа Второй этаж Пом. №020А</v>
      </c>
      <c r="D302" t="str">
        <v>ВВГнг(А)-LS (3х2,5)</v>
      </c>
      <c r="E302" t="str">
        <v>L=12</v>
      </c>
      <c r="F302" t="str">
        <v>Ø20 L=41</v>
      </c>
      <c r="G302" t="str">
        <v>Ø20 L=55</v>
      </c>
      <c r="H302">
        <v>59</v>
      </c>
    </row>
    <row r="303" spans="1:8" x14ac:dyDescent="0.3">
      <c r="A303" t="str">
        <v>R.3.001T.1</v>
      </c>
      <c r="B303" t="str">
        <v>ЩР-2</v>
      </c>
      <c r="C303" t="str">
        <v>Розеточная группа Третий этаж Пом. №001T</v>
      </c>
      <c r="D303" t="str">
        <v>ВВГнг(А)-LS (3х2,5)</v>
      </c>
      <c r="E303" t="str">
        <v/>
      </c>
      <c r="F303" t="str">
        <v>Ø20 L=16</v>
      </c>
      <c r="G303" t="str">
        <v>Ø20 L=18</v>
      </c>
      <c r="H303">
        <v>22</v>
      </c>
    </row>
    <row r="304" spans="1:8" x14ac:dyDescent="0.3">
      <c r="A304" t="str">
        <v>R.3.001Б.1</v>
      </c>
      <c r="B304" t="str">
        <v>ЩР-2</v>
      </c>
      <c r="C304" t="str">
        <v>Розеточная группа Третий этаж Пом. №001Б</v>
      </c>
      <c r="D304" t="str">
        <v>ВВГнг(А)-LS (3х2,5)</v>
      </c>
      <c r="E304" t="str">
        <v/>
      </c>
      <c r="F304" t="str">
        <v>Ø20 L=35</v>
      </c>
      <c r="G304" t="str">
        <v>Ø20 L=37</v>
      </c>
      <c r="H304">
        <v>41</v>
      </c>
    </row>
    <row r="305" spans="1:8" x14ac:dyDescent="0.3">
      <c r="A305" t="str">
        <v>ШТК-2</v>
      </c>
      <c r="B305" t="str">
        <v>ЩР-2</v>
      </c>
      <c r="C305" t="str">
        <v>Шкаф телекоммуникационный ШТК-2  Тех. Этаж Пом №004T</v>
      </c>
      <c r="D305" t="str">
        <v>ВВГнг(А)-LS (3х2,5)</v>
      </c>
      <c r="E305" t="str">
        <v/>
      </c>
      <c r="F305" t="str">
        <v>Ø20 L=32</v>
      </c>
      <c r="G305" t="str">
        <v/>
      </c>
      <c r="H305">
        <v>38</v>
      </c>
    </row>
    <row r="306" spans="1:8" x14ac:dyDescent="0.3">
      <c r="A306" t="str">
        <v>ШТК-ЛВС.3</v>
      </c>
      <c r="B306" t="str">
        <v>ЩР-2</v>
      </c>
      <c r="C306" t="str">
        <v>Шкаф телекоммуникационный ШТК-2  Тех. Этаж Пом №004T</v>
      </c>
      <c r="D306" t="str">
        <v>ВВГнг(А)-LS (3х2,5)</v>
      </c>
      <c r="E306" t="str">
        <v/>
      </c>
      <c r="F306" t="str">
        <v>Ø20 L=33</v>
      </c>
      <c r="G306" t="str">
        <v/>
      </c>
      <c r="H306">
        <v>39</v>
      </c>
    </row>
    <row r="307" spans="1:8" x14ac:dyDescent="0.3">
      <c r="A307" t="str">
        <v>ШКД.3</v>
      </c>
      <c r="B307" t="str">
        <v>ЩР-2</v>
      </c>
      <c r="C307" t="str">
        <v>Щит контроля доступа ЩКД-2  Тех. Этаж Пом №001T</v>
      </c>
      <c r="D307" t="str">
        <v>ВВГнг(А)-LS (3х2,5)</v>
      </c>
      <c r="E307" t="str">
        <v/>
      </c>
      <c r="F307" t="str">
        <v>Ø20 L=8</v>
      </c>
      <c r="G307" t="str">
        <v/>
      </c>
      <c r="H307">
        <v>8</v>
      </c>
    </row>
    <row r="308" spans="1:8" x14ac:dyDescent="0.3">
      <c r="A308" t="str">
        <v>Ввод.1</v>
      </c>
      <c r="B308" t="str">
        <v>ЩС-Б</v>
      </c>
      <c r="C308" t="str">
        <v>Вводной кабель Шлейф №1</v>
      </c>
      <c r="D308" t="str">
        <v>ВВГнг(А)-LS (5х10)</v>
      </c>
      <c r="E308" t="str">
        <v>L=34</v>
      </c>
      <c r="F308" t="str">
        <v xml:space="preserve"> L=12</v>
      </c>
      <c r="G308" t="str">
        <v/>
      </c>
      <c r="H308">
        <v>51</v>
      </c>
    </row>
    <row r="309" spans="1:8" x14ac:dyDescent="0.3">
      <c r="A309" t="str">
        <v>Э.1</v>
      </c>
      <c r="B309" t="str">
        <v>ЩС-Б</v>
      </c>
      <c r="C309" t="str">
        <v>Управляющий электрощит бассейна Подвальный этаж Пом. 002Тб</v>
      </c>
      <c r="D309" t="str">
        <v>ВВГнг(А)-LS (5х4)</v>
      </c>
      <c r="E309" t="str">
        <v>L=3</v>
      </c>
      <c r="F309" t="str">
        <v>Ø25 L=15</v>
      </c>
      <c r="G309" t="str">
        <v/>
      </c>
      <c r="H309">
        <v>21</v>
      </c>
    </row>
    <row r="310" spans="1:8" x14ac:dyDescent="0.3">
      <c r="A310" t="str">
        <v>Э.2</v>
      </c>
      <c r="B310" t="str">
        <v>ЩС-Б</v>
      </c>
      <c r="C310" t="str">
        <v>Горячая купель Подвальный этаж Пом. 002Тб</v>
      </c>
      <c r="D310" t="str">
        <v>ВВГнг(А)-LS (5х2,5)</v>
      </c>
      <c r="E310" t="str">
        <v>L=25</v>
      </c>
      <c r="F310" t="str">
        <v>Ø20 L=12</v>
      </c>
      <c r="G310" t="str">
        <v/>
      </c>
      <c r="H310">
        <v>40</v>
      </c>
    </row>
    <row r="311" spans="1:8" x14ac:dyDescent="0.3">
      <c r="A311" t="str">
        <v>Э.3</v>
      </c>
      <c r="B311" t="str">
        <v>ЩС-Б</v>
      </c>
      <c r="C311" t="str">
        <v>Холодная купель Подвальный этаж Пом. 002Тб</v>
      </c>
      <c r="D311" t="str">
        <v>ВВГнг(А)-LS (5х2,5)</v>
      </c>
      <c r="E311" t="str">
        <v>L=17</v>
      </c>
      <c r="F311" t="str">
        <v>Ø20 L=10</v>
      </c>
      <c r="G311" t="str">
        <v/>
      </c>
      <c r="H311">
        <v>30</v>
      </c>
    </row>
    <row r="312" spans="1:8" x14ac:dyDescent="0.3">
      <c r="A312" t="str">
        <v>Ввод.1</v>
      </c>
      <c r="B312" t="str">
        <v>ЩС-ВК.001</v>
      </c>
      <c r="C312" t="str">
        <v>Вводной кабель Шлейф №1</v>
      </c>
      <c r="D312" t="str">
        <v>ВВГнг(А)-LS (3х4)</v>
      </c>
      <c r="E312" t="str">
        <v>L=34</v>
      </c>
      <c r="F312" t="str">
        <v>Ø20 L=11</v>
      </c>
      <c r="G312" t="str">
        <v/>
      </c>
      <c r="H312">
        <v>50</v>
      </c>
    </row>
    <row r="313" spans="1:8" x14ac:dyDescent="0.3">
      <c r="A313" t="str">
        <v>НВК.00.003Т.2</v>
      </c>
      <c r="B313" t="str">
        <v>ЩС-ВК.001</v>
      </c>
      <c r="C313" t="str">
        <v>Насос дренажный Подвальный этаж Пом. №003Т</v>
      </c>
      <c r="D313" t="str">
        <v>ВВГнг(А)-LS (3х2,5)</v>
      </c>
      <c r="E313" t="str">
        <v>L=9</v>
      </c>
      <c r="F313" t="str">
        <v>Ø20 L=9</v>
      </c>
      <c r="G313" t="str">
        <v/>
      </c>
      <c r="H313">
        <v>21</v>
      </c>
    </row>
    <row r="314" spans="1:8" x14ac:dyDescent="0.3">
      <c r="A314" t="str">
        <v>НВК.00.003Т.1</v>
      </c>
      <c r="B314" t="str">
        <v>ЩС-ВК.001</v>
      </c>
      <c r="C314" t="str">
        <v>Насос дренажный Подвальный этаж Пом. №003Т</v>
      </c>
      <c r="D314" t="str">
        <v>ВВГнг(А)-LS (3х2,5)</v>
      </c>
      <c r="E314" t="str">
        <v>L=9</v>
      </c>
      <c r="F314" t="str">
        <v>Ø20 L=9</v>
      </c>
      <c r="G314" t="str">
        <v/>
      </c>
      <c r="H314">
        <v>21</v>
      </c>
    </row>
    <row r="315" spans="1:8" x14ac:dyDescent="0.3">
      <c r="A315" t="str">
        <v>НВК.00.005Т.4</v>
      </c>
      <c r="B315" t="str">
        <v>ЩС-ВК.001</v>
      </c>
      <c r="C315" t="str">
        <v>Насос дренажный Подвальный этаж Пом. №005Т</v>
      </c>
      <c r="D315" t="str">
        <v>ВВГнг(А)-LS (3х2,5)</v>
      </c>
      <c r="E315" t="str">
        <v>L=1</v>
      </c>
      <c r="F315" t="str">
        <v>Ø20 L=18</v>
      </c>
      <c r="G315" t="str">
        <v/>
      </c>
      <c r="H315">
        <v>22</v>
      </c>
    </row>
    <row r="316" spans="1:8" x14ac:dyDescent="0.3">
      <c r="A316" t="str">
        <v>НВК.00.005Т.3</v>
      </c>
      <c r="B316" t="str">
        <v>ЩС-ВК.001</v>
      </c>
      <c r="C316" t="str">
        <v>Насос дренажный Подвальный этаж Пом. №005Т</v>
      </c>
      <c r="D316" t="str">
        <v>ВВГнг(А)-LS (3х2,5)</v>
      </c>
      <c r="E316" t="str">
        <v>L=1</v>
      </c>
      <c r="F316" t="str">
        <v>Ø20 L=18</v>
      </c>
      <c r="G316" t="str">
        <v/>
      </c>
      <c r="H316">
        <v>22</v>
      </c>
    </row>
    <row r="317" spans="1:8" x14ac:dyDescent="0.3">
      <c r="A317" t="str">
        <v>НВК.00.005Т.1</v>
      </c>
      <c r="B317" t="str">
        <v>ЩС-ВК.001</v>
      </c>
      <c r="C317" t="str">
        <v>Насос дренажный Подвальный этаж Пом. №005Т</v>
      </c>
      <c r="D317" t="str">
        <v>ВВГнг(А)-LS (3х2,5)</v>
      </c>
      <c r="E317" t="str">
        <v>L=1</v>
      </c>
      <c r="F317" t="str">
        <v>Ø20 L=10</v>
      </c>
      <c r="G317" t="str">
        <v/>
      </c>
      <c r="H317">
        <v>14</v>
      </c>
    </row>
    <row r="318" spans="1:8" x14ac:dyDescent="0.3">
      <c r="A318" t="str">
        <v>НВК.00.005Т.2</v>
      </c>
      <c r="B318" t="str">
        <v>ЩС-ВК.001</v>
      </c>
      <c r="C318" t="str">
        <v>Насос дренажный Подвальный этаж Пом. №005Т</v>
      </c>
      <c r="D318" t="str">
        <v>ВВГнг(А)-LS (3х2,5)</v>
      </c>
      <c r="E318" t="str">
        <v>L=1</v>
      </c>
      <c r="F318" t="str">
        <v>Ø20 L=10</v>
      </c>
      <c r="G318" t="str">
        <v/>
      </c>
      <c r="H318">
        <v>14</v>
      </c>
    </row>
    <row r="319" spans="1:8" x14ac:dyDescent="0.3">
      <c r="A319" t="str">
        <v>НВК.00.002Т.1</v>
      </c>
      <c r="B319" t="str">
        <v>ЩС-ВК.001</v>
      </c>
      <c r="C319" t="str">
        <v>циркуляционный насос Подвальный этаж Пом. №002Т</v>
      </c>
      <c r="D319" t="str">
        <v>ВВГнг(А)-LS (3х2,5)</v>
      </c>
      <c r="E319" t="str">
        <v>L=4</v>
      </c>
      <c r="F319" t="str">
        <v>Ø20 L=15</v>
      </c>
      <c r="G319" t="str">
        <v/>
      </c>
      <c r="H319">
        <v>22</v>
      </c>
    </row>
    <row r="320" spans="1:8" x14ac:dyDescent="0.3">
      <c r="A320" t="str">
        <v>Ввод.1</v>
      </c>
      <c r="B320" t="str">
        <v>ЩС-ВК.002</v>
      </c>
      <c r="C320" t="str">
        <v>Вводной кабель Шлейф №1</v>
      </c>
      <c r="D320" t="str">
        <v>ВВГнг(А)-LS (3х4)</v>
      </c>
      <c r="E320" t="str">
        <v>L=34</v>
      </c>
      <c r="F320" t="str">
        <v>Ø20 L=12</v>
      </c>
      <c r="G320" t="str">
        <v/>
      </c>
      <c r="H320">
        <v>51</v>
      </c>
    </row>
    <row r="321" spans="1:8" x14ac:dyDescent="0.3">
      <c r="A321" t="str">
        <v>НВК.00.002Тб.3</v>
      </c>
      <c r="B321" t="str">
        <v>ЩС-ВК.002</v>
      </c>
      <c r="C321" t="str">
        <v>Насос дренажный Подвальный этаж Пом. №002Тб</v>
      </c>
      <c r="D321" t="str">
        <v>ВВГнг(А)-LS (3х2,5)</v>
      </c>
      <c r="E321" t="str">
        <v>L=23</v>
      </c>
      <c r="F321" t="str">
        <v>Ø20 L=5</v>
      </c>
      <c r="G321" t="str">
        <v/>
      </c>
      <c r="H321">
        <v>37</v>
      </c>
    </row>
    <row r="322" spans="1:8" x14ac:dyDescent="0.3">
      <c r="A322" t="str">
        <v>НВК.00.002Тб.4</v>
      </c>
      <c r="B322" t="str">
        <v>ЩС-ВК.002</v>
      </c>
      <c r="C322" t="str">
        <v>Насос дренажный Подвальный этаж Пом. №002Тб</v>
      </c>
      <c r="D322" t="str">
        <v>ВВГнг(А)-LS (3х2,5)</v>
      </c>
      <c r="E322" t="str">
        <v>L=23</v>
      </c>
      <c r="F322" t="str">
        <v>Ø20 L=4</v>
      </c>
      <c r="G322" t="str">
        <v/>
      </c>
      <c r="H322">
        <v>36</v>
      </c>
    </row>
    <row r="323" spans="1:8" x14ac:dyDescent="0.3">
      <c r="A323" t="str">
        <v>НВК.00.002Тб.2</v>
      </c>
      <c r="B323" t="str">
        <v>ЩС-ВК.002</v>
      </c>
      <c r="C323" t="str">
        <v>Насос дренажный Подвальный этаж Пом. №002Тб</v>
      </c>
      <c r="D323" t="str">
        <v>ВВГнг(А)-LS (3х2,5)</v>
      </c>
      <c r="E323" t="str">
        <v/>
      </c>
      <c r="F323" t="str">
        <v>Ø20 L=10</v>
      </c>
      <c r="G323" t="str">
        <v/>
      </c>
      <c r="H323">
        <v>13</v>
      </c>
    </row>
    <row r="324" spans="1:8" x14ac:dyDescent="0.3">
      <c r="A324" t="str">
        <v>НВК.00.002Тб.1</v>
      </c>
      <c r="B324" t="str">
        <v>ЩС-ВК.002</v>
      </c>
      <c r="C324" t="str">
        <v>Насос дренажный Подвальный этаж Пом. №002Тб</v>
      </c>
      <c r="D324" t="str">
        <v>ВВГнг(А)-LS (3х2,5)</v>
      </c>
      <c r="E324" t="str">
        <v/>
      </c>
      <c r="F324" t="str">
        <v>Ø20 L=10</v>
      </c>
      <c r="G324" t="str">
        <v/>
      </c>
      <c r="H324">
        <v>13</v>
      </c>
    </row>
    <row r="325" spans="1:8" x14ac:dyDescent="0.3">
      <c r="A325" t="str">
        <v>Ввод.1</v>
      </c>
      <c r="B325" t="str">
        <v>ЩС-ВК.003</v>
      </c>
      <c r="C325" t="str">
        <v>Вводной кабель Шлейф №1</v>
      </c>
      <c r="D325" t="str">
        <v>ВВГнг(А)-LS (3х4)</v>
      </c>
      <c r="E325" t="str">
        <v>L=48</v>
      </c>
      <c r="F325" t="str">
        <v>Ø20 L=5</v>
      </c>
      <c r="G325" t="str">
        <v/>
      </c>
      <c r="H325">
        <v>53</v>
      </c>
    </row>
    <row r="326" spans="1:8" x14ac:dyDescent="0.3">
      <c r="A326" t="str">
        <v>НВК.00.006Т.2</v>
      </c>
      <c r="B326" t="str">
        <v>ЩС-ВК.003</v>
      </c>
      <c r="C326" t="str">
        <v>Насос дренажный Подвальный этаж Пом. №006Т</v>
      </c>
      <c r="D326" t="str">
        <v>ВВГнг(А)-LS (3х2,5)</v>
      </c>
      <c r="E326" t="str">
        <v/>
      </c>
      <c r="F326" t="str">
        <v>Ø20 L=12</v>
      </c>
      <c r="G326" t="str">
        <v/>
      </c>
      <c r="H326">
        <v>16</v>
      </c>
    </row>
    <row r="327" spans="1:8" x14ac:dyDescent="0.3">
      <c r="A327" t="str">
        <v>НВК.00.006Т.1</v>
      </c>
      <c r="B327" t="str">
        <v>ЩС-ВК.003</v>
      </c>
      <c r="C327" t="str">
        <v>Насос дренажный Подвальный этаж Пом. №006Т</v>
      </c>
      <c r="D327" t="str">
        <v>ВВГнг(А)-LS (3х2,5)</v>
      </c>
      <c r="E327" t="str">
        <v/>
      </c>
      <c r="F327" t="str">
        <v>Ø20 L=11</v>
      </c>
      <c r="G327" t="str">
        <v/>
      </c>
      <c r="H327">
        <v>15</v>
      </c>
    </row>
    <row r="328" spans="1:8" x14ac:dyDescent="0.3">
      <c r="A328" t="str">
        <v>ЖУ.1</v>
      </c>
      <c r="B328" t="str">
        <v>ЩС-ВК.003</v>
      </c>
      <c r="C328" t="str">
        <v>Жироулавливатель Подвальный этаж Пом. №006Т</v>
      </c>
      <c r="D328" t="str">
        <v>ВВГнг(А)-LS (3х2,5)</v>
      </c>
      <c r="E328" t="str">
        <v/>
      </c>
      <c r="F328" t="str">
        <v>Ø20 L=9</v>
      </c>
      <c r="G328" t="str">
        <v/>
      </c>
      <c r="H328">
        <v>12</v>
      </c>
    </row>
    <row r="329" spans="1:8" x14ac:dyDescent="0.3">
      <c r="A329" t="str">
        <v>R.00.002Б.3</v>
      </c>
      <c r="B329" t="str">
        <v>ЩС-ВК.003</v>
      </c>
      <c r="C329" t="str">
        <v>Сололифт Подвальный этаж Пом. №002Б</v>
      </c>
      <c r="D329" t="str">
        <v>ВВГнг(А)-LS (3х2,5)</v>
      </c>
      <c r="E329" t="str">
        <v>L=13</v>
      </c>
      <c r="F329" t="str">
        <v>Ø20 L=15</v>
      </c>
      <c r="G329" t="str">
        <v/>
      </c>
      <c r="H329">
        <v>31</v>
      </c>
    </row>
    <row r="330" spans="1:8" x14ac:dyDescent="0.3">
      <c r="A330" t="str">
        <v>Ввод.1</v>
      </c>
      <c r="B330" t="str">
        <v>ЩСПЗ-ЖД</v>
      </c>
      <c r="C330" t="str">
        <v>Вводной кабель №1</v>
      </c>
      <c r="D330" t="str">
        <v>ВВГнг(А)-FRLS (5х2,5)</v>
      </c>
      <c r="E330" t="str">
        <v>L=5</v>
      </c>
      <c r="F330" t="str">
        <v>Ø32 L=11</v>
      </c>
      <c r="G330" t="str">
        <v/>
      </c>
      <c r="H330">
        <v>16</v>
      </c>
    </row>
    <row r="331" spans="1:8" x14ac:dyDescent="0.3">
      <c r="A331" t="str">
        <v>Ввод.2</v>
      </c>
      <c r="B331" t="str">
        <v>ЩСПЗ-ЖД</v>
      </c>
      <c r="C331" t="str">
        <v>Вводной кабель №2</v>
      </c>
      <c r="D331" t="str">
        <v>ВВГнг(А)-FRLS (5х2,5)</v>
      </c>
      <c r="E331" t="str">
        <v>L=5</v>
      </c>
      <c r="F331" t="str">
        <v>Ø32 L=11</v>
      </c>
      <c r="G331" t="str">
        <v/>
      </c>
      <c r="H331">
        <v>16</v>
      </c>
    </row>
    <row r="332" spans="1:8" x14ac:dyDescent="0.3">
      <c r="A332" t="str">
        <v>FCP1-2</v>
      </c>
      <c r="B332" t="str">
        <v>ЩСПЗ-ЖД</v>
      </c>
      <c r="C332" t="str">
        <v>шкаф пожарной сигнализации  Подвальный этаж Пом. №007Т</v>
      </c>
      <c r="D332" t="str">
        <v>ВВГнг(А)-FRLS (3х2,5)</v>
      </c>
      <c r="E332" t="str">
        <v>L=21</v>
      </c>
      <c r="F332" t="str">
        <v>Ø25 L=17</v>
      </c>
      <c r="G332" t="str">
        <v/>
      </c>
      <c r="H332">
        <v>46</v>
      </c>
    </row>
    <row r="333" spans="1:8" x14ac:dyDescent="0.3">
      <c r="A333" t="str">
        <v>ENC1-11</v>
      </c>
      <c r="B333" t="str">
        <v>ЩСПЗ-ЖД</v>
      </c>
      <c r="C333" t="str">
        <v>шкаф системы оповещения и управления эвакуацией Цокольный этаж Пом. №002Т</v>
      </c>
      <c r="D333" t="str">
        <v>ВВГнг(А)-FRLS (3х2,5)</v>
      </c>
      <c r="E333" t="str">
        <v>L=11</v>
      </c>
      <c r="F333" t="str">
        <v>Ø25 L=12</v>
      </c>
      <c r="G333" t="str">
        <v/>
      </c>
      <c r="H333">
        <v>31</v>
      </c>
    </row>
    <row r="334" spans="1:8" x14ac:dyDescent="0.3">
      <c r="A334" t="str">
        <v>FCP1-1</v>
      </c>
      <c r="B334" t="str">
        <v>ЩСПЗ-ЖД</v>
      </c>
      <c r="C334" t="str">
        <v>шкаф пожарной сигнализации Цокольный этаж Пом. №002Т</v>
      </c>
      <c r="D334" t="str">
        <v>ВВГнг(А)-FRLS (3х2,5)</v>
      </c>
      <c r="E334" t="str">
        <v>L=11</v>
      </c>
      <c r="F334" t="str">
        <v>Ø25 L=12</v>
      </c>
      <c r="G334" t="str">
        <v/>
      </c>
      <c r="H334">
        <v>31</v>
      </c>
    </row>
    <row r="335" spans="1:8" x14ac:dyDescent="0.3">
      <c r="A335" t="str">
        <v>FCP13</v>
      </c>
      <c r="B335" t="str">
        <v>ЩСПЗ-ЖД</v>
      </c>
      <c r="C335" t="str">
        <v>шкаф пожарной сигнализации Тех. этаж Пом. №004Т</v>
      </c>
      <c r="D335" t="str">
        <v>ВВГнг(А)-FRLS (3х2,5)</v>
      </c>
      <c r="E335" t="str">
        <v>L=42</v>
      </c>
      <c r="F335" t="str">
        <v>Ø25 L=30</v>
      </c>
      <c r="G335" t="str">
        <v/>
      </c>
      <c r="H335">
        <v>80</v>
      </c>
    </row>
    <row r="336" spans="1:8" x14ac:dyDescent="0.3">
      <c r="A336" t="str">
        <v>Ввод.1</v>
      </c>
      <c r="B336" t="str">
        <v>ЩУОВ</v>
      </c>
      <c r="C336" t="str">
        <v>Вводной кабель Шлейф №1</v>
      </c>
      <c r="D336" t="str">
        <v>ВВГнг(А)-LS (5х6)</v>
      </c>
      <c r="E336" t="str">
        <v>L=34</v>
      </c>
      <c r="F336" t="str">
        <v>Ø25 L=11</v>
      </c>
      <c r="G336" t="str">
        <v/>
      </c>
      <c r="H336">
        <v>50</v>
      </c>
    </row>
    <row r="337" spans="1:8" x14ac:dyDescent="0.3">
      <c r="A337" t="str">
        <v>DW.1</v>
      </c>
      <c r="B337" t="str">
        <v>ЩУОВ</v>
      </c>
      <c r="C337" t="str">
        <v/>
      </c>
      <c r="D337" t="str">
        <v>МКЭШнг(A)-LS (2х0,75)</v>
      </c>
      <c r="E337" t="str">
        <v/>
      </c>
      <c r="F337" t="str">
        <v xml:space="preserve"> L=19</v>
      </c>
      <c r="G337" t="str">
        <v xml:space="preserve"> L=5</v>
      </c>
      <c r="H337">
        <v>24</v>
      </c>
    </row>
    <row r="338" spans="1:8" x14ac:dyDescent="0.3">
      <c r="A338" t="str">
        <v>DT.1</v>
      </c>
      <c r="B338" t="str">
        <v>ЩУОВ</v>
      </c>
      <c r="C338" t="str">
        <v/>
      </c>
      <c r="D338" t="str">
        <v>МКЭШнг(A)-LS (2х0,75)</v>
      </c>
      <c r="E338" t="str">
        <v/>
      </c>
      <c r="F338" t="str">
        <v xml:space="preserve"> L=9</v>
      </c>
      <c r="G338" t="str">
        <v xml:space="preserve"> L=10</v>
      </c>
      <c r="H338">
        <v>19</v>
      </c>
    </row>
    <row r="339" spans="1:8" x14ac:dyDescent="0.3">
      <c r="A339" t="str">
        <v>OV.2.002Г.1</v>
      </c>
      <c r="B339" t="str">
        <v>ЩУОВ</v>
      </c>
      <c r="C339" t="str">
        <v/>
      </c>
      <c r="D339" t="str">
        <v>ВВГнг(А)-LS (3х4)</v>
      </c>
      <c r="E339" t="str">
        <v>L=7</v>
      </c>
      <c r="F339" t="str">
        <v>Ø20 L=38</v>
      </c>
      <c r="G339" t="str">
        <v>Ø25 L=50</v>
      </c>
      <c r="H339">
        <v>95</v>
      </c>
    </row>
    <row r="340" spans="1:8" x14ac:dyDescent="0.3">
      <c r="A340" t="str">
        <v>OV.2.003Г.1</v>
      </c>
      <c r="B340" t="str">
        <v>ЩУОВ</v>
      </c>
      <c r="C340" t="str">
        <v/>
      </c>
      <c r="D340" t="str">
        <v>ВВГнг(А)-LS (3х2,5)</v>
      </c>
      <c r="E340" t="str">
        <v>L=7</v>
      </c>
      <c r="F340" t="str">
        <v>Ø20 L=17</v>
      </c>
      <c r="G340" t="str">
        <v>Ø20 L=20</v>
      </c>
      <c r="H340">
        <v>44</v>
      </c>
    </row>
    <row r="341" spans="1:8" x14ac:dyDescent="0.3">
      <c r="A341" t="str">
        <v>OV.2.1.1</v>
      </c>
      <c r="B341" t="str">
        <v>ЩУОВ</v>
      </c>
      <c r="C341" t="str">
        <v>Обогревл ливнестоков Кровля бассейна</v>
      </c>
      <c r="D341" t="str">
        <v>ВВГнг(А)-LS (3х6)</v>
      </c>
      <c r="E341" t="str">
        <v>L=4</v>
      </c>
      <c r="F341" t="str">
        <v>Ø25 L=90</v>
      </c>
      <c r="G341" t="str">
        <v/>
      </c>
      <c r="H341">
        <v>97</v>
      </c>
    </row>
    <row r="342" spans="1:8" x14ac:dyDescent="0.3">
      <c r="A342" t="str">
        <v>OV.2.1.2</v>
      </c>
      <c r="B342" t="str">
        <v>ЩУОВ</v>
      </c>
      <c r="C342" t="str">
        <v>Обогревл ливнестоков Второй этаж</v>
      </c>
      <c r="D342" t="str">
        <v>ВВГнг(А)-LS (3х4)</v>
      </c>
      <c r="E342" t="str">
        <v>L=7</v>
      </c>
      <c r="F342" t="str">
        <v>Ø20 L=42</v>
      </c>
      <c r="G342" t="str">
        <v>Ø25 L=35</v>
      </c>
      <c r="H342">
        <v>84</v>
      </c>
    </row>
    <row r="343" spans="1:8" x14ac:dyDescent="0.3">
      <c r="A343" t="str">
        <v>OV.2.1.3</v>
      </c>
      <c r="B343" t="str">
        <v>ЩУОВ</v>
      </c>
      <c r="C343" t="str">
        <v>Обогревл ливнестоков Второй этаж</v>
      </c>
      <c r="D343" t="str">
        <v>ВВГнг(А)-LS (3х2,5)</v>
      </c>
      <c r="E343" t="str">
        <v>L=7</v>
      </c>
      <c r="F343" t="str">
        <v>Ø20 L=24</v>
      </c>
      <c r="G343" t="str">
        <v>Ø20 L=13</v>
      </c>
      <c r="H343">
        <v>44</v>
      </c>
    </row>
    <row r="344" spans="1:8" x14ac:dyDescent="0.3">
      <c r="A344" t="str">
        <v>OV.4.1.1</v>
      </c>
      <c r="B344" t="str">
        <v>ЩУОВ</v>
      </c>
      <c r="C344" t="str">
        <v>Обогревл ливнестоков Кровля</v>
      </c>
      <c r="D344" t="str">
        <v>ВВГнг(А)-LS (3х2,5)</v>
      </c>
      <c r="E344" t="str">
        <v>L=12</v>
      </c>
      <c r="F344" t="str">
        <v>Ø20 L=12</v>
      </c>
      <c r="G344" t="str">
        <v>Ø20 L=22</v>
      </c>
      <c r="H344">
        <v>40</v>
      </c>
    </row>
    <row r="345" spans="1:8" x14ac:dyDescent="0.3">
      <c r="A345" t="str">
        <v>OV.4.1.2</v>
      </c>
      <c r="B345" t="str">
        <v>ЩУОВ</v>
      </c>
      <c r="C345" t="str">
        <v>Обогревл ливнестоков Кровля</v>
      </c>
      <c r="D345" t="str">
        <v>ВВГнг(А)-LS (3х2,5)</v>
      </c>
      <c r="E345" t="str">
        <v>L=12</v>
      </c>
      <c r="F345" t="str">
        <v>Ø20 L=12</v>
      </c>
      <c r="G345" t="str">
        <v>Ø20 L=39</v>
      </c>
      <c r="H345">
        <v>50</v>
      </c>
    </row>
    <row r="346" spans="1:8" x14ac:dyDescent="0.3">
      <c r="A346" t="str">
        <v>OV.4.1.3</v>
      </c>
      <c r="B346" t="str">
        <v>ЩУОВ</v>
      </c>
      <c r="C346" t="str">
        <v>Обогревл ливнестоков Кровля</v>
      </c>
      <c r="D346" t="str">
        <v>ВВГнг(А)-LS (3х4)</v>
      </c>
      <c r="E346" t="str">
        <v>L=12</v>
      </c>
      <c r="F346" t="str">
        <v>Ø20 L=12</v>
      </c>
      <c r="G346" t="str">
        <v>Ø25 L=72</v>
      </c>
      <c r="H346">
        <v>83</v>
      </c>
    </row>
    <row r="347" spans="1:8" x14ac:dyDescent="0.3">
      <c r="A347" t="str">
        <v>OV.4.1.4</v>
      </c>
      <c r="B347" t="str">
        <v>ЩУОВ</v>
      </c>
      <c r="C347" t="str">
        <v>Обогревл ливнестоков Кровля</v>
      </c>
      <c r="D347" t="str">
        <v>ВВГнг(А)-LS (3х2,5)</v>
      </c>
      <c r="E347" t="str">
        <v>L=12</v>
      </c>
      <c r="F347" t="str">
        <v>Ø20 L=12</v>
      </c>
      <c r="G347" t="str">
        <v>Ø20 L=55</v>
      </c>
      <c r="H347">
        <v>66</v>
      </c>
    </row>
  </sheetData>
  <mergeCells count="10">
    <mergeCell ref="I3:K3"/>
    <mergeCell ref="I2:K2"/>
    <mergeCell ref="L2:L4"/>
    <mergeCell ref="M2:M4"/>
    <mergeCell ref="A2:A4"/>
    <mergeCell ref="B2:C2"/>
    <mergeCell ref="B3:B4"/>
    <mergeCell ref="C3:C4"/>
    <mergeCell ref="D2:H2"/>
    <mergeCell ref="D3:H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08080"/>
    <outlinePr summaryBelow="0" summaryRight="0"/>
  </sheetPr>
  <dimension ref="A1:CA1000"/>
  <sheetViews>
    <sheetView zoomScale="85" zoomScaleNormal="85" workbookViewId="0">
      <pane xSplit="3" ySplit="2" topLeftCell="D54" activePane="bottomRight" state="frozen"/>
      <selection pane="topRight"/>
      <selection pane="bottomLeft"/>
      <selection pane="bottomRight" activeCell="N64" sqref="N64"/>
    </sheetView>
  </sheetViews>
  <sheetFormatPr defaultRowHeight="14.4" outlineLevelCol="1" x14ac:dyDescent="0.3"/>
  <cols>
    <col min="1" max="3" width="6" customWidth="1"/>
    <col min="4" max="4" width="9" customWidth="1"/>
    <col min="5" max="5" width="15" customWidth="1"/>
    <col min="6" max="7" width="8" customWidth="1"/>
    <col min="8" max="8" width="15" customWidth="1"/>
    <col min="9" max="9" width="15.33203125" customWidth="1"/>
    <col min="10" max="10" width="17.88671875" customWidth="1"/>
    <col min="11" max="11" width="20.5546875" customWidth="1"/>
    <col min="12" max="12" width="12" customWidth="1"/>
    <col min="13" max="13" width="7" customWidth="1"/>
    <col min="14" max="14" width="9" customWidth="1"/>
    <col min="15" max="15" width="6" customWidth="1"/>
    <col min="16" max="16" width="14" customWidth="1"/>
    <col min="17" max="17" width="26" customWidth="1"/>
    <col min="18" max="18" width="16" customWidth="1"/>
    <col min="19" max="19" width="40" customWidth="1"/>
    <col min="20" max="21" width="7" customWidth="1"/>
    <col min="22" max="22" width="6" customWidth="1" collapsed="1"/>
    <col min="23" max="23" width="17" hidden="1" customWidth="1" outlineLevel="1"/>
    <col min="24" max="24" width="14" hidden="1" customWidth="1" outlineLevel="1"/>
    <col min="25" max="25" width="11" customWidth="1" collapsed="1"/>
    <col min="26" max="27" width="8" hidden="1" customWidth="1" outlineLevel="1"/>
    <col min="28" max="28" width="9" hidden="1" customWidth="1" outlineLevel="1"/>
    <col min="29" max="29" width="11" hidden="1" customWidth="1" outlineLevel="1"/>
    <col min="30" max="30" width="50" hidden="1" customWidth="1" outlineLevel="1"/>
    <col min="31" max="31" width="3" customWidth="1" collapsed="1"/>
    <col min="32" max="53" width="9" hidden="1" customWidth="1" outlineLevel="1"/>
    <col min="54" max="64" width="6" hidden="1" customWidth="1" outlineLevel="1"/>
    <col min="65" max="77" width="8" hidden="1" customWidth="1" outlineLevel="1"/>
    <col min="78" max="79" width="0" hidden="1" customWidth="1" outlineLevel="1"/>
  </cols>
  <sheetData>
    <row r="1" spans="1:79" ht="21.6" customHeight="1" x14ac:dyDescent="0.3">
      <c r="A1" s="103" t="s">
        <v>415</v>
      </c>
      <c r="B1" s="104"/>
      <c r="C1" s="104"/>
      <c r="D1" s="45" t="s">
        <v>416</v>
      </c>
      <c r="E1" s="107" t="s">
        <v>417</v>
      </c>
      <c r="F1" s="108"/>
      <c r="G1" s="108"/>
      <c r="H1" s="108"/>
      <c r="I1" s="109" t="s">
        <v>418</v>
      </c>
      <c r="J1" s="110"/>
      <c r="K1" s="110"/>
      <c r="L1" s="111" t="s">
        <v>419</v>
      </c>
      <c r="M1" s="112"/>
      <c r="N1" s="112"/>
      <c r="O1" s="112"/>
      <c r="P1" s="52" t="s">
        <v>420</v>
      </c>
      <c r="Q1" s="41" t="s">
        <v>421</v>
      </c>
      <c r="R1" s="103" t="s">
        <v>422</v>
      </c>
      <c r="S1" s="104"/>
      <c r="T1" s="104"/>
      <c r="U1" s="104"/>
      <c r="V1" s="104"/>
      <c r="W1" s="103" t="s">
        <v>423</v>
      </c>
      <c r="X1" s="104"/>
      <c r="Y1" s="105" t="s">
        <v>424</v>
      </c>
      <c r="Z1" s="106"/>
      <c r="AA1" s="106"/>
      <c r="AB1" s="106"/>
      <c r="AC1" s="106"/>
      <c r="AD1" s="106"/>
      <c r="AE1" s="66" t="str">
        <f>"Ошибок: "&amp;COUNTIF($BU$3:$BU$3000,2)&amp;"   Предупреждений: "&amp;COUNTIF($BU$3:$BU$3000,1)</f>
        <v>Ошибок: 0   Предупреждений: 25</v>
      </c>
      <c r="AF1" s="36" t="s">
        <v>425</v>
      </c>
      <c r="BC1" s="34" t="s">
        <v>426</v>
      </c>
    </row>
    <row r="2" spans="1:79" ht="84" customHeight="1" x14ac:dyDescent="0.3">
      <c r="A2" s="40" t="s">
        <v>4</v>
      </c>
      <c r="B2" s="43" t="s">
        <v>427</v>
      </c>
      <c r="C2" s="43" t="s">
        <v>428</v>
      </c>
      <c r="D2" s="44" t="s">
        <v>429</v>
      </c>
      <c r="E2" s="44" t="s">
        <v>430</v>
      </c>
      <c r="F2" s="46" t="s">
        <v>1159</v>
      </c>
      <c r="G2" s="48" t="s">
        <v>431</v>
      </c>
      <c r="H2" s="48" t="s">
        <v>7</v>
      </c>
      <c r="I2" s="44" t="s">
        <v>432</v>
      </c>
      <c r="J2" s="46" t="s">
        <v>433</v>
      </c>
      <c r="K2" s="46" t="s">
        <v>434</v>
      </c>
      <c r="L2" s="44" t="s">
        <v>435</v>
      </c>
      <c r="M2" s="50" t="s">
        <v>436</v>
      </c>
      <c r="N2" s="46" t="s">
        <v>437</v>
      </c>
      <c r="O2" s="50" t="s">
        <v>438</v>
      </c>
      <c r="P2" s="51" t="s">
        <v>439</v>
      </c>
      <c r="Q2" s="40" t="s">
        <v>9</v>
      </c>
      <c r="R2" s="40" t="s">
        <v>440</v>
      </c>
      <c r="S2" s="43" t="s">
        <v>6</v>
      </c>
      <c r="T2" s="43" t="s">
        <v>441</v>
      </c>
      <c r="U2" s="43" t="s">
        <v>442</v>
      </c>
      <c r="V2" s="43" t="s">
        <v>443</v>
      </c>
      <c r="W2" s="40" t="s">
        <v>7</v>
      </c>
      <c r="X2" s="43" t="s">
        <v>438</v>
      </c>
      <c r="Y2" s="44" t="s">
        <v>444</v>
      </c>
      <c r="Z2" s="60" t="s">
        <v>445</v>
      </c>
      <c r="AA2" s="60" t="s">
        <v>446</v>
      </c>
      <c r="AB2" s="60" t="s">
        <v>521</v>
      </c>
      <c r="AC2" s="60" t="s">
        <v>447</v>
      </c>
      <c r="AD2" s="60" t="s">
        <v>448</v>
      </c>
      <c r="AE2" s="60" t="s">
        <v>789</v>
      </c>
      <c r="AF2" s="35" t="s">
        <v>449</v>
      </c>
      <c r="AG2" s="35" t="s">
        <v>450</v>
      </c>
      <c r="AH2" s="35" t="s">
        <v>451</v>
      </c>
      <c r="AI2" s="35" t="s">
        <v>452</v>
      </c>
      <c r="AJ2" s="35" t="s">
        <v>453</v>
      </c>
      <c r="AK2" s="35" t="s">
        <v>454</v>
      </c>
      <c r="AL2" s="35" t="s">
        <v>455</v>
      </c>
      <c r="AM2" s="35" t="s">
        <v>456</v>
      </c>
      <c r="AN2" s="35" t="s">
        <v>457</v>
      </c>
      <c r="AO2" s="35" t="s">
        <v>458</v>
      </c>
      <c r="AP2" s="35" t="s">
        <v>459</v>
      </c>
      <c r="AQ2" s="35" t="s">
        <v>460</v>
      </c>
      <c r="AR2" s="35" t="s">
        <v>461</v>
      </c>
      <c r="AS2" s="35" t="s">
        <v>462</v>
      </c>
      <c r="AT2" s="35" t="s">
        <v>463</v>
      </c>
      <c r="AU2" s="35" t="s">
        <v>464</v>
      </c>
      <c r="AV2" s="35" t="s">
        <v>465</v>
      </c>
      <c r="AW2" s="35" t="s">
        <v>466</v>
      </c>
      <c r="AX2" s="35" t="s">
        <v>467</v>
      </c>
      <c r="AY2" s="35" t="s">
        <v>468</v>
      </c>
      <c r="AZ2" s="35" t="s">
        <v>469</v>
      </c>
      <c r="BA2" s="35" t="s">
        <v>470</v>
      </c>
      <c r="BB2" s="35" t="s">
        <v>522</v>
      </c>
      <c r="BD2" s="35" t="s">
        <v>471</v>
      </c>
      <c r="BE2" s="35" t="s">
        <v>472</v>
      </c>
      <c r="BF2" s="35" t="s">
        <v>473</v>
      </c>
      <c r="BG2" s="35" t="s">
        <v>474</v>
      </c>
      <c r="BH2" s="35" t="s">
        <v>475</v>
      </c>
      <c r="BI2" s="35" t="s">
        <v>476</v>
      </c>
      <c r="BJ2" s="35" t="s">
        <v>477</v>
      </c>
      <c r="BK2" s="35" t="s">
        <v>478</v>
      </c>
      <c r="BL2" s="35" t="s">
        <v>479</v>
      </c>
      <c r="BM2" s="35" t="s">
        <v>790</v>
      </c>
      <c r="BN2" s="35" t="s">
        <v>791</v>
      </c>
      <c r="BO2" s="35" t="s">
        <v>792</v>
      </c>
      <c r="BP2" s="35" t="s">
        <v>793</v>
      </c>
      <c r="BQ2" s="35" t="s">
        <v>794</v>
      </c>
      <c r="BR2" s="35" t="s">
        <v>795</v>
      </c>
      <c r="BS2" s="35" t="s">
        <v>796</v>
      </c>
      <c r="BT2" s="35" t="s">
        <v>797</v>
      </c>
      <c r="BU2" s="35" t="s">
        <v>798</v>
      </c>
      <c r="BV2" s="35" t="s">
        <v>799</v>
      </c>
      <c r="BW2" s="35" t="s">
        <v>800</v>
      </c>
      <c r="BX2" s="35" t="s">
        <v>801</v>
      </c>
      <c r="BY2" s="35" t="s">
        <v>802</v>
      </c>
      <c r="BZ2" t="s">
        <v>1169</v>
      </c>
      <c r="CA2" t="s">
        <v>1172</v>
      </c>
    </row>
    <row r="3" spans="1:79" x14ac:dyDescent="0.3">
      <c r="A3" s="39" t="str" cm="1">
        <f t="array" ref="A3:A329">_xlfn.LET(_xlpm.v,_xlfn._xlws.FILTER(Линии[Щит],Линии[_№ места (итог)]&lt;&gt;""),IF(_xlpm.v="","",_xlpm.v))</f>
        <v>ГРЩ-ЖД</v>
      </c>
      <c r="B3" s="42" cm="1">
        <f t="array" ref="B3:B329">_xlfn.LET(_xlpm.v,_xlfn._xlws.FILTER(Линии[_№ места (итог)],Линии[_№ места (итог)]&lt;&gt;""),IF(_xlpm.v="","",_xlpm.v))</f>
        <v>2</v>
      </c>
      <c r="C3" s="42" cm="1">
        <f t="array" ref="C3:C329">_xlfn.LET(_xlpm.v,_xlfn._xlws.FILTER(Линии[Лист схемы],Линии[_№ места (итог)]&lt;&gt;""),IF(_xlpm.v="","",_xlpm.v))</f>
        <v>1</v>
      </c>
      <c r="D3" s="75" t="str" cm="1">
        <f t="array" ref="D3:D329">_xlfn.LET(_xlpm.v,_xlfn._xlws.FILTER(Линии[Шина],Линии[_№ места (итог)]&lt;&gt;""),IF(_xlpm.v="","",_xlpm.v))</f>
        <v/>
      </c>
      <c r="E3" s="75" t="str" cm="1">
        <f t="array" ref="E3:E329">_xlfn.LET(_xlpm.v,_xlfn._xlws.FILTER(Линии[Автомат «авто» или текст],Линии[_№ места (итог)]&lt;&gt;""),IF(_xlpm.v="","",_xlpm.v))</f>
        <v/>
      </c>
      <c r="F3" s="76" t="str" cm="1">
        <f t="array" ref="F3:F329">_xlfn.LET(_xlpm.v,_xlfn._xlws.FILTER(Линии[Дифзащита, мА],Линии[_№ места (итог)]&lt;&gt;""),IF(_xlpm.v="","",_xlpm.v))</f>
        <v/>
      </c>
      <c r="G3" s="47" t="str" cm="1">
        <f t="array" ref="G3:G329">_xlfn.LET(_xlpm.v,_xlfn._xlws.FILTER(Линии[QF],Линии[_№ места (итог)]&lt;&gt;""),IF(_xlpm.v="","",_xlpm.v))</f>
        <v/>
      </c>
      <c r="H3" s="47" t="str" cm="1">
        <f t="array" ref="H3:H329">_xlfn.LET(_xlpm.v,_xlfn._xlws.FILTER(Линии[Автомат (схема)],Линии[_№ места (итог)]&lt;&gt;""),IF(_xlpm.v="","",_xlpm.v))</f>
        <v/>
      </c>
      <c r="I3" s="75" t="str" cm="1">
        <f t="array" ref="I3:I329">_xlfn.LET(_xlpm.v,_xlfn._xlws.FILTER(Линии[Аппарат 1],Линии[_№ места (итог)]&lt;&gt;""),IF(_xlpm.v="","",_xlpm.v))</f>
        <v/>
      </c>
      <c r="J3" s="76" t="str" cm="1">
        <f t="array" ref="J3:J329">_xlfn.LET(_xlpm.v,_xlfn._xlws.FILTER(Линии[Аппарат 2],Линии[_№ места (итог)]&lt;&gt;""),IF(_xlpm.v="","",_xlpm.v))</f>
        <v/>
      </c>
      <c r="K3" s="76" t="str" cm="1">
        <f t="array" ref="K3:K329">_xlfn.LET(_xlpm.v,_xlfn._xlws.FILTER(Линии[Аппарат 3],Линии[_№ места (итог)]&lt;&gt;""),IF(_xlpm.v="","",_xlpm.v))</f>
        <v/>
      </c>
      <c r="L3" s="75" t="str" cm="1">
        <f t="array" ref="L3:L329">_xlfn.LET(_xlpm.v,_xlfn._xlws.FILTER(Линии[Модуль],Линии[_№ места (итог)]&lt;&gt;""),IF(_xlpm.v="","",_xlpm.v))</f>
        <v/>
      </c>
      <c r="M3" s="49" t="str" cm="1">
        <f t="array" ref="M3:M329">_xlfn.LET(_xlpm.v,_xlfn._xlws.FILTER(Линии[_Модуль (схема)],Линии[_№ места (итог)]&lt;&gt;""),IF(_xlpm.v="","",_xlpm.v))</f>
        <v/>
      </c>
      <c r="N3" s="76" t="str" cm="1">
        <f t="array" ref="N3:N329">_xlfn.LET(_xlpm.v,_xlfn._xlws.FILTER(Линии[Канал],Линии[_№ места (итог)]&lt;&gt;""),IF(_xlpm.v="","",_xlpm.v))</f>
        <v/>
      </c>
      <c r="O3" s="49" t="str" cm="1">
        <f t="array" ref="O3:O329">_xlfn.LET(_xlpm.v,_xlfn._xlws.FILTER(Линии[Канал (итог)],Линии[_№ места (итог)]&lt;&gt;""),IF(_xlpm.v="","",_xlpm.v))</f>
        <v/>
      </c>
      <c r="P3" s="77" t="str" cm="1">
        <f t="array" ref="P3:P329">_xlfn.LET(_xlpm.v,_xlfn._xlws.FILTER(Линии[Клемма (итог)],Линии[_№ места (итог)]&lt;&gt;""),IF(_xlpm.v="","",_xlpm.v))</f>
        <v/>
      </c>
      <c r="Q3" s="53" t="str" cm="1">
        <f t="array" ref="Q3:Q329">_xlfn.LET(_xlpm.v,_xlfn._xlws.FILTER(Линии[Кабель (строкой)],Линии[_№ места (итог)]&lt;&gt;""),IF(_xlpm.v="","",_xlpm.v))</f>
        <v/>
      </c>
      <c r="R3" s="54" t="str" cm="1">
        <f t="array" ref="R3:R329">_xlfn.LET(_xlpm.v,_xlfn._xlws.FILTER(Линии[Номер линии],Линии[_№ места (итог)]&lt;&gt;""),IF(_xlpm.v="","",_xlpm.v))</f>
        <v>Ввод.1</v>
      </c>
      <c r="S3" s="55" t="str" cm="1">
        <f t="array" ref="S3:S329">_xlfn.LET(_xlpm.v,_xlfn._xlws.FILTER(Линии[Наименование (итог)],Линии[_№ места (итог)]&lt;&gt;""),IF(_xlpm.v="","",_xlpm.v))</f>
        <v>Основной ввод в дом №1</v>
      </c>
      <c r="T3" s="56" cm="1">
        <f t="array" ref="T3:T329">_xlfn.LET(_xlpm.v,_xlfn._xlws.FILTER(Линии[_Р схемы],Линии[_№ места (итог)]&lt;&gt;""),IF(_xlpm.v="","",_xlpm.v))</f>
        <v>0</v>
      </c>
      <c r="U3" s="56" cm="1">
        <f t="array" ref="U3:U329">_xlfn.LET(_xlpm.v,_xlfn._xlws.FILTER(Линии[_Ток схемы],Линии[_№ места (итог)]&lt;&gt;""),IF(_xlpm.v="","",_xlpm.v))</f>
        <v>0</v>
      </c>
      <c r="V3" s="42" t="str" cm="1">
        <f t="array" ref="V3:V329">_xlfn.LET(_xlpm.v,_xlfn._xlws.FILTER(Линии[Фаза],Линии[_№ места (итог)]&lt;&gt;""),IF(_xlpm.v="","",_xlpm.v))</f>
        <v>L1,L2,L3</v>
      </c>
      <c r="W3" s="57" t="str" cm="1">
        <f t="array" ref="W3:W329">_xlfn.LET(_xlpm.v,_xlfn._xlws.FILTER(Линии[Проверка автомата],Линии[_№ места (итог)]&lt;&gt;""),IF(_xlpm.v="","",_xlpm.v))</f>
        <v/>
      </c>
      <c r="X3" s="58" t="str" cm="1">
        <f t="array" ref="X3:X329">_xlfn.LET(_xlpm.v,_xlfn._xlws.FILTER(Линии[Проверка канала],Линии[_№ места (итог)]&lt;&gt;""),IF(_xlpm.v="","",_xlpm.v))</f>
        <v/>
      </c>
      <c r="Y3" s="75" t="str" cm="1">
        <f t="array" ref="Y3:Y329">_xlfn.LET(_xlpm.v,_xlfn._xlws.FILTER(Линии[Режим],Линии[_№ места (итог)]&lt;&gt;""),IF(_xlpm.v="","",_xlpm.v))</f>
        <v/>
      </c>
      <c r="Z3" s="59" t="str" cm="1">
        <f t="array" ref="Z3:Z329">_xlfn.LET(_xlpm.v,_xlfn._xlws.FILTER(Линии[_ток группы],Линии[_№ места (итог)]&lt;&gt;""),IF(_xlpm.v="","",_xlpm.v))</f>
        <v/>
      </c>
      <c r="AA3" s="61" t="str" cm="1">
        <f t="array" ref="AA3:AA329">_xlfn.LET(_xlpm.v,_xlfn._xlws.FILTER(Линии[_номинал по току],Линии[_№ места (итог)]&lt;&gt;""),IF(_xlpm.v="","",_xlpm.v))</f>
        <v/>
      </c>
      <c r="AB3" s="61" cm="1">
        <f t="array" ref="AB3:AB329">_xlfn.LET(_xlpm.v,_xlfn._xlws.FILTER(Линии[_макс. автомат по кабелю],Линии[_№ места (итог)]&lt;&gt;""),IF(_xlpm.v="","",_xlpm.v))</f>
        <v>16</v>
      </c>
      <c r="AC3" s="61" t="str" cm="1">
        <f t="array" ref="AC3:AC329">_xlfn.LET(_xlpm.v,_xlfn._xlws.FILTER(Линии[_модель (схема)],Линии[_№ места (итог)]&lt;&gt;""),IF(_xlpm.v="","",_xlpm.v))</f>
        <v/>
      </c>
      <c r="AD3" s="62" t="str" cm="1">
        <f t="array" ref="AD3:AD329">_xlfn.LET(_xlpm.v,_xlfn._xlws.FILTER(Линии[_цепь],Линии[_№ места (итог)]&lt;&gt;""),IF(_xlpm.v="","",_xlpm.v))</f>
        <v/>
      </c>
      <c r="AE3" s="62" t="str" cm="1">
        <f t="array" ref="AE3:AE329">_xlfn.LET(_xlpm.v,_xlfn._xlws.FILTER(Линии[Статус],Линии[_№ места (итог)]&lt;&gt;""),IF(_xlpm.v="","",_xlpm.v))</f>
        <v/>
      </c>
      <c r="AF3" s="34" t="str" cm="1">
        <f t="array" ref="AF3:AF329">_xlfn.LET(_xlpm.v,_xlfn._xlws.FILTER(Линии[_гр.],Линии[_№ места (итог)]&lt;&gt;""),IF(_xlpm.v="","",_xlpm.v))</f>
        <v/>
      </c>
      <c r="AG3" s="34" t="str" cm="1">
        <f t="array" ref="AG3:AG329">_xlfn.LET(_xlpm.v,_xlfn._xlws.FILTER(Линии[_QF гр.],Линии[_№ места (итог)]&lt;&gt;""),IF(_xlpm.v="","",_xlpm.v))</f>
        <v/>
      </c>
      <c r="AH3" s="34" t="str" cm="1">
        <f t="array" ref="AH3:AH329">_xlfn.LET(_xlpm.v,_xlfn._xlws.FILTER(Линии[_модуль гр.],Линии[_№ места (итог)]&lt;&gt;""),IF(_xlpm.v="","",_xlpm.v))</f>
        <v/>
      </c>
      <c r="AI3" s="34" t="str" cm="1">
        <f t="array" ref="AI3:AI329">_xlfn.LET(_xlpm.v,_xlfn._xlws.FILTER(Линии[_модель гр.],Линии[_№ места (итог)]&lt;&gt;""),IF(_xlpm.v="","",_xlpm.v))</f>
        <v/>
      </c>
      <c r="AJ3" s="34" t="str" cm="1">
        <f t="array" ref="AJ3:AJ329">_xlfn.LET(_xlpm.v,_xlfn._xlws.FILTER(Линии[_QF нач.],Линии[_№ места (итог)]&lt;&gt;""),IF(_xlpm.v="","",_xlpm.v))</f>
        <v/>
      </c>
      <c r="AK3" s="34" cm="1">
        <f t="array" ref="AK3:AK329">_xlfn.LET(_xlpm.v,_xlfn._xlws.FILTER(Линии[_фаз],Линии[_№ места (итог)]&lt;&gt;""),IF(_xlpm.v="","",_xlpm.v))</f>
        <v>3</v>
      </c>
      <c r="AL3" s="34" t="str" cm="1">
        <f t="array" ref="AL3:AL329">_xlfn.LET(_xlpm.v,_xlfn._xlws.FILTER(Линии[Код],Линии[_№ места (итог)]&lt;&gt;""),IF(_xlpm.v="","",_xlpm.v))</f>
        <v>Ввод</v>
      </c>
      <c r="AM3" s="34" cm="1">
        <f t="array" ref="AM3:AM329">_xlfn.LET(_xlpm.v,_xlfn._xlws.FILTER(Линии[_дифзащита по коду, мА],Линии[_№ места (итог)]&lt;&gt;""),IF(_xlpm.v="","",_xlpm.v))</f>
        <v>0</v>
      </c>
      <c r="AN3" s="34" cm="1">
        <f t="array" ref="AN3:AN329">_xlfn.LET(_xlpm.v,_xlfn._xlws.FILTER(Линии[_в кабель выше],Линии[_№ места (итог)]&lt;&gt;""),IF(_xlpm.v="","",_xlpm.v))</f>
        <v>0</v>
      </c>
      <c r="AO3" s="34" t="str" cm="1">
        <f t="array" ref="AO3:AO329">_xlfn.LET(_xlpm.v,_xlfn._xlws.FILTER(Линии[_по току],Линии[_№ места (итог)]&lt;&gt;""),IF(_xlpm.v="","",_xlpm.v))</f>
        <v/>
      </c>
      <c r="AP3" s="34" t="str" cm="1">
        <f t="array" ref="AP3:AP329">_xlfn.LET(_xlpm.v,_xlfn._xlws.FILTER(Линии[_мин. по кабелям],Линии[_№ места (итог)]&lt;&gt;""),IF(_xlpm.v="","",_xlpm.v))</f>
        <v/>
      </c>
      <c r="AQ3" s="34" t="str" cm="1">
        <f t="array" ref="AQ3:AQ329">_xlfn.LET(_xlpm.v,_xlfn._xlws.FILTER(Линии[_номинал],Линии[_№ места (итог)]&lt;&gt;""),IF(_xlpm.v="","",_xlpm.v))</f>
        <v/>
      </c>
      <c r="AR3" s="34" t="str" cm="1">
        <f t="array" ref="AR3:AR329">_xlfn.LET(_xlpm.v,_xlfn._xlws.FILTER(Линии[_фаз гр.],Линии[_№ места (итог)]&lt;&gt;""),IF(_xlpm.v="","",_xlpm.v))</f>
        <v/>
      </c>
      <c r="AS3" s="34" t="str" cm="1">
        <f t="array" ref="AS3:AS329">_xlfn.LET(_xlpm.v,_xlfn._xlws.FILTER(Линии[_дифзащита гр. (0/1)],Линии[_№ места (итог)]&lt;&gt;""),IF(_xlpm.v="","",_xlpm.v))</f>
        <v/>
      </c>
      <c r="AT3" s="34" t="str" cm="1">
        <f t="array" ref="AT3:AT329">_xlfn.LET(_xlpm.v,_xlfn._xlws.FILTER(Линии[_полюса],Линии[_№ места (итог)]&lt;&gt;""),IF(_xlpm.v="","",_xlpm.v))</f>
        <v/>
      </c>
      <c r="AU3" s="34" t="str" cm="1">
        <f t="array" ref="AU3:AU329">_xlfn.LET(_xlpm.v,_xlfn._xlws.FILTER(Линии[_номинал итог],Линии[_№ места (итог)]&lt;&gt;""),IF(_xlpm.v="","",_xlpm.v))</f>
        <v/>
      </c>
      <c r="AV3" s="34" t="str" cm="1">
        <f t="array" ref="AV3:AV329">_xlfn.LET(_xlpm.v,_xlfn._xlws.FILTER(Линии[_префикс],Линии[_№ места (итог)]&lt;&gt;""),IF(_xlpm.v="","",_xlpm.v))</f>
        <v/>
      </c>
      <c r="AW3" s="34" t="str" cm="1">
        <f t="array" ref="AW3:AW329">_xlfn.LET(_xlpm.v,_xlfn._xlws.FILTER(Линии[_модуль нач.],Линии[_№ места (итог)]&lt;&gt;""),IF(_xlpm.v="","",_xlpm.v))</f>
        <v/>
      </c>
      <c r="AX3" s="34" t="str" cm="1">
        <f t="array" ref="AX3:AX329">_xlfn.LET(_xlpm.v,_xlfn._xlws.FILTER(Линии[_посл. канал],Линии[_№ места (итог)]&lt;&gt;""),IF(_xlpm.v="","",_xlpm.v))</f>
        <v/>
      </c>
      <c r="AY3" s="34" cm="1">
        <f t="array" ref="AY3:AY329">_xlfn.LET(_xlpm.v,_xlfn._xlws.FILTER(Линии[_клемма],Линии[_№ места (итог)]&lt;&gt;""),IF(_xlpm.v="","",_xlpm.v))</f>
        <v>0</v>
      </c>
      <c r="AZ3" s="34" t="str" cm="1">
        <f t="array" ref="AZ3:AZ329">_xlfn.LET(_xlpm.v,_xlfn._xlws.FILTER(Линии[_аппараты гр.],Линии[_№ места (итог)]&lt;&gt;""),IF(_xlpm.v="","",_xlpm.v))</f>
        <v/>
      </c>
      <c r="BA3" s="34" cm="1">
        <f t="array" ref="BA3:BA329">_xlfn.LET(_xlpm.v,_xlfn._xlws.FILTER(Линии[_БП/тр-р],Линии[_№ места (итог)]&lt;&gt;""),IF(_xlpm.v="","",_xlpm.v))</f>
        <v>0</v>
      </c>
      <c r="BB3" s="34" cm="1">
        <f t="array" ref="BB3:BB329">_xlfn.LET(_xlpm.v,_xlfn._xlws.FILTER(Линии[_мин. по типу],Линии[_№ места (итог)]&lt;&gt;""),IF(_xlpm.v="","",_xlpm.v))</f>
        <v>0</v>
      </c>
      <c r="BD3" s="34" cm="1">
        <f t="array" ref="BD3:BD329">_xlfn.LET(_xlpm.v,_xlfn._xlws.FILTER(Линии[_draw],Линии[_№ места (итог)]&lt;&gt;""),IF(_xlpm.v="","",_xlpm.v))</f>
        <v>1</v>
      </c>
      <c r="BE3" s="34" cm="1">
        <f t="array" ref="BE3:BE329">_xlfn.LET(_xlpm.v,_xlfn._xlws.FILTER(Линии[_bus2],Линии[_№ места (итог)]&lt;&gt;""),IF(_xlpm.v="","",_xlpm.v))</f>
        <v>0</v>
      </c>
      <c r="BF3" s="34" cm="1">
        <f t="array" ref="BF3:BF329">_xlfn.LET(_xlpm.v,_xlfn._xlws.FILTER(Линии[_rcd],Линии[_№ места (итог)]&lt;&gt;""),IF(_xlpm.v="","",_xlpm.v))</f>
        <v>0</v>
      </c>
      <c r="BG3" s="34" t="str" cm="1">
        <f t="array" ref="BG3:BG329">_xlfn.LET(_xlpm.v,_xlfn._xlws.FILTER(Линии[_chtype],Линии[_№ места (итог)]&lt;&gt;""),IF(_xlpm.v="","",_xlpm.v))</f>
        <v/>
      </c>
      <c r="BH3" s="34" t="str" cm="1">
        <f t="array" ref="BH3:BH329">_xlfn.LET(_xlpm.v,_xlfn._xlws.FILTER(Линии[_dev1],Линии[_№ места (итог)]&lt;&gt;""),IF(_xlpm.v="","",_xlpm.v))</f>
        <v/>
      </c>
      <c r="BI3" s="34" t="str" cm="1">
        <f t="array" ref="BI3:BI329">_xlfn.LET(_xlpm.v,_xlfn._xlws.FILTER(Линии[_dev2],Линии[_№ места (итог)]&lt;&gt;""),IF(_xlpm.v="","",_xlpm.v))</f>
        <v/>
      </c>
      <c r="BJ3" s="34" t="str" cm="1">
        <f t="array" ref="BJ3:BJ329">_xlfn.LET(_xlpm.v,_xlfn._xlws.FILTER(Линии[_dev3],Линии[_№ места (итог)]&lt;&gt;""),IF(_xlpm.v="","",_xlpm.v))</f>
        <v/>
      </c>
      <c r="BK3" s="34" t="str" cm="1">
        <f t="array" ref="BK3:BK329">_xlfn.LET(_xlpm.v,_xlfn._xlws.FILTER(Линии[_sym],Линии[_№ места (итог)]&lt;&gt;""),IF(_xlpm.v="","",_xlpm.v))</f>
        <v>BOX</v>
      </c>
      <c r="BL3" s="34" cm="1">
        <f t="array" ref="BL3:BL329">_xlfn.LET(_xlpm.v,_xlfn._xlws.FILTER(Линии[_hasline],Линии[_№ места (итог)]&lt;&gt;""),IF(_xlpm.v="","",_xlpm.v))</f>
        <v>1</v>
      </c>
      <c r="BM3" s="34" t="str" cm="1">
        <f t="array" ref="BM3:BM329">_xlfn.LET(_xlpm.v,_xlfn._xlws.FILTER(Линии[_тип автомата №],Линии[_№ места (итог)]&lt;&gt;""),IF(_xlpm.v="","",_xlpm.v))</f>
        <v/>
      </c>
      <c r="BN3" s="34" t="str" cm="1">
        <f t="array" ref="BN3:BN329">_xlfn.LET(_xlpm.v,_xlfn._xlws.FILTER(Линии[_аппарат 1 №],Линии[_№ места (итог)]&lt;&gt;""),IF(_xlpm.v="","",_xlpm.v))</f>
        <v/>
      </c>
      <c r="BO3" s="34" t="str" cm="1">
        <f t="array" ref="BO3:BO329">_xlfn.LET(_xlpm.v,_xlfn._xlws.FILTER(Линии[_аппарат 2 №],Линии[_№ места (итог)]&lt;&gt;""),IF(_xlpm.v="","",_xlpm.v))</f>
        <v/>
      </c>
      <c r="BP3" s="34" t="str" cm="1">
        <f t="array" ref="BP3:BP329">_xlfn.LET(_xlpm.v,_xlfn._xlws.FILTER(Линии[_аппарат 3 №],Линии[_№ места (итог)]&lt;&gt;""),IF(_xlpm.v="","",_xlpm.v))</f>
        <v/>
      </c>
      <c r="BQ3" s="34" t="str" cm="1">
        <f t="array" ref="BQ3:BQ329">_xlfn.LET(_xlpm.v,_xlfn._xlws.FILTER(Линии[_кабель клеммы],Линии[_№ места (итог)]&lt;&gt;""),IF(_xlpm.v="","",_xlpm.v))</f>
        <v/>
      </c>
      <c r="BR3" s="34" t="str" cm="1">
        <f t="array" ref="BR3:BR329">_xlfn.LET(_xlpm.v,_xlfn._xlws.FILTER(Линии[_вид клеммы №],Линии[_№ места (итог)]&lt;&gt;""),IF(_xlpm.v="","",_xlpm.v))</f>
        <v/>
      </c>
      <c r="BS3" s="34" t="str" cm="1">
        <f t="array" ref="BS3:BS329">_xlfn.LET(_xlpm.v,_xlfn._xlws.FILTER(Линии[_модуль №],Линии[_№ места (итог)]&lt;&gt;""),IF(_xlpm.v="","",_xlpm.v))</f>
        <v/>
      </c>
      <c r="BT3" s="34" t="str" cm="1">
        <f t="array" ref="BT3:BT329">_xlfn.LET(_xlpm.v,_xlfn._xlws.FILTER(Линии[_модель №],Линии[_№ места (итог)]&lt;&gt;""),IF(_xlpm.v="","",_xlpm.v))</f>
        <v/>
      </c>
      <c r="BU3" s="34" cm="1">
        <f t="array" ref="BU3:BU329">_xlfn.LET(_xlpm.v,_xlfn._xlws.FILTER(Линии[_уровень],Линии[_№ места (итог)]&lt;&gt;""),IF(_xlpm.v="","",_xlpm.v))</f>
        <v>0</v>
      </c>
      <c r="BV3" s="34" cm="1">
        <f t="array" ref="BV3:BV329">_xlfn.LET(_xlpm.v,_xlfn._xlws.FILTER(Линии[_№ линии],Линии[_№ места (итог)]&lt;&gt;""),IF(_xlpm.v="","",_xlpm.v))</f>
        <v>1</v>
      </c>
      <c r="BW3" s="34" cm="1">
        <f t="array" ref="BW3:BW329">_xlfn.LET(_xlpm.v,_xlfn._xlws.FILTER(Линии[_3L клемм],Линии[_№ места (итог)]&lt;&gt;""),IF(_xlpm.v="","",_xlpm.v))</f>
        <v>0</v>
      </c>
      <c r="BX3" s="34" cm="1">
        <f t="array" ref="BX3:BX329">_xlfn.LET(_xlpm.v,_xlfn._xlws.FILTER(Линии[_доп. проходных],Линии[_№ места (итог)]&lt;&gt;""),IF(_xlpm.v="","",_xlpm.v))</f>
        <v>0</v>
      </c>
      <c r="BY3" s="34" cm="1">
        <f t="array" ref="BY3:BY329">_xlfn.LET(_xlpm.v,_xlfn._xlws.FILTER(Линии[_УГО (рус)],Линии[_№ места (итог)]&lt;&gt;""),IF(_xlpm.v="","",_xlpm.v))</f>
        <v>0</v>
      </c>
      <c r="BZ3" cm="1">
        <f t="array" ref="BZ3:BZ329">_xlfn.LET(_xlpm.v,_xlfn._xlws.FILTER(Линии[_№ щита],Линии[_№ места (итог)]&lt;&gt;""),IF(_xlpm.v="","",_xlpm.v))</f>
        <v>1</v>
      </c>
      <c r="CA3" t="str" cm="1">
        <f t="array" ref="CA3:CA329">_xlfn.LET(_xlpm.v,_xlfn._xlws.FILTER(Линии[_зона],Линии[_№ места (итог)]&lt;&gt;""),IF(_xlpm.v="","",_xlpm.v))</f>
        <v>линии</v>
      </c>
    </row>
    <row r="4" spans="1:79" x14ac:dyDescent="0.3">
      <c r="A4" s="39" t="str">
        <v>ГРЩ-ЖД</v>
      </c>
      <c r="B4" s="42">
        <v>4</v>
      </c>
      <c r="C4" s="42">
        <v>1</v>
      </c>
      <c r="D4" s="75" t="str">
        <v/>
      </c>
      <c r="E4" s="75" t="str">
        <v/>
      </c>
      <c r="F4" s="76" t="str">
        <v/>
      </c>
      <c r="G4" s="47" t="str">
        <v/>
      </c>
      <c r="H4" s="47" t="str">
        <v/>
      </c>
      <c r="I4" s="75" t="str">
        <v/>
      </c>
      <c r="J4" s="76" t="str">
        <v/>
      </c>
      <c r="K4" s="76" t="str">
        <v/>
      </c>
      <c r="L4" s="75" t="str">
        <v/>
      </c>
      <c r="M4" s="49" t="str">
        <v/>
      </c>
      <c r="N4" s="76" t="str">
        <v/>
      </c>
      <c r="O4" s="49" t="str">
        <v/>
      </c>
      <c r="P4" s="77" t="str">
        <v/>
      </c>
      <c r="Q4" s="53" t="str">
        <v/>
      </c>
      <c r="R4" s="54" t="str">
        <v>Ввод.2</v>
      </c>
      <c r="S4" s="55" t="str">
        <v>Основной ввод в дом №2</v>
      </c>
      <c r="T4" s="56">
        <v>0</v>
      </c>
      <c r="U4" s="56">
        <v>0</v>
      </c>
      <c r="V4" s="42" t="str">
        <v>L1,L2,L3</v>
      </c>
      <c r="W4" s="57" t="str">
        <v/>
      </c>
      <c r="X4" s="58" t="str">
        <v/>
      </c>
      <c r="Y4" s="75" t="str">
        <v/>
      </c>
      <c r="Z4" s="59" t="str">
        <v/>
      </c>
      <c r="AA4" s="61" t="str">
        <v/>
      </c>
      <c r="AB4" s="61">
        <v>16</v>
      </c>
      <c r="AC4" s="61" t="str">
        <v/>
      </c>
      <c r="AD4" s="62" t="str">
        <v/>
      </c>
      <c r="AE4" s="62" t="str">
        <v/>
      </c>
      <c r="AF4" s="34" t="str">
        <v/>
      </c>
      <c r="AG4" s="34" t="str">
        <v/>
      </c>
      <c r="AH4" s="34" t="str">
        <v/>
      </c>
      <c r="AI4" s="34" t="str">
        <v/>
      </c>
      <c r="AJ4" s="34" t="str">
        <v/>
      </c>
      <c r="AK4" s="34">
        <v>3</v>
      </c>
      <c r="AL4" s="34" t="str">
        <v>Ввод</v>
      </c>
      <c r="AM4" s="34">
        <v>0</v>
      </c>
      <c r="AN4" s="34">
        <v>0</v>
      </c>
      <c r="AO4" s="34" t="str">
        <v/>
      </c>
      <c r="AP4" s="34" t="str">
        <v/>
      </c>
      <c r="AQ4" s="34" t="str">
        <v/>
      </c>
      <c r="AR4" s="34" t="str">
        <v/>
      </c>
      <c r="AS4" s="34" t="str">
        <v/>
      </c>
      <c r="AT4" s="34" t="str">
        <v/>
      </c>
      <c r="AU4" s="34" t="str">
        <v/>
      </c>
      <c r="AV4" s="34" t="str">
        <v/>
      </c>
      <c r="AW4" s="34" t="str">
        <v/>
      </c>
      <c r="AX4" s="34" t="str">
        <v/>
      </c>
      <c r="AY4" s="34">
        <v>0</v>
      </c>
      <c r="AZ4" s="34" t="str">
        <v/>
      </c>
      <c r="BA4" s="34">
        <v>0</v>
      </c>
      <c r="BB4" s="34">
        <v>0</v>
      </c>
      <c r="BD4" s="34">
        <v>1</v>
      </c>
      <c r="BE4" s="34">
        <v>0</v>
      </c>
      <c r="BF4" s="34">
        <v>0</v>
      </c>
      <c r="BG4" s="34" t="str">
        <v/>
      </c>
      <c r="BH4" s="34" t="str">
        <v/>
      </c>
      <c r="BI4" s="34" t="str">
        <v/>
      </c>
      <c r="BJ4" s="34" t="str">
        <v/>
      </c>
      <c r="BK4" s="34" t="str">
        <v>BOX</v>
      </c>
      <c r="BL4" s="34">
        <v>1</v>
      </c>
      <c r="BM4" s="34" t="str">
        <v/>
      </c>
      <c r="BN4" s="34" t="str">
        <v/>
      </c>
      <c r="BO4" s="34" t="str">
        <v/>
      </c>
      <c r="BP4" s="34" t="str">
        <v/>
      </c>
      <c r="BQ4" s="34" t="str">
        <v/>
      </c>
      <c r="BR4" s="34" t="str">
        <v/>
      </c>
      <c r="BS4" s="34" t="str">
        <v/>
      </c>
      <c r="BT4" s="34" t="str">
        <v/>
      </c>
      <c r="BU4" s="34">
        <v>0</v>
      </c>
      <c r="BV4" s="34">
        <v>2</v>
      </c>
      <c r="BW4" s="34">
        <v>0</v>
      </c>
      <c r="BX4" s="34">
        <v>0</v>
      </c>
      <c r="BY4" s="34">
        <v>0</v>
      </c>
      <c r="BZ4">
        <v>1</v>
      </c>
      <c r="CA4" t="str">
        <v>линии</v>
      </c>
    </row>
    <row r="5" spans="1:79" x14ac:dyDescent="0.3">
      <c r="A5" s="39" t="str">
        <v>ГРЩ-ЖД</v>
      </c>
      <c r="B5" s="42">
        <v>7</v>
      </c>
      <c r="C5" s="42">
        <v>1</v>
      </c>
      <c r="D5" s="75" t="str">
        <v/>
      </c>
      <c r="E5" s="75" t="str">
        <v/>
      </c>
      <c r="F5" s="76" t="str">
        <v/>
      </c>
      <c r="G5" s="47" t="str">
        <v/>
      </c>
      <c r="H5" s="47" t="str">
        <v/>
      </c>
      <c r="I5" s="75" t="str">
        <v/>
      </c>
      <c r="J5" s="76" t="str">
        <v/>
      </c>
      <c r="K5" s="76" t="str">
        <v/>
      </c>
      <c r="L5" s="75" t="str">
        <v/>
      </c>
      <c r="M5" s="49" t="str">
        <v/>
      </c>
      <c r="N5" s="76" t="str">
        <v/>
      </c>
      <c r="O5" s="49" t="str">
        <v/>
      </c>
      <c r="P5" s="77" t="str">
        <v>XT1</v>
      </c>
      <c r="Q5" s="53" t="str">
        <v>ВВГнг(А)-FRLS (3х2,5) L=15-0,41%</v>
      </c>
      <c r="R5" s="54" t="str">
        <v>ЩСПЗ-ЖД.1</v>
      </c>
      <c r="S5" s="55" t="str">
        <v>Щит системы противопожарной защиты Цокольный этаж этаж Пом. №001Т Ввод.1</v>
      </c>
      <c r="T5" s="56">
        <v>1.6</v>
      </c>
      <c r="U5" s="56">
        <v>3.65</v>
      </c>
      <c r="V5" s="42" t="str">
        <v>L2</v>
      </c>
      <c r="W5" s="57" t="str">
        <v/>
      </c>
      <c r="X5" s="58" t="str">
        <v/>
      </c>
      <c r="Y5" s="75" t="str">
        <v/>
      </c>
      <c r="Z5" s="59" t="str">
        <v/>
      </c>
      <c r="AA5" s="61" t="str">
        <v/>
      </c>
      <c r="AB5" s="61">
        <v>25</v>
      </c>
      <c r="AC5" s="61" t="str">
        <v/>
      </c>
      <c r="AD5" s="62" t="str">
        <v>XT1</v>
      </c>
      <c r="AE5" s="62" t="str">
        <v/>
      </c>
      <c r="AF5" s="34" t="str">
        <v/>
      </c>
      <c r="AG5" s="34" t="str">
        <v/>
      </c>
      <c r="AH5" s="34" t="str">
        <v/>
      </c>
      <c r="AI5" s="34" t="str">
        <v/>
      </c>
      <c r="AJ5" s="34" t="str">
        <v/>
      </c>
      <c r="AK5" s="34">
        <v>1</v>
      </c>
      <c r="AL5" s="34" t="str">
        <v>ЩСПЗ-ЖД</v>
      </c>
      <c r="AM5" s="34">
        <v>0</v>
      </c>
      <c r="AN5" s="34">
        <v>0</v>
      </c>
      <c r="AO5" s="34" t="str">
        <v/>
      </c>
      <c r="AP5" s="34" t="str">
        <v/>
      </c>
      <c r="AQ5" s="34" t="str">
        <v/>
      </c>
      <c r="AR5" s="34" t="str">
        <v/>
      </c>
      <c r="AS5" s="34" t="str">
        <v/>
      </c>
      <c r="AT5" s="34" t="str">
        <v/>
      </c>
      <c r="AU5" s="34" t="str">
        <v/>
      </c>
      <c r="AV5" s="34" t="str">
        <v/>
      </c>
      <c r="AW5" s="34" t="str">
        <v/>
      </c>
      <c r="AX5" s="34" t="str">
        <v/>
      </c>
      <c r="AY5" s="34">
        <v>1</v>
      </c>
      <c r="AZ5" s="34" t="str">
        <v/>
      </c>
      <c r="BA5" s="34">
        <v>0</v>
      </c>
      <c r="BB5" s="34">
        <v>10</v>
      </c>
      <c r="BD5" s="34">
        <v>1</v>
      </c>
      <c r="BE5" s="34">
        <v>0</v>
      </c>
      <c r="BF5" s="34">
        <v>0</v>
      </c>
      <c r="BG5" s="34" t="str">
        <v/>
      </c>
      <c r="BH5" s="34" t="str">
        <v/>
      </c>
      <c r="BI5" s="34" t="str">
        <v/>
      </c>
      <c r="BJ5" s="34" t="str">
        <v/>
      </c>
      <c r="BK5" s="34" t="str">
        <v>BOX</v>
      </c>
      <c r="BL5" s="34">
        <v>1</v>
      </c>
      <c r="BM5" s="34" t="str">
        <v/>
      </c>
      <c r="BN5" s="34" t="str">
        <v/>
      </c>
      <c r="BO5" s="34" t="str">
        <v/>
      </c>
      <c r="BP5" s="34" t="str">
        <v/>
      </c>
      <c r="BQ5" s="34" t="str">
        <v>3х2,5</v>
      </c>
      <c r="BR5" s="34">
        <v>1</v>
      </c>
      <c r="BS5" s="34" t="str">
        <v/>
      </c>
      <c r="BT5" s="34" t="str">
        <v/>
      </c>
      <c r="BU5" s="34">
        <v>0</v>
      </c>
      <c r="BV5" s="34">
        <v>3</v>
      </c>
      <c r="BW5" s="34">
        <v>1</v>
      </c>
      <c r="BX5" s="34">
        <v>0</v>
      </c>
      <c r="BY5" s="34">
        <v>0</v>
      </c>
      <c r="BZ5">
        <v>1</v>
      </c>
      <c r="CA5" t="str">
        <v>линии</v>
      </c>
    </row>
    <row r="6" spans="1:79" x14ac:dyDescent="0.3">
      <c r="A6" s="39" t="str">
        <v>ГРЩ-ЖД</v>
      </c>
      <c r="B6" s="42">
        <v>8</v>
      </c>
      <c r="C6" s="42">
        <v>1</v>
      </c>
      <c r="D6" s="75" t="str">
        <v/>
      </c>
      <c r="E6" s="75" t="str">
        <v/>
      </c>
      <c r="F6" s="76" t="str">
        <v/>
      </c>
      <c r="G6" s="47" t="str">
        <v/>
      </c>
      <c r="H6" s="47" t="str">
        <v/>
      </c>
      <c r="I6" s="75" t="str">
        <v/>
      </c>
      <c r="J6" s="76" t="str">
        <v/>
      </c>
      <c r="K6" s="76" t="str">
        <v/>
      </c>
      <c r="L6" s="75" t="str">
        <v/>
      </c>
      <c r="M6" s="49" t="str">
        <v/>
      </c>
      <c r="N6" s="76" t="str">
        <v/>
      </c>
      <c r="O6" s="49" t="str">
        <v/>
      </c>
      <c r="P6" s="77" t="str">
        <v>XT2</v>
      </c>
      <c r="Q6" s="53" t="str">
        <v>ВВГнг(А)-FRLS (3х2,5) L=15-0%</v>
      </c>
      <c r="R6" s="54" t="str">
        <v>ЩСПЗ-ЖД.2</v>
      </c>
      <c r="S6" s="55" t="str">
        <v>Щит системы противопожарной защиты Цокольный этаж этаж Пом. №001Т Ввод.2</v>
      </c>
      <c r="T6" s="56">
        <v>0</v>
      </c>
      <c r="U6" s="56">
        <v>0</v>
      </c>
      <c r="V6" s="42" t="str">
        <v>L3</v>
      </c>
      <c r="W6" s="57" t="str">
        <v/>
      </c>
      <c r="X6" s="58" t="str">
        <v/>
      </c>
      <c r="Y6" s="75" t="str">
        <v/>
      </c>
      <c r="Z6" s="59" t="str">
        <v/>
      </c>
      <c r="AA6" s="61" t="str">
        <v/>
      </c>
      <c r="AB6" s="61">
        <v>25</v>
      </c>
      <c r="AC6" s="61" t="str">
        <v/>
      </c>
      <c r="AD6" s="62" t="str">
        <v>XT2</v>
      </c>
      <c r="AE6" s="62" t="str">
        <v>нет мощности</v>
      </c>
      <c r="AF6" s="34" t="str">
        <v/>
      </c>
      <c r="AG6" s="34" t="str">
        <v/>
      </c>
      <c r="AH6" s="34" t="str">
        <v/>
      </c>
      <c r="AI6" s="34" t="str">
        <v/>
      </c>
      <c r="AJ6" s="34" t="str">
        <v/>
      </c>
      <c r="AK6" s="34">
        <v>1</v>
      </c>
      <c r="AL6" s="34" t="str">
        <v>ЩСПЗ-ЖД</v>
      </c>
      <c r="AM6" s="34">
        <v>0</v>
      </c>
      <c r="AN6" s="34">
        <v>0</v>
      </c>
      <c r="AO6" s="34" t="str">
        <v/>
      </c>
      <c r="AP6" s="34" t="str">
        <v/>
      </c>
      <c r="AQ6" s="34" t="str">
        <v/>
      </c>
      <c r="AR6" s="34" t="str">
        <v/>
      </c>
      <c r="AS6" s="34" t="str">
        <v/>
      </c>
      <c r="AT6" s="34" t="str">
        <v/>
      </c>
      <c r="AU6" s="34" t="str">
        <v/>
      </c>
      <c r="AV6" s="34" t="str">
        <v/>
      </c>
      <c r="AW6" s="34" t="str">
        <v/>
      </c>
      <c r="AX6" s="34" t="str">
        <v/>
      </c>
      <c r="AY6" s="34">
        <v>1</v>
      </c>
      <c r="AZ6" s="34" t="str">
        <v/>
      </c>
      <c r="BA6" s="34">
        <v>0</v>
      </c>
      <c r="BB6" s="34">
        <v>10</v>
      </c>
      <c r="BD6" s="34">
        <v>1</v>
      </c>
      <c r="BE6" s="34">
        <v>0</v>
      </c>
      <c r="BF6" s="34">
        <v>0</v>
      </c>
      <c r="BG6" s="34" t="str">
        <v/>
      </c>
      <c r="BH6" s="34" t="str">
        <v/>
      </c>
      <c r="BI6" s="34" t="str">
        <v/>
      </c>
      <c r="BJ6" s="34" t="str">
        <v/>
      </c>
      <c r="BK6" s="34" t="str">
        <v>BOX</v>
      </c>
      <c r="BL6" s="34">
        <v>1</v>
      </c>
      <c r="BM6" s="34" t="str">
        <v/>
      </c>
      <c r="BN6" s="34" t="str">
        <v/>
      </c>
      <c r="BO6" s="34" t="str">
        <v/>
      </c>
      <c r="BP6" s="34" t="str">
        <v/>
      </c>
      <c r="BQ6" s="34" t="str">
        <v>3х2,5</v>
      </c>
      <c r="BR6" s="34" t="str">
        <v/>
      </c>
      <c r="BS6" s="34" t="str">
        <v/>
      </c>
      <c r="BT6" s="34" t="str">
        <v/>
      </c>
      <c r="BU6" s="34">
        <v>1</v>
      </c>
      <c r="BV6" s="34">
        <v>4</v>
      </c>
      <c r="BW6" s="34">
        <v>1</v>
      </c>
      <c r="BX6" s="34">
        <v>0</v>
      </c>
      <c r="BY6" s="34">
        <v>0</v>
      </c>
      <c r="BZ6">
        <v>1</v>
      </c>
      <c r="CA6" t="str">
        <v>линии</v>
      </c>
    </row>
    <row r="7" spans="1:79" x14ac:dyDescent="0.3">
      <c r="A7" s="39" t="str">
        <v>ГРЩ-ЖД</v>
      </c>
      <c r="B7" s="42">
        <v>19</v>
      </c>
      <c r="C7" s="42">
        <v>2</v>
      </c>
      <c r="D7" s="75" t="str">
        <v/>
      </c>
      <c r="E7" s="75" t="str">
        <v/>
      </c>
      <c r="F7" s="76" t="str">
        <v/>
      </c>
      <c r="G7" s="47" t="str">
        <v/>
      </c>
      <c r="H7" s="47" t="str">
        <v/>
      </c>
      <c r="I7" s="75" t="str">
        <v/>
      </c>
      <c r="J7" s="76" t="str">
        <v/>
      </c>
      <c r="K7" s="76" t="str">
        <v/>
      </c>
      <c r="L7" s="75" t="str">
        <v/>
      </c>
      <c r="M7" s="49" t="str">
        <v/>
      </c>
      <c r="N7" s="76" t="str">
        <v/>
      </c>
      <c r="O7" s="49" t="str">
        <v/>
      </c>
      <c r="P7" s="77" t="str">
        <v/>
      </c>
      <c r="Q7" s="53" t="str">
        <v>ВВГнг(А)-LS (5х6) L=15-0,24%</v>
      </c>
      <c r="R7" s="54" t="str">
        <v>ЩОВ-01</v>
      </c>
      <c r="S7" s="55" t="str">
        <v>Щит вентиляции ЩОВ-01 Цокольный этаж этаж Пом. №0.001Тб</v>
      </c>
      <c r="T7" s="56">
        <v>13.172999999999996</v>
      </c>
      <c r="U7" s="56">
        <v>9.98</v>
      </c>
      <c r="V7" s="42" t="str">
        <v>L1,L2,L3</v>
      </c>
      <c r="W7" s="57" t="str">
        <v/>
      </c>
      <c r="X7" s="58" t="str">
        <v/>
      </c>
      <c r="Y7" s="75" t="str">
        <v/>
      </c>
      <c r="Z7" s="59" t="str">
        <v/>
      </c>
      <c r="AA7" s="61" t="str">
        <v/>
      </c>
      <c r="AB7" s="61">
        <v>32</v>
      </c>
      <c r="AC7" s="61" t="str">
        <v/>
      </c>
      <c r="AD7" s="62" t="str">
        <v/>
      </c>
      <c r="AE7" s="62" t="str">
        <v/>
      </c>
      <c r="AF7" s="34" t="str">
        <v/>
      </c>
      <c r="AG7" s="34" t="str">
        <v/>
      </c>
      <c r="AH7" s="34" t="str">
        <v/>
      </c>
      <c r="AI7" s="34" t="str">
        <v/>
      </c>
      <c r="AJ7" s="34" t="str">
        <v/>
      </c>
      <c r="AK7" s="34">
        <v>3</v>
      </c>
      <c r="AL7" s="34" t="str">
        <v>ЩОВ-01</v>
      </c>
      <c r="AM7" s="34">
        <v>0</v>
      </c>
      <c r="AN7" s="34">
        <v>0</v>
      </c>
      <c r="AO7" s="34" t="str">
        <v/>
      </c>
      <c r="AP7" s="34" t="str">
        <v/>
      </c>
      <c r="AQ7" s="34" t="str">
        <v/>
      </c>
      <c r="AR7" s="34" t="str">
        <v/>
      </c>
      <c r="AS7" s="34" t="str">
        <v/>
      </c>
      <c r="AT7" s="34" t="str">
        <v/>
      </c>
      <c r="AU7" s="34" t="str">
        <v/>
      </c>
      <c r="AV7" s="34" t="str">
        <v/>
      </c>
      <c r="AW7" s="34" t="str">
        <v/>
      </c>
      <c r="AX7" s="34" t="str">
        <v/>
      </c>
      <c r="AY7" s="34">
        <v>1</v>
      </c>
      <c r="AZ7" s="34" t="str">
        <v/>
      </c>
      <c r="BA7" s="34">
        <v>0</v>
      </c>
      <c r="BB7" s="34">
        <v>25</v>
      </c>
      <c r="BD7" s="34">
        <v>1</v>
      </c>
      <c r="BE7" s="34">
        <v>0</v>
      </c>
      <c r="BF7" s="34">
        <v>0</v>
      </c>
      <c r="BG7" s="34" t="str">
        <v/>
      </c>
      <c r="BH7" s="34" t="str">
        <v/>
      </c>
      <c r="BI7" s="34" t="str">
        <v/>
      </c>
      <c r="BJ7" s="34" t="str">
        <v/>
      </c>
      <c r="BK7" s="34" t="str">
        <v>BOX</v>
      </c>
      <c r="BL7" s="34">
        <v>1</v>
      </c>
      <c r="BM7" s="34" t="str">
        <v/>
      </c>
      <c r="BN7" s="34" t="str">
        <v/>
      </c>
      <c r="BO7" s="34" t="str">
        <v/>
      </c>
      <c r="BP7" s="34" t="str">
        <v/>
      </c>
      <c r="BQ7" s="34" t="str">
        <v>5х6</v>
      </c>
      <c r="BR7" s="34">
        <v>2</v>
      </c>
      <c r="BS7" s="34" t="str">
        <v/>
      </c>
      <c r="BT7" s="34" t="str">
        <v/>
      </c>
      <c r="BU7" s="34">
        <v>0</v>
      </c>
      <c r="BV7" s="34">
        <v>5</v>
      </c>
      <c r="BW7" s="34">
        <v>1</v>
      </c>
      <c r="BX7" s="34">
        <v>2</v>
      </c>
      <c r="BY7" s="34" t="str">
        <v/>
      </c>
      <c r="BZ7">
        <v>1</v>
      </c>
      <c r="CA7" t="str">
        <v>линии</v>
      </c>
    </row>
    <row r="8" spans="1:79" x14ac:dyDescent="0.3">
      <c r="A8" s="39" t="str">
        <v>ГРЩ-ЖД</v>
      </c>
      <c r="B8" s="42">
        <v>20</v>
      </c>
      <c r="C8" s="42">
        <v>2</v>
      </c>
      <c r="D8" s="75" t="str">
        <v/>
      </c>
      <c r="E8" s="75" t="str">
        <v/>
      </c>
      <c r="F8" s="76" t="str">
        <v/>
      </c>
      <c r="G8" s="47" t="str">
        <v/>
      </c>
      <c r="H8" s="47" t="str">
        <v/>
      </c>
      <c r="I8" s="75" t="str">
        <v/>
      </c>
      <c r="J8" s="76" t="str">
        <v/>
      </c>
      <c r="K8" s="76" t="str">
        <v/>
      </c>
      <c r="L8" s="75" t="str">
        <v/>
      </c>
      <c r="M8" s="49" t="str">
        <v/>
      </c>
      <c r="N8" s="76" t="str">
        <v/>
      </c>
      <c r="O8" s="49" t="str">
        <v/>
      </c>
      <c r="P8" s="77" t="str">
        <v>XT4</v>
      </c>
      <c r="Q8" s="53" t="str">
        <v>5хВВГнг(А)-LS  (1х185) L=58-0,5%</v>
      </c>
      <c r="R8" s="54" t="str">
        <v>ЩОВ-001</v>
      </c>
      <c r="S8" s="55" t="str">
        <v>Щит вентиляции ЩОВ-001 Подвальный этаж этаж Пом. №00.006Т</v>
      </c>
      <c r="T8" s="56">
        <v>211.22</v>
      </c>
      <c r="U8" s="56">
        <v>146.37</v>
      </c>
      <c r="V8" s="42" t="str">
        <v>L1,L2,L3</v>
      </c>
      <c r="W8" s="57" t="str">
        <v/>
      </c>
      <c r="X8" s="58" t="str">
        <v/>
      </c>
      <c r="Y8" s="75" t="str">
        <v/>
      </c>
      <c r="Z8" s="59" t="str">
        <v/>
      </c>
      <c r="AA8" s="61" t="str">
        <v/>
      </c>
      <c r="AB8" s="61">
        <v>500</v>
      </c>
      <c r="AC8" s="61" t="str">
        <v/>
      </c>
      <c r="AD8" s="62" t="str">
        <v>XT4</v>
      </c>
      <c r="AE8" s="62" t="str">
        <v/>
      </c>
      <c r="AF8" s="34" t="str">
        <v/>
      </c>
      <c r="AG8" s="34" t="str">
        <v/>
      </c>
      <c r="AH8" s="34" t="str">
        <v/>
      </c>
      <c r="AI8" s="34" t="str">
        <v/>
      </c>
      <c r="AJ8" s="34" t="str">
        <v/>
      </c>
      <c r="AK8" s="34">
        <v>3</v>
      </c>
      <c r="AL8" s="34" t="str">
        <v>ЩОВ-001</v>
      </c>
      <c r="AM8" s="34">
        <v>0</v>
      </c>
      <c r="AN8" s="34">
        <v>0</v>
      </c>
      <c r="AO8" s="34" t="str">
        <v/>
      </c>
      <c r="AP8" s="34" t="str">
        <v/>
      </c>
      <c r="AQ8" s="34" t="str">
        <v/>
      </c>
      <c r="AR8" s="34" t="str">
        <v/>
      </c>
      <c r="AS8" s="34" t="str">
        <v/>
      </c>
      <c r="AT8" s="34" t="str">
        <v/>
      </c>
      <c r="AU8" s="34" t="str">
        <v/>
      </c>
      <c r="AV8" s="34" t="str">
        <v/>
      </c>
      <c r="AW8" s="34" t="str">
        <v/>
      </c>
      <c r="AX8" s="34" t="str">
        <v/>
      </c>
      <c r="AY8" s="34">
        <v>1</v>
      </c>
      <c r="AZ8" s="34" t="str">
        <v/>
      </c>
      <c r="BA8" s="34">
        <v>0</v>
      </c>
      <c r="BB8" s="34">
        <v>400</v>
      </c>
      <c r="BD8" s="34">
        <v>1</v>
      </c>
      <c r="BE8" s="34">
        <v>0</v>
      </c>
      <c r="BF8" s="34">
        <v>0</v>
      </c>
      <c r="BG8" s="34" t="str">
        <v/>
      </c>
      <c r="BH8" s="34" t="str">
        <v/>
      </c>
      <c r="BI8" s="34" t="str">
        <v/>
      </c>
      <c r="BJ8" s="34" t="str">
        <v/>
      </c>
      <c r="BK8" s="34" t="str">
        <v>BOX</v>
      </c>
      <c r="BL8" s="34">
        <v>1</v>
      </c>
      <c r="BM8" s="34" t="str">
        <v/>
      </c>
      <c r="BN8" s="34" t="str">
        <v/>
      </c>
      <c r="BO8" s="34" t="str">
        <v/>
      </c>
      <c r="BP8" s="34" t="str">
        <v/>
      </c>
      <c r="BQ8" s="34" t="str">
        <v>1х185</v>
      </c>
      <c r="BR8" s="34">
        <v>3</v>
      </c>
      <c r="BS8" s="34" t="str">
        <v/>
      </c>
      <c r="BT8" s="34" t="str">
        <v/>
      </c>
      <c r="BU8" s="34">
        <v>0</v>
      </c>
      <c r="BV8" s="34">
        <v>6</v>
      </c>
      <c r="BW8" s="34">
        <v>1</v>
      </c>
      <c r="BX8" s="34">
        <v>0</v>
      </c>
      <c r="BY8" s="34" t="str">
        <v/>
      </c>
      <c r="BZ8">
        <v>1</v>
      </c>
      <c r="CA8" t="str">
        <v>линии</v>
      </c>
    </row>
    <row r="9" spans="1:79" x14ac:dyDescent="0.3">
      <c r="A9" s="39" t="str">
        <v>ГРЩ-ЖД</v>
      </c>
      <c r="B9" s="42">
        <v>21</v>
      </c>
      <c r="C9" s="42">
        <v>2</v>
      </c>
      <c r="D9" s="75" t="str">
        <v/>
      </c>
      <c r="E9" s="75" t="str">
        <v/>
      </c>
      <c r="F9" s="76" t="str">
        <v/>
      </c>
      <c r="G9" s="47" t="str">
        <v/>
      </c>
      <c r="H9" s="47" t="str">
        <v/>
      </c>
      <c r="I9" s="75" t="str">
        <v/>
      </c>
      <c r="J9" s="76" t="str">
        <v/>
      </c>
      <c r="K9" s="76" t="str">
        <v/>
      </c>
      <c r="L9" s="75" t="str">
        <v/>
      </c>
      <c r="M9" s="49" t="str">
        <v/>
      </c>
      <c r="N9" s="76" t="str">
        <v/>
      </c>
      <c r="O9" s="49" t="str">
        <v/>
      </c>
      <c r="P9" s="77" t="str">
        <v/>
      </c>
      <c r="Q9" s="53" t="str">
        <v>ВВГнг(А)-LS (5х4) L=46-0,66%</v>
      </c>
      <c r="R9" s="54" t="str">
        <v>ЩОВ-002</v>
      </c>
      <c r="S9" s="55" t="str">
        <v>Щит вентиляции ЩОВ-002 Подвальный этаж этаж Пом. №00.003Т</v>
      </c>
      <c r="T9" s="56">
        <v>6.99</v>
      </c>
      <c r="U9" s="56">
        <v>6.16</v>
      </c>
      <c r="V9" s="42" t="str">
        <v>L1,L2,L3</v>
      </c>
      <c r="W9" s="57" t="str">
        <v/>
      </c>
      <c r="X9" s="58" t="str">
        <v/>
      </c>
      <c r="Y9" s="75" t="str">
        <v/>
      </c>
      <c r="Z9" s="59" t="str">
        <v/>
      </c>
      <c r="AA9" s="61" t="str">
        <v/>
      </c>
      <c r="AB9" s="61">
        <v>32</v>
      </c>
      <c r="AC9" s="61" t="str">
        <v/>
      </c>
      <c r="AD9" s="62" t="str">
        <v/>
      </c>
      <c r="AE9" s="62" t="str">
        <v/>
      </c>
      <c r="AF9" s="34" t="str">
        <v/>
      </c>
      <c r="AG9" s="34" t="str">
        <v/>
      </c>
      <c r="AH9" s="34" t="str">
        <v/>
      </c>
      <c r="AI9" s="34" t="str">
        <v/>
      </c>
      <c r="AJ9" s="34" t="str">
        <v/>
      </c>
      <c r="AK9" s="34">
        <v>3</v>
      </c>
      <c r="AL9" s="34" t="str">
        <v>ЩОВ-002</v>
      </c>
      <c r="AM9" s="34">
        <v>0</v>
      </c>
      <c r="AN9" s="34">
        <v>0</v>
      </c>
      <c r="AO9" s="34" t="str">
        <v/>
      </c>
      <c r="AP9" s="34" t="str">
        <v/>
      </c>
      <c r="AQ9" s="34" t="str">
        <v/>
      </c>
      <c r="AR9" s="34" t="str">
        <v/>
      </c>
      <c r="AS9" s="34" t="str">
        <v/>
      </c>
      <c r="AT9" s="34" t="str">
        <v/>
      </c>
      <c r="AU9" s="34" t="str">
        <v/>
      </c>
      <c r="AV9" s="34" t="str">
        <v/>
      </c>
      <c r="AW9" s="34" t="str">
        <v/>
      </c>
      <c r="AX9" s="34" t="str">
        <v/>
      </c>
      <c r="AY9" s="34">
        <v>1</v>
      </c>
      <c r="AZ9" s="34" t="str">
        <v/>
      </c>
      <c r="BA9" s="34">
        <v>0</v>
      </c>
      <c r="BB9" s="34">
        <v>16</v>
      </c>
      <c r="BD9" s="34">
        <v>1</v>
      </c>
      <c r="BE9" s="34">
        <v>0</v>
      </c>
      <c r="BF9" s="34">
        <v>0</v>
      </c>
      <c r="BG9" s="34" t="str">
        <v/>
      </c>
      <c r="BH9" s="34" t="str">
        <v/>
      </c>
      <c r="BI9" s="34" t="str">
        <v/>
      </c>
      <c r="BJ9" s="34" t="str">
        <v/>
      </c>
      <c r="BK9" s="34" t="str">
        <v>BOX</v>
      </c>
      <c r="BL9" s="34">
        <v>1</v>
      </c>
      <c r="BM9" s="34" t="str">
        <v/>
      </c>
      <c r="BN9" s="34" t="str">
        <v/>
      </c>
      <c r="BO9" s="34" t="str">
        <v/>
      </c>
      <c r="BP9" s="34" t="str">
        <v/>
      </c>
      <c r="BQ9" s="34" t="str">
        <v>5х4</v>
      </c>
      <c r="BR9" s="34">
        <v>4</v>
      </c>
      <c r="BS9" s="34" t="str">
        <v/>
      </c>
      <c r="BT9" s="34" t="str">
        <v/>
      </c>
      <c r="BU9" s="34">
        <v>0</v>
      </c>
      <c r="BV9" s="34">
        <v>7</v>
      </c>
      <c r="BW9" s="34">
        <v>1</v>
      </c>
      <c r="BX9" s="34">
        <v>2</v>
      </c>
      <c r="BY9" s="34" t="str">
        <v/>
      </c>
      <c r="BZ9">
        <v>1</v>
      </c>
      <c r="CA9" t="str">
        <v>линии</v>
      </c>
    </row>
    <row r="10" spans="1:79" x14ac:dyDescent="0.3">
      <c r="A10" s="39" t="str">
        <v>ГРЩ-ЖД</v>
      </c>
      <c r="B10" s="42">
        <v>22</v>
      </c>
      <c r="C10" s="42">
        <v>2</v>
      </c>
      <c r="D10" s="75" t="str">
        <v/>
      </c>
      <c r="E10" s="75" t="str">
        <v/>
      </c>
      <c r="F10" s="76" t="str">
        <v/>
      </c>
      <c r="G10" s="47" t="str">
        <v/>
      </c>
      <c r="H10" s="47" t="str">
        <v/>
      </c>
      <c r="I10" s="75" t="str">
        <v/>
      </c>
      <c r="J10" s="76" t="str">
        <v/>
      </c>
      <c r="K10" s="76" t="str">
        <v/>
      </c>
      <c r="L10" s="75" t="str">
        <v/>
      </c>
      <c r="M10" s="49" t="str">
        <v/>
      </c>
      <c r="N10" s="76" t="str">
        <v/>
      </c>
      <c r="O10" s="49" t="str">
        <v/>
      </c>
      <c r="P10" s="77" t="str">
        <v/>
      </c>
      <c r="Q10" s="53" t="str">
        <v>ВВГнг(А)-LS (5х4) L=56-1,02%</v>
      </c>
      <c r="R10" s="54" t="str">
        <v>ЩОВ-2</v>
      </c>
      <c r="S10" s="55" t="str">
        <v>Щит вентиляции ЩОВ-2 Техэтаж этаж Пом. №3.001Т</v>
      </c>
      <c r="T10" s="56">
        <v>11.093000000000002</v>
      </c>
      <c r="U10" s="56">
        <v>7.8</v>
      </c>
      <c r="V10" s="42" t="str">
        <v>L1,L2,L3</v>
      </c>
      <c r="W10" s="57" t="str">
        <v/>
      </c>
      <c r="X10" s="58" t="str">
        <v/>
      </c>
      <c r="Y10" s="75" t="str">
        <v/>
      </c>
      <c r="Z10" s="59" t="str">
        <v/>
      </c>
      <c r="AA10" s="61" t="str">
        <v/>
      </c>
      <c r="AB10" s="61">
        <v>32</v>
      </c>
      <c r="AC10" s="61" t="str">
        <v/>
      </c>
      <c r="AD10" s="62" t="str">
        <v/>
      </c>
      <c r="AE10" s="62" t="str">
        <v/>
      </c>
      <c r="AF10" s="34" t="str">
        <v/>
      </c>
      <c r="AG10" s="34" t="str">
        <v/>
      </c>
      <c r="AH10" s="34" t="str">
        <v/>
      </c>
      <c r="AI10" s="34" t="str">
        <v/>
      </c>
      <c r="AJ10" s="34" t="str">
        <v/>
      </c>
      <c r="AK10" s="34">
        <v>3</v>
      </c>
      <c r="AL10" s="34" t="str">
        <v>ЩОВ-2</v>
      </c>
      <c r="AM10" s="34">
        <v>0</v>
      </c>
      <c r="AN10" s="34">
        <v>0</v>
      </c>
      <c r="AO10" s="34" t="str">
        <v/>
      </c>
      <c r="AP10" s="34" t="str">
        <v/>
      </c>
      <c r="AQ10" s="34" t="str">
        <v/>
      </c>
      <c r="AR10" s="34" t="str">
        <v/>
      </c>
      <c r="AS10" s="34" t="str">
        <v/>
      </c>
      <c r="AT10" s="34" t="str">
        <v/>
      </c>
      <c r="AU10" s="34" t="str">
        <v/>
      </c>
      <c r="AV10" s="34" t="str">
        <v/>
      </c>
      <c r="AW10" s="34" t="str">
        <v/>
      </c>
      <c r="AX10" s="34" t="str">
        <v/>
      </c>
      <c r="AY10" s="34">
        <v>1</v>
      </c>
      <c r="AZ10" s="34" t="str">
        <v/>
      </c>
      <c r="BA10" s="34">
        <v>0</v>
      </c>
      <c r="BB10" s="34">
        <v>20</v>
      </c>
      <c r="BD10" s="34">
        <v>1</v>
      </c>
      <c r="BE10" s="34">
        <v>0</v>
      </c>
      <c r="BF10" s="34">
        <v>0</v>
      </c>
      <c r="BG10" s="34" t="str">
        <v/>
      </c>
      <c r="BH10" s="34" t="str">
        <v/>
      </c>
      <c r="BI10" s="34" t="str">
        <v/>
      </c>
      <c r="BJ10" s="34" t="str">
        <v/>
      </c>
      <c r="BK10" s="34" t="str">
        <v>BOX</v>
      </c>
      <c r="BL10" s="34">
        <v>1</v>
      </c>
      <c r="BM10" s="34" t="str">
        <v/>
      </c>
      <c r="BN10" s="34" t="str">
        <v/>
      </c>
      <c r="BO10" s="34" t="str">
        <v/>
      </c>
      <c r="BP10" s="34" t="str">
        <v/>
      </c>
      <c r="BQ10" s="34" t="str">
        <v>5х4</v>
      </c>
      <c r="BR10" s="34" t="str">
        <v/>
      </c>
      <c r="BS10" s="34" t="str">
        <v/>
      </c>
      <c r="BT10" s="34" t="str">
        <v/>
      </c>
      <c r="BU10" s="34">
        <v>0</v>
      </c>
      <c r="BV10" s="34">
        <v>8</v>
      </c>
      <c r="BW10" s="34">
        <v>1</v>
      </c>
      <c r="BX10" s="34">
        <v>2</v>
      </c>
      <c r="BY10" s="34" t="str">
        <v/>
      </c>
      <c r="BZ10">
        <v>1</v>
      </c>
      <c r="CA10" t="str">
        <v>линии</v>
      </c>
    </row>
    <row r="11" spans="1:79" x14ac:dyDescent="0.3">
      <c r="A11" s="39" t="str">
        <v>ГРЩ-ЖД</v>
      </c>
      <c r="B11" s="42">
        <v>23</v>
      </c>
      <c r="C11" s="42">
        <v>2</v>
      </c>
      <c r="D11" s="75" t="str">
        <v/>
      </c>
      <c r="E11" s="75" t="str">
        <v/>
      </c>
      <c r="F11" s="76" t="str">
        <v/>
      </c>
      <c r="G11" s="47" t="str">
        <v/>
      </c>
      <c r="H11" s="47" t="str">
        <v/>
      </c>
      <c r="I11" s="75" t="str">
        <v/>
      </c>
      <c r="J11" s="76" t="str">
        <v/>
      </c>
      <c r="K11" s="76" t="str">
        <v/>
      </c>
      <c r="L11" s="75" t="str">
        <v/>
      </c>
      <c r="M11" s="49" t="str">
        <v/>
      </c>
      <c r="N11" s="76" t="str">
        <v/>
      </c>
      <c r="O11" s="49" t="str">
        <v/>
      </c>
      <c r="P11" s="77" t="str">
        <v/>
      </c>
      <c r="Q11" s="53" t="str">
        <v/>
      </c>
      <c r="R11" s="54" t="str">
        <v>ЩО-2</v>
      </c>
      <c r="S11" s="55" t="str">
        <v>Щит освещения ЩО-2 Тех. этаж этаж Пом. №3.001</v>
      </c>
      <c r="T11" s="56">
        <v>0</v>
      </c>
      <c r="U11" s="56">
        <v>0</v>
      </c>
      <c r="V11" s="42" t="str">
        <v>L1,L2,L3</v>
      </c>
      <c r="W11" s="57" t="str">
        <v/>
      </c>
      <c r="X11" s="58" t="str">
        <v/>
      </c>
      <c r="Y11" s="75" t="str">
        <v/>
      </c>
      <c r="Z11" s="59" t="str">
        <v/>
      </c>
      <c r="AA11" s="61" t="str">
        <v/>
      </c>
      <c r="AB11" s="61">
        <v>16</v>
      </c>
      <c r="AC11" s="61" t="str">
        <v/>
      </c>
      <c r="AD11" s="62" t="str">
        <v/>
      </c>
      <c r="AE11" s="62" t="str">
        <v>нет мощности</v>
      </c>
      <c r="AF11" s="34" t="str">
        <v/>
      </c>
      <c r="AG11" s="34" t="str">
        <v/>
      </c>
      <c r="AH11" s="34" t="str">
        <v/>
      </c>
      <c r="AI11" s="34" t="str">
        <v/>
      </c>
      <c r="AJ11" s="34" t="str">
        <v/>
      </c>
      <c r="AK11" s="34">
        <v>3</v>
      </c>
      <c r="AL11" s="34" t="str">
        <v>ЩО-2</v>
      </c>
      <c r="AM11" s="34">
        <v>0</v>
      </c>
      <c r="AN11" s="34">
        <v>0</v>
      </c>
      <c r="AO11" s="34" t="str">
        <v/>
      </c>
      <c r="AP11" s="34" t="str">
        <v/>
      </c>
      <c r="AQ11" s="34" t="str">
        <v/>
      </c>
      <c r="AR11" s="34" t="str">
        <v/>
      </c>
      <c r="AS11" s="34" t="str">
        <v/>
      </c>
      <c r="AT11" s="34" t="str">
        <v/>
      </c>
      <c r="AU11" s="34" t="str">
        <v/>
      </c>
      <c r="AV11" s="34" t="str">
        <v/>
      </c>
      <c r="AW11" s="34" t="str">
        <v/>
      </c>
      <c r="AX11" s="34" t="str">
        <v/>
      </c>
      <c r="AY11" s="34">
        <v>0</v>
      </c>
      <c r="AZ11" s="34" t="str">
        <v/>
      </c>
      <c r="BA11" s="34">
        <v>0</v>
      </c>
      <c r="BB11" s="34">
        <v>0</v>
      </c>
      <c r="BD11" s="34">
        <v>1</v>
      </c>
      <c r="BE11" s="34">
        <v>0</v>
      </c>
      <c r="BF11" s="34">
        <v>0</v>
      </c>
      <c r="BG11" s="34" t="str">
        <v/>
      </c>
      <c r="BH11" s="34" t="str">
        <v/>
      </c>
      <c r="BI11" s="34" t="str">
        <v/>
      </c>
      <c r="BJ11" s="34" t="str">
        <v/>
      </c>
      <c r="BK11" s="34" t="str">
        <v>BOX</v>
      </c>
      <c r="BL11" s="34">
        <v>1</v>
      </c>
      <c r="BM11" s="34" t="str">
        <v/>
      </c>
      <c r="BN11" s="34" t="str">
        <v/>
      </c>
      <c r="BO11" s="34" t="str">
        <v/>
      </c>
      <c r="BP11" s="34" t="str">
        <v/>
      </c>
      <c r="BQ11" s="34" t="str">
        <v/>
      </c>
      <c r="BR11" s="34" t="str">
        <v/>
      </c>
      <c r="BS11" s="34" t="str">
        <v/>
      </c>
      <c r="BT11" s="34" t="str">
        <v/>
      </c>
      <c r="BU11" s="34">
        <v>1</v>
      </c>
      <c r="BV11" s="34">
        <v>9</v>
      </c>
      <c r="BW11" s="34">
        <v>0</v>
      </c>
      <c r="BX11" s="34">
        <v>0</v>
      </c>
      <c r="BY11" s="34" t="str">
        <v/>
      </c>
      <c r="BZ11">
        <v>1</v>
      </c>
      <c r="CA11" t="str">
        <v>линии</v>
      </c>
    </row>
    <row r="12" spans="1:79" x14ac:dyDescent="0.3">
      <c r="A12" s="39" t="str">
        <v>ГРЩ-ЖД</v>
      </c>
      <c r="B12" s="42">
        <v>24</v>
      </c>
      <c r="C12" s="42">
        <v>2</v>
      </c>
      <c r="D12" s="75" t="str">
        <v/>
      </c>
      <c r="E12" s="75" t="str">
        <v/>
      </c>
      <c r="F12" s="76" t="str">
        <v/>
      </c>
      <c r="G12" s="47" t="str">
        <v/>
      </c>
      <c r="H12" s="47" t="str">
        <v/>
      </c>
      <c r="I12" s="75" t="str">
        <v/>
      </c>
      <c r="J12" s="76" t="str">
        <v/>
      </c>
      <c r="K12" s="76" t="str">
        <v/>
      </c>
      <c r="L12" s="75" t="str">
        <v/>
      </c>
      <c r="M12" s="49" t="str">
        <v/>
      </c>
      <c r="N12" s="76" t="str">
        <v/>
      </c>
      <c r="O12" s="49" t="str">
        <v/>
      </c>
      <c r="P12" s="77" t="str">
        <v/>
      </c>
      <c r="Q12" s="53" t="str">
        <v>ВВГнг(А)-LS (5х4) L=41-1,57%</v>
      </c>
      <c r="R12" s="54" t="str">
        <v>ЩР-001</v>
      </c>
      <c r="S12" s="55" t="str">
        <v>Щит распределительный ЩР-001 Подвальный этаж этаж Пом. №00.004Т</v>
      </c>
      <c r="T12" s="56">
        <v>11.860000000000001</v>
      </c>
      <c r="U12" s="56">
        <v>16.380000000000003</v>
      </c>
      <c r="V12" s="42" t="str">
        <v>L1,L2,L3</v>
      </c>
      <c r="W12" s="57" t="str">
        <v/>
      </c>
      <c r="X12" s="58" t="str">
        <v/>
      </c>
      <c r="Y12" s="75" t="str">
        <v/>
      </c>
      <c r="Z12" s="59" t="str">
        <v/>
      </c>
      <c r="AA12" s="61" t="str">
        <v/>
      </c>
      <c r="AB12" s="61">
        <v>32</v>
      </c>
      <c r="AC12" s="61" t="str">
        <v/>
      </c>
      <c r="AD12" s="62" t="str">
        <v/>
      </c>
      <c r="AE12" s="62" t="str">
        <v/>
      </c>
      <c r="AF12" s="34" t="str">
        <v/>
      </c>
      <c r="AG12" s="34" t="str">
        <v/>
      </c>
      <c r="AH12" s="34" t="str">
        <v/>
      </c>
      <c r="AI12" s="34" t="str">
        <v/>
      </c>
      <c r="AJ12" s="34" t="str">
        <v/>
      </c>
      <c r="AK12" s="34">
        <v>3</v>
      </c>
      <c r="AL12" s="34" t="str">
        <v>ЩР-001</v>
      </c>
      <c r="AM12" s="34">
        <v>0</v>
      </c>
      <c r="AN12" s="34">
        <v>0</v>
      </c>
      <c r="AO12" s="34" t="str">
        <v/>
      </c>
      <c r="AP12" s="34" t="str">
        <v/>
      </c>
      <c r="AQ12" s="34" t="str">
        <v/>
      </c>
      <c r="AR12" s="34" t="str">
        <v/>
      </c>
      <c r="AS12" s="34" t="str">
        <v/>
      </c>
      <c r="AT12" s="34" t="str">
        <v/>
      </c>
      <c r="AU12" s="34" t="str">
        <v/>
      </c>
      <c r="AV12" s="34" t="str">
        <v/>
      </c>
      <c r="AW12" s="34" t="str">
        <v/>
      </c>
      <c r="AX12" s="34" t="str">
        <v/>
      </c>
      <c r="AY12" s="34">
        <v>1</v>
      </c>
      <c r="AZ12" s="34" t="str">
        <v/>
      </c>
      <c r="BA12" s="34">
        <v>0</v>
      </c>
      <c r="BB12" s="34">
        <v>20</v>
      </c>
      <c r="BD12" s="34">
        <v>1</v>
      </c>
      <c r="BE12" s="34">
        <v>0</v>
      </c>
      <c r="BF12" s="34">
        <v>0</v>
      </c>
      <c r="BG12" s="34" t="str">
        <v/>
      </c>
      <c r="BH12" s="34" t="str">
        <v/>
      </c>
      <c r="BI12" s="34" t="str">
        <v/>
      </c>
      <c r="BJ12" s="34" t="str">
        <v/>
      </c>
      <c r="BK12" s="34" t="str">
        <v>BOX</v>
      </c>
      <c r="BL12" s="34">
        <v>1</v>
      </c>
      <c r="BM12" s="34" t="str">
        <v/>
      </c>
      <c r="BN12" s="34" t="str">
        <v/>
      </c>
      <c r="BO12" s="34" t="str">
        <v/>
      </c>
      <c r="BP12" s="34" t="str">
        <v/>
      </c>
      <c r="BQ12" s="34" t="str">
        <v>5х4</v>
      </c>
      <c r="BR12" s="34" t="str">
        <v/>
      </c>
      <c r="BS12" s="34" t="str">
        <v/>
      </c>
      <c r="BT12" s="34" t="str">
        <v/>
      </c>
      <c r="BU12" s="34">
        <v>0</v>
      </c>
      <c r="BV12" s="34">
        <v>10</v>
      </c>
      <c r="BW12" s="34">
        <v>1</v>
      </c>
      <c r="BX12" s="34">
        <v>2</v>
      </c>
      <c r="BY12" s="34">
        <v>0</v>
      </c>
      <c r="BZ12">
        <v>1</v>
      </c>
      <c r="CA12" t="str">
        <v>линии</v>
      </c>
    </row>
    <row r="13" spans="1:79" x14ac:dyDescent="0.3">
      <c r="A13" s="39" t="str">
        <v>ГРЩ-ЖД</v>
      </c>
      <c r="B13" s="42">
        <v>25</v>
      </c>
      <c r="C13" s="42">
        <v>2</v>
      </c>
      <c r="D13" s="75" t="str">
        <v/>
      </c>
      <c r="E13" s="75" t="str">
        <v/>
      </c>
      <c r="F13" s="76" t="str">
        <v/>
      </c>
      <c r="G13" s="47" t="str">
        <v/>
      </c>
      <c r="H13" s="47" t="str">
        <v/>
      </c>
      <c r="I13" s="75" t="str">
        <v/>
      </c>
      <c r="J13" s="76" t="str">
        <v/>
      </c>
      <c r="K13" s="76" t="str">
        <v/>
      </c>
      <c r="L13" s="75" t="str">
        <v/>
      </c>
      <c r="M13" s="49" t="str">
        <v/>
      </c>
      <c r="N13" s="76" t="str">
        <v/>
      </c>
      <c r="O13" s="49" t="str">
        <v/>
      </c>
      <c r="P13" s="77" t="str">
        <v/>
      </c>
      <c r="Q13" s="53" t="str">
        <v>ВВГнг(А)-LS (5х10) L=14-0,43%</v>
      </c>
      <c r="R13" s="54" t="str">
        <v>ЩР-01</v>
      </c>
      <c r="S13" s="55" t="str">
        <v>Щит распределительный ЩР-01 Цокольный этаж этаж Пом. №0.001Т</v>
      </c>
      <c r="T13" s="56">
        <v>24.405000000000005</v>
      </c>
      <c r="U13" s="56">
        <v>32.799999999999997</v>
      </c>
      <c r="V13" s="42" t="str">
        <v>L1,L2,L3</v>
      </c>
      <c r="W13" s="57" t="str">
        <v/>
      </c>
      <c r="X13" s="58" t="str">
        <v/>
      </c>
      <c r="Y13" s="75" t="str">
        <v/>
      </c>
      <c r="Z13" s="59" t="str">
        <v/>
      </c>
      <c r="AA13" s="61" t="str">
        <v/>
      </c>
      <c r="AB13" s="61">
        <v>50</v>
      </c>
      <c r="AC13" s="61" t="str">
        <v/>
      </c>
      <c r="AD13" s="62" t="str">
        <v/>
      </c>
      <c r="AE13" s="62" t="str">
        <v/>
      </c>
      <c r="AF13" s="34" t="str">
        <v/>
      </c>
      <c r="AG13" s="34" t="str">
        <v/>
      </c>
      <c r="AH13" s="34" t="str">
        <v/>
      </c>
      <c r="AI13" s="34" t="str">
        <v/>
      </c>
      <c r="AJ13" s="34" t="str">
        <v/>
      </c>
      <c r="AK13" s="34">
        <v>3</v>
      </c>
      <c r="AL13" s="34" t="str">
        <v>ЩР-01</v>
      </c>
      <c r="AM13" s="34">
        <v>0</v>
      </c>
      <c r="AN13" s="34">
        <v>0</v>
      </c>
      <c r="AO13" s="34" t="str">
        <v/>
      </c>
      <c r="AP13" s="34" t="str">
        <v/>
      </c>
      <c r="AQ13" s="34" t="str">
        <v/>
      </c>
      <c r="AR13" s="34" t="str">
        <v/>
      </c>
      <c r="AS13" s="34" t="str">
        <v/>
      </c>
      <c r="AT13" s="34" t="str">
        <v/>
      </c>
      <c r="AU13" s="34" t="str">
        <v/>
      </c>
      <c r="AV13" s="34" t="str">
        <v/>
      </c>
      <c r="AW13" s="34" t="str">
        <v/>
      </c>
      <c r="AX13" s="34" t="str">
        <v/>
      </c>
      <c r="AY13" s="34">
        <v>1</v>
      </c>
      <c r="AZ13" s="34" t="str">
        <v/>
      </c>
      <c r="BA13" s="34">
        <v>0</v>
      </c>
      <c r="BB13" s="34">
        <v>40</v>
      </c>
      <c r="BD13" s="34">
        <v>1</v>
      </c>
      <c r="BE13" s="34">
        <v>0</v>
      </c>
      <c r="BF13" s="34">
        <v>0</v>
      </c>
      <c r="BG13" s="34" t="str">
        <v/>
      </c>
      <c r="BH13" s="34" t="str">
        <v/>
      </c>
      <c r="BI13" s="34" t="str">
        <v/>
      </c>
      <c r="BJ13" s="34" t="str">
        <v/>
      </c>
      <c r="BK13" s="34" t="str">
        <v>BOX</v>
      </c>
      <c r="BL13" s="34">
        <v>1</v>
      </c>
      <c r="BM13" s="34" t="str">
        <v/>
      </c>
      <c r="BN13" s="34" t="str">
        <v/>
      </c>
      <c r="BO13" s="34" t="str">
        <v/>
      </c>
      <c r="BP13" s="34" t="str">
        <v/>
      </c>
      <c r="BQ13" s="34" t="str">
        <v>5х10</v>
      </c>
      <c r="BR13" s="34">
        <v>5</v>
      </c>
      <c r="BS13" s="34" t="str">
        <v/>
      </c>
      <c r="BT13" s="34" t="str">
        <v/>
      </c>
      <c r="BU13" s="34">
        <v>0</v>
      </c>
      <c r="BV13" s="34">
        <v>11</v>
      </c>
      <c r="BW13" s="34">
        <v>1</v>
      </c>
      <c r="BX13" s="34">
        <v>2</v>
      </c>
      <c r="BY13" s="34">
        <v>0</v>
      </c>
      <c r="BZ13">
        <v>1</v>
      </c>
      <c r="CA13" t="str">
        <v>линии</v>
      </c>
    </row>
    <row r="14" spans="1:79" x14ac:dyDescent="0.3">
      <c r="A14" s="39" t="str">
        <v>ГРЩ-ЖД</v>
      </c>
      <c r="B14" s="42">
        <v>26</v>
      </c>
      <c r="C14" s="42">
        <v>2</v>
      </c>
      <c r="D14" s="75" t="str">
        <v/>
      </c>
      <c r="E14" s="75" t="str">
        <v/>
      </c>
      <c r="F14" s="76" t="str">
        <v/>
      </c>
      <c r="G14" s="47" t="str">
        <v/>
      </c>
      <c r="H14" s="47" t="str">
        <v/>
      </c>
      <c r="I14" s="75" t="str">
        <v/>
      </c>
      <c r="J14" s="76" t="str">
        <v/>
      </c>
      <c r="K14" s="76" t="str">
        <v/>
      </c>
      <c r="L14" s="75" t="str">
        <v/>
      </c>
      <c r="M14" s="49" t="str">
        <v/>
      </c>
      <c r="N14" s="76" t="str">
        <v/>
      </c>
      <c r="O14" s="49" t="str">
        <v/>
      </c>
      <c r="P14" s="77" t="str">
        <v/>
      </c>
      <c r="Q14" s="53" t="str">
        <v>ВВГнг(А)-LS (5х16) L=65-1,25%</v>
      </c>
      <c r="R14" s="54" t="str">
        <v>ЩР-1</v>
      </c>
      <c r="S14" s="55" t="str">
        <v>Щит распределительный ЩР-1 Первый этаж этаж Пом. №1.003Б</v>
      </c>
      <c r="T14" s="56">
        <v>34.840000000000003</v>
      </c>
      <c r="U14" s="56">
        <v>32.51</v>
      </c>
      <c r="V14" s="42" t="str">
        <v>L1,L2,L3</v>
      </c>
      <c r="W14" s="57" t="str">
        <v/>
      </c>
      <c r="X14" s="58" t="str">
        <v/>
      </c>
      <c r="Y14" s="75" t="str">
        <v/>
      </c>
      <c r="Z14" s="59" t="str">
        <v/>
      </c>
      <c r="AA14" s="61" t="str">
        <v/>
      </c>
      <c r="AB14" s="61">
        <v>63</v>
      </c>
      <c r="AC14" s="61" t="str">
        <v/>
      </c>
      <c r="AD14" s="62" t="str">
        <v/>
      </c>
      <c r="AE14" s="62" t="str">
        <v/>
      </c>
      <c r="AF14" s="34" t="str">
        <v/>
      </c>
      <c r="AG14" s="34" t="str">
        <v/>
      </c>
      <c r="AH14" s="34" t="str">
        <v/>
      </c>
      <c r="AI14" s="34" t="str">
        <v/>
      </c>
      <c r="AJ14" s="34" t="str">
        <v/>
      </c>
      <c r="AK14" s="34">
        <v>3</v>
      </c>
      <c r="AL14" s="34" t="str">
        <v>ЩР-1</v>
      </c>
      <c r="AM14" s="34">
        <v>0</v>
      </c>
      <c r="AN14" s="34">
        <v>0</v>
      </c>
      <c r="AO14" s="34" t="str">
        <v/>
      </c>
      <c r="AP14" s="34" t="str">
        <v/>
      </c>
      <c r="AQ14" s="34" t="str">
        <v/>
      </c>
      <c r="AR14" s="34" t="str">
        <v/>
      </c>
      <c r="AS14" s="34" t="str">
        <v/>
      </c>
      <c r="AT14" s="34" t="str">
        <v/>
      </c>
      <c r="AU14" s="34" t="str">
        <v/>
      </c>
      <c r="AV14" s="34" t="str">
        <v/>
      </c>
      <c r="AW14" s="34" t="str">
        <v/>
      </c>
      <c r="AX14" s="34" t="str">
        <v/>
      </c>
      <c r="AY14" s="34">
        <v>1</v>
      </c>
      <c r="AZ14" s="34" t="str">
        <v/>
      </c>
      <c r="BA14" s="34">
        <v>0</v>
      </c>
      <c r="BB14" s="34">
        <v>63</v>
      </c>
      <c r="BD14" s="34">
        <v>1</v>
      </c>
      <c r="BE14" s="34">
        <v>0</v>
      </c>
      <c r="BF14" s="34">
        <v>0</v>
      </c>
      <c r="BG14" s="34" t="str">
        <v/>
      </c>
      <c r="BH14" s="34" t="str">
        <v/>
      </c>
      <c r="BI14" s="34" t="str">
        <v/>
      </c>
      <c r="BJ14" s="34" t="str">
        <v/>
      </c>
      <c r="BK14" s="34" t="str">
        <v>BOX</v>
      </c>
      <c r="BL14" s="34">
        <v>1</v>
      </c>
      <c r="BM14" s="34" t="str">
        <v/>
      </c>
      <c r="BN14" s="34" t="str">
        <v/>
      </c>
      <c r="BO14" s="34" t="str">
        <v/>
      </c>
      <c r="BP14" s="34" t="str">
        <v/>
      </c>
      <c r="BQ14" s="34" t="str">
        <v>5х16</v>
      </c>
      <c r="BR14" s="34">
        <v>6</v>
      </c>
      <c r="BS14" s="34" t="str">
        <v/>
      </c>
      <c r="BT14" s="34" t="str">
        <v/>
      </c>
      <c r="BU14" s="34">
        <v>0</v>
      </c>
      <c r="BV14" s="34">
        <v>12</v>
      </c>
      <c r="BW14" s="34">
        <v>1</v>
      </c>
      <c r="BX14" s="34">
        <v>2</v>
      </c>
      <c r="BY14" s="34">
        <v>0</v>
      </c>
      <c r="BZ14">
        <v>1</v>
      </c>
      <c r="CA14" t="str">
        <v>линии</v>
      </c>
    </row>
    <row r="15" spans="1:79" x14ac:dyDescent="0.3">
      <c r="A15" s="39" t="str">
        <v>ГРЩ-ЖД</v>
      </c>
      <c r="B15" s="42">
        <v>27</v>
      </c>
      <c r="C15" s="42">
        <v>2</v>
      </c>
      <c r="D15" s="75" t="str">
        <v/>
      </c>
      <c r="E15" s="75" t="str">
        <v/>
      </c>
      <c r="F15" s="76" t="str">
        <v/>
      </c>
      <c r="G15" s="47" t="str">
        <v/>
      </c>
      <c r="H15" s="47" t="str">
        <v/>
      </c>
      <c r="I15" s="75" t="str">
        <v/>
      </c>
      <c r="J15" s="76" t="str">
        <v/>
      </c>
      <c r="K15" s="76" t="str">
        <v/>
      </c>
      <c r="L15" s="75" t="str">
        <v/>
      </c>
      <c r="M15" s="49" t="str">
        <v/>
      </c>
      <c r="N15" s="76" t="str">
        <v/>
      </c>
      <c r="O15" s="49" t="str">
        <v/>
      </c>
      <c r="P15" s="77" t="str">
        <v/>
      </c>
      <c r="Q15" s="53" t="str">
        <v>ВВГнг(А)-LS (5х4) L=56-1,79%</v>
      </c>
      <c r="R15" s="54" t="str">
        <v>ЩР-2</v>
      </c>
      <c r="S15" s="55" t="str">
        <v>Щит распределительный ЩР-2 Техэтаж этаж Пом. №3.001Т</v>
      </c>
      <c r="T15" s="56">
        <v>9.98</v>
      </c>
      <c r="U15" s="56">
        <v>13.7</v>
      </c>
      <c r="V15" s="42" t="str">
        <v>L1,L2,L3</v>
      </c>
      <c r="W15" s="57" t="str">
        <v/>
      </c>
      <c r="X15" s="58" t="str">
        <v/>
      </c>
      <c r="Y15" s="75" t="str">
        <v/>
      </c>
      <c r="Z15" s="59" t="str">
        <v/>
      </c>
      <c r="AA15" s="61" t="str">
        <v/>
      </c>
      <c r="AB15" s="61">
        <v>32</v>
      </c>
      <c r="AC15" s="61" t="str">
        <v/>
      </c>
      <c r="AD15" s="62" t="str">
        <v/>
      </c>
      <c r="AE15" s="62" t="str">
        <v/>
      </c>
      <c r="AF15" s="34" t="str">
        <v/>
      </c>
      <c r="AG15" s="34" t="str">
        <v/>
      </c>
      <c r="AH15" s="34" t="str">
        <v/>
      </c>
      <c r="AI15" s="34" t="str">
        <v/>
      </c>
      <c r="AJ15" s="34" t="str">
        <v/>
      </c>
      <c r="AK15" s="34">
        <v>3</v>
      </c>
      <c r="AL15" s="34" t="str">
        <v>ЩР-2</v>
      </c>
      <c r="AM15" s="34">
        <v>0</v>
      </c>
      <c r="AN15" s="34">
        <v>0</v>
      </c>
      <c r="AO15" s="34" t="str">
        <v/>
      </c>
      <c r="AP15" s="34" t="str">
        <v/>
      </c>
      <c r="AQ15" s="34" t="str">
        <v/>
      </c>
      <c r="AR15" s="34" t="str">
        <v/>
      </c>
      <c r="AS15" s="34" t="str">
        <v/>
      </c>
      <c r="AT15" s="34" t="str">
        <v/>
      </c>
      <c r="AU15" s="34" t="str">
        <v/>
      </c>
      <c r="AV15" s="34" t="str">
        <v/>
      </c>
      <c r="AW15" s="34" t="str">
        <v/>
      </c>
      <c r="AX15" s="34" t="str">
        <v/>
      </c>
      <c r="AY15" s="34">
        <v>1</v>
      </c>
      <c r="AZ15" s="34" t="str">
        <v/>
      </c>
      <c r="BA15" s="34">
        <v>0</v>
      </c>
      <c r="BB15" s="34">
        <v>16</v>
      </c>
      <c r="BD15" s="34">
        <v>1</v>
      </c>
      <c r="BE15" s="34">
        <v>0</v>
      </c>
      <c r="BF15" s="34">
        <v>0</v>
      </c>
      <c r="BG15" s="34" t="str">
        <v/>
      </c>
      <c r="BH15" s="34" t="str">
        <v/>
      </c>
      <c r="BI15" s="34" t="str">
        <v/>
      </c>
      <c r="BJ15" s="34" t="str">
        <v/>
      </c>
      <c r="BK15" s="34" t="str">
        <v>BOX</v>
      </c>
      <c r="BL15" s="34">
        <v>1</v>
      </c>
      <c r="BM15" s="34" t="str">
        <v/>
      </c>
      <c r="BN15" s="34" t="str">
        <v/>
      </c>
      <c r="BO15" s="34" t="str">
        <v/>
      </c>
      <c r="BP15" s="34" t="str">
        <v/>
      </c>
      <c r="BQ15" s="34" t="str">
        <v>5х4</v>
      </c>
      <c r="BR15" s="34" t="str">
        <v/>
      </c>
      <c r="BS15" s="34" t="str">
        <v/>
      </c>
      <c r="BT15" s="34" t="str">
        <v/>
      </c>
      <c r="BU15" s="34">
        <v>0</v>
      </c>
      <c r="BV15" s="34">
        <v>13</v>
      </c>
      <c r="BW15" s="34">
        <v>1</v>
      </c>
      <c r="BX15" s="34">
        <v>2</v>
      </c>
      <c r="BY15" s="34">
        <v>0</v>
      </c>
      <c r="BZ15">
        <v>1</v>
      </c>
      <c r="CA15" t="str">
        <v>линии</v>
      </c>
    </row>
    <row r="16" spans="1:79" x14ac:dyDescent="0.3">
      <c r="A16" s="39" t="str">
        <v>ГРЩ-ЖД</v>
      </c>
      <c r="B16" s="42">
        <v>28</v>
      </c>
      <c r="C16" s="42">
        <v>2</v>
      </c>
      <c r="D16" s="75" t="str">
        <v/>
      </c>
      <c r="E16" s="75" t="str">
        <v/>
      </c>
      <c r="F16" s="76" t="str">
        <v/>
      </c>
      <c r="G16" s="47" t="str">
        <v/>
      </c>
      <c r="H16" s="47" t="str">
        <v/>
      </c>
      <c r="I16" s="75" t="str">
        <v/>
      </c>
      <c r="J16" s="76" t="str">
        <v/>
      </c>
      <c r="K16" s="76" t="str">
        <v/>
      </c>
      <c r="L16" s="75" t="str">
        <v/>
      </c>
      <c r="M16" s="49" t="str">
        <v/>
      </c>
      <c r="N16" s="76" t="str">
        <v/>
      </c>
      <c r="O16" s="49" t="str">
        <v/>
      </c>
      <c r="P16" s="77" t="str">
        <v/>
      </c>
      <c r="Q16" s="53" t="str">
        <v>ВВГнг(А)-LS (5х10) L=53-0,85%</v>
      </c>
      <c r="R16" s="54" t="str">
        <v>ЩС-Б</v>
      </c>
      <c r="S16" s="55" t="str">
        <v>Щит бассейна ЩС-Б Подвальный этаж этаж Пом. №00.002Тб</v>
      </c>
      <c r="T16" s="56">
        <v>24.990000000000002</v>
      </c>
      <c r="U16" s="56">
        <v>17.09</v>
      </c>
      <c r="V16" s="42" t="str">
        <v>L1,L2,L3</v>
      </c>
      <c r="W16" s="57" t="str">
        <v/>
      </c>
      <c r="X16" s="58" t="str">
        <v/>
      </c>
      <c r="Y16" s="75" t="str">
        <v/>
      </c>
      <c r="Z16" s="59" t="str">
        <v/>
      </c>
      <c r="AA16" s="61" t="str">
        <v/>
      </c>
      <c r="AB16" s="61">
        <v>50</v>
      </c>
      <c r="AC16" s="61" t="str">
        <v/>
      </c>
      <c r="AD16" s="62" t="str">
        <v/>
      </c>
      <c r="AE16" s="62" t="str">
        <v/>
      </c>
      <c r="AF16" s="34" t="str">
        <v/>
      </c>
      <c r="AG16" s="34" t="str">
        <v/>
      </c>
      <c r="AH16" s="34" t="str">
        <v/>
      </c>
      <c r="AI16" s="34" t="str">
        <v/>
      </c>
      <c r="AJ16" s="34" t="str">
        <v/>
      </c>
      <c r="AK16" s="34">
        <v>3</v>
      </c>
      <c r="AL16" s="34" t="str">
        <v>ЩС-Б</v>
      </c>
      <c r="AM16" s="34">
        <v>0</v>
      </c>
      <c r="AN16" s="34">
        <v>0</v>
      </c>
      <c r="AO16" s="34" t="str">
        <v/>
      </c>
      <c r="AP16" s="34" t="str">
        <v/>
      </c>
      <c r="AQ16" s="34" t="str">
        <v/>
      </c>
      <c r="AR16" s="34" t="str">
        <v/>
      </c>
      <c r="AS16" s="34" t="str">
        <v/>
      </c>
      <c r="AT16" s="34" t="str">
        <v/>
      </c>
      <c r="AU16" s="34" t="str">
        <v/>
      </c>
      <c r="AV16" s="34" t="str">
        <v/>
      </c>
      <c r="AW16" s="34" t="str">
        <v/>
      </c>
      <c r="AX16" s="34" t="str">
        <v/>
      </c>
      <c r="AY16" s="34">
        <v>1</v>
      </c>
      <c r="AZ16" s="34" t="str">
        <v/>
      </c>
      <c r="BA16" s="34">
        <v>0</v>
      </c>
      <c r="BB16" s="34">
        <v>40</v>
      </c>
      <c r="BD16" s="34">
        <v>1</v>
      </c>
      <c r="BE16" s="34">
        <v>0</v>
      </c>
      <c r="BF16" s="34">
        <v>0</v>
      </c>
      <c r="BG16" s="34" t="str">
        <v/>
      </c>
      <c r="BH16" s="34" t="str">
        <v/>
      </c>
      <c r="BI16" s="34" t="str">
        <v/>
      </c>
      <c r="BJ16" s="34" t="str">
        <v/>
      </c>
      <c r="BK16" s="34" t="str">
        <v>BOX</v>
      </c>
      <c r="BL16" s="34">
        <v>1</v>
      </c>
      <c r="BM16" s="34" t="str">
        <v/>
      </c>
      <c r="BN16" s="34" t="str">
        <v/>
      </c>
      <c r="BO16" s="34" t="str">
        <v/>
      </c>
      <c r="BP16" s="34" t="str">
        <v/>
      </c>
      <c r="BQ16" s="34" t="str">
        <v>5х10</v>
      </c>
      <c r="BR16" s="34" t="str">
        <v/>
      </c>
      <c r="BS16" s="34" t="str">
        <v/>
      </c>
      <c r="BT16" s="34" t="str">
        <v/>
      </c>
      <c r="BU16" s="34">
        <v>0</v>
      </c>
      <c r="BV16" s="34">
        <v>14</v>
      </c>
      <c r="BW16" s="34">
        <v>1</v>
      </c>
      <c r="BX16" s="34">
        <v>2</v>
      </c>
      <c r="BY16" s="34">
        <v>0</v>
      </c>
      <c r="BZ16">
        <v>1</v>
      </c>
      <c r="CA16" t="str">
        <v>линии</v>
      </c>
    </row>
    <row r="17" spans="1:79" x14ac:dyDescent="0.3">
      <c r="A17" s="39" t="str">
        <v>ГРЩ-ЖД</v>
      </c>
      <c r="B17" s="42">
        <v>29</v>
      </c>
      <c r="C17" s="42">
        <v>2</v>
      </c>
      <c r="D17" s="75" t="str">
        <v/>
      </c>
      <c r="E17" s="75" t="str">
        <v/>
      </c>
      <c r="F17" s="76" t="str">
        <v/>
      </c>
      <c r="G17" s="47" t="str">
        <v/>
      </c>
      <c r="H17" s="47" t="str">
        <v/>
      </c>
      <c r="I17" s="75" t="str">
        <v/>
      </c>
      <c r="J17" s="76" t="str">
        <v/>
      </c>
      <c r="K17" s="76" t="str">
        <v/>
      </c>
      <c r="L17" s="75" t="str">
        <v/>
      </c>
      <c r="M17" s="49" t="str">
        <v/>
      </c>
      <c r="N17" s="76" t="str">
        <v/>
      </c>
      <c r="O17" s="49" t="str">
        <v/>
      </c>
      <c r="P17" s="77" t="str">
        <v/>
      </c>
      <c r="Q17" s="53" t="str">
        <v>ВВГнг(А)-LS (3х4) L=52-1,89%</v>
      </c>
      <c r="R17" s="54" t="str">
        <v>ЩС-ВК.001</v>
      </c>
      <c r="S17" s="55" t="str">
        <v>Щит дренажных насосов ЩС-ВК.001 Подвальный этаж этаж Пом. 00.002Т</v>
      </c>
      <c r="T17" s="56">
        <v>3.8000000000000003</v>
      </c>
      <c r="U17" s="56">
        <v>7.8</v>
      </c>
      <c r="V17" s="42" t="str">
        <v>L2</v>
      </c>
      <c r="W17" s="57" t="str">
        <v/>
      </c>
      <c r="X17" s="58" t="str">
        <v/>
      </c>
      <c r="Y17" s="75" t="str">
        <v/>
      </c>
      <c r="Z17" s="59" t="str">
        <v/>
      </c>
      <c r="AA17" s="61" t="str">
        <v/>
      </c>
      <c r="AB17" s="61">
        <v>32</v>
      </c>
      <c r="AC17" s="61" t="str">
        <v/>
      </c>
      <c r="AD17" s="62" t="str">
        <v/>
      </c>
      <c r="AE17" s="62" t="str">
        <v/>
      </c>
      <c r="AF17" s="34" t="str">
        <v/>
      </c>
      <c r="AG17" s="34" t="str">
        <v/>
      </c>
      <c r="AH17" s="34" t="str">
        <v/>
      </c>
      <c r="AI17" s="34" t="str">
        <v/>
      </c>
      <c r="AJ17" s="34" t="str">
        <v/>
      </c>
      <c r="AK17" s="34">
        <v>1</v>
      </c>
      <c r="AL17" s="34" t="str">
        <v>ЩС-ВК</v>
      </c>
      <c r="AM17" s="34">
        <v>0</v>
      </c>
      <c r="AN17" s="34">
        <v>0</v>
      </c>
      <c r="AO17" s="34" t="str">
        <v/>
      </c>
      <c r="AP17" s="34" t="str">
        <v/>
      </c>
      <c r="AQ17" s="34" t="str">
        <v/>
      </c>
      <c r="AR17" s="34" t="str">
        <v/>
      </c>
      <c r="AS17" s="34" t="str">
        <v/>
      </c>
      <c r="AT17" s="34" t="str">
        <v/>
      </c>
      <c r="AU17" s="34" t="str">
        <v/>
      </c>
      <c r="AV17" s="34" t="str">
        <v/>
      </c>
      <c r="AW17" s="34" t="str">
        <v/>
      </c>
      <c r="AX17" s="34" t="str">
        <v/>
      </c>
      <c r="AY17" s="34">
        <v>1</v>
      </c>
      <c r="AZ17" s="34" t="str">
        <v/>
      </c>
      <c r="BA17" s="34">
        <v>0</v>
      </c>
      <c r="BB17" s="34">
        <v>20</v>
      </c>
      <c r="BD17" s="34">
        <v>1</v>
      </c>
      <c r="BE17" s="34">
        <v>0</v>
      </c>
      <c r="BF17" s="34">
        <v>0</v>
      </c>
      <c r="BG17" s="34" t="str">
        <v/>
      </c>
      <c r="BH17" s="34" t="str">
        <v/>
      </c>
      <c r="BI17" s="34" t="str">
        <v/>
      </c>
      <c r="BJ17" s="34" t="str">
        <v/>
      </c>
      <c r="BK17" s="34" t="str">
        <v>BOX</v>
      </c>
      <c r="BL17" s="34">
        <v>1</v>
      </c>
      <c r="BM17" s="34" t="str">
        <v/>
      </c>
      <c r="BN17" s="34" t="str">
        <v/>
      </c>
      <c r="BO17" s="34" t="str">
        <v/>
      </c>
      <c r="BP17" s="34" t="str">
        <v/>
      </c>
      <c r="BQ17" s="34" t="str">
        <v>3х4</v>
      </c>
      <c r="BR17" s="34">
        <v>7</v>
      </c>
      <c r="BS17" s="34" t="str">
        <v/>
      </c>
      <c r="BT17" s="34" t="str">
        <v/>
      </c>
      <c r="BU17" s="34">
        <v>0</v>
      </c>
      <c r="BV17" s="34">
        <v>15</v>
      </c>
      <c r="BW17" s="34">
        <v>1</v>
      </c>
      <c r="BX17" s="34">
        <v>0</v>
      </c>
      <c r="BY17" s="34">
        <v>0</v>
      </c>
      <c r="BZ17">
        <v>1</v>
      </c>
      <c r="CA17" t="str">
        <v>линии</v>
      </c>
    </row>
    <row r="18" spans="1:79" x14ac:dyDescent="0.3">
      <c r="A18" s="39" t="str">
        <v>ГРЩ-ЖД</v>
      </c>
      <c r="B18" s="42">
        <v>30</v>
      </c>
      <c r="C18" s="42">
        <v>2</v>
      </c>
      <c r="D18" s="75" t="str">
        <v/>
      </c>
      <c r="E18" s="75" t="str">
        <v/>
      </c>
      <c r="F18" s="76" t="str">
        <v/>
      </c>
      <c r="G18" s="47" t="str">
        <v/>
      </c>
      <c r="H18" s="47" t="str">
        <v/>
      </c>
      <c r="I18" s="75" t="str">
        <v/>
      </c>
      <c r="J18" s="76" t="str">
        <v/>
      </c>
      <c r="K18" s="76" t="str">
        <v/>
      </c>
      <c r="L18" s="75" t="str">
        <v/>
      </c>
      <c r="M18" s="49" t="str">
        <v/>
      </c>
      <c r="N18" s="76" t="str">
        <v/>
      </c>
      <c r="O18" s="49" t="str">
        <v/>
      </c>
      <c r="P18" s="77" t="str">
        <v/>
      </c>
      <c r="Q18" s="53" t="str">
        <v>ВВГнг(А)-LS (3х4) L=51-1,64%</v>
      </c>
      <c r="R18" s="54" t="str">
        <v>ЩС-ВК.002</v>
      </c>
      <c r="S18" s="55" t="str">
        <v>Щит насосов ЩС-ВК.002 Подвальный этаж этаж Пом. №00.002Тб</v>
      </c>
      <c r="T18" s="56">
        <v>2.4</v>
      </c>
      <c r="U18" s="56">
        <v>6.8999999999999995</v>
      </c>
      <c r="V18" s="42" t="str">
        <v>L3</v>
      </c>
      <c r="W18" s="57" t="str">
        <v/>
      </c>
      <c r="X18" s="58" t="str">
        <v/>
      </c>
      <c r="Y18" s="75" t="str">
        <v/>
      </c>
      <c r="Z18" s="59" t="str">
        <v/>
      </c>
      <c r="AA18" s="61" t="str">
        <v/>
      </c>
      <c r="AB18" s="61">
        <v>32</v>
      </c>
      <c r="AC18" s="61" t="str">
        <v/>
      </c>
      <c r="AD18" s="62" t="str">
        <v/>
      </c>
      <c r="AE18" s="62" t="str">
        <v/>
      </c>
      <c r="AF18" s="34" t="str">
        <v/>
      </c>
      <c r="AG18" s="34" t="str">
        <v/>
      </c>
      <c r="AH18" s="34" t="str">
        <v/>
      </c>
      <c r="AI18" s="34" t="str">
        <v/>
      </c>
      <c r="AJ18" s="34" t="str">
        <v/>
      </c>
      <c r="AK18" s="34">
        <v>1</v>
      </c>
      <c r="AL18" s="34" t="str">
        <v>ЩС-ВК</v>
      </c>
      <c r="AM18" s="34">
        <v>0</v>
      </c>
      <c r="AN18" s="34">
        <v>0</v>
      </c>
      <c r="AO18" s="34" t="str">
        <v/>
      </c>
      <c r="AP18" s="34" t="str">
        <v/>
      </c>
      <c r="AQ18" s="34" t="str">
        <v/>
      </c>
      <c r="AR18" s="34" t="str">
        <v/>
      </c>
      <c r="AS18" s="34" t="str">
        <v/>
      </c>
      <c r="AT18" s="34" t="str">
        <v/>
      </c>
      <c r="AU18" s="34" t="str">
        <v/>
      </c>
      <c r="AV18" s="34" t="str">
        <v/>
      </c>
      <c r="AW18" s="34" t="str">
        <v/>
      </c>
      <c r="AX18" s="34" t="str">
        <v/>
      </c>
      <c r="AY18" s="34">
        <v>1</v>
      </c>
      <c r="AZ18" s="34" t="str">
        <v/>
      </c>
      <c r="BA18" s="34">
        <v>0</v>
      </c>
      <c r="BB18" s="34">
        <v>16</v>
      </c>
      <c r="BD18" s="34">
        <v>1</v>
      </c>
      <c r="BE18" s="34">
        <v>0</v>
      </c>
      <c r="BF18" s="34">
        <v>0</v>
      </c>
      <c r="BG18" s="34" t="str">
        <v/>
      </c>
      <c r="BH18" s="34" t="str">
        <v/>
      </c>
      <c r="BI18" s="34" t="str">
        <v/>
      </c>
      <c r="BJ18" s="34" t="str">
        <v/>
      </c>
      <c r="BK18" s="34" t="str">
        <v>BOX</v>
      </c>
      <c r="BL18" s="34">
        <v>1</v>
      </c>
      <c r="BM18" s="34" t="str">
        <v/>
      </c>
      <c r="BN18" s="34" t="str">
        <v/>
      </c>
      <c r="BO18" s="34" t="str">
        <v/>
      </c>
      <c r="BP18" s="34" t="str">
        <v/>
      </c>
      <c r="BQ18" s="34" t="str">
        <v>3х4</v>
      </c>
      <c r="BR18" s="34" t="str">
        <v/>
      </c>
      <c r="BS18" s="34" t="str">
        <v/>
      </c>
      <c r="BT18" s="34" t="str">
        <v/>
      </c>
      <c r="BU18" s="34">
        <v>0</v>
      </c>
      <c r="BV18" s="34">
        <v>16</v>
      </c>
      <c r="BW18" s="34">
        <v>1</v>
      </c>
      <c r="BX18" s="34">
        <v>0</v>
      </c>
      <c r="BY18" s="34">
        <v>0</v>
      </c>
      <c r="BZ18">
        <v>1</v>
      </c>
      <c r="CA18" t="str">
        <v>линии</v>
      </c>
    </row>
    <row r="19" spans="1:79" x14ac:dyDescent="0.3">
      <c r="A19" s="39" t="str">
        <v>ГРЩ-ЖД</v>
      </c>
      <c r="B19" s="42">
        <v>31</v>
      </c>
      <c r="C19" s="42">
        <v>2</v>
      </c>
      <c r="D19" s="75" t="str">
        <v/>
      </c>
      <c r="E19" s="75" t="str">
        <v/>
      </c>
      <c r="F19" s="76" t="str">
        <v/>
      </c>
      <c r="G19" s="47" t="str">
        <v/>
      </c>
      <c r="H19" s="47" t="str">
        <v/>
      </c>
      <c r="I19" s="75" t="str">
        <v/>
      </c>
      <c r="J19" s="76" t="str">
        <v/>
      </c>
      <c r="K19" s="76" t="str">
        <v/>
      </c>
      <c r="L19" s="75" t="str">
        <v/>
      </c>
      <c r="M19" s="49" t="str">
        <v/>
      </c>
      <c r="N19" s="76" t="str">
        <v/>
      </c>
      <c r="O19" s="49" t="str">
        <v/>
      </c>
      <c r="P19" s="77" t="str">
        <v/>
      </c>
      <c r="Q19" s="53" t="str">
        <v>ВВГнг(А)-LS (3х4) L=53-3,08%</v>
      </c>
      <c r="R19" s="54" t="str">
        <v>ЩС-ВК.003</v>
      </c>
      <c r="S19" s="55" t="str">
        <v>Щит насосов ЩС-ВК.003 Подвальный этаж этаж Пом. №00.006Т</v>
      </c>
      <c r="T19" s="56">
        <v>4.34</v>
      </c>
      <c r="U19" s="56">
        <v>12.47</v>
      </c>
      <c r="V19" s="42" t="str">
        <v>L1</v>
      </c>
      <c r="W19" s="57" t="str">
        <v/>
      </c>
      <c r="X19" s="58" t="str">
        <v/>
      </c>
      <c r="Y19" s="75" t="str">
        <v/>
      </c>
      <c r="Z19" s="59" t="str">
        <v/>
      </c>
      <c r="AA19" s="61" t="str">
        <v/>
      </c>
      <c r="AB19" s="61">
        <v>32</v>
      </c>
      <c r="AC19" s="61" t="str">
        <v/>
      </c>
      <c r="AD19" s="62" t="str">
        <v/>
      </c>
      <c r="AE19" s="62" t="str">
        <v/>
      </c>
      <c r="AF19" s="34" t="str">
        <v/>
      </c>
      <c r="AG19" s="34" t="str">
        <v/>
      </c>
      <c r="AH19" s="34" t="str">
        <v/>
      </c>
      <c r="AI19" s="34" t="str">
        <v/>
      </c>
      <c r="AJ19" s="34" t="str">
        <v/>
      </c>
      <c r="AK19" s="34">
        <v>1</v>
      </c>
      <c r="AL19" s="34" t="str">
        <v>ЩС-ВК</v>
      </c>
      <c r="AM19" s="34">
        <v>0</v>
      </c>
      <c r="AN19" s="34">
        <v>0</v>
      </c>
      <c r="AO19" s="34" t="str">
        <v/>
      </c>
      <c r="AP19" s="34" t="str">
        <v/>
      </c>
      <c r="AQ19" s="34" t="str">
        <v/>
      </c>
      <c r="AR19" s="34" t="str">
        <v/>
      </c>
      <c r="AS19" s="34" t="str">
        <v/>
      </c>
      <c r="AT19" s="34" t="str">
        <v/>
      </c>
      <c r="AU19" s="34" t="str">
        <v/>
      </c>
      <c r="AV19" s="34" t="str">
        <v/>
      </c>
      <c r="AW19" s="34" t="str">
        <v/>
      </c>
      <c r="AX19" s="34" t="str">
        <v/>
      </c>
      <c r="AY19" s="34">
        <v>1</v>
      </c>
      <c r="AZ19" s="34" t="str">
        <v/>
      </c>
      <c r="BA19" s="34">
        <v>0</v>
      </c>
      <c r="BB19" s="34">
        <v>20</v>
      </c>
      <c r="BD19" s="34">
        <v>1</v>
      </c>
      <c r="BE19" s="34">
        <v>0</v>
      </c>
      <c r="BF19" s="34">
        <v>0</v>
      </c>
      <c r="BG19" s="34" t="str">
        <v/>
      </c>
      <c r="BH19" s="34" t="str">
        <v/>
      </c>
      <c r="BI19" s="34" t="str">
        <v/>
      </c>
      <c r="BJ19" s="34" t="str">
        <v/>
      </c>
      <c r="BK19" s="34" t="str">
        <v>BOX</v>
      </c>
      <c r="BL19" s="34">
        <v>1</v>
      </c>
      <c r="BM19" s="34" t="str">
        <v/>
      </c>
      <c r="BN19" s="34" t="str">
        <v/>
      </c>
      <c r="BO19" s="34" t="str">
        <v/>
      </c>
      <c r="BP19" s="34" t="str">
        <v/>
      </c>
      <c r="BQ19" s="34" t="str">
        <v>3х4</v>
      </c>
      <c r="BR19" s="34" t="str">
        <v/>
      </c>
      <c r="BS19" s="34" t="str">
        <v/>
      </c>
      <c r="BT19" s="34" t="str">
        <v/>
      </c>
      <c r="BU19" s="34">
        <v>0</v>
      </c>
      <c r="BV19" s="34">
        <v>17</v>
      </c>
      <c r="BW19" s="34">
        <v>1</v>
      </c>
      <c r="BX19" s="34">
        <v>0</v>
      </c>
      <c r="BY19" s="34">
        <v>0</v>
      </c>
      <c r="BZ19">
        <v>1</v>
      </c>
      <c r="CA19" t="str">
        <v>линии</v>
      </c>
    </row>
    <row r="20" spans="1:79" x14ac:dyDescent="0.3">
      <c r="A20" s="39" t="str">
        <v>ГРЩ-ЖД</v>
      </c>
      <c r="B20" s="42">
        <v>32</v>
      </c>
      <c r="C20" s="42">
        <v>2</v>
      </c>
      <c r="D20" s="75" t="str">
        <v/>
      </c>
      <c r="E20" s="75" t="str">
        <v/>
      </c>
      <c r="F20" s="76" t="str">
        <v/>
      </c>
      <c r="G20" s="47" t="str">
        <v/>
      </c>
      <c r="H20" s="47" t="str">
        <v/>
      </c>
      <c r="I20" s="75" t="str">
        <v/>
      </c>
      <c r="J20" s="76" t="str">
        <v/>
      </c>
      <c r="K20" s="76" t="str">
        <v/>
      </c>
      <c r="L20" s="75" t="str">
        <v/>
      </c>
      <c r="M20" s="49" t="str">
        <v/>
      </c>
      <c r="N20" s="76" t="str">
        <v/>
      </c>
      <c r="O20" s="49" t="str">
        <v/>
      </c>
      <c r="P20" s="77" t="str">
        <v/>
      </c>
      <c r="Q20" s="53" t="str">
        <v>ВВГнг(А)-LS (5х6) L=52-3,21%</v>
      </c>
      <c r="R20" s="54" t="str">
        <v>ЩУОВ</v>
      </c>
      <c r="S20" s="55" t="str">
        <v>Щит управления обогрева воронок ЩУОВ Тех. этаж этаж Пом. №3.001</v>
      </c>
      <c r="T20" s="56">
        <v>16.439999999999998</v>
      </c>
      <c r="U20" s="56">
        <v>39.659999999999997</v>
      </c>
      <c r="V20" s="42" t="str">
        <v>L1,L2,L3</v>
      </c>
      <c r="W20" s="57" t="str">
        <v/>
      </c>
      <c r="X20" s="58" t="str">
        <v/>
      </c>
      <c r="Y20" s="75" t="str">
        <v/>
      </c>
      <c r="Z20" s="59" t="str">
        <v/>
      </c>
      <c r="AA20" s="61" t="str">
        <v/>
      </c>
      <c r="AB20" s="61">
        <v>32</v>
      </c>
      <c r="AC20" s="61" t="str">
        <v/>
      </c>
      <c r="AD20" s="62" t="str">
        <v/>
      </c>
      <c r="AE20" s="62" t="str">
        <v/>
      </c>
      <c r="AF20" s="34" t="str">
        <v/>
      </c>
      <c r="AG20" s="34" t="str">
        <v/>
      </c>
      <c r="AH20" s="34" t="str">
        <v/>
      </c>
      <c r="AI20" s="34" t="str">
        <v/>
      </c>
      <c r="AJ20" s="34" t="str">
        <v/>
      </c>
      <c r="AK20" s="34">
        <v>3</v>
      </c>
      <c r="AL20" s="34" t="str">
        <v>ЩУОВ</v>
      </c>
      <c r="AM20" s="34">
        <v>0</v>
      </c>
      <c r="AN20" s="34">
        <v>0</v>
      </c>
      <c r="AO20" s="34" t="str">
        <v/>
      </c>
      <c r="AP20" s="34" t="str">
        <v/>
      </c>
      <c r="AQ20" s="34" t="str">
        <v/>
      </c>
      <c r="AR20" s="34" t="str">
        <v/>
      </c>
      <c r="AS20" s="34" t="str">
        <v/>
      </c>
      <c r="AT20" s="34" t="str">
        <v/>
      </c>
      <c r="AU20" s="34" t="str">
        <v/>
      </c>
      <c r="AV20" s="34" t="str">
        <v/>
      </c>
      <c r="AW20" s="34" t="str">
        <v/>
      </c>
      <c r="AX20" s="34" t="str">
        <v/>
      </c>
      <c r="AY20" s="34">
        <v>1</v>
      </c>
      <c r="AZ20" s="34" t="str">
        <v/>
      </c>
      <c r="BA20" s="34">
        <v>0</v>
      </c>
      <c r="BB20" s="34">
        <v>32</v>
      </c>
      <c r="BD20" s="34">
        <v>1</v>
      </c>
      <c r="BE20" s="34">
        <v>0</v>
      </c>
      <c r="BF20" s="34">
        <v>0</v>
      </c>
      <c r="BG20" s="34" t="str">
        <v/>
      </c>
      <c r="BH20" s="34" t="str">
        <v/>
      </c>
      <c r="BI20" s="34" t="str">
        <v/>
      </c>
      <c r="BJ20" s="34" t="str">
        <v/>
      </c>
      <c r="BK20" s="34" t="str">
        <v>BOX</v>
      </c>
      <c r="BL20" s="34">
        <v>1</v>
      </c>
      <c r="BM20" s="34" t="str">
        <v/>
      </c>
      <c r="BN20" s="34" t="str">
        <v/>
      </c>
      <c r="BO20" s="34" t="str">
        <v/>
      </c>
      <c r="BP20" s="34" t="str">
        <v/>
      </c>
      <c r="BQ20" s="34" t="str">
        <v>5х6</v>
      </c>
      <c r="BR20" s="34" t="str">
        <v/>
      </c>
      <c r="BS20" s="34" t="str">
        <v/>
      </c>
      <c r="BT20" s="34" t="str">
        <v/>
      </c>
      <c r="BU20" s="34">
        <v>0</v>
      </c>
      <c r="BV20" s="34">
        <v>18</v>
      </c>
      <c r="BW20" s="34">
        <v>1</v>
      </c>
      <c r="BX20" s="34">
        <v>2</v>
      </c>
      <c r="BY20" s="34" t="str">
        <v/>
      </c>
      <c r="BZ20">
        <v>1</v>
      </c>
      <c r="CA20" t="str">
        <v>линии</v>
      </c>
    </row>
    <row r="21" spans="1:79" x14ac:dyDescent="0.3">
      <c r="A21" s="39" t="str">
        <v>ГРЩ-ЖД</v>
      </c>
      <c r="B21" s="42">
        <v>33</v>
      </c>
      <c r="C21" s="42">
        <v>2</v>
      </c>
      <c r="D21" s="75" t="str">
        <v/>
      </c>
      <c r="E21" s="75" t="str">
        <v/>
      </c>
      <c r="F21" s="76" t="str">
        <v/>
      </c>
      <c r="G21" s="47" t="str">
        <v/>
      </c>
      <c r="H21" s="47" t="str">
        <v/>
      </c>
      <c r="I21" s="75" t="str">
        <v/>
      </c>
      <c r="J21" s="76" t="str">
        <v/>
      </c>
      <c r="K21" s="76" t="str">
        <v/>
      </c>
      <c r="L21" s="75" t="str">
        <v/>
      </c>
      <c r="M21" s="49" t="str">
        <v/>
      </c>
      <c r="N21" s="76" t="str">
        <v/>
      </c>
      <c r="O21" s="49" t="str">
        <v/>
      </c>
      <c r="P21" s="77" t="str">
        <v/>
      </c>
      <c r="Q21" s="53" t="str">
        <v>5хВВГнг(А)-LS  (1х95) L=53-0,89%</v>
      </c>
      <c r="R21" s="54" t="str">
        <v>ЩР-ПК</v>
      </c>
      <c r="S21" s="55" t="str">
        <v>Щит профкухни ЩС-ПК Цокольный этаж этаж Пом. №0.0014Б</v>
      </c>
      <c r="T21" s="56">
        <v>103.95</v>
      </c>
      <c r="U21" s="56">
        <v>157.94</v>
      </c>
      <c r="V21" s="42" t="str">
        <v>L1,L2,L3</v>
      </c>
      <c r="W21" s="57" t="str">
        <v/>
      </c>
      <c r="X21" s="58" t="str">
        <v/>
      </c>
      <c r="Y21" s="75" t="str">
        <v/>
      </c>
      <c r="Z21" s="59" t="str">
        <v/>
      </c>
      <c r="AA21" s="61" t="str">
        <v/>
      </c>
      <c r="AB21" s="61">
        <v>315</v>
      </c>
      <c r="AC21" s="61" t="str">
        <v/>
      </c>
      <c r="AD21" s="62" t="str">
        <v/>
      </c>
      <c r="AE21" s="62" t="str">
        <v/>
      </c>
      <c r="AF21" s="34" t="str">
        <v/>
      </c>
      <c r="AG21" s="34" t="str">
        <v/>
      </c>
      <c r="AH21" s="34" t="str">
        <v/>
      </c>
      <c r="AI21" s="34" t="str">
        <v/>
      </c>
      <c r="AJ21" s="34" t="str">
        <v/>
      </c>
      <c r="AK21" s="34">
        <v>3</v>
      </c>
      <c r="AL21" s="34" t="str">
        <v>ЩР-ПК</v>
      </c>
      <c r="AM21" s="34">
        <v>0</v>
      </c>
      <c r="AN21" s="34">
        <v>0</v>
      </c>
      <c r="AO21" s="34" t="str">
        <v/>
      </c>
      <c r="AP21" s="34" t="str">
        <v/>
      </c>
      <c r="AQ21" s="34" t="str">
        <v/>
      </c>
      <c r="AR21" s="34" t="str">
        <v/>
      </c>
      <c r="AS21" s="34" t="str">
        <v/>
      </c>
      <c r="AT21" s="34" t="str">
        <v/>
      </c>
      <c r="AU21" s="34" t="str">
        <v/>
      </c>
      <c r="AV21" s="34" t="str">
        <v/>
      </c>
      <c r="AW21" s="34" t="str">
        <v/>
      </c>
      <c r="AX21" s="34" t="str">
        <v/>
      </c>
      <c r="AY21" s="34">
        <v>1</v>
      </c>
      <c r="AZ21" s="34" t="str">
        <v/>
      </c>
      <c r="BA21" s="34">
        <v>0</v>
      </c>
      <c r="BB21" s="34">
        <v>200</v>
      </c>
      <c r="BD21" s="34">
        <v>1</v>
      </c>
      <c r="BE21" s="34">
        <v>0</v>
      </c>
      <c r="BF21" s="34">
        <v>0</v>
      </c>
      <c r="BG21" s="34" t="str">
        <v/>
      </c>
      <c r="BH21" s="34" t="str">
        <v/>
      </c>
      <c r="BI21" s="34" t="str">
        <v/>
      </c>
      <c r="BJ21" s="34" t="str">
        <v/>
      </c>
      <c r="BK21" s="34" t="str">
        <v>BOX</v>
      </c>
      <c r="BL21" s="34">
        <v>1</v>
      </c>
      <c r="BM21" s="34" t="str">
        <v/>
      </c>
      <c r="BN21" s="34" t="str">
        <v/>
      </c>
      <c r="BO21" s="34" t="str">
        <v/>
      </c>
      <c r="BP21" s="34" t="str">
        <v/>
      </c>
      <c r="BQ21" s="34" t="str">
        <v>1х95</v>
      </c>
      <c r="BR21" s="34">
        <v>8</v>
      </c>
      <c r="BS21" s="34" t="str">
        <v/>
      </c>
      <c r="BT21" s="34" t="str">
        <v/>
      </c>
      <c r="BU21" s="34">
        <v>0</v>
      </c>
      <c r="BV21" s="34">
        <v>19</v>
      </c>
      <c r="BW21" s="34">
        <v>1</v>
      </c>
      <c r="BX21" s="34">
        <v>0</v>
      </c>
      <c r="BY21" s="34">
        <v>0</v>
      </c>
      <c r="BZ21">
        <v>1</v>
      </c>
      <c r="CA21" t="str">
        <v>линии</v>
      </c>
    </row>
    <row r="22" spans="1:79" x14ac:dyDescent="0.3">
      <c r="A22" s="39" t="str">
        <v>ГРЩ-ЖД</v>
      </c>
      <c r="B22" s="42">
        <v>36</v>
      </c>
      <c r="C22" s="42">
        <v>3</v>
      </c>
      <c r="D22" s="75" t="str">
        <v/>
      </c>
      <c r="E22" s="75" t="str">
        <v/>
      </c>
      <c r="F22" s="76" t="str">
        <v/>
      </c>
      <c r="G22" s="47" t="str">
        <v/>
      </c>
      <c r="H22" s="47" t="str">
        <v/>
      </c>
      <c r="I22" s="75" t="str">
        <v/>
      </c>
      <c r="J22" s="76" t="str">
        <v/>
      </c>
      <c r="K22" s="76" t="str">
        <v/>
      </c>
      <c r="L22" s="75" t="str">
        <v/>
      </c>
      <c r="M22" s="49" t="str">
        <v/>
      </c>
      <c r="N22" s="76" t="str">
        <v/>
      </c>
      <c r="O22" s="49" t="str">
        <v/>
      </c>
      <c r="P22" s="77" t="str">
        <v>XT17</v>
      </c>
      <c r="Q22" s="53" t="str">
        <v>ВВГнг(А)-LS (5х16) L=59-2,01%</v>
      </c>
      <c r="R22" s="54" t="str">
        <v>РЩ-1</v>
      </c>
      <c r="S22" s="55" t="str">
        <v>Щит Хаммам РЩ-1  Подвальный этаж этаж Пом. №00.001Тб</v>
      </c>
      <c r="T22" s="56">
        <v>38</v>
      </c>
      <c r="U22" s="56">
        <v>57.739999999999995</v>
      </c>
      <c r="V22" s="42" t="str">
        <v>L1,L2,L3</v>
      </c>
      <c r="W22" s="57" t="str">
        <v/>
      </c>
      <c r="X22" s="58" t="str">
        <v/>
      </c>
      <c r="Y22" s="75" t="str">
        <v/>
      </c>
      <c r="Z22" s="59" t="str">
        <v/>
      </c>
      <c r="AA22" s="61" t="str">
        <v/>
      </c>
      <c r="AB22" s="61">
        <v>63</v>
      </c>
      <c r="AC22" s="61" t="str">
        <v/>
      </c>
      <c r="AD22" s="62" t="str">
        <v>XT17</v>
      </c>
      <c r="AE22" s="62" t="str">
        <v/>
      </c>
      <c r="AF22" s="34" t="str">
        <v/>
      </c>
      <c r="AG22" s="34" t="str">
        <v/>
      </c>
      <c r="AH22" s="34" t="str">
        <v/>
      </c>
      <c r="AI22" s="34" t="str">
        <v/>
      </c>
      <c r="AJ22" s="34" t="str">
        <v/>
      </c>
      <c r="AK22" s="34">
        <v>3</v>
      </c>
      <c r="AL22" s="34" t="str">
        <v>РЩ-1</v>
      </c>
      <c r="AM22" s="34">
        <v>0</v>
      </c>
      <c r="AN22" s="34">
        <v>0</v>
      </c>
      <c r="AO22" s="34" t="str">
        <v/>
      </c>
      <c r="AP22" s="34" t="str">
        <v/>
      </c>
      <c r="AQ22" s="34" t="str">
        <v/>
      </c>
      <c r="AR22" s="34" t="str">
        <v/>
      </c>
      <c r="AS22" s="34" t="str">
        <v/>
      </c>
      <c r="AT22" s="34" t="str">
        <v/>
      </c>
      <c r="AU22" s="34" t="str">
        <v/>
      </c>
      <c r="AV22" s="34" t="str">
        <v/>
      </c>
      <c r="AW22" s="34" t="str">
        <v/>
      </c>
      <c r="AX22" s="34" t="str">
        <v/>
      </c>
      <c r="AY22" s="34">
        <v>1</v>
      </c>
      <c r="AZ22" s="34" t="str">
        <v/>
      </c>
      <c r="BA22" s="34">
        <v>0</v>
      </c>
      <c r="BB22" s="34">
        <v>63</v>
      </c>
      <c r="BD22" s="34">
        <v>1</v>
      </c>
      <c r="BE22" s="34">
        <v>0</v>
      </c>
      <c r="BF22" s="34">
        <v>0</v>
      </c>
      <c r="BG22" s="34" t="str">
        <v/>
      </c>
      <c r="BH22" s="34" t="str">
        <v/>
      </c>
      <c r="BI22" s="34" t="str">
        <v/>
      </c>
      <c r="BJ22" s="34" t="str">
        <v/>
      </c>
      <c r="BK22" s="34" t="str">
        <v>BOX</v>
      </c>
      <c r="BL22" s="34">
        <v>1</v>
      </c>
      <c r="BM22" s="34" t="str">
        <v/>
      </c>
      <c r="BN22" s="34" t="str">
        <v/>
      </c>
      <c r="BO22" s="34" t="str">
        <v/>
      </c>
      <c r="BP22" s="34" t="str">
        <v/>
      </c>
      <c r="BQ22" s="34" t="str">
        <v>5х16</v>
      </c>
      <c r="BR22" s="34" t="str">
        <v/>
      </c>
      <c r="BS22" s="34" t="str">
        <v/>
      </c>
      <c r="BT22" s="34" t="str">
        <v/>
      </c>
      <c r="BU22" s="34">
        <v>0</v>
      </c>
      <c r="BV22" s="34">
        <v>20</v>
      </c>
      <c r="BW22" s="34">
        <v>1</v>
      </c>
      <c r="BX22" s="34">
        <v>2</v>
      </c>
      <c r="BY22" s="34" t="str">
        <v/>
      </c>
      <c r="BZ22">
        <v>1</v>
      </c>
      <c r="CA22" t="str">
        <v>линии</v>
      </c>
    </row>
    <row r="23" spans="1:79" x14ac:dyDescent="0.3">
      <c r="A23" s="39" t="str">
        <v>ГРЩ-ЖД</v>
      </c>
      <c r="B23" s="42">
        <v>37</v>
      </c>
      <c r="C23" s="42">
        <v>3</v>
      </c>
      <c r="D23" s="75" t="str">
        <v/>
      </c>
      <c r="E23" s="75" t="str">
        <v/>
      </c>
      <c r="F23" s="76" t="str">
        <v/>
      </c>
      <c r="G23" s="47" t="str">
        <v/>
      </c>
      <c r="H23" s="47" t="str">
        <v/>
      </c>
      <c r="I23" s="75" t="str">
        <v/>
      </c>
      <c r="J23" s="76" t="str">
        <v/>
      </c>
      <c r="K23" s="76" t="str">
        <v/>
      </c>
      <c r="L23" s="75" t="str">
        <v/>
      </c>
      <c r="M23" s="49" t="str">
        <v/>
      </c>
      <c r="N23" s="76" t="str">
        <v/>
      </c>
      <c r="O23" s="49" t="str">
        <v/>
      </c>
      <c r="P23" s="77" t="str">
        <v>XT18</v>
      </c>
      <c r="Q23" s="53" t="str">
        <v>ВВГнг(А)-LS (3х6) L=63-4,47%</v>
      </c>
      <c r="R23" s="54" t="str">
        <v>Э.4</v>
      </c>
      <c r="S23" s="55" t="str">
        <v>Флоатинг. Цокольный этаж этаж Пом. №023A</v>
      </c>
      <c r="T23" s="56">
        <v>5</v>
      </c>
      <c r="U23" s="56">
        <v>22.8</v>
      </c>
      <c r="V23" s="42" t="str">
        <v>L1</v>
      </c>
      <c r="W23" s="57" t="str">
        <v/>
      </c>
      <c r="X23" s="58" t="str">
        <v/>
      </c>
      <c r="Y23" s="75" t="str">
        <v/>
      </c>
      <c r="Z23" s="59" t="str">
        <v/>
      </c>
      <c r="AA23" s="61" t="str">
        <v/>
      </c>
      <c r="AB23" s="61">
        <v>50</v>
      </c>
      <c r="AC23" s="61" t="str">
        <v/>
      </c>
      <c r="AD23" s="62" t="str">
        <v>XT18</v>
      </c>
      <c r="AE23" s="62" t="str">
        <v>потери 4,5 % &gt; 4 %</v>
      </c>
      <c r="AF23" s="34" t="str">
        <v/>
      </c>
      <c r="AG23" s="34" t="str">
        <v/>
      </c>
      <c r="AH23" s="34" t="str">
        <v/>
      </c>
      <c r="AI23" s="34" t="str">
        <v/>
      </c>
      <c r="AJ23" s="34" t="str">
        <v/>
      </c>
      <c r="AK23" s="34">
        <v>1</v>
      </c>
      <c r="AL23" s="34" t="str">
        <v>Э</v>
      </c>
      <c r="AM23" s="34">
        <v>0</v>
      </c>
      <c r="AN23" s="34">
        <v>0</v>
      </c>
      <c r="AO23" s="34" t="str">
        <v/>
      </c>
      <c r="AP23" s="34" t="str">
        <v/>
      </c>
      <c r="AQ23" s="34" t="str">
        <v/>
      </c>
      <c r="AR23" s="34" t="str">
        <v/>
      </c>
      <c r="AS23" s="34" t="str">
        <v/>
      </c>
      <c r="AT23" s="34" t="str">
        <v/>
      </c>
      <c r="AU23" s="34" t="str">
        <v/>
      </c>
      <c r="AV23" s="34" t="str">
        <v/>
      </c>
      <c r="AW23" s="34" t="str">
        <v/>
      </c>
      <c r="AX23" s="34" t="str">
        <v/>
      </c>
      <c r="AY23" s="34">
        <v>1</v>
      </c>
      <c r="AZ23" s="34" t="str">
        <v/>
      </c>
      <c r="BA23" s="34">
        <v>0</v>
      </c>
      <c r="BB23" s="34">
        <v>25</v>
      </c>
      <c r="BD23" s="34">
        <v>1</v>
      </c>
      <c r="BE23" s="34">
        <v>0</v>
      </c>
      <c r="BF23" s="34">
        <v>0</v>
      </c>
      <c r="BG23" s="34" t="str">
        <v/>
      </c>
      <c r="BH23" s="34" t="str">
        <v/>
      </c>
      <c r="BI23" s="34" t="str">
        <v/>
      </c>
      <c r="BJ23" s="34" t="str">
        <v/>
      </c>
      <c r="BK23" s="34" t="str">
        <v>BOX</v>
      </c>
      <c r="BL23" s="34">
        <v>1</v>
      </c>
      <c r="BM23" s="34" t="str">
        <v/>
      </c>
      <c r="BN23" s="34" t="str">
        <v/>
      </c>
      <c r="BO23" s="34" t="str">
        <v/>
      </c>
      <c r="BP23" s="34" t="str">
        <v/>
      </c>
      <c r="BQ23" s="34" t="str">
        <v>3х6</v>
      </c>
      <c r="BR23" s="34">
        <v>9</v>
      </c>
      <c r="BS23" s="34" t="str">
        <v/>
      </c>
      <c r="BT23" s="34" t="str">
        <v/>
      </c>
      <c r="BU23" s="34">
        <v>1</v>
      </c>
      <c r="BV23" s="34">
        <v>21</v>
      </c>
      <c r="BW23" s="34">
        <v>1</v>
      </c>
      <c r="BX23" s="34">
        <v>0</v>
      </c>
      <c r="BY23" s="34">
        <v>0</v>
      </c>
      <c r="BZ23">
        <v>1</v>
      </c>
      <c r="CA23" t="str">
        <v>линии</v>
      </c>
    </row>
    <row r="24" spans="1:79" x14ac:dyDescent="0.3">
      <c r="A24" s="39" t="str">
        <v>ГРЩ-ЖД</v>
      </c>
      <c r="B24" s="42">
        <v>38</v>
      </c>
      <c r="C24" s="42">
        <v>3</v>
      </c>
      <c r="D24" s="75" t="str">
        <v/>
      </c>
      <c r="E24" s="75" t="str">
        <v/>
      </c>
      <c r="F24" s="76" t="str">
        <v/>
      </c>
      <c r="G24" s="47" t="str">
        <v/>
      </c>
      <c r="H24" s="47" t="str">
        <v/>
      </c>
      <c r="I24" s="75" t="str">
        <v/>
      </c>
      <c r="J24" s="76" t="str">
        <v/>
      </c>
      <c r="K24" s="76" t="str">
        <v/>
      </c>
      <c r="L24" s="75" t="str">
        <v/>
      </c>
      <c r="M24" s="49" t="str">
        <v/>
      </c>
      <c r="N24" s="76" t="str">
        <v/>
      </c>
      <c r="O24" s="49" t="str">
        <v/>
      </c>
      <c r="P24" s="77" t="str">
        <v/>
      </c>
      <c r="Q24" s="53" t="str">
        <v>ВВГнг(А)-LS (3х2,5) L=44-0,45%</v>
      </c>
      <c r="R24" s="54" t="str">
        <v>SEC1-21</v>
      </c>
      <c r="S24" s="55" t="str">
        <v>Щит охранной сигнализации Подвальный этаж этаж Пом. №007Т</v>
      </c>
      <c r="T24" s="56">
        <v>0.3</v>
      </c>
      <c r="U24" s="56">
        <v>1.37</v>
      </c>
      <c r="V24" s="42" t="str">
        <v>L2</v>
      </c>
      <c r="W24" s="57" t="str">
        <v/>
      </c>
      <c r="X24" s="58" t="str">
        <v/>
      </c>
      <c r="Y24" s="75" t="str">
        <v/>
      </c>
      <c r="Z24" s="59" t="str">
        <v/>
      </c>
      <c r="AA24" s="61" t="str">
        <v/>
      </c>
      <c r="AB24" s="61">
        <v>25</v>
      </c>
      <c r="AC24" s="61" t="str">
        <v/>
      </c>
      <c r="AD24" s="62" t="str">
        <v/>
      </c>
      <c r="AE24" s="62" t="str">
        <v/>
      </c>
      <c r="AF24" s="34" t="str">
        <v/>
      </c>
      <c r="AG24" s="34" t="str">
        <v/>
      </c>
      <c r="AH24" s="34" t="str">
        <v/>
      </c>
      <c r="AI24" s="34" t="str">
        <v/>
      </c>
      <c r="AJ24" s="34" t="str">
        <v/>
      </c>
      <c r="AK24" s="34">
        <v>1</v>
      </c>
      <c r="AL24" s="34" t="str">
        <v>SEC1-21</v>
      </c>
      <c r="AM24" s="34">
        <v>0</v>
      </c>
      <c r="AN24" s="34">
        <v>0</v>
      </c>
      <c r="AO24" s="34" t="str">
        <v/>
      </c>
      <c r="AP24" s="34" t="str">
        <v/>
      </c>
      <c r="AQ24" s="34" t="str">
        <v/>
      </c>
      <c r="AR24" s="34" t="str">
        <v/>
      </c>
      <c r="AS24" s="34" t="str">
        <v/>
      </c>
      <c r="AT24" s="34" t="str">
        <v/>
      </c>
      <c r="AU24" s="34" t="str">
        <v/>
      </c>
      <c r="AV24" s="34" t="str">
        <v/>
      </c>
      <c r="AW24" s="34" t="str">
        <v/>
      </c>
      <c r="AX24" s="34" t="str">
        <v/>
      </c>
      <c r="AY24" s="34">
        <v>1</v>
      </c>
      <c r="AZ24" s="34" t="str">
        <v/>
      </c>
      <c r="BA24" s="34">
        <v>0</v>
      </c>
      <c r="BB24" s="34">
        <v>6</v>
      </c>
      <c r="BD24" s="34">
        <v>1</v>
      </c>
      <c r="BE24" s="34">
        <v>0</v>
      </c>
      <c r="BF24" s="34">
        <v>0</v>
      </c>
      <c r="BG24" s="34" t="str">
        <v/>
      </c>
      <c r="BH24" s="34" t="str">
        <v/>
      </c>
      <c r="BI24" s="34" t="str">
        <v/>
      </c>
      <c r="BJ24" s="34" t="str">
        <v/>
      </c>
      <c r="BK24" s="34" t="str">
        <v>BOX</v>
      </c>
      <c r="BL24" s="34">
        <v>1</v>
      </c>
      <c r="BM24" s="34" t="str">
        <v/>
      </c>
      <c r="BN24" s="34" t="str">
        <v/>
      </c>
      <c r="BO24" s="34" t="str">
        <v/>
      </c>
      <c r="BP24" s="34" t="str">
        <v/>
      </c>
      <c r="BQ24" s="34" t="str">
        <v>3х2,5</v>
      </c>
      <c r="BR24" s="34" t="str">
        <v/>
      </c>
      <c r="BS24" s="34" t="str">
        <v/>
      </c>
      <c r="BT24" s="34" t="str">
        <v/>
      </c>
      <c r="BU24" s="34">
        <v>0</v>
      </c>
      <c r="BV24" s="34">
        <v>22</v>
      </c>
      <c r="BW24" s="34">
        <v>1</v>
      </c>
      <c r="BX24" s="34">
        <v>0</v>
      </c>
      <c r="BY24" s="34" t="str">
        <v/>
      </c>
      <c r="BZ24">
        <v>1</v>
      </c>
      <c r="CA24" t="str">
        <v>линии</v>
      </c>
    </row>
    <row r="25" spans="1:79" x14ac:dyDescent="0.3">
      <c r="A25" s="39" t="str">
        <v>ЩГП</v>
      </c>
      <c r="B25" s="42">
        <v>2</v>
      </c>
      <c r="C25" s="42">
        <v>1</v>
      </c>
      <c r="D25" s="75" t="str">
        <v/>
      </c>
      <c r="E25" s="75" t="str">
        <v/>
      </c>
      <c r="F25" s="76" t="str">
        <v/>
      </c>
      <c r="G25" s="47" t="str">
        <v/>
      </c>
      <c r="H25" s="47" t="str">
        <v/>
      </c>
      <c r="I25" s="75" t="str">
        <v/>
      </c>
      <c r="J25" s="76" t="str">
        <v/>
      </c>
      <c r="K25" s="76" t="str">
        <v/>
      </c>
      <c r="L25" s="75" t="str">
        <v/>
      </c>
      <c r="M25" s="49" t="str">
        <v/>
      </c>
      <c r="N25" s="76" t="str">
        <v/>
      </c>
      <c r="O25" s="49" t="str">
        <v/>
      </c>
      <c r="P25" s="77" t="str">
        <v/>
      </c>
      <c r="Q25" s="53" t="str">
        <v/>
      </c>
      <c r="R25" s="54" t="str">
        <v>Ввод.1</v>
      </c>
      <c r="S25" s="55" t="str">
        <v>Вводной кабель Шлейф №1</v>
      </c>
      <c r="T25" s="56">
        <v>0</v>
      </c>
      <c r="U25" s="56">
        <v>0</v>
      </c>
      <c r="V25" s="42" t="str">
        <v>L1,L2,L3</v>
      </c>
      <c r="W25" s="57" t="str">
        <v/>
      </c>
      <c r="X25" s="58" t="str">
        <v/>
      </c>
      <c r="Y25" s="75" t="str">
        <v>вручную</v>
      </c>
      <c r="Z25" s="59" t="str">
        <v/>
      </c>
      <c r="AA25" s="61" t="str">
        <v/>
      </c>
      <c r="AB25" s="61">
        <v>50</v>
      </c>
      <c r="AC25" s="61" t="str">
        <v/>
      </c>
      <c r="AD25" s="62" t="str">
        <v/>
      </c>
      <c r="AE25" s="62" t="str">
        <v/>
      </c>
      <c r="AF25" s="34" t="str">
        <v/>
      </c>
      <c r="AG25" s="34" t="str">
        <v/>
      </c>
      <c r="AH25" s="34" t="str">
        <v/>
      </c>
      <c r="AI25" s="34" t="str">
        <v/>
      </c>
      <c r="AJ25" s="34" t="str">
        <v/>
      </c>
      <c r="AK25" s="34">
        <v>3</v>
      </c>
      <c r="AL25" s="34" t="str">
        <v>Ввод</v>
      </c>
      <c r="AM25" s="34">
        <v>0</v>
      </c>
      <c r="AN25" s="34">
        <v>0</v>
      </c>
      <c r="AO25" s="34" t="str">
        <v/>
      </c>
      <c r="AP25" s="34" t="str">
        <v/>
      </c>
      <c r="AQ25" s="34" t="str">
        <v/>
      </c>
      <c r="AR25" s="34" t="str">
        <v/>
      </c>
      <c r="AS25" s="34" t="str">
        <v/>
      </c>
      <c r="AT25" s="34" t="str">
        <v/>
      </c>
      <c r="AU25" s="34" t="str">
        <v/>
      </c>
      <c r="AV25" s="34" t="str">
        <v/>
      </c>
      <c r="AW25" s="34" t="str">
        <v/>
      </c>
      <c r="AX25" s="34" t="str">
        <v/>
      </c>
      <c r="AY25" s="34">
        <v>0</v>
      </c>
      <c r="AZ25" s="34" t="str">
        <v/>
      </c>
      <c r="BA25" s="34">
        <v>0</v>
      </c>
      <c r="BB25" s="34">
        <v>40</v>
      </c>
      <c r="BD25" s="34">
        <v>0</v>
      </c>
      <c r="BE25" s="34">
        <v>0</v>
      </c>
      <c r="BF25" s="34">
        <v>0</v>
      </c>
      <c r="BG25" s="34" t="str">
        <v/>
      </c>
      <c r="BH25" s="34" t="str">
        <v/>
      </c>
      <c r="BI25" s="34" t="str">
        <v/>
      </c>
      <c r="BJ25" s="34" t="str">
        <v/>
      </c>
      <c r="BK25" s="34" t="str">
        <v>BOX</v>
      </c>
      <c r="BL25" s="34">
        <v>1</v>
      </c>
      <c r="BM25" s="34" t="str">
        <v/>
      </c>
      <c r="BN25" s="34" t="str">
        <v/>
      </c>
      <c r="BO25" s="34" t="str">
        <v/>
      </c>
      <c r="BP25" s="34" t="str">
        <v/>
      </c>
      <c r="BQ25" s="34" t="str">
        <v/>
      </c>
      <c r="BR25" s="34" t="str">
        <v/>
      </c>
      <c r="BS25" s="34" t="str">
        <v/>
      </c>
      <c r="BT25" s="34" t="str">
        <v/>
      </c>
      <c r="BU25" s="34">
        <v>0</v>
      </c>
      <c r="BV25" s="34">
        <v>24</v>
      </c>
      <c r="BW25" s="34">
        <v>0</v>
      </c>
      <c r="BX25" s="34">
        <v>0</v>
      </c>
      <c r="BY25" s="34">
        <v>0</v>
      </c>
      <c r="BZ25">
        <v>2</v>
      </c>
      <c r="CA25" t="str">
        <v>вводной узел</v>
      </c>
    </row>
    <row r="26" spans="1:79" x14ac:dyDescent="0.3">
      <c r="A26" s="39" t="str">
        <v>ЩГП</v>
      </c>
      <c r="B26" s="42">
        <v>9</v>
      </c>
      <c r="C26" s="42">
        <v>1</v>
      </c>
      <c r="D26" s="75" t="str">
        <v/>
      </c>
      <c r="E26" s="75" t="str">
        <v>авто</v>
      </c>
      <c r="F26" s="76" t="str">
        <v/>
      </c>
      <c r="G26" s="47" t="str">
        <v>QF1</v>
      </c>
      <c r="H26" s="47" t="str">
        <v>1P С6А</v>
      </c>
      <c r="I26" s="75" t="str">
        <v/>
      </c>
      <c r="J26" s="76" t="str">
        <v/>
      </c>
      <c r="K26" s="76" t="str">
        <v/>
      </c>
      <c r="L26" s="75" t="str">
        <v/>
      </c>
      <c r="M26" s="49" t="str">
        <v/>
      </c>
      <c r="N26" s="76" t="str">
        <v/>
      </c>
      <c r="O26" s="49" t="str">
        <v/>
      </c>
      <c r="P26" s="77" t="str">
        <v/>
      </c>
      <c r="Q26" s="53" t="str">
        <v/>
      </c>
      <c r="R26" s="54" t="str">
        <v>На ИБП</v>
      </c>
      <c r="S26" s="55" t="str">
        <v>Питание на ИБП</v>
      </c>
      <c r="T26" s="56">
        <v>0</v>
      </c>
      <c r="U26" s="56">
        <v>0</v>
      </c>
      <c r="V26" s="42" t="str">
        <v>L2</v>
      </c>
      <c r="W26" s="57" t="str">
        <v>ok</v>
      </c>
      <c r="X26" s="58" t="str">
        <v/>
      </c>
      <c r="Y26" s="75" t="str">
        <v/>
      </c>
      <c r="Z26" s="59">
        <v>0</v>
      </c>
      <c r="AA26" s="61">
        <v>6</v>
      </c>
      <c r="AB26" s="61">
        <v>16</v>
      </c>
      <c r="AC26" s="61" t="str">
        <v/>
      </c>
      <c r="AD26" s="62" t="str">
        <v>QF1</v>
      </c>
      <c r="AE26" s="62" t="str">
        <v/>
      </c>
      <c r="AF26" s="34">
        <v>1</v>
      </c>
      <c r="AG26" s="34" t="str">
        <v>QF1</v>
      </c>
      <c r="AH26" s="34" t="str">
        <v/>
      </c>
      <c r="AI26" s="34" t="str">
        <v/>
      </c>
      <c r="AJ26" s="34" t="str">
        <v>QF1</v>
      </c>
      <c r="AK26" s="34">
        <v>1</v>
      </c>
      <c r="AL26" s="34" t="str">
        <v>На ИБП</v>
      </c>
      <c r="AM26" s="34">
        <v>0</v>
      </c>
      <c r="AN26" s="34">
        <v>0</v>
      </c>
      <c r="AO26" s="34">
        <v>6</v>
      </c>
      <c r="AP26" s="34">
        <v>16</v>
      </c>
      <c r="AQ26" s="34">
        <v>6</v>
      </c>
      <c r="AR26" s="34">
        <v>1</v>
      </c>
      <c r="AS26" s="34">
        <v>0</v>
      </c>
      <c r="AT26" s="34" t="str">
        <v>1P</v>
      </c>
      <c r="AU26" s="34">
        <v>6</v>
      </c>
      <c r="AV26" s="34" t="str">
        <v/>
      </c>
      <c r="AW26" s="34" t="str">
        <v/>
      </c>
      <c r="AX26" s="34" t="str">
        <v/>
      </c>
      <c r="AY26" s="34">
        <v>0</v>
      </c>
      <c r="AZ26" s="34" t="str">
        <v/>
      </c>
      <c r="BA26" s="34">
        <v>0</v>
      </c>
      <c r="BB26" s="34">
        <v>0</v>
      </c>
      <c r="BD26" s="34">
        <v>1</v>
      </c>
      <c r="BE26" s="34">
        <v>0</v>
      </c>
      <c r="BF26" s="34">
        <v>0</v>
      </c>
      <c r="BG26" s="34" t="str">
        <v/>
      </c>
      <c r="BH26" s="34" t="str">
        <v/>
      </c>
      <c r="BI26" s="34" t="str">
        <v/>
      </c>
      <c r="BJ26" s="34" t="str">
        <v/>
      </c>
      <c r="BK26" s="34" t="str">
        <v>BOX</v>
      </c>
      <c r="BL26" s="34">
        <v>1</v>
      </c>
      <c r="BM26" s="34">
        <v>1</v>
      </c>
      <c r="BN26" s="34" t="str">
        <v/>
      </c>
      <c r="BO26" s="34" t="str">
        <v/>
      </c>
      <c r="BP26" s="34" t="str">
        <v/>
      </c>
      <c r="BQ26" s="34" t="str">
        <v/>
      </c>
      <c r="BR26" s="34" t="str">
        <v/>
      </c>
      <c r="BS26" s="34" t="str">
        <v/>
      </c>
      <c r="BT26" s="34" t="str">
        <v/>
      </c>
      <c r="BU26" s="34">
        <v>0</v>
      </c>
      <c r="BV26" s="34">
        <v>25</v>
      </c>
      <c r="BW26" s="34">
        <v>0</v>
      </c>
      <c r="BX26" s="34">
        <v>0</v>
      </c>
      <c r="BY26" s="34">
        <v>0</v>
      </c>
      <c r="BZ26">
        <v>2</v>
      </c>
      <c r="CA26" t="str">
        <v>линии</v>
      </c>
    </row>
    <row r="27" spans="1:79" x14ac:dyDescent="0.3">
      <c r="A27" s="39" t="str">
        <v>ЩГП</v>
      </c>
      <c r="B27" s="42">
        <v>11</v>
      </c>
      <c r="C27" s="42">
        <v>1</v>
      </c>
      <c r="D27" s="75" t="str">
        <v/>
      </c>
      <c r="E27" s="75" t="str">
        <v>авто</v>
      </c>
      <c r="F27" s="76" t="str">
        <v/>
      </c>
      <c r="G27" s="47" t="str">
        <v>QF2</v>
      </c>
      <c r="H27" s="47" t="str">
        <v>1P С6А</v>
      </c>
      <c r="I27" s="75" t="str">
        <v/>
      </c>
      <c r="J27" s="76" t="str">
        <v/>
      </c>
      <c r="K27" s="76" t="str">
        <v/>
      </c>
      <c r="L27" s="75" t="str">
        <v/>
      </c>
      <c r="M27" s="49" t="str">
        <v/>
      </c>
      <c r="N27" s="76" t="str">
        <v/>
      </c>
      <c r="O27" s="49" t="str">
        <v/>
      </c>
      <c r="P27" s="77" t="str">
        <v/>
      </c>
      <c r="Q27" s="53" t="str">
        <v/>
      </c>
      <c r="R27" s="54" t="str">
        <v>От ИБП</v>
      </c>
      <c r="S27" s="55" t="str">
        <v>Питание от ИБП</v>
      </c>
      <c r="T27" s="56">
        <v>0</v>
      </c>
      <c r="U27" s="56" t="str">
        <v/>
      </c>
      <c r="V27" s="42" t="str">
        <v>L1</v>
      </c>
      <c r="W27" s="57" t="str">
        <v>ok</v>
      </c>
      <c r="X27" s="58" t="str">
        <v/>
      </c>
      <c r="Y27" s="75" t="str">
        <v/>
      </c>
      <c r="Z27" s="59">
        <v>0</v>
      </c>
      <c r="AA27" s="61">
        <v>6</v>
      </c>
      <c r="AB27" s="61" t="str">
        <v/>
      </c>
      <c r="AC27" s="61" t="str">
        <v/>
      </c>
      <c r="AD27" s="62" t="str">
        <v>QF2</v>
      </c>
      <c r="AE27" s="62" t="str">
        <v/>
      </c>
      <c r="AF27" s="34">
        <v>2</v>
      </c>
      <c r="AG27" s="34" t="str">
        <v>QF2</v>
      </c>
      <c r="AH27" s="34" t="str">
        <v/>
      </c>
      <c r="AI27" s="34" t="str">
        <v/>
      </c>
      <c r="AJ27" s="34" t="str">
        <v>QF2</v>
      </c>
      <c r="AK27" s="34">
        <v>1</v>
      </c>
      <c r="AL27" s="34" t="str">
        <v>От ИБП</v>
      </c>
      <c r="AM27" s="34">
        <v>0</v>
      </c>
      <c r="AN27" s="34">
        <v>0</v>
      </c>
      <c r="AO27" s="34">
        <v>6</v>
      </c>
      <c r="AP27" s="34">
        <v>0</v>
      </c>
      <c r="AQ27" s="34">
        <v>6</v>
      </c>
      <c r="AR27" s="34">
        <v>1</v>
      </c>
      <c r="AS27" s="34">
        <v>0</v>
      </c>
      <c r="AT27" s="34" t="str">
        <v>1P</v>
      </c>
      <c r="AU27" s="34">
        <v>6</v>
      </c>
      <c r="AV27" s="34" t="str">
        <v/>
      </c>
      <c r="AW27" s="34" t="str">
        <v/>
      </c>
      <c r="AX27" s="34" t="str">
        <v/>
      </c>
      <c r="AY27" s="34">
        <v>0</v>
      </c>
      <c r="AZ27" s="34" t="str">
        <v/>
      </c>
      <c r="BA27" s="34">
        <v>0</v>
      </c>
      <c r="BB27" s="34">
        <v>0</v>
      </c>
      <c r="BD27" s="34">
        <v>1</v>
      </c>
      <c r="BE27" s="34">
        <v>0</v>
      </c>
      <c r="BF27" s="34">
        <v>0</v>
      </c>
      <c r="BG27" s="34" t="str">
        <v/>
      </c>
      <c r="BH27" s="34" t="str">
        <v/>
      </c>
      <c r="BI27" s="34" t="str">
        <v/>
      </c>
      <c r="BJ27" s="34" t="str">
        <v/>
      </c>
      <c r="BK27" s="34" t="str">
        <v>BOX</v>
      </c>
      <c r="BL27" s="34">
        <v>1</v>
      </c>
      <c r="BM27" s="34" t="str">
        <v/>
      </c>
      <c r="BN27" s="34" t="str">
        <v/>
      </c>
      <c r="BO27" s="34" t="str">
        <v/>
      </c>
      <c r="BP27" s="34" t="str">
        <v/>
      </c>
      <c r="BQ27" s="34" t="str">
        <v/>
      </c>
      <c r="BR27" s="34" t="str">
        <v/>
      </c>
      <c r="BS27" s="34" t="str">
        <v/>
      </c>
      <c r="BT27" s="34" t="str">
        <v/>
      </c>
      <c r="BU27" s="34">
        <v>0</v>
      </c>
      <c r="BV27" s="34">
        <v>26</v>
      </c>
      <c r="BW27" s="34">
        <v>0</v>
      </c>
      <c r="BX27" s="34">
        <v>0</v>
      </c>
      <c r="BY27" s="34">
        <v>0</v>
      </c>
      <c r="BZ27">
        <v>2</v>
      </c>
      <c r="CA27" t="str">
        <v>линии</v>
      </c>
    </row>
    <row r="28" spans="1:79" x14ac:dyDescent="0.3">
      <c r="A28" s="39" t="str">
        <v>ЩГП</v>
      </c>
      <c r="B28" s="42">
        <v>14</v>
      </c>
      <c r="C28" s="42">
        <v>1</v>
      </c>
      <c r="D28" s="75" t="str">
        <v>ИБП</v>
      </c>
      <c r="E28" s="75" t="str">
        <v>авто</v>
      </c>
      <c r="F28" s="76" t="str">
        <v/>
      </c>
      <c r="G28" s="47" t="str">
        <v>QF3</v>
      </c>
      <c r="H28" s="47" t="str">
        <v>3P С6А</v>
      </c>
      <c r="I28" s="75" t="str">
        <v/>
      </c>
      <c r="J28" s="76" t="str">
        <v/>
      </c>
      <c r="K28" s="76" t="str">
        <v/>
      </c>
      <c r="L28" s="75" t="str">
        <v/>
      </c>
      <c r="M28" s="49" t="str">
        <v/>
      </c>
      <c r="N28" s="76" t="str">
        <v/>
      </c>
      <c r="O28" s="49" t="str">
        <v/>
      </c>
      <c r="P28" s="77" t="str">
        <v>XT1</v>
      </c>
      <c r="Q28" s="53" t="str">
        <v>ВВГнг(А)-LS (5х6) L=41-0,17%</v>
      </c>
      <c r="R28" s="54" t="str">
        <v>ЩО-001</v>
      </c>
      <c r="S28" s="55" t="str">
        <v>Щит освещения ЩО-2 Подвальный этаж этаж Пом. №3.001</v>
      </c>
      <c r="T28" s="56">
        <v>1.9000000000000006</v>
      </c>
      <c r="U28" s="56">
        <v>2.5599999999999996</v>
      </c>
      <c r="V28" s="42" t="str">
        <v>L1,L2,L3</v>
      </c>
      <c r="W28" s="57" t="str">
        <v>ok</v>
      </c>
      <c r="X28" s="58" t="str">
        <v/>
      </c>
      <c r="Y28" s="75" t="str">
        <v/>
      </c>
      <c r="Z28" s="59">
        <v>2.5599999999999996</v>
      </c>
      <c r="AA28" s="61">
        <v>6</v>
      </c>
      <c r="AB28" s="61">
        <v>32</v>
      </c>
      <c r="AC28" s="61" t="str">
        <v/>
      </c>
      <c r="AD28" s="62" t="str">
        <v>QF3 → XT1</v>
      </c>
      <c r="AE28" s="62" t="str">
        <v/>
      </c>
      <c r="AF28" s="34">
        <v>3</v>
      </c>
      <c r="AG28" s="34" t="str">
        <v>QF3</v>
      </c>
      <c r="AH28" s="34" t="str">
        <v/>
      </c>
      <c r="AI28" s="34" t="str">
        <v/>
      </c>
      <c r="AJ28" s="34" t="str">
        <v>QF3</v>
      </c>
      <c r="AK28" s="34">
        <v>3</v>
      </c>
      <c r="AL28" s="34" t="str">
        <v>ЩО-001</v>
      </c>
      <c r="AM28" s="34">
        <v>0</v>
      </c>
      <c r="AN28" s="34">
        <v>0</v>
      </c>
      <c r="AO28" s="34">
        <v>6</v>
      </c>
      <c r="AP28" s="34">
        <v>32</v>
      </c>
      <c r="AQ28" s="34">
        <v>6</v>
      </c>
      <c r="AR28" s="34">
        <v>3</v>
      </c>
      <c r="AS28" s="34">
        <v>0</v>
      </c>
      <c r="AT28" s="34" t="str">
        <v>3P</v>
      </c>
      <c r="AU28" s="34">
        <v>6</v>
      </c>
      <c r="AV28" s="34" t="str">
        <v/>
      </c>
      <c r="AW28" s="34" t="str">
        <v/>
      </c>
      <c r="AX28" s="34" t="str">
        <v/>
      </c>
      <c r="AY28" s="34">
        <v>1</v>
      </c>
      <c r="AZ28" s="34" t="str">
        <v/>
      </c>
      <c r="BA28" s="34">
        <v>0</v>
      </c>
      <c r="BB28" s="34">
        <v>0</v>
      </c>
      <c r="BD28" s="34">
        <v>1</v>
      </c>
      <c r="BE28" s="34">
        <v>1</v>
      </c>
      <c r="BF28" s="34">
        <v>0</v>
      </c>
      <c r="BG28" s="34" t="str">
        <v/>
      </c>
      <c r="BH28" s="34" t="str">
        <v/>
      </c>
      <c r="BI28" s="34" t="str">
        <v/>
      </c>
      <c r="BJ28" s="34" t="str">
        <v/>
      </c>
      <c r="BK28" s="34" t="str">
        <v>BOX</v>
      </c>
      <c r="BL28" s="34">
        <v>1</v>
      </c>
      <c r="BM28" s="34">
        <v>2</v>
      </c>
      <c r="BN28" s="34" t="str">
        <v/>
      </c>
      <c r="BO28" s="34" t="str">
        <v/>
      </c>
      <c r="BP28" s="34" t="str">
        <v/>
      </c>
      <c r="BQ28" s="34" t="str">
        <v>5х6</v>
      </c>
      <c r="BR28" s="34" t="str">
        <v/>
      </c>
      <c r="BS28" s="34" t="str">
        <v/>
      </c>
      <c r="BT28" s="34" t="str">
        <v/>
      </c>
      <c r="BU28" s="34">
        <v>0</v>
      </c>
      <c r="BV28" s="34">
        <v>27</v>
      </c>
      <c r="BW28" s="34">
        <v>1</v>
      </c>
      <c r="BX28" s="34">
        <v>2</v>
      </c>
      <c r="BY28" s="34" t="str">
        <v/>
      </c>
      <c r="BZ28">
        <v>2</v>
      </c>
      <c r="CA28" t="str">
        <v>линии</v>
      </c>
    </row>
    <row r="29" spans="1:79" x14ac:dyDescent="0.3">
      <c r="A29" s="39" t="str">
        <v>ЩГП</v>
      </c>
      <c r="B29" s="42">
        <v>15</v>
      </c>
      <c r="C29" s="42">
        <v>1</v>
      </c>
      <c r="D29" s="75" t="str">
        <v>ИБП</v>
      </c>
      <c r="E29" s="75" t="str">
        <v>авто</v>
      </c>
      <c r="F29" s="76" t="str">
        <v/>
      </c>
      <c r="G29" s="47" t="str">
        <v>QF4</v>
      </c>
      <c r="H29" s="47" t="str">
        <v>3P С6А</v>
      </c>
      <c r="I29" s="75" t="str">
        <v/>
      </c>
      <c r="J29" s="76" t="str">
        <v/>
      </c>
      <c r="K29" s="76" t="str">
        <v/>
      </c>
      <c r="L29" s="75" t="str">
        <v/>
      </c>
      <c r="M29" s="49" t="str">
        <v/>
      </c>
      <c r="N29" s="76" t="str">
        <v/>
      </c>
      <c r="O29" s="49" t="str">
        <v/>
      </c>
      <c r="P29" s="77" t="str">
        <v>XT2</v>
      </c>
      <c r="Q29" s="53" t="str">
        <v>ВВГнг(А)-LS (5х6) L=15-0%</v>
      </c>
      <c r="R29" s="54" t="str">
        <v>ЩО-01</v>
      </c>
      <c r="S29" s="55" t="str">
        <v>Щит освещения ЩО-2 Цокольный этаж этаж Пом. №001Т</v>
      </c>
      <c r="T29" s="56">
        <v>0</v>
      </c>
      <c r="U29" s="56">
        <v>0</v>
      </c>
      <c r="V29" s="42" t="str">
        <v>L1,L2,L3</v>
      </c>
      <c r="W29" s="57" t="str">
        <v>ok</v>
      </c>
      <c r="X29" s="58" t="str">
        <v/>
      </c>
      <c r="Y29" s="75" t="str">
        <v/>
      </c>
      <c r="Z29" s="59">
        <v>0</v>
      </c>
      <c r="AA29" s="61">
        <v>6</v>
      </c>
      <c r="AB29" s="61">
        <v>32</v>
      </c>
      <c r="AC29" s="61" t="str">
        <v/>
      </c>
      <c r="AD29" s="62" t="str">
        <v>QF4 → XT2</v>
      </c>
      <c r="AE29" s="62" t="str">
        <v>нет мощности</v>
      </c>
      <c r="AF29" s="34">
        <v>4</v>
      </c>
      <c r="AG29" s="34" t="str">
        <v>QF4</v>
      </c>
      <c r="AH29" s="34" t="str">
        <v/>
      </c>
      <c r="AI29" s="34" t="str">
        <v/>
      </c>
      <c r="AJ29" s="34" t="str">
        <v>QF4</v>
      </c>
      <c r="AK29" s="34">
        <v>3</v>
      </c>
      <c r="AL29" s="34" t="str">
        <v>ЩО-01</v>
      </c>
      <c r="AM29" s="34">
        <v>0</v>
      </c>
      <c r="AN29" s="34">
        <v>0</v>
      </c>
      <c r="AO29" s="34">
        <v>6</v>
      </c>
      <c r="AP29" s="34">
        <v>32</v>
      </c>
      <c r="AQ29" s="34">
        <v>6</v>
      </c>
      <c r="AR29" s="34">
        <v>3</v>
      </c>
      <c r="AS29" s="34">
        <v>0</v>
      </c>
      <c r="AT29" s="34" t="str">
        <v>3P</v>
      </c>
      <c r="AU29" s="34">
        <v>6</v>
      </c>
      <c r="AV29" s="34" t="str">
        <v/>
      </c>
      <c r="AW29" s="34" t="str">
        <v/>
      </c>
      <c r="AX29" s="34" t="str">
        <v/>
      </c>
      <c r="AY29" s="34">
        <v>1</v>
      </c>
      <c r="AZ29" s="34" t="str">
        <v/>
      </c>
      <c r="BA29" s="34">
        <v>0</v>
      </c>
      <c r="BB29" s="34">
        <v>0</v>
      </c>
      <c r="BD29" s="34">
        <v>1</v>
      </c>
      <c r="BE29" s="34">
        <v>1</v>
      </c>
      <c r="BF29" s="34">
        <v>0</v>
      </c>
      <c r="BG29" s="34" t="str">
        <v/>
      </c>
      <c r="BH29" s="34" t="str">
        <v/>
      </c>
      <c r="BI29" s="34" t="str">
        <v/>
      </c>
      <c r="BJ29" s="34" t="str">
        <v/>
      </c>
      <c r="BK29" s="34" t="str">
        <v>BOX</v>
      </c>
      <c r="BL29" s="34">
        <v>1</v>
      </c>
      <c r="BM29" s="34" t="str">
        <v/>
      </c>
      <c r="BN29" s="34" t="str">
        <v/>
      </c>
      <c r="BO29" s="34" t="str">
        <v/>
      </c>
      <c r="BP29" s="34" t="str">
        <v/>
      </c>
      <c r="BQ29" s="34" t="str">
        <v>5х6</v>
      </c>
      <c r="BR29" s="34" t="str">
        <v/>
      </c>
      <c r="BS29" s="34" t="str">
        <v/>
      </c>
      <c r="BT29" s="34" t="str">
        <v/>
      </c>
      <c r="BU29" s="34">
        <v>1</v>
      </c>
      <c r="BV29" s="34">
        <v>28</v>
      </c>
      <c r="BW29" s="34">
        <v>1</v>
      </c>
      <c r="BX29" s="34">
        <v>2</v>
      </c>
      <c r="BY29" s="34" t="str">
        <v/>
      </c>
      <c r="BZ29">
        <v>2</v>
      </c>
      <c r="CA29" t="str">
        <v>линии</v>
      </c>
    </row>
    <row r="30" spans="1:79" x14ac:dyDescent="0.3">
      <c r="A30" s="39" t="str">
        <v>ЩО-001</v>
      </c>
      <c r="B30" s="42">
        <v>2</v>
      </c>
      <c r="C30" s="42">
        <v>1</v>
      </c>
      <c r="D30" s="75" t="str">
        <v/>
      </c>
      <c r="E30" s="75" t="str">
        <v/>
      </c>
      <c r="F30" s="76" t="str">
        <v/>
      </c>
      <c r="G30" s="47" t="str">
        <v/>
      </c>
      <c r="H30" s="47" t="str">
        <v/>
      </c>
      <c r="I30" s="75" t="str">
        <v/>
      </c>
      <c r="J30" s="76" t="str">
        <v/>
      </c>
      <c r="K30" s="76" t="str">
        <v/>
      </c>
      <c r="L30" s="75" t="str">
        <v/>
      </c>
      <c r="M30" s="49" t="str">
        <v/>
      </c>
      <c r="N30" s="76" t="str">
        <v/>
      </c>
      <c r="O30" s="49" t="str">
        <v/>
      </c>
      <c r="P30" s="77" t="str">
        <v/>
      </c>
      <c r="Q30" s="53" t="str">
        <v/>
      </c>
      <c r="R30" s="54" t="str">
        <v>Ввод.1</v>
      </c>
      <c r="S30" s="55" t="str">
        <v>Ввод</v>
      </c>
      <c r="T30" s="56">
        <v>0</v>
      </c>
      <c r="U30" s="56">
        <v>0</v>
      </c>
      <c r="V30" s="42" t="str">
        <v>L1,L2,L3</v>
      </c>
      <c r="W30" s="57" t="str">
        <v/>
      </c>
      <c r="X30" s="58" t="str">
        <v/>
      </c>
      <c r="Y30" s="75" t="str">
        <v>вручную</v>
      </c>
      <c r="Z30" s="59" t="str">
        <v/>
      </c>
      <c r="AA30" s="61" t="str">
        <v/>
      </c>
      <c r="AB30" s="61">
        <v>50</v>
      </c>
      <c r="AC30" s="61" t="str">
        <v/>
      </c>
      <c r="AD30" s="62" t="str">
        <v/>
      </c>
      <c r="AE30" s="62" t="str">
        <v/>
      </c>
      <c r="AF30" s="34" t="str">
        <v/>
      </c>
      <c r="AG30" s="34" t="str">
        <v/>
      </c>
      <c r="AH30" s="34" t="str">
        <v/>
      </c>
      <c r="AI30" s="34" t="str">
        <v/>
      </c>
      <c r="AJ30" s="34" t="str">
        <v/>
      </c>
      <c r="AK30" s="34">
        <v>3</v>
      </c>
      <c r="AL30" s="34" t="str">
        <v>Ввод</v>
      </c>
      <c r="AM30" s="34">
        <v>0</v>
      </c>
      <c r="AN30" s="34">
        <v>0</v>
      </c>
      <c r="AO30" s="34" t="str">
        <v/>
      </c>
      <c r="AP30" s="34" t="str">
        <v/>
      </c>
      <c r="AQ30" s="34" t="str">
        <v/>
      </c>
      <c r="AR30" s="34" t="str">
        <v/>
      </c>
      <c r="AS30" s="34" t="str">
        <v/>
      </c>
      <c r="AT30" s="34" t="str">
        <v/>
      </c>
      <c r="AU30" s="34" t="str">
        <v/>
      </c>
      <c r="AV30" s="34" t="str">
        <v/>
      </c>
      <c r="AW30" s="34" t="str">
        <v/>
      </c>
      <c r="AX30" s="34" t="str">
        <v/>
      </c>
      <c r="AY30" s="34">
        <v>0</v>
      </c>
      <c r="AZ30" s="34" t="str">
        <v/>
      </c>
      <c r="BA30" s="34">
        <v>0</v>
      </c>
      <c r="BB30" s="34">
        <v>40</v>
      </c>
      <c r="BD30" s="34">
        <v>0</v>
      </c>
      <c r="BE30" s="34">
        <v>0</v>
      </c>
      <c r="BF30" s="34">
        <v>0</v>
      </c>
      <c r="BG30" s="34" t="str">
        <v/>
      </c>
      <c r="BH30" s="34" t="str">
        <v/>
      </c>
      <c r="BI30" s="34" t="str">
        <v/>
      </c>
      <c r="BJ30" s="34" t="str">
        <v/>
      </c>
      <c r="BK30" s="34" t="str">
        <v>BOX</v>
      </c>
      <c r="BL30" s="34">
        <v>1</v>
      </c>
      <c r="BM30" s="34" t="str">
        <v/>
      </c>
      <c r="BN30" s="34" t="str">
        <v/>
      </c>
      <c r="BO30" s="34" t="str">
        <v/>
      </c>
      <c r="BP30" s="34" t="str">
        <v/>
      </c>
      <c r="BQ30" s="34" t="str">
        <v/>
      </c>
      <c r="BR30" s="34" t="str">
        <v/>
      </c>
      <c r="BS30" s="34" t="str">
        <v/>
      </c>
      <c r="BT30" s="34" t="str">
        <v/>
      </c>
      <c r="BU30" s="34">
        <v>0</v>
      </c>
      <c r="BV30" s="34">
        <v>29</v>
      </c>
      <c r="BW30" s="34">
        <v>0</v>
      </c>
      <c r="BX30" s="34">
        <v>0</v>
      </c>
      <c r="BY30" s="34">
        <v>0</v>
      </c>
      <c r="BZ30">
        <v>3</v>
      </c>
      <c r="CA30" t="str">
        <v>вводной узел</v>
      </c>
    </row>
    <row r="31" spans="1:79" x14ac:dyDescent="0.3">
      <c r="A31" s="39" t="str">
        <v>ЩОВ-001</v>
      </c>
      <c r="B31" s="42">
        <v>2</v>
      </c>
      <c r="C31" s="42">
        <v>1</v>
      </c>
      <c r="D31" s="75" t="str">
        <v/>
      </c>
      <c r="E31" s="75" t="str">
        <v/>
      </c>
      <c r="F31" s="76" t="str">
        <v/>
      </c>
      <c r="G31" s="47" t="str">
        <v/>
      </c>
      <c r="H31" s="47" t="str">
        <v/>
      </c>
      <c r="I31" s="75" t="str">
        <v/>
      </c>
      <c r="J31" s="76" t="str">
        <v/>
      </c>
      <c r="K31" s="76" t="str">
        <v/>
      </c>
      <c r="L31" s="75" t="str">
        <v/>
      </c>
      <c r="M31" s="49" t="str">
        <v/>
      </c>
      <c r="N31" s="76" t="str">
        <v/>
      </c>
      <c r="O31" s="49" t="str">
        <v/>
      </c>
      <c r="P31" s="77" t="str">
        <v>XT1</v>
      </c>
      <c r="Q31" s="53" t="str">
        <v>ВВГнг(А)-LS (5х185) L=51-0%</v>
      </c>
      <c r="R31" s="54" t="str">
        <v>Ввод.1</v>
      </c>
      <c r="S31" s="55" t="str">
        <v>Ввод</v>
      </c>
      <c r="T31" s="56">
        <v>0</v>
      </c>
      <c r="U31" s="56">
        <v>0</v>
      </c>
      <c r="V31" s="42" t="str">
        <v>L1,L2,L3</v>
      </c>
      <c r="W31" s="57" t="str">
        <v/>
      </c>
      <c r="X31" s="58" t="str">
        <v/>
      </c>
      <c r="Y31" s="75" t="str">
        <v>вручную</v>
      </c>
      <c r="Z31" s="59" t="str">
        <v/>
      </c>
      <c r="AA31" s="61" t="str">
        <v/>
      </c>
      <c r="AB31" s="61">
        <v>315</v>
      </c>
      <c r="AC31" s="61" t="str">
        <v/>
      </c>
      <c r="AD31" s="62" t="str">
        <v>XT1</v>
      </c>
      <c r="AE31" s="62" t="str">
        <v/>
      </c>
      <c r="AF31" s="34" t="str">
        <v/>
      </c>
      <c r="AG31" s="34" t="str">
        <v/>
      </c>
      <c r="AH31" s="34" t="str">
        <v/>
      </c>
      <c r="AI31" s="34" t="str">
        <v/>
      </c>
      <c r="AJ31" s="34" t="str">
        <v/>
      </c>
      <c r="AK31" s="34">
        <v>3</v>
      </c>
      <c r="AL31" s="34" t="str">
        <v>Ввод</v>
      </c>
      <c r="AM31" s="34">
        <v>0</v>
      </c>
      <c r="AN31" s="34">
        <v>0</v>
      </c>
      <c r="AO31" s="34" t="str">
        <v/>
      </c>
      <c r="AP31" s="34" t="str">
        <v/>
      </c>
      <c r="AQ31" s="34" t="str">
        <v/>
      </c>
      <c r="AR31" s="34" t="str">
        <v/>
      </c>
      <c r="AS31" s="34" t="str">
        <v/>
      </c>
      <c r="AT31" s="34" t="str">
        <v/>
      </c>
      <c r="AU31" s="34" t="str">
        <v/>
      </c>
      <c r="AV31" s="34" t="str">
        <v/>
      </c>
      <c r="AW31" s="34" t="str">
        <v/>
      </c>
      <c r="AX31" s="34" t="str">
        <v/>
      </c>
      <c r="AY31" s="34">
        <v>1</v>
      </c>
      <c r="AZ31" s="34" t="str">
        <v/>
      </c>
      <c r="BA31" s="34">
        <v>0</v>
      </c>
      <c r="BB31" s="34">
        <v>320</v>
      </c>
      <c r="BD31" s="34">
        <v>0</v>
      </c>
      <c r="BE31" s="34">
        <v>0</v>
      </c>
      <c r="BF31" s="34">
        <v>0</v>
      </c>
      <c r="BG31" s="34" t="str">
        <v/>
      </c>
      <c r="BH31" s="34" t="str">
        <v/>
      </c>
      <c r="BI31" s="34" t="str">
        <v/>
      </c>
      <c r="BJ31" s="34" t="str">
        <v/>
      </c>
      <c r="BK31" s="34" t="str">
        <v>BOX</v>
      </c>
      <c r="BL31" s="34">
        <v>1</v>
      </c>
      <c r="BM31" s="34" t="str">
        <v/>
      </c>
      <c r="BN31" s="34" t="str">
        <v/>
      </c>
      <c r="BO31" s="34" t="str">
        <v/>
      </c>
      <c r="BP31" s="34" t="str">
        <v/>
      </c>
      <c r="BQ31" s="34" t="str">
        <v>5х185</v>
      </c>
      <c r="BR31" s="34">
        <v>11</v>
      </c>
      <c r="BS31" s="34" t="str">
        <v/>
      </c>
      <c r="BT31" s="34" t="str">
        <v/>
      </c>
      <c r="BU31" s="34">
        <v>0</v>
      </c>
      <c r="BV31" s="34">
        <v>51</v>
      </c>
      <c r="BW31" s="34">
        <v>1</v>
      </c>
      <c r="BX31" s="34">
        <v>2</v>
      </c>
      <c r="BY31" s="34">
        <v>0</v>
      </c>
      <c r="BZ31">
        <v>4</v>
      </c>
      <c r="CA31" t="str">
        <v>вводной узел</v>
      </c>
    </row>
    <row r="32" spans="1:79" x14ac:dyDescent="0.3">
      <c r="A32" s="39" t="str">
        <v>ЩОВ-001</v>
      </c>
      <c r="B32" s="42">
        <v>14</v>
      </c>
      <c r="C32" s="42">
        <v>1</v>
      </c>
      <c r="D32" s="75" t="str">
        <v/>
      </c>
      <c r="E32" s="75" t="str">
        <v>авто</v>
      </c>
      <c r="F32" s="76" t="str">
        <v/>
      </c>
      <c r="G32" s="47" t="str">
        <v>QF1</v>
      </c>
      <c r="H32" s="47" t="str">
        <v>1P С10А</v>
      </c>
      <c r="I32" s="75" t="str">
        <v/>
      </c>
      <c r="J32" s="76" t="str">
        <v/>
      </c>
      <c r="K32" s="76" t="str">
        <v/>
      </c>
      <c r="L32" s="75" t="str">
        <v/>
      </c>
      <c r="M32" s="49" t="str">
        <v/>
      </c>
      <c r="N32" s="76" t="str">
        <v/>
      </c>
      <c r="O32" s="49" t="str">
        <v/>
      </c>
      <c r="P32" s="77" t="str">
        <v>XT2</v>
      </c>
      <c r="Q32" s="53" t="str">
        <v>ВВГнг(А)-LS (3х1,5) L=21-0,12%</v>
      </c>
      <c r="R32" s="54" t="str">
        <v>В.3</v>
      </c>
      <c r="S32" s="55" t="str">
        <v>Вытяжная установка Пом №006T</v>
      </c>
      <c r="T32" s="56">
        <v>0.1</v>
      </c>
      <c r="U32" s="56">
        <v>0.46</v>
      </c>
      <c r="V32" s="42" t="str">
        <v>L1</v>
      </c>
      <c r="W32" s="57" t="str">
        <v>ok</v>
      </c>
      <c r="X32" s="58" t="str">
        <v/>
      </c>
      <c r="Y32" s="75" t="str">
        <v/>
      </c>
      <c r="Z32" s="59">
        <v>0.46</v>
      </c>
      <c r="AA32" s="61">
        <v>6</v>
      </c>
      <c r="AB32" s="61">
        <v>16</v>
      </c>
      <c r="AC32" s="61" t="str">
        <v/>
      </c>
      <c r="AD32" s="62" t="str">
        <v>QF1 → XT2</v>
      </c>
      <c r="AE32" s="62" t="str">
        <v/>
      </c>
      <c r="AF32" s="34">
        <v>1</v>
      </c>
      <c r="AG32" s="34" t="str">
        <v>QF1</v>
      </c>
      <c r="AH32" s="34" t="str">
        <v/>
      </c>
      <c r="AI32" s="34" t="str">
        <v/>
      </c>
      <c r="AJ32" s="34" t="str">
        <v>QF1</v>
      </c>
      <c r="AK32" s="34">
        <v>1</v>
      </c>
      <c r="AL32" s="34" t="str">
        <v>В</v>
      </c>
      <c r="AM32" s="34">
        <v>0</v>
      </c>
      <c r="AN32" s="34">
        <v>0</v>
      </c>
      <c r="AO32" s="34">
        <v>10</v>
      </c>
      <c r="AP32" s="34">
        <v>16</v>
      </c>
      <c r="AQ32" s="34">
        <v>10</v>
      </c>
      <c r="AR32" s="34">
        <v>1</v>
      </c>
      <c r="AS32" s="34">
        <v>0</v>
      </c>
      <c r="AT32" s="34" t="str">
        <v>1P</v>
      </c>
      <c r="AU32" s="34">
        <v>10</v>
      </c>
      <c r="AV32" s="34" t="str">
        <v/>
      </c>
      <c r="AW32" s="34" t="str">
        <v/>
      </c>
      <c r="AX32" s="34" t="str">
        <v/>
      </c>
      <c r="AY32" s="34">
        <v>1</v>
      </c>
      <c r="AZ32" s="34" t="str">
        <v/>
      </c>
      <c r="BA32" s="34">
        <v>0</v>
      </c>
      <c r="BB32" s="34">
        <v>10</v>
      </c>
      <c r="BD32" s="34">
        <v>1</v>
      </c>
      <c r="BE32" s="34">
        <v>0</v>
      </c>
      <c r="BF32" s="34">
        <v>0</v>
      </c>
      <c r="BG32" s="34" t="str">
        <v/>
      </c>
      <c r="BH32" s="34" t="str">
        <v/>
      </c>
      <c r="BI32" s="34" t="str">
        <v/>
      </c>
      <c r="BJ32" s="34" t="str">
        <v/>
      </c>
      <c r="BK32" s="34" t="str">
        <v>MOTOR</v>
      </c>
      <c r="BL32" s="34">
        <v>1</v>
      </c>
      <c r="BM32" s="34">
        <v>3</v>
      </c>
      <c r="BN32" s="34" t="str">
        <v/>
      </c>
      <c r="BO32" s="34" t="str">
        <v/>
      </c>
      <c r="BP32" s="34" t="str">
        <v/>
      </c>
      <c r="BQ32" s="34" t="str">
        <v>3х1,5</v>
      </c>
      <c r="BR32" s="34" t="str">
        <v/>
      </c>
      <c r="BS32" s="34" t="str">
        <v/>
      </c>
      <c r="BT32" s="34" t="str">
        <v/>
      </c>
      <c r="BU32" s="34">
        <v>0</v>
      </c>
      <c r="BV32" s="34">
        <v>52</v>
      </c>
      <c r="BW32" s="34">
        <v>1</v>
      </c>
      <c r="BX32" s="34">
        <v>0</v>
      </c>
      <c r="BY32" s="34" t="str">
        <v>Привод (двигатель)</v>
      </c>
      <c r="BZ32">
        <v>4</v>
      </c>
      <c r="CA32" t="str">
        <v>линии</v>
      </c>
    </row>
    <row r="33" spans="1:79" x14ac:dyDescent="0.3">
      <c r="A33" s="39" t="str">
        <v>ЩОВ-001</v>
      </c>
      <c r="B33" s="42">
        <v>15</v>
      </c>
      <c r="C33" s="42">
        <v>1</v>
      </c>
      <c r="D33" s="75" t="str">
        <v/>
      </c>
      <c r="E33" s="75" t="str">
        <v>авто</v>
      </c>
      <c r="F33" s="76" t="str">
        <v/>
      </c>
      <c r="G33" s="47" t="str">
        <v>QF2</v>
      </c>
      <c r="H33" s="47" t="str">
        <v>1P С10А</v>
      </c>
      <c r="I33" s="75" t="str">
        <v/>
      </c>
      <c r="J33" s="76" t="str">
        <v/>
      </c>
      <c r="K33" s="76" t="str">
        <v/>
      </c>
      <c r="L33" s="75" t="str">
        <v/>
      </c>
      <c r="M33" s="49" t="str">
        <v/>
      </c>
      <c r="N33" s="76" t="str">
        <v/>
      </c>
      <c r="O33" s="49" t="str">
        <v/>
      </c>
      <c r="P33" s="77" t="str">
        <v>XT3</v>
      </c>
      <c r="Q33" s="53" t="str">
        <v>ВВГнг(А)-LS (3х1,5) L=17-0,1%</v>
      </c>
      <c r="R33" s="54" t="str">
        <v>В.9</v>
      </c>
      <c r="S33" s="55" t="str">
        <v>Вытяжная установка Пом №006T</v>
      </c>
      <c r="T33" s="56">
        <v>0.1</v>
      </c>
      <c r="U33" s="56">
        <v>0.46</v>
      </c>
      <c r="V33" s="42" t="str">
        <v>L2</v>
      </c>
      <c r="W33" s="57" t="str">
        <v>ok</v>
      </c>
      <c r="X33" s="58" t="str">
        <v/>
      </c>
      <c r="Y33" s="75" t="str">
        <v/>
      </c>
      <c r="Z33" s="59">
        <v>0.46</v>
      </c>
      <c r="AA33" s="61">
        <v>6</v>
      </c>
      <c r="AB33" s="61">
        <v>16</v>
      </c>
      <c r="AC33" s="61" t="str">
        <v/>
      </c>
      <c r="AD33" s="62" t="str">
        <v>QF2 → XT3</v>
      </c>
      <c r="AE33" s="62" t="str">
        <v/>
      </c>
      <c r="AF33" s="34">
        <v>2</v>
      </c>
      <c r="AG33" s="34" t="str">
        <v>QF2</v>
      </c>
      <c r="AH33" s="34" t="str">
        <v/>
      </c>
      <c r="AI33" s="34" t="str">
        <v/>
      </c>
      <c r="AJ33" s="34" t="str">
        <v>QF2</v>
      </c>
      <c r="AK33" s="34">
        <v>1</v>
      </c>
      <c r="AL33" s="34" t="str">
        <v>В</v>
      </c>
      <c r="AM33" s="34">
        <v>0</v>
      </c>
      <c r="AN33" s="34">
        <v>0</v>
      </c>
      <c r="AO33" s="34">
        <v>10</v>
      </c>
      <c r="AP33" s="34">
        <v>16</v>
      </c>
      <c r="AQ33" s="34">
        <v>10</v>
      </c>
      <c r="AR33" s="34">
        <v>1</v>
      </c>
      <c r="AS33" s="34">
        <v>0</v>
      </c>
      <c r="AT33" s="34" t="str">
        <v>1P</v>
      </c>
      <c r="AU33" s="34">
        <v>10</v>
      </c>
      <c r="AV33" s="34" t="str">
        <v/>
      </c>
      <c r="AW33" s="34" t="str">
        <v/>
      </c>
      <c r="AX33" s="34" t="str">
        <v/>
      </c>
      <c r="AY33" s="34">
        <v>1</v>
      </c>
      <c r="AZ33" s="34" t="str">
        <v/>
      </c>
      <c r="BA33" s="34">
        <v>0</v>
      </c>
      <c r="BB33" s="34">
        <v>10</v>
      </c>
      <c r="BD33" s="34">
        <v>1</v>
      </c>
      <c r="BE33" s="34">
        <v>0</v>
      </c>
      <c r="BF33" s="34">
        <v>0</v>
      </c>
      <c r="BG33" s="34" t="str">
        <v/>
      </c>
      <c r="BH33" s="34" t="str">
        <v/>
      </c>
      <c r="BI33" s="34" t="str">
        <v/>
      </c>
      <c r="BJ33" s="34" t="str">
        <v/>
      </c>
      <c r="BK33" s="34" t="str">
        <v>MOTOR</v>
      </c>
      <c r="BL33" s="34">
        <v>1</v>
      </c>
      <c r="BM33" s="34" t="str">
        <v/>
      </c>
      <c r="BN33" s="34" t="str">
        <v/>
      </c>
      <c r="BO33" s="34" t="str">
        <v/>
      </c>
      <c r="BP33" s="34" t="str">
        <v/>
      </c>
      <c r="BQ33" s="34" t="str">
        <v>3х1,5</v>
      </c>
      <c r="BR33" s="34" t="str">
        <v/>
      </c>
      <c r="BS33" s="34" t="str">
        <v/>
      </c>
      <c r="BT33" s="34" t="str">
        <v/>
      </c>
      <c r="BU33" s="34">
        <v>0</v>
      </c>
      <c r="BV33" s="34">
        <v>53</v>
      </c>
      <c r="BW33" s="34">
        <v>1</v>
      </c>
      <c r="BX33" s="34">
        <v>0</v>
      </c>
      <c r="BY33" s="34" t="str">
        <v>Привод (двигатель)</v>
      </c>
      <c r="BZ33">
        <v>4</v>
      </c>
      <c r="CA33" t="str">
        <v>линии</v>
      </c>
    </row>
    <row r="34" spans="1:79" x14ac:dyDescent="0.3">
      <c r="A34" s="39" t="str">
        <v>ЩОВ-001</v>
      </c>
      <c r="B34" s="42">
        <v>16</v>
      </c>
      <c r="C34" s="42">
        <v>1</v>
      </c>
      <c r="D34" s="75" t="str">
        <v/>
      </c>
      <c r="E34" s="75" t="str">
        <v>авто</v>
      </c>
      <c r="F34" s="76" t="str">
        <v/>
      </c>
      <c r="G34" s="47" t="str">
        <v>QF3</v>
      </c>
      <c r="H34" s="47" t="str">
        <v>1P С10А</v>
      </c>
      <c r="I34" s="75" t="str">
        <v/>
      </c>
      <c r="J34" s="76" t="str">
        <v/>
      </c>
      <c r="K34" s="76" t="str">
        <v/>
      </c>
      <c r="L34" s="75" t="str">
        <v/>
      </c>
      <c r="M34" s="49" t="str">
        <v/>
      </c>
      <c r="N34" s="76" t="str">
        <v/>
      </c>
      <c r="O34" s="49" t="str">
        <v/>
      </c>
      <c r="P34" s="77" t="str">
        <v>XT4</v>
      </c>
      <c r="Q34" s="53" t="str">
        <v>ВВГнг(А)-LS (3х1,5) L=18-0,11%</v>
      </c>
      <c r="R34" s="54" t="str">
        <v>В.11</v>
      </c>
      <c r="S34" s="55" t="str">
        <v>Вытяжная установка Подвальный этаж Пом №006T</v>
      </c>
      <c r="T34" s="56">
        <v>0.1</v>
      </c>
      <c r="U34" s="56">
        <v>0.46</v>
      </c>
      <c r="V34" s="42" t="str">
        <v>L3</v>
      </c>
      <c r="W34" s="57" t="str">
        <v>ok</v>
      </c>
      <c r="X34" s="58" t="str">
        <v/>
      </c>
      <c r="Y34" s="75" t="str">
        <v/>
      </c>
      <c r="Z34" s="59">
        <v>0.46</v>
      </c>
      <c r="AA34" s="61">
        <v>6</v>
      </c>
      <c r="AB34" s="61">
        <v>16</v>
      </c>
      <c r="AC34" s="61" t="str">
        <v/>
      </c>
      <c r="AD34" s="62" t="str">
        <v>QF3 → XT4</v>
      </c>
      <c r="AE34" s="62" t="str">
        <v/>
      </c>
      <c r="AF34" s="34">
        <v>3</v>
      </c>
      <c r="AG34" s="34" t="str">
        <v>QF3</v>
      </c>
      <c r="AH34" s="34" t="str">
        <v/>
      </c>
      <c r="AI34" s="34" t="str">
        <v/>
      </c>
      <c r="AJ34" s="34" t="str">
        <v>QF3</v>
      </c>
      <c r="AK34" s="34">
        <v>1</v>
      </c>
      <c r="AL34" s="34" t="str">
        <v>В</v>
      </c>
      <c r="AM34" s="34">
        <v>0</v>
      </c>
      <c r="AN34" s="34">
        <v>0</v>
      </c>
      <c r="AO34" s="34">
        <v>10</v>
      </c>
      <c r="AP34" s="34">
        <v>16</v>
      </c>
      <c r="AQ34" s="34">
        <v>10</v>
      </c>
      <c r="AR34" s="34">
        <v>1</v>
      </c>
      <c r="AS34" s="34">
        <v>0</v>
      </c>
      <c r="AT34" s="34" t="str">
        <v>1P</v>
      </c>
      <c r="AU34" s="34">
        <v>10</v>
      </c>
      <c r="AV34" s="34" t="str">
        <v/>
      </c>
      <c r="AW34" s="34" t="str">
        <v/>
      </c>
      <c r="AX34" s="34" t="str">
        <v/>
      </c>
      <c r="AY34" s="34">
        <v>1</v>
      </c>
      <c r="AZ34" s="34" t="str">
        <v/>
      </c>
      <c r="BA34" s="34">
        <v>0</v>
      </c>
      <c r="BB34" s="34">
        <v>10</v>
      </c>
      <c r="BD34" s="34">
        <v>1</v>
      </c>
      <c r="BE34" s="34">
        <v>0</v>
      </c>
      <c r="BF34" s="34">
        <v>0</v>
      </c>
      <c r="BG34" s="34" t="str">
        <v/>
      </c>
      <c r="BH34" s="34" t="str">
        <v/>
      </c>
      <c r="BI34" s="34" t="str">
        <v/>
      </c>
      <c r="BJ34" s="34" t="str">
        <v/>
      </c>
      <c r="BK34" s="34" t="str">
        <v>MOTOR</v>
      </c>
      <c r="BL34" s="34">
        <v>1</v>
      </c>
      <c r="BM34" s="34" t="str">
        <v/>
      </c>
      <c r="BN34" s="34" t="str">
        <v/>
      </c>
      <c r="BO34" s="34" t="str">
        <v/>
      </c>
      <c r="BP34" s="34" t="str">
        <v/>
      </c>
      <c r="BQ34" s="34" t="str">
        <v>3х1,5</v>
      </c>
      <c r="BR34" s="34" t="str">
        <v/>
      </c>
      <c r="BS34" s="34" t="str">
        <v/>
      </c>
      <c r="BT34" s="34" t="str">
        <v/>
      </c>
      <c r="BU34" s="34">
        <v>0</v>
      </c>
      <c r="BV34" s="34">
        <v>54</v>
      </c>
      <c r="BW34" s="34">
        <v>1</v>
      </c>
      <c r="BX34" s="34">
        <v>0</v>
      </c>
      <c r="BY34" s="34" t="str">
        <v>Привод (двигатель)</v>
      </c>
      <c r="BZ34">
        <v>4</v>
      </c>
      <c r="CA34" t="str">
        <v>линии</v>
      </c>
    </row>
    <row r="35" spans="1:79" x14ac:dyDescent="0.3">
      <c r="A35" s="39" t="str">
        <v>ЩОВ-001</v>
      </c>
      <c r="B35" s="42">
        <v>19</v>
      </c>
      <c r="C35" s="42">
        <v>2</v>
      </c>
      <c r="D35" s="75" t="str">
        <v/>
      </c>
      <c r="E35" s="75" t="str">
        <v>авто</v>
      </c>
      <c r="F35" s="76" t="str">
        <v/>
      </c>
      <c r="G35" s="47" t="str">
        <v>QF4</v>
      </c>
      <c r="H35" s="47" t="str">
        <v>1P С10А</v>
      </c>
      <c r="I35" s="75" t="str">
        <v/>
      </c>
      <c r="J35" s="76" t="str">
        <v/>
      </c>
      <c r="K35" s="76" t="str">
        <v/>
      </c>
      <c r="L35" s="75" t="str">
        <v/>
      </c>
      <c r="M35" s="49" t="str">
        <v/>
      </c>
      <c r="N35" s="76" t="str">
        <v/>
      </c>
      <c r="O35" s="49" t="str">
        <v/>
      </c>
      <c r="P35" s="77" t="str">
        <v/>
      </c>
      <c r="Q35" s="53" t="str">
        <v>ВВГнг(А)-LS (3х1,5) L=15-0,09%</v>
      </c>
      <c r="R35" s="54" t="str">
        <v>В.12</v>
      </c>
      <c r="S35" s="55" t="str">
        <v>Вытяжная установка Подвальный этаж Пом №006T</v>
      </c>
      <c r="T35" s="56">
        <v>0.1</v>
      </c>
      <c r="U35" s="56">
        <v>0.46</v>
      </c>
      <c r="V35" s="42" t="str">
        <v>L3</v>
      </c>
      <c r="W35" s="57" t="str">
        <v>ok</v>
      </c>
      <c r="X35" s="58" t="str">
        <v/>
      </c>
      <c r="Y35" s="75" t="str">
        <v/>
      </c>
      <c r="Z35" s="59">
        <v>0.46</v>
      </c>
      <c r="AA35" s="61">
        <v>6</v>
      </c>
      <c r="AB35" s="61">
        <v>16</v>
      </c>
      <c r="AC35" s="61" t="str">
        <v/>
      </c>
      <c r="AD35" s="62" t="str">
        <v>QF4</v>
      </c>
      <c r="AE35" s="62" t="str">
        <v/>
      </c>
      <c r="AF35" s="34">
        <v>4</v>
      </c>
      <c r="AG35" s="34" t="str">
        <v>QF4</v>
      </c>
      <c r="AH35" s="34" t="str">
        <v/>
      </c>
      <c r="AI35" s="34" t="str">
        <v/>
      </c>
      <c r="AJ35" s="34" t="str">
        <v>QF4</v>
      </c>
      <c r="AK35" s="34">
        <v>1</v>
      </c>
      <c r="AL35" s="34" t="str">
        <v>В</v>
      </c>
      <c r="AM35" s="34">
        <v>0</v>
      </c>
      <c r="AN35" s="34">
        <v>0</v>
      </c>
      <c r="AO35" s="34">
        <v>10</v>
      </c>
      <c r="AP35" s="34">
        <v>16</v>
      </c>
      <c r="AQ35" s="34">
        <v>10</v>
      </c>
      <c r="AR35" s="34">
        <v>1</v>
      </c>
      <c r="AS35" s="34">
        <v>0</v>
      </c>
      <c r="AT35" s="34" t="str">
        <v>1P</v>
      </c>
      <c r="AU35" s="34">
        <v>10</v>
      </c>
      <c r="AV35" s="34" t="str">
        <v/>
      </c>
      <c r="AW35" s="34" t="str">
        <v/>
      </c>
      <c r="AX35" s="34" t="str">
        <v/>
      </c>
      <c r="AY35" s="34">
        <v>1</v>
      </c>
      <c r="AZ35" s="34" t="str">
        <v/>
      </c>
      <c r="BA35" s="34">
        <v>0</v>
      </c>
      <c r="BB35" s="34">
        <v>10</v>
      </c>
      <c r="BD35" s="34">
        <v>1</v>
      </c>
      <c r="BE35" s="34">
        <v>0</v>
      </c>
      <c r="BF35" s="34">
        <v>0</v>
      </c>
      <c r="BG35" s="34" t="str">
        <v/>
      </c>
      <c r="BH35" s="34" t="str">
        <v/>
      </c>
      <c r="BI35" s="34" t="str">
        <v/>
      </c>
      <c r="BJ35" s="34" t="str">
        <v/>
      </c>
      <c r="BK35" s="34" t="str">
        <v>MOTOR</v>
      </c>
      <c r="BL35" s="34">
        <v>1</v>
      </c>
      <c r="BM35" s="34" t="str">
        <v/>
      </c>
      <c r="BN35" s="34" t="str">
        <v/>
      </c>
      <c r="BO35" s="34" t="str">
        <v/>
      </c>
      <c r="BP35" s="34" t="str">
        <v/>
      </c>
      <c r="BQ35" s="34" t="str">
        <v>3х1,5</v>
      </c>
      <c r="BR35" s="34" t="str">
        <v/>
      </c>
      <c r="BS35" s="34" t="str">
        <v/>
      </c>
      <c r="BT35" s="34" t="str">
        <v/>
      </c>
      <c r="BU35" s="34">
        <v>0</v>
      </c>
      <c r="BV35" s="34">
        <v>55</v>
      </c>
      <c r="BW35" s="34">
        <v>1</v>
      </c>
      <c r="BX35" s="34">
        <v>0</v>
      </c>
      <c r="BY35" s="34" t="str">
        <v>Привод (двигатель)</v>
      </c>
      <c r="BZ35">
        <v>4</v>
      </c>
      <c r="CA35" t="str">
        <v>линии</v>
      </c>
    </row>
    <row r="36" spans="1:79" x14ac:dyDescent="0.3">
      <c r="A36" s="39" t="str">
        <v>ЩОВ-001</v>
      </c>
      <c r="B36" s="42">
        <v>20</v>
      </c>
      <c r="C36" s="42">
        <v>2</v>
      </c>
      <c r="D36" s="75" t="str">
        <v/>
      </c>
      <c r="E36" s="75" t="str">
        <v>авто</v>
      </c>
      <c r="F36" s="76" t="str">
        <v/>
      </c>
      <c r="G36" s="47" t="str">
        <v>QF5</v>
      </c>
      <c r="H36" s="47" t="str">
        <v>1P С10А</v>
      </c>
      <c r="I36" s="75" t="str">
        <v/>
      </c>
      <c r="J36" s="76" t="str">
        <v/>
      </c>
      <c r="K36" s="76" t="str">
        <v/>
      </c>
      <c r="L36" s="75" t="str">
        <v/>
      </c>
      <c r="M36" s="49" t="str">
        <v/>
      </c>
      <c r="N36" s="76" t="str">
        <v/>
      </c>
      <c r="O36" s="49" t="str">
        <v/>
      </c>
      <c r="P36" s="77" t="str">
        <v>XT6</v>
      </c>
      <c r="Q36" s="53" t="str">
        <v>ВВГнг(А)-LS (3х1,5) L=16-0,1%</v>
      </c>
      <c r="R36" s="54" t="str">
        <v>В.13</v>
      </c>
      <c r="S36" s="55" t="str">
        <v>Вытяжная установка Подвальный этаж Пом №006T</v>
      </c>
      <c r="T36" s="56">
        <v>0.1</v>
      </c>
      <c r="U36" s="56">
        <v>0.46</v>
      </c>
      <c r="V36" s="42" t="str">
        <v>L1</v>
      </c>
      <c r="W36" s="57" t="str">
        <v>ok</v>
      </c>
      <c r="X36" s="58" t="str">
        <v/>
      </c>
      <c r="Y36" s="75" t="str">
        <v/>
      </c>
      <c r="Z36" s="59">
        <v>0.46</v>
      </c>
      <c r="AA36" s="61">
        <v>6</v>
      </c>
      <c r="AB36" s="61">
        <v>16</v>
      </c>
      <c r="AC36" s="61" t="str">
        <v/>
      </c>
      <c r="AD36" s="62" t="str">
        <v>QF5 → XT6</v>
      </c>
      <c r="AE36" s="62" t="str">
        <v/>
      </c>
      <c r="AF36" s="34">
        <v>5</v>
      </c>
      <c r="AG36" s="34" t="str">
        <v>QF5</v>
      </c>
      <c r="AH36" s="34" t="str">
        <v/>
      </c>
      <c r="AI36" s="34" t="str">
        <v/>
      </c>
      <c r="AJ36" s="34" t="str">
        <v>QF5</v>
      </c>
      <c r="AK36" s="34">
        <v>1</v>
      </c>
      <c r="AL36" s="34" t="str">
        <v>В</v>
      </c>
      <c r="AM36" s="34">
        <v>0</v>
      </c>
      <c r="AN36" s="34">
        <v>0</v>
      </c>
      <c r="AO36" s="34">
        <v>10</v>
      </c>
      <c r="AP36" s="34">
        <v>16</v>
      </c>
      <c r="AQ36" s="34">
        <v>10</v>
      </c>
      <c r="AR36" s="34">
        <v>1</v>
      </c>
      <c r="AS36" s="34">
        <v>0</v>
      </c>
      <c r="AT36" s="34" t="str">
        <v>1P</v>
      </c>
      <c r="AU36" s="34">
        <v>10</v>
      </c>
      <c r="AV36" s="34" t="str">
        <v/>
      </c>
      <c r="AW36" s="34" t="str">
        <v/>
      </c>
      <c r="AX36" s="34" t="str">
        <v/>
      </c>
      <c r="AY36" s="34">
        <v>1</v>
      </c>
      <c r="AZ36" s="34" t="str">
        <v/>
      </c>
      <c r="BA36" s="34">
        <v>0</v>
      </c>
      <c r="BB36" s="34">
        <v>10</v>
      </c>
      <c r="BD36" s="34">
        <v>1</v>
      </c>
      <c r="BE36" s="34">
        <v>0</v>
      </c>
      <c r="BF36" s="34">
        <v>0</v>
      </c>
      <c r="BG36" s="34" t="str">
        <v/>
      </c>
      <c r="BH36" s="34" t="str">
        <v/>
      </c>
      <c r="BI36" s="34" t="str">
        <v/>
      </c>
      <c r="BJ36" s="34" t="str">
        <v/>
      </c>
      <c r="BK36" s="34" t="str">
        <v>MOTOR</v>
      </c>
      <c r="BL36" s="34">
        <v>1</v>
      </c>
      <c r="BM36" s="34" t="str">
        <v/>
      </c>
      <c r="BN36" s="34" t="str">
        <v/>
      </c>
      <c r="BO36" s="34" t="str">
        <v/>
      </c>
      <c r="BP36" s="34" t="str">
        <v/>
      </c>
      <c r="BQ36" s="34" t="str">
        <v>3х1,5</v>
      </c>
      <c r="BR36" s="34" t="str">
        <v/>
      </c>
      <c r="BS36" s="34" t="str">
        <v/>
      </c>
      <c r="BT36" s="34" t="str">
        <v/>
      </c>
      <c r="BU36" s="34">
        <v>0</v>
      </c>
      <c r="BV36" s="34">
        <v>56</v>
      </c>
      <c r="BW36" s="34">
        <v>1</v>
      </c>
      <c r="BX36" s="34">
        <v>0</v>
      </c>
      <c r="BY36" s="34" t="str">
        <v>Привод (двигатель)</v>
      </c>
      <c r="BZ36">
        <v>4</v>
      </c>
      <c r="CA36" t="str">
        <v>линии</v>
      </c>
    </row>
    <row r="37" spans="1:79" x14ac:dyDescent="0.3">
      <c r="A37" s="39" t="str">
        <v>ЩОВ-001</v>
      </c>
      <c r="B37" s="42">
        <v>21</v>
      </c>
      <c r="C37" s="42">
        <v>2</v>
      </c>
      <c r="D37" s="75" t="str">
        <v/>
      </c>
      <c r="E37" s="75" t="str">
        <v>авто</v>
      </c>
      <c r="F37" s="76" t="str">
        <v/>
      </c>
      <c r="G37" s="47" t="str">
        <v>QF6</v>
      </c>
      <c r="H37" s="47" t="str">
        <v>1P С10А</v>
      </c>
      <c r="I37" s="75" t="str">
        <v/>
      </c>
      <c r="J37" s="76" t="str">
        <v/>
      </c>
      <c r="K37" s="76" t="str">
        <v/>
      </c>
      <c r="L37" s="75" t="str">
        <v/>
      </c>
      <c r="M37" s="49" t="str">
        <v/>
      </c>
      <c r="N37" s="76" t="str">
        <v/>
      </c>
      <c r="O37" s="49" t="str">
        <v/>
      </c>
      <c r="P37" s="77" t="str">
        <v/>
      </c>
      <c r="Q37" s="53" t="str">
        <v>ВВГнг(А)-LS (3х1,5) L=20-0,12%</v>
      </c>
      <c r="R37" s="54" t="str">
        <v>В.17</v>
      </c>
      <c r="S37" s="55" t="str">
        <v>Вытяжная установка Подвальный этаж Пом №006T</v>
      </c>
      <c r="T37" s="56">
        <v>0.1</v>
      </c>
      <c r="U37" s="56">
        <v>0.46</v>
      </c>
      <c r="V37" s="42" t="str">
        <v>L2</v>
      </c>
      <c r="W37" s="57" t="str">
        <v>ok</v>
      </c>
      <c r="X37" s="58" t="str">
        <v/>
      </c>
      <c r="Y37" s="75" t="str">
        <v/>
      </c>
      <c r="Z37" s="59">
        <v>0.46</v>
      </c>
      <c r="AA37" s="61">
        <v>6</v>
      </c>
      <c r="AB37" s="61">
        <v>16</v>
      </c>
      <c r="AC37" s="61" t="str">
        <v/>
      </c>
      <c r="AD37" s="62" t="str">
        <v>QF6</v>
      </c>
      <c r="AE37" s="62" t="str">
        <v/>
      </c>
      <c r="AF37" s="34">
        <v>6</v>
      </c>
      <c r="AG37" s="34" t="str">
        <v>QF6</v>
      </c>
      <c r="AH37" s="34" t="str">
        <v/>
      </c>
      <c r="AI37" s="34" t="str">
        <v/>
      </c>
      <c r="AJ37" s="34" t="str">
        <v>QF6</v>
      </c>
      <c r="AK37" s="34">
        <v>1</v>
      </c>
      <c r="AL37" s="34" t="str">
        <v>В</v>
      </c>
      <c r="AM37" s="34">
        <v>0</v>
      </c>
      <c r="AN37" s="34">
        <v>0</v>
      </c>
      <c r="AO37" s="34">
        <v>10</v>
      </c>
      <c r="AP37" s="34">
        <v>16</v>
      </c>
      <c r="AQ37" s="34">
        <v>10</v>
      </c>
      <c r="AR37" s="34">
        <v>1</v>
      </c>
      <c r="AS37" s="34">
        <v>0</v>
      </c>
      <c r="AT37" s="34" t="str">
        <v>1P</v>
      </c>
      <c r="AU37" s="34">
        <v>10</v>
      </c>
      <c r="AV37" s="34" t="str">
        <v/>
      </c>
      <c r="AW37" s="34" t="str">
        <v/>
      </c>
      <c r="AX37" s="34" t="str">
        <v/>
      </c>
      <c r="AY37" s="34">
        <v>1</v>
      </c>
      <c r="AZ37" s="34" t="str">
        <v/>
      </c>
      <c r="BA37" s="34">
        <v>0</v>
      </c>
      <c r="BB37" s="34">
        <v>10</v>
      </c>
      <c r="BD37" s="34">
        <v>1</v>
      </c>
      <c r="BE37" s="34">
        <v>0</v>
      </c>
      <c r="BF37" s="34">
        <v>0</v>
      </c>
      <c r="BG37" s="34" t="str">
        <v/>
      </c>
      <c r="BH37" s="34" t="str">
        <v/>
      </c>
      <c r="BI37" s="34" t="str">
        <v/>
      </c>
      <c r="BJ37" s="34" t="str">
        <v/>
      </c>
      <c r="BK37" s="34" t="str">
        <v>MOTOR</v>
      </c>
      <c r="BL37" s="34">
        <v>1</v>
      </c>
      <c r="BM37" s="34" t="str">
        <v/>
      </c>
      <c r="BN37" s="34" t="str">
        <v/>
      </c>
      <c r="BO37" s="34" t="str">
        <v/>
      </c>
      <c r="BP37" s="34" t="str">
        <v/>
      </c>
      <c r="BQ37" s="34" t="str">
        <v>3х1,5</v>
      </c>
      <c r="BR37" s="34" t="str">
        <v/>
      </c>
      <c r="BS37" s="34" t="str">
        <v/>
      </c>
      <c r="BT37" s="34" t="str">
        <v/>
      </c>
      <c r="BU37" s="34">
        <v>0</v>
      </c>
      <c r="BV37" s="34">
        <v>57</v>
      </c>
      <c r="BW37" s="34">
        <v>1</v>
      </c>
      <c r="BX37" s="34">
        <v>0</v>
      </c>
      <c r="BY37" s="34" t="str">
        <v>Привод (двигатель)</v>
      </c>
      <c r="BZ37">
        <v>4</v>
      </c>
      <c r="CA37" t="str">
        <v>линии</v>
      </c>
    </row>
    <row r="38" spans="1:79" x14ac:dyDescent="0.3">
      <c r="A38" s="39" t="str">
        <v>ЩОВ-001</v>
      </c>
      <c r="B38" s="42">
        <v>22</v>
      </c>
      <c r="C38" s="42">
        <v>2</v>
      </c>
      <c r="D38" s="75" t="str">
        <v/>
      </c>
      <c r="E38" s="75" t="str">
        <v>авто</v>
      </c>
      <c r="F38" s="76" t="str">
        <v/>
      </c>
      <c r="G38" s="47" t="str">
        <v>QF7</v>
      </c>
      <c r="H38" s="47" t="str">
        <v>1P С10А</v>
      </c>
      <c r="I38" s="75" t="str">
        <v/>
      </c>
      <c r="J38" s="76" t="str">
        <v/>
      </c>
      <c r="K38" s="76" t="str">
        <v/>
      </c>
      <c r="L38" s="75" t="str">
        <v/>
      </c>
      <c r="M38" s="49" t="str">
        <v/>
      </c>
      <c r="N38" s="76" t="str">
        <v/>
      </c>
      <c r="O38" s="49" t="str">
        <v/>
      </c>
      <c r="P38" s="77" t="str">
        <v/>
      </c>
      <c r="Q38" s="53" t="str">
        <v>ВВГнг(А)-LS (3х1,5) L=23-0,13%</v>
      </c>
      <c r="R38" s="54" t="str">
        <v>В.18</v>
      </c>
      <c r="S38" s="55" t="str">
        <v>Вытяжная установка Подвальный этаж Пом №006T</v>
      </c>
      <c r="T38" s="56">
        <v>0.1</v>
      </c>
      <c r="U38" s="56">
        <v>0.46</v>
      </c>
      <c r="V38" s="42" t="str">
        <v>L3</v>
      </c>
      <c r="W38" s="57" t="str">
        <v>ok</v>
      </c>
      <c r="X38" s="58" t="str">
        <v/>
      </c>
      <c r="Y38" s="75" t="str">
        <v/>
      </c>
      <c r="Z38" s="59">
        <v>0.46</v>
      </c>
      <c r="AA38" s="61">
        <v>6</v>
      </c>
      <c r="AB38" s="61">
        <v>16</v>
      </c>
      <c r="AC38" s="61" t="str">
        <v/>
      </c>
      <c r="AD38" s="62" t="str">
        <v>QF7</v>
      </c>
      <c r="AE38" s="62" t="str">
        <v/>
      </c>
      <c r="AF38" s="34">
        <v>7</v>
      </c>
      <c r="AG38" s="34" t="str">
        <v>QF7</v>
      </c>
      <c r="AH38" s="34" t="str">
        <v/>
      </c>
      <c r="AI38" s="34" t="str">
        <v/>
      </c>
      <c r="AJ38" s="34" t="str">
        <v>QF7</v>
      </c>
      <c r="AK38" s="34">
        <v>1</v>
      </c>
      <c r="AL38" s="34" t="str">
        <v>В</v>
      </c>
      <c r="AM38" s="34">
        <v>0</v>
      </c>
      <c r="AN38" s="34">
        <v>0</v>
      </c>
      <c r="AO38" s="34">
        <v>10</v>
      </c>
      <c r="AP38" s="34">
        <v>16</v>
      </c>
      <c r="AQ38" s="34">
        <v>10</v>
      </c>
      <c r="AR38" s="34">
        <v>1</v>
      </c>
      <c r="AS38" s="34">
        <v>0</v>
      </c>
      <c r="AT38" s="34" t="str">
        <v>1P</v>
      </c>
      <c r="AU38" s="34">
        <v>10</v>
      </c>
      <c r="AV38" s="34" t="str">
        <v/>
      </c>
      <c r="AW38" s="34" t="str">
        <v/>
      </c>
      <c r="AX38" s="34" t="str">
        <v/>
      </c>
      <c r="AY38" s="34">
        <v>1</v>
      </c>
      <c r="AZ38" s="34" t="str">
        <v/>
      </c>
      <c r="BA38" s="34">
        <v>0</v>
      </c>
      <c r="BB38" s="34">
        <v>10</v>
      </c>
      <c r="BD38" s="34">
        <v>1</v>
      </c>
      <c r="BE38" s="34">
        <v>0</v>
      </c>
      <c r="BF38" s="34">
        <v>0</v>
      </c>
      <c r="BG38" s="34" t="str">
        <v/>
      </c>
      <c r="BH38" s="34" t="str">
        <v/>
      </c>
      <c r="BI38" s="34" t="str">
        <v/>
      </c>
      <c r="BJ38" s="34" t="str">
        <v/>
      </c>
      <c r="BK38" s="34" t="str">
        <v>MOTOR</v>
      </c>
      <c r="BL38" s="34">
        <v>1</v>
      </c>
      <c r="BM38" s="34" t="str">
        <v/>
      </c>
      <c r="BN38" s="34" t="str">
        <v/>
      </c>
      <c r="BO38" s="34" t="str">
        <v/>
      </c>
      <c r="BP38" s="34" t="str">
        <v/>
      </c>
      <c r="BQ38" s="34" t="str">
        <v>3х1,5</v>
      </c>
      <c r="BR38" s="34" t="str">
        <v/>
      </c>
      <c r="BS38" s="34" t="str">
        <v/>
      </c>
      <c r="BT38" s="34" t="str">
        <v/>
      </c>
      <c r="BU38" s="34">
        <v>0</v>
      </c>
      <c r="BV38" s="34">
        <v>58</v>
      </c>
      <c r="BW38" s="34">
        <v>1</v>
      </c>
      <c r="BX38" s="34">
        <v>0</v>
      </c>
      <c r="BY38" s="34" t="str">
        <v>Привод (двигатель)</v>
      </c>
      <c r="BZ38">
        <v>4</v>
      </c>
      <c r="CA38" t="str">
        <v>линии</v>
      </c>
    </row>
    <row r="39" spans="1:79" x14ac:dyDescent="0.3">
      <c r="A39" s="39" t="str">
        <v>ЩОВ-001</v>
      </c>
      <c r="B39" s="42">
        <v>23</v>
      </c>
      <c r="C39" s="42">
        <v>2</v>
      </c>
      <c r="D39" s="75" t="str">
        <v/>
      </c>
      <c r="E39" s="75" t="str">
        <v>авто</v>
      </c>
      <c r="F39" s="76" t="str">
        <v/>
      </c>
      <c r="G39" s="47" t="str">
        <v>QF8</v>
      </c>
      <c r="H39" s="47" t="str">
        <v>1P С10А</v>
      </c>
      <c r="I39" s="75" t="str">
        <v/>
      </c>
      <c r="J39" s="76" t="str">
        <v/>
      </c>
      <c r="K39" s="76" t="str">
        <v/>
      </c>
      <c r="L39" s="75" t="str">
        <v/>
      </c>
      <c r="M39" s="49" t="str">
        <v/>
      </c>
      <c r="N39" s="76" t="str">
        <v/>
      </c>
      <c r="O39" s="49" t="str">
        <v/>
      </c>
      <c r="P39" s="77" t="str">
        <v/>
      </c>
      <c r="Q39" s="53" t="str">
        <v>ВВГнг(А)-LS (3х1,5) L=15-0,23%</v>
      </c>
      <c r="R39" s="54" t="str">
        <v>П.1</v>
      </c>
      <c r="S39" s="55" t="str">
        <v>Приточная установка Пом №006Т</v>
      </c>
      <c r="T39" s="56">
        <v>0.27</v>
      </c>
      <c r="U39" s="56">
        <v>1.24</v>
      </c>
      <c r="V39" s="42" t="str">
        <v>L1</v>
      </c>
      <c r="W39" s="57" t="str">
        <v>ok</v>
      </c>
      <c r="X39" s="58" t="str">
        <v/>
      </c>
      <c r="Y39" s="75" t="str">
        <v/>
      </c>
      <c r="Z39" s="59">
        <v>1.24</v>
      </c>
      <c r="AA39" s="61">
        <v>6</v>
      </c>
      <c r="AB39" s="61">
        <v>16</v>
      </c>
      <c r="AC39" s="61" t="str">
        <v/>
      </c>
      <c r="AD39" s="62" t="str">
        <v>QF8</v>
      </c>
      <c r="AE39" s="62" t="str">
        <v/>
      </c>
      <c r="AF39" s="34">
        <v>8</v>
      </c>
      <c r="AG39" s="34" t="str">
        <v>QF8</v>
      </c>
      <c r="AH39" s="34" t="str">
        <v/>
      </c>
      <c r="AI39" s="34" t="str">
        <v/>
      </c>
      <c r="AJ39" s="34" t="str">
        <v>QF8</v>
      </c>
      <c r="AK39" s="34">
        <v>1</v>
      </c>
      <c r="AL39" s="34" t="str">
        <v>П</v>
      </c>
      <c r="AM39" s="34">
        <v>0</v>
      </c>
      <c r="AN39" s="34">
        <v>0</v>
      </c>
      <c r="AO39" s="34">
        <v>10</v>
      </c>
      <c r="AP39" s="34">
        <v>16</v>
      </c>
      <c r="AQ39" s="34">
        <v>10</v>
      </c>
      <c r="AR39" s="34">
        <v>1</v>
      </c>
      <c r="AS39" s="34">
        <v>0</v>
      </c>
      <c r="AT39" s="34" t="str">
        <v>1P</v>
      </c>
      <c r="AU39" s="34">
        <v>10</v>
      </c>
      <c r="AV39" s="34" t="str">
        <v/>
      </c>
      <c r="AW39" s="34" t="str">
        <v/>
      </c>
      <c r="AX39" s="34" t="str">
        <v/>
      </c>
      <c r="AY39" s="34">
        <v>1</v>
      </c>
      <c r="AZ39" s="34" t="str">
        <v/>
      </c>
      <c r="BA39" s="34">
        <v>0</v>
      </c>
      <c r="BB39" s="34">
        <v>10</v>
      </c>
      <c r="BD39" s="34">
        <v>1</v>
      </c>
      <c r="BE39" s="34">
        <v>0</v>
      </c>
      <c r="BF39" s="34">
        <v>0</v>
      </c>
      <c r="BG39" s="34" t="str">
        <v/>
      </c>
      <c r="BH39" s="34" t="str">
        <v/>
      </c>
      <c r="BI39" s="34" t="str">
        <v/>
      </c>
      <c r="BJ39" s="34" t="str">
        <v/>
      </c>
      <c r="BK39" s="34" t="str">
        <v>MOTOR</v>
      </c>
      <c r="BL39" s="34">
        <v>1</v>
      </c>
      <c r="BM39" s="34" t="str">
        <v/>
      </c>
      <c r="BN39" s="34" t="str">
        <v/>
      </c>
      <c r="BO39" s="34" t="str">
        <v/>
      </c>
      <c r="BP39" s="34" t="str">
        <v/>
      </c>
      <c r="BQ39" s="34" t="str">
        <v>3х1,5</v>
      </c>
      <c r="BR39" s="34" t="str">
        <v/>
      </c>
      <c r="BS39" s="34" t="str">
        <v/>
      </c>
      <c r="BT39" s="34" t="str">
        <v/>
      </c>
      <c r="BU39" s="34">
        <v>0</v>
      </c>
      <c r="BV39" s="34">
        <v>59</v>
      </c>
      <c r="BW39" s="34">
        <v>1</v>
      </c>
      <c r="BX39" s="34">
        <v>0</v>
      </c>
      <c r="BY39" s="34" t="str">
        <v>Привод (двигатель)</v>
      </c>
      <c r="BZ39">
        <v>4</v>
      </c>
      <c r="CA39" t="str">
        <v>линии</v>
      </c>
    </row>
    <row r="40" spans="1:79" x14ac:dyDescent="0.3">
      <c r="A40" s="39" t="str">
        <v>ЩОВ-001</v>
      </c>
      <c r="B40" s="42">
        <v>24</v>
      </c>
      <c r="C40" s="42">
        <v>2</v>
      </c>
      <c r="D40" s="75" t="str">
        <v/>
      </c>
      <c r="E40" s="75" t="str">
        <v>авто</v>
      </c>
      <c r="F40" s="76" t="str">
        <v/>
      </c>
      <c r="G40" s="47" t="str">
        <v>QF9</v>
      </c>
      <c r="H40" s="47" t="str">
        <v>1P С10А</v>
      </c>
      <c r="I40" s="75" t="str">
        <v/>
      </c>
      <c r="J40" s="76" t="str">
        <v/>
      </c>
      <c r="K40" s="76" t="str">
        <v/>
      </c>
      <c r="L40" s="75" t="str">
        <v/>
      </c>
      <c r="M40" s="49" t="str">
        <v/>
      </c>
      <c r="N40" s="76" t="str">
        <v/>
      </c>
      <c r="O40" s="49" t="str">
        <v/>
      </c>
      <c r="P40" s="77" t="str">
        <v/>
      </c>
      <c r="Q40" s="53" t="str">
        <v>ВВГнг(А)-LS (3х1,5) L=26-0,18%</v>
      </c>
      <c r="R40" s="54" t="str">
        <v>П.2</v>
      </c>
      <c r="S40" s="55" t="str">
        <v>Приточная установка Пом №006Т</v>
      </c>
      <c r="T40" s="56">
        <v>0.12</v>
      </c>
      <c r="U40" s="56">
        <v>0.55000000000000004</v>
      </c>
      <c r="V40" s="42" t="str">
        <v>L2</v>
      </c>
      <c r="W40" s="57" t="str">
        <v>ok</v>
      </c>
      <c r="X40" s="58" t="str">
        <v/>
      </c>
      <c r="Y40" s="75" t="str">
        <v/>
      </c>
      <c r="Z40" s="59">
        <v>0.55000000000000004</v>
      </c>
      <c r="AA40" s="61">
        <v>6</v>
      </c>
      <c r="AB40" s="61">
        <v>16</v>
      </c>
      <c r="AC40" s="61" t="str">
        <v/>
      </c>
      <c r="AD40" s="62" t="str">
        <v>QF9</v>
      </c>
      <c r="AE40" s="62" t="str">
        <v/>
      </c>
      <c r="AF40" s="34">
        <v>9</v>
      </c>
      <c r="AG40" s="34" t="str">
        <v>QF9</v>
      </c>
      <c r="AH40" s="34" t="str">
        <v/>
      </c>
      <c r="AI40" s="34" t="str">
        <v/>
      </c>
      <c r="AJ40" s="34" t="str">
        <v>QF9</v>
      </c>
      <c r="AK40" s="34">
        <v>1</v>
      </c>
      <c r="AL40" s="34" t="str">
        <v>П</v>
      </c>
      <c r="AM40" s="34">
        <v>0</v>
      </c>
      <c r="AN40" s="34">
        <v>0</v>
      </c>
      <c r="AO40" s="34">
        <v>10</v>
      </c>
      <c r="AP40" s="34">
        <v>16</v>
      </c>
      <c r="AQ40" s="34">
        <v>10</v>
      </c>
      <c r="AR40" s="34">
        <v>1</v>
      </c>
      <c r="AS40" s="34">
        <v>0</v>
      </c>
      <c r="AT40" s="34" t="str">
        <v>1P</v>
      </c>
      <c r="AU40" s="34">
        <v>10</v>
      </c>
      <c r="AV40" s="34" t="str">
        <v/>
      </c>
      <c r="AW40" s="34" t="str">
        <v/>
      </c>
      <c r="AX40" s="34" t="str">
        <v/>
      </c>
      <c r="AY40" s="34">
        <v>1</v>
      </c>
      <c r="AZ40" s="34" t="str">
        <v/>
      </c>
      <c r="BA40" s="34">
        <v>0</v>
      </c>
      <c r="BB40" s="34">
        <v>10</v>
      </c>
      <c r="BD40" s="34">
        <v>1</v>
      </c>
      <c r="BE40" s="34">
        <v>0</v>
      </c>
      <c r="BF40" s="34">
        <v>0</v>
      </c>
      <c r="BG40" s="34" t="str">
        <v/>
      </c>
      <c r="BH40" s="34" t="str">
        <v/>
      </c>
      <c r="BI40" s="34" t="str">
        <v/>
      </c>
      <c r="BJ40" s="34" t="str">
        <v/>
      </c>
      <c r="BK40" s="34" t="str">
        <v>MOTOR</v>
      </c>
      <c r="BL40" s="34">
        <v>1</v>
      </c>
      <c r="BM40" s="34" t="str">
        <v/>
      </c>
      <c r="BN40" s="34" t="str">
        <v/>
      </c>
      <c r="BO40" s="34" t="str">
        <v/>
      </c>
      <c r="BP40" s="34" t="str">
        <v/>
      </c>
      <c r="BQ40" s="34" t="str">
        <v>3х1,5</v>
      </c>
      <c r="BR40" s="34" t="str">
        <v/>
      </c>
      <c r="BS40" s="34" t="str">
        <v/>
      </c>
      <c r="BT40" s="34" t="str">
        <v/>
      </c>
      <c r="BU40" s="34">
        <v>0</v>
      </c>
      <c r="BV40" s="34">
        <v>60</v>
      </c>
      <c r="BW40" s="34">
        <v>1</v>
      </c>
      <c r="BX40" s="34">
        <v>0</v>
      </c>
      <c r="BY40" s="34" t="str">
        <v>Привод (двигатель)</v>
      </c>
      <c r="BZ40">
        <v>4</v>
      </c>
      <c r="CA40" t="str">
        <v>линии</v>
      </c>
    </row>
    <row r="41" spans="1:79" x14ac:dyDescent="0.3">
      <c r="A41" s="39" t="str">
        <v>ЩОВ-001</v>
      </c>
      <c r="B41" s="42">
        <v>25</v>
      </c>
      <c r="C41" s="42">
        <v>2</v>
      </c>
      <c r="D41" s="75" t="str">
        <v/>
      </c>
      <c r="E41" s="75" t="str">
        <v>авто</v>
      </c>
      <c r="F41" s="76" t="str">
        <v/>
      </c>
      <c r="G41" s="47" t="str">
        <v>QF10</v>
      </c>
      <c r="H41" s="47" t="str">
        <v>1P С10А</v>
      </c>
      <c r="I41" s="75" t="str">
        <v/>
      </c>
      <c r="J41" s="76" t="str">
        <v/>
      </c>
      <c r="K41" s="76" t="str">
        <v/>
      </c>
      <c r="L41" s="75" t="str">
        <v/>
      </c>
      <c r="M41" s="49" t="str">
        <v/>
      </c>
      <c r="N41" s="76" t="str">
        <v/>
      </c>
      <c r="O41" s="49" t="str">
        <v/>
      </c>
      <c r="P41" s="77" t="str">
        <v/>
      </c>
      <c r="Q41" s="53" t="str">
        <v>ВВГнг(А)-LS (3х1,5) L=23-1,3%</v>
      </c>
      <c r="R41" s="54" t="str">
        <v>П.4</v>
      </c>
      <c r="S41" s="55" t="str">
        <v>Приточная установка Пом №006Т</v>
      </c>
      <c r="T41" s="56">
        <v>1</v>
      </c>
      <c r="U41" s="56">
        <v>4.5599999999999996</v>
      </c>
      <c r="V41" s="42" t="str">
        <v>L3</v>
      </c>
      <c r="W41" s="57" t="str">
        <v>ok</v>
      </c>
      <c r="X41" s="58" t="str">
        <v/>
      </c>
      <c r="Y41" s="75" t="str">
        <v/>
      </c>
      <c r="Z41" s="59">
        <v>4.5599999999999996</v>
      </c>
      <c r="AA41" s="61">
        <v>6</v>
      </c>
      <c r="AB41" s="61">
        <v>16</v>
      </c>
      <c r="AC41" s="61" t="str">
        <v/>
      </c>
      <c r="AD41" s="62" t="str">
        <v>QF10</v>
      </c>
      <c r="AE41" s="62" t="str">
        <v/>
      </c>
      <c r="AF41" s="34">
        <v>10</v>
      </c>
      <c r="AG41" s="34" t="str">
        <v>QF10</v>
      </c>
      <c r="AH41" s="34" t="str">
        <v/>
      </c>
      <c r="AI41" s="34" t="str">
        <v/>
      </c>
      <c r="AJ41" s="34" t="str">
        <v>QF10</v>
      </c>
      <c r="AK41" s="34">
        <v>1</v>
      </c>
      <c r="AL41" s="34" t="str">
        <v>П</v>
      </c>
      <c r="AM41" s="34">
        <v>0</v>
      </c>
      <c r="AN41" s="34">
        <v>0</v>
      </c>
      <c r="AO41" s="34">
        <v>10</v>
      </c>
      <c r="AP41" s="34">
        <v>16</v>
      </c>
      <c r="AQ41" s="34">
        <v>10</v>
      </c>
      <c r="AR41" s="34">
        <v>1</v>
      </c>
      <c r="AS41" s="34">
        <v>0</v>
      </c>
      <c r="AT41" s="34" t="str">
        <v>1P</v>
      </c>
      <c r="AU41" s="34">
        <v>10</v>
      </c>
      <c r="AV41" s="34" t="str">
        <v/>
      </c>
      <c r="AW41" s="34" t="str">
        <v/>
      </c>
      <c r="AX41" s="34" t="str">
        <v/>
      </c>
      <c r="AY41" s="34">
        <v>1</v>
      </c>
      <c r="AZ41" s="34" t="str">
        <v/>
      </c>
      <c r="BA41" s="34">
        <v>0</v>
      </c>
      <c r="BB41" s="34">
        <v>10</v>
      </c>
      <c r="BD41" s="34">
        <v>1</v>
      </c>
      <c r="BE41" s="34">
        <v>0</v>
      </c>
      <c r="BF41" s="34">
        <v>0</v>
      </c>
      <c r="BG41" s="34" t="str">
        <v/>
      </c>
      <c r="BH41" s="34" t="str">
        <v/>
      </c>
      <c r="BI41" s="34" t="str">
        <v/>
      </c>
      <c r="BJ41" s="34" t="str">
        <v/>
      </c>
      <c r="BK41" s="34" t="str">
        <v>MOTOR</v>
      </c>
      <c r="BL41" s="34">
        <v>1</v>
      </c>
      <c r="BM41" s="34" t="str">
        <v/>
      </c>
      <c r="BN41" s="34" t="str">
        <v/>
      </c>
      <c r="BO41" s="34" t="str">
        <v/>
      </c>
      <c r="BP41" s="34" t="str">
        <v/>
      </c>
      <c r="BQ41" s="34" t="str">
        <v>3х1,5</v>
      </c>
      <c r="BR41" s="34" t="str">
        <v/>
      </c>
      <c r="BS41" s="34" t="str">
        <v/>
      </c>
      <c r="BT41" s="34" t="str">
        <v/>
      </c>
      <c r="BU41" s="34">
        <v>0</v>
      </c>
      <c r="BV41" s="34">
        <v>61</v>
      </c>
      <c r="BW41" s="34">
        <v>1</v>
      </c>
      <c r="BX41" s="34">
        <v>0</v>
      </c>
      <c r="BY41" s="34" t="str">
        <v>Привод (двигатель)</v>
      </c>
      <c r="BZ41">
        <v>4</v>
      </c>
      <c r="CA41" t="str">
        <v>линии</v>
      </c>
    </row>
    <row r="42" spans="1:79" x14ac:dyDescent="0.3">
      <c r="A42" s="39" t="str">
        <v>ЩОВ-001</v>
      </c>
      <c r="B42" s="42">
        <v>26</v>
      </c>
      <c r="C42" s="42">
        <v>2</v>
      </c>
      <c r="D42" s="75" t="str">
        <v/>
      </c>
      <c r="E42" s="75" t="str">
        <v>авто</v>
      </c>
      <c r="F42" s="76" t="str">
        <v/>
      </c>
      <c r="G42" s="47" t="str">
        <v>QF11</v>
      </c>
      <c r="H42" s="47" t="str">
        <v>1P С16А</v>
      </c>
      <c r="I42" s="75" t="str">
        <v/>
      </c>
      <c r="J42" s="76" t="str">
        <v/>
      </c>
      <c r="K42" s="76" t="str">
        <v/>
      </c>
      <c r="L42" s="75" t="str">
        <v/>
      </c>
      <c r="M42" s="49" t="str">
        <v/>
      </c>
      <c r="N42" s="76" t="str">
        <v/>
      </c>
      <c r="O42" s="49" t="str">
        <v/>
      </c>
      <c r="P42" s="77" t="str">
        <v/>
      </c>
      <c r="Q42" s="53" t="str">
        <v>ВВГнг(А)-LS (3х2,5) L=27-1,93%</v>
      </c>
      <c r="R42" s="54" t="str">
        <v>ПВ.2</v>
      </c>
      <c r="S42" s="55" t="str">
        <v>Приточно-вытяжная установка Подвальный этаж Пом. №006Т</v>
      </c>
      <c r="T42" s="56">
        <v>2.1</v>
      </c>
      <c r="U42" s="56">
        <v>9.58</v>
      </c>
      <c r="V42" s="42" t="str">
        <v>L1</v>
      </c>
      <c r="W42" s="57" t="str">
        <v>ok</v>
      </c>
      <c r="X42" s="58" t="str">
        <v/>
      </c>
      <c r="Y42" s="75" t="str">
        <v/>
      </c>
      <c r="Z42" s="59">
        <v>9.58</v>
      </c>
      <c r="AA42" s="61">
        <v>16</v>
      </c>
      <c r="AB42" s="61">
        <v>25</v>
      </c>
      <c r="AC42" s="61" t="str">
        <v/>
      </c>
      <c r="AD42" s="62" t="str">
        <v>QF11</v>
      </c>
      <c r="AE42" s="62" t="str">
        <v/>
      </c>
      <c r="AF42" s="34">
        <v>11</v>
      </c>
      <c r="AG42" s="34" t="str">
        <v>QF11</v>
      </c>
      <c r="AH42" s="34" t="str">
        <v/>
      </c>
      <c r="AI42" s="34" t="str">
        <v/>
      </c>
      <c r="AJ42" s="34" t="str">
        <v>QF11</v>
      </c>
      <c r="AK42" s="34">
        <v>1</v>
      </c>
      <c r="AL42" s="34" t="str">
        <v>ПВ</v>
      </c>
      <c r="AM42" s="34">
        <v>0</v>
      </c>
      <c r="AN42" s="34">
        <v>0</v>
      </c>
      <c r="AO42" s="34">
        <v>16</v>
      </c>
      <c r="AP42" s="34">
        <v>25</v>
      </c>
      <c r="AQ42" s="34">
        <v>16</v>
      </c>
      <c r="AR42" s="34">
        <v>1</v>
      </c>
      <c r="AS42" s="34">
        <v>0</v>
      </c>
      <c r="AT42" s="34" t="str">
        <v>1P</v>
      </c>
      <c r="AU42" s="34">
        <v>16</v>
      </c>
      <c r="AV42" s="34" t="str">
        <v/>
      </c>
      <c r="AW42" s="34" t="str">
        <v/>
      </c>
      <c r="AX42" s="34" t="str">
        <v/>
      </c>
      <c r="AY42" s="34">
        <v>1</v>
      </c>
      <c r="AZ42" s="34" t="str">
        <v/>
      </c>
      <c r="BA42" s="34">
        <v>0</v>
      </c>
      <c r="BB42" s="34">
        <v>16</v>
      </c>
      <c r="BD42" s="34">
        <v>1</v>
      </c>
      <c r="BE42" s="34">
        <v>0</v>
      </c>
      <c r="BF42" s="34">
        <v>0</v>
      </c>
      <c r="BG42" s="34" t="str">
        <v/>
      </c>
      <c r="BH42" s="34" t="str">
        <v/>
      </c>
      <c r="BI42" s="34" t="str">
        <v/>
      </c>
      <c r="BJ42" s="34" t="str">
        <v/>
      </c>
      <c r="BK42" s="34" t="str">
        <v>MOTOR</v>
      </c>
      <c r="BL42" s="34">
        <v>1</v>
      </c>
      <c r="BM42" s="34">
        <v>4</v>
      </c>
      <c r="BN42" s="34" t="str">
        <v/>
      </c>
      <c r="BO42" s="34" t="str">
        <v/>
      </c>
      <c r="BP42" s="34" t="str">
        <v/>
      </c>
      <c r="BQ42" s="34" t="str">
        <v>3х2,5</v>
      </c>
      <c r="BR42" s="34" t="str">
        <v/>
      </c>
      <c r="BS42" s="34" t="str">
        <v/>
      </c>
      <c r="BT42" s="34" t="str">
        <v/>
      </c>
      <c r="BU42" s="34">
        <v>0</v>
      </c>
      <c r="BV42" s="34">
        <v>62</v>
      </c>
      <c r="BW42" s="34">
        <v>1</v>
      </c>
      <c r="BX42" s="34">
        <v>0</v>
      </c>
      <c r="BY42" s="34" t="str">
        <v>Привод (двигатель)</v>
      </c>
      <c r="BZ42">
        <v>4</v>
      </c>
      <c r="CA42" t="str">
        <v>линии</v>
      </c>
    </row>
    <row r="43" spans="1:79" x14ac:dyDescent="0.3">
      <c r="A43" s="39" t="str">
        <v>ЩОВ-001</v>
      </c>
      <c r="B43" s="42">
        <v>27</v>
      </c>
      <c r="C43" s="42">
        <v>2</v>
      </c>
      <c r="D43" s="75" t="str">
        <v/>
      </c>
      <c r="E43" s="75" t="str">
        <v>авто</v>
      </c>
      <c r="F43" s="76" t="str">
        <v/>
      </c>
      <c r="G43" s="47" t="str">
        <v>QF12</v>
      </c>
      <c r="H43" s="47" t="str">
        <v>1P С10А</v>
      </c>
      <c r="I43" s="75" t="str">
        <v/>
      </c>
      <c r="J43" s="76" t="str">
        <v/>
      </c>
      <c r="K43" s="76" t="str">
        <v/>
      </c>
      <c r="L43" s="75" t="str">
        <v/>
      </c>
      <c r="M43" s="49" t="str">
        <v/>
      </c>
      <c r="N43" s="76" t="str">
        <v/>
      </c>
      <c r="O43" s="49" t="str">
        <v/>
      </c>
      <c r="P43" s="77" t="str">
        <v/>
      </c>
      <c r="Q43" s="53" t="str">
        <v>ВВГнг(А)-LS (3х1,5) L=28-0,57%</v>
      </c>
      <c r="R43" s="54" t="str">
        <v>ПВ.3</v>
      </c>
      <c r="S43" s="55" t="str">
        <v>Приточно-вытяжная установка Подвальный этаж Пом. №006Т</v>
      </c>
      <c r="T43" s="56">
        <v>0.36</v>
      </c>
      <c r="U43" s="56">
        <v>1.65</v>
      </c>
      <c r="V43" s="42" t="str">
        <v>L2</v>
      </c>
      <c r="W43" s="57" t="str">
        <v>ok</v>
      </c>
      <c r="X43" s="58" t="str">
        <v/>
      </c>
      <c r="Y43" s="75" t="str">
        <v/>
      </c>
      <c r="Z43" s="59">
        <v>1.65</v>
      </c>
      <c r="AA43" s="61">
        <v>6</v>
      </c>
      <c r="AB43" s="61">
        <v>16</v>
      </c>
      <c r="AC43" s="61" t="str">
        <v/>
      </c>
      <c r="AD43" s="62" t="str">
        <v>QF12</v>
      </c>
      <c r="AE43" s="62" t="str">
        <v/>
      </c>
      <c r="AF43" s="34">
        <v>12</v>
      </c>
      <c r="AG43" s="34" t="str">
        <v>QF12</v>
      </c>
      <c r="AH43" s="34" t="str">
        <v/>
      </c>
      <c r="AI43" s="34" t="str">
        <v/>
      </c>
      <c r="AJ43" s="34" t="str">
        <v>QF12</v>
      </c>
      <c r="AK43" s="34">
        <v>1</v>
      </c>
      <c r="AL43" s="34" t="str">
        <v>ПВ</v>
      </c>
      <c r="AM43" s="34">
        <v>0</v>
      </c>
      <c r="AN43" s="34">
        <v>0</v>
      </c>
      <c r="AO43" s="34">
        <v>10</v>
      </c>
      <c r="AP43" s="34">
        <v>16</v>
      </c>
      <c r="AQ43" s="34">
        <v>10</v>
      </c>
      <c r="AR43" s="34">
        <v>1</v>
      </c>
      <c r="AS43" s="34">
        <v>0</v>
      </c>
      <c r="AT43" s="34" t="str">
        <v>1P</v>
      </c>
      <c r="AU43" s="34">
        <v>10</v>
      </c>
      <c r="AV43" s="34" t="str">
        <v/>
      </c>
      <c r="AW43" s="34" t="str">
        <v/>
      </c>
      <c r="AX43" s="34" t="str">
        <v/>
      </c>
      <c r="AY43" s="34">
        <v>1</v>
      </c>
      <c r="AZ43" s="34" t="str">
        <v/>
      </c>
      <c r="BA43" s="34">
        <v>0</v>
      </c>
      <c r="BB43" s="34">
        <v>10</v>
      </c>
      <c r="BD43" s="34">
        <v>1</v>
      </c>
      <c r="BE43" s="34">
        <v>0</v>
      </c>
      <c r="BF43" s="34">
        <v>0</v>
      </c>
      <c r="BG43" s="34" t="str">
        <v/>
      </c>
      <c r="BH43" s="34" t="str">
        <v/>
      </c>
      <c r="BI43" s="34" t="str">
        <v/>
      </c>
      <c r="BJ43" s="34" t="str">
        <v/>
      </c>
      <c r="BK43" s="34" t="str">
        <v>MOTOR</v>
      </c>
      <c r="BL43" s="34">
        <v>1</v>
      </c>
      <c r="BM43" s="34" t="str">
        <v/>
      </c>
      <c r="BN43" s="34" t="str">
        <v/>
      </c>
      <c r="BO43" s="34" t="str">
        <v/>
      </c>
      <c r="BP43" s="34" t="str">
        <v/>
      </c>
      <c r="BQ43" s="34" t="str">
        <v>3х1,5</v>
      </c>
      <c r="BR43" s="34" t="str">
        <v/>
      </c>
      <c r="BS43" s="34" t="str">
        <v/>
      </c>
      <c r="BT43" s="34" t="str">
        <v/>
      </c>
      <c r="BU43" s="34">
        <v>0</v>
      </c>
      <c r="BV43" s="34">
        <v>63</v>
      </c>
      <c r="BW43" s="34">
        <v>1</v>
      </c>
      <c r="BX43" s="34">
        <v>0</v>
      </c>
      <c r="BY43" s="34" t="str">
        <v>Привод (двигатель)</v>
      </c>
      <c r="BZ43">
        <v>4</v>
      </c>
      <c r="CA43" t="str">
        <v>линии</v>
      </c>
    </row>
    <row r="44" spans="1:79" x14ac:dyDescent="0.3">
      <c r="A44" s="39" t="str">
        <v>ЩОВ-001</v>
      </c>
      <c r="B44" s="42">
        <v>28</v>
      </c>
      <c r="C44" s="42">
        <v>2</v>
      </c>
      <c r="D44" s="75" t="str">
        <v/>
      </c>
      <c r="E44" s="75" t="str">
        <v>авто</v>
      </c>
      <c r="F44" s="76" t="str">
        <v/>
      </c>
      <c r="G44" s="47" t="str">
        <v>QF13</v>
      </c>
      <c r="H44" s="47" t="str">
        <v>1P С10А</v>
      </c>
      <c r="I44" s="75" t="str">
        <v/>
      </c>
      <c r="J44" s="76" t="str">
        <v/>
      </c>
      <c r="K44" s="76" t="str">
        <v/>
      </c>
      <c r="L44" s="75" t="str">
        <v/>
      </c>
      <c r="M44" s="49" t="str">
        <v/>
      </c>
      <c r="N44" s="76" t="str">
        <v/>
      </c>
      <c r="O44" s="49" t="str">
        <v/>
      </c>
      <c r="P44" s="77" t="str">
        <v/>
      </c>
      <c r="Q44" s="53" t="str">
        <v>ВВГнг(А)-LS (3х1,5) L=27-1,68%</v>
      </c>
      <c r="R44" s="54" t="str">
        <v>ПВ.4</v>
      </c>
      <c r="S44" s="55" t="str">
        <v>Приточно-вытяжная установка Подвальный этаж Пом. №006Т</v>
      </c>
      <c r="T44" s="56">
        <v>1.1000000000000001</v>
      </c>
      <c r="U44" s="56">
        <v>5.0199999999999996</v>
      </c>
      <c r="V44" s="42" t="str">
        <v>L3</v>
      </c>
      <c r="W44" s="57" t="str">
        <v>ok</v>
      </c>
      <c r="X44" s="58" t="str">
        <v/>
      </c>
      <c r="Y44" s="75" t="str">
        <v/>
      </c>
      <c r="Z44" s="59">
        <v>5.0199999999999996</v>
      </c>
      <c r="AA44" s="61">
        <v>6</v>
      </c>
      <c r="AB44" s="61">
        <v>16</v>
      </c>
      <c r="AC44" s="61" t="str">
        <v/>
      </c>
      <c r="AD44" s="62" t="str">
        <v>QF13</v>
      </c>
      <c r="AE44" s="62" t="str">
        <v/>
      </c>
      <c r="AF44" s="34">
        <v>13</v>
      </c>
      <c r="AG44" s="34" t="str">
        <v>QF13</v>
      </c>
      <c r="AH44" s="34" t="str">
        <v/>
      </c>
      <c r="AI44" s="34" t="str">
        <v/>
      </c>
      <c r="AJ44" s="34" t="str">
        <v>QF13</v>
      </c>
      <c r="AK44" s="34">
        <v>1</v>
      </c>
      <c r="AL44" s="34" t="str">
        <v>ПВ</v>
      </c>
      <c r="AM44" s="34">
        <v>0</v>
      </c>
      <c r="AN44" s="34">
        <v>0</v>
      </c>
      <c r="AO44" s="34">
        <v>10</v>
      </c>
      <c r="AP44" s="34">
        <v>16</v>
      </c>
      <c r="AQ44" s="34">
        <v>10</v>
      </c>
      <c r="AR44" s="34">
        <v>1</v>
      </c>
      <c r="AS44" s="34">
        <v>0</v>
      </c>
      <c r="AT44" s="34" t="str">
        <v>1P</v>
      </c>
      <c r="AU44" s="34">
        <v>10</v>
      </c>
      <c r="AV44" s="34" t="str">
        <v/>
      </c>
      <c r="AW44" s="34" t="str">
        <v/>
      </c>
      <c r="AX44" s="34" t="str">
        <v/>
      </c>
      <c r="AY44" s="34">
        <v>1</v>
      </c>
      <c r="AZ44" s="34" t="str">
        <v/>
      </c>
      <c r="BA44" s="34">
        <v>0</v>
      </c>
      <c r="BB44" s="34">
        <v>10</v>
      </c>
      <c r="BD44" s="34">
        <v>1</v>
      </c>
      <c r="BE44" s="34">
        <v>0</v>
      </c>
      <c r="BF44" s="34">
        <v>0</v>
      </c>
      <c r="BG44" s="34" t="str">
        <v/>
      </c>
      <c r="BH44" s="34" t="str">
        <v/>
      </c>
      <c r="BI44" s="34" t="str">
        <v/>
      </c>
      <c r="BJ44" s="34" t="str">
        <v/>
      </c>
      <c r="BK44" s="34" t="str">
        <v>MOTOR</v>
      </c>
      <c r="BL44" s="34">
        <v>1</v>
      </c>
      <c r="BM44" s="34" t="str">
        <v/>
      </c>
      <c r="BN44" s="34" t="str">
        <v/>
      </c>
      <c r="BO44" s="34" t="str">
        <v/>
      </c>
      <c r="BP44" s="34" t="str">
        <v/>
      </c>
      <c r="BQ44" s="34" t="str">
        <v>3х1,5</v>
      </c>
      <c r="BR44" s="34" t="str">
        <v/>
      </c>
      <c r="BS44" s="34" t="str">
        <v/>
      </c>
      <c r="BT44" s="34" t="str">
        <v/>
      </c>
      <c r="BU44" s="34">
        <v>0</v>
      </c>
      <c r="BV44" s="34">
        <v>64</v>
      </c>
      <c r="BW44" s="34">
        <v>1</v>
      </c>
      <c r="BX44" s="34">
        <v>0</v>
      </c>
      <c r="BY44" s="34" t="str">
        <v>Привод (двигатель)</v>
      </c>
      <c r="BZ44">
        <v>4</v>
      </c>
      <c r="CA44" t="str">
        <v>линии</v>
      </c>
    </row>
    <row r="45" spans="1:79" x14ac:dyDescent="0.3">
      <c r="A45" s="39" t="str">
        <v>ЩОВ-001</v>
      </c>
      <c r="B45" s="42">
        <v>29</v>
      </c>
      <c r="C45" s="42">
        <v>2</v>
      </c>
      <c r="D45" s="75" t="str">
        <v/>
      </c>
      <c r="E45" s="75" t="str">
        <v>авто</v>
      </c>
      <c r="F45" s="76" t="str">
        <v/>
      </c>
      <c r="G45" s="47" t="str">
        <v>QF14</v>
      </c>
      <c r="H45" s="47" t="str">
        <v>1P С10А</v>
      </c>
      <c r="I45" s="75" t="str">
        <v/>
      </c>
      <c r="J45" s="76" t="str">
        <v/>
      </c>
      <c r="K45" s="76" t="str">
        <v/>
      </c>
      <c r="L45" s="75" t="str">
        <v/>
      </c>
      <c r="M45" s="49" t="str">
        <v/>
      </c>
      <c r="N45" s="76" t="str">
        <v/>
      </c>
      <c r="O45" s="49" t="str">
        <v/>
      </c>
      <c r="P45" s="77" t="str">
        <v/>
      </c>
      <c r="Q45" s="53" t="str">
        <v>ВВГнг(А)-LS (3х1,5) L=16-0,28%</v>
      </c>
      <c r="R45" s="54" t="str">
        <v>К.1.017А.1</v>
      </c>
      <c r="S45" s="55" t="str">
        <v>Внутренний блок кондиционера Подвальный этаж Пом. №006Т</v>
      </c>
      <c r="T45" s="56">
        <v>0.3</v>
      </c>
      <c r="U45" s="56">
        <v>1.37</v>
      </c>
      <c r="V45" s="42" t="str">
        <v>L1</v>
      </c>
      <c r="W45" s="57" t="str">
        <v>ok</v>
      </c>
      <c r="X45" s="58" t="str">
        <v/>
      </c>
      <c r="Y45" s="75" t="str">
        <v/>
      </c>
      <c r="Z45" s="59">
        <v>1.37</v>
      </c>
      <c r="AA45" s="61">
        <v>6</v>
      </c>
      <c r="AB45" s="61">
        <v>16</v>
      </c>
      <c r="AC45" s="61" t="str">
        <v/>
      </c>
      <c r="AD45" s="62" t="str">
        <v>QF14</v>
      </c>
      <c r="AE45" s="62" t="str">
        <v/>
      </c>
      <c r="AF45" s="34">
        <v>14</v>
      </c>
      <c r="AG45" s="34" t="str">
        <v>QF14</v>
      </c>
      <c r="AH45" s="34" t="str">
        <v/>
      </c>
      <c r="AI45" s="34" t="str">
        <v/>
      </c>
      <c r="AJ45" s="34" t="str">
        <v>QF14</v>
      </c>
      <c r="AK45" s="34">
        <v>1</v>
      </c>
      <c r="AL45" s="34" t="str">
        <v>К</v>
      </c>
      <c r="AM45" s="34">
        <v>0</v>
      </c>
      <c r="AN45" s="34">
        <v>0</v>
      </c>
      <c r="AO45" s="34">
        <v>10</v>
      </c>
      <c r="AP45" s="34">
        <v>16</v>
      </c>
      <c r="AQ45" s="34">
        <v>10</v>
      </c>
      <c r="AR45" s="34">
        <v>1</v>
      </c>
      <c r="AS45" s="34">
        <v>0</v>
      </c>
      <c r="AT45" s="34" t="str">
        <v>1P</v>
      </c>
      <c r="AU45" s="34">
        <v>10</v>
      </c>
      <c r="AV45" s="34" t="str">
        <v/>
      </c>
      <c r="AW45" s="34" t="str">
        <v/>
      </c>
      <c r="AX45" s="34" t="str">
        <v/>
      </c>
      <c r="AY45" s="34">
        <v>1</v>
      </c>
      <c r="AZ45" s="34" t="str">
        <v/>
      </c>
      <c r="BA45" s="34">
        <v>0</v>
      </c>
      <c r="BB45" s="34">
        <v>10</v>
      </c>
      <c r="BD45" s="34">
        <v>1</v>
      </c>
      <c r="BE45" s="34">
        <v>0</v>
      </c>
      <c r="BF45" s="34">
        <v>0</v>
      </c>
      <c r="BG45" s="34" t="str">
        <v/>
      </c>
      <c r="BH45" s="34" t="str">
        <v/>
      </c>
      <c r="BI45" s="34" t="str">
        <v/>
      </c>
      <c r="BJ45" s="34" t="str">
        <v/>
      </c>
      <c r="BK45" s="34" t="str">
        <v>MOTOR</v>
      </c>
      <c r="BL45" s="34">
        <v>1</v>
      </c>
      <c r="BM45" s="34" t="str">
        <v/>
      </c>
      <c r="BN45" s="34" t="str">
        <v/>
      </c>
      <c r="BO45" s="34" t="str">
        <v/>
      </c>
      <c r="BP45" s="34" t="str">
        <v/>
      </c>
      <c r="BQ45" s="34" t="str">
        <v>3х1,5</v>
      </c>
      <c r="BR45" s="34" t="str">
        <v/>
      </c>
      <c r="BS45" s="34" t="str">
        <v/>
      </c>
      <c r="BT45" s="34" t="str">
        <v/>
      </c>
      <c r="BU45" s="34">
        <v>0</v>
      </c>
      <c r="BV45" s="34">
        <v>65</v>
      </c>
      <c r="BW45" s="34">
        <v>1</v>
      </c>
      <c r="BX45" s="34">
        <v>0</v>
      </c>
      <c r="BY45" s="34" t="str">
        <v>Привод (двигатель)</v>
      </c>
      <c r="BZ45">
        <v>4</v>
      </c>
      <c r="CA45" t="str">
        <v>линии</v>
      </c>
    </row>
    <row r="46" spans="1:79" x14ac:dyDescent="0.3">
      <c r="A46" s="39" t="str">
        <v>ЩОВ-001</v>
      </c>
      <c r="B46" s="42">
        <v>30</v>
      </c>
      <c r="C46" s="42">
        <v>2</v>
      </c>
      <c r="D46" s="75" t="str">
        <v/>
      </c>
      <c r="E46" s="75" t="str">
        <v>авто</v>
      </c>
      <c r="F46" s="76" t="str">
        <v/>
      </c>
      <c r="G46" s="47" t="str">
        <v>QF15</v>
      </c>
      <c r="H46" s="47" t="str">
        <v>1P С10А</v>
      </c>
      <c r="I46" s="75" t="str">
        <v/>
      </c>
      <c r="J46" s="76" t="str">
        <v/>
      </c>
      <c r="K46" s="76" t="str">
        <v/>
      </c>
      <c r="L46" s="75" t="str">
        <v/>
      </c>
      <c r="M46" s="49" t="str">
        <v/>
      </c>
      <c r="N46" s="76" t="str">
        <v/>
      </c>
      <c r="O46" s="49" t="str">
        <v/>
      </c>
      <c r="P46" s="77" t="str">
        <v/>
      </c>
      <c r="Q46" s="53" t="str">
        <v>ВВГнг(А)-LS (3х1,5) L=16-0,28%</v>
      </c>
      <c r="R46" s="54" t="str">
        <v>К.1.021А.1</v>
      </c>
      <c r="S46" s="55" t="str">
        <v>Внутренний блок кондиционера Подвальный этаж Пом. №006Т</v>
      </c>
      <c r="T46" s="56">
        <v>0.3</v>
      </c>
      <c r="U46" s="56">
        <v>1.37</v>
      </c>
      <c r="V46" s="42" t="str">
        <v>L2</v>
      </c>
      <c r="W46" s="57" t="str">
        <v>ok</v>
      </c>
      <c r="X46" s="58" t="str">
        <v/>
      </c>
      <c r="Y46" s="75" t="str">
        <v/>
      </c>
      <c r="Z46" s="59">
        <v>1.37</v>
      </c>
      <c r="AA46" s="61">
        <v>6</v>
      </c>
      <c r="AB46" s="61">
        <v>16</v>
      </c>
      <c r="AC46" s="61" t="str">
        <v/>
      </c>
      <c r="AD46" s="62" t="str">
        <v>QF15</v>
      </c>
      <c r="AE46" s="62" t="str">
        <v/>
      </c>
      <c r="AF46" s="34">
        <v>15</v>
      </c>
      <c r="AG46" s="34" t="str">
        <v>QF15</v>
      </c>
      <c r="AH46" s="34" t="str">
        <v/>
      </c>
      <c r="AI46" s="34" t="str">
        <v/>
      </c>
      <c r="AJ46" s="34" t="str">
        <v>QF15</v>
      </c>
      <c r="AK46" s="34">
        <v>1</v>
      </c>
      <c r="AL46" s="34" t="str">
        <v>К</v>
      </c>
      <c r="AM46" s="34">
        <v>0</v>
      </c>
      <c r="AN46" s="34">
        <v>0</v>
      </c>
      <c r="AO46" s="34">
        <v>10</v>
      </c>
      <c r="AP46" s="34">
        <v>16</v>
      </c>
      <c r="AQ46" s="34">
        <v>10</v>
      </c>
      <c r="AR46" s="34">
        <v>1</v>
      </c>
      <c r="AS46" s="34">
        <v>0</v>
      </c>
      <c r="AT46" s="34" t="str">
        <v>1P</v>
      </c>
      <c r="AU46" s="34">
        <v>10</v>
      </c>
      <c r="AV46" s="34" t="str">
        <v/>
      </c>
      <c r="AW46" s="34" t="str">
        <v/>
      </c>
      <c r="AX46" s="34" t="str">
        <v/>
      </c>
      <c r="AY46" s="34">
        <v>1</v>
      </c>
      <c r="AZ46" s="34" t="str">
        <v/>
      </c>
      <c r="BA46" s="34">
        <v>0</v>
      </c>
      <c r="BB46" s="34">
        <v>10</v>
      </c>
      <c r="BD46" s="34">
        <v>1</v>
      </c>
      <c r="BE46" s="34">
        <v>0</v>
      </c>
      <c r="BF46" s="34">
        <v>0</v>
      </c>
      <c r="BG46" s="34" t="str">
        <v/>
      </c>
      <c r="BH46" s="34" t="str">
        <v/>
      </c>
      <c r="BI46" s="34" t="str">
        <v/>
      </c>
      <c r="BJ46" s="34" t="str">
        <v/>
      </c>
      <c r="BK46" s="34" t="str">
        <v>MOTOR</v>
      </c>
      <c r="BL46" s="34">
        <v>1</v>
      </c>
      <c r="BM46" s="34" t="str">
        <v/>
      </c>
      <c r="BN46" s="34" t="str">
        <v/>
      </c>
      <c r="BO46" s="34" t="str">
        <v/>
      </c>
      <c r="BP46" s="34" t="str">
        <v/>
      </c>
      <c r="BQ46" s="34" t="str">
        <v>3х1,5</v>
      </c>
      <c r="BR46" s="34" t="str">
        <v/>
      </c>
      <c r="BS46" s="34" t="str">
        <v/>
      </c>
      <c r="BT46" s="34" t="str">
        <v/>
      </c>
      <c r="BU46" s="34">
        <v>0</v>
      </c>
      <c r="BV46" s="34">
        <v>66</v>
      </c>
      <c r="BW46" s="34">
        <v>1</v>
      </c>
      <c r="BX46" s="34">
        <v>0</v>
      </c>
      <c r="BY46" s="34" t="str">
        <v>Привод (двигатель)</v>
      </c>
      <c r="BZ46">
        <v>4</v>
      </c>
      <c r="CA46" t="str">
        <v>линии</v>
      </c>
    </row>
    <row r="47" spans="1:79" x14ac:dyDescent="0.3">
      <c r="A47" s="39" t="str">
        <v>ЩОВ-001</v>
      </c>
      <c r="B47" s="42">
        <v>31</v>
      </c>
      <c r="C47" s="42">
        <v>2</v>
      </c>
      <c r="D47" s="75" t="str">
        <v/>
      </c>
      <c r="E47" s="75" t="str">
        <v>авто</v>
      </c>
      <c r="F47" s="76" t="str">
        <v/>
      </c>
      <c r="G47" s="47" t="str">
        <v>QF16</v>
      </c>
      <c r="H47" s="47" t="str">
        <v>1P С16А</v>
      </c>
      <c r="I47" s="75" t="str">
        <v/>
      </c>
      <c r="J47" s="76" t="str">
        <v/>
      </c>
      <c r="K47" s="76" t="str">
        <v/>
      </c>
      <c r="L47" s="75" t="str">
        <v/>
      </c>
      <c r="M47" s="49" t="str">
        <v/>
      </c>
      <c r="N47" s="76" t="str">
        <v/>
      </c>
      <c r="O47" s="49" t="str">
        <v/>
      </c>
      <c r="P47" s="77" t="str">
        <v/>
      </c>
      <c r="Q47" s="53" t="str">
        <v>ВВГнг(А)-LS (3х2,5) L=38-2,45%</v>
      </c>
      <c r="R47" s="54" t="str">
        <v>K.1</v>
      </c>
      <c r="S47" s="55" t="str">
        <v>Внешний блок кондиционирования Пом. Венткиосок</v>
      </c>
      <c r="T47" s="56">
        <v>1.9</v>
      </c>
      <c r="U47" s="56">
        <v>8.67</v>
      </c>
      <c r="V47" s="42" t="str">
        <v>L3</v>
      </c>
      <c r="W47" s="57" t="str">
        <v>ok</v>
      </c>
      <c r="X47" s="58" t="str">
        <v/>
      </c>
      <c r="Y47" s="75" t="str">
        <v/>
      </c>
      <c r="Z47" s="59">
        <v>8.67</v>
      </c>
      <c r="AA47" s="61">
        <v>10</v>
      </c>
      <c r="AB47" s="61">
        <v>25</v>
      </c>
      <c r="AC47" s="61" t="str">
        <v/>
      </c>
      <c r="AD47" s="62" t="str">
        <v>QF16</v>
      </c>
      <c r="AE47" s="62" t="str">
        <v/>
      </c>
      <c r="AF47" s="34">
        <v>16</v>
      </c>
      <c r="AG47" s="34" t="str">
        <v>QF16</v>
      </c>
      <c r="AH47" s="34" t="str">
        <v/>
      </c>
      <c r="AI47" s="34" t="str">
        <v/>
      </c>
      <c r="AJ47" s="34" t="str">
        <v>QF16</v>
      </c>
      <c r="AK47" s="34">
        <v>1</v>
      </c>
      <c r="AL47" s="34" t="str">
        <v>K</v>
      </c>
      <c r="AM47" s="34">
        <v>0</v>
      </c>
      <c r="AN47" s="34">
        <v>0</v>
      </c>
      <c r="AO47" s="34">
        <v>16</v>
      </c>
      <c r="AP47" s="34">
        <v>25</v>
      </c>
      <c r="AQ47" s="34">
        <v>16</v>
      </c>
      <c r="AR47" s="34">
        <v>1</v>
      </c>
      <c r="AS47" s="34">
        <v>0</v>
      </c>
      <c r="AT47" s="34" t="str">
        <v>1P</v>
      </c>
      <c r="AU47" s="34">
        <v>16</v>
      </c>
      <c r="AV47" s="34" t="str">
        <v/>
      </c>
      <c r="AW47" s="34" t="str">
        <v/>
      </c>
      <c r="AX47" s="34" t="str">
        <v/>
      </c>
      <c r="AY47" s="34">
        <v>1</v>
      </c>
      <c r="AZ47" s="34" t="str">
        <v/>
      </c>
      <c r="BA47" s="34">
        <v>0</v>
      </c>
      <c r="BB47" s="34">
        <v>16</v>
      </c>
      <c r="BD47" s="34">
        <v>1</v>
      </c>
      <c r="BE47" s="34">
        <v>0</v>
      </c>
      <c r="BF47" s="34">
        <v>0</v>
      </c>
      <c r="BG47" s="34" t="str">
        <v/>
      </c>
      <c r="BH47" s="34" t="str">
        <v/>
      </c>
      <c r="BI47" s="34" t="str">
        <v/>
      </c>
      <c r="BJ47" s="34" t="str">
        <v/>
      </c>
      <c r="BK47" s="34" t="str">
        <v>BOX</v>
      </c>
      <c r="BL47" s="34">
        <v>1</v>
      </c>
      <c r="BM47" s="34" t="str">
        <v/>
      </c>
      <c r="BN47" s="34" t="str">
        <v/>
      </c>
      <c r="BO47" s="34" t="str">
        <v/>
      </c>
      <c r="BP47" s="34" t="str">
        <v/>
      </c>
      <c r="BQ47" s="34" t="str">
        <v>3х2,5</v>
      </c>
      <c r="BR47" s="34" t="str">
        <v/>
      </c>
      <c r="BS47" s="34" t="str">
        <v/>
      </c>
      <c r="BT47" s="34" t="str">
        <v/>
      </c>
      <c r="BU47" s="34">
        <v>0</v>
      </c>
      <c r="BV47" s="34">
        <v>67</v>
      </c>
      <c r="BW47" s="34">
        <v>1</v>
      </c>
      <c r="BX47" s="34">
        <v>0</v>
      </c>
      <c r="BY47" s="34">
        <v>0</v>
      </c>
      <c r="BZ47">
        <v>4</v>
      </c>
      <c r="CA47" t="str">
        <v>линии</v>
      </c>
    </row>
    <row r="48" spans="1:79" x14ac:dyDescent="0.3">
      <c r="A48" s="39" t="str">
        <v>ЩОВ-001</v>
      </c>
      <c r="B48" s="42">
        <v>32</v>
      </c>
      <c r="C48" s="42">
        <v>2</v>
      </c>
      <c r="D48" s="75" t="str">
        <v/>
      </c>
      <c r="E48" s="75" t="str">
        <v>авто</v>
      </c>
      <c r="F48" s="76" t="str">
        <v/>
      </c>
      <c r="G48" s="47" t="str">
        <v>QF17</v>
      </c>
      <c r="H48" s="47" t="str">
        <v>1P С16А</v>
      </c>
      <c r="I48" s="75" t="str">
        <v/>
      </c>
      <c r="J48" s="76" t="str">
        <v/>
      </c>
      <c r="K48" s="76" t="str">
        <v/>
      </c>
      <c r="L48" s="75" t="str">
        <v/>
      </c>
      <c r="M48" s="49" t="str">
        <v/>
      </c>
      <c r="N48" s="76" t="str">
        <v/>
      </c>
      <c r="O48" s="49" t="str">
        <v/>
      </c>
      <c r="P48" s="77" t="str">
        <v/>
      </c>
      <c r="Q48" s="53" t="str">
        <v>ВВГнг(А)-LS (3х2,5) L=38-2,45%</v>
      </c>
      <c r="R48" s="54" t="str">
        <v>K.2</v>
      </c>
      <c r="S48" s="55" t="str">
        <v>Внешний блок кондиционирования Пом. Венткиосок</v>
      </c>
      <c r="T48" s="56">
        <v>1.9</v>
      </c>
      <c r="U48" s="56">
        <v>8.67</v>
      </c>
      <c r="V48" s="42" t="str">
        <v>L1</v>
      </c>
      <c r="W48" s="57" t="str">
        <v>ok</v>
      </c>
      <c r="X48" s="58" t="str">
        <v/>
      </c>
      <c r="Y48" s="75" t="str">
        <v/>
      </c>
      <c r="Z48" s="59">
        <v>8.67</v>
      </c>
      <c r="AA48" s="61">
        <v>10</v>
      </c>
      <c r="AB48" s="61">
        <v>25</v>
      </c>
      <c r="AC48" s="61" t="str">
        <v/>
      </c>
      <c r="AD48" s="62" t="str">
        <v>QF17</v>
      </c>
      <c r="AE48" s="62" t="str">
        <v/>
      </c>
      <c r="AF48" s="34">
        <v>17</v>
      </c>
      <c r="AG48" s="34" t="str">
        <v>QF17</v>
      </c>
      <c r="AH48" s="34" t="str">
        <v/>
      </c>
      <c r="AI48" s="34" t="str">
        <v/>
      </c>
      <c r="AJ48" s="34" t="str">
        <v>QF17</v>
      </c>
      <c r="AK48" s="34">
        <v>1</v>
      </c>
      <c r="AL48" s="34" t="str">
        <v>K</v>
      </c>
      <c r="AM48" s="34">
        <v>0</v>
      </c>
      <c r="AN48" s="34">
        <v>0</v>
      </c>
      <c r="AO48" s="34">
        <v>16</v>
      </c>
      <c r="AP48" s="34">
        <v>25</v>
      </c>
      <c r="AQ48" s="34">
        <v>16</v>
      </c>
      <c r="AR48" s="34">
        <v>1</v>
      </c>
      <c r="AS48" s="34">
        <v>0</v>
      </c>
      <c r="AT48" s="34" t="str">
        <v>1P</v>
      </c>
      <c r="AU48" s="34">
        <v>16</v>
      </c>
      <c r="AV48" s="34" t="str">
        <v/>
      </c>
      <c r="AW48" s="34" t="str">
        <v/>
      </c>
      <c r="AX48" s="34" t="str">
        <v/>
      </c>
      <c r="AY48" s="34">
        <v>1</v>
      </c>
      <c r="AZ48" s="34" t="str">
        <v/>
      </c>
      <c r="BA48" s="34">
        <v>0</v>
      </c>
      <c r="BB48" s="34">
        <v>16</v>
      </c>
      <c r="BD48" s="34">
        <v>1</v>
      </c>
      <c r="BE48" s="34">
        <v>0</v>
      </c>
      <c r="BF48" s="34">
        <v>0</v>
      </c>
      <c r="BG48" s="34" t="str">
        <v/>
      </c>
      <c r="BH48" s="34" t="str">
        <v/>
      </c>
      <c r="BI48" s="34" t="str">
        <v/>
      </c>
      <c r="BJ48" s="34" t="str">
        <v/>
      </c>
      <c r="BK48" s="34" t="str">
        <v>BOX</v>
      </c>
      <c r="BL48" s="34">
        <v>1</v>
      </c>
      <c r="BM48" s="34" t="str">
        <v/>
      </c>
      <c r="BN48" s="34" t="str">
        <v/>
      </c>
      <c r="BO48" s="34" t="str">
        <v/>
      </c>
      <c r="BP48" s="34" t="str">
        <v/>
      </c>
      <c r="BQ48" s="34" t="str">
        <v>3х2,5</v>
      </c>
      <c r="BR48" s="34" t="str">
        <v/>
      </c>
      <c r="BS48" s="34" t="str">
        <v/>
      </c>
      <c r="BT48" s="34" t="str">
        <v/>
      </c>
      <c r="BU48" s="34">
        <v>0</v>
      </c>
      <c r="BV48" s="34">
        <v>68</v>
      </c>
      <c r="BW48" s="34">
        <v>1</v>
      </c>
      <c r="BX48" s="34">
        <v>0</v>
      </c>
      <c r="BY48" s="34">
        <v>0</v>
      </c>
      <c r="BZ48">
        <v>4</v>
      </c>
      <c r="CA48" t="str">
        <v>линии</v>
      </c>
    </row>
    <row r="49" spans="1:79" x14ac:dyDescent="0.3">
      <c r="A49" s="39" t="str">
        <v>ЩОВ-001</v>
      </c>
      <c r="B49" s="42">
        <v>33</v>
      </c>
      <c r="C49" s="42">
        <v>2</v>
      </c>
      <c r="D49" s="75" t="str">
        <v/>
      </c>
      <c r="E49" s="75" t="str">
        <v>авто</v>
      </c>
      <c r="F49" s="76" t="str">
        <v/>
      </c>
      <c r="G49" s="47" t="str">
        <v>QF18</v>
      </c>
      <c r="H49" s="47" t="str">
        <v>1P С16А</v>
      </c>
      <c r="I49" s="75" t="str">
        <v/>
      </c>
      <c r="J49" s="76" t="str">
        <v/>
      </c>
      <c r="K49" s="76" t="str">
        <v/>
      </c>
      <c r="L49" s="75" t="str">
        <v/>
      </c>
      <c r="M49" s="49" t="str">
        <v/>
      </c>
      <c r="N49" s="76" t="str">
        <v/>
      </c>
      <c r="O49" s="49" t="str">
        <v/>
      </c>
      <c r="P49" s="77" t="str">
        <v/>
      </c>
      <c r="Q49" s="53" t="str">
        <v>ВВГнг(А)-LS (3х2,5) L=38-2,45%</v>
      </c>
      <c r="R49" s="54" t="str">
        <v>K.3</v>
      </c>
      <c r="S49" s="55" t="str">
        <v>Внешний блок кондиционирования Пом. Венткиосок</v>
      </c>
      <c r="T49" s="56">
        <v>1.9</v>
      </c>
      <c r="U49" s="56">
        <v>8.67</v>
      </c>
      <c r="V49" s="42" t="str">
        <v>L2</v>
      </c>
      <c r="W49" s="57" t="str">
        <v>ok</v>
      </c>
      <c r="X49" s="58" t="str">
        <v/>
      </c>
      <c r="Y49" s="75" t="str">
        <v/>
      </c>
      <c r="Z49" s="59">
        <v>8.67</v>
      </c>
      <c r="AA49" s="61">
        <v>10</v>
      </c>
      <c r="AB49" s="61">
        <v>25</v>
      </c>
      <c r="AC49" s="61" t="str">
        <v/>
      </c>
      <c r="AD49" s="62" t="str">
        <v>QF18</v>
      </c>
      <c r="AE49" s="62" t="str">
        <v/>
      </c>
      <c r="AF49" s="34">
        <v>18</v>
      </c>
      <c r="AG49" s="34" t="str">
        <v>QF18</v>
      </c>
      <c r="AH49" s="34" t="str">
        <v/>
      </c>
      <c r="AI49" s="34" t="str">
        <v/>
      </c>
      <c r="AJ49" s="34" t="str">
        <v>QF18</v>
      </c>
      <c r="AK49" s="34">
        <v>1</v>
      </c>
      <c r="AL49" s="34" t="str">
        <v>K</v>
      </c>
      <c r="AM49" s="34">
        <v>0</v>
      </c>
      <c r="AN49" s="34">
        <v>0</v>
      </c>
      <c r="AO49" s="34">
        <v>16</v>
      </c>
      <c r="AP49" s="34">
        <v>25</v>
      </c>
      <c r="AQ49" s="34">
        <v>16</v>
      </c>
      <c r="AR49" s="34">
        <v>1</v>
      </c>
      <c r="AS49" s="34">
        <v>0</v>
      </c>
      <c r="AT49" s="34" t="str">
        <v>1P</v>
      </c>
      <c r="AU49" s="34">
        <v>16</v>
      </c>
      <c r="AV49" s="34" t="str">
        <v/>
      </c>
      <c r="AW49" s="34" t="str">
        <v/>
      </c>
      <c r="AX49" s="34" t="str">
        <v/>
      </c>
      <c r="AY49" s="34">
        <v>1</v>
      </c>
      <c r="AZ49" s="34" t="str">
        <v/>
      </c>
      <c r="BA49" s="34">
        <v>0</v>
      </c>
      <c r="BB49" s="34">
        <v>16</v>
      </c>
      <c r="BD49" s="34">
        <v>1</v>
      </c>
      <c r="BE49" s="34">
        <v>0</v>
      </c>
      <c r="BF49" s="34">
        <v>0</v>
      </c>
      <c r="BG49" s="34" t="str">
        <v/>
      </c>
      <c r="BH49" s="34" t="str">
        <v/>
      </c>
      <c r="BI49" s="34" t="str">
        <v/>
      </c>
      <c r="BJ49" s="34" t="str">
        <v/>
      </c>
      <c r="BK49" s="34" t="str">
        <v>BOX</v>
      </c>
      <c r="BL49" s="34">
        <v>1</v>
      </c>
      <c r="BM49" s="34" t="str">
        <v/>
      </c>
      <c r="BN49" s="34" t="str">
        <v/>
      </c>
      <c r="BO49" s="34" t="str">
        <v/>
      </c>
      <c r="BP49" s="34" t="str">
        <v/>
      </c>
      <c r="BQ49" s="34" t="str">
        <v>3х2,5</v>
      </c>
      <c r="BR49" s="34" t="str">
        <v/>
      </c>
      <c r="BS49" s="34" t="str">
        <v/>
      </c>
      <c r="BT49" s="34" t="str">
        <v/>
      </c>
      <c r="BU49" s="34">
        <v>0</v>
      </c>
      <c r="BV49" s="34">
        <v>69</v>
      </c>
      <c r="BW49" s="34">
        <v>1</v>
      </c>
      <c r="BX49" s="34">
        <v>0</v>
      </c>
      <c r="BY49" s="34">
        <v>0</v>
      </c>
      <c r="BZ49">
        <v>4</v>
      </c>
      <c r="CA49" t="str">
        <v>линии</v>
      </c>
    </row>
    <row r="50" spans="1:79" x14ac:dyDescent="0.3">
      <c r="A50" s="39" t="str">
        <v>ЩОВ-001</v>
      </c>
      <c r="B50" s="42">
        <v>36</v>
      </c>
      <c r="C50" s="42">
        <v>3</v>
      </c>
      <c r="D50" s="75" t="str">
        <v/>
      </c>
      <c r="E50" s="75" t="str">
        <v>авто</v>
      </c>
      <c r="F50" s="76" t="str">
        <v/>
      </c>
      <c r="G50" s="47" t="str">
        <v>QF19</v>
      </c>
      <c r="H50" s="47" t="str">
        <v>1P С16А</v>
      </c>
      <c r="I50" s="75" t="str">
        <v/>
      </c>
      <c r="J50" s="76" t="str">
        <v/>
      </c>
      <c r="K50" s="76" t="str">
        <v/>
      </c>
      <c r="L50" s="75" t="str">
        <v/>
      </c>
      <c r="M50" s="49" t="str">
        <v/>
      </c>
      <c r="N50" s="76" t="str">
        <v/>
      </c>
      <c r="O50" s="49" t="str">
        <v/>
      </c>
      <c r="P50" s="77" t="str">
        <v>XT20</v>
      </c>
      <c r="Q50" s="53" t="str">
        <v>ВВГнг(А)-LS (3х2,5) L=38-2,45%</v>
      </c>
      <c r="R50" s="54" t="str">
        <v>K.4</v>
      </c>
      <c r="S50" s="55" t="str">
        <v>Внешний блок кондиционирования Пом. Венткиосок</v>
      </c>
      <c r="T50" s="56">
        <v>1.9</v>
      </c>
      <c r="U50" s="56">
        <v>8.67</v>
      </c>
      <c r="V50" s="42" t="str">
        <v>L2</v>
      </c>
      <c r="W50" s="57" t="str">
        <v>ok</v>
      </c>
      <c r="X50" s="58" t="str">
        <v/>
      </c>
      <c r="Y50" s="75" t="str">
        <v/>
      </c>
      <c r="Z50" s="59">
        <v>8.67</v>
      </c>
      <c r="AA50" s="61">
        <v>10</v>
      </c>
      <c r="AB50" s="61">
        <v>25</v>
      </c>
      <c r="AC50" s="61" t="str">
        <v/>
      </c>
      <c r="AD50" s="62" t="str">
        <v>QF19 → XT20</v>
      </c>
      <c r="AE50" s="62" t="str">
        <v/>
      </c>
      <c r="AF50" s="34">
        <v>19</v>
      </c>
      <c r="AG50" s="34" t="str">
        <v>QF19</v>
      </c>
      <c r="AH50" s="34" t="str">
        <v/>
      </c>
      <c r="AI50" s="34" t="str">
        <v/>
      </c>
      <c r="AJ50" s="34" t="str">
        <v>QF19</v>
      </c>
      <c r="AK50" s="34">
        <v>1</v>
      </c>
      <c r="AL50" s="34" t="str">
        <v>K</v>
      </c>
      <c r="AM50" s="34">
        <v>0</v>
      </c>
      <c r="AN50" s="34">
        <v>0</v>
      </c>
      <c r="AO50" s="34">
        <v>16</v>
      </c>
      <c r="AP50" s="34">
        <v>25</v>
      </c>
      <c r="AQ50" s="34">
        <v>16</v>
      </c>
      <c r="AR50" s="34">
        <v>1</v>
      </c>
      <c r="AS50" s="34">
        <v>0</v>
      </c>
      <c r="AT50" s="34" t="str">
        <v>1P</v>
      </c>
      <c r="AU50" s="34">
        <v>16</v>
      </c>
      <c r="AV50" s="34" t="str">
        <v/>
      </c>
      <c r="AW50" s="34" t="str">
        <v/>
      </c>
      <c r="AX50" s="34" t="str">
        <v/>
      </c>
      <c r="AY50" s="34">
        <v>1</v>
      </c>
      <c r="AZ50" s="34" t="str">
        <v/>
      </c>
      <c r="BA50" s="34">
        <v>0</v>
      </c>
      <c r="BB50" s="34">
        <v>16</v>
      </c>
      <c r="BD50" s="34">
        <v>1</v>
      </c>
      <c r="BE50" s="34">
        <v>0</v>
      </c>
      <c r="BF50" s="34">
        <v>0</v>
      </c>
      <c r="BG50" s="34" t="str">
        <v/>
      </c>
      <c r="BH50" s="34" t="str">
        <v/>
      </c>
      <c r="BI50" s="34" t="str">
        <v/>
      </c>
      <c r="BJ50" s="34" t="str">
        <v/>
      </c>
      <c r="BK50" s="34" t="str">
        <v>BOX</v>
      </c>
      <c r="BL50" s="34">
        <v>1</v>
      </c>
      <c r="BM50" s="34" t="str">
        <v/>
      </c>
      <c r="BN50" s="34" t="str">
        <v/>
      </c>
      <c r="BO50" s="34" t="str">
        <v/>
      </c>
      <c r="BP50" s="34" t="str">
        <v/>
      </c>
      <c r="BQ50" s="34" t="str">
        <v>3х2,5</v>
      </c>
      <c r="BR50" s="34" t="str">
        <v/>
      </c>
      <c r="BS50" s="34" t="str">
        <v/>
      </c>
      <c r="BT50" s="34" t="str">
        <v/>
      </c>
      <c r="BU50" s="34">
        <v>0</v>
      </c>
      <c r="BV50" s="34">
        <v>70</v>
      </c>
      <c r="BW50" s="34">
        <v>1</v>
      </c>
      <c r="BX50" s="34">
        <v>0</v>
      </c>
      <c r="BY50" s="34">
        <v>0</v>
      </c>
      <c r="BZ50">
        <v>4</v>
      </c>
      <c r="CA50" t="str">
        <v>линии</v>
      </c>
    </row>
    <row r="51" spans="1:79" x14ac:dyDescent="0.3">
      <c r="A51" s="39" t="str">
        <v>ЩОВ-001</v>
      </c>
      <c r="B51" s="42">
        <v>37</v>
      </c>
      <c r="C51" s="42">
        <v>3</v>
      </c>
      <c r="D51" s="75" t="str">
        <v/>
      </c>
      <c r="E51" s="75" t="str">
        <v>авто</v>
      </c>
      <c r="F51" s="76" t="str">
        <v/>
      </c>
      <c r="G51" s="47" t="str">
        <v>QF20</v>
      </c>
      <c r="H51" s="47" t="str">
        <v>1P С16А</v>
      </c>
      <c r="I51" s="75" t="str">
        <v/>
      </c>
      <c r="J51" s="76" t="str">
        <v/>
      </c>
      <c r="K51" s="76" t="str">
        <v/>
      </c>
      <c r="L51" s="75" t="str">
        <v/>
      </c>
      <c r="M51" s="49" t="str">
        <v/>
      </c>
      <c r="N51" s="76" t="str">
        <v/>
      </c>
      <c r="O51" s="49" t="str">
        <v/>
      </c>
      <c r="P51" s="77" t="str">
        <v>XT21</v>
      </c>
      <c r="Q51" s="53" t="str">
        <v>ВВГнг(А)-LS (3х2,5) L=35-2,26%</v>
      </c>
      <c r="R51" s="54" t="str">
        <v>K.5</v>
      </c>
      <c r="S51" s="55" t="str">
        <v>Внешний блок кондиционирования Пом. Венткиосок</v>
      </c>
      <c r="T51" s="56">
        <v>1.9</v>
      </c>
      <c r="U51" s="56">
        <v>8.67</v>
      </c>
      <c r="V51" s="42" t="str">
        <v>L3</v>
      </c>
      <c r="W51" s="57" t="str">
        <v>ok</v>
      </c>
      <c r="X51" s="58" t="str">
        <v/>
      </c>
      <c r="Y51" s="75" t="str">
        <v/>
      </c>
      <c r="Z51" s="59">
        <v>8.67</v>
      </c>
      <c r="AA51" s="61">
        <v>10</v>
      </c>
      <c r="AB51" s="61">
        <v>25</v>
      </c>
      <c r="AC51" s="61" t="str">
        <v/>
      </c>
      <c r="AD51" s="62" t="str">
        <v>QF20 → XT21</v>
      </c>
      <c r="AE51" s="62" t="str">
        <v/>
      </c>
      <c r="AF51" s="34">
        <v>20</v>
      </c>
      <c r="AG51" s="34" t="str">
        <v>QF20</v>
      </c>
      <c r="AH51" s="34" t="str">
        <v/>
      </c>
      <c r="AI51" s="34" t="str">
        <v/>
      </c>
      <c r="AJ51" s="34" t="str">
        <v>QF20</v>
      </c>
      <c r="AK51" s="34">
        <v>1</v>
      </c>
      <c r="AL51" s="34" t="str">
        <v>K</v>
      </c>
      <c r="AM51" s="34">
        <v>0</v>
      </c>
      <c r="AN51" s="34">
        <v>0</v>
      </c>
      <c r="AO51" s="34">
        <v>16</v>
      </c>
      <c r="AP51" s="34">
        <v>25</v>
      </c>
      <c r="AQ51" s="34">
        <v>16</v>
      </c>
      <c r="AR51" s="34">
        <v>1</v>
      </c>
      <c r="AS51" s="34">
        <v>0</v>
      </c>
      <c r="AT51" s="34" t="str">
        <v>1P</v>
      </c>
      <c r="AU51" s="34">
        <v>16</v>
      </c>
      <c r="AV51" s="34" t="str">
        <v/>
      </c>
      <c r="AW51" s="34" t="str">
        <v/>
      </c>
      <c r="AX51" s="34" t="str">
        <v/>
      </c>
      <c r="AY51" s="34">
        <v>1</v>
      </c>
      <c r="AZ51" s="34" t="str">
        <v/>
      </c>
      <c r="BA51" s="34">
        <v>0</v>
      </c>
      <c r="BB51" s="34">
        <v>16</v>
      </c>
      <c r="BD51" s="34">
        <v>1</v>
      </c>
      <c r="BE51" s="34">
        <v>0</v>
      </c>
      <c r="BF51" s="34">
        <v>0</v>
      </c>
      <c r="BG51" s="34" t="str">
        <v/>
      </c>
      <c r="BH51" s="34" t="str">
        <v/>
      </c>
      <c r="BI51" s="34" t="str">
        <v/>
      </c>
      <c r="BJ51" s="34" t="str">
        <v/>
      </c>
      <c r="BK51" s="34" t="str">
        <v>BOX</v>
      </c>
      <c r="BL51" s="34">
        <v>1</v>
      </c>
      <c r="BM51" s="34" t="str">
        <v/>
      </c>
      <c r="BN51" s="34" t="str">
        <v/>
      </c>
      <c r="BO51" s="34" t="str">
        <v/>
      </c>
      <c r="BP51" s="34" t="str">
        <v/>
      </c>
      <c r="BQ51" s="34" t="str">
        <v>3х2,5</v>
      </c>
      <c r="BR51" s="34" t="str">
        <v/>
      </c>
      <c r="BS51" s="34" t="str">
        <v/>
      </c>
      <c r="BT51" s="34" t="str">
        <v/>
      </c>
      <c r="BU51" s="34">
        <v>0</v>
      </c>
      <c r="BV51" s="34">
        <v>71</v>
      </c>
      <c r="BW51" s="34">
        <v>1</v>
      </c>
      <c r="BX51" s="34">
        <v>0</v>
      </c>
      <c r="BY51" s="34">
        <v>0</v>
      </c>
      <c r="BZ51">
        <v>4</v>
      </c>
      <c r="CA51" t="str">
        <v>линии</v>
      </c>
    </row>
    <row r="52" spans="1:79" x14ac:dyDescent="0.3">
      <c r="A52" s="39" t="str">
        <v>ЩОВ-001</v>
      </c>
      <c r="B52" s="42">
        <v>38</v>
      </c>
      <c r="C52" s="42">
        <v>3</v>
      </c>
      <c r="D52" s="75" t="str">
        <v/>
      </c>
      <c r="E52" s="75" t="str">
        <v>авто</v>
      </c>
      <c r="F52" s="76" t="str">
        <v/>
      </c>
      <c r="G52" s="47" t="str">
        <v>QF21</v>
      </c>
      <c r="H52" s="47" t="str">
        <v>1P С16А</v>
      </c>
      <c r="I52" s="75" t="str">
        <v/>
      </c>
      <c r="J52" s="76" t="str">
        <v/>
      </c>
      <c r="K52" s="76" t="str">
        <v/>
      </c>
      <c r="L52" s="75" t="str">
        <v/>
      </c>
      <c r="M52" s="49" t="str">
        <v/>
      </c>
      <c r="N52" s="76" t="str">
        <v/>
      </c>
      <c r="O52" s="49" t="str">
        <v/>
      </c>
      <c r="P52" s="77" t="str">
        <v/>
      </c>
      <c r="Q52" s="53" t="str">
        <v>ВВГнг(А)-LS (3х2,5) L=35-2,26%</v>
      </c>
      <c r="R52" s="54" t="str">
        <v>K.6</v>
      </c>
      <c r="S52" s="55" t="str">
        <v>Внешний блок кондиционирования Пом. Венткиосок</v>
      </c>
      <c r="T52" s="56">
        <v>1.9</v>
      </c>
      <c r="U52" s="56">
        <v>8.67</v>
      </c>
      <c r="V52" s="42" t="str">
        <v>L1</v>
      </c>
      <c r="W52" s="57" t="str">
        <v>ok</v>
      </c>
      <c r="X52" s="58" t="str">
        <v/>
      </c>
      <c r="Y52" s="75" t="str">
        <v/>
      </c>
      <c r="Z52" s="59">
        <v>8.67</v>
      </c>
      <c r="AA52" s="61">
        <v>10</v>
      </c>
      <c r="AB52" s="61">
        <v>25</v>
      </c>
      <c r="AC52" s="61" t="str">
        <v/>
      </c>
      <c r="AD52" s="62" t="str">
        <v>QF21</v>
      </c>
      <c r="AE52" s="62" t="str">
        <v/>
      </c>
      <c r="AF52" s="34">
        <v>21</v>
      </c>
      <c r="AG52" s="34" t="str">
        <v>QF21</v>
      </c>
      <c r="AH52" s="34" t="str">
        <v/>
      </c>
      <c r="AI52" s="34" t="str">
        <v/>
      </c>
      <c r="AJ52" s="34" t="str">
        <v>QF21</v>
      </c>
      <c r="AK52" s="34">
        <v>1</v>
      </c>
      <c r="AL52" s="34" t="str">
        <v>K</v>
      </c>
      <c r="AM52" s="34">
        <v>0</v>
      </c>
      <c r="AN52" s="34">
        <v>0</v>
      </c>
      <c r="AO52" s="34">
        <v>16</v>
      </c>
      <c r="AP52" s="34">
        <v>25</v>
      </c>
      <c r="AQ52" s="34">
        <v>16</v>
      </c>
      <c r="AR52" s="34">
        <v>1</v>
      </c>
      <c r="AS52" s="34">
        <v>0</v>
      </c>
      <c r="AT52" s="34" t="str">
        <v>1P</v>
      </c>
      <c r="AU52" s="34">
        <v>16</v>
      </c>
      <c r="AV52" s="34" t="str">
        <v/>
      </c>
      <c r="AW52" s="34" t="str">
        <v/>
      </c>
      <c r="AX52" s="34" t="str">
        <v/>
      </c>
      <c r="AY52" s="34">
        <v>1</v>
      </c>
      <c r="AZ52" s="34" t="str">
        <v/>
      </c>
      <c r="BA52" s="34">
        <v>0</v>
      </c>
      <c r="BB52" s="34">
        <v>16</v>
      </c>
      <c r="BD52" s="34">
        <v>1</v>
      </c>
      <c r="BE52" s="34">
        <v>0</v>
      </c>
      <c r="BF52" s="34">
        <v>0</v>
      </c>
      <c r="BG52" s="34" t="str">
        <v/>
      </c>
      <c r="BH52" s="34" t="str">
        <v/>
      </c>
      <c r="BI52" s="34" t="str">
        <v/>
      </c>
      <c r="BJ52" s="34" t="str">
        <v/>
      </c>
      <c r="BK52" s="34" t="str">
        <v>BOX</v>
      </c>
      <c r="BL52" s="34">
        <v>1</v>
      </c>
      <c r="BM52" s="34" t="str">
        <v/>
      </c>
      <c r="BN52" s="34" t="str">
        <v/>
      </c>
      <c r="BO52" s="34" t="str">
        <v/>
      </c>
      <c r="BP52" s="34" t="str">
        <v/>
      </c>
      <c r="BQ52" s="34" t="str">
        <v>3х2,5</v>
      </c>
      <c r="BR52" s="34" t="str">
        <v/>
      </c>
      <c r="BS52" s="34" t="str">
        <v/>
      </c>
      <c r="BT52" s="34" t="str">
        <v/>
      </c>
      <c r="BU52" s="34">
        <v>0</v>
      </c>
      <c r="BV52" s="34">
        <v>72</v>
      </c>
      <c r="BW52" s="34">
        <v>1</v>
      </c>
      <c r="BX52" s="34">
        <v>0</v>
      </c>
      <c r="BY52" s="34">
        <v>0</v>
      </c>
      <c r="BZ52">
        <v>4</v>
      </c>
      <c r="CA52" t="str">
        <v>линии</v>
      </c>
    </row>
    <row r="53" spans="1:79" x14ac:dyDescent="0.3">
      <c r="A53" s="39" t="str">
        <v>ЩОВ-001</v>
      </c>
      <c r="B53" s="42">
        <v>39</v>
      </c>
      <c r="C53" s="42">
        <v>3</v>
      </c>
      <c r="D53" s="75" t="str">
        <v/>
      </c>
      <c r="E53" s="75" t="str">
        <v>авто</v>
      </c>
      <c r="F53" s="76" t="str">
        <v/>
      </c>
      <c r="G53" s="47" t="str">
        <v>QF22</v>
      </c>
      <c r="H53" s="47" t="str">
        <v>1P С16А</v>
      </c>
      <c r="I53" s="75" t="str">
        <v/>
      </c>
      <c r="J53" s="76" t="str">
        <v/>
      </c>
      <c r="K53" s="76" t="str">
        <v/>
      </c>
      <c r="L53" s="75" t="str">
        <v/>
      </c>
      <c r="M53" s="49" t="str">
        <v/>
      </c>
      <c r="N53" s="76" t="str">
        <v/>
      </c>
      <c r="O53" s="49" t="str">
        <v/>
      </c>
      <c r="P53" s="77" t="str">
        <v/>
      </c>
      <c r="Q53" s="53" t="str">
        <v>ВВГнг(А)-LS (3х2,5) L=35-2,26%</v>
      </c>
      <c r="R53" s="54" t="str">
        <v>K.7</v>
      </c>
      <c r="S53" s="55" t="str">
        <v>Внешний блок кондиционирования Пом. Венткиосок</v>
      </c>
      <c r="T53" s="56">
        <v>1.9</v>
      </c>
      <c r="U53" s="56">
        <v>8.67</v>
      </c>
      <c r="V53" s="42" t="str">
        <v>L2</v>
      </c>
      <c r="W53" s="57" t="str">
        <v>ok</v>
      </c>
      <c r="X53" s="58" t="str">
        <v/>
      </c>
      <c r="Y53" s="75" t="str">
        <v/>
      </c>
      <c r="Z53" s="59">
        <v>8.67</v>
      </c>
      <c r="AA53" s="61">
        <v>10</v>
      </c>
      <c r="AB53" s="61">
        <v>25</v>
      </c>
      <c r="AC53" s="61" t="str">
        <v/>
      </c>
      <c r="AD53" s="62" t="str">
        <v>QF22</v>
      </c>
      <c r="AE53" s="62" t="str">
        <v/>
      </c>
      <c r="AF53" s="34">
        <v>22</v>
      </c>
      <c r="AG53" s="34" t="str">
        <v>QF22</v>
      </c>
      <c r="AH53" s="34" t="str">
        <v/>
      </c>
      <c r="AI53" s="34" t="str">
        <v/>
      </c>
      <c r="AJ53" s="34" t="str">
        <v>QF22</v>
      </c>
      <c r="AK53" s="34">
        <v>1</v>
      </c>
      <c r="AL53" s="34" t="str">
        <v>K</v>
      </c>
      <c r="AM53" s="34">
        <v>0</v>
      </c>
      <c r="AN53" s="34">
        <v>0</v>
      </c>
      <c r="AO53" s="34">
        <v>16</v>
      </c>
      <c r="AP53" s="34">
        <v>25</v>
      </c>
      <c r="AQ53" s="34">
        <v>16</v>
      </c>
      <c r="AR53" s="34">
        <v>1</v>
      </c>
      <c r="AS53" s="34">
        <v>0</v>
      </c>
      <c r="AT53" s="34" t="str">
        <v>1P</v>
      </c>
      <c r="AU53" s="34">
        <v>16</v>
      </c>
      <c r="AV53" s="34" t="str">
        <v/>
      </c>
      <c r="AW53" s="34" t="str">
        <v/>
      </c>
      <c r="AX53" s="34" t="str">
        <v/>
      </c>
      <c r="AY53" s="34">
        <v>1</v>
      </c>
      <c r="AZ53" s="34" t="str">
        <v/>
      </c>
      <c r="BA53" s="34">
        <v>0</v>
      </c>
      <c r="BB53" s="34">
        <v>16</v>
      </c>
      <c r="BD53" s="34">
        <v>1</v>
      </c>
      <c r="BE53" s="34">
        <v>0</v>
      </c>
      <c r="BF53" s="34">
        <v>0</v>
      </c>
      <c r="BG53" s="34" t="str">
        <v/>
      </c>
      <c r="BH53" s="34" t="str">
        <v/>
      </c>
      <c r="BI53" s="34" t="str">
        <v/>
      </c>
      <c r="BJ53" s="34" t="str">
        <v/>
      </c>
      <c r="BK53" s="34" t="str">
        <v>BOX</v>
      </c>
      <c r="BL53" s="34">
        <v>1</v>
      </c>
      <c r="BM53" s="34" t="str">
        <v/>
      </c>
      <c r="BN53" s="34" t="str">
        <v/>
      </c>
      <c r="BO53" s="34" t="str">
        <v/>
      </c>
      <c r="BP53" s="34" t="str">
        <v/>
      </c>
      <c r="BQ53" s="34" t="str">
        <v>3х2,5</v>
      </c>
      <c r="BR53" s="34" t="str">
        <v/>
      </c>
      <c r="BS53" s="34" t="str">
        <v/>
      </c>
      <c r="BT53" s="34" t="str">
        <v/>
      </c>
      <c r="BU53" s="34">
        <v>0</v>
      </c>
      <c r="BV53" s="34">
        <v>73</v>
      </c>
      <c r="BW53" s="34">
        <v>1</v>
      </c>
      <c r="BX53" s="34">
        <v>0</v>
      </c>
      <c r="BY53" s="34">
        <v>0</v>
      </c>
      <c r="BZ53">
        <v>4</v>
      </c>
      <c r="CA53" t="str">
        <v>линии</v>
      </c>
    </row>
    <row r="54" spans="1:79" x14ac:dyDescent="0.3">
      <c r="A54" s="39" t="str">
        <v>ЩОВ-001</v>
      </c>
      <c r="B54" s="42">
        <v>40</v>
      </c>
      <c r="C54" s="42">
        <v>3</v>
      </c>
      <c r="D54" s="75" t="str">
        <v/>
      </c>
      <c r="E54" s="75" t="str">
        <v>авто</v>
      </c>
      <c r="F54" s="76" t="str">
        <v/>
      </c>
      <c r="G54" s="47" t="str">
        <v>QF23</v>
      </c>
      <c r="H54" s="47" t="str">
        <v>1P С16А</v>
      </c>
      <c r="I54" s="75" t="str">
        <v/>
      </c>
      <c r="J54" s="76" t="str">
        <v/>
      </c>
      <c r="K54" s="76" t="str">
        <v/>
      </c>
      <c r="L54" s="75" t="str">
        <v/>
      </c>
      <c r="M54" s="49" t="str">
        <v/>
      </c>
      <c r="N54" s="76" t="str">
        <v/>
      </c>
      <c r="O54" s="49" t="str">
        <v/>
      </c>
      <c r="P54" s="77" t="str">
        <v/>
      </c>
      <c r="Q54" s="53" t="str">
        <v>ВВГнг(А)-LS (3х2,5) L=35-2,26%</v>
      </c>
      <c r="R54" s="54" t="str">
        <v>K.8</v>
      </c>
      <c r="S54" s="55" t="str">
        <v>Внешний блок кондиционирования Пом. Венткиосок</v>
      </c>
      <c r="T54" s="56">
        <v>1.9</v>
      </c>
      <c r="U54" s="56">
        <v>8.67</v>
      </c>
      <c r="V54" s="42" t="str">
        <v>L3</v>
      </c>
      <c r="W54" s="57" t="str">
        <v>ok</v>
      </c>
      <c r="X54" s="58" t="str">
        <v/>
      </c>
      <c r="Y54" s="75" t="str">
        <v/>
      </c>
      <c r="Z54" s="59">
        <v>8.67</v>
      </c>
      <c r="AA54" s="61">
        <v>10</v>
      </c>
      <c r="AB54" s="61">
        <v>25</v>
      </c>
      <c r="AC54" s="61" t="str">
        <v/>
      </c>
      <c r="AD54" s="62" t="str">
        <v>QF23</v>
      </c>
      <c r="AE54" s="62" t="str">
        <v/>
      </c>
      <c r="AF54" s="34">
        <v>23</v>
      </c>
      <c r="AG54" s="34" t="str">
        <v>QF23</v>
      </c>
      <c r="AH54" s="34" t="str">
        <v/>
      </c>
      <c r="AI54" s="34" t="str">
        <v/>
      </c>
      <c r="AJ54" s="34" t="str">
        <v>QF23</v>
      </c>
      <c r="AK54" s="34">
        <v>1</v>
      </c>
      <c r="AL54" s="34" t="str">
        <v>K</v>
      </c>
      <c r="AM54" s="34">
        <v>0</v>
      </c>
      <c r="AN54" s="34">
        <v>0</v>
      </c>
      <c r="AO54" s="34">
        <v>16</v>
      </c>
      <c r="AP54" s="34">
        <v>25</v>
      </c>
      <c r="AQ54" s="34">
        <v>16</v>
      </c>
      <c r="AR54" s="34">
        <v>1</v>
      </c>
      <c r="AS54" s="34">
        <v>0</v>
      </c>
      <c r="AT54" s="34" t="str">
        <v>1P</v>
      </c>
      <c r="AU54" s="34">
        <v>16</v>
      </c>
      <c r="AV54" s="34" t="str">
        <v/>
      </c>
      <c r="AW54" s="34" t="str">
        <v/>
      </c>
      <c r="AX54" s="34" t="str">
        <v/>
      </c>
      <c r="AY54" s="34">
        <v>1</v>
      </c>
      <c r="AZ54" s="34" t="str">
        <v/>
      </c>
      <c r="BA54" s="34">
        <v>0</v>
      </c>
      <c r="BB54" s="34">
        <v>16</v>
      </c>
      <c r="BD54" s="34">
        <v>1</v>
      </c>
      <c r="BE54" s="34">
        <v>0</v>
      </c>
      <c r="BF54" s="34">
        <v>0</v>
      </c>
      <c r="BG54" s="34" t="str">
        <v/>
      </c>
      <c r="BH54" s="34" t="str">
        <v/>
      </c>
      <c r="BI54" s="34" t="str">
        <v/>
      </c>
      <c r="BJ54" s="34" t="str">
        <v/>
      </c>
      <c r="BK54" s="34" t="str">
        <v>BOX</v>
      </c>
      <c r="BL54" s="34">
        <v>1</v>
      </c>
      <c r="BM54" s="34" t="str">
        <v/>
      </c>
      <c r="BN54" s="34" t="str">
        <v/>
      </c>
      <c r="BO54" s="34" t="str">
        <v/>
      </c>
      <c r="BP54" s="34" t="str">
        <v/>
      </c>
      <c r="BQ54" s="34" t="str">
        <v>3х2,5</v>
      </c>
      <c r="BR54" s="34" t="str">
        <v/>
      </c>
      <c r="BS54" s="34" t="str">
        <v/>
      </c>
      <c r="BT54" s="34" t="str">
        <v/>
      </c>
      <c r="BU54" s="34">
        <v>0</v>
      </c>
      <c r="BV54" s="34">
        <v>74</v>
      </c>
      <c r="BW54" s="34">
        <v>1</v>
      </c>
      <c r="BX54" s="34">
        <v>0</v>
      </c>
      <c r="BY54" s="34">
        <v>0</v>
      </c>
      <c r="BZ54">
        <v>4</v>
      </c>
      <c r="CA54" t="str">
        <v>линии</v>
      </c>
    </row>
    <row r="55" spans="1:79" x14ac:dyDescent="0.3">
      <c r="A55" s="39" t="str">
        <v>ЩОВ-001</v>
      </c>
      <c r="B55" s="42">
        <v>41</v>
      </c>
      <c r="C55" s="42">
        <v>3</v>
      </c>
      <c r="D55" s="75" t="str">
        <v/>
      </c>
      <c r="E55" s="75" t="str">
        <v>авто</v>
      </c>
      <c r="F55" s="76" t="str">
        <v/>
      </c>
      <c r="G55" s="47" t="str">
        <v>QF24</v>
      </c>
      <c r="H55" s="47" t="str">
        <v>1P С16А</v>
      </c>
      <c r="I55" s="75" t="str">
        <v/>
      </c>
      <c r="J55" s="76" t="str">
        <v/>
      </c>
      <c r="K55" s="76" t="str">
        <v/>
      </c>
      <c r="L55" s="75" t="str">
        <v/>
      </c>
      <c r="M55" s="49" t="str">
        <v/>
      </c>
      <c r="N55" s="76" t="str">
        <v/>
      </c>
      <c r="O55" s="49" t="str">
        <v/>
      </c>
      <c r="P55" s="77" t="str">
        <v/>
      </c>
      <c r="Q55" s="53" t="str">
        <v>ВВГнг(А)-LS (3х2,5) L=32-2,06%</v>
      </c>
      <c r="R55" s="54" t="str">
        <v>K.9</v>
      </c>
      <c r="S55" s="55" t="str">
        <v>Внешний блок кондиционирования Пом. Венткиосок</v>
      </c>
      <c r="T55" s="56">
        <v>1.9</v>
      </c>
      <c r="U55" s="56">
        <v>8.67</v>
      </c>
      <c r="V55" s="42" t="str">
        <v>L1</v>
      </c>
      <c r="W55" s="57" t="str">
        <v>ok</v>
      </c>
      <c r="X55" s="58" t="str">
        <v/>
      </c>
      <c r="Y55" s="75" t="str">
        <v/>
      </c>
      <c r="Z55" s="59">
        <v>8.67</v>
      </c>
      <c r="AA55" s="61">
        <v>10</v>
      </c>
      <c r="AB55" s="61">
        <v>25</v>
      </c>
      <c r="AC55" s="61" t="str">
        <v/>
      </c>
      <c r="AD55" s="62" t="str">
        <v>QF24</v>
      </c>
      <c r="AE55" s="62" t="str">
        <v/>
      </c>
      <c r="AF55" s="34">
        <v>24</v>
      </c>
      <c r="AG55" s="34" t="str">
        <v>QF24</v>
      </c>
      <c r="AH55" s="34" t="str">
        <v/>
      </c>
      <c r="AI55" s="34" t="str">
        <v/>
      </c>
      <c r="AJ55" s="34" t="str">
        <v>QF24</v>
      </c>
      <c r="AK55" s="34">
        <v>1</v>
      </c>
      <c r="AL55" s="34" t="str">
        <v>K</v>
      </c>
      <c r="AM55" s="34">
        <v>0</v>
      </c>
      <c r="AN55" s="34">
        <v>0</v>
      </c>
      <c r="AO55" s="34">
        <v>16</v>
      </c>
      <c r="AP55" s="34">
        <v>25</v>
      </c>
      <c r="AQ55" s="34">
        <v>16</v>
      </c>
      <c r="AR55" s="34">
        <v>1</v>
      </c>
      <c r="AS55" s="34">
        <v>0</v>
      </c>
      <c r="AT55" s="34" t="str">
        <v>1P</v>
      </c>
      <c r="AU55" s="34">
        <v>16</v>
      </c>
      <c r="AV55" s="34" t="str">
        <v/>
      </c>
      <c r="AW55" s="34" t="str">
        <v/>
      </c>
      <c r="AX55" s="34" t="str">
        <v/>
      </c>
      <c r="AY55" s="34">
        <v>1</v>
      </c>
      <c r="AZ55" s="34" t="str">
        <v/>
      </c>
      <c r="BA55" s="34">
        <v>0</v>
      </c>
      <c r="BB55" s="34">
        <v>16</v>
      </c>
      <c r="BD55" s="34">
        <v>1</v>
      </c>
      <c r="BE55" s="34">
        <v>0</v>
      </c>
      <c r="BF55" s="34">
        <v>0</v>
      </c>
      <c r="BG55" s="34" t="str">
        <v/>
      </c>
      <c r="BH55" s="34" t="str">
        <v/>
      </c>
      <c r="BI55" s="34" t="str">
        <v/>
      </c>
      <c r="BJ55" s="34" t="str">
        <v/>
      </c>
      <c r="BK55" s="34" t="str">
        <v>BOX</v>
      </c>
      <c r="BL55" s="34">
        <v>1</v>
      </c>
      <c r="BM55" s="34" t="str">
        <v/>
      </c>
      <c r="BN55" s="34" t="str">
        <v/>
      </c>
      <c r="BO55" s="34" t="str">
        <v/>
      </c>
      <c r="BP55" s="34" t="str">
        <v/>
      </c>
      <c r="BQ55" s="34" t="str">
        <v>3х2,5</v>
      </c>
      <c r="BR55" s="34" t="str">
        <v/>
      </c>
      <c r="BS55" s="34" t="str">
        <v/>
      </c>
      <c r="BT55" s="34" t="str">
        <v/>
      </c>
      <c r="BU55" s="34">
        <v>0</v>
      </c>
      <c r="BV55" s="34">
        <v>75</v>
      </c>
      <c r="BW55" s="34">
        <v>1</v>
      </c>
      <c r="BX55" s="34">
        <v>0</v>
      </c>
      <c r="BY55" s="34">
        <v>0</v>
      </c>
      <c r="BZ55">
        <v>4</v>
      </c>
      <c r="CA55" t="str">
        <v>линии</v>
      </c>
    </row>
    <row r="56" spans="1:79" x14ac:dyDescent="0.3">
      <c r="A56" s="39" t="str">
        <v>ЩОВ-001</v>
      </c>
      <c r="B56" s="42">
        <v>42</v>
      </c>
      <c r="C56" s="42">
        <v>3</v>
      </c>
      <c r="D56" s="75" t="str">
        <v/>
      </c>
      <c r="E56" s="75" t="str">
        <v>авто</v>
      </c>
      <c r="F56" s="76" t="str">
        <v/>
      </c>
      <c r="G56" s="47" t="str">
        <v>QF25</v>
      </c>
      <c r="H56" s="47" t="str">
        <v>1P С16А</v>
      </c>
      <c r="I56" s="75" t="str">
        <v/>
      </c>
      <c r="J56" s="76" t="str">
        <v/>
      </c>
      <c r="K56" s="76" t="str">
        <v/>
      </c>
      <c r="L56" s="75" t="str">
        <v/>
      </c>
      <c r="M56" s="49" t="str">
        <v/>
      </c>
      <c r="N56" s="76" t="str">
        <v/>
      </c>
      <c r="O56" s="49" t="str">
        <v/>
      </c>
      <c r="P56" s="77" t="str">
        <v/>
      </c>
      <c r="Q56" s="53" t="str">
        <v>ВВГнг(А)-LS (3х2,5) L=32-2,06%</v>
      </c>
      <c r="R56" s="54" t="str">
        <v>K.10</v>
      </c>
      <c r="S56" s="55" t="str">
        <v>Внешний блок кондиционирования Пом. Венткиосок</v>
      </c>
      <c r="T56" s="56">
        <v>1.9</v>
      </c>
      <c r="U56" s="56">
        <v>8.67</v>
      </c>
      <c r="V56" s="42" t="str">
        <v>L2</v>
      </c>
      <c r="W56" s="57" t="str">
        <v>ok</v>
      </c>
      <c r="X56" s="58" t="str">
        <v/>
      </c>
      <c r="Y56" s="75" t="str">
        <v/>
      </c>
      <c r="Z56" s="59">
        <v>8.67</v>
      </c>
      <c r="AA56" s="61">
        <v>10</v>
      </c>
      <c r="AB56" s="61">
        <v>25</v>
      </c>
      <c r="AC56" s="61" t="str">
        <v/>
      </c>
      <c r="AD56" s="62" t="str">
        <v>QF25</v>
      </c>
      <c r="AE56" s="62" t="str">
        <v/>
      </c>
      <c r="AF56" s="34">
        <v>25</v>
      </c>
      <c r="AG56" s="34" t="str">
        <v>QF25</v>
      </c>
      <c r="AH56" s="34" t="str">
        <v/>
      </c>
      <c r="AI56" s="34" t="str">
        <v/>
      </c>
      <c r="AJ56" s="34" t="str">
        <v>QF25</v>
      </c>
      <c r="AK56" s="34">
        <v>1</v>
      </c>
      <c r="AL56" s="34" t="str">
        <v>K</v>
      </c>
      <c r="AM56" s="34">
        <v>0</v>
      </c>
      <c r="AN56" s="34">
        <v>0</v>
      </c>
      <c r="AO56" s="34">
        <v>16</v>
      </c>
      <c r="AP56" s="34">
        <v>25</v>
      </c>
      <c r="AQ56" s="34">
        <v>16</v>
      </c>
      <c r="AR56" s="34">
        <v>1</v>
      </c>
      <c r="AS56" s="34">
        <v>0</v>
      </c>
      <c r="AT56" s="34" t="str">
        <v>1P</v>
      </c>
      <c r="AU56" s="34">
        <v>16</v>
      </c>
      <c r="AV56" s="34" t="str">
        <v/>
      </c>
      <c r="AW56" s="34" t="str">
        <v/>
      </c>
      <c r="AX56" s="34" t="str">
        <v/>
      </c>
      <c r="AY56" s="34">
        <v>1</v>
      </c>
      <c r="AZ56" s="34" t="str">
        <v/>
      </c>
      <c r="BA56" s="34">
        <v>0</v>
      </c>
      <c r="BB56" s="34">
        <v>16</v>
      </c>
      <c r="BD56" s="34">
        <v>1</v>
      </c>
      <c r="BE56" s="34">
        <v>0</v>
      </c>
      <c r="BF56" s="34">
        <v>0</v>
      </c>
      <c r="BG56" s="34" t="str">
        <v/>
      </c>
      <c r="BH56" s="34" t="str">
        <v/>
      </c>
      <c r="BI56" s="34" t="str">
        <v/>
      </c>
      <c r="BJ56" s="34" t="str">
        <v/>
      </c>
      <c r="BK56" s="34" t="str">
        <v>BOX</v>
      </c>
      <c r="BL56" s="34">
        <v>1</v>
      </c>
      <c r="BM56" s="34" t="str">
        <v/>
      </c>
      <c r="BN56" s="34" t="str">
        <v/>
      </c>
      <c r="BO56" s="34" t="str">
        <v/>
      </c>
      <c r="BP56" s="34" t="str">
        <v/>
      </c>
      <c r="BQ56" s="34" t="str">
        <v>3х2,5</v>
      </c>
      <c r="BR56" s="34" t="str">
        <v/>
      </c>
      <c r="BS56" s="34" t="str">
        <v/>
      </c>
      <c r="BT56" s="34" t="str">
        <v/>
      </c>
      <c r="BU56" s="34">
        <v>0</v>
      </c>
      <c r="BV56" s="34">
        <v>76</v>
      </c>
      <c r="BW56" s="34">
        <v>1</v>
      </c>
      <c r="BX56" s="34">
        <v>0</v>
      </c>
      <c r="BY56" s="34">
        <v>0</v>
      </c>
      <c r="BZ56">
        <v>4</v>
      </c>
      <c r="CA56" t="str">
        <v>линии</v>
      </c>
    </row>
    <row r="57" spans="1:79" x14ac:dyDescent="0.3">
      <c r="A57" s="39" t="str">
        <v>ЩОВ-001</v>
      </c>
      <c r="B57" s="42">
        <v>43</v>
      </c>
      <c r="C57" s="42">
        <v>3</v>
      </c>
      <c r="D57" s="75" t="str">
        <v/>
      </c>
      <c r="E57" s="75" t="str">
        <v>авто</v>
      </c>
      <c r="F57" s="76" t="str">
        <v/>
      </c>
      <c r="G57" s="47" t="str">
        <v>QF26</v>
      </c>
      <c r="H57" s="47" t="str">
        <v>1P С16А</v>
      </c>
      <c r="I57" s="75" t="str">
        <v/>
      </c>
      <c r="J57" s="76" t="str">
        <v/>
      </c>
      <c r="K57" s="76" t="str">
        <v/>
      </c>
      <c r="L57" s="75" t="str">
        <v/>
      </c>
      <c r="M57" s="49" t="str">
        <v/>
      </c>
      <c r="N57" s="76" t="str">
        <v/>
      </c>
      <c r="O57" s="49" t="str">
        <v/>
      </c>
      <c r="P57" s="77" t="str">
        <v/>
      </c>
      <c r="Q57" s="53" t="str">
        <v>ВВГнг(А)-LS (3х2,5) L=32-2,06%</v>
      </c>
      <c r="R57" s="54" t="str">
        <v>K.11</v>
      </c>
      <c r="S57" s="55" t="str">
        <v>Внешний блок кондиционирования Пом. Венткиосок</v>
      </c>
      <c r="T57" s="56">
        <v>1.9</v>
      </c>
      <c r="U57" s="56">
        <v>8.67</v>
      </c>
      <c r="V57" s="42" t="str">
        <v>L3</v>
      </c>
      <c r="W57" s="57" t="str">
        <v>ok</v>
      </c>
      <c r="X57" s="58" t="str">
        <v/>
      </c>
      <c r="Y57" s="75" t="str">
        <v/>
      </c>
      <c r="Z57" s="59">
        <v>8.67</v>
      </c>
      <c r="AA57" s="61">
        <v>10</v>
      </c>
      <c r="AB57" s="61">
        <v>25</v>
      </c>
      <c r="AC57" s="61" t="str">
        <v/>
      </c>
      <c r="AD57" s="62" t="str">
        <v>QF26</v>
      </c>
      <c r="AE57" s="62" t="str">
        <v/>
      </c>
      <c r="AF57" s="34">
        <v>26</v>
      </c>
      <c r="AG57" s="34" t="str">
        <v>QF26</v>
      </c>
      <c r="AH57" s="34" t="str">
        <v/>
      </c>
      <c r="AI57" s="34" t="str">
        <v/>
      </c>
      <c r="AJ57" s="34" t="str">
        <v>QF26</v>
      </c>
      <c r="AK57" s="34">
        <v>1</v>
      </c>
      <c r="AL57" s="34" t="str">
        <v>K</v>
      </c>
      <c r="AM57" s="34">
        <v>0</v>
      </c>
      <c r="AN57" s="34">
        <v>0</v>
      </c>
      <c r="AO57" s="34">
        <v>16</v>
      </c>
      <c r="AP57" s="34">
        <v>25</v>
      </c>
      <c r="AQ57" s="34">
        <v>16</v>
      </c>
      <c r="AR57" s="34">
        <v>1</v>
      </c>
      <c r="AS57" s="34">
        <v>0</v>
      </c>
      <c r="AT57" s="34" t="str">
        <v>1P</v>
      </c>
      <c r="AU57" s="34">
        <v>16</v>
      </c>
      <c r="AV57" s="34" t="str">
        <v/>
      </c>
      <c r="AW57" s="34" t="str">
        <v/>
      </c>
      <c r="AX57" s="34" t="str">
        <v/>
      </c>
      <c r="AY57" s="34">
        <v>1</v>
      </c>
      <c r="AZ57" s="34" t="str">
        <v/>
      </c>
      <c r="BA57" s="34">
        <v>0</v>
      </c>
      <c r="BB57" s="34">
        <v>16</v>
      </c>
      <c r="BD57" s="34">
        <v>1</v>
      </c>
      <c r="BE57" s="34">
        <v>0</v>
      </c>
      <c r="BF57" s="34">
        <v>0</v>
      </c>
      <c r="BG57" s="34" t="str">
        <v/>
      </c>
      <c r="BH57" s="34" t="str">
        <v/>
      </c>
      <c r="BI57" s="34" t="str">
        <v/>
      </c>
      <c r="BJ57" s="34" t="str">
        <v/>
      </c>
      <c r="BK57" s="34" t="str">
        <v>BOX</v>
      </c>
      <c r="BL57" s="34">
        <v>1</v>
      </c>
      <c r="BM57" s="34" t="str">
        <v/>
      </c>
      <c r="BN57" s="34" t="str">
        <v/>
      </c>
      <c r="BO57" s="34" t="str">
        <v/>
      </c>
      <c r="BP57" s="34" t="str">
        <v/>
      </c>
      <c r="BQ57" s="34" t="str">
        <v>3х2,5</v>
      </c>
      <c r="BR57" s="34" t="str">
        <v/>
      </c>
      <c r="BS57" s="34" t="str">
        <v/>
      </c>
      <c r="BT57" s="34" t="str">
        <v/>
      </c>
      <c r="BU57" s="34">
        <v>0</v>
      </c>
      <c r="BV57" s="34">
        <v>77</v>
      </c>
      <c r="BW57" s="34">
        <v>1</v>
      </c>
      <c r="BX57" s="34">
        <v>0</v>
      </c>
      <c r="BY57" s="34">
        <v>0</v>
      </c>
      <c r="BZ57">
        <v>4</v>
      </c>
      <c r="CA57" t="str">
        <v>линии</v>
      </c>
    </row>
    <row r="58" spans="1:79" x14ac:dyDescent="0.3">
      <c r="A58" s="39" t="str">
        <v>ЩОВ-001</v>
      </c>
      <c r="B58" s="42">
        <v>47</v>
      </c>
      <c r="C58" s="42">
        <v>3</v>
      </c>
      <c r="D58" s="75" t="str">
        <v/>
      </c>
      <c r="E58" s="75" t="str">
        <v>авто</v>
      </c>
      <c r="F58" s="76" t="str">
        <v/>
      </c>
      <c r="G58" s="47" t="str">
        <v>QF27</v>
      </c>
      <c r="H58" s="47" t="str">
        <v>3P С63А</v>
      </c>
      <c r="I58" s="75" t="str">
        <v/>
      </c>
      <c r="J58" s="76" t="str">
        <v/>
      </c>
      <c r="K58" s="76" t="str">
        <v/>
      </c>
      <c r="L58" s="75" t="str">
        <v/>
      </c>
      <c r="M58" s="49" t="str">
        <v/>
      </c>
      <c r="N58" s="76" t="str">
        <v/>
      </c>
      <c r="O58" s="49" t="str">
        <v/>
      </c>
      <c r="P58" s="77" t="str">
        <v/>
      </c>
      <c r="Q58" s="53" t="str">
        <v>ВВГнг(А)-LS (5х25) L=34-0,55%</v>
      </c>
      <c r="R58" s="54" t="str">
        <v>ККБ-1</v>
      </c>
      <c r="S58" s="55" t="str">
        <v>Внешний блок кондиционирования Пом. Венткиосок</v>
      </c>
      <c r="T58" s="56">
        <v>28</v>
      </c>
      <c r="U58" s="56">
        <v>42.55</v>
      </c>
      <c r="V58" s="42" t="str">
        <v>L1,L2,L3</v>
      </c>
      <c r="W58" s="57" t="str">
        <v>ok</v>
      </c>
      <c r="X58" s="58" t="str">
        <v/>
      </c>
      <c r="Y58" s="75" t="str">
        <v/>
      </c>
      <c r="Z58" s="59">
        <v>42.55</v>
      </c>
      <c r="AA58" s="61">
        <v>50</v>
      </c>
      <c r="AB58" s="61">
        <v>80</v>
      </c>
      <c r="AC58" s="61" t="str">
        <v/>
      </c>
      <c r="AD58" s="62" t="str">
        <v>QF27</v>
      </c>
      <c r="AE58" s="62" t="str">
        <v/>
      </c>
      <c r="AF58" s="34">
        <v>27</v>
      </c>
      <c r="AG58" s="34" t="str">
        <v>QF27</v>
      </c>
      <c r="AH58" s="34" t="str">
        <v/>
      </c>
      <c r="AI58" s="34" t="str">
        <v/>
      </c>
      <c r="AJ58" s="34" t="str">
        <v>QF27</v>
      </c>
      <c r="AK58" s="34">
        <v>3</v>
      </c>
      <c r="AL58" s="34" t="str">
        <v>ККБ-1</v>
      </c>
      <c r="AM58" s="34">
        <v>0</v>
      </c>
      <c r="AN58" s="34">
        <v>0</v>
      </c>
      <c r="AO58" s="34">
        <v>63</v>
      </c>
      <c r="AP58" s="34">
        <v>80</v>
      </c>
      <c r="AQ58" s="34">
        <v>63</v>
      </c>
      <c r="AR58" s="34">
        <v>3</v>
      </c>
      <c r="AS58" s="34">
        <v>0</v>
      </c>
      <c r="AT58" s="34" t="str">
        <v>3P</v>
      </c>
      <c r="AU58" s="34">
        <v>63</v>
      </c>
      <c r="AV58" s="34" t="str">
        <v/>
      </c>
      <c r="AW58" s="34" t="str">
        <v/>
      </c>
      <c r="AX58" s="34" t="str">
        <v/>
      </c>
      <c r="AY58" s="34">
        <v>1</v>
      </c>
      <c r="AZ58" s="34" t="str">
        <v/>
      </c>
      <c r="BA58" s="34">
        <v>0</v>
      </c>
      <c r="BB58" s="34">
        <v>63</v>
      </c>
      <c r="BD58" s="34">
        <v>1</v>
      </c>
      <c r="BE58" s="34">
        <v>0</v>
      </c>
      <c r="BF58" s="34">
        <v>0</v>
      </c>
      <c r="BG58" s="34" t="str">
        <v/>
      </c>
      <c r="BH58" s="34" t="str">
        <v/>
      </c>
      <c r="BI58" s="34" t="str">
        <v/>
      </c>
      <c r="BJ58" s="34" t="str">
        <v/>
      </c>
      <c r="BK58" s="34" t="str">
        <v>BOX</v>
      </c>
      <c r="BL58" s="34">
        <v>1</v>
      </c>
      <c r="BM58" s="34">
        <v>5</v>
      </c>
      <c r="BN58" s="34" t="str">
        <v/>
      </c>
      <c r="BO58" s="34" t="str">
        <v/>
      </c>
      <c r="BP58" s="34" t="str">
        <v/>
      </c>
      <c r="BQ58" s="34" t="str">
        <v>5х25</v>
      </c>
      <c r="BR58" s="34">
        <v>12</v>
      </c>
      <c r="BS58" s="34" t="str">
        <v/>
      </c>
      <c r="BT58" s="34" t="str">
        <v/>
      </c>
      <c r="BU58" s="34">
        <v>0</v>
      </c>
      <c r="BV58" s="34">
        <v>78</v>
      </c>
      <c r="BW58" s="34">
        <v>1</v>
      </c>
      <c r="BX58" s="34">
        <v>2</v>
      </c>
      <c r="BY58" s="34" t="str">
        <v/>
      </c>
      <c r="BZ58">
        <v>4</v>
      </c>
      <c r="CA58" t="str">
        <v>линии</v>
      </c>
    </row>
    <row r="59" spans="1:79" x14ac:dyDescent="0.3">
      <c r="A59" s="39" t="str">
        <v>ЩОВ-001</v>
      </c>
      <c r="B59" s="42">
        <v>48</v>
      </c>
      <c r="C59" s="42">
        <v>3</v>
      </c>
      <c r="D59" s="75" t="str">
        <v/>
      </c>
      <c r="E59" s="75" t="str">
        <v>авто</v>
      </c>
      <c r="F59" s="76" t="str">
        <v/>
      </c>
      <c r="G59" s="47" t="str">
        <v>QF28</v>
      </c>
      <c r="H59" s="47" t="str">
        <v>3P С63А</v>
      </c>
      <c r="I59" s="75" t="str">
        <v/>
      </c>
      <c r="J59" s="76" t="str">
        <v/>
      </c>
      <c r="K59" s="76" t="str">
        <v/>
      </c>
      <c r="L59" s="75" t="str">
        <v/>
      </c>
      <c r="M59" s="49" t="str">
        <v/>
      </c>
      <c r="N59" s="76" t="str">
        <v/>
      </c>
      <c r="O59" s="49" t="str">
        <v/>
      </c>
      <c r="P59" s="77" t="str">
        <v>XT29</v>
      </c>
      <c r="Q59" s="53" t="str">
        <v>ВВГнг(А)-LS (5х25) L=37-0,6%</v>
      </c>
      <c r="R59" s="54" t="str">
        <v>ККБ-2</v>
      </c>
      <c r="S59" s="55" t="str">
        <v>Внешний блок кондиционирования Пом. Венткиосок</v>
      </c>
      <c r="T59" s="56">
        <v>28</v>
      </c>
      <c r="U59" s="56">
        <v>42.55</v>
      </c>
      <c r="V59" s="42" t="str">
        <v>L1,L2,L3</v>
      </c>
      <c r="W59" s="57" t="str">
        <v>ok</v>
      </c>
      <c r="X59" s="58" t="str">
        <v/>
      </c>
      <c r="Y59" s="75" t="str">
        <v/>
      </c>
      <c r="Z59" s="59">
        <v>42.55</v>
      </c>
      <c r="AA59" s="61">
        <v>50</v>
      </c>
      <c r="AB59" s="61">
        <v>80</v>
      </c>
      <c r="AC59" s="61" t="str">
        <v/>
      </c>
      <c r="AD59" s="62" t="str">
        <v>QF28 → XT29</v>
      </c>
      <c r="AE59" s="62" t="str">
        <v/>
      </c>
      <c r="AF59" s="34">
        <v>28</v>
      </c>
      <c r="AG59" s="34" t="str">
        <v>QF28</v>
      </c>
      <c r="AH59" s="34" t="str">
        <v/>
      </c>
      <c r="AI59" s="34" t="str">
        <v/>
      </c>
      <c r="AJ59" s="34" t="str">
        <v>QF28</v>
      </c>
      <c r="AK59" s="34">
        <v>3</v>
      </c>
      <c r="AL59" s="34" t="str">
        <v>ККБ-2</v>
      </c>
      <c r="AM59" s="34">
        <v>0</v>
      </c>
      <c r="AN59" s="34">
        <v>0</v>
      </c>
      <c r="AO59" s="34">
        <v>63</v>
      </c>
      <c r="AP59" s="34">
        <v>80</v>
      </c>
      <c r="AQ59" s="34">
        <v>63</v>
      </c>
      <c r="AR59" s="34">
        <v>3</v>
      </c>
      <c r="AS59" s="34">
        <v>0</v>
      </c>
      <c r="AT59" s="34" t="str">
        <v>3P</v>
      </c>
      <c r="AU59" s="34">
        <v>63</v>
      </c>
      <c r="AV59" s="34" t="str">
        <v/>
      </c>
      <c r="AW59" s="34" t="str">
        <v/>
      </c>
      <c r="AX59" s="34" t="str">
        <v/>
      </c>
      <c r="AY59" s="34">
        <v>1</v>
      </c>
      <c r="AZ59" s="34" t="str">
        <v/>
      </c>
      <c r="BA59" s="34">
        <v>0</v>
      </c>
      <c r="BB59" s="34">
        <v>63</v>
      </c>
      <c r="BD59" s="34">
        <v>1</v>
      </c>
      <c r="BE59" s="34">
        <v>0</v>
      </c>
      <c r="BF59" s="34">
        <v>0</v>
      </c>
      <c r="BG59" s="34" t="str">
        <v/>
      </c>
      <c r="BH59" s="34" t="str">
        <v/>
      </c>
      <c r="BI59" s="34" t="str">
        <v/>
      </c>
      <c r="BJ59" s="34" t="str">
        <v/>
      </c>
      <c r="BK59" s="34" t="str">
        <v>BOX</v>
      </c>
      <c r="BL59" s="34">
        <v>1</v>
      </c>
      <c r="BM59" s="34" t="str">
        <v/>
      </c>
      <c r="BN59" s="34" t="str">
        <v/>
      </c>
      <c r="BO59" s="34" t="str">
        <v/>
      </c>
      <c r="BP59" s="34" t="str">
        <v/>
      </c>
      <c r="BQ59" s="34" t="str">
        <v>5х25</v>
      </c>
      <c r="BR59" s="34" t="str">
        <v/>
      </c>
      <c r="BS59" s="34" t="str">
        <v/>
      </c>
      <c r="BT59" s="34" t="str">
        <v/>
      </c>
      <c r="BU59" s="34">
        <v>0</v>
      </c>
      <c r="BV59" s="34">
        <v>79</v>
      </c>
      <c r="BW59" s="34">
        <v>1</v>
      </c>
      <c r="BX59" s="34">
        <v>2</v>
      </c>
      <c r="BY59" s="34" t="str">
        <v/>
      </c>
      <c r="BZ59">
        <v>4</v>
      </c>
      <c r="CA59" t="str">
        <v>линии</v>
      </c>
    </row>
    <row r="60" spans="1:79" x14ac:dyDescent="0.3">
      <c r="A60" s="39" t="str">
        <v>ЩОВ-001</v>
      </c>
      <c r="B60" s="42">
        <v>49</v>
      </c>
      <c r="C60" s="42">
        <v>3</v>
      </c>
      <c r="D60" s="75" t="str">
        <v/>
      </c>
      <c r="E60" s="75" t="str">
        <v>авто</v>
      </c>
      <c r="F60" s="76" t="str">
        <v/>
      </c>
      <c r="G60" s="47" t="str">
        <v>QF29</v>
      </c>
      <c r="H60" s="47" t="str">
        <v>3P С63А</v>
      </c>
      <c r="I60" s="75" t="str">
        <v/>
      </c>
      <c r="J60" s="76" t="str">
        <v/>
      </c>
      <c r="K60" s="76" t="str">
        <v/>
      </c>
      <c r="L60" s="75" t="str">
        <v/>
      </c>
      <c r="M60" s="49" t="str">
        <v/>
      </c>
      <c r="N60" s="76" t="str">
        <v/>
      </c>
      <c r="O60" s="49" t="str">
        <v/>
      </c>
      <c r="P60" s="77" t="str">
        <v>XT30</v>
      </c>
      <c r="Q60" s="53" t="str">
        <v>ВВГнг(А)-LS (5х25) L=51-0,82%</v>
      </c>
      <c r="R60" s="54" t="str">
        <v>НБ-1</v>
      </c>
      <c r="S60" s="55" t="str">
        <v>Внешний блок кондиционирования Пом. Венткиосок</v>
      </c>
      <c r="T60" s="56">
        <v>27.79</v>
      </c>
      <c r="U60" s="56">
        <v>42.23</v>
      </c>
      <c r="V60" s="42" t="str">
        <v>L1,L2,L3</v>
      </c>
      <c r="W60" s="57" t="str">
        <v>ok</v>
      </c>
      <c r="X60" s="58" t="str">
        <v/>
      </c>
      <c r="Y60" s="75" t="str">
        <v/>
      </c>
      <c r="Z60" s="59">
        <v>42.23</v>
      </c>
      <c r="AA60" s="61">
        <v>50</v>
      </c>
      <c r="AB60" s="61">
        <v>80</v>
      </c>
      <c r="AC60" s="61" t="str">
        <v/>
      </c>
      <c r="AD60" s="62" t="str">
        <v>QF29 → XT30</v>
      </c>
      <c r="AE60" s="62" t="str">
        <v/>
      </c>
      <c r="AF60" s="34">
        <v>29</v>
      </c>
      <c r="AG60" s="34" t="str">
        <v>QF29</v>
      </c>
      <c r="AH60" s="34" t="str">
        <v/>
      </c>
      <c r="AI60" s="34" t="str">
        <v/>
      </c>
      <c r="AJ60" s="34" t="str">
        <v>QF29</v>
      </c>
      <c r="AK60" s="34">
        <v>3</v>
      </c>
      <c r="AL60" s="34" t="str">
        <v>НБ-1</v>
      </c>
      <c r="AM60" s="34">
        <v>0</v>
      </c>
      <c r="AN60" s="34">
        <v>0</v>
      </c>
      <c r="AO60" s="34">
        <v>63</v>
      </c>
      <c r="AP60" s="34">
        <v>80</v>
      </c>
      <c r="AQ60" s="34">
        <v>63</v>
      </c>
      <c r="AR60" s="34">
        <v>3</v>
      </c>
      <c r="AS60" s="34">
        <v>0</v>
      </c>
      <c r="AT60" s="34" t="str">
        <v>3P</v>
      </c>
      <c r="AU60" s="34">
        <v>63</v>
      </c>
      <c r="AV60" s="34" t="str">
        <v/>
      </c>
      <c r="AW60" s="34" t="str">
        <v/>
      </c>
      <c r="AX60" s="34" t="str">
        <v/>
      </c>
      <c r="AY60" s="34">
        <v>1</v>
      </c>
      <c r="AZ60" s="34" t="str">
        <v/>
      </c>
      <c r="BA60" s="34">
        <v>0</v>
      </c>
      <c r="BB60" s="34">
        <v>63</v>
      </c>
      <c r="BD60" s="34">
        <v>1</v>
      </c>
      <c r="BE60" s="34">
        <v>0</v>
      </c>
      <c r="BF60" s="34">
        <v>0</v>
      </c>
      <c r="BG60" s="34" t="str">
        <v/>
      </c>
      <c r="BH60" s="34" t="str">
        <v/>
      </c>
      <c r="BI60" s="34" t="str">
        <v/>
      </c>
      <c r="BJ60" s="34" t="str">
        <v/>
      </c>
      <c r="BK60" s="34" t="str">
        <v>MOTOR</v>
      </c>
      <c r="BL60" s="34">
        <v>1</v>
      </c>
      <c r="BM60" s="34" t="str">
        <v/>
      </c>
      <c r="BN60" s="34" t="str">
        <v/>
      </c>
      <c r="BO60" s="34" t="str">
        <v/>
      </c>
      <c r="BP60" s="34" t="str">
        <v/>
      </c>
      <c r="BQ60" s="34" t="str">
        <v>5х25</v>
      </c>
      <c r="BR60" s="34" t="str">
        <v/>
      </c>
      <c r="BS60" s="34" t="str">
        <v/>
      </c>
      <c r="BT60" s="34" t="str">
        <v/>
      </c>
      <c r="BU60" s="34">
        <v>0</v>
      </c>
      <c r="BV60" s="34">
        <v>80</v>
      </c>
      <c r="BW60" s="34">
        <v>1</v>
      </c>
      <c r="BX60" s="34">
        <v>2</v>
      </c>
      <c r="BY60" s="34" t="str">
        <v>Привод (двигатель)</v>
      </c>
      <c r="BZ60">
        <v>4</v>
      </c>
      <c r="CA60" t="str">
        <v>линии</v>
      </c>
    </row>
    <row r="61" spans="1:79" x14ac:dyDescent="0.3">
      <c r="A61" s="39" t="str">
        <v>ЩОВ-001</v>
      </c>
      <c r="B61" s="42">
        <v>57</v>
      </c>
      <c r="C61" s="42">
        <v>4</v>
      </c>
      <c r="D61" s="75" t="str">
        <v/>
      </c>
      <c r="E61" s="75" t="str">
        <v>авто</v>
      </c>
      <c r="F61" s="76" t="str">
        <v/>
      </c>
      <c r="G61" s="47" t="str">
        <v>QF30</v>
      </c>
      <c r="H61" s="47" t="str">
        <v>3P С63А</v>
      </c>
      <c r="I61" s="75" t="str">
        <v/>
      </c>
      <c r="J61" s="76" t="str">
        <v/>
      </c>
      <c r="K61" s="76" t="str">
        <v/>
      </c>
      <c r="L61" s="75" t="str">
        <v/>
      </c>
      <c r="M61" s="49" t="str">
        <v/>
      </c>
      <c r="N61" s="76" t="str">
        <v/>
      </c>
      <c r="O61" s="49" t="str">
        <v/>
      </c>
      <c r="P61" s="77" t="str">
        <v>XT31</v>
      </c>
      <c r="Q61" s="53" t="str">
        <v>ВВГнг(А)-LS (5х25) L=36-0,59%</v>
      </c>
      <c r="R61" s="54" t="str">
        <v>ККБ-3</v>
      </c>
      <c r="S61" s="55" t="str">
        <v>Внешний блок кондиционирования Пом. Венткиосок</v>
      </c>
      <c r="T61" s="56">
        <v>28</v>
      </c>
      <c r="U61" s="56">
        <v>42.55</v>
      </c>
      <c r="V61" s="42" t="str">
        <v>L1,L2,L3</v>
      </c>
      <c r="W61" s="57" t="str">
        <v>ok</v>
      </c>
      <c r="X61" s="58" t="str">
        <v/>
      </c>
      <c r="Y61" s="75" t="str">
        <v/>
      </c>
      <c r="Z61" s="59">
        <v>42.55</v>
      </c>
      <c r="AA61" s="61">
        <v>50</v>
      </c>
      <c r="AB61" s="61">
        <v>80</v>
      </c>
      <c r="AC61" s="61" t="str">
        <v/>
      </c>
      <c r="AD61" s="62" t="str">
        <v>QF30 → XT31</v>
      </c>
      <c r="AE61" s="62" t="str">
        <v/>
      </c>
      <c r="AF61" s="34">
        <v>30</v>
      </c>
      <c r="AG61" s="34" t="str">
        <v>QF30</v>
      </c>
      <c r="AH61" s="34" t="str">
        <v/>
      </c>
      <c r="AI61" s="34" t="str">
        <v/>
      </c>
      <c r="AJ61" s="34" t="str">
        <v>QF30</v>
      </c>
      <c r="AK61" s="34">
        <v>3</v>
      </c>
      <c r="AL61" s="34" t="str">
        <v>ККБ-3</v>
      </c>
      <c r="AM61" s="34">
        <v>0</v>
      </c>
      <c r="AN61" s="34">
        <v>0</v>
      </c>
      <c r="AO61" s="34">
        <v>63</v>
      </c>
      <c r="AP61" s="34">
        <v>80</v>
      </c>
      <c r="AQ61" s="34">
        <v>63</v>
      </c>
      <c r="AR61" s="34">
        <v>3</v>
      </c>
      <c r="AS61" s="34">
        <v>0</v>
      </c>
      <c r="AT61" s="34" t="str">
        <v>3P</v>
      </c>
      <c r="AU61" s="34">
        <v>63</v>
      </c>
      <c r="AV61" s="34" t="str">
        <v/>
      </c>
      <c r="AW61" s="34" t="str">
        <v/>
      </c>
      <c r="AX61" s="34" t="str">
        <v/>
      </c>
      <c r="AY61" s="34">
        <v>1</v>
      </c>
      <c r="AZ61" s="34" t="str">
        <v/>
      </c>
      <c r="BA61" s="34">
        <v>0</v>
      </c>
      <c r="BB61" s="34">
        <v>63</v>
      </c>
      <c r="BD61" s="34">
        <v>1</v>
      </c>
      <c r="BE61" s="34">
        <v>0</v>
      </c>
      <c r="BF61" s="34">
        <v>0</v>
      </c>
      <c r="BG61" s="34" t="str">
        <v/>
      </c>
      <c r="BH61" s="34" t="str">
        <v/>
      </c>
      <c r="BI61" s="34" t="str">
        <v/>
      </c>
      <c r="BJ61" s="34" t="str">
        <v/>
      </c>
      <c r="BK61" s="34" t="str">
        <v>BOX</v>
      </c>
      <c r="BL61" s="34">
        <v>1</v>
      </c>
      <c r="BM61" s="34" t="str">
        <v/>
      </c>
      <c r="BN61" s="34" t="str">
        <v/>
      </c>
      <c r="BO61" s="34" t="str">
        <v/>
      </c>
      <c r="BP61" s="34" t="str">
        <v/>
      </c>
      <c r="BQ61" s="34" t="str">
        <v>5х25</v>
      </c>
      <c r="BR61" s="34" t="str">
        <v/>
      </c>
      <c r="BS61" s="34" t="str">
        <v/>
      </c>
      <c r="BT61" s="34" t="str">
        <v/>
      </c>
      <c r="BU61" s="34">
        <v>0</v>
      </c>
      <c r="BV61" s="34">
        <v>81</v>
      </c>
      <c r="BW61" s="34">
        <v>1</v>
      </c>
      <c r="BX61" s="34">
        <v>2</v>
      </c>
      <c r="BY61" s="34" t="str">
        <v/>
      </c>
      <c r="BZ61">
        <v>4</v>
      </c>
      <c r="CA61" t="str">
        <v>линии</v>
      </c>
    </row>
    <row r="62" spans="1:79" x14ac:dyDescent="0.3">
      <c r="A62" s="39" t="str">
        <v>ЩОВ-001</v>
      </c>
      <c r="B62" s="42">
        <v>58</v>
      </c>
      <c r="C62" s="42">
        <v>4</v>
      </c>
      <c r="D62" s="75" t="str">
        <v/>
      </c>
      <c r="E62" s="75" t="str">
        <v>авто</v>
      </c>
      <c r="F62" s="76" t="str">
        <v/>
      </c>
      <c r="G62" s="47" t="str">
        <v>QF31</v>
      </c>
      <c r="H62" s="47" t="str">
        <v>3P С63А</v>
      </c>
      <c r="I62" s="75" t="str">
        <v/>
      </c>
      <c r="J62" s="76" t="str">
        <v/>
      </c>
      <c r="K62" s="76" t="str">
        <v/>
      </c>
      <c r="L62" s="75" t="str">
        <v/>
      </c>
      <c r="M62" s="49" t="str">
        <v/>
      </c>
      <c r="N62" s="76" t="str">
        <v/>
      </c>
      <c r="O62" s="49" t="str">
        <v/>
      </c>
      <c r="P62" s="77" t="str">
        <v>XT32</v>
      </c>
      <c r="Q62" s="53" t="str">
        <v>ВВГнг(А)-LS (5х25) L=40-0,65%</v>
      </c>
      <c r="R62" s="54" t="str">
        <v>ККБ-4</v>
      </c>
      <c r="S62" s="55" t="str">
        <v>Внешний блок кондиционирования Пом. Венткиосок</v>
      </c>
      <c r="T62" s="56">
        <v>28</v>
      </c>
      <c r="U62" s="56">
        <v>42.55</v>
      </c>
      <c r="V62" s="42" t="str">
        <v>L1,L2,L3</v>
      </c>
      <c r="W62" s="57" t="str">
        <v>ok</v>
      </c>
      <c r="X62" s="58" t="str">
        <v/>
      </c>
      <c r="Y62" s="75" t="str">
        <v/>
      </c>
      <c r="Z62" s="59">
        <v>42.55</v>
      </c>
      <c r="AA62" s="61">
        <v>50</v>
      </c>
      <c r="AB62" s="61">
        <v>80</v>
      </c>
      <c r="AC62" s="61" t="str">
        <v/>
      </c>
      <c r="AD62" s="62" t="str">
        <v>QF31 → XT32</v>
      </c>
      <c r="AE62" s="62" t="str">
        <v/>
      </c>
      <c r="AF62" s="34">
        <v>31</v>
      </c>
      <c r="AG62" s="34" t="str">
        <v>QF31</v>
      </c>
      <c r="AH62" s="34" t="str">
        <v/>
      </c>
      <c r="AI62" s="34" t="str">
        <v/>
      </c>
      <c r="AJ62" s="34" t="str">
        <v>QF31</v>
      </c>
      <c r="AK62" s="34">
        <v>3</v>
      </c>
      <c r="AL62" s="34" t="str">
        <v>ККБ-4</v>
      </c>
      <c r="AM62" s="34">
        <v>0</v>
      </c>
      <c r="AN62" s="34">
        <v>0</v>
      </c>
      <c r="AO62" s="34">
        <v>63</v>
      </c>
      <c r="AP62" s="34">
        <v>80</v>
      </c>
      <c r="AQ62" s="34">
        <v>63</v>
      </c>
      <c r="AR62" s="34">
        <v>3</v>
      </c>
      <c r="AS62" s="34">
        <v>0</v>
      </c>
      <c r="AT62" s="34" t="str">
        <v>3P</v>
      </c>
      <c r="AU62" s="34">
        <v>63</v>
      </c>
      <c r="AV62" s="34" t="str">
        <v/>
      </c>
      <c r="AW62" s="34" t="str">
        <v/>
      </c>
      <c r="AX62" s="34" t="str">
        <v/>
      </c>
      <c r="AY62" s="34">
        <v>1</v>
      </c>
      <c r="AZ62" s="34" t="str">
        <v/>
      </c>
      <c r="BA62" s="34">
        <v>0</v>
      </c>
      <c r="BB62" s="34">
        <v>63</v>
      </c>
      <c r="BD62" s="34">
        <v>1</v>
      </c>
      <c r="BE62" s="34">
        <v>0</v>
      </c>
      <c r="BF62" s="34">
        <v>0</v>
      </c>
      <c r="BG62" s="34" t="str">
        <v/>
      </c>
      <c r="BH62" s="34" t="str">
        <v/>
      </c>
      <c r="BI62" s="34" t="str">
        <v/>
      </c>
      <c r="BJ62" s="34" t="str">
        <v/>
      </c>
      <c r="BK62" s="34" t="str">
        <v>BOX</v>
      </c>
      <c r="BL62" s="34">
        <v>1</v>
      </c>
      <c r="BM62" s="34" t="str">
        <v/>
      </c>
      <c r="BN62" s="34" t="str">
        <v/>
      </c>
      <c r="BO62" s="34" t="str">
        <v/>
      </c>
      <c r="BP62" s="34" t="str">
        <v/>
      </c>
      <c r="BQ62" s="34" t="str">
        <v>5х25</v>
      </c>
      <c r="BR62" s="34" t="str">
        <v/>
      </c>
      <c r="BS62" s="34" t="str">
        <v/>
      </c>
      <c r="BT62" s="34" t="str">
        <v/>
      </c>
      <c r="BU62" s="34">
        <v>0</v>
      </c>
      <c r="BV62" s="34">
        <v>82</v>
      </c>
      <c r="BW62" s="34">
        <v>1</v>
      </c>
      <c r="BX62" s="34">
        <v>2</v>
      </c>
      <c r="BY62" s="34" t="str">
        <v/>
      </c>
      <c r="BZ62">
        <v>4</v>
      </c>
      <c r="CA62" t="str">
        <v>линии</v>
      </c>
    </row>
    <row r="63" spans="1:79" x14ac:dyDescent="0.3">
      <c r="A63" s="39" t="str">
        <v>ЩОВ-001</v>
      </c>
      <c r="B63" s="42">
        <v>59</v>
      </c>
      <c r="C63" s="42">
        <v>4</v>
      </c>
      <c r="D63" s="75" t="str">
        <v/>
      </c>
      <c r="E63" s="75" t="str">
        <v>авто</v>
      </c>
      <c r="F63" s="76" t="str">
        <v/>
      </c>
      <c r="G63" s="47" t="str">
        <v>QF32</v>
      </c>
      <c r="H63" s="47" t="str">
        <v>3P С63А</v>
      </c>
      <c r="I63" s="75" t="str">
        <v/>
      </c>
      <c r="J63" s="76" t="str">
        <v/>
      </c>
      <c r="K63" s="76" t="str">
        <v/>
      </c>
      <c r="L63" s="75" t="str">
        <v/>
      </c>
      <c r="M63" s="49" t="str">
        <v/>
      </c>
      <c r="N63" s="76" t="str">
        <v/>
      </c>
      <c r="O63" s="49" t="str">
        <v/>
      </c>
      <c r="P63" s="77" t="str">
        <v>XT33</v>
      </c>
      <c r="Q63" s="53" t="str">
        <v>ВВГнг(А)-LS (5х25) L=44-0,71%</v>
      </c>
      <c r="R63" s="54" t="str">
        <v>НБ-2</v>
      </c>
      <c r="S63" s="55" t="str">
        <v>Внешний блок кондиционирования Пом. Венткиосок</v>
      </c>
      <c r="T63" s="56">
        <v>27.79</v>
      </c>
      <c r="U63" s="56">
        <v>42.23</v>
      </c>
      <c r="V63" s="42" t="str">
        <v>L1,L2,L3</v>
      </c>
      <c r="W63" s="57" t="str">
        <v>ok</v>
      </c>
      <c r="X63" s="58" t="str">
        <v/>
      </c>
      <c r="Y63" s="75" t="str">
        <v/>
      </c>
      <c r="Z63" s="59">
        <v>42.23</v>
      </c>
      <c r="AA63" s="61">
        <v>50</v>
      </c>
      <c r="AB63" s="61">
        <v>80</v>
      </c>
      <c r="AC63" s="61" t="str">
        <v/>
      </c>
      <c r="AD63" s="62" t="str">
        <v>QF32 → XT33</v>
      </c>
      <c r="AE63" s="62" t="str">
        <v/>
      </c>
      <c r="AF63" s="34">
        <v>32</v>
      </c>
      <c r="AG63" s="34" t="str">
        <v>QF32</v>
      </c>
      <c r="AH63" s="34" t="str">
        <v/>
      </c>
      <c r="AI63" s="34" t="str">
        <v/>
      </c>
      <c r="AJ63" s="34" t="str">
        <v>QF32</v>
      </c>
      <c r="AK63" s="34">
        <v>3</v>
      </c>
      <c r="AL63" s="34" t="str">
        <v>НБ-2</v>
      </c>
      <c r="AM63" s="34">
        <v>0</v>
      </c>
      <c r="AN63" s="34">
        <v>0</v>
      </c>
      <c r="AO63" s="34">
        <v>63</v>
      </c>
      <c r="AP63" s="34">
        <v>80</v>
      </c>
      <c r="AQ63" s="34">
        <v>63</v>
      </c>
      <c r="AR63" s="34">
        <v>3</v>
      </c>
      <c r="AS63" s="34">
        <v>0</v>
      </c>
      <c r="AT63" s="34" t="str">
        <v>3P</v>
      </c>
      <c r="AU63" s="34">
        <v>63</v>
      </c>
      <c r="AV63" s="34" t="str">
        <v/>
      </c>
      <c r="AW63" s="34" t="str">
        <v/>
      </c>
      <c r="AX63" s="34" t="str">
        <v/>
      </c>
      <c r="AY63" s="34">
        <v>1</v>
      </c>
      <c r="AZ63" s="34" t="str">
        <v/>
      </c>
      <c r="BA63" s="34">
        <v>0</v>
      </c>
      <c r="BB63" s="34">
        <v>63</v>
      </c>
      <c r="BD63" s="34">
        <v>1</v>
      </c>
      <c r="BE63" s="34">
        <v>0</v>
      </c>
      <c r="BF63" s="34">
        <v>0</v>
      </c>
      <c r="BG63" s="34" t="str">
        <v/>
      </c>
      <c r="BH63" s="34" t="str">
        <v/>
      </c>
      <c r="BI63" s="34" t="str">
        <v/>
      </c>
      <c r="BJ63" s="34" t="str">
        <v/>
      </c>
      <c r="BK63" s="34" t="str">
        <v>MOTOR</v>
      </c>
      <c r="BL63" s="34">
        <v>1</v>
      </c>
      <c r="BM63" s="34" t="str">
        <v/>
      </c>
      <c r="BN63" s="34" t="str">
        <v/>
      </c>
      <c r="BO63" s="34" t="str">
        <v/>
      </c>
      <c r="BP63" s="34" t="str">
        <v/>
      </c>
      <c r="BQ63" s="34" t="str">
        <v>5х25</v>
      </c>
      <c r="BR63" s="34" t="str">
        <v/>
      </c>
      <c r="BS63" s="34" t="str">
        <v/>
      </c>
      <c r="BT63" s="34" t="str">
        <v/>
      </c>
      <c r="BU63" s="34">
        <v>0</v>
      </c>
      <c r="BV63" s="34">
        <v>83</v>
      </c>
      <c r="BW63" s="34">
        <v>1</v>
      </c>
      <c r="BX63" s="34">
        <v>2</v>
      </c>
      <c r="BY63" s="34" t="str">
        <v>Привод (двигатель)</v>
      </c>
      <c r="BZ63">
        <v>4</v>
      </c>
      <c r="CA63" t="str">
        <v>линии</v>
      </c>
    </row>
    <row r="64" spans="1:79" x14ac:dyDescent="0.3">
      <c r="A64" s="39" t="str">
        <v>ЩОВ-001</v>
      </c>
      <c r="B64" s="42">
        <v>60</v>
      </c>
      <c r="C64" s="42">
        <v>4</v>
      </c>
      <c r="D64" s="75" t="str">
        <v/>
      </c>
      <c r="E64" s="75" t="str">
        <v>авто</v>
      </c>
      <c r="F64" s="76" t="str">
        <v/>
      </c>
      <c r="G64" s="47" t="str">
        <v>QF33</v>
      </c>
      <c r="H64" s="47" t="str">
        <v>3P С25А</v>
      </c>
      <c r="I64" s="75" t="str">
        <v/>
      </c>
      <c r="J64" s="76" t="str">
        <v/>
      </c>
      <c r="K64" s="76" t="str">
        <v/>
      </c>
      <c r="L64" s="75" t="str">
        <v/>
      </c>
      <c r="M64" s="49" t="str">
        <v/>
      </c>
      <c r="N64" s="76" t="str">
        <v/>
      </c>
      <c r="O64" s="49" t="str">
        <v/>
      </c>
      <c r="P64" s="77" t="str">
        <v>XT34</v>
      </c>
      <c r="Q64" s="53" t="str">
        <v>ВВГнг(А)-LS (5х6) L=47-1,19%</v>
      </c>
      <c r="R64" s="54" t="str">
        <v>НБ-3</v>
      </c>
      <c r="S64" s="55" t="str">
        <v>Внешний блок кондиционирования Пом. Венткиосок</v>
      </c>
      <c r="T64" s="56">
        <v>10.69</v>
      </c>
      <c r="U64" s="56">
        <v>16.25</v>
      </c>
      <c r="V64" s="42" t="str">
        <v>L1,L2,L3</v>
      </c>
      <c r="W64" s="57" t="str">
        <v>ok</v>
      </c>
      <c r="X64" s="58" t="str">
        <v/>
      </c>
      <c r="Y64" s="75" t="str">
        <v/>
      </c>
      <c r="Z64" s="59">
        <v>16.25</v>
      </c>
      <c r="AA64" s="61">
        <v>20</v>
      </c>
      <c r="AB64" s="61">
        <v>32</v>
      </c>
      <c r="AC64" s="61" t="str">
        <v/>
      </c>
      <c r="AD64" s="62" t="str">
        <v>QF33 → XT34</v>
      </c>
      <c r="AE64" s="62" t="str">
        <v/>
      </c>
      <c r="AF64" s="34">
        <v>33</v>
      </c>
      <c r="AG64" s="34" t="str">
        <v>QF33</v>
      </c>
      <c r="AH64" s="34" t="str">
        <v/>
      </c>
      <c r="AI64" s="34" t="str">
        <v/>
      </c>
      <c r="AJ64" s="34" t="str">
        <v>QF33</v>
      </c>
      <c r="AK64" s="34">
        <v>3</v>
      </c>
      <c r="AL64" s="34" t="str">
        <v>НБ-3</v>
      </c>
      <c r="AM64" s="34">
        <v>0</v>
      </c>
      <c r="AN64" s="34">
        <v>0</v>
      </c>
      <c r="AO64" s="34">
        <v>25</v>
      </c>
      <c r="AP64" s="34">
        <v>32</v>
      </c>
      <c r="AQ64" s="34">
        <v>25</v>
      </c>
      <c r="AR64" s="34">
        <v>3</v>
      </c>
      <c r="AS64" s="34">
        <v>0</v>
      </c>
      <c r="AT64" s="34" t="str">
        <v>3P</v>
      </c>
      <c r="AU64" s="34">
        <v>25</v>
      </c>
      <c r="AV64" s="34" t="str">
        <v/>
      </c>
      <c r="AW64" s="34" t="str">
        <v/>
      </c>
      <c r="AX64" s="34" t="str">
        <v/>
      </c>
      <c r="AY64" s="34">
        <v>1</v>
      </c>
      <c r="AZ64" s="34" t="str">
        <v/>
      </c>
      <c r="BA64" s="34">
        <v>0</v>
      </c>
      <c r="BB64" s="34">
        <v>25</v>
      </c>
      <c r="BD64" s="34">
        <v>1</v>
      </c>
      <c r="BE64" s="34">
        <v>0</v>
      </c>
      <c r="BF64" s="34">
        <v>0</v>
      </c>
      <c r="BG64" s="34" t="str">
        <v/>
      </c>
      <c r="BH64" s="34" t="str">
        <v/>
      </c>
      <c r="BI64" s="34" t="str">
        <v/>
      </c>
      <c r="BJ64" s="34" t="str">
        <v/>
      </c>
      <c r="BK64" s="34" t="str">
        <v>MOTOR</v>
      </c>
      <c r="BL64" s="34">
        <v>1</v>
      </c>
      <c r="BM64" s="34">
        <v>6</v>
      </c>
      <c r="BN64" s="34" t="str">
        <v/>
      </c>
      <c r="BO64" s="34" t="str">
        <v/>
      </c>
      <c r="BP64" s="34" t="str">
        <v/>
      </c>
      <c r="BQ64" s="34" t="str">
        <v>5х6</v>
      </c>
      <c r="BR64" s="34" t="str">
        <v/>
      </c>
      <c r="BS64" s="34" t="str">
        <v/>
      </c>
      <c r="BT64" s="34" t="str">
        <v/>
      </c>
      <c r="BU64" s="34">
        <v>0</v>
      </c>
      <c r="BV64" s="34">
        <v>84</v>
      </c>
      <c r="BW64" s="34">
        <v>1</v>
      </c>
      <c r="BX64" s="34">
        <v>2</v>
      </c>
      <c r="BY64" s="34" t="str">
        <v>Привод (двигатель)</v>
      </c>
      <c r="BZ64">
        <v>4</v>
      </c>
      <c r="CA64" t="str">
        <v>линии</v>
      </c>
    </row>
    <row r="65" spans="1:79" x14ac:dyDescent="0.3">
      <c r="A65" s="39" t="str">
        <v>ЩОВ-001</v>
      </c>
      <c r="B65" s="42">
        <v>61</v>
      </c>
      <c r="C65" s="42">
        <v>4</v>
      </c>
      <c r="D65" s="75" t="str">
        <v/>
      </c>
      <c r="E65" s="75" t="str">
        <v>авто</v>
      </c>
      <c r="F65" s="76" t="str">
        <v/>
      </c>
      <c r="G65" s="47" t="str">
        <v>QF34</v>
      </c>
      <c r="H65" s="47" t="str">
        <v>3P С16А</v>
      </c>
      <c r="I65" s="75" t="str">
        <v/>
      </c>
      <c r="J65" s="76" t="str">
        <v/>
      </c>
      <c r="K65" s="76" t="str">
        <v/>
      </c>
      <c r="L65" s="75" t="str">
        <v/>
      </c>
      <c r="M65" s="49" t="str">
        <v/>
      </c>
      <c r="N65" s="76" t="str">
        <v/>
      </c>
      <c r="O65" s="49" t="str">
        <v/>
      </c>
      <c r="P65" s="77" t="str">
        <v>XT35</v>
      </c>
      <c r="Q65" s="53" t="str">
        <v>ВВГнг(А)-LS (5х4) L=45-0,93%</v>
      </c>
      <c r="R65" s="54" t="str">
        <v>НБ-4</v>
      </c>
      <c r="S65" s="55" t="str">
        <v>Внешний блок кондиционирования Пом. Венткиосок</v>
      </c>
      <c r="T65" s="56">
        <v>5.8</v>
      </c>
      <c r="U65" s="56">
        <v>8.82</v>
      </c>
      <c r="V65" s="42" t="str">
        <v>L1,L2,L3</v>
      </c>
      <c r="W65" s="57" t="str">
        <v>ok</v>
      </c>
      <c r="X65" s="58" t="str">
        <v/>
      </c>
      <c r="Y65" s="75" t="str">
        <v/>
      </c>
      <c r="Z65" s="59">
        <v>8.82</v>
      </c>
      <c r="AA65" s="61">
        <v>10</v>
      </c>
      <c r="AB65" s="61">
        <v>32</v>
      </c>
      <c r="AC65" s="61" t="str">
        <v/>
      </c>
      <c r="AD65" s="62" t="str">
        <v>QF34 → XT35</v>
      </c>
      <c r="AE65" s="62" t="str">
        <v/>
      </c>
      <c r="AF65" s="34">
        <v>34</v>
      </c>
      <c r="AG65" s="34" t="str">
        <v>QF34</v>
      </c>
      <c r="AH65" s="34" t="str">
        <v/>
      </c>
      <c r="AI65" s="34" t="str">
        <v/>
      </c>
      <c r="AJ65" s="34" t="str">
        <v>QF34</v>
      </c>
      <c r="AK65" s="34">
        <v>3</v>
      </c>
      <c r="AL65" s="34" t="str">
        <v>НБ-4</v>
      </c>
      <c r="AM65" s="34">
        <v>0</v>
      </c>
      <c r="AN65" s="34">
        <v>0</v>
      </c>
      <c r="AO65" s="34">
        <v>16</v>
      </c>
      <c r="AP65" s="34">
        <v>32</v>
      </c>
      <c r="AQ65" s="34">
        <v>16</v>
      </c>
      <c r="AR65" s="34">
        <v>3</v>
      </c>
      <c r="AS65" s="34">
        <v>0</v>
      </c>
      <c r="AT65" s="34" t="str">
        <v>3P</v>
      </c>
      <c r="AU65" s="34">
        <v>16</v>
      </c>
      <c r="AV65" s="34" t="str">
        <v/>
      </c>
      <c r="AW65" s="34" t="str">
        <v/>
      </c>
      <c r="AX65" s="34" t="str">
        <v/>
      </c>
      <c r="AY65" s="34">
        <v>1</v>
      </c>
      <c r="AZ65" s="34" t="str">
        <v/>
      </c>
      <c r="BA65" s="34">
        <v>0</v>
      </c>
      <c r="BB65" s="34">
        <v>16</v>
      </c>
      <c r="BD65" s="34">
        <v>1</v>
      </c>
      <c r="BE65" s="34">
        <v>0</v>
      </c>
      <c r="BF65" s="34">
        <v>0</v>
      </c>
      <c r="BG65" s="34" t="str">
        <v/>
      </c>
      <c r="BH65" s="34" t="str">
        <v/>
      </c>
      <c r="BI65" s="34" t="str">
        <v/>
      </c>
      <c r="BJ65" s="34" t="str">
        <v/>
      </c>
      <c r="BK65" s="34" t="str">
        <v>MOTOR</v>
      </c>
      <c r="BL65" s="34">
        <v>1</v>
      </c>
      <c r="BM65" s="34">
        <v>7</v>
      </c>
      <c r="BN65" s="34" t="str">
        <v/>
      </c>
      <c r="BO65" s="34" t="str">
        <v/>
      </c>
      <c r="BP65" s="34" t="str">
        <v/>
      </c>
      <c r="BQ65" s="34" t="str">
        <v>5х4</v>
      </c>
      <c r="BR65" s="34" t="str">
        <v/>
      </c>
      <c r="BS65" s="34" t="str">
        <v/>
      </c>
      <c r="BT65" s="34" t="str">
        <v/>
      </c>
      <c r="BU65" s="34">
        <v>0</v>
      </c>
      <c r="BV65" s="34">
        <v>85</v>
      </c>
      <c r="BW65" s="34">
        <v>1</v>
      </c>
      <c r="BX65" s="34">
        <v>2</v>
      </c>
      <c r="BY65" s="34" t="str">
        <v>Привод (двигатель)</v>
      </c>
      <c r="BZ65">
        <v>4</v>
      </c>
      <c r="CA65" t="str">
        <v>линии</v>
      </c>
    </row>
    <row r="66" spans="1:79" x14ac:dyDescent="0.3">
      <c r="A66" s="39" t="str">
        <v>ЩОВ-002</v>
      </c>
      <c r="B66" s="42">
        <v>2</v>
      </c>
      <c r="C66" s="42">
        <v>1</v>
      </c>
      <c r="D66" s="75" t="str">
        <v/>
      </c>
      <c r="E66" s="75" t="str">
        <v/>
      </c>
      <c r="F66" s="76" t="str">
        <v/>
      </c>
      <c r="G66" s="47" t="str">
        <v/>
      </c>
      <c r="H66" s="47" t="str">
        <v/>
      </c>
      <c r="I66" s="75" t="str">
        <v/>
      </c>
      <c r="J66" s="76" t="str">
        <v/>
      </c>
      <c r="K66" s="76" t="str">
        <v/>
      </c>
      <c r="L66" s="75" t="str">
        <v/>
      </c>
      <c r="M66" s="49" t="str">
        <v/>
      </c>
      <c r="N66" s="76" t="str">
        <v/>
      </c>
      <c r="O66" s="49" t="str">
        <v/>
      </c>
      <c r="P66" s="77" t="str">
        <v>XT1</v>
      </c>
      <c r="Q66" s="53" t="str">
        <v>ВВГнг(А)-LS (5х4) L=34-0%</v>
      </c>
      <c r="R66" s="54" t="str">
        <v>Ввод.1</v>
      </c>
      <c r="S66" s="55" t="str">
        <v>Ввод</v>
      </c>
      <c r="T66" s="56">
        <v>0</v>
      </c>
      <c r="U66" s="56">
        <v>0</v>
      </c>
      <c r="V66" s="42" t="str">
        <v>L1,L2,L3</v>
      </c>
      <c r="W66" s="57" t="str">
        <v/>
      </c>
      <c r="X66" s="58" t="str">
        <v/>
      </c>
      <c r="Y66" s="75" t="str">
        <v>вручную</v>
      </c>
      <c r="Z66" s="59" t="str">
        <v/>
      </c>
      <c r="AA66" s="61" t="str">
        <v/>
      </c>
      <c r="AB66" s="61">
        <v>32</v>
      </c>
      <c r="AC66" s="61" t="str">
        <v/>
      </c>
      <c r="AD66" s="62" t="str">
        <v>XT1</v>
      </c>
      <c r="AE66" s="62" t="str">
        <v/>
      </c>
      <c r="AF66" s="34" t="str">
        <v/>
      </c>
      <c r="AG66" s="34" t="str">
        <v/>
      </c>
      <c r="AH66" s="34" t="str">
        <v/>
      </c>
      <c r="AI66" s="34" t="str">
        <v/>
      </c>
      <c r="AJ66" s="34" t="str">
        <v/>
      </c>
      <c r="AK66" s="34">
        <v>3</v>
      </c>
      <c r="AL66" s="34" t="str">
        <v>Ввод</v>
      </c>
      <c r="AM66" s="34">
        <v>0</v>
      </c>
      <c r="AN66" s="34">
        <v>0</v>
      </c>
      <c r="AO66" s="34" t="str">
        <v/>
      </c>
      <c r="AP66" s="34" t="str">
        <v/>
      </c>
      <c r="AQ66" s="34" t="str">
        <v/>
      </c>
      <c r="AR66" s="34" t="str">
        <v/>
      </c>
      <c r="AS66" s="34" t="str">
        <v/>
      </c>
      <c r="AT66" s="34" t="str">
        <v/>
      </c>
      <c r="AU66" s="34" t="str">
        <v/>
      </c>
      <c r="AV66" s="34" t="str">
        <v/>
      </c>
      <c r="AW66" s="34" t="str">
        <v/>
      </c>
      <c r="AX66" s="34" t="str">
        <v/>
      </c>
      <c r="AY66" s="34">
        <v>1</v>
      </c>
      <c r="AZ66" s="34" t="str">
        <v/>
      </c>
      <c r="BA66" s="34">
        <v>0</v>
      </c>
      <c r="BB66" s="34">
        <v>16</v>
      </c>
      <c r="BD66" s="34">
        <v>0</v>
      </c>
      <c r="BE66" s="34">
        <v>0</v>
      </c>
      <c r="BF66" s="34">
        <v>0</v>
      </c>
      <c r="BG66" s="34" t="str">
        <v/>
      </c>
      <c r="BH66" s="34" t="str">
        <v/>
      </c>
      <c r="BI66" s="34" t="str">
        <v/>
      </c>
      <c r="BJ66" s="34" t="str">
        <v/>
      </c>
      <c r="BK66" s="34" t="str">
        <v>BOX</v>
      </c>
      <c r="BL66" s="34">
        <v>1</v>
      </c>
      <c r="BM66" s="34" t="str">
        <v/>
      </c>
      <c r="BN66" s="34" t="str">
        <v/>
      </c>
      <c r="BO66" s="34" t="str">
        <v/>
      </c>
      <c r="BP66" s="34" t="str">
        <v/>
      </c>
      <c r="BQ66" s="34" t="str">
        <v>5х4</v>
      </c>
      <c r="BR66" s="34" t="str">
        <v/>
      </c>
      <c r="BS66" s="34" t="str">
        <v/>
      </c>
      <c r="BT66" s="34" t="str">
        <v/>
      </c>
      <c r="BU66" s="34">
        <v>0</v>
      </c>
      <c r="BV66" s="34">
        <v>86</v>
      </c>
      <c r="BW66" s="34">
        <v>1</v>
      </c>
      <c r="BX66" s="34">
        <v>2</v>
      </c>
      <c r="BY66" s="34">
        <v>0</v>
      </c>
      <c r="BZ66">
        <v>5</v>
      </c>
      <c r="CA66" t="str">
        <v>вводной узел</v>
      </c>
    </row>
    <row r="67" spans="1:79" x14ac:dyDescent="0.3">
      <c r="A67" s="39" t="str">
        <v>ЩОВ-002</v>
      </c>
      <c r="B67" s="42">
        <v>19</v>
      </c>
      <c r="C67" s="42">
        <v>2</v>
      </c>
      <c r="D67" s="75" t="str">
        <v/>
      </c>
      <c r="E67" s="75" t="str">
        <v>авто</v>
      </c>
      <c r="F67" s="76" t="str">
        <v/>
      </c>
      <c r="G67" s="47" t="str">
        <v>QF1</v>
      </c>
      <c r="H67" s="47" t="str">
        <v>1P С10А</v>
      </c>
      <c r="I67" s="75" t="str">
        <v/>
      </c>
      <c r="J67" s="76" t="str">
        <v/>
      </c>
      <c r="K67" s="76" t="str">
        <v/>
      </c>
      <c r="L67" s="75" t="str">
        <v/>
      </c>
      <c r="M67" s="49" t="str">
        <v/>
      </c>
      <c r="N67" s="76" t="str">
        <v/>
      </c>
      <c r="O67" s="49" t="str">
        <v/>
      </c>
      <c r="P67" s="77" t="str">
        <v/>
      </c>
      <c r="Q67" s="53" t="str">
        <v>ВВГнг(А)-LS (3х1,5) L=23-0,72%</v>
      </c>
      <c r="R67" s="54" t="str">
        <v>В.7</v>
      </c>
      <c r="S67" s="55" t="str">
        <v>Вытяжная установка Шлейф Подвальный этаж Пом. №003Т</v>
      </c>
      <c r="T67" s="56">
        <v>0.55000000000000004</v>
      </c>
      <c r="U67" s="56">
        <v>2.5099999999999998</v>
      </c>
      <c r="V67" s="42" t="str">
        <v>L1</v>
      </c>
      <c r="W67" s="57" t="str">
        <v>ok</v>
      </c>
      <c r="X67" s="58" t="str">
        <v/>
      </c>
      <c r="Y67" s="75" t="str">
        <v/>
      </c>
      <c r="Z67" s="59">
        <v>2.5099999999999998</v>
      </c>
      <c r="AA67" s="61">
        <v>6</v>
      </c>
      <c r="AB67" s="61">
        <v>16</v>
      </c>
      <c r="AC67" s="61" t="str">
        <v/>
      </c>
      <c r="AD67" s="62" t="str">
        <v>QF1</v>
      </c>
      <c r="AE67" s="62" t="str">
        <v/>
      </c>
      <c r="AF67" s="34">
        <v>1</v>
      </c>
      <c r="AG67" s="34" t="str">
        <v>QF1</v>
      </c>
      <c r="AH67" s="34" t="str">
        <v/>
      </c>
      <c r="AI67" s="34" t="str">
        <v/>
      </c>
      <c r="AJ67" s="34" t="str">
        <v>QF1</v>
      </c>
      <c r="AK67" s="34">
        <v>1</v>
      </c>
      <c r="AL67" s="34" t="str">
        <v>В</v>
      </c>
      <c r="AM67" s="34">
        <v>0</v>
      </c>
      <c r="AN67" s="34">
        <v>0</v>
      </c>
      <c r="AO67" s="34">
        <v>10</v>
      </c>
      <c r="AP67" s="34">
        <v>16</v>
      </c>
      <c r="AQ67" s="34">
        <v>10</v>
      </c>
      <c r="AR67" s="34">
        <v>1</v>
      </c>
      <c r="AS67" s="34">
        <v>0</v>
      </c>
      <c r="AT67" s="34" t="str">
        <v>1P</v>
      </c>
      <c r="AU67" s="34">
        <v>10</v>
      </c>
      <c r="AV67" s="34" t="str">
        <v/>
      </c>
      <c r="AW67" s="34" t="str">
        <v/>
      </c>
      <c r="AX67" s="34" t="str">
        <v/>
      </c>
      <c r="AY67" s="34">
        <v>1</v>
      </c>
      <c r="AZ67" s="34" t="str">
        <v/>
      </c>
      <c r="BA67" s="34">
        <v>0</v>
      </c>
      <c r="BB67" s="34">
        <v>10</v>
      </c>
      <c r="BD67" s="34">
        <v>1</v>
      </c>
      <c r="BE67" s="34">
        <v>0</v>
      </c>
      <c r="BF67" s="34">
        <v>0</v>
      </c>
      <c r="BG67" s="34" t="str">
        <v/>
      </c>
      <c r="BH67" s="34" t="str">
        <v/>
      </c>
      <c r="BI67" s="34" t="str">
        <v/>
      </c>
      <c r="BJ67" s="34" t="str">
        <v/>
      </c>
      <c r="BK67" s="34" t="str">
        <v>MOTOR</v>
      </c>
      <c r="BL67" s="34">
        <v>1</v>
      </c>
      <c r="BM67" s="34" t="str">
        <v/>
      </c>
      <c r="BN67" s="34" t="str">
        <v/>
      </c>
      <c r="BO67" s="34" t="str">
        <v/>
      </c>
      <c r="BP67" s="34" t="str">
        <v/>
      </c>
      <c r="BQ67" s="34" t="str">
        <v>3х1,5</v>
      </c>
      <c r="BR67" s="34" t="str">
        <v/>
      </c>
      <c r="BS67" s="34" t="str">
        <v/>
      </c>
      <c r="BT67" s="34" t="str">
        <v/>
      </c>
      <c r="BU67" s="34">
        <v>0</v>
      </c>
      <c r="BV67" s="34">
        <v>87</v>
      </c>
      <c r="BW67" s="34">
        <v>1</v>
      </c>
      <c r="BX67" s="34">
        <v>0</v>
      </c>
      <c r="BY67" s="34" t="str">
        <v>Привод (двигатель)</v>
      </c>
      <c r="BZ67">
        <v>5</v>
      </c>
      <c r="CA67" t="str">
        <v>линии</v>
      </c>
    </row>
    <row r="68" spans="1:79" x14ac:dyDescent="0.3">
      <c r="A68" s="39" t="str">
        <v>ЩОВ-002</v>
      </c>
      <c r="B68" s="42">
        <v>20</v>
      </c>
      <c r="C68" s="42">
        <v>2</v>
      </c>
      <c r="D68" s="75" t="str">
        <v/>
      </c>
      <c r="E68" s="75" t="str">
        <v>авто</v>
      </c>
      <c r="F68" s="76" t="str">
        <v/>
      </c>
      <c r="G68" s="47" t="str">
        <v>QF2</v>
      </c>
      <c r="H68" s="47" t="str">
        <v>1P С16А</v>
      </c>
      <c r="I68" s="75" t="str">
        <v/>
      </c>
      <c r="J68" s="76" t="str">
        <v/>
      </c>
      <c r="K68" s="76" t="str">
        <v/>
      </c>
      <c r="L68" s="75" t="str">
        <v/>
      </c>
      <c r="M68" s="49" t="str">
        <v/>
      </c>
      <c r="N68" s="76" t="str">
        <v/>
      </c>
      <c r="O68" s="49" t="str">
        <v/>
      </c>
      <c r="P68" s="77" t="str">
        <v>XT3</v>
      </c>
      <c r="Q68" s="53" t="str">
        <v>ВВГнг(А)-LS (3х2,5) L=19-1,36%</v>
      </c>
      <c r="R68" s="54" t="str">
        <v>ПВ.1</v>
      </c>
      <c r="S68" s="55" t="str">
        <v>Приточно-вытяжная установка Подвальный этаж Пом. №003Т</v>
      </c>
      <c r="T68" s="56">
        <v>2.1</v>
      </c>
      <c r="U68" s="56">
        <v>9.58</v>
      </c>
      <c r="V68" s="42" t="str">
        <v>L2</v>
      </c>
      <c r="W68" s="57" t="str">
        <v>ok</v>
      </c>
      <c r="X68" s="58" t="str">
        <v/>
      </c>
      <c r="Y68" s="75" t="str">
        <v/>
      </c>
      <c r="Z68" s="59">
        <v>9.58</v>
      </c>
      <c r="AA68" s="61">
        <v>16</v>
      </c>
      <c r="AB68" s="61">
        <v>25</v>
      </c>
      <c r="AC68" s="61" t="str">
        <v/>
      </c>
      <c r="AD68" s="62" t="str">
        <v>QF2 → XT3</v>
      </c>
      <c r="AE68" s="62" t="str">
        <v/>
      </c>
      <c r="AF68" s="34">
        <v>2</v>
      </c>
      <c r="AG68" s="34" t="str">
        <v>QF2</v>
      </c>
      <c r="AH68" s="34" t="str">
        <v/>
      </c>
      <c r="AI68" s="34" t="str">
        <v/>
      </c>
      <c r="AJ68" s="34" t="str">
        <v>QF2</v>
      </c>
      <c r="AK68" s="34">
        <v>1</v>
      </c>
      <c r="AL68" s="34" t="str">
        <v>ПВ</v>
      </c>
      <c r="AM68" s="34">
        <v>0</v>
      </c>
      <c r="AN68" s="34">
        <v>0</v>
      </c>
      <c r="AO68" s="34">
        <v>16</v>
      </c>
      <c r="AP68" s="34">
        <v>25</v>
      </c>
      <c r="AQ68" s="34">
        <v>16</v>
      </c>
      <c r="AR68" s="34">
        <v>1</v>
      </c>
      <c r="AS68" s="34">
        <v>0</v>
      </c>
      <c r="AT68" s="34" t="str">
        <v>1P</v>
      </c>
      <c r="AU68" s="34">
        <v>16</v>
      </c>
      <c r="AV68" s="34" t="str">
        <v/>
      </c>
      <c r="AW68" s="34" t="str">
        <v/>
      </c>
      <c r="AX68" s="34" t="str">
        <v/>
      </c>
      <c r="AY68" s="34">
        <v>1</v>
      </c>
      <c r="AZ68" s="34" t="str">
        <v/>
      </c>
      <c r="BA68" s="34">
        <v>0</v>
      </c>
      <c r="BB68" s="34">
        <v>16</v>
      </c>
      <c r="BD68" s="34">
        <v>1</v>
      </c>
      <c r="BE68" s="34">
        <v>0</v>
      </c>
      <c r="BF68" s="34">
        <v>0</v>
      </c>
      <c r="BG68" s="34" t="str">
        <v/>
      </c>
      <c r="BH68" s="34" t="str">
        <v/>
      </c>
      <c r="BI68" s="34" t="str">
        <v/>
      </c>
      <c r="BJ68" s="34" t="str">
        <v/>
      </c>
      <c r="BK68" s="34" t="str">
        <v>MOTOR</v>
      </c>
      <c r="BL68" s="34">
        <v>1</v>
      </c>
      <c r="BM68" s="34" t="str">
        <v/>
      </c>
      <c r="BN68" s="34" t="str">
        <v/>
      </c>
      <c r="BO68" s="34" t="str">
        <v/>
      </c>
      <c r="BP68" s="34" t="str">
        <v/>
      </c>
      <c r="BQ68" s="34" t="str">
        <v>3х2,5</v>
      </c>
      <c r="BR68" s="34" t="str">
        <v/>
      </c>
      <c r="BS68" s="34" t="str">
        <v/>
      </c>
      <c r="BT68" s="34" t="str">
        <v/>
      </c>
      <c r="BU68" s="34">
        <v>0</v>
      </c>
      <c r="BV68" s="34">
        <v>88</v>
      </c>
      <c r="BW68" s="34">
        <v>1</v>
      </c>
      <c r="BX68" s="34">
        <v>0</v>
      </c>
      <c r="BY68" s="34" t="str">
        <v>Привод (двигатель)</v>
      </c>
      <c r="BZ68">
        <v>5</v>
      </c>
      <c r="CA68" t="str">
        <v>линии</v>
      </c>
    </row>
    <row r="69" spans="1:79" x14ac:dyDescent="0.3">
      <c r="A69" s="39" t="str">
        <v>ЩОВ-002</v>
      </c>
      <c r="B69" s="42">
        <v>21</v>
      </c>
      <c r="C69" s="42">
        <v>2</v>
      </c>
      <c r="D69" s="75" t="str">
        <v/>
      </c>
      <c r="E69" s="75" t="str">
        <v>авто</v>
      </c>
      <c r="F69" s="76" t="str">
        <v/>
      </c>
      <c r="G69" s="47" t="str">
        <v>QF3</v>
      </c>
      <c r="H69" s="47" t="str">
        <v>1P С10А</v>
      </c>
      <c r="I69" s="75" t="str">
        <v/>
      </c>
      <c r="J69" s="76" t="str">
        <v/>
      </c>
      <c r="K69" s="76" t="str">
        <v/>
      </c>
      <c r="L69" s="75" t="str">
        <v/>
      </c>
      <c r="M69" s="49" t="str">
        <v/>
      </c>
      <c r="N69" s="76" t="str">
        <v/>
      </c>
      <c r="O69" s="49" t="str">
        <v/>
      </c>
      <c r="P69" s="77" t="str">
        <v/>
      </c>
      <c r="Q69" s="53" t="str">
        <v>ВВГнг(А)-LS (3х1,5) L=16-0,32%</v>
      </c>
      <c r="R69" s="54" t="str">
        <v>ПВ.К</v>
      </c>
      <c r="S69" s="55" t="str">
        <v>Приточно-вытяжная установка Подвальный этаж Пом. №003Т</v>
      </c>
      <c r="T69" s="56">
        <v>0.35</v>
      </c>
      <c r="U69" s="56">
        <v>1.6</v>
      </c>
      <c r="V69" s="42" t="str">
        <v>L1</v>
      </c>
      <c r="W69" s="57" t="str">
        <v>ok</v>
      </c>
      <c r="X69" s="58" t="str">
        <v/>
      </c>
      <c r="Y69" s="75" t="str">
        <v/>
      </c>
      <c r="Z69" s="59">
        <v>1.6</v>
      </c>
      <c r="AA69" s="61">
        <v>6</v>
      </c>
      <c r="AB69" s="61">
        <v>16</v>
      </c>
      <c r="AC69" s="61" t="str">
        <v/>
      </c>
      <c r="AD69" s="62" t="str">
        <v>QF3</v>
      </c>
      <c r="AE69" s="62" t="str">
        <v/>
      </c>
      <c r="AF69" s="34">
        <v>3</v>
      </c>
      <c r="AG69" s="34" t="str">
        <v>QF3</v>
      </c>
      <c r="AH69" s="34" t="str">
        <v/>
      </c>
      <c r="AI69" s="34" t="str">
        <v/>
      </c>
      <c r="AJ69" s="34" t="str">
        <v>QF3</v>
      </c>
      <c r="AK69" s="34">
        <v>1</v>
      </c>
      <c r="AL69" s="34" t="str">
        <v>ПВ</v>
      </c>
      <c r="AM69" s="34">
        <v>0</v>
      </c>
      <c r="AN69" s="34">
        <v>0</v>
      </c>
      <c r="AO69" s="34">
        <v>10</v>
      </c>
      <c r="AP69" s="34">
        <v>16</v>
      </c>
      <c r="AQ69" s="34">
        <v>10</v>
      </c>
      <c r="AR69" s="34">
        <v>1</v>
      </c>
      <c r="AS69" s="34">
        <v>0</v>
      </c>
      <c r="AT69" s="34" t="str">
        <v>1P</v>
      </c>
      <c r="AU69" s="34">
        <v>10</v>
      </c>
      <c r="AV69" s="34" t="str">
        <v/>
      </c>
      <c r="AW69" s="34" t="str">
        <v/>
      </c>
      <c r="AX69" s="34" t="str">
        <v/>
      </c>
      <c r="AY69" s="34">
        <v>1</v>
      </c>
      <c r="AZ69" s="34" t="str">
        <v/>
      </c>
      <c r="BA69" s="34">
        <v>0</v>
      </c>
      <c r="BB69" s="34">
        <v>10</v>
      </c>
      <c r="BD69" s="34">
        <v>1</v>
      </c>
      <c r="BE69" s="34">
        <v>0</v>
      </c>
      <c r="BF69" s="34">
        <v>0</v>
      </c>
      <c r="BG69" s="34" t="str">
        <v/>
      </c>
      <c r="BH69" s="34" t="str">
        <v/>
      </c>
      <c r="BI69" s="34" t="str">
        <v/>
      </c>
      <c r="BJ69" s="34" t="str">
        <v/>
      </c>
      <c r="BK69" s="34" t="str">
        <v>MOTOR</v>
      </c>
      <c r="BL69" s="34">
        <v>1</v>
      </c>
      <c r="BM69" s="34" t="str">
        <v/>
      </c>
      <c r="BN69" s="34" t="str">
        <v/>
      </c>
      <c r="BO69" s="34" t="str">
        <v/>
      </c>
      <c r="BP69" s="34" t="str">
        <v/>
      </c>
      <c r="BQ69" s="34" t="str">
        <v>3х1,5</v>
      </c>
      <c r="BR69" s="34" t="str">
        <v/>
      </c>
      <c r="BS69" s="34" t="str">
        <v/>
      </c>
      <c r="BT69" s="34" t="str">
        <v/>
      </c>
      <c r="BU69" s="34">
        <v>0</v>
      </c>
      <c r="BV69" s="34">
        <v>89</v>
      </c>
      <c r="BW69" s="34">
        <v>1</v>
      </c>
      <c r="BX69" s="34">
        <v>0</v>
      </c>
      <c r="BY69" s="34" t="str">
        <v>Привод (двигатель)</v>
      </c>
      <c r="BZ69">
        <v>5</v>
      </c>
      <c r="CA69" t="str">
        <v>линии</v>
      </c>
    </row>
    <row r="70" spans="1:79" x14ac:dyDescent="0.3">
      <c r="A70" s="39" t="str">
        <v>ЩОВ-002</v>
      </c>
      <c r="B70" s="42">
        <v>22</v>
      </c>
      <c r="C70" s="42">
        <v>2</v>
      </c>
      <c r="D70" s="75" t="str">
        <v/>
      </c>
      <c r="E70" s="75" t="str">
        <v>авто</v>
      </c>
      <c r="F70" s="76" t="str">
        <v/>
      </c>
      <c r="G70" s="47" t="str">
        <v>QF4</v>
      </c>
      <c r="H70" s="47" t="str">
        <v>1P С16А</v>
      </c>
      <c r="I70" s="75" t="str">
        <v/>
      </c>
      <c r="J70" s="76" t="str">
        <v/>
      </c>
      <c r="K70" s="76" t="str">
        <v/>
      </c>
      <c r="L70" s="75" t="str">
        <v/>
      </c>
      <c r="M70" s="49" t="str">
        <v/>
      </c>
      <c r="N70" s="76" t="str">
        <v/>
      </c>
      <c r="O70" s="49" t="str">
        <v/>
      </c>
      <c r="P70" s="77" t="str">
        <v/>
      </c>
      <c r="Q70" s="53" t="str">
        <v>ВВГнг(А)-LS (3х4) L=33-2,1%</v>
      </c>
      <c r="R70" s="54" t="str">
        <v>ПВ.10</v>
      </c>
      <c r="S70" s="55" t="str">
        <v>Приточно-вытяжная установка Подвальный этаж Пом. №005Т</v>
      </c>
      <c r="T70" s="56">
        <v>3</v>
      </c>
      <c r="U70" s="56">
        <v>13.68</v>
      </c>
      <c r="V70" s="42" t="str">
        <v>L3</v>
      </c>
      <c r="W70" s="57" t="str">
        <v>ok</v>
      </c>
      <c r="X70" s="58" t="str">
        <v/>
      </c>
      <c r="Y70" s="75" t="str">
        <v/>
      </c>
      <c r="Z70" s="59">
        <v>13.68</v>
      </c>
      <c r="AA70" s="61">
        <v>16</v>
      </c>
      <c r="AB70" s="61">
        <v>32</v>
      </c>
      <c r="AC70" s="61" t="str">
        <v/>
      </c>
      <c r="AD70" s="62" t="str">
        <v>QF4</v>
      </c>
      <c r="AE70" s="62" t="str">
        <v/>
      </c>
      <c r="AF70" s="34">
        <v>4</v>
      </c>
      <c r="AG70" s="34" t="str">
        <v>QF4</v>
      </c>
      <c r="AH70" s="34" t="str">
        <v/>
      </c>
      <c r="AI70" s="34" t="str">
        <v/>
      </c>
      <c r="AJ70" s="34" t="str">
        <v>QF4</v>
      </c>
      <c r="AK70" s="34">
        <v>1</v>
      </c>
      <c r="AL70" s="34" t="str">
        <v>ПВ</v>
      </c>
      <c r="AM70" s="34">
        <v>0</v>
      </c>
      <c r="AN70" s="34">
        <v>0</v>
      </c>
      <c r="AO70" s="34">
        <v>16</v>
      </c>
      <c r="AP70" s="34">
        <v>32</v>
      </c>
      <c r="AQ70" s="34">
        <v>16</v>
      </c>
      <c r="AR70" s="34">
        <v>1</v>
      </c>
      <c r="AS70" s="34">
        <v>0</v>
      </c>
      <c r="AT70" s="34" t="str">
        <v>1P</v>
      </c>
      <c r="AU70" s="34">
        <v>16</v>
      </c>
      <c r="AV70" s="34" t="str">
        <v/>
      </c>
      <c r="AW70" s="34" t="str">
        <v/>
      </c>
      <c r="AX70" s="34" t="str">
        <v/>
      </c>
      <c r="AY70" s="34">
        <v>1</v>
      </c>
      <c r="AZ70" s="34" t="str">
        <v/>
      </c>
      <c r="BA70" s="34">
        <v>0</v>
      </c>
      <c r="BB70" s="34">
        <v>16</v>
      </c>
      <c r="BD70" s="34">
        <v>1</v>
      </c>
      <c r="BE70" s="34">
        <v>0</v>
      </c>
      <c r="BF70" s="34">
        <v>0</v>
      </c>
      <c r="BG70" s="34" t="str">
        <v/>
      </c>
      <c r="BH70" s="34" t="str">
        <v/>
      </c>
      <c r="BI70" s="34" t="str">
        <v/>
      </c>
      <c r="BJ70" s="34" t="str">
        <v/>
      </c>
      <c r="BK70" s="34" t="str">
        <v>MOTOR</v>
      </c>
      <c r="BL70" s="34">
        <v>1</v>
      </c>
      <c r="BM70" s="34" t="str">
        <v/>
      </c>
      <c r="BN70" s="34" t="str">
        <v/>
      </c>
      <c r="BO70" s="34" t="str">
        <v/>
      </c>
      <c r="BP70" s="34" t="str">
        <v/>
      </c>
      <c r="BQ70" s="34" t="str">
        <v>3х4</v>
      </c>
      <c r="BR70" s="34" t="str">
        <v/>
      </c>
      <c r="BS70" s="34" t="str">
        <v/>
      </c>
      <c r="BT70" s="34" t="str">
        <v/>
      </c>
      <c r="BU70" s="34">
        <v>0</v>
      </c>
      <c r="BV70" s="34">
        <v>90</v>
      </c>
      <c r="BW70" s="34">
        <v>1</v>
      </c>
      <c r="BX70" s="34">
        <v>0</v>
      </c>
      <c r="BY70" s="34" t="str">
        <v>Привод (двигатель)</v>
      </c>
      <c r="BZ70">
        <v>5</v>
      </c>
      <c r="CA70" t="str">
        <v>линии</v>
      </c>
    </row>
    <row r="71" spans="1:79" x14ac:dyDescent="0.3">
      <c r="A71" s="39" t="str">
        <v>ЩОВ-002</v>
      </c>
      <c r="B71" s="42">
        <v>23</v>
      </c>
      <c r="C71" s="42">
        <v>2</v>
      </c>
      <c r="D71" s="75" t="str">
        <v/>
      </c>
      <c r="E71" s="75" t="str">
        <v>авто</v>
      </c>
      <c r="F71" s="76" t="str">
        <v/>
      </c>
      <c r="G71" s="47" t="str">
        <v>QF5</v>
      </c>
      <c r="H71" s="47" t="str">
        <v>1P С10А</v>
      </c>
      <c r="I71" s="75" t="str">
        <v/>
      </c>
      <c r="J71" s="76" t="str">
        <v/>
      </c>
      <c r="K71" s="76" t="str">
        <v/>
      </c>
      <c r="L71" s="75" t="str">
        <v/>
      </c>
      <c r="M71" s="49" t="str">
        <v/>
      </c>
      <c r="N71" s="76" t="str">
        <v/>
      </c>
      <c r="O71" s="49" t="str">
        <v/>
      </c>
      <c r="P71" s="77" t="str">
        <v/>
      </c>
      <c r="Q71" s="53" t="str">
        <v>ВВГнг(А)-LS (3х1,5) L=22-0,19%</v>
      </c>
      <c r="R71" s="54" t="str">
        <v>K.0.002A</v>
      </c>
      <c r="S71" s="55" t="str">
        <v>Внутренний блок кондиционирования Подвальный этаж Пом. №005Т</v>
      </c>
      <c r="T71" s="56">
        <v>0.151</v>
      </c>
      <c r="U71" s="56">
        <v>0.69000000000000006</v>
      </c>
      <c r="V71" s="42" t="str">
        <v>L1</v>
      </c>
      <c r="W71" s="57" t="str">
        <v>ok</v>
      </c>
      <c r="X71" s="58" t="str">
        <v/>
      </c>
      <c r="Y71" s="75" t="str">
        <v/>
      </c>
      <c r="Z71" s="59">
        <v>0.69000000000000006</v>
      </c>
      <c r="AA71" s="61">
        <v>6</v>
      </c>
      <c r="AB71" s="61">
        <v>16</v>
      </c>
      <c r="AC71" s="61" t="str">
        <v/>
      </c>
      <c r="AD71" s="62" t="str">
        <v>QF5</v>
      </c>
      <c r="AE71" s="62" t="str">
        <v/>
      </c>
      <c r="AF71" s="34">
        <v>5</v>
      </c>
      <c r="AG71" s="34" t="str">
        <v>QF5</v>
      </c>
      <c r="AH71" s="34" t="str">
        <v/>
      </c>
      <c r="AI71" s="34" t="str">
        <v/>
      </c>
      <c r="AJ71" s="34" t="str">
        <v>QF5</v>
      </c>
      <c r="AK71" s="34">
        <v>1</v>
      </c>
      <c r="AL71" s="34" t="str">
        <v>K</v>
      </c>
      <c r="AM71" s="34">
        <v>0</v>
      </c>
      <c r="AN71" s="34">
        <v>0</v>
      </c>
      <c r="AO71" s="34">
        <v>10</v>
      </c>
      <c r="AP71" s="34">
        <v>16</v>
      </c>
      <c r="AQ71" s="34">
        <v>10</v>
      </c>
      <c r="AR71" s="34">
        <v>1</v>
      </c>
      <c r="AS71" s="34">
        <v>0</v>
      </c>
      <c r="AT71" s="34" t="str">
        <v>1P</v>
      </c>
      <c r="AU71" s="34">
        <v>10</v>
      </c>
      <c r="AV71" s="34" t="str">
        <v/>
      </c>
      <c r="AW71" s="34" t="str">
        <v/>
      </c>
      <c r="AX71" s="34" t="str">
        <v/>
      </c>
      <c r="AY71" s="34">
        <v>1</v>
      </c>
      <c r="AZ71" s="34" t="str">
        <v/>
      </c>
      <c r="BA71" s="34">
        <v>0</v>
      </c>
      <c r="BB71" s="34">
        <v>10</v>
      </c>
      <c r="BD71" s="34">
        <v>1</v>
      </c>
      <c r="BE71" s="34">
        <v>0</v>
      </c>
      <c r="BF71" s="34">
        <v>0</v>
      </c>
      <c r="BG71" s="34" t="str">
        <v/>
      </c>
      <c r="BH71" s="34" t="str">
        <v/>
      </c>
      <c r="BI71" s="34" t="str">
        <v/>
      </c>
      <c r="BJ71" s="34" t="str">
        <v/>
      </c>
      <c r="BK71" s="34" t="str">
        <v>BOX</v>
      </c>
      <c r="BL71" s="34">
        <v>1</v>
      </c>
      <c r="BM71" s="34" t="str">
        <v/>
      </c>
      <c r="BN71" s="34" t="str">
        <v/>
      </c>
      <c r="BO71" s="34" t="str">
        <v/>
      </c>
      <c r="BP71" s="34" t="str">
        <v/>
      </c>
      <c r="BQ71" s="34" t="str">
        <v>3х1,5</v>
      </c>
      <c r="BR71" s="34" t="str">
        <v/>
      </c>
      <c r="BS71" s="34" t="str">
        <v/>
      </c>
      <c r="BT71" s="34" t="str">
        <v/>
      </c>
      <c r="BU71" s="34">
        <v>0</v>
      </c>
      <c r="BV71" s="34">
        <v>91</v>
      </c>
      <c r="BW71" s="34">
        <v>1</v>
      </c>
      <c r="BX71" s="34">
        <v>0</v>
      </c>
      <c r="BY71" s="34">
        <v>0</v>
      </c>
      <c r="BZ71">
        <v>5</v>
      </c>
      <c r="CA71" t="str">
        <v>линии</v>
      </c>
    </row>
    <row r="72" spans="1:79" x14ac:dyDescent="0.3">
      <c r="A72" s="39" t="str">
        <v>ЩОВ-002</v>
      </c>
      <c r="B72" s="42">
        <v>24</v>
      </c>
      <c r="C72" s="42">
        <v>2</v>
      </c>
      <c r="D72" s="75" t="str">
        <v/>
      </c>
      <c r="E72" s="75" t="str">
        <v>авто</v>
      </c>
      <c r="F72" s="76" t="str">
        <v/>
      </c>
      <c r="G72" s="47" t="str">
        <v>QF6</v>
      </c>
      <c r="H72" s="47" t="str">
        <v>1P С10А</v>
      </c>
      <c r="I72" s="75" t="str">
        <v/>
      </c>
      <c r="J72" s="76" t="str">
        <v/>
      </c>
      <c r="K72" s="76" t="str">
        <v/>
      </c>
      <c r="L72" s="75" t="str">
        <v/>
      </c>
      <c r="M72" s="49" t="str">
        <v/>
      </c>
      <c r="N72" s="76" t="str">
        <v/>
      </c>
      <c r="O72" s="49" t="str">
        <v/>
      </c>
      <c r="P72" s="77" t="str">
        <v/>
      </c>
      <c r="Q72" s="53" t="str">
        <v>ВВГнг(А)-LS (3х1,5) L=26-0,17%</v>
      </c>
      <c r="R72" s="54" t="str">
        <v>K.0.006A</v>
      </c>
      <c r="S72" s="55" t="str">
        <v>Внутренний блок кондиционирования Подвальный этаж Пом. №005Т</v>
      </c>
      <c r="T72" s="56">
        <v>0.111</v>
      </c>
      <c r="U72" s="56">
        <v>0.51</v>
      </c>
      <c r="V72" s="42" t="str">
        <v>L1</v>
      </c>
      <c r="W72" s="57" t="str">
        <v>ok</v>
      </c>
      <c r="X72" s="58" t="str">
        <v/>
      </c>
      <c r="Y72" s="75" t="str">
        <v/>
      </c>
      <c r="Z72" s="59">
        <v>0.51</v>
      </c>
      <c r="AA72" s="61">
        <v>6</v>
      </c>
      <c r="AB72" s="61">
        <v>16</v>
      </c>
      <c r="AC72" s="61" t="str">
        <v/>
      </c>
      <c r="AD72" s="62" t="str">
        <v>QF6</v>
      </c>
      <c r="AE72" s="62" t="str">
        <v/>
      </c>
      <c r="AF72" s="34">
        <v>6</v>
      </c>
      <c r="AG72" s="34" t="str">
        <v>QF6</v>
      </c>
      <c r="AH72" s="34" t="str">
        <v/>
      </c>
      <c r="AI72" s="34" t="str">
        <v/>
      </c>
      <c r="AJ72" s="34" t="str">
        <v>QF6</v>
      </c>
      <c r="AK72" s="34">
        <v>1</v>
      </c>
      <c r="AL72" s="34" t="str">
        <v>K</v>
      </c>
      <c r="AM72" s="34">
        <v>0</v>
      </c>
      <c r="AN72" s="34">
        <v>0</v>
      </c>
      <c r="AO72" s="34">
        <v>10</v>
      </c>
      <c r="AP72" s="34">
        <v>16</v>
      </c>
      <c r="AQ72" s="34">
        <v>10</v>
      </c>
      <c r="AR72" s="34">
        <v>1</v>
      </c>
      <c r="AS72" s="34">
        <v>0</v>
      </c>
      <c r="AT72" s="34" t="str">
        <v>1P</v>
      </c>
      <c r="AU72" s="34">
        <v>10</v>
      </c>
      <c r="AV72" s="34" t="str">
        <v/>
      </c>
      <c r="AW72" s="34" t="str">
        <v/>
      </c>
      <c r="AX72" s="34" t="str">
        <v/>
      </c>
      <c r="AY72" s="34">
        <v>1</v>
      </c>
      <c r="AZ72" s="34" t="str">
        <v/>
      </c>
      <c r="BA72" s="34">
        <v>0</v>
      </c>
      <c r="BB72" s="34">
        <v>10</v>
      </c>
      <c r="BD72" s="34">
        <v>1</v>
      </c>
      <c r="BE72" s="34">
        <v>0</v>
      </c>
      <c r="BF72" s="34">
        <v>0</v>
      </c>
      <c r="BG72" s="34" t="str">
        <v/>
      </c>
      <c r="BH72" s="34" t="str">
        <v/>
      </c>
      <c r="BI72" s="34" t="str">
        <v/>
      </c>
      <c r="BJ72" s="34" t="str">
        <v/>
      </c>
      <c r="BK72" s="34" t="str">
        <v>BOX</v>
      </c>
      <c r="BL72" s="34">
        <v>1</v>
      </c>
      <c r="BM72" s="34" t="str">
        <v/>
      </c>
      <c r="BN72" s="34" t="str">
        <v/>
      </c>
      <c r="BO72" s="34" t="str">
        <v/>
      </c>
      <c r="BP72" s="34" t="str">
        <v/>
      </c>
      <c r="BQ72" s="34" t="str">
        <v>3х1,5</v>
      </c>
      <c r="BR72" s="34" t="str">
        <v/>
      </c>
      <c r="BS72" s="34" t="str">
        <v/>
      </c>
      <c r="BT72" s="34" t="str">
        <v/>
      </c>
      <c r="BU72" s="34">
        <v>0</v>
      </c>
      <c r="BV72" s="34">
        <v>92</v>
      </c>
      <c r="BW72" s="34">
        <v>1</v>
      </c>
      <c r="BX72" s="34">
        <v>0</v>
      </c>
      <c r="BY72" s="34">
        <v>0</v>
      </c>
      <c r="BZ72">
        <v>5</v>
      </c>
      <c r="CA72" t="str">
        <v>линии</v>
      </c>
    </row>
    <row r="73" spans="1:79" x14ac:dyDescent="0.3">
      <c r="A73" s="39" t="str">
        <v>ЩОВ-002</v>
      </c>
      <c r="B73" s="42">
        <v>25</v>
      </c>
      <c r="C73" s="42">
        <v>2</v>
      </c>
      <c r="D73" s="75" t="str">
        <v/>
      </c>
      <c r="E73" s="75" t="str">
        <v>авто</v>
      </c>
      <c r="F73" s="76" t="str">
        <v/>
      </c>
      <c r="G73" s="47" t="str">
        <v>QF7</v>
      </c>
      <c r="H73" s="47" t="str">
        <v>1P С10А</v>
      </c>
      <c r="I73" s="75" t="str">
        <v/>
      </c>
      <c r="J73" s="76" t="str">
        <v/>
      </c>
      <c r="K73" s="76" t="str">
        <v/>
      </c>
      <c r="L73" s="75" t="str">
        <v/>
      </c>
      <c r="M73" s="49" t="str">
        <v/>
      </c>
      <c r="N73" s="76" t="str">
        <v/>
      </c>
      <c r="O73" s="49" t="str">
        <v/>
      </c>
      <c r="P73" s="77" t="str">
        <v/>
      </c>
      <c r="Q73" s="53" t="str">
        <v>ВВГнг(А)-LS (3х1,5) L=27-0,16%</v>
      </c>
      <c r="R73" s="54" t="str">
        <v>K.00.001A</v>
      </c>
      <c r="S73" s="55" t="str">
        <v>Внутренний блок кондиционирования Подвальный этаж Пом. №005Т</v>
      </c>
      <c r="T73" s="56">
        <v>0.104</v>
      </c>
      <c r="U73" s="56">
        <v>0.48</v>
      </c>
      <c r="V73" s="42" t="str">
        <v>L1</v>
      </c>
      <c r="W73" s="57" t="str">
        <v>ok</v>
      </c>
      <c r="X73" s="58" t="str">
        <v/>
      </c>
      <c r="Y73" s="75" t="str">
        <v/>
      </c>
      <c r="Z73" s="59">
        <v>0.48</v>
      </c>
      <c r="AA73" s="61">
        <v>6</v>
      </c>
      <c r="AB73" s="61">
        <v>16</v>
      </c>
      <c r="AC73" s="61" t="str">
        <v/>
      </c>
      <c r="AD73" s="62" t="str">
        <v>QF7</v>
      </c>
      <c r="AE73" s="62" t="str">
        <v/>
      </c>
      <c r="AF73" s="34">
        <v>7</v>
      </c>
      <c r="AG73" s="34" t="str">
        <v>QF7</v>
      </c>
      <c r="AH73" s="34" t="str">
        <v/>
      </c>
      <c r="AI73" s="34" t="str">
        <v/>
      </c>
      <c r="AJ73" s="34" t="str">
        <v>QF7</v>
      </c>
      <c r="AK73" s="34">
        <v>1</v>
      </c>
      <c r="AL73" s="34" t="str">
        <v>K</v>
      </c>
      <c r="AM73" s="34">
        <v>0</v>
      </c>
      <c r="AN73" s="34">
        <v>0</v>
      </c>
      <c r="AO73" s="34">
        <v>10</v>
      </c>
      <c r="AP73" s="34">
        <v>16</v>
      </c>
      <c r="AQ73" s="34">
        <v>10</v>
      </c>
      <c r="AR73" s="34">
        <v>1</v>
      </c>
      <c r="AS73" s="34">
        <v>0</v>
      </c>
      <c r="AT73" s="34" t="str">
        <v>1P</v>
      </c>
      <c r="AU73" s="34">
        <v>10</v>
      </c>
      <c r="AV73" s="34" t="str">
        <v/>
      </c>
      <c r="AW73" s="34" t="str">
        <v/>
      </c>
      <c r="AX73" s="34" t="str">
        <v/>
      </c>
      <c r="AY73" s="34">
        <v>1</v>
      </c>
      <c r="AZ73" s="34" t="str">
        <v/>
      </c>
      <c r="BA73" s="34">
        <v>0</v>
      </c>
      <c r="BB73" s="34">
        <v>10</v>
      </c>
      <c r="BD73" s="34">
        <v>1</v>
      </c>
      <c r="BE73" s="34">
        <v>0</v>
      </c>
      <c r="BF73" s="34">
        <v>0</v>
      </c>
      <c r="BG73" s="34" t="str">
        <v/>
      </c>
      <c r="BH73" s="34" t="str">
        <v/>
      </c>
      <c r="BI73" s="34" t="str">
        <v/>
      </c>
      <c r="BJ73" s="34" t="str">
        <v/>
      </c>
      <c r="BK73" s="34" t="str">
        <v>BOX</v>
      </c>
      <c r="BL73" s="34">
        <v>1</v>
      </c>
      <c r="BM73" s="34" t="str">
        <v/>
      </c>
      <c r="BN73" s="34" t="str">
        <v/>
      </c>
      <c r="BO73" s="34" t="str">
        <v/>
      </c>
      <c r="BP73" s="34" t="str">
        <v/>
      </c>
      <c r="BQ73" s="34" t="str">
        <v>3х1,5</v>
      </c>
      <c r="BR73" s="34" t="str">
        <v/>
      </c>
      <c r="BS73" s="34" t="str">
        <v/>
      </c>
      <c r="BT73" s="34" t="str">
        <v/>
      </c>
      <c r="BU73" s="34">
        <v>0</v>
      </c>
      <c r="BV73" s="34">
        <v>93</v>
      </c>
      <c r="BW73" s="34">
        <v>1</v>
      </c>
      <c r="BX73" s="34">
        <v>0</v>
      </c>
      <c r="BY73" s="34">
        <v>0</v>
      </c>
      <c r="BZ73">
        <v>5</v>
      </c>
      <c r="CA73" t="str">
        <v>линии</v>
      </c>
    </row>
    <row r="74" spans="1:79" x14ac:dyDescent="0.3">
      <c r="A74" s="39" t="str">
        <v>ЩОВ-002</v>
      </c>
      <c r="B74" s="42">
        <v>26</v>
      </c>
      <c r="C74" s="42">
        <v>2</v>
      </c>
      <c r="D74" s="75" t="str">
        <v/>
      </c>
      <c r="E74" s="75" t="str">
        <v>авто</v>
      </c>
      <c r="F74" s="76" t="str">
        <v/>
      </c>
      <c r="G74" s="47" t="str">
        <v>QF8</v>
      </c>
      <c r="H74" s="47" t="str">
        <v>1P С10А</v>
      </c>
      <c r="I74" s="75" t="str">
        <v/>
      </c>
      <c r="J74" s="76" t="str">
        <v/>
      </c>
      <c r="K74" s="76" t="str">
        <v/>
      </c>
      <c r="L74" s="75" t="str">
        <v/>
      </c>
      <c r="M74" s="49" t="str">
        <v/>
      </c>
      <c r="N74" s="76" t="str">
        <v/>
      </c>
      <c r="O74" s="49" t="str">
        <v/>
      </c>
      <c r="P74" s="77" t="str">
        <v/>
      </c>
      <c r="Q74" s="53" t="str">
        <v>ВВГнг(А)-LS (3х1,5) L=32-0,19%</v>
      </c>
      <c r="R74" s="54" t="str">
        <v>K.00.004A</v>
      </c>
      <c r="S74" s="55" t="str">
        <v>Внутренний блок кондиционирования Подвальный этаж Пом. №002Б</v>
      </c>
      <c r="T74" s="56">
        <v>0.104</v>
      </c>
      <c r="U74" s="56">
        <v>0.48</v>
      </c>
      <c r="V74" s="42" t="str">
        <v>L1</v>
      </c>
      <c r="W74" s="57" t="str">
        <v>ok</v>
      </c>
      <c r="X74" s="58" t="str">
        <v/>
      </c>
      <c r="Y74" s="75" t="str">
        <v/>
      </c>
      <c r="Z74" s="59">
        <v>0.48</v>
      </c>
      <c r="AA74" s="61">
        <v>6</v>
      </c>
      <c r="AB74" s="61">
        <v>16</v>
      </c>
      <c r="AC74" s="61" t="str">
        <v/>
      </c>
      <c r="AD74" s="62" t="str">
        <v>QF8</v>
      </c>
      <c r="AE74" s="62" t="str">
        <v/>
      </c>
      <c r="AF74" s="34">
        <v>8</v>
      </c>
      <c r="AG74" s="34" t="str">
        <v>QF8</v>
      </c>
      <c r="AH74" s="34" t="str">
        <v/>
      </c>
      <c r="AI74" s="34" t="str">
        <v/>
      </c>
      <c r="AJ74" s="34" t="str">
        <v>QF8</v>
      </c>
      <c r="AK74" s="34">
        <v>1</v>
      </c>
      <c r="AL74" s="34" t="str">
        <v>K</v>
      </c>
      <c r="AM74" s="34">
        <v>0</v>
      </c>
      <c r="AN74" s="34">
        <v>0</v>
      </c>
      <c r="AO74" s="34">
        <v>10</v>
      </c>
      <c r="AP74" s="34">
        <v>16</v>
      </c>
      <c r="AQ74" s="34">
        <v>10</v>
      </c>
      <c r="AR74" s="34">
        <v>1</v>
      </c>
      <c r="AS74" s="34">
        <v>0</v>
      </c>
      <c r="AT74" s="34" t="str">
        <v>1P</v>
      </c>
      <c r="AU74" s="34">
        <v>10</v>
      </c>
      <c r="AV74" s="34" t="str">
        <v/>
      </c>
      <c r="AW74" s="34" t="str">
        <v/>
      </c>
      <c r="AX74" s="34" t="str">
        <v/>
      </c>
      <c r="AY74" s="34">
        <v>1</v>
      </c>
      <c r="AZ74" s="34" t="str">
        <v/>
      </c>
      <c r="BA74" s="34">
        <v>0</v>
      </c>
      <c r="BB74" s="34">
        <v>10</v>
      </c>
      <c r="BD74" s="34">
        <v>1</v>
      </c>
      <c r="BE74" s="34">
        <v>0</v>
      </c>
      <c r="BF74" s="34">
        <v>0</v>
      </c>
      <c r="BG74" s="34" t="str">
        <v/>
      </c>
      <c r="BH74" s="34" t="str">
        <v/>
      </c>
      <c r="BI74" s="34" t="str">
        <v/>
      </c>
      <c r="BJ74" s="34" t="str">
        <v/>
      </c>
      <c r="BK74" s="34" t="str">
        <v>BOX</v>
      </c>
      <c r="BL74" s="34">
        <v>1</v>
      </c>
      <c r="BM74" s="34" t="str">
        <v/>
      </c>
      <c r="BN74" s="34" t="str">
        <v/>
      </c>
      <c r="BO74" s="34" t="str">
        <v/>
      </c>
      <c r="BP74" s="34" t="str">
        <v/>
      </c>
      <c r="BQ74" s="34" t="str">
        <v>3х1,5</v>
      </c>
      <c r="BR74" s="34" t="str">
        <v/>
      </c>
      <c r="BS74" s="34" t="str">
        <v/>
      </c>
      <c r="BT74" s="34" t="str">
        <v/>
      </c>
      <c r="BU74" s="34">
        <v>0</v>
      </c>
      <c r="BV74" s="34">
        <v>94</v>
      </c>
      <c r="BW74" s="34">
        <v>1</v>
      </c>
      <c r="BX74" s="34">
        <v>0</v>
      </c>
      <c r="BY74" s="34">
        <v>0</v>
      </c>
      <c r="BZ74">
        <v>5</v>
      </c>
      <c r="CA74" t="str">
        <v>линии</v>
      </c>
    </row>
    <row r="75" spans="1:79" x14ac:dyDescent="0.3">
      <c r="A75" s="39" t="str">
        <v>ЩОВ-002</v>
      </c>
      <c r="B75" s="42">
        <v>27</v>
      </c>
      <c r="C75" s="42">
        <v>2</v>
      </c>
      <c r="D75" s="75" t="str">
        <v/>
      </c>
      <c r="E75" s="75" t="str">
        <v>авто</v>
      </c>
      <c r="F75" s="76" t="str">
        <v/>
      </c>
      <c r="G75" s="47" t="str">
        <v>QF9</v>
      </c>
      <c r="H75" s="47" t="str">
        <v>1P С10А</v>
      </c>
      <c r="I75" s="75" t="str">
        <v/>
      </c>
      <c r="J75" s="76" t="str">
        <v/>
      </c>
      <c r="K75" s="76" t="str">
        <v/>
      </c>
      <c r="L75" s="75" t="str">
        <v/>
      </c>
      <c r="M75" s="49" t="str">
        <v/>
      </c>
      <c r="N75" s="76" t="str">
        <v/>
      </c>
      <c r="O75" s="49" t="str">
        <v/>
      </c>
      <c r="P75" s="77" t="str">
        <v/>
      </c>
      <c r="Q75" s="53" t="str">
        <v>ВВГнг(А)-LS (3х1,5) L=16-0,1%</v>
      </c>
      <c r="R75" s="54" t="str">
        <v>K.00.004T.1</v>
      </c>
      <c r="S75" s="55" t="str">
        <v>Внутренний блок кондиционирования Подвальный этаж Пом. №004Т</v>
      </c>
      <c r="T75" s="56">
        <v>0.104</v>
      </c>
      <c r="U75" s="56">
        <v>0.48</v>
      </c>
      <c r="V75" s="42" t="str">
        <v>L1</v>
      </c>
      <c r="W75" s="57" t="str">
        <v>ok</v>
      </c>
      <c r="X75" s="58" t="str">
        <v/>
      </c>
      <c r="Y75" s="75" t="str">
        <v/>
      </c>
      <c r="Z75" s="59">
        <v>0.48</v>
      </c>
      <c r="AA75" s="61">
        <v>6</v>
      </c>
      <c r="AB75" s="61">
        <v>16</v>
      </c>
      <c r="AC75" s="61" t="str">
        <v/>
      </c>
      <c r="AD75" s="62" t="str">
        <v>QF9</v>
      </c>
      <c r="AE75" s="62" t="str">
        <v/>
      </c>
      <c r="AF75" s="34">
        <v>9</v>
      </c>
      <c r="AG75" s="34" t="str">
        <v>QF9</v>
      </c>
      <c r="AH75" s="34" t="str">
        <v/>
      </c>
      <c r="AI75" s="34" t="str">
        <v/>
      </c>
      <c r="AJ75" s="34" t="str">
        <v>QF9</v>
      </c>
      <c r="AK75" s="34">
        <v>1</v>
      </c>
      <c r="AL75" s="34" t="str">
        <v>K</v>
      </c>
      <c r="AM75" s="34">
        <v>0</v>
      </c>
      <c r="AN75" s="34">
        <v>0</v>
      </c>
      <c r="AO75" s="34">
        <v>10</v>
      </c>
      <c r="AP75" s="34">
        <v>16</v>
      </c>
      <c r="AQ75" s="34">
        <v>10</v>
      </c>
      <c r="AR75" s="34">
        <v>1</v>
      </c>
      <c r="AS75" s="34">
        <v>0</v>
      </c>
      <c r="AT75" s="34" t="str">
        <v>1P</v>
      </c>
      <c r="AU75" s="34">
        <v>10</v>
      </c>
      <c r="AV75" s="34" t="str">
        <v/>
      </c>
      <c r="AW75" s="34" t="str">
        <v/>
      </c>
      <c r="AX75" s="34" t="str">
        <v/>
      </c>
      <c r="AY75" s="34">
        <v>1</v>
      </c>
      <c r="AZ75" s="34" t="str">
        <v/>
      </c>
      <c r="BA75" s="34">
        <v>0</v>
      </c>
      <c r="BB75" s="34">
        <v>10</v>
      </c>
      <c r="BD75" s="34">
        <v>1</v>
      </c>
      <c r="BE75" s="34">
        <v>0</v>
      </c>
      <c r="BF75" s="34">
        <v>0</v>
      </c>
      <c r="BG75" s="34" t="str">
        <v/>
      </c>
      <c r="BH75" s="34" t="str">
        <v/>
      </c>
      <c r="BI75" s="34" t="str">
        <v/>
      </c>
      <c r="BJ75" s="34" t="str">
        <v/>
      </c>
      <c r="BK75" s="34" t="str">
        <v>BOX</v>
      </c>
      <c r="BL75" s="34">
        <v>1</v>
      </c>
      <c r="BM75" s="34" t="str">
        <v/>
      </c>
      <c r="BN75" s="34" t="str">
        <v/>
      </c>
      <c r="BO75" s="34" t="str">
        <v/>
      </c>
      <c r="BP75" s="34" t="str">
        <v/>
      </c>
      <c r="BQ75" s="34" t="str">
        <v>3х1,5</v>
      </c>
      <c r="BR75" s="34" t="str">
        <v/>
      </c>
      <c r="BS75" s="34" t="str">
        <v/>
      </c>
      <c r="BT75" s="34" t="str">
        <v/>
      </c>
      <c r="BU75" s="34">
        <v>0</v>
      </c>
      <c r="BV75" s="34">
        <v>95</v>
      </c>
      <c r="BW75" s="34">
        <v>1</v>
      </c>
      <c r="BX75" s="34">
        <v>0</v>
      </c>
      <c r="BY75" s="34">
        <v>0</v>
      </c>
      <c r="BZ75">
        <v>5</v>
      </c>
      <c r="CA75" t="str">
        <v>линии</v>
      </c>
    </row>
    <row r="76" spans="1:79" x14ac:dyDescent="0.3">
      <c r="A76" s="39" t="str">
        <v>ЩОВ-002</v>
      </c>
      <c r="B76" s="42">
        <v>28</v>
      </c>
      <c r="C76" s="42">
        <v>2</v>
      </c>
      <c r="D76" s="75" t="str">
        <v/>
      </c>
      <c r="E76" s="75" t="str">
        <v>авто</v>
      </c>
      <c r="F76" s="76" t="str">
        <v/>
      </c>
      <c r="G76" s="47" t="str">
        <v>QF10</v>
      </c>
      <c r="H76" s="47" t="str">
        <v>1P С10А</v>
      </c>
      <c r="I76" s="75" t="str">
        <v/>
      </c>
      <c r="J76" s="76" t="str">
        <v/>
      </c>
      <c r="K76" s="76" t="str">
        <v/>
      </c>
      <c r="L76" s="75" t="str">
        <v/>
      </c>
      <c r="M76" s="49" t="str">
        <v/>
      </c>
      <c r="N76" s="76" t="str">
        <v/>
      </c>
      <c r="O76" s="49" t="str">
        <v/>
      </c>
      <c r="P76" s="77" t="str">
        <v/>
      </c>
      <c r="Q76" s="53" t="str">
        <v>ВВГнг(А)-LS (3х1,5) L=18-0,11%</v>
      </c>
      <c r="R76" s="54" t="str">
        <v>K.00.004T.2</v>
      </c>
      <c r="S76" s="55" t="str">
        <v>Внутренний блок кондиционирования Подвальный этаж Пом. №004Т</v>
      </c>
      <c r="T76" s="56">
        <v>0.104</v>
      </c>
      <c r="U76" s="56">
        <v>0.48</v>
      </c>
      <c r="V76" s="42" t="str">
        <v>L1</v>
      </c>
      <c r="W76" s="57" t="str">
        <v>ok</v>
      </c>
      <c r="X76" s="58" t="str">
        <v/>
      </c>
      <c r="Y76" s="75" t="str">
        <v/>
      </c>
      <c r="Z76" s="59">
        <v>0.48</v>
      </c>
      <c r="AA76" s="61">
        <v>6</v>
      </c>
      <c r="AB76" s="61">
        <v>16</v>
      </c>
      <c r="AC76" s="61" t="str">
        <v/>
      </c>
      <c r="AD76" s="62" t="str">
        <v>QF10</v>
      </c>
      <c r="AE76" s="62" t="str">
        <v/>
      </c>
      <c r="AF76" s="34">
        <v>10</v>
      </c>
      <c r="AG76" s="34" t="str">
        <v>QF10</v>
      </c>
      <c r="AH76" s="34" t="str">
        <v/>
      </c>
      <c r="AI76" s="34" t="str">
        <v/>
      </c>
      <c r="AJ76" s="34" t="str">
        <v>QF10</v>
      </c>
      <c r="AK76" s="34">
        <v>1</v>
      </c>
      <c r="AL76" s="34" t="str">
        <v>K</v>
      </c>
      <c r="AM76" s="34">
        <v>0</v>
      </c>
      <c r="AN76" s="34">
        <v>0</v>
      </c>
      <c r="AO76" s="34">
        <v>10</v>
      </c>
      <c r="AP76" s="34">
        <v>16</v>
      </c>
      <c r="AQ76" s="34">
        <v>10</v>
      </c>
      <c r="AR76" s="34">
        <v>1</v>
      </c>
      <c r="AS76" s="34">
        <v>0</v>
      </c>
      <c r="AT76" s="34" t="str">
        <v>1P</v>
      </c>
      <c r="AU76" s="34">
        <v>10</v>
      </c>
      <c r="AV76" s="34" t="str">
        <v/>
      </c>
      <c r="AW76" s="34" t="str">
        <v/>
      </c>
      <c r="AX76" s="34" t="str">
        <v/>
      </c>
      <c r="AY76" s="34">
        <v>1</v>
      </c>
      <c r="AZ76" s="34" t="str">
        <v/>
      </c>
      <c r="BA76" s="34">
        <v>0</v>
      </c>
      <c r="BB76" s="34">
        <v>10</v>
      </c>
      <c r="BD76" s="34">
        <v>1</v>
      </c>
      <c r="BE76" s="34">
        <v>0</v>
      </c>
      <c r="BF76" s="34">
        <v>0</v>
      </c>
      <c r="BG76" s="34" t="str">
        <v/>
      </c>
      <c r="BH76" s="34" t="str">
        <v/>
      </c>
      <c r="BI76" s="34" t="str">
        <v/>
      </c>
      <c r="BJ76" s="34" t="str">
        <v/>
      </c>
      <c r="BK76" s="34" t="str">
        <v>BOX</v>
      </c>
      <c r="BL76" s="34">
        <v>1</v>
      </c>
      <c r="BM76" s="34" t="str">
        <v/>
      </c>
      <c r="BN76" s="34" t="str">
        <v/>
      </c>
      <c r="BO76" s="34" t="str">
        <v/>
      </c>
      <c r="BP76" s="34" t="str">
        <v/>
      </c>
      <c r="BQ76" s="34" t="str">
        <v>3х1,5</v>
      </c>
      <c r="BR76" s="34" t="str">
        <v/>
      </c>
      <c r="BS76" s="34" t="str">
        <v/>
      </c>
      <c r="BT76" s="34" t="str">
        <v/>
      </c>
      <c r="BU76" s="34">
        <v>0</v>
      </c>
      <c r="BV76" s="34">
        <v>96</v>
      </c>
      <c r="BW76" s="34">
        <v>1</v>
      </c>
      <c r="BX76" s="34">
        <v>0</v>
      </c>
      <c r="BY76" s="34">
        <v>0</v>
      </c>
      <c r="BZ76">
        <v>5</v>
      </c>
      <c r="CA76" t="str">
        <v>линии</v>
      </c>
    </row>
    <row r="77" spans="1:79" x14ac:dyDescent="0.3">
      <c r="A77" s="39" t="str">
        <v>ЩОВ-002</v>
      </c>
      <c r="B77" s="42">
        <v>29</v>
      </c>
      <c r="C77" s="42">
        <v>2</v>
      </c>
      <c r="D77" s="75" t="str">
        <v/>
      </c>
      <c r="E77" s="75" t="str">
        <v>авто</v>
      </c>
      <c r="F77" s="76" t="str">
        <v/>
      </c>
      <c r="G77" s="47" t="str">
        <v>QF11</v>
      </c>
      <c r="H77" s="47" t="str">
        <v>1P С10А</v>
      </c>
      <c r="I77" s="75" t="str">
        <v/>
      </c>
      <c r="J77" s="76" t="str">
        <v/>
      </c>
      <c r="K77" s="76" t="str">
        <v/>
      </c>
      <c r="L77" s="75" t="str">
        <v/>
      </c>
      <c r="M77" s="49" t="str">
        <v/>
      </c>
      <c r="N77" s="76" t="str">
        <v/>
      </c>
      <c r="O77" s="49" t="str">
        <v/>
      </c>
      <c r="P77" s="77" t="str">
        <v/>
      </c>
      <c r="Q77" s="53" t="str">
        <v>ВВГнг(А)-LS (3х1,5) L=33-0,2%</v>
      </c>
      <c r="R77" s="54" t="str">
        <v>K.00.007A</v>
      </c>
      <c r="S77" s="55" t="str">
        <v>Внутренний блок кондиционирования Подвальный этаж Пом. №002Б</v>
      </c>
      <c r="T77" s="56">
        <v>0.104</v>
      </c>
      <c r="U77" s="56">
        <v>0.48</v>
      </c>
      <c r="V77" s="42" t="str">
        <v>L1</v>
      </c>
      <c r="W77" s="57" t="str">
        <v>ok</v>
      </c>
      <c r="X77" s="58" t="str">
        <v/>
      </c>
      <c r="Y77" s="75" t="str">
        <v/>
      </c>
      <c r="Z77" s="59">
        <v>0.48</v>
      </c>
      <c r="AA77" s="61">
        <v>6</v>
      </c>
      <c r="AB77" s="61">
        <v>16</v>
      </c>
      <c r="AC77" s="61" t="str">
        <v/>
      </c>
      <c r="AD77" s="62" t="str">
        <v>QF11</v>
      </c>
      <c r="AE77" s="62" t="str">
        <v/>
      </c>
      <c r="AF77" s="34">
        <v>11</v>
      </c>
      <c r="AG77" s="34" t="str">
        <v>QF11</v>
      </c>
      <c r="AH77" s="34" t="str">
        <v/>
      </c>
      <c r="AI77" s="34" t="str">
        <v/>
      </c>
      <c r="AJ77" s="34" t="str">
        <v>QF11</v>
      </c>
      <c r="AK77" s="34">
        <v>1</v>
      </c>
      <c r="AL77" s="34" t="str">
        <v>K</v>
      </c>
      <c r="AM77" s="34">
        <v>0</v>
      </c>
      <c r="AN77" s="34">
        <v>0</v>
      </c>
      <c r="AO77" s="34">
        <v>10</v>
      </c>
      <c r="AP77" s="34">
        <v>16</v>
      </c>
      <c r="AQ77" s="34">
        <v>10</v>
      </c>
      <c r="AR77" s="34">
        <v>1</v>
      </c>
      <c r="AS77" s="34">
        <v>0</v>
      </c>
      <c r="AT77" s="34" t="str">
        <v>1P</v>
      </c>
      <c r="AU77" s="34">
        <v>10</v>
      </c>
      <c r="AV77" s="34" t="str">
        <v/>
      </c>
      <c r="AW77" s="34" t="str">
        <v/>
      </c>
      <c r="AX77" s="34" t="str">
        <v/>
      </c>
      <c r="AY77" s="34">
        <v>1</v>
      </c>
      <c r="AZ77" s="34" t="str">
        <v/>
      </c>
      <c r="BA77" s="34">
        <v>0</v>
      </c>
      <c r="BB77" s="34">
        <v>10</v>
      </c>
      <c r="BD77" s="34">
        <v>1</v>
      </c>
      <c r="BE77" s="34">
        <v>0</v>
      </c>
      <c r="BF77" s="34">
        <v>0</v>
      </c>
      <c r="BG77" s="34" t="str">
        <v/>
      </c>
      <c r="BH77" s="34" t="str">
        <v/>
      </c>
      <c r="BI77" s="34" t="str">
        <v/>
      </c>
      <c r="BJ77" s="34" t="str">
        <v/>
      </c>
      <c r="BK77" s="34" t="str">
        <v>BOX</v>
      </c>
      <c r="BL77" s="34">
        <v>1</v>
      </c>
      <c r="BM77" s="34" t="str">
        <v/>
      </c>
      <c r="BN77" s="34" t="str">
        <v/>
      </c>
      <c r="BO77" s="34" t="str">
        <v/>
      </c>
      <c r="BP77" s="34" t="str">
        <v/>
      </c>
      <c r="BQ77" s="34" t="str">
        <v>3х1,5</v>
      </c>
      <c r="BR77" s="34" t="str">
        <v/>
      </c>
      <c r="BS77" s="34" t="str">
        <v/>
      </c>
      <c r="BT77" s="34" t="str">
        <v/>
      </c>
      <c r="BU77" s="34">
        <v>0</v>
      </c>
      <c r="BV77" s="34">
        <v>97</v>
      </c>
      <c r="BW77" s="34">
        <v>1</v>
      </c>
      <c r="BX77" s="34">
        <v>0</v>
      </c>
      <c r="BY77" s="34">
        <v>0</v>
      </c>
      <c r="BZ77">
        <v>5</v>
      </c>
      <c r="CA77" t="str">
        <v>линии</v>
      </c>
    </row>
    <row r="78" spans="1:79" x14ac:dyDescent="0.3">
      <c r="A78" s="39" t="str">
        <v>ЩОВ-002</v>
      </c>
      <c r="B78" s="42">
        <v>30</v>
      </c>
      <c r="C78" s="42">
        <v>2</v>
      </c>
      <c r="D78" s="75" t="str">
        <v/>
      </c>
      <c r="E78" s="75" t="str">
        <v>авто</v>
      </c>
      <c r="F78" s="76" t="str">
        <v/>
      </c>
      <c r="G78" s="47" t="str">
        <v>QF12</v>
      </c>
      <c r="H78" s="47" t="str">
        <v>1P С10А</v>
      </c>
      <c r="I78" s="75" t="str">
        <v/>
      </c>
      <c r="J78" s="76" t="str">
        <v/>
      </c>
      <c r="K78" s="76" t="str">
        <v/>
      </c>
      <c r="L78" s="75" t="str">
        <v/>
      </c>
      <c r="M78" s="49" t="str">
        <v/>
      </c>
      <c r="N78" s="76" t="str">
        <v/>
      </c>
      <c r="O78" s="49" t="str">
        <v/>
      </c>
      <c r="P78" s="77" t="str">
        <v/>
      </c>
      <c r="Q78" s="53" t="str">
        <v>ВВГнг(А)-LS (3х1,5) L=28-0,17%</v>
      </c>
      <c r="R78" s="54" t="str">
        <v>K.00.007T.1</v>
      </c>
      <c r="S78" s="55" t="str">
        <v>Внутренний блок кондиционирования Подвальный этаж Пом. №007Т</v>
      </c>
      <c r="T78" s="56">
        <v>0.104</v>
      </c>
      <c r="U78" s="56">
        <v>0.48</v>
      </c>
      <c r="V78" s="42" t="str">
        <v>L1</v>
      </c>
      <c r="W78" s="57" t="str">
        <v>ok</v>
      </c>
      <c r="X78" s="58" t="str">
        <v/>
      </c>
      <c r="Y78" s="75" t="str">
        <v/>
      </c>
      <c r="Z78" s="59">
        <v>0.48</v>
      </c>
      <c r="AA78" s="61">
        <v>6</v>
      </c>
      <c r="AB78" s="61">
        <v>16</v>
      </c>
      <c r="AC78" s="61" t="str">
        <v/>
      </c>
      <c r="AD78" s="62" t="str">
        <v>QF12</v>
      </c>
      <c r="AE78" s="62" t="str">
        <v/>
      </c>
      <c r="AF78" s="34">
        <v>12</v>
      </c>
      <c r="AG78" s="34" t="str">
        <v>QF12</v>
      </c>
      <c r="AH78" s="34" t="str">
        <v/>
      </c>
      <c r="AI78" s="34" t="str">
        <v/>
      </c>
      <c r="AJ78" s="34" t="str">
        <v>QF12</v>
      </c>
      <c r="AK78" s="34">
        <v>1</v>
      </c>
      <c r="AL78" s="34" t="str">
        <v>K</v>
      </c>
      <c r="AM78" s="34">
        <v>0</v>
      </c>
      <c r="AN78" s="34">
        <v>0</v>
      </c>
      <c r="AO78" s="34">
        <v>10</v>
      </c>
      <c r="AP78" s="34">
        <v>16</v>
      </c>
      <c r="AQ78" s="34">
        <v>10</v>
      </c>
      <c r="AR78" s="34">
        <v>1</v>
      </c>
      <c r="AS78" s="34">
        <v>0</v>
      </c>
      <c r="AT78" s="34" t="str">
        <v>1P</v>
      </c>
      <c r="AU78" s="34">
        <v>10</v>
      </c>
      <c r="AV78" s="34" t="str">
        <v/>
      </c>
      <c r="AW78" s="34" t="str">
        <v/>
      </c>
      <c r="AX78" s="34" t="str">
        <v/>
      </c>
      <c r="AY78" s="34">
        <v>1</v>
      </c>
      <c r="AZ78" s="34" t="str">
        <v/>
      </c>
      <c r="BA78" s="34">
        <v>0</v>
      </c>
      <c r="BB78" s="34">
        <v>10</v>
      </c>
      <c r="BD78" s="34">
        <v>1</v>
      </c>
      <c r="BE78" s="34">
        <v>0</v>
      </c>
      <c r="BF78" s="34">
        <v>0</v>
      </c>
      <c r="BG78" s="34" t="str">
        <v/>
      </c>
      <c r="BH78" s="34" t="str">
        <v/>
      </c>
      <c r="BI78" s="34" t="str">
        <v/>
      </c>
      <c r="BJ78" s="34" t="str">
        <v/>
      </c>
      <c r="BK78" s="34" t="str">
        <v>BOX</v>
      </c>
      <c r="BL78" s="34">
        <v>1</v>
      </c>
      <c r="BM78" s="34" t="str">
        <v/>
      </c>
      <c r="BN78" s="34" t="str">
        <v/>
      </c>
      <c r="BO78" s="34" t="str">
        <v/>
      </c>
      <c r="BP78" s="34" t="str">
        <v/>
      </c>
      <c r="BQ78" s="34" t="str">
        <v>3х1,5</v>
      </c>
      <c r="BR78" s="34" t="str">
        <v/>
      </c>
      <c r="BS78" s="34" t="str">
        <v/>
      </c>
      <c r="BT78" s="34" t="str">
        <v/>
      </c>
      <c r="BU78" s="34">
        <v>0</v>
      </c>
      <c r="BV78" s="34">
        <v>98</v>
      </c>
      <c r="BW78" s="34">
        <v>1</v>
      </c>
      <c r="BX78" s="34">
        <v>0</v>
      </c>
      <c r="BY78" s="34">
        <v>0</v>
      </c>
      <c r="BZ78">
        <v>5</v>
      </c>
      <c r="CA78" t="str">
        <v>линии</v>
      </c>
    </row>
    <row r="79" spans="1:79" x14ac:dyDescent="0.3">
      <c r="A79" s="39" t="str">
        <v>ЩОВ-002</v>
      </c>
      <c r="B79" s="42">
        <v>31</v>
      </c>
      <c r="C79" s="42">
        <v>2</v>
      </c>
      <c r="D79" s="75" t="str">
        <v/>
      </c>
      <c r="E79" s="75" t="str">
        <v>авто</v>
      </c>
      <c r="F79" s="76" t="str">
        <v/>
      </c>
      <c r="G79" s="47" t="str">
        <v>QF13</v>
      </c>
      <c r="H79" s="47" t="str">
        <v>1P С10А</v>
      </c>
      <c r="I79" s="75" t="str">
        <v/>
      </c>
      <c r="J79" s="76" t="str">
        <v/>
      </c>
      <c r="K79" s="76" t="str">
        <v/>
      </c>
      <c r="L79" s="75" t="str">
        <v/>
      </c>
      <c r="M79" s="49" t="str">
        <v/>
      </c>
      <c r="N79" s="76" t="str">
        <v/>
      </c>
      <c r="O79" s="49" t="str">
        <v/>
      </c>
      <c r="P79" s="77" t="str">
        <v/>
      </c>
      <c r="Q79" s="53" t="str">
        <v>ВВГнг(А)-LS (3х1,5) L=27-0,16%</v>
      </c>
      <c r="R79" s="54" t="str">
        <v>K.00.007T.2</v>
      </c>
      <c r="S79" s="55" t="str">
        <v>Внутренний блок кондиционирования Подвальный этаж Пом. №007Т</v>
      </c>
      <c r="T79" s="56">
        <v>0.104</v>
      </c>
      <c r="U79" s="56">
        <v>0.48</v>
      </c>
      <c r="V79" s="42" t="str">
        <v>L1</v>
      </c>
      <c r="W79" s="57" t="str">
        <v>ok</v>
      </c>
      <c r="X79" s="58" t="str">
        <v/>
      </c>
      <c r="Y79" s="75" t="str">
        <v/>
      </c>
      <c r="Z79" s="59">
        <v>0.48</v>
      </c>
      <c r="AA79" s="61">
        <v>6</v>
      </c>
      <c r="AB79" s="61">
        <v>16</v>
      </c>
      <c r="AC79" s="61" t="str">
        <v/>
      </c>
      <c r="AD79" s="62" t="str">
        <v>QF13</v>
      </c>
      <c r="AE79" s="62" t="str">
        <v/>
      </c>
      <c r="AF79" s="34">
        <v>13</v>
      </c>
      <c r="AG79" s="34" t="str">
        <v>QF13</v>
      </c>
      <c r="AH79" s="34" t="str">
        <v/>
      </c>
      <c r="AI79" s="34" t="str">
        <v/>
      </c>
      <c r="AJ79" s="34" t="str">
        <v>QF13</v>
      </c>
      <c r="AK79" s="34">
        <v>1</v>
      </c>
      <c r="AL79" s="34" t="str">
        <v>K</v>
      </c>
      <c r="AM79" s="34">
        <v>0</v>
      </c>
      <c r="AN79" s="34">
        <v>0</v>
      </c>
      <c r="AO79" s="34">
        <v>10</v>
      </c>
      <c r="AP79" s="34">
        <v>16</v>
      </c>
      <c r="AQ79" s="34">
        <v>10</v>
      </c>
      <c r="AR79" s="34">
        <v>1</v>
      </c>
      <c r="AS79" s="34">
        <v>0</v>
      </c>
      <c r="AT79" s="34" t="str">
        <v>1P</v>
      </c>
      <c r="AU79" s="34">
        <v>10</v>
      </c>
      <c r="AV79" s="34" t="str">
        <v/>
      </c>
      <c r="AW79" s="34" t="str">
        <v/>
      </c>
      <c r="AX79" s="34" t="str">
        <v/>
      </c>
      <c r="AY79" s="34">
        <v>1</v>
      </c>
      <c r="AZ79" s="34" t="str">
        <v/>
      </c>
      <c r="BA79" s="34">
        <v>0</v>
      </c>
      <c r="BB79" s="34">
        <v>10</v>
      </c>
      <c r="BD79" s="34">
        <v>1</v>
      </c>
      <c r="BE79" s="34">
        <v>0</v>
      </c>
      <c r="BF79" s="34">
        <v>0</v>
      </c>
      <c r="BG79" s="34" t="str">
        <v/>
      </c>
      <c r="BH79" s="34" t="str">
        <v/>
      </c>
      <c r="BI79" s="34" t="str">
        <v/>
      </c>
      <c r="BJ79" s="34" t="str">
        <v/>
      </c>
      <c r="BK79" s="34" t="str">
        <v>BOX</v>
      </c>
      <c r="BL79" s="34">
        <v>1</v>
      </c>
      <c r="BM79" s="34" t="str">
        <v/>
      </c>
      <c r="BN79" s="34" t="str">
        <v/>
      </c>
      <c r="BO79" s="34" t="str">
        <v/>
      </c>
      <c r="BP79" s="34" t="str">
        <v/>
      </c>
      <c r="BQ79" s="34" t="str">
        <v>3х1,5</v>
      </c>
      <c r="BR79" s="34" t="str">
        <v/>
      </c>
      <c r="BS79" s="34" t="str">
        <v/>
      </c>
      <c r="BT79" s="34" t="str">
        <v/>
      </c>
      <c r="BU79" s="34">
        <v>0</v>
      </c>
      <c r="BV79" s="34">
        <v>99</v>
      </c>
      <c r="BW79" s="34">
        <v>1</v>
      </c>
      <c r="BX79" s="34">
        <v>0</v>
      </c>
      <c r="BY79" s="34">
        <v>0</v>
      </c>
      <c r="BZ79">
        <v>5</v>
      </c>
      <c r="CA79" t="str">
        <v>линии</v>
      </c>
    </row>
    <row r="80" spans="1:79" x14ac:dyDescent="0.3">
      <c r="A80" s="39" t="str">
        <v>ЩОВ-01</v>
      </c>
      <c r="B80" s="42">
        <v>2</v>
      </c>
      <c r="C80" s="42">
        <v>1</v>
      </c>
      <c r="D80" s="75" t="str">
        <v/>
      </c>
      <c r="E80" s="75" t="str">
        <v/>
      </c>
      <c r="F80" s="76" t="str">
        <v/>
      </c>
      <c r="G80" s="47" t="str">
        <v/>
      </c>
      <c r="H80" s="47" t="str">
        <v/>
      </c>
      <c r="I80" s="75" t="str">
        <v/>
      </c>
      <c r="J80" s="76" t="str">
        <v/>
      </c>
      <c r="K80" s="76" t="str">
        <v/>
      </c>
      <c r="L80" s="75" t="str">
        <v/>
      </c>
      <c r="M80" s="49" t="str">
        <v/>
      </c>
      <c r="N80" s="76" t="str">
        <v/>
      </c>
      <c r="O80" s="49" t="str">
        <v/>
      </c>
      <c r="P80" s="77" t="str">
        <v>XT1</v>
      </c>
      <c r="Q80" s="53" t="str">
        <v>ВВГнг(А)-LS (5х6) L=14-0%</v>
      </c>
      <c r="R80" s="54" t="str">
        <v>Ввод.1</v>
      </c>
      <c r="S80" s="55" t="str">
        <v>Ввод</v>
      </c>
      <c r="T80" s="56">
        <v>0</v>
      </c>
      <c r="U80" s="56">
        <v>0</v>
      </c>
      <c r="V80" s="42" t="str">
        <v>L1,L2,L3</v>
      </c>
      <c r="W80" s="57" t="str">
        <v/>
      </c>
      <c r="X80" s="58" t="str">
        <v/>
      </c>
      <c r="Y80" s="75" t="str">
        <v>вручную</v>
      </c>
      <c r="Z80" s="59" t="str">
        <v/>
      </c>
      <c r="AA80" s="61" t="str">
        <v/>
      </c>
      <c r="AB80" s="61">
        <v>32</v>
      </c>
      <c r="AC80" s="61" t="str">
        <v/>
      </c>
      <c r="AD80" s="62" t="str">
        <v>XT1</v>
      </c>
      <c r="AE80" s="62" t="str">
        <v/>
      </c>
      <c r="AF80" s="34" t="str">
        <v/>
      </c>
      <c r="AG80" s="34" t="str">
        <v/>
      </c>
      <c r="AH80" s="34" t="str">
        <v/>
      </c>
      <c r="AI80" s="34" t="str">
        <v/>
      </c>
      <c r="AJ80" s="34" t="str">
        <v/>
      </c>
      <c r="AK80" s="34">
        <v>3</v>
      </c>
      <c r="AL80" s="34" t="str">
        <v>Ввод</v>
      </c>
      <c r="AM80" s="34">
        <v>0</v>
      </c>
      <c r="AN80" s="34">
        <v>0</v>
      </c>
      <c r="AO80" s="34" t="str">
        <v/>
      </c>
      <c r="AP80" s="34" t="str">
        <v/>
      </c>
      <c r="AQ80" s="34" t="str">
        <v/>
      </c>
      <c r="AR80" s="34" t="str">
        <v/>
      </c>
      <c r="AS80" s="34" t="str">
        <v/>
      </c>
      <c r="AT80" s="34" t="str">
        <v/>
      </c>
      <c r="AU80" s="34" t="str">
        <v/>
      </c>
      <c r="AV80" s="34" t="str">
        <v/>
      </c>
      <c r="AW80" s="34" t="str">
        <v/>
      </c>
      <c r="AX80" s="34" t="str">
        <v/>
      </c>
      <c r="AY80" s="34">
        <v>1</v>
      </c>
      <c r="AZ80" s="34" t="str">
        <v/>
      </c>
      <c r="BA80" s="34">
        <v>0</v>
      </c>
      <c r="BB80" s="34">
        <v>25</v>
      </c>
      <c r="BD80" s="34">
        <v>0</v>
      </c>
      <c r="BE80" s="34">
        <v>0</v>
      </c>
      <c r="BF80" s="34">
        <v>0</v>
      </c>
      <c r="BG80" s="34" t="str">
        <v/>
      </c>
      <c r="BH80" s="34" t="str">
        <v/>
      </c>
      <c r="BI80" s="34" t="str">
        <v/>
      </c>
      <c r="BJ80" s="34" t="str">
        <v/>
      </c>
      <c r="BK80" s="34" t="str">
        <v>BOX</v>
      </c>
      <c r="BL80" s="34">
        <v>1</v>
      </c>
      <c r="BM80" s="34" t="str">
        <v/>
      </c>
      <c r="BN80" s="34" t="str">
        <v/>
      </c>
      <c r="BO80" s="34" t="str">
        <v/>
      </c>
      <c r="BP80" s="34" t="str">
        <v/>
      </c>
      <c r="BQ80" s="34" t="str">
        <v>5х6</v>
      </c>
      <c r="BR80" s="34" t="str">
        <v/>
      </c>
      <c r="BS80" s="34" t="str">
        <v/>
      </c>
      <c r="BT80" s="34" t="str">
        <v/>
      </c>
      <c r="BU80" s="34">
        <v>0</v>
      </c>
      <c r="BV80" s="34">
        <v>100</v>
      </c>
      <c r="BW80" s="34">
        <v>1</v>
      </c>
      <c r="BX80" s="34">
        <v>2</v>
      </c>
      <c r="BY80" s="34">
        <v>0</v>
      </c>
      <c r="BZ80">
        <v>6</v>
      </c>
      <c r="CA80" t="str">
        <v>вводной узел</v>
      </c>
    </row>
    <row r="81" spans="1:79" x14ac:dyDescent="0.3">
      <c r="A81" s="39" t="str">
        <v>ЩОВ-01</v>
      </c>
      <c r="B81" s="42">
        <v>13</v>
      </c>
      <c r="C81" s="42">
        <v>1</v>
      </c>
      <c r="D81" s="75" t="str">
        <v/>
      </c>
      <c r="E81" s="75" t="str">
        <v>авто</v>
      </c>
      <c r="F81" s="76" t="str">
        <v/>
      </c>
      <c r="G81" s="47" t="str">
        <v>QF1</v>
      </c>
      <c r="H81" s="47" t="str">
        <v>1P С10А</v>
      </c>
      <c r="I81" s="75" t="str">
        <v/>
      </c>
      <c r="J81" s="76" t="str">
        <v/>
      </c>
      <c r="K81" s="76" t="str">
        <v/>
      </c>
      <c r="L81" s="75" t="str">
        <v/>
      </c>
      <c r="M81" s="49" t="str">
        <v/>
      </c>
      <c r="N81" s="76" t="str">
        <v/>
      </c>
      <c r="O81" s="49" t="str">
        <v/>
      </c>
      <c r="P81" s="77" t="str">
        <v>XT2</v>
      </c>
      <c r="Q81" s="53" t="str">
        <v>ВВГнг(А)-LS (3х1,5) L=36-0,67%</v>
      </c>
      <c r="R81" s="54" t="str">
        <v>П.6</v>
      </c>
      <c r="S81" s="55" t="str">
        <v>Приточная установка Цокольный этаж Пом №001Тб</v>
      </c>
      <c r="T81" s="56">
        <v>0.33</v>
      </c>
      <c r="U81" s="56">
        <v>1.51</v>
      </c>
      <c r="V81" s="42" t="str">
        <v>L3</v>
      </c>
      <c r="W81" s="57" t="str">
        <v>ok</v>
      </c>
      <c r="X81" s="58" t="str">
        <v/>
      </c>
      <c r="Y81" s="75" t="str">
        <v/>
      </c>
      <c r="Z81" s="59">
        <v>1.51</v>
      </c>
      <c r="AA81" s="61">
        <v>6</v>
      </c>
      <c r="AB81" s="61">
        <v>16</v>
      </c>
      <c r="AC81" s="61" t="str">
        <v/>
      </c>
      <c r="AD81" s="62" t="str">
        <v>QF1 → XT2</v>
      </c>
      <c r="AE81" s="62" t="str">
        <v/>
      </c>
      <c r="AF81" s="34">
        <v>1</v>
      </c>
      <c r="AG81" s="34" t="str">
        <v>QF1</v>
      </c>
      <c r="AH81" s="34" t="str">
        <v/>
      </c>
      <c r="AI81" s="34" t="str">
        <v/>
      </c>
      <c r="AJ81" s="34" t="str">
        <v>QF1</v>
      </c>
      <c r="AK81" s="34">
        <v>1</v>
      </c>
      <c r="AL81" s="34" t="str">
        <v>П</v>
      </c>
      <c r="AM81" s="34">
        <v>0</v>
      </c>
      <c r="AN81" s="34">
        <v>0</v>
      </c>
      <c r="AO81" s="34">
        <v>10</v>
      </c>
      <c r="AP81" s="34">
        <v>16</v>
      </c>
      <c r="AQ81" s="34">
        <v>10</v>
      </c>
      <c r="AR81" s="34">
        <v>1</v>
      </c>
      <c r="AS81" s="34">
        <v>0</v>
      </c>
      <c r="AT81" s="34" t="str">
        <v>1P</v>
      </c>
      <c r="AU81" s="34">
        <v>10</v>
      </c>
      <c r="AV81" s="34" t="str">
        <v/>
      </c>
      <c r="AW81" s="34" t="str">
        <v/>
      </c>
      <c r="AX81" s="34" t="str">
        <v/>
      </c>
      <c r="AY81" s="34">
        <v>1</v>
      </c>
      <c r="AZ81" s="34" t="str">
        <v/>
      </c>
      <c r="BA81" s="34">
        <v>0</v>
      </c>
      <c r="BB81" s="34">
        <v>10</v>
      </c>
      <c r="BD81" s="34">
        <v>1</v>
      </c>
      <c r="BE81" s="34">
        <v>0</v>
      </c>
      <c r="BF81" s="34">
        <v>0</v>
      </c>
      <c r="BG81" s="34" t="str">
        <v/>
      </c>
      <c r="BH81" s="34" t="str">
        <v/>
      </c>
      <c r="BI81" s="34" t="str">
        <v/>
      </c>
      <c r="BJ81" s="34" t="str">
        <v/>
      </c>
      <c r="BK81" s="34" t="str">
        <v>MOTOR</v>
      </c>
      <c r="BL81" s="34">
        <v>1</v>
      </c>
      <c r="BM81" s="34" t="str">
        <v/>
      </c>
      <c r="BN81" s="34" t="str">
        <v/>
      </c>
      <c r="BO81" s="34" t="str">
        <v/>
      </c>
      <c r="BP81" s="34" t="str">
        <v/>
      </c>
      <c r="BQ81" s="34" t="str">
        <v>3х1,5</v>
      </c>
      <c r="BR81" s="34" t="str">
        <v/>
      </c>
      <c r="BS81" s="34" t="str">
        <v/>
      </c>
      <c r="BT81" s="34" t="str">
        <v/>
      </c>
      <c r="BU81" s="34">
        <v>0</v>
      </c>
      <c r="BV81" s="34">
        <v>101</v>
      </c>
      <c r="BW81" s="34">
        <v>1</v>
      </c>
      <c r="BX81" s="34">
        <v>0</v>
      </c>
      <c r="BY81" s="34" t="str">
        <v>Привод (двигатель)</v>
      </c>
      <c r="BZ81">
        <v>6</v>
      </c>
      <c r="CA81" t="str">
        <v>линии</v>
      </c>
    </row>
    <row r="82" spans="1:79" x14ac:dyDescent="0.3">
      <c r="A82" s="39" t="str">
        <v>ЩОВ-01</v>
      </c>
      <c r="B82" s="42">
        <v>14</v>
      </c>
      <c r="C82" s="42">
        <v>1</v>
      </c>
      <c r="D82" s="75" t="str">
        <v/>
      </c>
      <c r="E82" s="75" t="str">
        <v>авто</v>
      </c>
      <c r="F82" s="76" t="str">
        <v/>
      </c>
      <c r="G82" s="47" t="str">
        <v>QF2</v>
      </c>
      <c r="H82" s="47" t="str">
        <v>3P С16А</v>
      </c>
      <c r="I82" s="75" t="str">
        <v/>
      </c>
      <c r="J82" s="76" t="str">
        <v/>
      </c>
      <c r="K82" s="76" t="str">
        <v/>
      </c>
      <c r="L82" s="75" t="str">
        <v/>
      </c>
      <c r="M82" s="49" t="str">
        <v/>
      </c>
      <c r="N82" s="76" t="str">
        <v/>
      </c>
      <c r="O82" s="49" t="str">
        <v/>
      </c>
      <c r="P82" s="77" t="str">
        <v>XT3</v>
      </c>
      <c r="Q82" s="53" t="str">
        <v>ВВГнг(А)-LS (5х2,5) L=42-1,66%</v>
      </c>
      <c r="R82" s="54" t="str">
        <v>ПВ.6</v>
      </c>
      <c r="S82" s="55" t="str">
        <v>Приточно-вытяжная установка цокольный этаж Пом №001Тб</v>
      </c>
      <c r="T82" s="56">
        <v>7</v>
      </c>
      <c r="U82" s="56">
        <v>10.64</v>
      </c>
      <c r="V82" s="42" t="str">
        <v>L1,L2,L3</v>
      </c>
      <c r="W82" s="57" t="str">
        <v>ok</v>
      </c>
      <c r="X82" s="58" t="str">
        <v/>
      </c>
      <c r="Y82" s="75" t="str">
        <v/>
      </c>
      <c r="Z82" s="59">
        <v>10.64</v>
      </c>
      <c r="AA82" s="61">
        <v>16</v>
      </c>
      <c r="AB82" s="61">
        <v>20</v>
      </c>
      <c r="AC82" s="61" t="str">
        <v/>
      </c>
      <c r="AD82" s="62" t="str">
        <v>QF2 → XT3</v>
      </c>
      <c r="AE82" s="62" t="str">
        <v/>
      </c>
      <c r="AF82" s="34">
        <v>2</v>
      </c>
      <c r="AG82" s="34" t="str">
        <v>QF2</v>
      </c>
      <c r="AH82" s="34" t="str">
        <v/>
      </c>
      <c r="AI82" s="34" t="str">
        <v/>
      </c>
      <c r="AJ82" s="34" t="str">
        <v>QF2</v>
      </c>
      <c r="AK82" s="34">
        <v>3</v>
      </c>
      <c r="AL82" s="34" t="str">
        <v>ПВ</v>
      </c>
      <c r="AM82" s="34">
        <v>0</v>
      </c>
      <c r="AN82" s="34">
        <v>0</v>
      </c>
      <c r="AO82" s="34">
        <v>16</v>
      </c>
      <c r="AP82" s="34">
        <v>20</v>
      </c>
      <c r="AQ82" s="34">
        <v>16</v>
      </c>
      <c r="AR82" s="34">
        <v>3</v>
      </c>
      <c r="AS82" s="34">
        <v>0</v>
      </c>
      <c r="AT82" s="34" t="str">
        <v>3P</v>
      </c>
      <c r="AU82" s="34">
        <v>16</v>
      </c>
      <c r="AV82" s="34" t="str">
        <v/>
      </c>
      <c r="AW82" s="34" t="str">
        <v/>
      </c>
      <c r="AX82" s="34" t="str">
        <v/>
      </c>
      <c r="AY82" s="34">
        <v>1</v>
      </c>
      <c r="AZ82" s="34" t="str">
        <v/>
      </c>
      <c r="BA82" s="34">
        <v>0</v>
      </c>
      <c r="BB82" s="34">
        <v>16</v>
      </c>
      <c r="BD82" s="34">
        <v>1</v>
      </c>
      <c r="BE82" s="34">
        <v>0</v>
      </c>
      <c r="BF82" s="34">
        <v>0</v>
      </c>
      <c r="BG82" s="34" t="str">
        <v/>
      </c>
      <c r="BH82" s="34" t="str">
        <v/>
      </c>
      <c r="BI82" s="34" t="str">
        <v/>
      </c>
      <c r="BJ82" s="34" t="str">
        <v/>
      </c>
      <c r="BK82" s="34" t="str">
        <v>MOTOR</v>
      </c>
      <c r="BL82" s="34">
        <v>1</v>
      </c>
      <c r="BM82" s="34" t="str">
        <v/>
      </c>
      <c r="BN82" s="34" t="str">
        <v/>
      </c>
      <c r="BO82" s="34" t="str">
        <v/>
      </c>
      <c r="BP82" s="34" t="str">
        <v/>
      </c>
      <c r="BQ82" s="34" t="str">
        <v>5х2,5</v>
      </c>
      <c r="BR82" s="34">
        <v>13</v>
      </c>
      <c r="BS82" s="34" t="str">
        <v/>
      </c>
      <c r="BT82" s="34" t="str">
        <v/>
      </c>
      <c r="BU82" s="34">
        <v>0</v>
      </c>
      <c r="BV82" s="34">
        <v>102</v>
      </c>
      <c r="BW82" s="34">
        <v>1</v>
      </c>
      <c r="BX82" s="34">
        <v>2</v>
      </c>
      <c r="BY82" s="34" t="str">
        <v>Привод (двигатель)</v>
      </c>
      <c r="BZ82">
        <v>6</v>
      </c>
      <c r="CA82" t="str">
        <v>линии</v>
      </c>
    </row>
    <row r="83" spans="1:79" x14ac:dyDescent="0.3">
      <c r="A83" s="39" t="str">
        <v>ЩОВ-01</v>
      </c>
      <c r="B83" s="42">
        <v>15</v>
      </c>
      <c r="C83" s="42">
        <v>1</v>
      </c>
      <c r="D83" s="75" t="str">
        <v/>
      </c>
      <c r="E83" s="75" t="str">
        <v>авто</v>
      </c>
      <c r="F83" s="76" t="str">
        <v/>
      </c>
      <c r="G83" s="47" t="str">
        <v>QF3</v>
      </c>
      <c r="H83" s="47" t="str">
        <v>1P С10А</v>
      </c>
      <c r="I83" s="75" t="str">
        <v/>
      </c>
      <c r="J83" s="76" t="str">
        <v/>
      </c>
      <c r="K83" s="76" t="str">
        <v/>
      </c>
      <c r="L83" s="75" t="str">
        <v/>
      </c>
      <c r="M83" s="49" t="str">
        <v/>
      </c>
      <c r="N83" s="76" t="str">
        <v/>
      </c>
      <c r="O83" s="49" t="str">
        <v/>
      </c>
      <c r="P83" s="77" t="str">
        <v>XT4</v>
      </c>
      <c r="Q83" s="53" t="str">
        <v>ВВГнг(А)-LS (3х1,5) L=44-1,94%</v>
      </c>
      <c r="R83" s="54" t="str">
        <v>ПВ.9</v>
      </c>
      <c r="S83" s="55" t="str">
        <v>Приточно-вытяжная установка цокольный этаж Пом №001Тб</v>
      </c>
      <c r="T83" s="56">
        <v>0.78</v>
      </c>
      <c r="U83" s="56">
        <v>3.5599999999999996</v>
      </c>
      <c r="V83" s="42" t="str">
        <v>L2</v>
      </c>
      <c r="W83" s="57" t="str">
        <v>ok</v>
      </c>
      <c r="X83" s="58" t="str">
        <v/>
      </c>
      <c r="Y83" s="75" t="str">
        <v/>
      </c>
      <c r="Z83" s="59">
        <v>3.5599999999999996</v>
      </c>
      <c r="AA83" s="61">
        <v>6</v>
      </c>
      <c r="AB83" s="61">
        <v>16</v>
      </c>
      <c r="AC83" s="61" t="str">
        <v/>
      </c>
      <c r="AD83" s="62" t="str">
        <v>QF3 → XT4</v>
      </c>
      <c r="AE83" s="62" t="str">
        <v/>
      </c>
      <c r="AF83" s="34">
        <v>3</v>
      </c>
      <c r="AG83" s="34" t="str">
        <v>QF3</v>
      </c>
      <c r="AH83" s="34" t="str">
        <v/>
      </c>
      <c r="AI83" s="34" t="str">
        <v/>
      </c>
      <c r="AJ83" s="34" t="str">
        <v>QF3</v>
      </c>
      <c r="AK83" s="34">
        <v>1</v>
      </c>
      <c r="AL83" s="34" t="str">
        <v>ПВ</v>
      </c>
      <c r="AM83" s="34">
        <v>0</v>
      </c>
      <c r="AN83" s="34">
        <v>0</v>
      </c>
      <c r="AO83" s="34">
        <v>10</v>
      </c>
      <c r="AP83" s="34">
        <v>16</v>
      </c>
      <c r="AQ83" s="34">
        <v>10</v>
      </c>
      <c r="AR83" s="34">
        <v>1</v>
      </c>
      <c r="AS83" s="34">
        <v>0</v>
      </c>
      <c r="AT83" s="34" t="str">
        <v>1P</v>
      </c>
      <c r="AU83" s="34">
        <v>10</v>
      </c>
      <c r="AV83" s="34" t="str">
        <v/>
      </c>
      <c r="AW83" s="34" t="str">
        <v/>
      </c>
      <c r="AX83" s="34" t="str">
        <v/>
      </c>
      <c r="AY83" s="34">
        <v>1</v>
      </c>
      <c r="AZ83" s="34" t="str">
        <v/>
      </c>
      <c r="BA83" s="34">
        <v>0</v>
      </c>
      <c r="BB83" s="34">
        <v>10</v>
      </c>
      <c r="BD83" s="34">
        <v>1</v>
      </c>
      <c r="BE83" s="34">
        <v>0</v>
      </c>
      <c r="BF83" s="34">
        <v>0</v>
      </c>
      <c r="BG83" s="34" t="str">
        <v/>
      </c>
      <c r="BH83" s="34" t="str">
        <v/>
      </c>
      <c r="BI83" s="34" t="str">
        <v/>
      </c>
      <c r="BJ83" s="34" t="str">
        <v/>
      </c>
      <c r="BK83" s="34" t="str">
        <v>MOTOR</v>
      </c>
      <c r="BL83" s="34">
        <v>1</v>
      </c>
      <c r="BM83" s="34" t="str">
        <v/>
      </c>
      <c r="BN83" s="34" t="str">
        <v/>
      </c>
      <c r="BO83" s="34" t="str">
        <v/>
      </c>
      <c r="BP83" s="34" t="str">
        <v/>
      </c>
      <c r="BQ83" s="34" t="str">
        <v>3х1,5</v>
      </c>
      <c r="BR83" s="34" t="str">
        <v/>
      </c>
      <c r="BS83" s="34" t="str">
        <v/>
      </c>
      <c r="BT83" s="34" t="str">
        <v/>
      </c>
      <c r="BU83" s="34">
        <v>0</v>
      </c>
      <c r="BV83" s="34">
        <v>103</v>
      </c>
      <c r="BW83" s="34">
        <v>1</v>
      </c>
      <c r="BX83" s="34">
        <v>0</v>
      </c>
      <c r="BY83" s="34" t="str">
        <v>Привод (двигатель)</v>
      </c>
      <c r="BZ83">
        <v>6</v>
      </c>
      <c r="CA83" t="str">
        <v>линии</v>
      </c>
    </row>
    <row r="84" spans="1:79" x14ac:dyDescent="0.3">
      <c r="A84" s="39" t="str">
        <v>ЩОВ-01</v>
      </c>
      <c r="B84" s="42">
        <v>16</v>
      </c>
      <c r="C84" s="42">
        <v>1</v>
      </c>
      <c r="D84" s="75" t="str">
        <v/>
      </c>
      <c r="E84" s="75" t="str">
        <v>авто</v>
      </c>
      <c r="F84" s="76" t="str">
        <v/>
      </c>
      <c r="G84" s="47" t="str">
        <v>QF4</v>
      </c>
      <c r="H84" s="47" t="str">
        <v>1P С10А</v>
      </c>
      <c r="I84" s="75" t="str">
        <v/>
      </c>
      <c r="J84" s="76" t="str">
        <v/>
      </c>
      <c r="K84" s="76" t="str">
        <v/>
      </c>
      <c r="L84" s="75" t="str">
        <v/>
      </c>
      <c r="M84" s="49" t="str">
        <v/>
      </c>
      <c r="N84" s="76" t="str">
        <v/>
      </c>
      <c r="O84" s="49" t="str">
        <v/>
      </c>
      <c r="P84" s="77" t="str">
        <v>XT5</v>
      </c>
      <c r="Q84" s="53" t="str">
        <v>ВВГнг(А)-LS (3х1,5) L=42-0,72%</v>
      </c>
      <c r="R84" s="54" t="str">
        <v>В.2</v>
      </c>
      <c r="S84" s="55" t="str">
        <v>Вытяжная установка Пом. №003Б</v>
      </c>
      <c r="T84" s="56">
        <v>0.3</v>
      </c>
      <c r="U84" s="56">
        <v>1.37</v>
      </c>
      <c r="V84" s="42" t="str">
        <v>L2</v>
      </c>
      <c r="W84" s="57" t="str">
        <v>ok</v>
      </c>
      <c r="X84" s="58" t="str">
        <v/>
      </c>
      <c r="Y84" s="75" t="str">
        <v/>
      </c>
      <c r="Z84" s="59">
        <v>1.37</v>
      </c>
      <c r="AA84" s="61">
        <v>6</v>
      </c>
      <c r="AB84" s="61">
        <v>16</v>
      </c>
      <c r="AC84" s="61" t="str">
        <v/>
      </c>
      <c r="AD84" s="62" t="str">
        <v>QF4 → XT5</v>
      </c>
      <c r="AE84" s="62" t="str">
        <v/>
      </c>
      <c r="AF84" s="34">
        <v>4</v>
      </c>
      <c r="AG84" s="34" t="str">
        <v>QF4</v>
      </c>
      <c r="AH84" s="34" t="str">
        <v/>
      </c>
      <c r="AI84" s="34" t="str">
        <v/>
      </c>
      <c r="AJ84" s="34" t="str">
        <v>QF4</v>
      </c>
      <c r="AK84" s="34">
        <v>1</v>
      </c>
      <c r="AL84" s="34" t="str">
        <v>В</v>
      </c>
      <c r="AM84" s="34">
        <v>0</v>
      </c>
      <c r="AN84" s="34">
        <v>0</v>
      </c>
      <c r="AO84" s="34">
        <v>10</v>
      </c>
      <c r="AP84" s="34">
        <v>16</v>
      </c>
      <c r="AQ84" s="34">
        <v>10</v>
      </c>
      <c r="AR84" s="34">
        <v>1</v>
      </c>
      <c r="AS84" s="34">
        <v>0</v>
      </c>
      <c r="AT84" s="34" t="str">
        <v>1P</v>
      </c>
      <c r="AU84" s="34">
        <v>10</v>
      </c>
      <c r="AV84" s="34" t="str">
        <v/>
      </c>
      <c r="AW84" s="34" t="str">
        <v/>
      </c>
      <c r="AX84" s="34" t="str">
        <v/>
      </c>
      <c r="AY84" s="34">
        <v>1</v>
      </c>
      <c r="AZ84" s="34" t="str">
        <v/>
      </c>
      <c r="BA84" s="34">
        <v>0</v>
      </c>
      <c r="BB84" s="34">
        <v>10</v>
      </c>
      <c r="BD84" s="34">
        <v>1</v>
      </c>
      <c r="BE84" s="34">
        <v>0</v>
      </c>
      <c r="BF84" s="34">
        <v>0</v>
      </c>
      <c r="BG84" s="34" t="str">
        <v/>
      </c>
      <c r="BH84" s="34" t="str">
        <v/>
      </c>
      <c r="BI84" s="34" t="str">
        <v/>
      </c>
      <c r="BJ84" s="34" t="str">
        <v/>
      </c>
      <c r="BK84" s="34" t="str">
        <v>MOTOR</v>
      </c>
      <c r="BL84" s="34">
        <v>1</v>
      </c>
      <c r="BM84" s="34" t="str">
        <v/>
      </c>
      <c r="BN84" s="34" t="str">
        <v/>
      </c>
      <c r="BO84" s="34" t="str">
        <v/>
      </c>
      <c r="BP84" s="34" t="str">
        <v/>
      </c>
      <c r="BQ84" s="34" t="str">
        <v>3х1,5</v>
      </c>
      <c r="BR84" s="34" t="str">
        <v/>
      </c>
      <c r="BS84" s="34" t="str">
        <v/>
      </c>
      <c r="BT84" s="34" t="str">
        <v/>
      </c>
      <c r="BU84" s="34">
        <v>0</v>
      </c>
      <c r="BV84" s="34">
        <v>104</v>
      </c>
      <c r="BW84" s="34">
        <v>1</v>
      </c>
      <c r="BX84" s="34">
        <v>0</v>
      </c>
      <c r="BY84" s="34" t="str">
        <v>Привод (двигатель)</v>
      </c>
      <c r="BZ84">
        <v>6</v>
      </c>
      <c r="CA84" t="str">
        <v>линии</v>
      </c>
    </row>
    <row r="85" spans="1:79" x14ac:dyDescent="0.3">
      <c r="A85" s="39" t="str">
        <v>ЩОВ-01</v>
      </c>
      <c r="B85" s="42">
        <v>19</v>
      </c>
      <c r="C85" s="42">
        <v>2</v>
      </c>
      <c r="D85" s="75" t="str">
        <v/>
      </c>
      <c r="E85" s="75" t="str">
        <v>авто</v>
      </c>
      <c r="F85" s="76" t="str">
        <v/>
      </c>
      <c r="G85" s="47" t="str">
        <v>QF5</v>
      </c>
      <c r="H85" s="47" t="str">
        <v>1P С10А</v>
      </c>
      <c r="I85" s="75" t="str">
        <v/>
      </c>
      <c r="J85" s="76" t="str">
        <v/>
      </c>
      <c r="K85" s="76" t="str">
        <v/>
      </c>
      <c r="L85" s="75" t="str">
        <v/>
      </c>
      <c r="M85" s="49" t="str">
        <v/>
      </c>
      <c r="N85" s="76" t="str">
        <v/>
      </c>
      <c r="O85" s="49" t="str">
        <v/>
      </c>
      <c r="P85" s="77" t="str">
        <v/>
      </c>
      <c r="Q85" s="53" t="str">
        <v>ВВГнг(А)-LS (3х1,5) L=38-0,58%</v>
      </c>
      <c r="R85" s="54" t="str">
        <v>В.10</v>
      </c>
      <c r="S85" s="55" t="str">
        <v>Вытяжная установка Пом. №019Б</v>
      </c>
      <c r="T85" s="56">
        <v>0.27</v>
      </c>
      <c r="U85" s="56">
        <v>1.24</v>
      </c>
      <c r="V85" s="42" t="str">
        <v>L2</v>
      </c>
      <c r="W85" s="57" t="str">
        <v>ok</v>
      </c>
      <c r="X85" s="58" t="str">
        <v/>
      </c>
      <c r="Y85" s="75" t="str">
        <v/>
      </c>
      <c r="Z85" s="59">
        <v>1.24</v>
      </c>
      <c r="AA85" s="61">
        <v>6</v>
      </c>
      <c r="AB85" s="61">
        <v>16</v>
      </c>
      <c r="AC85" s="61" t="str">
        <v/>
      </c>
      <c r="AD85" s="62" t="str">
        <v>QF5</v>
      </c>
      <c r="AE85" s="62" t="str">
        <v/>
      </c>
      <c r="AF85" s="34">
        <v>5</v>
      </c>
      <c r="AG85" s="34" t="str">
        <v>QF5</v>
      </c>
      <c r="AH85" s="34" t="str">
        <v/>
      </c>
      <c r="AI85" s="34" t="str">
        <v/>
      </c>
      <c r="AJ85" s="34" t="str">
        <v>QF5</v>
      </c>
      <c r="AK85" s="34">
        <v>1</v>
      </c>
      <c r="AL85" s="34" t="str">
        <v>В</v>
      </c>
      <c r="AM85" s="34">
        <v>0</v>
      </c>
      <c r="AN85" s="34">
        <v>0</v>
      </c>
      <c r="AO85" s="34">
        <v>10</v>
      </c>
      <c r="AP85" s="34">
        <v>16</v>
      </c>
      <c r="AQ85" s="34">
        <v>10</v>
      </c>
      <c r="AR85" s="34">
        <v>1</v>
      </c>
      <c r="AS85" s="34">
        <v>0</v>
      </c>
      <c r="AT85" s="34" t="str">
        <v>1P</v>
      </c>
      <c r="AU85" s="34">
        <v>10</v>
      </c>
      <c r="AV85" s="34" t="str">
        <v/>
      </c>
      <c r="AW85" s="34" t="str">
        <v/>
      </c>
      <c r="AX85" s="34" t="str">
        <v/>
      </c>
      <c r="AY85" s="34">
        <v>1</v>
      </c>
      <c r="AZ85" s="34" t="str">
        <v/>
      </c>
      <c r="BA85" s="34">
        <v>0</v>
      </c>
      <c r="BB85" s="34">
        <v>10</v>
      </c>
      <c r="BD85" s="34">
        <v>1</v>
      </c>
      <c r="BE85" s="34">
        <v>0</v>
      </c>
      <c r="BF85" s="34">
        <v>0</v>
      </c>
      <c r="BG85" s="34" t="str">
        <v/>
      </c>
      <c r="BH85" s="34" t="str">
        <v/>
      </c>
      <c r="BI85" s="34" t="str">
        <v/>
      </c>
      <c r="BJ85" s="34" t="str">
        <v/>
      </c>
      <c r="BK85" s="34" t="str">
        <v>MOTOR</v>
      </c>
      <c r="BL85" s="34">
        <v>1</v>
      </c>
      <c r="BM85" s="34" t="str">
        <v/>
      </c>
      <c r="BN85" s="34" t="str">
        <v/>
      </c>
      <c r="BO85" s="34" t="str">
        <v/>
      </c>
      <c r="BP85" s="34" t="str">
        <v/>
      </c>
      <c r="BQ85" s="34" t="str">
        <v>3х1,5</v>
      </c>
      <c r="BR85" s="34" t="str">
        <v/>
      </c>
      <c r="BS85" s="34" t="str">
        <v/>
      </c>
      <c r="BT85" s="34" t="str">
        <v/>
      </c>
      <c r="BU85" s="34">
        <v>0</v>
      </c>
      <c r="BV85" s="34">
        <v>105</v>
      </c>
      <c r="BW85" s="34">
        <v>1</v>
      </c>
      <c r="BX85" s="34">
        <v>0</v>
      </c>
      <c r="BY85" s="34" t="str">
        <v>Привод (двигатель)</v>
      </c>
      <c r="BZ85">
        <v>6</v>
      </c>
      <c r="CA85" t="str">
        <v>линии</v>
      </c>
    </row>
    <row r="86" spans="1:79" x14ac:dyDescent="0.3">
      <c r="A86" s="39" t="str">
        <v>ЩОВ-01</v>
      </c>
      <c r="B86" s="42">
        <v>20</v>
      </c>
      <c r="C86" s="42">
        <v>2</v>
      </c>
      <c r="D86" s="75" t="str">
        <v/>
      </c>
      <c r="E86" s="75" t="str">
        <v>авто</v>
      </c>
      <c r="F86" s="76" t="str">
        <v/>
      </c>
      <c r="G86" s="47" t="str">
        <v>QF6</v>
      </c>
      <c r="H86" s="47" t="str">
        <v>1P С10А</v>
      </c>
      <c r="I86" s="75" t="str">
        <v/>
      </c>
      <c r="J86" s="76" t="str">
        <v/>
      </c>
      <c r="K86" s="76" t="str">
        <v/>
      </c>
      <c r="L86" s="75" t="str">
        <v/>
      </c>
      <c r="M86" s="49" t="str">
        <v/>
      </c>
      <c r="N86" s="76" t="str">
        <v/>
      </c>
      <c r="O86" s="49" t="str">
        <v/>
      </c>
      <c r="P86" s="77" t="str">
        <v>XT7</v>
      </c>
      <c r="Q86" s="53" t="str">
        <v>ВВГнг(А)-LS (3х1,5) L=34-0,52%</v>
      </c>
      <c r="R86" s="54" t="str">
        <v>В.24</v>
      </c>
      <c r="S86" s="55" t="str">
        <v>Внутренний блок кондиционирования подвальный этаж Пом. №0001Тб</v>
      </c>
      <c r="T86" s="56">
        <v>0.27</v>
      </c>
      <c r="U86" s="56">
        <v>1.24</v>
      </c>
      <c r="V86" s="42" t="str">
        <v>L3</v>
      </c>
      <c r="W86" s="57" t="str">
        <v>ok</v>
      </c>
      <c r="X86" s="58" t="str">
        <v/>
      </c>
      <c r="Y86" s="75" t="str">
        <v/>
      </c>
      <c r="Z86" s="59">
        <v>1.24</v>
      </c>
      <c r="AA86" s="61">
        <v>6</v>
      </c>
      <c r="AB86" s="61">
        <v>16</v>
      </c>
      <c r="AC86" s="61" t="str">
        <v/>
      </c>
      <c r="AD86" s="62" t="str">
        <v>QF6 → XT7</v>
      </c>
      <c r="AE86" s="62" t="str">
        <v/>
      </c>
      <c r="AF86" s="34">
        <v>6</v>
      </c>
      <c r="AG86" s="34" t="str">
        <v>QF6</v>
      </c>
      <c r="AH86" s="34" t="str">
        <v/>
      </c>
      <c r="AI86" s="34" t="str">
        <v/>
      </c>
      <c r="AJ86" s="34" t="str">
        <v>QF6</v>
      </c>
      <c r="AK86" s="34">
        <v>1</v>
      </c>
      <c r="AL86" s="34" t="str">
        <v>В</v>
      </c>
      <c r="AM86" s="34">
        <v>0</v>
      </c>
      <c r="AN86" s="34">
        <v>0</v>
      </c>
      <c r="AO86" s="34">
        <v>10</v>
      </c>
      <c r="AP86" s="34">
        <v>16</v>
      </c>
      <c r="AQ86" s="34">
        <v>10</v>
      </c>
      <c r="AR86" s="34">
        <v>1</v>
      </c>
      <c r="AS86" s="34">
        <v>0</v>
      </c>
      <c r="AT86" s="34" t="str">
        <v>1P</v>
      </c>
      <c r="AU86" s="34">
        <v>10</v>
      </c>
      <c r="AV86" s="34" t="str">
        <v/>
      </c>
      <c r="AW86" s="34" t="str">
        <v/>
      </c>
      <c r="AX86" s="34" t="str">
        <v/>
      </c>
      <c r="AY86" s="34">
        <v>1</v>
      </c>
      <c r="AZ86" s="34" t="str">
        <v/>
      </c>
      <c r="BA86" s="34">
        <v>0</v>
      </c>
      <c r="BB86" s="34">
        <v>10</v>
      </c>
      <c r="BD86" s="34">
        <v>1</v>
      </c>
      <c r="BE86" s="34">
        <v>0</v>
      </c>
      <c r="BF86" s="34">
        <v>0</v>
      </c>
      <c r="BG86" s="34" t="str">
        <v/>
      </c>
      <c r="BH86" s="34" t="str">
        <v/>
      </c>
      <c r="BI86" s="34" t="str">
        <v/>
      </c>
      <c r="BJ86" s="34" t="str">
        <v/>
      </c>
      <c r="BK86" s="34" t="str">
        <v>MOTOR</v>
      </c>
      <c r="BL86" s="34">
        <v>1</v>
      </c>
      <c r="BM86" s="34" t="str">
        <v/>
      </c>
      <c r="BN86" s="34" t="str">
        <v/>
      </c>
      <c r="BO86" s="34" t="str">
        <v/>
      </c>
      <c r="BP86" s="34" t="str">
        <v/>
      </c>
      <c r="BQ86" s="34" t="str">
        <v>3х1,5</v>
      </c>
      <c r="BR86" s="34" t="str">
        <v/>
      </c>
      <c r="BS86" s="34" t="str">
        <v/>
      </c>
      <c r="BT86" s="34" t="str">
        <v/>
      </c>
      <c r="BU86" s="34">
        <v>0</v>
      </c>
      <c r="BV86" s="34">
        <v>106</v>
      </c>
      <c r="BW86" s="34">
        <v>1</v>
      </c>
      <c r="BX86" s="34">
        <v>0</v>
      </c>
      <c r="BY86" s="34" t="str">
        <v>Привод (двигатель)</v>
      </c>
      <c r="BZ86">
        <v>6</v>
      </c>
      <c r="CA86" t="str">
        <v>линии</v>
      </c>
    </row>
    <row r="87" spans="1:79" x14ac:dyDescent="0.3">
      <c r="A87" s="39" t="str">
        <v>ЩОВ-01</v>
      </c>
      <c r="B87" s="42">
        <v>21</v>
      </c>
      <c r="C87" s="42">
        <v>2</v>
      </c>
      <c r="D87" s="75" t="str">
        <v/>
      </c>
      <c r="E87" s="75" t="str">
        <v>авто</v>
      </c>
      <c r="F87" s="76" t="str">
        <v/>
      </c>
      <c r="G87" s="47" t="str">
        <v>QF7</v>
      </c>
      <c r="H87" s="47" t="str">
        <v>1P С10А</v>
      </c>
      <c r="I87" s="75" t="str">
        <v/>
      </c>
      <c r="J87" s="76" t="str">
        <v/>
      </c>
      <c r="K87" s="76" t="str">
        <v/>
      </c>
      <c r="L87" s="75" t="str">
        <v/>
      </c>
      <c r="M87" s="49" t="str">
        <v/>
      </c>
      <c r="N87" s="76" t="str">
        <v/>
      </c>
      <c r="O87" s="49" t="str">
        <v/>
      </c>
      <c r="P87" s="77" t="str">
        <v/>
      </c>
      <c r="Q87" s="53" t="str">
        <v>ВВГнг(А)-LS (3х1,5) L=34-0,52%</v>
      </c>
      <c r="R87" s="54" t="str">
        <v>В.25</v>
      </c>
      <c r="S87" s="55" t="str">
        <v>Внутренний блок кондиционирования подвальный этаж Пом. №01Тб</v>
      </c>
      <c r="T87" s="56">
        <v>0.27</v>
      </c>
      <c r="U87" s="56">
        <v>1.24</v>
      </c>
      <c r="V87" s="42" t="str">
        <v>L1</v>
      </c>
      <c r="W87" s="57" t="str">
        <v>ok</v>
      </c>
      <c r="X87" s="58" t="str">
        <v/>
      </c>
      <c r="Y87" s="75" t="str">
        <v/>
      </c>
      <c r="Z87" s="59">
        <v>1.24</v>
      </c>
      <c r="AA87" s="61">
        <v>6</v>
      </c>
      <c r="AB87" s="61">
        <v>16</v>
      </c>
      <c r="AC87" s="61" t="str">
        <v/>
      </c>
      <c r="AD87" s="62" t="str">
        <v>QF7</v>
      </c>
      <c r="AE87" s="62" t="str">
        <v/>
      </c>
      <c r="AF87" s="34">
        <v>7</v>
      </c>
      <c r="AG87" s="34" t="str">
        <v>QF7</v>
      </c>
      <c r="AH87" s="34" t="str">
        <v/>
      </c>
      <c r="AI87" s="34" t="str">
        <v/>
      </c>
      <c r="AJ87" s="34" t="str">
        <v>QF7</v>
      </c>
      <c r="AK87" s="34">
        <v>1</v>
      </c>
      <c r="AL87" s="34" t="str">
        <v>В</v>
      </c>
      <c r="AM87" s="34">
        <v>0</v>
      </c>
      <c r="AN87" s="34">
        <v>0</v>
      </c>
      <c r="AO87" s="34">
        <v>10</v>
      </c>
      <c r="AP87" s="34">
        <v>16</v>
      </c>
      <c r="AQ87" s="34">
        <v>10</v>
      </c>
      <c r="AR87" s="34">
        <v>1</v>
      </c>
      <c r="AS87" s="34">
        <v>0</v>
      </c>
      <c r="AT87" s="34" t="str">
        <v>1P</v>
      </c>
      <c r="AU87" s="34">
        <v>10</v>
      </c>
      <c r="AV87" s="34" t="str">
        <v/>
      </c>
      <c r="AW87" s="34" t="str">
        <v/>
      </c>
      <c r="AX87" s="34" t="str">
        <v/>
      </c>
      <c r="AY87" s="34">
        <v>1</v>
      </c>
      <c r="AZ87" s="34" t="str">
        <v/>
      </c>
      <c r="BA87" s="34">
        <v>0</v>
      </c>
      <c r="BB87" s="34">
        <v>10</v>
      </c>
      <c r="BD87" s="34">
        <v>1</v>
      </c>
      <c r="BE87" s="34">
        <v>0</v>
      </c>
      <c r="BF87" s="34">
        <v>0</v>
      </c>
      <c r="BG87" s="34" t="str">
        <v/>
      </c>
      <c r="BH87" s="34" t="str">
        <v/>
      </c>
      <c r="BI87" s="34" t="str">
        <v/>
      </c>
      <c r="BJ87" s="34" t="str">
        <v/>
      </c>
      <c r="BK87" s="34" t="str">
        <v>MOTOR</v>
      </c>
      <c r="BL87" s="34">
        <v>1</v>
      </c>
      <c r="BM87" s="34" t="str">
        <v/>
      </c>
      <c r="BN87" s="34" t="str">
        <v/>
      </c>
      <c r="BO87" s="34" t="str">
        <v/>
      </c>
      <c r="BP87" s="34" t="str">
        <v/>
      </c>
      <c r="BQ87" s="34" t="str">
        <v>3х1,5</v>
      </c>
      <c r="BR87" s="34" t="str">
        <v/>
      </c>
      <c r="BS87" s="34" t="str">
        <v/>
      </c>
      <c r="BT87" s="34" t="str">
        <v/>
      </c>
      <c r="BU87" s="34">
        <v>0</v>
      </c>
      <c r="BV87" s="34">
        <v>107</v>
      </c>
      <c r="BW87" s="34">
        <v>1</v>
      </c>
      <c r="BX87" s="34">
        <v>0</v>
      </c>
      <c r="BY87" s="34" t="str">
        <v>Привод (двигатель)</v>
      </c>
      <c r="BZ87">
        <v>6</v>
      </c>
      <c r="CA87" t="str">
        <v>линии</v>
      </c>
    </row>
    <row r="88" spans="1:79" x14ac:dyDescent="0.3">
      <c r="A88" s="39" t="str">
        <v>ЩОВ-01</v>
      </c>
      <c r="B88" s="42">
        <v>22</v>
      </c>
      <c r="C88" s="42">
        <v>2</v>
      </c>
      <c r="D88" s="75" t="str">
        <v/>
      </c>
      <c r="E88" s="75" t="str">
        <v>авто</v>
      </c>
      <c r="F88" s="76" t="str">
        <v/>
      </c>
      <c r="G88" s="47" t="str">
        <v>QF8</v>
      </c>
      <c r="H88" s="47" t="str">
        <v>1P С10А</v>
      </c>
      <c r="I88" s="75" t="str">
        <v/>
      </c>
      <c r="J88" s="76" t="str">
        <v/>
      </c>
      <c r="K88" s="76" t="str">
        <v/>
      </c>
      <c r="L88" s="75" t="str">
        <v/>
      </c>
      <c r="M88" s="49" t="str">
        <v/>
      </c>
      <c r="N88" s="76" t="str">
        <v/>
      </c>
      <c r="O88" s="49" t="str">
        <v/>
      </c>
      <c r="P88" s="77" t="str">
        <v/>
      </c>
      <c r="Q88" s="53" t="str">
        <v>ВВГнг(А)-LS (3х1,5) L=11-0,07%</v>
      </c>
      <c r="R88" s="54" t="str">
        <v>K.0.001T.1</v>
      </c>
      <c r="S88" s="55" t="str">
        <v>Внутренний блок кондиционирования цокольный этаж Пом. №001Т</v>
      </c>
      <c r="T88" s="56">
        <v>0.104</v>
      </c>
      <c r="U88" s="56">
        <v>0.48</v>
      </c>
      <c r="V88" s="42" t="str">
        <v>L2</v>
      </c>
      <c r="W88" s="57" t="str">
        <v>ok</v>
      </c>
      <c r="X88" s="58" t="str">
        <v/>
      </c>
      <c r="Y88" s="75" t="str">
        <v/>
      </c>
      <c r="Z88" s="59">
        <v>0.48</v>
      </c>
      <c r="AA88" s="61">
        <v>6</v>
      </c>
      <c r="AB88" s="61">
        <v>16</v>
      </c>
      <c r="AC88" s="61" t="str">
        <v/>
      </c>
      <c r="AD88" s="62" t="str">
        <v>QF8</v>
      </c>
      <c r="AE88" s="62" t="str">
        <v/>
      </c>
      <c r="AF88" s="34">
        <v>8</v>
      </c>
      <c r="AG88" s="34" t="str">
        <v>QF8</v>
      </c>
      <c r="AH88" s="34" t="str">
        <v/>
      </c>
      <c r="AI88" s="34" t="str">
        <v/>
      </c>
      <c r="AJ88" s="34" t="str">
        <v>QF8</v>
      </c>
      <c r="AK88" s="34">
        <v>1</v>
      </c>
      <c r="AL88" s="34" t="str">
        <v>K</v>
      </c>
      <c r="AM88" s="34">
        <v>0</v>
      </c>
      <c r="AN88" s="34">
        <v>0</v>
      </c>
      <c r="AO88" s="34">
        <v>10</v>
      </c>
      <c r="AP88" s="34">
        <v>16</v>
      </c>
      <c r="AQ88" s="34">
        <v>10</v>
      </c>
      <c r="AR88" s="34">
        <v>1</v>
      </c>
      <c r="AS88" s="34">
        <v>0</v>
      </c>
      <c r="AT88" s="34" t="str">
        <v>1P</v>
      </c>
      <c r="AU88" s="34">
        <v>10</v>
      </c>
      <c r="AV88" s="34" t="str">
        <v/>
      </c>
      <c r="AW88" s="34" t="str">
        <v/>
      </c>
      <c r="AX88" s="34" t="str">
        <v/>
      </c>
      <c r="AY88" s="34">
        <v>1</v>
      </c>
      <c r="AZ88" s="34" t="str">
        <v/>
      </c>
      <c r="BA88" s="34">
        <v>0</v>
      </c>
      <c r="BB88" s="34">
        <v>10</v>
      </c>
      <c r="BD88" s="34">
        <v>1</v>
      </c>
      <c r="BE88" s="34">
        <v>0</v>
      </c>
      <c r="BF88" s="34">
        <v>0</v>
      </c>
      <c r="BG88" s="34" t="str">
        <v/>
      </c>
      <c r="BH88" s="34" t="str">
        <v/>
      </c>
      <c r="BI88" s="34" t="str">
        <v/>
      </c>
      <c r="BJ88" s="34" t="str">
        <v/>
      </c>
      <c r="BK88" s="34" t="str">
        <v>BOX</v>
      </c>
      <c r="BL88" s="34">
        <v>1</v>
      </c>
      <c r="BM88" s="34" t="str">
        <v/>
      </c>
      <c r="BN88" s="34" t="str">
        <v/>
      </c>
      <c r="BO88" s="34" t="str">
        <v/>
      </c>
      <c r="BP88" s="34" t="str">
        <v/>
      </c>
      <c r="BQ88" s="34" t="str">
        <v>3х1,5</v>
      </c>
      <c r="BR88" s="34" t="str">
        <v/>
      </c>
      <c r="BS88" s="34" t="str">
        <v/>
      </c>
      <c r="BT88" s="34" t="str">
        <v/>
      </c>
      <c r="BU88" s="34">
        <v>0</v>
      </c>
      <c r="BV88" s="34">
        <v>108</v>
      </c>
      <c r="BW88" s="34">
        <v>1</v>
      </c>
      <c r="BX88" s="34">
        <v>0</v>
      </c>
      <c r="BY88" s="34">
        <v>0</v>
      </c>
      <c r="BZ88">
        <v>6</v>
      </c>
      <c r="CA88" t="str">
        <v>линии</v>
      </c>
    </row>
    <row r="89" spans="1:79" x14ac:dyDescent="0.3">
      <c r="A89" s="39" t="str">
        <v>ЩОВ-01</v>
      </c>
      <c r="B89" s="42">
        <v>23</v>
      </c>
      <c r="C89" s="42">
        <v>2</v>
      </c>
      <c r="D89" s="75" t="str">
        <v/>
      </c>
      <c r="E89" s="75" t="str">
        <v>авто</v>
      </c>
      <c r="F89" s="76" t="str">
        <v/>
      </c>
      <c r="G89" s="47" t="str">
        <v>QF9</v>
      </c>
      <c r="H89" s="47" t="str">
        <v>1P С10А</v>
      </c>
      <c r="I89" s="75" t="str">
        <v/>
      </c>
      <c r="J89" s="76" t="str">
        <v/>
      </c>
      <c r="K89" s="76" t="str">
        <v/>
      </c>
      <c r="L89" s="75" t="str">
        <v/>
      </c>
      <c r="M89" s="49" t="str">
        <v/>
      </c>
      <c r="N89" s="76" t="str">
        <v/>
      </c>
      <c r="O89" s="49" t="str">
        <v/>
      </c>
      <c r="P89" s="77" t="str">
        <v/>
      </c>
      <c r="Q89" s="53" t="str">
        <v>ВВГнг(А)-LS (3х1,5) L=12-0,08%</v>
      </c>
      <c r="R89" s="54" t="str">
        <v>K.0.001T.2</v>
      </c>
      <c r="S89" s="55" t="str">
        <v>Внутренний блок кондиционирования цокольный этаж Пом. №001Т</v>
      </c>
      <c r="T89" s="56">
        <v>0.104</v>
      </c>
      <c r="U89" s="56">
        <v>0.48</v>
      </c>
      <c r="V89" s="42" t="str">
        <v>L3</v>
      </c>
      <c r="W89" s="57" t="str">
        <v>ok</v>
      </c>
      <c r="X89" s="58" t="str">
        <v/>
      </c>
      <c r="Y89" s="75" t="str">
        <v/>
      </c>
      <c r="Z89" s="59">
        <v>0.48</v>
      </c>
      <c r="AA89" s="61">
        <v>6</v>
      </c>
      <c r="AB89" s="61">
        <v>16</v>
      </c>
      <c r="AC89" s="61" t="str">
        <v/>
      </c>
      <c r="AD89" s="62" t="str">
        <v>QF9</v>
      </c>
      <c r="AE89" s="62" t="str">
        <v/>
      </c>
      <c r="AF89" s="34">
        <v>9</v>
      </c>
      <c r="AG89" s="34" t="str">
        <v>QF9</v>
      </c>
      <c r="AH89" s="34" t="str">
        <v/>
      </c>
      <c r="AI89" s="34" t="str">
        <v/>
      </c>
      <c r="AJ89" s="34" t="str">
        <v>QF9</v>
      </c>
      <c r="AK89" s="34">
        <v>1</v>
      </c>
      <c r="AL89" s="34" t="str">
        <v>K</v>
      </c>
      <c r="AM89" s="34">
        <v>0</v>
      </c>
      <c r="AN89" s="34">
        <v>0</v>
      </c>
      <c r="AO89" s="34">
        <v>10</v>
      </c>
      <c r="AP89" s="34">
        <v>16</v>
      </c>
      <c r="AQ89" s="34">
        <v>10</v>
      </c>
      <c r="AR89" s="34">
        <v>1</v>
      </c>
      <c r="AS89" s="34">
        <v>0</v>
      </c>
      <c r="AT89" s="34" t="str">
        <v>1P</v>
      </c>
      <c r="AU89" s="34">
        <v>10</v>
      </c>
      <c r="AV89" s="34" t="str">
        <v/>
      </c>
      <c r="AW89" s="34" t="str">
        <v/>
      </c>
      <c r="AX89" s="34" t="str">
        <v/>
      </c>
      <c r="AY89" s="34">
        <v>1</v>
      </c>
      <c r="AZ89" s="34" t="str">
        <v/>
      </c>
      <c r="BA89" s="34">
        <v>0</v>
      </c>
      <c r="BB89" s="34">
        <v>10</v>
      </c>
      <c r="BD89" s="34">
        <v>1</v>
      </c>
      <c r="BE89" s="34">
        <v>0</v>
      </c>
      <c r="BF89" s="34">
        <v>0</v>
      </c>
      <c r="BG89" s="34" t="str">
        <v/>
      </c>
      <c r="BH89" s="34" t="str">
        <v/>
      </c>
      <c r="BI89" s="34" t="str">
        <v/>
      </c>
      <c r="BJ89" s="34" t="str">
        <v/>
      </c>
      <c r="BK89" s="34" t="str">
        <v>BOX</v>
      </c>
      <c r="BL89" s="34">
        <v>1</v>
      </c>
      <c r="BM89" s="34" t="str">
        <v/>
      </c>
      <c r="BN89" s="34" t="str">
        <v/>
      </c>
      <c r="BO89" s="34" t="str">
        <v/>
      </c>
      <c r="BP89" s="34" t="str">
        <v/>
      </c>
      <c r="BQ89" s="34" t="str">
        <v>3х1,5</v>
      </c>
      <c r="BR89" s="34" t="str">
        <v/>
      </c>
      <c r="BS89" s="34" t="str">
        <v/>
      </c>
      <c r="BT89" s="34" t="str">
        <v/>
      </c>
      <c r="BU89" s="34">
        <v>0</v>
      </c>
      <c r="BV89" s="34">
        <v>109</v>
      </c>
      <c r="BW89" s="34">
        <v>1</v>
      </c>
      <c r="BX89" s="34">
        <v>0</v>
      </c>
      <c r="BY89" s="34">
        <v>0</v>
      </c>
      <c r="BZ89">
        <v>6</v>
      </c>
      <c r="CA89" t="str">
        <v>линии</v>
      </c>
    </row>
    <row r="90" spans="1:79" x14ac:dyDescent="0.3">
      <c r="A90" s="39" t="str">
        <v>ЩОВ-01</v>
      </c>
      <c r="B90" s="42">
        <v>24</v>
      </c>
      <c r="C90" s="42">
        <v>2</v>
      </c>
      <c r="D90" s="75" t="str">
        <v/>
      </c>
      <c r="E90" s="75" t="str">
        <v>авто</v>
      </c>
      <c r="F90" s="76" t="str">
        <v/>
      </c>
      <c r="G90" s="47" t="str">
        <v>QF10</v>
      </c>
      <c r="H90" s="47" t="str">
        <v>1P С10А</v>
      </c>
      <c r="I90" s="75" t="str">
        <v/>
      </c>
      <c r="J90" s="76" t="str">
        <v/>
      </c>
      <c r="K90" s="76" t="str">
        <v/>
      </c>
      <c r="L90" s="75" t="str">
        <v/>
      </c>
      <c r="M90" s="49" t="str">
        <v/>
      </c>
      <c r="N90" s="76" t="str">
        <v/>
      </c>
      <c r="O90" s="49" t="str">
        <v/>
      </c>
      <c r="P90" s="77" t="str">
        <v/>
      </c>
      <c r="Q90" s="53" t="str">
        <v>ВВГнг(А)-LS (3х1,5) L=27-0,23%</v>
      </c>
      <c r="R90" s="54" t="str">
        <v>K.0.002T.1</v>
      </c>
      <c r="S90" s="55" t="str">
        <v>Внутренний блок кондиционирования цокольный этаж Пом. №002Т</v>
      </c>
      <c r="T90" s="56">
        <v>0.151</v>
      </c>
      <c r="U90" s="56">
        <v>0.69000000000000006</v>
      </c>
      <c r="V90" s="42" t="str">
        <v>L1</v>
      </c>
      <c r="W90" s="57" t="str">
        <v>ok</v>
      </c>
      <c r="X90" s="58" t="str">
        <v/>
      </c>
      <c r="Y90" s="75" t="str">
        <v/>
      </c>
      <c r="Z90" s="59">
        <v>0.69000000000000006</v>
      </c>
      <c r="AA90" s="61">
        <v>6</v>
      </c>
      <c r="AB90" s="61">
        <v>16</v>
      </c>
      <c r="AC90" s="61" t="str">
        <v/>
      </c>
      <c r="AD90" s="62" t="str">
        <v>QF10</v>
      </c>
      <c r="AE90" s="62" t="str">
        <v/>
      </c>
      <c r="AF90" s="34">
        <v>10</v>
      </c>
      <c r="AG90" s="34" t="str">
        <v>QF10</v>
      </c>
      <c r="AH90" s="34" t="str">
        <v/>
      </c>
      <c r="AI90" s="34" t="str">
        <v/>
      </c>
      <c r="AJ90" s="34" t="str">
        <v>QF10</v>
      </c>
      <c r="AK90" s="34">
        <v>1</v>
      </c>
      <c r="AL90" s="34" t="str">
        <v>K</v>
      </c>
      <c r="AM90" s="34">
        <v>0</v>
      </c>
      <c r="AN90" s="34">
        <v>0</v>
      </c>
      <c r="AO90" s="34">
        <v>10</v>
      </c>
      <c r="AP90" s="34">
        <v>16</v>
      </c>
      <c r="AQ90" s="34">
        <v>10</v>
      </c>
      <c r="AR90" s="34">
        <v>1</v>
      </c>
      <c r="AS90" s="34">
        <v>0</v>
      </c>
      <c r="AT90" s="34" t="str">
        <v>1P</v>
      </c>
      <c r="AU90" s="34">
        <v>10</v>
      </c>
      <c r="AV90" s="34" t="str">
        <v/>
      </c>
      <c r="AW90" s="34" t="str">
        <v/>
      </c>
      <c r="AX90" s="34" t="str">
        <v/>
      </c>
      <c r="AY90" s="34">
        <v>1</v>
      </c>
      <c r="AZ90" s="34" t="str">
        <v/>
      </c>
      <c r="BA90" s="34">
        <v>0</v>
      </c>
      <c r="BB90" s="34">
        <v>10</v>
      </c>
      <c r="BD90" s="34">
        <v>1</v>
      </c>
      <c r="BE90" s="34">
        <v>0</v>
      </c>
      <c r="BF90" s="34">
        <v>0</v>
      </c>
      <c r="BG90" s="34" t="str">
        <v/>
      </c>
      <c r="BH90" s="34" t="str">
        <v/>
      </c>
      <c r="BI90" s="34" t="str">
        <v/>
      </c>
      <c r="BJ90" s="34" t="str">
        <v/>
      </c>
      <c r="BK90" s="34" t="str">
        <v>BOX</v>
      </c>
      <c r="BL90" s="34">
        <v>1</v>
      </c>
      <c r="BM90" s="34" t="str">
        <v/>
      </c>
      <c r="BN90" s="34" t="str">
        <v/>
      </c>
      <c r="BO90" s="34" t="str">
        <v/>
      </c>
      <c r="BP90" s="34" t="str">
        <v/>
      </c>
      <c r="BQ90" s="34" t="str">
        <v>3х1,5</v>
      </c>
      <c r="BR90" s="34" t="str">
        <v/>
      </c>
      <c r="BS90" s="34" t="str">
        <v/>
      </c>
      <c r="BT90" s="34" t="str">
        <v/>
      </c>
      <c r="BU90" s="34">
        <v>0</v>
      </c>
      <c r="BV90" s="34">
        <v>110</v>
      </c>
      <c r="BW90" s="34">
        <v>1</v>
      </c>
      <c r="BX90" s="34">
        <v>0</v>
      </c>
      <c r="BY90" s="34">
        <v>0</v>
      </c>
      <c r="BZ90">
        <v>6</v>
      </c>
      <c r="CA90" t="str">
        <v>линии</v>
      </c>
    </row>
    <row r="91" spans="1:79" x14ac:dyDescent="0.3">
      <c r="A91" s="39" t="str">
        <v>ЩОВ-01</v>
      </c>
      <c r="B91" s="42">
        <v>25</v>
      </c>
      <c r="C91" s="42">
        <v>2</v>
      </c>
      <c r="D91" s="75" t="str">
        <v/>
      </c>
      <c r="E91" s="75" t="str">
        <v>авто</v>
      </c>
      <c r="F91" s="76" t="str">
        <v/>
      </c>
      <c r="G91" s="47" t="str">
        <v>QF11</v>
      </c>
      <c r="H91" s="47" t="str">
        <v>1P С10А</v>
      </c>
      <c r="I91" s="75" t="str">
        <v/>
      </c>
      <c r="J91" s="76" t="str">
        <v/>
      </c>
      <c r="K91" s="76" t="str">
        <v/>
      </c>
      <c r="L91" s="75" t="str">
        <v/>
      </c>
      <c r="M91" s="49" t="str">
        <v/>
      </c>
      <c r="N91" s="76" t="str">
        <v/>
      </c>
      <c r="O91" s="49" t="str">
        <v/>
      </c>
      <c r="P91" s="77" t="str">
        <v/>
      </c>
      <c r="Q91" s="53" t="str">
        <v>ВВГнг(А)-LS (3х1,5) L=25-0,22%</v>
      </c>
      <c r="R91" s="54" t="str">
        <v>K.0.002T.2</v>
      </c>
      <c r="S91" s="55" t="str">
        <v>Внутренний блок кондиционирования цокольный этаж Пом. №002Т</v>
      </c>
      <c r="T91" s="56">
        <v>0.151</v>
      </c>
      <c r="U91" s="56">
        <v>0.69000000000000006</v>
      </c>
      <c r="V91" s="42" t="str">
        <v>L2</v>
      </c>
      <c r="W91" s="57" t="str">
        <v>ok</v>
      </c>
      <c r="X91" s="58" t="str">
        <v/>
      </c>
      <c r="Y91" s="75" t="str">
        <v/>
      </c>
      <c r="Z91" s="59">
        <v>0.69000000000000006</v>
      </c>
      <c r="AA91" s="61">
        <v>6</v>
      </c>
      <c r="AB91" s="61">
        <v>16</v>
      </c>
      <c r="AC91" s="61" t="str">
        <v/>
      </c>
      <c r="AD91" s="62" t="str">
        <v>QF11</v>
      </c>
      <c r="AE91" s="62" t="str">
        <v/>
      </c>
      <c r="AF91" s="34">
        <v>11</v>
      </c>
      <c r="AG91" s="34" t="str">
        <v>QF11</v>
      </c>
      <c r="AH91" s="34" t="str">
        <v/>
      </c>
      <c r="AI91" s="34" t="str">
        <v/>
      </c>
      <c r="AJ91" s="34" t="str">
        <v>QF11</v>
      </c>
      <c r="AK91" s="34">
        <v>1</v>
      </c>
      <c r="AL91" s="34" t="str">
        <v>K</v>
      </c>
      <c r="AM91" s="34">
        <v>0</v>
      </c>
      <c r="AN91" s="34">
        <v>0</v>
      </c>
      <c r="AO91" s="34">
        <v>10</v>
      </c>
      <c r="AP91" s="34">
        <v>16</v>
      </c>
      <c r="AQ91" s="34">
        <v>10</v>
      </c>
      <c r="AR91" s="34">
        <v>1</v>
      </c>
      <c r="AS91" s="34">
        <v>0</v>
      </c>
      <c r="AT91" s="34" t="str">
        <v>1P</v>
      </c>
      <c r="AU91" s="34">
        <v>10</v>
      </c>
      <c r="AV91" s="34" t="str">
        <v/>
      </c>
      <c r="AW91" s="34" t="str">
        <v/>
      </c>
      <c r="AX91" s="34" t="str">
        <v/>
      </c>
      <c r="AY91" s="34">
        <v>1</v>
      </c>
      <c r="AZ91" s="34" t="str">
        <v/>
      </c>
      <c r="BA91" s="34">
        <v>0</v>
      </c>
      <c r="BB91" s="34">
        <v>10</v>
      </c>
      <c r="BD91" s="34">
        <v>1</v>
      </c>
      <c r="BE91" s="34">
        <v>0</v>
      </c>
      <c r="BF91" s="34">
        <v>0</v>
      </c>
      <c r="BG91" s="34" t="str">
        <v/>
      </c>
      <c r="BH91" s="34" t="str">
        <v/>
      </c>
      <c r="BI91" s="34" t="str">
        <v/>
      </c>
      <c r="BJ91" s="34" t="str">
        <v/>
      </c>
      <c r="BK91" s="34" t="str">
        <v>BOX</v>
      </c>
      <c r="BL91" s="34">
        <v>1</v>
      </c>
      <c r="BM91" s="34" t="str">
        <v/>
      </c>
      <c r="BN91" s="34" t="str">
        <v/>
      </c>
      <c r="BO91" s="34" t="str">
        <v/>
      </c>
      <c r="BP91" s="34" t="str">
        <v/>
      </c>
      <c r="BQ91" s="34" t="str">
        <v>3х1,5</v>
      </c>
      <c r="BR91" s="34" t="str">
        <v/>
      </c>
      <c r="BS91" s="34" t="str">
        <v/>
      </c>
      <c r="BT91" s="34" t="str">
        <v/>
      </c>
      <c r="BU91" s="34">
        <v>0</v>
      </c>
      <c r="BV91" s="34">
        <v>111</v>
      </c>
      <c r="BW91" s="34">
        <v>1</v>
      </c>
      <c r="BX91" s="34">
        <v>0</v>
      </c>
      <c r="BY91" s="34">
        <v>0</v>
      </c>
      <c r="BZ91">
        <v>6</v>
      </c>
      <c r="CA91" t="str">
        <v>линии</v>
      </c>
    </row>
    <row r="92" spans="1:79" x14ac:dyDescent="0.3">
      <c r="A92" s="39" t="str">
        <v>ЩОВ-01</v>
      </c>
      <c r="B92" s="42">
        <v>26</v>
      </c>
      <c r="C92" s="42">
        <v>2</v>
      </c>
      <c r="D92" s="75" t="str">
        <v/>
      </c>
      <c r="E92" s="75" t="str">
        <v>авто</v>
      </c>
      <c r="F92" s="76" t="str">
        <v/>
      </c>
      <c r="G92" s="47" t="str">
        <v>QF12</v>
      </c>
      <c r="H92" s="47" t="str">
        <v>1P С10А</v>
      </c>
      <c r="I92" s="75" t="str">
        <v/>
      </c>
      <c r="J92" s="76" t="str">
        <v/>
      </c>
      <c r="K92" s="76" t="str">
        <v/>
      </c>
      <c r="L92" s="75" t="str">
        <v/>
      </c>
      <c r="M92" s="49" t="str">
        <v/>
      </c>
      <c r="N92" s="76" t="str">
        <v/>
      </c>
      <c r="O92" s="49" t="str">
        <v/>
      </c>
      <c r="P92" s="77" t="str">
        <v/>
      </c>
      <c r="Q92" s="53" t="str">
        <v>ВВГнг(А)-LS (3х1,5) L=54-0,5%</v>
      </c>
      <c r="R92" s="54" t="str">
        <v>K.0.004A-K.0.005A</v>
      </c>
      <c r="S92" s="55" t="str">
        <v>Внутренний блок кондиционирования цокольный этаж Пом. №013.1Б</v>
      </c>
      <c r="T92" s="56">
        <v>0.16200000000000001</v>
      </c>
      <c r="U92" s="56">
        <v>0.74</v>
      </c>
      <c r="V92" s="42" t="str">
        <v>L3</v>
      </c>
      <c r="W92" s="57" t="str">
        <v>ok</v>
      </c>
      <c r="X92" s="58" t="str">
        <v/>
      </c>
      <c r="Y92" s="75" t="str">
        <v/>
      </c>
      <c r="Z92" s="59">
        <v>0.74</v>
      </c>
      <c r="AA92" s="61">
        <v>6</v>
      </c>
      <c r="AB92" s="61">
        <v>16</v>
      </c>
      <c r="AC92" s="61" t="str">
        <v/>
      </c>
      <c r="AD92" s="62" t="str">
        <v>QF12</v>
      </c>
      <c r="AE92" s="62" t="str">
        <v/>
      </c>
      <c r="AF92" s="34">
        <v>12</v>
      </c>
      <c r="AG92" s="34" t="str">
        <v>QF12</v>
      </c>
      <c r="AH92" s="34" t="str">
        <v/>
      </c>
      <c r="AI92" s="34" t="str">
        <v/>
      </c>
      <c r="AJ92" s="34" t="str">
        <v>QF12</v>
      </c>
      <c r="AK92" s="34">
        <v>1</v>
      </c>
      <c r="AL92" s="34" t="str">
        <v>K</v>
      </c>
      <c r="AM92" s="34">
        <v>0</v>
      </c>
      <c r="AN92" s="34">
        <v>0</v>
      </c>
      <c r="AO92" s="34">
        <v>10</v>
      </c>
      <c r="AP92" s="34">
        <v>16</v>
      </c>
      <c r="AQ92" s="34">
        <v>10</v>
      </c>
      <c r="AR92" s="34">
        <v>1</v>
      </c>
      <c r="AS92" s="34">
        <v>0</v>
      </c>
      <c r="AT92" s="34" t="str">
        <v>1P</v>
      </c>
      <c r="AU92" s="34">
        <v>10</v>
      </c>
      <c r="AV92" s="34" t="str">
        <v/>
      </c>
      <c r="AW92" s="34" t="str">
        <v/>
      </c>
      <c r="AX92" s="34" t="str">
        <v/>
      </c>
      <c r="AY92" s="34">
        <v>1</v>
      </c>
      <c r="AZ92" s="34" t="str">
        <v/>
      </c>
      <c r="BA92" s="34">
        <v>0</v>
      </c>
      <c r="BB92" s="34">
        <v>10</v>
      </c>
      <c r="BD92" s="34">
        <v>1</v>
      </c>
      <c r="BE92" s="34">
        <v>0</v>
      </c>
      <c r="BF92" s="34">
        <v>0</v>
      </c>
      <c r="BG92" s="34" t="str">
        <v/>
      </c>
      <c r="BH92" s="34" t="str">
        <v/>
      </c>
      <c r="BI92" s="34" t="str">
        <v/>
      </c>
      <c r="BJ92" s="34" t="str">
        <v/>
      </c>
      <c r="BK92" s="34" t="str">
        <v>BOX</v>
      </c>
      <c r="BL92" s="34">
        <v>1</v>
      </c>
      <c r="BM92" s="34" t="str">
        <v/>
      </c>
      <c r="BN92" s="34" t="str">
        <v/>
      </c>
      <c r="BO92" s="34" t="str">
        <v/>
      </c>
      <c r="BP92" s="34" t="str">
        <v/>
      </c>
      <c r="BQ92" s="34" t="str">
        <v>3х1,5</v>
      </c>
      <c r="BR92" s="34" t="str">
        <v/>
      </c>
      <c r="BS92" s="34" t="str">
        <v/>
      </c>
      <c r="BT92" s="34" t="str">
        <v/>
      </c>
      <c r="BU92" s="34">
        <v>0</v>
      </c>
      <c r="BV92" s="34">
        <v>112</v>
      </c>
      <c r="BW92" s="34">
        <v>1</v>
      </c>
      <c r="BX92" s="34">
        <v>0</v>
      </c>
      <c r="BY92" s="34">
        <v>0</v>
      </c>
      <c r="BZ92">
        <v>6</v>
      </c>
      <c r="CA92" t="str">
        <v>линии</v>
      </c>
    </row>
    <row r="93" spans="1:79" x14ac:dyDescent="0.3">
      <c r="A93" s="39" t="str">
        <v>ЩОВ-01</v>
      </c>
      <c r="B93" s="42">
        <v>27</v>
      </c>
      <c r="C93" s="42">
        <v>2</v>
      </c>
      <c r="D93" s="75" t="str">
        <v/>
      </c>
      <c r="E93" s="75" t="str">
        <v>авто</v>
      </c>
      <c r="F93" s="76" t="str">
        <v/>
      </c>
      <c r="G93" s="47" t="str">
        <v>QF13</v>
      </c>
      <c r="H93" s="47" t="str">
        <v>1P С10А</v>
      </c>
      <c r="I93" s="75" t="str">
        <v/>
      </c>
      <c r="J93" s="76" t="str">
        <v/>
      </c>
      <c r="K93" s="76" t="str">
        <v/>
      </c>
      <c r="L93" s="75" t="str">
        <v/>
      </c>
      <c r="M93" s="49" t="str">
        <v/>
      </c>
      <c r="N93" s="76" t="str">
        <v/>
      </c>
      <c r="O93" s="49" t="str">
        <v/>
      </c>
      <c r="P93" s="77" t="str">
        <v/>
      </c>
      <c r="Q93" s="53" t="str">
        <v>ВВГнг(А)-LS (3х1,5) L=42-0,39%</v>
      </c>
      <c r="R93" s="54" t="str">
        <v>K.0.005Б.1</v>
      </c>
      <c r="S93" s="55" t="str">
        <v>Внутренний блок кондиционирования цокольный этаж Пом. №005Б</v>
      </c>
      <c r="T93" s="56">
        <v>0.16200000000000001</v>
      </c>
      <c r="U93" s="56">
        <v>0.74</v>
      </c>
      <c r="V93" s="42" t="str">
        <v>L1</v>
      </c>
      <c r="W93" s="57" t="str">
        <v>ok</v>
      </c>
      <c r="X93" s="58" t="str">
        <v/>
      </c>
      <c r="Y93" s="75" t="str">
        <v/>
      </c>
      <c r="Z93" s="59">
        <v>0.74</v>
      </c>
      <c r="AA93" s="61">
        <v>6</v>
      </c>
      <c r="AB93" s="61">
        <v>16</v>
      </c>
      <c r="AC93" s="61" t="str">
        <v/>
      </c>
      <c r="AD93" s="62" t="str">
        <v>QF13</v>
      </c>
      <c r="AE93" s="62" t="str">
        <v/>
      </c>
      <c r="AF93" s="34">
        <v>13</v>
      </c>
      <c r="AG93" s="34" t="str">
        <v>QF13</v>
      </c>
      <c r="AH93" s="34" t="str">
        <v/>
      </c>
      <c r="AI93" s="34" t="str">
        <v/>
      </c>
      <c r="AJ93" s="34" t="str">
        <v>QF13</v>
      </c>
      <c r="AK93" s="34">
        <v>1</v>
      </c>
      <c r="AL93" s="34" t="str">
        <v>K</v>
      </c>
      <c r="AM93" s="34">
        <v>0</v>
      </c>
      <c r="AN93" s="34">
        <v>0</v>
      </c>
      <c r="AO93" s="34">
        <v>10</v>
      </c>
      <c r="AP93" s="34">
        <v>16</v>
      </c>
      <c r="AQ93" s="34">
        <v>10</v>
      </c>
      <c r="AR93" s="34">
        <v>1</v>
      </c>
      <c r="AS93" s="34">
        <v>0</v>
      </c>
      <c r="AT93" s="34" t="str">
        <v>1P</v>
      </c>
      <c r="AU93" s="34">
        <v>10</v>
      </c>
      <c r="AV93" s="34" t="str">
        <v/>
      </c>
      <c r="AW93" s="34" t="str">
        <v/>
      </c>
      <c r="AX93" s="34" t="str">
        <v/>
      </c>
      <c r="AY93" s="34">
        <v>1</v>
      </c>
      <c r="AZ93" s="34" t="str">
        <v/>
      </c>
      <c r="BA93" s="34">
        <v>0</v>
      </c>
      <c r="BB93" s="34">
        <v>10</v>
      </c>
      <c r="BD93" s="34">
        <v>1</v>
      </c>
      <c r="BE93" s="34">
        <v>0</v>
      </c>
      <c r="BF93" s="34">
        <v>0</v>
      </c>
      <c r="BG93" s="34" t="str">
        <v/>
      </c>
      <c r="BH93" s="34" t="str">
        <v/>
      </c>
      <c r="BI93" s="34" t="str">
        <v/>
      </c>
      <c r="BJ93" s="34" t="str">
        <v/>
      </c>
      <c r="BK93" s="34" t="str">
        <v>BOX</v>
      </c>
      <c r="BL93" s="34">
        <v>1</v>
      </c>
      <c r="BM93" s="34" t="str">
        <v/>
      </c>
      <c r="BN93" s="34" t="str">
        <v/>
      </c>
      <c r="BO93" s="34" t="str">
        <v/>
      </c>
      <c r="BP93" s="34" t="str">
        <v/>
      </c>
      <c r="BQ93" s="34" t="str">
        <v>3х1,5</v>
      </c>
      <c r="BR93" s="34" t="str">
        <v/>
      </c>
      <c r="BS93" s="34" t="str">
        <v/>
      </c>
      <c r="BT93" s="34" t="str">
        <v/>
      </c>
      <c r="BU93" s="34">
        <v>0</v>
      </c>
      <c r="BV93" s="34">
        <v>113</v>
      </c>
      <c r="BW93" s="34">
        <v>1</v>
      </c>
      <c r="BX93" s="34">
        <v>0</v>
      </c>
      <c r="BY93" s="34">
        <v>0</v>
      </c>
      <c r="BZ93">
        <v>6</v>
      </c>
      <c r="CA93" t="str">
        <v>линии</v>
      </c>
    </row>
    <row r="94" spans="1:79" x14ac:dyDescent="0.3">
      <c r="A94" s="39" t="str">
        <v>ЩОВ-01</v>
      </c>
      <c r="B94" s="42">
        <v>28</v>
      </c>
      <c r="C94" s="42">
        <v>2</v>
      </c>
      <c r="D94" s="75" t="str">
        <v/>
      </c>
      <c r="E94" s="75" t="str">
        <v>авто</v>
      </c>
      <c r="F94" s="76" t="str">
        <v/>
      </c>
      <c r="G94" s="47" t="str">
        <v>QF14</v>
      </c>
      <c r="H94" s="47" t="str">
        <v>1P С10А</v>
      </c>
      <c r="I94" s="75" t="str">
        <v/>
      </c>
      <c r="J94" s="76" t="str">
        <v/>
      </c>
      <c r="K94" s="76" t="str">
        <v/>
      </c>
      <c r="L94" s="75" t="str">
        <v/>
      </c>
      <c r="M94" s="49" t="str">
        <v/>
      </c>
      <c r="N94" s="76" t="str">
        <v/>
      </c>
      <c r="O94" s="49" t="str">
        <v/>
      </c>
      <c r="P94" s="77" t="str">
        <v/>
      </c>
      <c r="Q94" s="53" t="str">
        <v>ВВГнг(А)-LS (3х1,5) L=50-0,46%</v>
      </c>
      <c r="R94" s="54" t="str">
        <v>K.0.005Б.2</v>
      </c>
      <c r="S94" s="55" t="str">
        <v>Внутренний блок кондиционирования цокольный этаж Пом. №005Б</v>
      </c>
      <c r="T94" s="56">
        <v>0.16200000000000001</v>
      </c>
      <c r="U94" s="56">
        <v>0.74</v>
      </c>
      <c r="V94" s="42" t="str">
        <v>L2</v>
      </c>
      <c r="W94" s="57" t="str">
        <v>ok</v>
      </c>
      <c r="X94" s="58" t="str">
        <v/>
      </c>
      <c r="Y94" s="75" t="str">
        <v/>
      </c>
      <c r="Z94" s="59">
        <v>0.74</v>
      </c>
      <c r="AA94" s="61">
        <v>6</v>
      </c>
      <c r="AB94" s="61">
        <v>16</v>
      </c>
      <c r="AC94" s="61" t="str">
        <v/>
      </c>
      <c r="AD94" s="62" t="str">
        <v>QF14</v>
      </c>
      <c r="AE94" s="62" t="str">
        <v/>
      </c>
      <c r="AF94" s="34">
        <v>14</v>
      </c>
      <c r="AG94" s="34" t="str">
        <v>QF14</v>
      </c>
      <c r="AH94" s="34" t="str">
        <v/>
      </c>
      <c r="AI94" s="34" t="str">
        <v/>
      </c>
      <c r="AJ94" s="34" t="str">
        <v>QF14</v>
      </c>
      <c r="AK94" s="34">
        <v>1</v>
      </c>
      <c r="AL94" s="34" t="str">
        <v>K</v>
      </c>
      <c r="AM94" s="34">
        <v>0</v>
      </c>
      <c r="AN94" s="34">
        <v>0</v>
      </c>
      <c r="AO94" s="34">
        <v>10</v>
      </c>
      <c r="AP94" s="34">
        <v>16</v>
      </c>
      <c r="AQ94" s="34">
        <v>10</v>
      </c>
      <c r="AR94" s="34">
        <v>1</v>
      </c>
      <c r="AS94" s="34">
        <v>0</v>
      </c>
      <c r="AT94" s="34" t="str">
        <v>1P</v>
      </c>
      <c r="AU94" s="34">
        <v>10</v>
      </c>
      <c r="AV94" s="34" t="str">
        <v/>
      </c>
      <c r="AW94" s="34" t="str">
        <v/>
      </c>
      <c r="AX94" s="34" t="str">
        <v/>
      </c>
      <c r="AY94" s="34">
        <v>1</v>
      </c>
      <c r="AZ94" s="34" t="str">
        <v/>
      </c>
      <c r="BA94" s="34">
        <v>0</v>
      </c>
      <c r="BB94" s="34">
        <v>10</v>
      </c>
      <c r="BD94" s="34">
        <v>1</v>
      </c>
      <c r="BE94" s="34">
        <v>0</v>
      </c>
      <c r="BF94" s="34">
        <v>0</v>
      </c>
      <c r="BG94" s="34" t="str">
        <v/>
      </c>
      <c r="BH94" s="34" t="str">
        <v/>
      </c>
      <c r="BI94" s="34" t="str">
        <v/>
      </c>
      <c r="BJ94" s="34" t="str">
        <v/>
      </c>
      <c r="BK94" s="34" t="str">
        <v>BOX</v>
      </c>
      <c r="BL94" s="34">
        <v>1</v>
      </c>
      <c r="BM94" s="34" t="str">
        <v/>
      </c>
      <c r="BN94" s="34" t="str">
        <v/>
      </c>
      <c r="BO94" s="34" t="str">
        <v/>
      </c>
      <c r="BP94" s="34" t="str">
        <v/>
      </c>
      <c r="BQ94" s="34" t="str">
        <v>3х1,5</v>
      </c>
      <c r="BR94" s="34" t="str">
        <v/>
      </c>
      <c r="BS94" s="34" t="str">
        <v/>
      </c>
      <c r="BT94" s="34" t="str">
        <v/>
      </c>
      <c r="BU94" s="34">
        <v>0</v>
      </c>
      <c r="BV94" s="34">
        <v>114</v>
      </c>
      <c r="BW94" s="34">
        <v>1</v>
      </c>
      <c r="BX94" s="34">
        <v>0</v>
      </c>
      <c r="BY94" s="34">
        <v>0</v>
      </c>
      <c r="BZ94">
        <v>6</v>
      </c>
      <c r="CA94" t="str">
        <v>линии</v>
      </c>
    </row>
    <row r="95" spans="1:79" x14ac:dyDescent="0.3">
      <c r="A95" s="39" t="str">
        <v>ЩОВ-01</v>
      </c>
      <c r="B95" s="42">
        <v>29</v>
      </c>
      <c r="C95" s="42">
        <v>2</v>
      </c>
      <c r="D95" s="75" t="str">
        <v/>
      </c>
      <c r="E95" s="75" t="str">
        <v>авто</v>
      </c>
      <c r="F95" s="76" t="str">
        <v/>
      </c>
      <c r="G95" s="47" t="str">
        <v>QF15</v>
      </c>
      <c r="H95" s="47" t="str">
        <v>1P С10А</v>
      </c>
      <c r="I95" s="75" t="str">
        <v/>
      </c>
      <c r="J95" s="76" t="str">
        <v/>
      </c>
      <c r="K95" s="76" t="str">
        <v/>
      </c>
      <c r="L95" s="75" t="str">
        <v/>
      </c>
      <c r="M95" s="49" t="str">
        <v/>
      </c>
      <c r="N95" s="76" t="str">
        <v/>
      </c>
      <c r="O95" s="49" t="str">
        <v/>
      </c>
      <c r="P95" s="77" t="str">
        <v/>
      </c>
      <c r="Q95" s="53" t="str">
        <v>ВВГнг(А)-LS (3х1,5) L=52-0,33%</v>
      </c>
      <c r="R95" s="54" t="str">
        <v>K.0.006A</v>
      </c>
      <c r="S95" s="55" t="str">
        <v>Внутренний блок кондиционирования цокольный этаж Пом. №014Б</v>
      </c>
      <c r="T95" s="56">
        <v>0.111</v>
      </c>
      <c r="U95" s="56">
        <v>0.51</v>
      </c>
      <c r="V95" s="42" t="str">
        <v>L3</v>
      </c>
      <c r="W95" s="57" t="str">
        <v>ok</v>
      </c>
      <c r="X95" s="58" t="str">
        <v/>
      </c>
      <c r="Y95" s="75" t="str">
        <v/>
      </c>
      <c r="Z95" s="59">
        <v>0.51</v>
      </c>
      <c r="AA95" s="61">
        <v>6</v>
      </c>
      <c r="AB95" s="61">
        <v>16</v>
      </c>
      <c r="AC95" s="61" t="str">
        <v/>
      </c>
      <c r="AD95" s="62" t="str">
        <v>QF15</v>
      </c>
      <c r="AE95" s="62" t="str">
        <v/>
      </c>
      <c r="AF95" s="34">
        <v>15</v>
      </c>
      <c r="AG95" s="34" t="str">
        <v>QF15</v>
      </c>
      <c r="AH95" s="34" t="str">
        <v/>
      </c>
      <c r="AI95" s="34" t="str">
        <v/>
      </c>
      <c r="AJ95" s="34" t="str">
        <v>QF15</v>
      </c>
      <c r="AK95" s="34">
        <v>1</v>
      </c>
      <c r="AL95" s="34" t="str">
        <v>K</v>
      </c>
      <c r="AM95" s="34">
        <v>0</v>
      </c>
      <c r="AN95" s="34">
        <v>0</v>
      </c>
      <c r="AO95" s="34">
        <v>10</v>
      </c>
      <c r="AP95" s="34">
        <v>16</v>
      </c>
      <c r="AQ95" s="34">
        <v>10</v>
      </c>
      <c r="AR95" s="34">
        <v>1</v>
      </c>
      <c r="AS95" s="34">
        <v>0</v>
      </c>
      <c r="AT95" s="34" t="str">
        <v>1P</v>
      </c>
      <c r="AU95" s="34">
        <v>10</v>
      </c>
      <c r="AV95" s="34" t="str">
        <v/>
      </c>
      <c r="AW95" s="34" t="str">
        <v/>
      </c>
      <c r="AX95" s="34" t="str">
        <v/>
      </c>
      <c r="AY95" s="34">
        <v>1</v>
      </c>
      <c r="AZ95" s="34" t="str">
        <v/>
      </c>
      <c r="BA95" s="34">
        <v>0</v>
      </c>
      <c r="BB95" s="34">
        <v>10</v>
      </c>
      <c r="BD95" s="34">
        <v>1</v>
      </c>
      <c r="BE95" s="34">
        <v>0</v>
      </c>
      <c r="BF95" s="34">
        <v>0</v>
      </c>
      <c r="BG95" s="34" t="str">
        <v/>
      </c>
      <c r="BH95" s="34" t="str">
        <v/>
      </c>
      <c r="BI95" s="34" t="str">
        <v/>
      </c>
      <c r="BJ95" s="34" t="str">
        <v/>
      </c>
      <c r="BK95" s="34" t="str">
        <v>BOX</v>
      </c>
      <c r="BL95" s="34">
        <v>1</v>
      </c>
      <c r="BM95" s="34" t="str">
        <v/>
      </c>
      <c r="BN95" s="34" t="str">
        <v/>
      </c>
      <c r="BO95" s="34" t="str">
        <v/>
      </c>
      <c r="BP95" s="34" t="str">
        <v/>
      </c>
      <c r="BQ95" s="34" t="str">
        <v>3х1,5</v>
      </c>
      <c r="BR95" s="34" t="str">
        <v/>
      </c>
      <c r="BS95" s="34" t="str">
        <v/>
      </c>
      <c r="BT95" s="34" t="str">
        <v/>
      </c>
      <c r="BU95" s="34">
        <v>0</v>
      </c>
      <c r="BV95" s="34">
        <v>115</v>
      </c>
      <c r="BW95" s="34">
        <v>1</v>
      </c>
      <c r="BX95" s="34">
        <v>0</v>
      </c>
      <c r="BY95" s="34">
        <v>0</v>
      </c>
      <c r="BZ95">
        <v>6</v>
      </c>
      <c r="CA95" t="str">
        <v>линии</v>
      </c>
    </row>
    <row r="96" spans="1:79" x14ac:dyDescent="0.3">
      <c r="A96" s="39" t="str">
        <v>ЩОВ-01</v>
      </c>
      <c r="B96" s="42">
        <v>30</v>
      </c>
      <c r="C96" s="42">
        <v>2</v>
      </c>
      <c r="D96" s="75" t="str">
        <v/>
      </c>
      <c r="E96" s="75" t="str">
        <v>авто</v>
      </c>
      <c r="F96" s="76" t="str">
        <v/>
      </c>
      <c r="G96" s="47" t="str">
        <v>QF16</v>
      </c>
      <c r="H96" s="47" t="str">
        <v>1P С10А</v>
      </c>
      <c r="I96" s="75" t="str">
        <v/>
      </c>
      <c r="J96" s="76" t="str">
        <v/>
      </c>
      <c r="K96" s="76" t="str">
        <v/>
      </c>
      <c r="L96" s="75" t="str">
        <v/>
      </c>
      <c r="M96" s="49" t="str">
        <v/>
      </c>
      <c r="N96" s="76" t="str">
        <v/>
      </c>
      <c r="O96" s="49" t="str">
        <v/>
      </c>
      <c r="P96" s="77" t="str">
        <v/>
      </c>
      <c r="Q96" s="53" t="str">
        <v>ВВГнг(А)-LS (3х1,5) L=55-0,33%</v>
      </c>
      <c r="R96" s="54" t="str">
        <v>K.0.008A</v>
      </c>
      <c r="S96" s="55" t="str">
        <v>Внутренний блок кондиционирования цокольный этаж Пом. №014Б</v>
      </c>
      <c r="T96" s="56">
        <v>0.104</v>
      </c>
      <c r="U96" s="56">
        <v>0.48</v>
      </c>
      <c r="V96" s="42" t="str">
        <v>L1</v>
      </c>
      <c r="W96" s="57" t="str">
        <v>ok</v>
      </c>
      <c r="X96" s="58" t="str">
        <v/>
      </c>
      <c r="Y96" s="75" t="str">
        <v/>
      </c>
      <c r="Z96" s="59">
        <v>0.48</v>
      </c>
      <c r="AA96" s="61">
        <v>6</v>
      </c>
      <c r="AB96" s="61">
        <v>16</v>
      </c>
      <c r="AC96" s="61" t="str">
        <v/>
      </c>
      <c r="AD96" s="62" t="str">
        <v>QF16</v>
      </c>
      <c r="AE96" s="62" t="str">
        <v/>
      </c>
      <c r="AF96" s="34">
        <v>16</v>
      </c>
      <c r="AG96" s="34" t="str">
        <v>QF16</v>
      </c>
      <c r="AH96" s="34" t="str">
        <v/>
      </c>
      <c r="AI96" s="34" t="str">
        <v/>
      </c>
      <c r="AJ96" s="34" t="str">
        <v>QF16</v>
      </c>
      <c r="AK96" s="34">
        <v>1</v>
      </c>
      <c r="AL96" s="34" t="str">
        <v>K</v>
      </c>
      <c r="AM96" s="34">
        <v>0</v>
      </c>
      <c r="AN96" s="34">
        <v>0</v>
      </c>
      <c r="AO96" s="34">
        <v>10</v>
      </c>
      <c r="AP96" s="34">
        <v>16</v>
      </c>
      <c r="AQ96" s="34">
        <v>10</v>
      </c>
      <c r="AR96" s="34">
        <v>1</v>
      </c>
      <c r="AS96" s="34">
        <v>0</v>
      </c>
      <c r="AT96" s="34" t="str">
        <v>1P</v>
      </c>
      <c r="AU96" s="34">
        <v>10</v>
      </c>
      <c r="AV96" s="34" t="str">
        <v/>
      </c>
      <c r="AW96" s="34" t="str">
        <v/>
      </c>
      <c r="AX96" s="34" t="str">
        <v/>
      </c>
      <c r="AY96" s="34">
        <v>1</v>
      </c>
      <c r="AZ96" s="34" t="str">
        <v/>
      </c>
      <c r="BA96" s="34">
        <v>0</v>
      </c>
      <c r="BB96" s="34">
        <v>10</v>
      </c>
      <c r="BD96" s="34">
        <v>1</v>
      </c>
      <c r="BE96" s="34">
        <v>0</v>
      </c>
      <c r="BF96" s="34">
        <v>0</v>
      </c>
      <c r="BG96" s="34" t="str">
        <v/>
      </c>
      <c r="BH96" s="34" t="str">
        <v/>
      </c>
      <c r="BI96" s="34" t="str">
        <v/>
      </c>
      <c r="BJ96" s="34" t="str">
        <v/>
      </c>
      <c r="BK96" s="34" t="str">
        <v>BOX</v>
      </c>
      <c r="BL96" s="34">
        <v>1</v>
      </c>
      <c r="BM96" s="34" t="str">
        <v/>
      </c>
      <c r="BN96" s="34" t="str">
        <v/>
      </c>
      <c r="BO96" s="34" t="str">
        <v/>
      </c>
      <c r="BP96" s="34" t="str">
        <v/>
      </c>
      <c r="BQ96" s="34" t="str">
        <v>3х1,5</v>
      </c>
      <c r="BR96" s="34" t="str">
        <v/>
      </c>
      <c r="BS96" s="34" t="str">
        <v/>
      </c>
      <c r="BT96" s="34" t="str">
        <v/>
      </c>
      <c r="BU96" s="34">
        <v>0</v>
      </c>
      <c r="BV96" s="34">
        <v>116</v>
      </c>
      <c r="BW96" s="34">
        <v>1</v>
      </c>
      <c r="BX96" s="34">
        <v>0</v>
      </c>
      <c r="BY96" s="34">
        <v>0</v>
      </c>
      <c r="BZ96">
        <v>6</v>
      </c>
      <c r="CA96" t="str">
        <v>линии</v>
      </c>
    </row>
    <row r="97" spans="1:79" x14ac:dyDescent="0.3">
      <c r="A97" s="39" t="str">
        <v>ЩОВ-01</v>
      </c>
      <c r="B97" s="42">
        <v>31</v>
      </c>
      <c r="C97" s="42">
        <v>2</v>
      </c>
      <c r="D97" s="75" t="str">
        <v/>
      </c>
      <c r="E97" s="75" t="str">
        <v>авто</v>
      </c>
      <c r="F97" s="76" t="str">
        <v/>
      </c>
      <c r="G97" s="47" t="str">
        <v>QF17</v>
      </c>
      <c r="H97" s="47" t="str">
        <v>1P С10А</v>
      </c>
      <c r="I97" s="75" t="str">
        <v/>
      </c>
      <c r="J97" s="76" t="str">
        <v/>
      </c>
      <c r="K97" s="76" t="str">
        <v/>
      </c>
      <c r="L97" s="75" t="str">
        <v/>
      </c>
      <c r="M97" s="49" t="str">
        <v/>
      </c>
      <c r="N97" s="76" t="str">
        <v/>
      </c>
      <c r="O97" s="49" t="str">
        <v/>
      </c>
      <c r="P97" s="77" t="str">
        <v/>
      </c>
      <c r="Q97" s="53" t="str">
        <v>ВВГнг(А)-LS (3х1,5) L=38-0,24%</v>
      </c>
      <c r="R97" s="54" t="str">
        <v>K.0.012Б</v>
      </c>
      <c r="S97" s="55" t="str">
        <v>Внутренний блок кондиционирования цокольный этаж Пом. №012Б</v>
      </c>
      <c r="T97" s="56">
        <v>0.111</v>
      </c>
      <c r="U97" s="56">
        <v>0.51</v>
      </c>
      <c r="V97" s="42" t="str">
        <v>L2</v>
      </c>
      <c r="W97" s="57" t="str">
        <v>ok</v>
      </c>
      <c r="X97" s="58" t="str">
        <v/>
      </c>
      <c r="Y97" s="75" t="str">
        <v/>
      </c>
      <c r="Z97" s="59">
        <v>0.51</v>
      </c>
      <c r="AA97" s="61">
        <v>6</v>
      </c>
      <c r="AB97" s="61">
        <v>16</v>
      </c>
      <c r="AC97" s="61" t="str">
        <v/>
      </c>
      <c r="AD97" s="62" t="str">
        <v>QF17</v>
      </c>
      <c r="AE97" s="62" t="str">
        <v/>
      </c>
      <c r="AF97" s="34">
        <v>17</v>
      </c>
      <c r="AG97" s="34" t="str">
        <v>QF17</v>
      </c>
      <c r="AH97" s="34" t="str">
        <v/>
      </c>
      <c r="AI97" s="34" t="str">
        <v/>
      </c>
      <c r="AJ97" s="34" t="str">
        <v>QF17</v>
      </c>
      <c r="AK97" s="34">
        <v>1</v>
      </c>
      <c r="AL97" s="34" t="str">
        <v>K</v>
      </c>
      <c r="AM97" s="34">
        <v>0</v>
      </c>
      <c r="AN97" s="34">
        <v>0</v>
      </c>
      <c r="AO97" s="34">
        <v>10</v>
      </c>
      <c r="AP97" s="34">
        <v>16</v>
      </c>
      <c r="AQ97" s="34">
        <v>10</v>
      </c>
      <c r="AR97" s="34">
        <v>1</v>
      </c>
      <c r="AS97" s="34">
        <v>0</v>
      </c>
      <c r="AT97" s="34" t="str">
        <v>1P</v>
      </c>
      <c r="AU97" s="34">
        <v>10</v>
      </c>
      <c r="AV97" s="34" t="str">
        <v/>
      </c>
      <c r="AW97" s="34" t="str">
        <v/>
      </c>
      <c r="AX97" s="34" t="str">
        <v/>
      </c>
      <c r="AY97" s="34">
        <v>1</v>
      </c>
      <c r="AZ97" s="34" t="str">
        <v/>
      </c>
      <c r="BA97" s="34">
        <v>0</v>
      </c>
      <c r="BB97" s="34">
        <v>10</v>
      </c>
      <c r="BD97" s="34">
        <v>1</v>
      </c>
      <c r="BE97" s="34">
        <v>0</v>
      </c>
      <c r="BF97" s="34">
        <v>0</v>
      </c>
      <c r="BG97" s="34" t="str">
        <v/>
      </c>
      <c r="BH97" s="34" t="str">
        <v/>
      </c>
      <c r="BI97" s="34" t="str">
        <v/>
      </c>
      <c r="BJ97" s="34" t="str">
        <v/>
      </c>
      <c r="BK97" s="34" t="str">
        <v>BOX</v>
      </c>
      <c r="BL97" s="34">
        <v>1</v>
      </c>
      <c r="BM97" s="34" t="str">
        <v/>
      </c>
      <c r="BN97" s="34" t="str">
        <v/>
      </c>
      <c r="BO97" s="34" t="str">
        <v/>
      </c>
      <c r="BP97" s="34" t="str">
        <v/>
      </c>
      <c r="BQ97" s="34" t="str">
        <v>3х1,5</v>
      </c>
      <c r="BR97" s="34" t="str">
        <v/>
      </c>
      <c r="BS97" s="34" t="str">
        <v/>
      </c>
      <c r="BT97" s="34" t="str">
        <v/>
      </c>
      <c r="BU97" s="34">
        <v>0</v>
      </c>
      <c r="BV97" s="34">
        <v>117</v>
      </c>
      <c r="BW97" s="34">
        <v>1</v>
      </c>
      <c r="BX97" s="34">
        <v>0</v>
      </c>
      <c r="BY97" s="34">
        <v>0</v>
      </c>
      <c r="BZ97">
        <v>6</v>
      </c>
      <c r="CA97" t="str">
        <v>линии</v>
      </c>
    </row>
    <row r="98" spans="1:79" x14ac:dyDescent="0.3">
      <c r="A98" s="39" t="str">
        <v>ЩОВ-01</v>
      </c>
      <c r="B98" s="42">
        <v>32</v>
      </c>
      <c r="C98" s="42">
        <v>2</v>
      </c>
      <c r="D98" s="75" t="str">
        <v/>
      </c>
      <c r="E98" s="75" t="str">
        <v>авто</v>
      </c>
      <c r="F98" s="76" t="str">
        <v/>
      </c>
      <c r="G98" s="47" t="str">
        <v>QF18</v>
      </c>
      <c r="H98" s="47" t="str">
        <v>1P С10А</v>
      </c>
      <c r="I98" s="75" t="str">
        <v/>
      </c>
      <c r="J98" s="76" t="str">
        <v/>
      </c>
      <c r="K98" s="76" t="str">
        <v/>
      </c>
      <c r="L98" s="75" t="str">
        <v/>
      </c>
      <c r="M98" s="49" t="str">
        <v/>
      </c>
      <c r="N98" s="76" t="str">
        <v/>
      </c>
      <c r="O98" s="49" t="str">
        <v/>
      </c>
      <c r="P98" s="77" t="str">
        <v/>
      </c>
      <c r="Q98" s="53" t="str">
        <v>ВВГнг(А)-LS (3х1,5) L=42-0,9%</v>
      </c>
      <c r="R98" s="54" t="str">
        <v>K.1.002AБ.1</v>
      </c>
      <c r="S98" s="55" t="str">
        <v>Внутренний блок кондиционирования подвальный этаж Пом. №001Т</v>
      </c>
      <c r="T98" s="56">
        <v>0.376</v>
      </c>
      <c r="U98" s="56">
        <v>1.72</v>
      </c>
      <c r="V98" s="42" t="str">
        <v>L3</v>
      </c>
      <c r="W98" s="57" t="str">
        <v>ok</v>
      </c>
      <c r="X98" s="58" t="str">
        <v/>
      </c>
      <c r="Y98" s="75" t="str">
        <v/>
      </c>
      <c r="Z98" s="59">
        <v>1.72</v>
      </c>
      <c r="AA98" s="61">
        <v>6</v>
      </c>
      <c r="AB98" s="61">
        <v>16</v>
      </c>
      <c r="AC98" s="61" t="str">
        <v/>
      </c>
      <c r="AD98" s="62" t="str">
        <v>QF18</v>
      </c>
      <c r="AE98" s="62" t="str">
        <v/>
      </c>
      <c r="AF98" s="34">
        <v>18</v>
      </c>
      <c r="AG98" s="34" t="str">
        <v>QF18</v>
      </c>
      <c r="AH98" s="34" t="str">
        <v/>
      </c>
      <c r="AI98" s="34" t="str">
        <v/>
      </c>
      <c r="AJ98" s="34" t="str">
        <v>QF18</v>
      </c>
      <c r="AK98" s="34">
        <v>1</v>
      </c>
      <c r="AL98" s="34" t="str">
        <v>K</v>
      </c>
      <c r="AM98" s="34">
        <v>0</v>
      </c>
      <c r="AN98" s="34">
        <v>0</v>
      </c>
      <c r="AO98" s="34">
        <v>10</v>
      </c>
      <c r="AP98" s="34">
        <v>16</v>
      </c>
      <c r="AQ98" s="34">
        <v>10</v>
      </c>
      <c r="AR98" s="34">
        <v>1</v>
      </c>
      <c r="AS98" s="34">
        <v>0</v>
      </c>
      <c r="AT98" s="34" t="str">
        <v>1P</v>
      </c>
      <c r="AU98" s="34">
        <v>10</v>
      </c>
      <c r="AV98" s="34" t="str">
        <v/>
      </c>
      <c r="AW98" s="34" t="str">
        <v/>
      </c>
      <c r="AX98" s="34" t="str">
        <v/>
      </c>
      <c r="AY98" s="34">
        <v>1</v>
      </c>
      <c r="AZ98" s="34" t="str">
        <v/>
      </c>
      <c r="BA98" s="34">
        <v>0</v>
      </c>
      <c r="BB98" s="34">
        <v>10</v>
      </c>
      <c r="BD98" s="34">
        <v>1</v>
      </c>
      <c r="BE98" s="34">
        <v>0</v>
      </c>
      <c r="BF98" s="34">
        <v>0</v>
      </c>
      <c r="BG98" s="34" t="str">
        <v/>
      </c>
      <c r="BH98" s="34" t="str">
        <v/>
      </c>
      <c r="BI98" s="34" t="str">
        <v/>
      </c>
      <c r="BJ98" s="34" t="str">
        <v/>
      </c>
      <c r="BK98" s="34" t="str">
        <v>BOX</v>
      </c>
      <c r="BL98" s="34">
        <v>1</v>
      </c>
      <c r="BM98" s="34" t="str">
        <v/>
      </c>
      <c r="BN98" s="34" t="str">
        <v/>
      </c>
      <c r="BO98" s="34" t="str">
        <v/>
      </c>
      <c r="BP98" s="34" t="str">
        <v/>
      </c>
      <c r="BQ98" s="34" t="str">
        <v>3х1,5</v>
      </c>
      <c r="BR98" s="34" t="str">
        <v/>
      </c>
      <c r="BS98" s="34" t="str">
        <v/>
      </c>
      <c r="BT98" s="34" t="str">
        <v/>
      </c>
      <c r="BU98" s="34">
        <v>0</v>
      </c>
      <c r="BV98" s="34">
        <v>118</v>
      </c>
      <c r="BW98" s="34">
        <v>1</v>
      </c>
      <c r="BX98" s="34">
        <v>0</v>
      </c>
      <c r="BY98" s="34">
        <v>0</v>
      </c>
      <c r="BZ98">
        <v>6</v>
      </c>
      <c r="CA98" t="str">
        <v>линии</v>
      </c>
    </row>
    <row r="99" spans="1:79" x14ac:dyDescent="0.3">
      <c r="A99" s="39" t="str">
        <v>ЩОВ-01</v>
      </c>
      <c r="B99" s="42">
        <v>33</v>
      </c>
      <c r="C99" s="42">
        <v>2</v>
      </c>
      <c r="D99" s="75" t="str">
        <v/>
      </c>
      <c r="E99" s="75" t="str">
        <v>авто</v>
      </c>
      <c r="F99" s="76" t="str">
        <v/>
      </c>
      <c r="G99" s="47" t="str">
        <v>QF19</v>
      </c>
      <c r="H99" s="47" t="str">
        <v>1P С10А</v>
      </c>
      <c r="I99" s="75" t="str">
        <v/>
      </c>
      <c r="J99" s="76" t="str">
        <v/>
      </c>
      <c r="K99" s="76" t="str">
        <v/>
      </c>
      <c r="L99" s="75" t="str">
        <v/>
      </c>
      <c r="M99" s="49" t="str">
        <v/>
      </c>
      <c r="N99" s="76" t="str">
        <v/>
      </c>
      <c r="O99" s="49" t="str">
        <v/>
      </c>
      <c r="P99" s="77" t="str">
        <v/>
      </c>
      <c r="Q99" s="53" t="str">
        <v>ВВГнг(А)-LS (3х1,5) L=42-0,9%</v>
      </c>
      <c r="R99" s="54" t="str">
        <v>K.1.002AБ.2</v>
      </c>
      <c r="S99" s="55" t="str">
        <v>Внутренний блок кондиционирования подвальный этаж Пом. №001Т</v>
      </c>
      <c r="T99" s="56">
        <v>0.376</v>
      </c>
      <c r="U99" s="56">
        <v>1.72</v>
      </c>
      <c r="V99" s="42" t="str">
        <v>L1</v>
      </c>
      <c r="W99" s="57" t="str">
        <v>ok</v>
      </c>
      <c r="X99" s="58" t="str">
        <v/>
      </c>
      <c r="Y99" s="75" t="str">
        <v/>
      </c>
      <c r="Z99" s="59">
        <v>1.72</v>
      </c>
      <c r="AA99" s="61">
        <v>6</v>
      </c>
      <c r="AB99" s="61">
        <v>16</v>
      </c>
      <c r="AC99" s="61" t="str">
        <v/>
      </c>
      <c r="AD99" s="62" t="str">
        <v>QF19</v>
      </c>
      <c r="AE99" s="62" t="str">
        <v/>
      </c>
      <c r="AF99" s="34">
        <v>19</v>
      </c>
      <c r="AG99" s="34" t="str">
        <v>QF19</v>
      </c>
      <c r="AH99" s="34" t="str">
        <v/>
      </c>
      <c r="AI99" s="34" t="str">
        <v/>
      </c>
      <c r="AJ99" s="34" t="str">
        <v>QF19</v>
      </c>
      <c r="AK99" s="34">
        <v>1</v>
      </c>
      <c r="AL99" s="34" t="str">
        <v>K</v>
      </c>
      <c r="AM99" s="34">
        <v>0</v>
      </c>
      <c r="AN99" s="34">
        <v>0</v>
      </c>
      <c r="AO99" s="34">
        <v>10</v>
      </c>
      <c r="AP99" s="34">
        <v>16</v>
      </c>
      <c r="AQ99" s="34">
        <v>10</v>
      </c>
      <c r="AR99" s="34">
        <v>1</v>
      </c>
      <c r="AS99" s="34">
        <v>0</v>
      </c>
      <c r="AT99" s="34" t="str">
        <v>1P</v>
      </c>
      <c r="AU99" s="34">
        <v>10</v>
      </c>
      <c r="AV99" s="34" t="str">
        <v/>
      </c>
      <c r="AW99" s="34" t="str">
        <v/>
      </c>
      <c r="AX99" s="34" t="str">
        <v/>
      </c>
      <c r="AY99" s="34">
        <v>1</v>
      </c>
      <c r="AZ99" s="34" t="str">
        <v/>
      </c>
      <c r="BA99" s="34">
        <v>0</v>
      </c>
      <c r="BB99" s="34">
        <v>10</v>
      </c>
      <c r="BD99" s="34">
        <v>1</v>
      </c>
      <c r="BE99" s="34">
        <v>0</v>
      </c>
      <c r="BF99" s="34">
        <v>0</v>
      </c>
      <c r="BG99" s="34" t="str">
        <v/>
      </c>
      <c r="BH99" s="34" t="str">
        <v/>
      </c>
      <c r="BI99" s="34" t="str">
        <v/>
      </c>
      <c r="BJ99" s="34" t="str">
        <v/>
      </c>
      <c r="BK99" s="34" t="str">
        <v>BOX</v>
      </c>
      <c r="BL99" s="34">
        <v>1</v>
      </c>
      <c r="BM99" s="34" t="str">
        <v/>
      </c>
      <c r="BN99" s="34" t="str">
        <v/>
      </c>
      <c r="BO99" s="34" t="str">
        <v/>
      </c>
      <c r="BP99" s="34" t="str">
        <v/>
      </c>
      <c r="BQ99" s="34" t="str">
        <v>3х1,5</v>
      </c>
      <c r="BR99" s="34" t="str">
        <v/>
      </c>
      <c r="BS99" s="34" t="str">
        <v/>
      </c>
      <c r="BT99" s="34" t="str">
        <v/>
      </c>
      <c r="BU99" s="34">
        <v>0</v>
      </c>
      <c r="BV99" s="34">
        <v>119</v>
      </c>
      <c r="BW99" s="34">
        <v>1</v>
      </c>
      <c r="BX99" s="34">
        <v>0</v>
      </c>
      <c r="BY99" s="34">
        <v>0</v>
      </c>
      <c r="BZ99">
        <v>6</v>
      </c>
      <c r="CA99" t="str">
        <v>линии</v>
      </c>
    </row>
    <row r="100" spans="1:79" x14ac:dyDescent="0.3">
      <c r="A100" s="39" t="str">
        <v>ЩОВ-01</v>
      </c>
      <c r="B100" s="42">
        <v>36</v>
      </c>
      <c r="C100" s="42">
        <v>3</v>
      </c>
      <c r="D100" s="75" t="str">
        <v/>
      </c>
      <c r="E100" s="75" t="str">
        <v>авто</v>
      </c>
      <c r="F100" s="76" t="str">
        <v/>
      </c>
      <c r="G100" s="47" t="str">
        <v>QF20</v>
      </c>
      <c r="H100" s="47" t="str">
        <v>1P С10А</v>
      </c>
      <c r="I100" s="75" t="str">
        <v/>
      </c>
      <c r="J100" s="76" t="str">
        <v/>
      </c>
      <c r="K100" s="76" t="str">
        <v/>
      </c>
      <c r="L100" s="75" t="str">
        <v/>
      </c>
      <c r="M100" s="49" t="str">
        <v/>
      </c>
      <c r="N100" s="76" t="str">
        <v/>
      </c>
      <c r="O100" s="49" t="str">
        <v/>
      </c>
      <c r="P100" s="77" t="str">
        <v>XT21</v>
      </c>
      <c r="Q100" s="53" t="str">
        <v>ВВГнг(А)-LS (3х1,5) L=41-0,38%</v>
      </c>
      <c r="R100" s="54" t="str">
        <v>K.1.006A</v>
      </c>
      <c r="S100" s="55" t="str">
        <v>Внутренний блок кондиционирования подвальный этаж Пом. №001Т</v>
      </c>
      <c r="T100" s="56">
        <v>0.16400000000000001</v>
      </c>
      <c r="U100" s="56">
        <v>0.75</v>
      </c>
      <c r="V100" s="42" t="str">
        <v>L1</v>
      </c>
      <c r="W100" s="57" t="str">
        <v>ok</v>
      </c>
      <c r="X100" s="58" t="str">
        <v/>
      </c>
      <c r="Y100" s="75" t="str">
        <v/>
      </c>
      <c r="Z100" s="59">
        <v>0.75</v>
      </c>
      <c r="AA100" s="61">
        <v>6</v>
      </c>
      <c r="AB100" s="61">
        <v>16</v>
      </c>
      <c r="AC100" s="61" t="str">
        <v/>
      </c>
      <c r="AD100" s="62" t="str">
        <v>QF20 → XT21</v>
      </c>
      <c r="AE100" s="62" t="str">
        <v/>
      </c>
      <c r="AF100" s="34">
        <v>20</v>
      </c>
      <c r="AG100" s="34" t="str">
        <v>QF20</v>
      </c>
      <c r="AH100" s="34" t="str">
        <v/>
      </c>
      <c r="AI100" s="34" t="str">
        <v/>
      </c>
      <c r="AJ100" s="34" t="str">
        <v>QF20</v>
      </c>
      <c r="AK100" s="34">
        <v>1</v>
      </c>
      <c r="AL100" s="34" t="str">
        <v>K</v>
      </c>
      <c r="AM100" s="34">
        <v>0</v>
      </c>
      <c r="AN100" s="34">
        <v>0</v>
      </c>
      <c r="AO100" s="34">
        <v>10</v>
      </c>
      <c r="AP100" s="34">
        <v>16</v>
      </c>
      <c r="AQ100" s="34">
        <v>10</v>
      </c>
      <c r="AR100" s="34">
        <v>1</v>
      </c>
      <c r="AS100" s="34">
        <v>0</v>
      </c>
      <c r="AT100" s="34" t="str">
        <v>1P</v>
      </c>
      <c r="AU100" s="34">
        <v>10</v>
      </c>
      <c r="AV100" s="34" t="str">
        <v/>
      </c>
      <c r="AW100" s="34" t="str">
        <v/>
      </c>
      <c r="AX100" s="34" t="str">
        <v/>
      </c>
      <c r="AY100" s="34">
        <v>1</v>
      </c>
      <c r="AZ100" s="34" t="str">
        <v/>
      </c>
      <c r="BA100" s="34">
        <v>0</v>
      </c>
      <c r="BB100" s="34">
        <v>10</v>
      </c>
      <c r="BD100" s="34">
        <v>1</v>
      </c>
      <c r="BE100" s="34">
        <v>0</v>
      </c>
      <c r="BF100" s="34">
        <v>0</v>
      </c>
      <c r="BG100" s="34" t="str">
        <v/>
      </c>
      <c r="BH100" s="34" t="str">
        <v/>
      </c>
      <c r="BI100" s="34" t="str">
        <v/>
      </c>
      <c r="BJ100" s="34" t="str">
        <v/>
      </c>
      <c r="BK100" s="34" t="str">
        <v>BOX</v>
      </c>
      <c r="BL100" s="34">
        <v>1</v>
      </c>
      <c r="BM100" s="34" t="str">
        <v/>
      </c>
      <c r="BN100" s="34" t="str">
        <v/>
      </c>
      <c r="BO100" s="34" t="str">
        <v/>
      </c>
      <c r="BP100" s="34" t="str">
        <v/>
      </c>
      <c r="BQ100" s="34" t="str">
        <v>3х1,5</v>
      </c>
      <c r="BR100" s="34" t="str">
        <v/>
      </c>
      <c r="BS100" s="34" t="str">
        <v/>
      </c>
      <c r="BT100" s="34" t="str">
        <v/>
      </c>
      <c r="BU100" s="34">
        <v>0</v>
      </c>
      <c r="BV100" s="34">
        <v>120</v>
      </c>
      <c r="BW100" s="34">
        <v>1</v>
      </c>
      <c r="BX100" s="34">
        <v>0</v>
      </c>
      <c r="BY100" s="34">
        <v>0</v>
      </c>
      <c r="BZ100">
        <v>6</v>
      </c>
      <c r="CA100" t="str">
        <v>линии</v>
      </c>
    </row>
    <row r="101" spans="1:79" x14ac:dyDescent="0.3">
      <c r="A101" s="39" t="str">
        <v>ЩОВ-01</v>
      </c>
      <c r="B101" s="42">
        <v>37</v>
      </c>
      <c r="C101" s="42">
        <v>3</v>
      </c>
      <c r="D101" s="75" t="str">
        <v/>
      </c>
      <c r="E101" s="75" t="str">
        <v>авто</v>
      </c>
      <c r="F101" s="76" t="str">
        <v/>
      </c>
      <c r="G101" s="47" t="str">
        <v>QF21</v>
      </c>
      <c r="H101" s="47" t="str">
        <v>1P С10А</v>
      </c>
      <c r="I101" s="75" t="str">
        <v/>
      </c>
      <c r="J101" s="76" t="str">
        <v/>
      </c>
      <c r="K101" s="76" t="str">
        <v/>
      </c>
      <c r="L101" s="75" t="str">
        <v/>
      </c>
      <c r="M101" s="49" t="str">
        <v/>
      </c>
      <c r="N101" s="76" t="str">
        <v/>
      </c>
      <c r="O101" s="49" t="str">
        <v/>
      </c>
      <c r="P101" s="77" t="str">
        <v>XT22</v>
      </c>
      <c r="Q101" s="53" t="str">
        <v>ВВГнг(А)-LS (3х1,5) L=74-1,57%</v>
      </c>
      <c r="R101" s="54" t="str">
        <v>K.1.002Б</v>
      </c>
      <c r="S101" s="55" t="str">
        <v>Внутренний блок кондиционирования первый этаж Пом. №002Б</v>
      </c>
      <c r="T101" s="56">
        <v>0.376</v>
      </c>
      <c r="U101" s="56">
        <v>1.72</v>
      </c>
      <c r="V101" s="42" t="str">
        <v>L2</v>
      </c>
      <c r="W101" s="57" t="str">
        <v>ok</v>
      </c>
      <c r="X101" s="58" t="str">
        <v/>
      </c>
      <c r="Y101" s="75" t="str">
        <v/>
      </c>
      <c r="Z101" s="59">
        <v>1.72</v>
      </c>
      <c r="AA101" s="61">
        <v>6</v>
      </c>
      <c r="AB101" s="61">
        <v>16</v>
      </c>
      <c r="AC101" s="61" t="str">
        <v/>
      </c>
      <c r="AD101" s="62" t="str">
        <v>QF21 → XT22</v>
      </c>
      <c r="AE101" s="62" t="str">
        <v/>
      </c>
      <c r="AF101" s="34">
        <v>21</v>
      </c>
      <c r="AG101" s="34" t="str">
        <v>QF21</v>
      </c>
      <c r="AH101" s="34" t="str">
        <v/>
      </c>
      <c r="AI101" s="34" t="str">
        <v/>
      </c>
      <c r="AJ101" s="34" t="str">
        <v>QF21</v>
      </c>
      <c r="AK101" s="34">
        <v>1</v>
      </c>
      <c r="AL101" s="34" t="str">
        <v>K</v>
      </c>
      <c r="AM101" s="34">
        <v>0</v>
      </c>
      <c r="AN101" s="34">
        <v>0</v>
      </c>
      <c r="AO101" s="34">
        <v>10</v>
      </c>
      <c r="AP101" s="34">
        <v>16</v>
      </c>
      <c r="AQ101" s="34">
        <v>10</v>
      </c>
      <c r="AR101" s="34">
        <v>1</v>
      </c>
      <c r="AS101" s="34">
        <v>0</v>
      </c>
      <c r="AT101" s="34" t="str">
        <v>1P</v>
      </c>
      <c r="AU101" s="34">
        <v>10</v>
      </c>
      <c r="AV101" s="34" t="str">
        <v/>
      </c>
      <c r="AW101" s="34" t="str">
        <v/>
      </c>
      <c r="AX101" s="34" t="str">
        <v/>
      </c>
      <c r="AY101" s="34">
        <v>1</v>
      </c>
      <c r="AZ101" s="34" t="str">
        <v/>
      </c>
      <c r="BA101" s="34">
        <v>0</v>
      </c>
      <c r="BB101" s="34">
        <v>10</v>
      </c>
      <c r="BD101" s="34">
        <v>1</v>
      </c>
      <c r="BE101" s="34">
        <v>0</v>
      </c>
      <c r="BF101" s="34">
        <v>0</v>
      </c>
      <c r="BG101" s="34" t="str">
        <v/>
      </c>
      <c r="BH101" s="34" t="str">
        <v/>
      </c>
      <c r="BI101" s="34" t="str">
        <v/>
      </c>
      <c r="BJ101" s="34" t="str">
        <v/>
      </c>
      <c r="BK101" s="34" t="str">
        <v>BOX</v>
      </c>
      <c r="BL101" s="34">
        <v>1</v>
      </c>
      <c r="BM101" s="34" t="str">
        <v/>
      </c>
      <c r="BN101" s="34" t="str">
        <v/>
      </c>
      <c r="BO101" s="34" t="str">
        <v/>
      </c>
      <c r="BP101" s="34" t="str">
        <v/>
      </c>
      <c r="BQ101" s="34" t="str">
        <v>3х1,5</v>
      </c>
      <c r="BR101" s="34" t="str">
        <v/>
      </c>
      <c r="BS101" s="34" t="str">
        <v/>
      </c>
      <c r="BT101" s="34" t="str">
        <v/>
      </c>
      <c r="BU101" s="34">
        <v>0</v>
      </c>
      <c r="BV101" s="34">
        <v>121</v>
      </c>
      <c r="BW101" s="34">
        <v>1</v>
      </c>
      <c r="BX101" s="34">
        <v>0</v>
      </c>
      <c r="BY101" s="34">
        <v>0</v>
      </c>
      <c r="BZ101">
        <v>6</v>
      </c>
      <c r="CA101" t="str">
        <v>линии</v>
      </c>
    </row>
    <row r="102" spans="1:79" x14ac:dyDescent="0.3">
      <c r="A102" s="39" t="str">
        <v>ЩОВ-01</v>
      </c>
      <c r="B102" s="42">
        <v>38</v>
      </c>
      <c r="C102" s="42">
        <v>3</v>
      </c>
      <c r="D102" s="75" t="str">
        <v/>
      </c>
      <c r="E102" s="75" t="str">
        <v>авто</v>
      </c>
      <c r="F102" s="76" t="str">
        <v/>
      </c>
      <c r="G102" s="47" t="str">
        <v>QF22</v>
      </c>
      <c r="H102" s="47" t="str">
        <v>1P С10А</v>
      </c>
      <c r="I102" s="75" t="str">
        <v/>
      </c>
      <c r="J102" s="76" t="str">
        <v/>
      </c>
      <c r="K102" s="76" t="str">
        <v/>
      </c>
      <c r="L102" s="75" t="str">
        <v/>
      </c>
      <c r="M102" s="49" t="str">
        <v/>
      </c>
      <c r="N102" s="76" t="str">
        <v/>
      </c>
      <c r="O102" s="49" t="str">
        <v/>
      </c>
      <c r="P102" s="77" t="str">
        <v/>
      </c>
      <c r="Q102" s="53" t="str">
        <v>ВВГнг(А)-LS (3х1,5) L=74-0,69%</v>
      </c>
      <c r="R102" s="54" t="str">
        <v>K.1.007A</v>
      </c>
      <c r="S102" s="55" t="str">
        <v>Внутренний блок кондиционирования первый этаж Пом. №003Б</v>
      </c>
      <c r="T102" s="56">
        <v>0.16400000000000001</v>
      </c>
      <c r="U102" s="56">
        <v>0.75</v>
      </c>
      <c r="V102" s="42" t="str">
        <v>L3</v>
      </c>
      <c r="W102" s="57" t="str">
        <v>ok</v>
      </c>
      <c r="X102" s="58" t="str">
        <v/>
      </c>
      <c r="Y102" s="75" t="str">
        <v/>
      </c>
      <c r="Z102" s="59">
        <v>0.75</v>
      </c>
      <c r="AA102" s="61">
        <v>6</v>
      </c>
      <c r="AB102" s="61">
        <v>16</v>
      </c>
      <c r="AC102" s="61" t="str">
        <v/>
      </c>
      <c r="AD102" s="62" t="str">
        <v>QF22</v>
      </c>
      <c r="AE102" s="62" t="str">
        <v/>
      </c>
      <c r="AF102" s="34">
        <v>22</v>
      </c>
      <c r="AG102" s="34" t="str">
        <v>QF22</v>
      </c>
      <c r="AH102" s="34" t="str">
        <v/>
      </c>
      <c r="AI102" s="34" t="str">
        <v/>
      </c>
      <c r="AJ102" s="34" t="str">
        <v>QF22</v>
      </c>
      <c r="AK102" s="34">
        <v>1</v>
      </c>
      <c r="AL102" s="34" t="str">
        <v>K</v>
      </c>
      <c r="AM102" s="34">
        <v>0</v>
      </c>
      <c r="AN102" s="34">
        <v>0</v>
      </c>
      <c r="AO102" s="34">
        <v>10</v>
      </c>
      <c r="AP102" s="34">
        <v>16</v>
      </c>
      <c r="AQ102" s="34">
        <v>10</v>
      </c>
      <c r="AR102" s="34">
        <v>1</v>
      </c>
      <c r="AS102" s="34">
        <v>0</v>
      </c>
      <c r="AT102" s="34" t="str">
        <v>1P</v>
      </c>
      <c r="AU102" s="34">
        <v>10</v>
      </c>
      <c r="AV102" s="34" t="str">
        <v/>
      </c>
      <c r="AW102" s="34" t="str">
        <v/>
      </c>
      <c r="AX102" s="34" t="str">
        <v/>
      </c>
      <c r="AY102" s="34">
        <v>1</v>
      </c>
      <c r="AZ102" s="34" t="str">
        <v/>
      </c>
      <c r="BA102" s="34">
        <v>0</v>
      </c>
      <c r="BB102" s="34">
        <v>10</v>
      </c>
      <c r="BD102" s="34">
        <v>1</v>
      </c>
      <c r="BE102" s="34">
        <v>0</v>
      </c>
      <c r="BF102" s="34">
        <v>0</v>
      </c>
      <c r="BG102" s="34" t="str">
        <v/>
      </c>
      <c r="BH102" s="34" t="str">
        <v/>
      </c>
      <c r="BI102" s="34" t="str">
        <v/>
      </c>
      <c r="BJ102" s="34" t="str">
        <v/>
      </c>
      <c r="BK102" s="34" t="str">
        <v>BOX</v>
      </c>
      <c r="BL102" s="34">
        <v>1</v>
      </c>
      <c r="BM102" s="34" t="str">
        <v/>
      </c>
      <c r="BN102" s="34" t="str">
        <v/>
      </c>
      <c r="BO102" s="34" t="str">
        <v/>
      </c>
      <c r="BP102" s="34" t="str">
        <v/>
      </c>
      <c r="BQ102" s="34" t="str">
        <v>3х1,5</v>
      </c>
      <c r="BR102" s="34" t="str">
        <v/>
      </c>
      <c r="BS102" s="34" t="str">
        <v/>
      </c>
      <c r="BT102" s="34" t="str">
        <v/>
      </c>
      <c r="BU102" s="34">
        <v>0</v>
      </c>
      <c r="BV102" s="34">
        <v>122</v>
      </c>
      <c r="BW102" s="34">
        <v>1</v>
      </c>
      <c r="BX102" s="34">
        <v>0</v>
      </c>
      <c r="BY102" s="34">
        <v>0</v>
      </c>
      <c r="BZ102">
        <v>6</v>
      </c>
      <c r="CA102" t="str">
        <v>линии</v>
      </c>
    </row>
    <row r="103" spans="1:79" x14ac:dyDescent="0.3">
      <c r="A103" s="39" t="str">
        <v>ЩОВ-01</v>
      </c>
      <c r="B103" s="42">
        <v>39</v>
      </c>
      <c r="C103" s="42">
        <v>3</v>
      </c>
      <c r="D103" s="75" t="str">
        <v/>
      </c>
      <c r="E103" s="75" t="str">
        <v>авто</v>
      </c>
      <c r="F103" s="76" t="str">
        <v/>
      </c>
      <c r="G103" s="47" t="str">
        <v>QF23</v>
      </c>
      <c r="H103" s="47" t="str">
        <v>1P С10А</v>
      </c>
      <c r="I103" s="75" t="str">
        <v/>
      </c>
      <c r="J103" s="76" t="str">
        <v/>
      </c>
      <c r="K103" s="76" t="str">
        <v/>
      </c>
      <c r="L103" s="75" t="str">
        <v/>
      </c>
      <c r="M103" s="49" t="str">
        <v/>
      </c>
      <c r="N103" s="76" t="str">
        <v/>
      </c>
      <c r="O103" s="49" t="str">
        <v/>
      </c>
      <c r="P103" s="77" t="str">
        <v/>
      </c>
      <c r="Q103" s="53" t="str">
        <v>ВВГнг(А)-LS (3х1,5) L=76-0,71%</v>
      </c>
      <c r="R103" s="54" t="str">
        <v>K.1.010A</v>
      </c>
      <c r="S103" s="55" t="str">
        <v>Внутренний блок кондиционирования первый этаж Пом. №003Б</v>
      </c>
      <c r="T103" s="56">
        <v>0.16400000000000001</v>
      </c>
      <c r="U103" s="56">
        <v>0.75</v>
      </c>
      <c r="V103" s="42" t="str">
        <v>L1</v>
      </c>
      <c r="W103" s="57" t="str">
        <v>ok</v>
      </c>
      <c r="X103" s="58" t="str">
        <v/>
      </c>
      <c r="Y103" s="75" t="str">
        <v/>
      </c>
      <c r="Z103" s="59">
        <v>0.75</v>
      </c>
      <c r="AA103" s="61">
        <v>6</v>
      </c>
      <c r="AB103" s="61">
        <v>16</v>
      </c>
      <c r="AC103" s="61" t="str">
        <v/>
      </c>
      <c r="AD103" s="62" t="str">
        <v>QF23</v>
      </c>
      <c r="AE103" s="62" t="str">
        <v/>
      </c>
      <c r="AF103" s="34">
        <v>23</v>
      </c>
      <c r="AG103" s="34" t="str">
        <v>QF23</v>
      </c>
      <c r="AH103" s="34" t="str">
        <v/>
      </c>
      <c r="AI103" s="34" t="str">
        <v/>
      </c>
      <c r="AJ103" s="34" t="str">
        <v>QF23</v>
      </c>
      <c r="AK103" s="34">
        <v>1</v>
      </c>
      <c r="AL103" s="34" t="str">
        <v>K</v>
      </c>
      <c r="AM103" s="34">
        <v>0</v>
      </c>
      <c r="AN103" s="34">
        <v>0</v>
      </c>
      <c r="AO103" s="34">
        <v>10</v>
      </c>
      <c r="AP103" s="34">
        <v>16</v>
      </c>
      <c r="AQ103" s="34">
        <v>10</v>
      </c>
      <c r="AR103" s="34">
        <v>1</v>
      </c>
      <c r="AS103" s="34">
        <v>0</v>
      </c>
      <c r="AT103" s="34" t="str">
        <v>1P</v>
      </c>
      <c r="AU103" s="34">
        <v>10</v>
      </c>
      <c r="AV103" s="34" t="str">
        <v/>
      </c>
      <c r="AW103" s="34" t="str">
        <v/>
      </c>
      <c r="AX103" s="34" t="str">
        <v/>
      </c>
      <c r="AY103" s="34">
        <v>1</v>
      </c>
      <c r="AZ103" s="34" t="str">
        <v/>
      </c>
      <c r="BA103" s="34">
        <v>0</v>
      </c>
      <c r="BB103" s="34">
        <v>10</v>
      </c>
      <c r="BD103" s="34">
        <v>1</v>
      </c>
      <c r="BE103" s="34">
        <v>0</v>
      </c>
      <c r="BF103" s="34">
        <v>0</v>
      </c>
      <c r="BG103" s="34" t="str">
        <v/>
      </c>
      <c r="BH103" s="34" t="str">
        <v/>
      </c>
      <c r="BI103" s="34" t="str">
        <v/>
      </c>
      <c r="BJ103" s="34" t="str">
        <v/>
      </c>
      <c r="BK103" s="34" t="str">
        <v>BOX</v>
      </c>
      <c r="BL103" s="34">
        <v>1</v>
      </c>
      <c r="BM103" s="34" t="str">
        <v/>
      </c>
      <c r="BN103" s="34" t="str">
        <v/>
      </c>
      <c r="BO103" s="34" t="str">
        <v/>
      </c>
      <c r="BP103" s="34" t="str">
        <v/>
      </c>
      <c r="BQ103" s="34" t="str">
        <v>3х1,5</v>
      </c>
      <c r="BR103" s="34" t="str">
        <v/>
      </c>
      <c r="BS103" s="34" t="str">
        <v/>
      </c>
      <c r="BT103" s="34" t="str">
        <v/>
      </c>
      <c r="BU103" s="34">
        <v>0</v>
      </c>
      <c r="BV103" s="34">
        <v>123</v>
      </c>
      <c r="BW103" s="34">
        <v>1</v>
      </c>
      <c r="BX103" s="34">
        <v>0</v>
      </c>
      <c r="BY103" s="34">
        <v>0</v>
      </c>
      <c r="BZ103">
        <v>6</v>
      </c>
      <c r="CA103" t="str">
        <v>линии</v>
      </c>
    </row>
    <row r="104" spans="1:79" x14ac:dyDescent="0.3">
      <c r="A104" s="39" t="str">
        <v>ЩОВ-01</v>
      </c>
      <c r="B104" s="42">
        <v>40</v>
      </c>
      <c r="C104" s="42">
        <v>3</v>
      </c>
      <c r="D104" s="75" t="str">
        <v/>
      </c>
      <c r="E104" s="75" t="str">
        <v>авто</v>
      </c>
      <c r="F104" s="76" t="str">
        <v/>
      </c>
      <c r="G104" s="47" t="str">
        <v>QF24</v>
      </c>
      <c r="H104" s="47" t="str">
        <v>1P С10А</v>
      </c>
      <c r="I104" s="75" t="str">
        <v/>
      </c>
      <c r="J104" s="76" t="str">
        <v/>
      </c>
      <c r="K104" s="76" t="str">
        <v/>
      </c>
      <c r="L104" s="75" t="str">
        <v/>
      </c>
      <c r="M104" s="49" t="str">
        <v/>
      </c>
      <c r="N104" s="76" t="str">
        <v/>
      </c>
      <c r="O104" s="49" t="str">
        <v/>
      </c>
      <c r="P104" s="77" t="str">
        <v/>
      </c>
      <c r="Q104" s="53" t="str">
        <v>ВВГнг(А)-LS (3х1,5) L=72-0,67%</v>
      </c>
      <c r="R104" s="54" t="str">
        <v>K.1.011A</v>
      </c>
      <c r="S104" s="55" t="str">
        <v>Внутренний блок кондиционирования первый этаж Пом. №002Б</v>
      </c>
      <c r="T104" s="56">
        <v>0.16400000000000001</v>
      </c>
      <c r="U104" s="56">
        <v>0.75</v>
      </c>
      <c r="V104" s="42" t="str">
        <v>L2</v>
      </c>
      <c r="W104" s="57" t="str">
        <v>ok</v>
      </c>
      <c r="X104" s="58" t="str">
        <v/>
      </c>
      <c r="Y104" s="75" t="str">
        <v/>
      </c>
      <c r="Z104" s="59">
        <v>0.75</v>
      </c>
      <c r="AA104" s="61">
        <v>6</v>
      </c>
      <c r="AB104" s="61">
        <v>16</v>
      </c>
      <c r="AC104" s="61" t="str">
        <v/>
      </c>
      <c r="AD104" s="62" t="str">
        <v>QF24</v>
      </c>
      <c r="AE104" s="62" t="str">
        <v/>
      </c>
      <c r="AF104" s="34">
        <v>24</v>
      </c>
      <c r="AG104" s="34" t="str">
        <v>QF24</v>
      </c>
      <c r="AH104" s="34" t="str">
        <v/>
      </c>
      <c r="AI104" s="34" t="str">
        <v/>
      </c>
      <c r="AJ104" s="34" t="str">
        <v>QF24</v>
      </c>
      <c r="AK104" s="34">
        <v>1</v>
      </c>
      <c r="AL104" s="34" t="str">
        <v>K</v>
      </c>
      <c r="AM104" s="34">
        <v>0</v>
      </c>
      <c r="AN104" s="34">
        <v>0</v>
      </c>
      <c r="AO104" s="34">
        <v>10</v>
      </c>
      <c r="AP104" s="34">
        <v>16</v>
      </c>
      <c r="AQ104" s="34">
        <v>10</v>
      </c>
      <c r="AR104" s="34">
        <v>1</v>
      </c>
      <c r="AS104" s="34">
        <v>0</v>
      </c>
      <c r="AT104" s="34" t="str">
        <v>1P</v>
      </c>
      <c r="AU104" s="34">
        <v>10</v>
      </c>
      <c r="AV104" s="34" t="str">
        <v/>
      </c>
      <c r="AW104" s="34" t="str">
        <v/>
      </c>
      <c r="AX104" s="34" t="str">
        <v/>
      </c>
      <c r="AY104" s="34">
        <v>1</v>
      </c>
      <c r="AZ104" s="34" t="str">
        <v/>
      </c>
      <c r="BA104" s="34">
        <v>0</v>
      </c>
      <c r="BB104" s="34">
        <v>10</v>
      </c>
      <c r="BD104" s="34">
        <v>1</v>
      </c>
      <c r="BE104" s="34">
        <v>0</v>
      </c>
      <c r="BF104" s="34">
        <v>0</v>
      </c>
      <c r="BG104" s="34" t="str">
        <v/>
      </c>
      <c r="BH104" s="34" t="str">
        <v/>
      </c>
      <c r="BI104" s="34" t="str">
        <v/>
      </c>
      <c r="BJ104" s="34" t="str">
        <v/>
      </c>
      <c r="BK104" s="34" t="str">
        <v>BOX</v>
      </c>
      <c r="BL104" s="34">
        <v>1</v>
      </c>
      <c r="BM104" s="34" t="str">
        <v/>
      </c>
      <c r="BN104" s="34" t="str">
        <v/>
      </c>
      <c r="BO104" s="34" t="str">
        <v/>
      </c>
      <c r="BP104" s="34" t="str">
        <v/>
      </c>
      <c r="BQ104" s="34" t="str">
        <v>3х1,5</v>
      </c>
      <c r="BR104" s="34" t="str">
        <v/>
      </c>
      <c r="BS104" s="34" t="str">
        <v/>
      </c>
      <c r="BT104" s="34" t="str">
        <v/>
      </c>
      <c r="BU104" s="34">
        <v>0</v>
      </c>
      <c r="BV104" s="34">
        <v>124</v>
      </c>
      <c r="BW104" s="34">
        <v>1</v>
      </c>
      <c r="BX104" s="34">
        <v>0</v>
      </c>
      <c r="BY104" s="34">
        <v>0</v>
      </c>
      <c r="BZ104">
        <v>6</v>
      </c>
      <c r="CA104" t="str">
        <v>линии</v>
      </c>
    </row>
    <row r="105" spans="1:79" x14ac:dyDescent="0.3">
      <c r="A105" s="39" t="str">
        <v>ЩОВ-01</v>
      </c>
      <c r="B105" s="42">
        <v>41</v>
      </c>
      <c r="C105" s="42">
        <v>3</v>
      </c>
      <c r="D105" s="75" t="str">
        <v/>
      </c>
      <c r="E105" s="75" t="str">
        <v>авто</v>
      </c>
      <c r="F105" s="76" t="str">
        <v/>
      </c>
      <c r="G105" s="47" t="str">
        <v>QF25</v>
      </c>
      <c r="H105" s="47" t="str">
        <v>1P С10А</v>
      </c>
      <c r="I105" s="75" t="str">
        <v/>
      </c>
      <c r="J105" s="76" t="str">
        <v/>
      </c>
      <c r="K105" s="76" t="str">
        <v/>
      </c>
      <c r="L105" s="75" t="str">
        <v/>
      </c>
      <c r="M105" s="49" t="str">
        <v/>
      </c>
      <c r="N105" s="76" t="str">
        <v/>
      </c>
      <c r="O105" s="49" t="str">
        <v/>
      </c>
      <c r="P105" s="77" t="str">
        <v/>
      </c>
      <c r="Q105" s="53" t="str">
        <v>ВВГнг(А)-LS (3х1,5) L=70-1,43%</v>
      </c>
      <c r="R105" s="54" t="str">
        <v>K.1.014A</v>
      </c>
      <c r="S105" s="55" t="str">
        <v>Внутренний блок кондиционирования первый этаж Пом. №002Б</v>
      </c>
      <c r="T105" s="56">
        <v>0.36</v>
      </c>
      <c r="U105" s="56">
        <v>1.65</v>
      </c>
      <c r="V105" s="42" t="str">
        <v>L3</v>
      </c>
      <c r="W105" s="57" t="str">
        <v>ok</v>
      </c>
      <c r="X105" s="58" t="str">
        <v/>
      </c>
      <c r="Y105" s="75" t="str">
        <v/>
      </c>
      <c r="Z105" s="59">
        <v>1.65</v>
      </c>
      <c r="AA105" s="61">
        <v>6</v>
      </c>
      <c r="AB105" s="61">
        <v>16</v>
      </c>
      <c r="AC105" s="61" t="str">
        <v/>
      </c>
      <c r="AD105" s="62" t="str">
        <v>QF25</v>
      </c>
      <c r="AE105" s="62" t="str">
        <v/>
      </c>
      <c r="AF105" s="34">
        <v>25</v>
      </c>
      <c r="AG105" s="34" t="str">
        <v>QF25</v>
      </c>
      <c r="AH105" s="34" t="str">
        <v/>
      </c>
      <c r="AI105" s="34" t="str">
        <v/>
      </c>
      <c r="AJ105" s="34" t="str">
        <v>QF25</v>
      </c>
      <c r="AK105" s="34">
        <v>1</v>
      </c>
      <c r="AL105" s="34" t="str">
        <v>K</v>
      </c>
      <c r="AM105" s="34">
        <v>0</v>
      </c>
      <c r="AN105" s="34">
        <v>0</v>
      </c>
      <c r="AO105" s="34">
        <v>10</v>
      </c>
      <c r="AP105" s="34">
        <v>16</v>
      </c>
      <c r="AQ105" s="34">
        <v>10</v>
      </c>
      <c r="AR105" s="34">
        <v>1</v>
      </c>
      <c r="AS105" s="34">
        <v>0</v>
      </c>
      <c r="AT105" s="34" t="str">
        <v>1P</v>
      </c>
      <c r="AU105" s="34">
        <v>10</v>
      </c>
      <c r="AV105" s="34" t="str">
        <v/>
      </c>
      <c r="AW105" s="34" t="str">
        <v/>
      </c>
      <c r="AX105" s="34" t="str">
        <v/>
      </c>
      <c r="AY105" s="34">
        <v>1</v>
      </c>
      <c r="AZ105" s="34" t="str">
        <v/>
      </c>
      <c r="BA105" s="34">
        <v>0</v>
      </c>
      <c r="BB105" s="34">
        <v>10</v>
      </c>
      <c r="BD105" s="34">
        <v>1</v>
      </c>
      <c r="BE105" s="34">
        <v>0</v>
      </c>
      <c r="BF105" s="34">
        <v>0</v>
      </c>
      <c r="BG105" s="34" t="str">
        <v/>
      </c>
      <c r="BH105" s="34" t="str">
        <v/>
      </c>
      <c r="BI105" s="34" t="str">
        <v/>
      </c>
      <c r="BJ105" s="34" t="str">
        <v/>
      </c>
      <c r="BK105" s="34" t="str">
        <v>BOX</v>
      </c>
      <c r="BL105" s="34">
        <v>1</v>
      </c>
      <c r="BM105" s="34" t="str">
        <v/>
      </c>
      <c r="BN105" s="34" t="str">
        <v/>
      </c>
      <c r="BO105" s="34" t="str">
        <v/>
      </c>
      <c r="BP105" s="34" t="str">
        <v/>
      </c>
      <c r="BQ105" s="34" t="str">
        <v>3х1,5</v>
      </c>
      <c r="BR105" s="34" t="str">
        <v/>
      </c>
      <c r="BS105" s="34" t="str">
        <v/>
      </c>
      <c r="BT105" s="34" t="str">
        <v/>
      </c>
      <c r="BU105" s="34">
        <v>0</v>
      </c>
      <c r="BV105" s="34">
        <v>125</v>
      </c>
      <c r="BW105" s="34">
        <v>1</v>
      </c>
      <c r="BX105" s="34">
        <v>0</v>
      </c>
      <c r="BY105" s="34">
        <v>0</v>
      </c>
      <c r="BZ105">
        <v>6</v>
      </c>
      <c r="CA105" t="str">
        <v>линии</v>
      </c>
    </row>
    <row r="106" spans="1:79" x14ac:dyDescent="0.3">
      <c r="A106" s="39" t="str">
        <v>ЩОВ-01</v>
      </c>
      <c r="B106" s="42">
        <v>42</v>
      </c>
      <c r="C106" s="42">
        <v>3</v>
      </c>
      <c r="D106" s="75" t="str">
        <v/>
      </c>
      <c r="E106" s="75" t="str">
        <v>авто</v>
      </c>
      <c r="F106" s="76" t="str">
        <v/>
      </c>
      <c r="G106" s="47" t="str">
        <v>QF26</v>
      </c>
      <c r="H106" s="47" t="str">
        <v>1P С10А</v>
      </c>
      <c r="I106" s="75" t="str">
        <v/>
      </c>
      <c r="J106" s="76" t="str">
        <v/>
      </c>
      <c r="K106" s="76" t="str">
        <v/>
      </c>
      <c r="L106" s="75" t="str">
        <v/>
      </c>
      <c r="M106" s="49" t="str">
        <v/>
      </c>
      <c r="N106" s="76" t="str">
        <v/>
      </c>
      <c r="O106" s="49" t="str">
        <v/>
      </c>
      <c r="P106" s="77" t="str">
        <v/>
      </c>
      <c r="Q106" s="53" t="str">
        <v>ВВГнг(А)-LS (3х1,5) L=75-1,6%</v>
      </c>
      <c r="R106" s="54" t="str">
        <v>K.1.015A</v>
      </c>
      <c r="S106" s="55" t="str">
        <v>Внутренний блок кондиционирования первый этаж Пом. №002Б</v>
      </c>
      <c r="T106" s="56">
        <v>0.376</v>
      </c>
      <c r="U106" s="56">
        <v>1.72</v>
      </c>
      <c r="V106" s="42" t="str">
        <v>L1</v>
      </c>
      <c r="W106" s="57" t="str">
        <v>ok</v>
      </c>
      <c r="X106" s="58" t="str">
        <v/>
      </c>
      <c r="Y106" s="75" t="str">
        <v/>
      </c>
      <c r="Z106" s="59">
        <v>1.72</v>
      </c>
      <c r="AA106" s="61">
        <v>6</v>
      </c>
      <c r="AB106" s="61">
        <v>16</v>
      </c>
      <c r="AC106" s="61" t="str">
        <v/>
      </c>
      <c r="AD106" s="62" t="str">
        <v>QF26</v>
      </c>
      <c r="AE106" s="62" t="str">
        <v/>
      </c>
      <c r="AF106" s="34">
        <v>26</v>
      </c>
      <c r="AG106" s="34" t="str">
        <v>QF26</v>
      </c>
      <c r="AH106" s="34" t="str">
        <v/>
      </c>
      <c r="AI106" s="34" t="str">
        <v/>
      </c>
      <c r="AJ106" s="34" t="str">
        <v>QF26</v>
      </c>
      <c r="AK106" s="34">
        <v>1</v>
      </c>
      <c r="AL106" s="34" t="str">
        <v>K</v>
      </c>
      <c r="AM106" s="34">
        <v>0</v>
      </c>
      <c r="AN106" s="34">
        <v>0</v>
      </c>
      <c r="AO106" s="34">
        <v>10</v>
      </c>
      <c r="AP106" s="34">
        <v>16</v>
      </c>
      <c r="AQ106" s="34">
        <v>10</v>
      </c>
      <c r="AR106" s="34">
        <v>1</v>
      </c>
      <c r="AS106" s="34">
        <v>0</v>
      </c>
      <c r="AT106" s="34" t="str">
        <v>1P</v>
      </c>
      <c r="AU106" s="34">
        <v>10</v>
      </c>
      <c r="AV106" s="34" t="str">
        <v/>
      </c>
      <c r="AW106" s="34" t="str">
        <v/>
      </c>
      <c r="AX106" s="34" t="str">
        <v/>
      </c>
      <c r="AY106" s="34">
        <v>1</v>
      </c>
      <c r="AZ106" s="34" t="str">
        <v/>
      </c>
      <c r="BA106" s="34">
        <v>0</v>
      </c>
      <c r="BB106" s="34">
        <v>10</v>
      </c>
      <c r="BD106" s="34">
        <v>1</v>
      </c>
      <c r="BE106" s="34">
        <v>0</v>
      </c>
      <c r="BF106" s="34">
        <v>0</v>
      </c>
      <c r="BG106" s="34" t="str">
        <v/>
      </c>
      <c r="BH106" s="34" t="str">
        <v/>
      </c>
      <c r="BI106" s="34" t="str">
        <v/>
      </c>
      <c r="BJ106" s="34" t="str">
        <v/>
      </c>
      <c r="BK106" s="34" t="str">
        <v>BOX</v>
      </c>
      <c r="BL106" s="34">
        <v>1</v>
      </c>
      <c r="BM106" s="34" t="str">
        <v/>
      </c>
      <c r="BN106" s="34" t="str">
        <v/>
      </c>
      <c r="BO106" s="34" t="str">
        <v/>
      </c>
      <c r="BP106" s="34" t="str">
        <v/>
      </c>
      <c r="BQ106" s="34" t="str">
        <v>3х1,5</v>
      </c>
      <c r="BR106" s="34" t="str">
        <v/>
      </c>
      <c r="BS106" s="34" t="str">
        <v/>
      </c>
      <c r="BT106" s="34" t="str">
        <v/>
      </c>
      <c r="BU106" s="34">
        <v>0</v>
      </c>
      <c r="BV106" s="34">
        <v>126</v>
      </c>
      <c r="BW106" s="34">
        <v>1</v>
      </c>
      <c r="BX106" s="34">
        <v>0</v>
      </c>
      <c r="BY106" s="34">
        <v>0</v>
      </c>
      <c r="BZ106">
        <v>6</v>
      </c>
      <c r="CA106" t="str">
        <v>линии</v>
      </c>
    </row>
    <row r="107" spans="1:79" x14ac:dyDescent="0.3">
      <c r="A107" s="39" t="str">
        <v>ЩОВ-2</v>
      </c>
      <c r="B107" s="42">
        <v>2</v>
      </c>
      <c r="C107" s="42">
        <v>1</v>
      </c>
      <c r="D107" s="75" t="str">
        <v/>
      </c>
      <c r="E107" s="75" t="str">
        <v/>
      </c>
      <c r="F107" s="76" t="str">
        <v/>
      </c>
      <c r="G107" s="47" t="str">
        <v/>
      </c>
      <c r="H107" s="47" t="str">
        <v/>
      </c>
      <c r="I107" s="75" t="str">
        <v/>
      </c>
      <c r="J107" s="76" t="str">
        <v/>
      </c>
      <c r="K107" s="76" t="str">
        <v/>
      </c>
      <c r="L107" s="75" t="str">
        <v/>
      </c>
      <c r="M107" s="49" t="str">
        <v/>
      </c>
      <c r="N107" s="76" t="str">
        <v/>
      </c>
      <c r="O107" s="49" t="str">
        <v/>
      </c>
      <c r="P107" s="77" t="str">
        <v/>
      </c>
      <c r="Q107" s="53" t="str">
        <v/>
      </c>
      <c r="R107" s="54" t="str">
        <v>Ввод</v>
      </c>
      <c r="S107" s="55" t="str">
        <v>Вводной кабель</v>
      </c>
      <c r="T107" s="56">
        <v>0</v>
      </c>
      <c r="U107" s="56">
        <v>0</v>
      </c>
      <c r="V107" s="42" t="str">
        <v>L1,L2,L3</v>
      </c>
      <c r="W107" s="57" t="str">
        <v/>
      </c>
      <c r="X107" s="58" t="str">
        <v/>
      </c>
      <c r="Y107" s="75" t="str">
        <v>вручную</v>
      </c>
      <c r="Z107" s="59" t="str">
        <v/>
      </c>
      <c r="AA107" s="61" t="str">
        <v/>
      </c>
      <c r="AB107" s="61">
        <v>32</v>
      </c>
      <c r="AC107" s="61" t="str">
        <v/>
      </c>
      <c r="AD107" s="62" t="str">
        <v/>
      </c>
      <c r="AE107" s="62" t="str">
        <v/>
      </c>
      <c r="AF107" s="34" t="str">
        <v/>
      </c>
      <c r="AG107" s="34" t="str">
        <v/>
      </c>
      <c r="AH107" s="34" t="str">
        <v/>
      </c>
      <c r="AI107" s="34" t="str">
        <v/>
      </c>
      <c r="AJ107" s="34" t="str">
        <v/>
      </c>
      <c r="AK107" s="34">
        <v>3</v>
      </c>
      <c r="AL107" s="34" t="str">
        <v>Ввод</v>
      </c>
      <c r="AM107" s="34">
        <v>0</v>
      </c>
      <c r="AN107" s="34">
        <v>0</v>
      </c>
      <c r="AO107" s="34" t="str">
        <v/>
      </c>
      <c r="AP107" s="34" t="str">
        <v/>
      </c>
      <c r="AQ107" s="34" t="str">
        <v/>
      </c>
      <c r="AR107" s="34" t="str">
        <v/>
      </c>
      <c r="AS107" s="34" t="str">
        <v/>
      </c>
      <c r="AT107" s="34" t="str">
        <v/>
      </c>
      <c r="AU107" s="34" t="str">
        <v/>
      </c>
      <c r="AV107" s="34" t="str">
        <v/>
      </c>
      <c r="AW107" s="34" t="str">
        <v/>
      </c>
      <c r="AX107" s="34" t="str">
        <v/>
      </c>
      <c r="AY107" s="34">
        <v>0</v>
      </c>
      <c r="AZ107" s="34" t="str">
        <v/>
      </c>
      <c r="BA107" s="34">
        <v>0</v>
      </c>
      <c r="BB107" s="34">
        <v>20</v>
      </c>
      <c r="BD107" s="34">
        <v>0</v>
      </c>
      <c r="BE107" s="34">
        <v>0</v>
      </c>
      <c r="BF107" s="34">
        <v>0</v>
      </c>
      <c r="BG107" s="34" t="str">
        <v/>
      </c>
      <c r="BH107" s="34" t="str">
        <v/>
      </c>
      <c r="BI107" s="34" t="str">
        <v/>
      </c>
      <c r="BJ107" s="34" t="str">
        <v/>
      </c>
      <c r="BK107" s="34" t="str">
        <v>BOX</v>
      </c>
      <c r="BL107" s="34">
        <v>1</v>
      </c>
      <c r="BM107" s="34" t="str">
        <v/>
      </c>
      <c r="BN107" s="34" t="str">
        <v/>
      </c>
      <c r="BO107" s="34" t="str">
        <v/>
      </c>
      <c r="BP107" s="34" t="str">
        <v/>
      </c>
      <c r="BQ107" s="34" t="str">
        <v/>
      </c>
      <c r="BR107" s="34" t="str">
        <v/>
      </c>
      <c r="BS107" s="34" t="str">
        <v/>
      </c>
      <c r="BT107" s="34" t="str">
        <v/>
      </c>
      <c r="BU107" s="34">
        <v>0</v>
      </c>
      <c r="BV107" s="34">
        <v>128</v>
      </c>
      <c r="BW107" s="34">
        <v>0</v>
      </c>
      <c r="BX107" s="34">
        <v>0</v>
      </c>
      <c r="BY107" s="34">
        <v>0</v>
      </c>
      <c r="BZ107">
        <v>7</v>
      </c>
      <c r="CA107" t="str">
        <v>вводной узел</v>
      </c>
    </row>
    <row r="108" spans="1:79" x14ac:dyDescent="0.3">
      <c r="A108" s="39" t="str">
        <v>ЩОВ-2</v>
      </c>
      <c r="B108" s="42">
        <v>13</v>
      </c>
      <c r="C108" s="42">
        <v>1</v>
      </c>
      <c r="D108" s="75" t="str">
        <v/>
      </c>
      <c r="E108" s="75" t="str">
        <v>авто</v>
      </c>
      <c r="F108" s="76" t="str">
        <v/>
      </c>
      <c r="G108" s="47" t="str">
        <v>QF1</v>
      </c>
      <c r="H108" s="47" t="str">
        <v>1P С6А</v>
      </c>
      <c r="I108" s="75" t="str">
        <v/>
      </c>
      <c r="J108" s="76" t="str">
        <v/>
      </c>
      <c r="K108" s="76" t="str">
        <v/>
      </c>
      <c r="L108" s="75" t="str">
        <v/>
      </c>
      <c r="M108" s="49" t="str">
        <v/>
      </c>
      <c r="N108" s="76" t="str">
        <v/>
      </c>
      <c r="O108" s="49" t="str">
        <v/>
      </c>
      <c r="P108" s="77" t="str">
        <v>XT1</v>
      </c>
      <c r="Q108" s="53" t="str">
        <v>ВВГнг(А)-LS (3х1,5) L=30-0,78%</v>
      </c>
      <c r="R108" s="54" t="str">
        <v>K.1.001A.1</v>
      </c>
      <c r="S108" s="55" t="str">
        <v>Внутренний блок кондиционирования Технический этаж Пом. №001Т</v>
      </c>
      <c r="T108" s="56">
        <v>0.46100000000000002</v>
      </c>
      <c r="U108" s="56">
        <v>2.11</v>
      </c>
      <c r="V108" s="42" t="str">
        <v>L2</v>
      </c>
      <c r="W108" s="57" t="str">
        <v>ok</v>
      </c>
      <c r="X108" s="58" t="str">
        <v/>
      </c>
      <c r="Y108" s="75" t="str">
        <v/>
      </c>
      <c r="Z108" s="59">
        <v>2.11</v>
      </c>
      <c r="AA108" s="61">
        <v>6</v>
      </c>
      <c r="AB108" s="61">
        <v>16</v>
      </c>
      <c r="AC108" s="61" t="str">
        <v/>
      </c>
      <c r="AD108" s="62" t="str">
        <v>QF1 → XT1</v>
      </c>
      <c r="AE108" s="62" t="str">
        <v/>
      </c>
      <c r="AF108" s="34">
        <v>1</v>
      </c>
      <c r="AG108" s="34" t="str">
        <v>QF1</v>
      </c>
      <c r="AH108" s="34" t="str">
        <v/>
      </c>
      <c r="AI108" s="34" t="str">
        <v/>
      </c>
      <c r="AJ108" s="34" t="str">
        <v>QF1</v>
      </c>
      <c r="AK108" s="34">
        <v>1</v>
      </c>
      <c r="AL108" s="34" t="str">
        <v>K</v>
      </c>
      <c r="AM108" s="34">
        <v>0</v>
      </c>
      <c r="AN108" s="34">
        <v>0</v>
      </c>
      <c r="AO108" s="34">
        <v>6</v>
      </c>
      <c r="AP108" s="34">
        <v>16</v>
      </c>
      <c r="AQ108" s="34">
        <v>6</v>
      </c>
      <c r="AR108" s="34">
        <v>1</v>
      </c>
      <c r="AS108" s="34">
        <v>0</v>
      </c>
      <c r="AT108" s="34" t="str">
        <v>1P</v>
      </c>
      <c r="AU108" s="34">
        <v>6</v>
      </c>
      <c r="AV108" s="34" t="str">
        <v/>
      </c>
      <c r="AW108" s="34" t="str">
        <v/>
      </c>
      <c r="AX108" s="34" t="str">
        <v/>
      </c>
      <c r="AY108" s="34">
        <v>1</v>
      </c>
      <c r="AZ108" s="34" t="str">
        <v/>
      </c>
      <c r="BA108" s="34">
        <v>0</v>
      </c>
      <c r="BB108" s="34">
        <v>0</v>
      </c>
      <c r="BD108" s="34">
        <v>1</v>
      </c>
      <c r="BE108" s="34">
        <v>0</v>
      </c>
      <c r="BF108" s="34">
        <v>0</v>
      </c>
      <c r="BG108" s="34" t="str">
        <v/>
      </c>
      <c r="BH108" s="34" t="str">
        <v/>
      </c>
      <c r="BI108" s="34" t="str">
        <v/>
      </c>
      <c r="BJ108" s="34" t="str">
        <v/>
      </c>
      <c r="BK108" s="34" t="str">
        <v>BOX</v>
      </c>
      <c r="BL108" s="34">
        <v>1</v>
      </c>
      <c r="BM108" s="34" t="str">
        <v/>
      </c>
      <c r="BN108" s="34" t="str">
        <v/>
      </c>
      <c r="BO108" s="34" t="str">
        <v/>
      </c>
      <c r="BP108" s="34" t="str">
        <v/>
      </c>
      <c r="BQ108" s="34" t="str">
        <v>3х1,5</v>
      </c>
      <c r="BR108" s="34" t="str">
        <v/>
      </c>
      <c r="BS108" s="34" t="str">
        <v/>
      </c>
      <c r="BT108" s="34" t="str">
        <v/>
      </c>
      <c r="BU108" s="34">
        <v>0</v>
      </c>
      <c r="BV108" s="34">
        <v>129</v>
      </c>
      <c r="BW108" s="34">
        <v>1</v>
      </c>
      <c r="BX108" s="34">
        <v>0</v>
      </c>
      <c r="BY108" s="34">
        <v>0</v>
      </c>
      <c r="BZ108">
        <v>7</v>
      </c>
      <c r="CA108" t="str">
        <v>линии</v>
      </c>
    </row>
    <row r="109" spans="1:79" x14ac:dyDescent="0.3">
      <c r="A109" s="39" t="str">
        <v>ЩОВ-2</v>
      </c>
      <c r="B109" s="42">
        <v>14</v>
      </c>
      <c r="C109" s="42">
        <v>1</v>
      </c>
      <c r="D109" s="75" t="str">
        <v/>
      </c>
      <c r="E109" s="75" t="str">
        <v>авто</v>
      </c>
      <c r="F109" s="76" t="str">
        <v/>
      </c>
      <c r="G109" s="47" t="str">
        <v>QF2</v>
      </c>
      <c r="H109" s="47" t="str">
        <v>1P С6А</v>
      </c>
      <c r="I109" s="75" t="str">
        <v/>
      </c>
      <c r="J109" s="76" t="str">
        <v/>
      </c>
      <c r="K109" s="76" t="str">
        <v/>
      </c>
      <c r="L109" s="75" t="str">
        <v/>
      </c>
      <c r="M109" s="49" t="str">
        <v/>
      </c>
      <c r="N109" s="76" t="str">
        <v/>
      </c>
      <c r="O109" s="49" t="str">
        <v/>
      </c>
      <c r="P109" s="77" t="str">
        <v>XT2</v>
      </c>
      <c r="Q109" s="53" t="str">
        <v>ВВГнг(А)-LS (3х1,5) L=22-0,58%</v>
      </c>
      <c r="R109" s="54" t="str">
        <v>K.1.001A.2</v>
      </c>
      <c r="S109" s="55" t="str">
        <v>Внутренний блок кондиционирования Технический этаж Пом. №001Т</v>
      </c>
      <c r="T109" s="56">
        <v>0.46100000000000002</v>
      </c>
      <c r="U109" s="56">
        <v>2.11</v>
      </c>
      <c r="V109" s="42" t="str">
        <v>L1</v>
      </c>
      <c r="W109" s="57" t="str">
        <v>ok</v>
      </c>
      <c r="X109" s="58" t="str">
        <v/>
      </c>
      <c r="Y109" s="75" t="str">
        <v/>
      </c>
      <c r="Z109" s="59">
        <v>2.11</v>
      </c>
      <c r="AA109" s="61">
        <v>6</v>
      </c>
      <c r="AB109" s="61">
        <v>16</v>
      </c>
      <c r="AC109" s="61" t="str">
        <v/>
      </c>
      <c r="AD109" s="62" t="str">
        <v>QF2 → XT2</v>
      </c>
      <c r="AE109" s="62" t="str">
        <v/>
      </c>
      <c r="AF109" s="34">
        <v>2</v>
      </c>
      <c r="AG109" s="34" t="str">
        <v>QF2</v>
      </c>
      <c r="AH109" s="34" t="str">
        <v/>
      </c>
      <c r="AI109" s="34" t="str">
        <v/>
      </c>
      <c r="AJ109" s="34" t="str">
        <v>QF2</v>
      </c>
      <c r="AK109" s="34">
        <v>1</v>
      </c>
      <c r="AL109" s="34" t="str">
        <v>K</v>
      </c>
      <c r="AM109" s="34">
        <v>0</v>
      </c>
      <c r="AN109" s="34">
        <v>0</v>
      </c>
      <c r="AO109" s="34">
        <v>6</v>
      </c>
      <c r="AP109" s="34">
        <v>16</v>
      </c>
      <c r="AQ109" s="34">
        <v>6</v>
      </c>
      <c r="AR109" s="34">
        <v>1</v>
      </c>
      <c r="AS109" s="34">
        <v>0</v>
      </c>
      <c r="AT109" s="34" t="str">
        <v>1P</v>
      </c>
      <c r="AU109" s="34">
        <v>6</v>
      </c>
      <c r="AV109" s="34" t="str">
        <v/>
      </c>
      <c r="AW109" s="34" t="str">
        <v/>
      </c>
      <c r="AX109" s="34" t="str">
        <v/>
      </c>
      <c r="AY109" s="34">
        <v>1</v>
      </c>
      <c r="AZ109" s="34" t="str">
        <v/>
      </c>
      <c r="BA109" s="34">
        <v>0</v>
      </c>
      <c r="BB109" s="34">
        <v>0</v>
      </c>
      <c r="BD109" s="34">
        <v>1</v>
      </c>
      <c r="BE109" s="34">
        <v>0</v>
      </c>
      <c r="BF109" s="34">
        <v>0</v>
      </c>
      <c r="BG109" s="34" t="str">
        <v/>
      </c>
      <c r="BH109" s="34" t="str">
        <v/>
      </c>
      <c r="BI109" s="34" t="str">
        <v/>
      </c>
      <c r="BJ109" s="34" t="str">
        <v/>
      </c>
      <c r="BK109" s="34" t="str">
        <v>BOX</v>
      </c>
      <c r="BL109" s="34">
        <v>1</v>
      </c>
      <c r="BM109" s="34" t="str">
        <v/>
      </c>
      <c r="BN109" s="34" t="str">
        <v/>
      </c>
      <c r="BO109" s="34" t="str">
        <v/>
      </c>
      <c r="BP109" s="34" t="str">
        <v/>
      </c>
      <c r="BQ109" s="34" t="str">
        <v>3х1,5</v>
      </c>
      <c r="BR109" s="34" t="str">
        <v/>
      </c>
      <c r="BS109" s="34" t="str">
        <v/>
      </c>
      <c r="BT109" s="34" t="str">
        <v/>
      </c>
      <c r="BU109" s="34">
        <v>0</v>
      </c>
      <c r="BV109" s="34">
        <v>130</v>
      </c>
      <c r="BW109" s="34">
        <v>1</v>
      </c>
      <c r="BX109" s="34">
        <v>0</v>
      </c>
      <c r="BY109" s="34">
        <v>0</v>
      </c>
      <c r="BZ109">
        <v>7</v>
      </c>
      <c r="CA109" t="str">
        <v>линии</v>
      </c>
    </row>
    <row r="110" spans="1:79" x14ac:dyDescent="0.3">
      <c r="A110" s="39" t="str">
        <v>ЩОВ-2</v>
      </c>
      <c r="B110" s="42">
        <v>15</v>
      </c>
      <c r="C110" s="42">
        <v>1</v>
      </c>
      <c r="D110" s="75" t="str">
        <v/>
      </c>
      <c r="E110" s="75" t="str">
        <v>авто</v>
      </c>
      <c r="F110" s="76" t="str">
        <v/>
      </c>
      <c r="G110" s="47" t="str">
        <v>QF3</v>
      </c>
      <c r="H110" s="47" t="str">
        <v>1P С6А</v>
      </c>
      <c r="I110" s="75" t="str">
        <v/>
      </c>
      <c r="J110" s="76" t="str">
        <v/>
      </c>
      <c r="K110" s="76" t="str">
        <v/>
      </c>
      <c r="L110" s="75" t="str">
        <v/>
      </c>
      <c r="M110" s="49" t="str">
        <v/>
      </c>
      <c r="N110" s="76" t="str">
        <v/>
      </c>
      <c r="O110" s="49" t="str">
        <v/>
      </c>
      <c r="P110" s="77" t="str">
        <v>XT3</v>
      </c>
      <c r="Q110" s="53" t="str">
        <v>ВВГнг(А)-LS (3х1,5) L=26-0,56%</v>
      </c>
      <c r="R110" s="54" t="str">
        <v>K.1.003A</v>
      </c>
      <c r="S110" s="55" t="str">
        <v>Внутренний блок кондиционирования Технический этаж Пом. №002Т</v>
      </c>
      <c r="T110" s="56">
        <v>0.376</v>
      </c>
      <c r="U110" s="56">
        <v>1.72</v>
      </c>
      <c r="V110" s="42" t="str">
        <v>L2</v>
      </c>
      <c r="W110" s="57" t="str">
        <v>ok</v>
      </c>
      <c r="X110" s="58" t="str">
        <v/>
      </c>
      <c r="Y110" s="75" t="str">
        <v/>
      </c>
      <c r="Z110" s="59">
        <v>1.72</v>
      </c>
      <c r="AA110" s="61">
        <v>6</v>
      </c>
      <c r="AB110" s="61">
        <v>16</v>
      </c>
      <c r="AC110" s="61" t="str">
        <v/>
      </c>
      <c r="AD110" s="62" t="str">
        <v>QF3 → XT3</v>
      </c>
      <c r="AE110" s="62" t="str">
        <v/>
      </c>
      <c r="AF110" s="34">
        <v>3</v>
      </c>
      <c r="AG110" s="34" t="str">
        <v>QF3</v>
      </c>
      <c r="AH110" s="34" t="str">
        <v/>
      </c>
      <c r="AI110" s="34" t="str">
        <v/>
      </c>
      <c r="AJ110" s="34" t="str">
        <v>QF3</v>
      </c>
      <c r="AK110" s="34">
        <v>1</v>
      </c>
      <c r="AL110" s="34" t="str">
        <v>K</v>
      </c>
      <c r="AM110" s="34">
        <v>0</v>
      </c>
      <c r="AN110" s="34">
        <v>0</v>
      </c>
      <c r="AO110" s="34">
        <v>6</v>
      </c>
      <c r="AP110" s="34">
        <v>16</v>
      </c>
      <c r="AQ110" s="34">
        <v>6</v>
      </c>
      <c r="AR110" s="34">
        <v>1</v>
      </c>
      <c r="AS110" s="34">
        <v>0</v>
      </c>
      <c r="AT110" s="34" t="str">
        <v>1P</v>
      </c>
      <c r="AU110" s="34">
        <v>6</v>
      </c>
      <c r="AV110" s="34" t="str">
        <v/>
      </c>
      <c r="AW110" s="34" t="str">
        <v/>
      </c>
      <c r="AX110" s="34" t="str">
        <v/>
      </c>
      <c r="AY110" s="34">
        <v>1</v>
      </c>
      <c r="AZ110" s="34" t="str">
        <v/>
      </c>
      <c r="BA110" s="34">
        <v>0</v>
      </c>
      <c r="BB110" s="34">
        <v>0</v>
      </c>
      <c r="BD110" s="34">
        <v>1</v>
      </c>
      <c r="BE110" s="34">
        <v>0</v>
      </c>
      <c r="BF110" s="34">
        <v>0</v>
      </c>
      <c r="BG110" s="34" t="str">
        <v/>
      </c>
      <c r="BH110" s="34" t="str">
        <v/>
      </c>
      <c r="BI110" s="34" t="str">
        <v/>
      </c>
      <c r="BJ110" s="34" t="str">
        <v/>
      </c>
      <c r="BK110" s="34" t="str">
        <v>BOX</v>
      </c>
      <c r="BL110" s="34">
        <v>1</v>
      </c>
      <c r="BM110" s="34" t="str">
        <v/>
      </c>
      <c r="BN110" s="34" t="str">
        <v/>
      </c>
      <c r="BO110" s="34" t="str">
        <v/>
      </c>
      <c r="BP110" s="34" t="str">
        <v/>
      </c>
      <c r="BQ110" s="34" t="str">
        <v>3х1,5</v>
      </c>
      <c r="BR110" s="34" t="str">
        <v/>
      </c>
      <c r="BS110" s="34" t="str">
        <v/>
      </c>
      <c r="BT110" s="34" t="str">
        <v/>
      </c>
      <c r="BU110" s="34">
        <v>0</v>
      </c>
      <c r="BV110" s="34">
        <v>131</v>
      </c>
      <c r="BW110" s="34">
        <v>1</v>
      </c>
      <c r="BX110" s="34">
        <v>0</v>
      </c>
      <c r="BY110" s="34">
        <v>0</v>
      </c>
      <c r="BZ110">
        <v>7</v>
      </c>
      <c r="CA110" t="str">
        <v>линии</v>
      </c>
    </row>
    <row r="111" spans="1:79" x14ac:dyDescent="0.3">
      <c r="A111" s="39" t="str">
        <v>ЩОВ-2</v>
      </c>
      <c r="B111" s="42">
        <v>16</v>
      </c>
      <c r="C111" s="42">
        <v>1</v>
      </c>
      <c r="D111" s="75" t="str">
        <v/>
      </c>
      <c r="E111" s="75" t="str">
        <v>авто</v>
      </c>
      <c r="F111" s="76" t="str">
        <v/>
      </c>
      <c r="G111" s="47" t="str">
        <v>QF4</v>
      </c>
      <c r="H111" s="47" t="str">
        <v>1P С6А</v>
      </c>
      <c r="I111" s="75" t="str">
        <v/>
      </c>
      <c r="J111" s="76" t="str">
        <v/>
      </c>
      <c r="K111" s="76" t="str">
        <v/>
      </c>
      <c r="L111" s="75" t="str">
        <v/>
      </c>
      <c r="M111" s="49" t="str">
        <v/>
      </c>
      <c r="N111" s="76" t="str">
        <v/>
      </c>
      <c r="O111" s="49" t="str">
        <v/>
      </c>
      <c r="P111" s="77" t="str">
        <v>XT4</v>
      </c>
      <c r="Q111" s="53" t="str">
        <v>ВВГнг(А)-LS (3х1,5) L=26-0,44%</v>
      </c>
      <c r="R111" s="54" t="str">
        <v>K.1.005A</v>
      </c>
      <c r="S111" s="55" t="str">
        <v>Внутренний блок кондиционирования Технический этаж Пом. №001Т</v>
      </c>
      <c r="T111" s="56">
        <v>0.29799999999999999</v>
      </c>
      <c r="U111" s="56">
        <v>1.36</v>
      </c>
      <c r="V111" s="42" t="str">
        <v>L1</v>
      </c>
      <c r="W111" s="57" t="str">
        <v>ok</v>
      </c>
      <c r="X111" s="58" t="str">
        <v/>
      </c>
      <c r="Y111" s="75" t="str">
        <v/>
      </c>
      <c r="Z111" s="59">
        <v>1.36</v>
      </c>
      <c r="AA111" s="61">
        <v>6</v>
      </c>
      <c r="AB111" s="61">
        <v>16</v>
      </c>
      <c r="AC111" s="61" t="str">
        <v/>
      </c>
      <c r="AD111" s="62" t="str">
        <v>QF4 → XT4</v>
      </c>
      <c r="AE111" s="62" t="str">
        <v/>
      </c>
      <c r="AF111" s="34">
        <v>4</v>
      </c>
      <c r="AG111" s="34" t="str">
        <v>QF4</v>
      </c>
      <c r="AH111" s="34" t="str">
        <v/>
      </c>
      <c r="AI111" s="34" t="str">
        <v/>
      </c>
      <c r="AJ111" s="34" t="str">
        <v>QF4</v>
      </c>
      <c r="AK111" s="34">
        <v>1</v>
      </c>
      <c r="AL111" s="34" t="str">
        <v>K</v>
      </c>
      <c r="AM111" s="34">
        <v>0</v>
      </c>
      <c r="AN111" s="34">
        <v>0</v>
      </c>
      <c r="AO111" s="34">
        <v>6</v>
      </c>
      <c r="AP111" s="34">
        <v>16</v>
      </c>
      <c r="AQ111" s="34">
        <v>6</v>
      </c>
      <c r="AR111" s="34">
        <v>1</v>
      </c>
      <c r="AS111" s="34">
        <v>0</v>
      </c>
      <c r="AT111" s="34" t="str">
        <v>1P</v>
      </c>
      <c r="AU111" s="34">
        <v>6</v>
      </c>
      <c r="AV111" s="34" t="str">
        <v/>
      </c>
      <c r="AW111" s="34" t="str">
        <v/>
      </c>
      <c r="AX111" s="34" t="str">
        <v/>
      </c>
      <c r="AY111" s="34">
        <v>1</v>
      </c>
      <c r="AZ111" s="34" t="str">
        <v/>
      </c>
      <c r="BA111" s="34">
        <v>0</v>
      </c>
      <c r="BB111" s="34">
        <v>0</v>
      </c>
      <c r="BD111" s="34">
        <v>1</v>
      </c>
      <c r="BE111" s="34">
        <v>0</v>
      </c>
      <c r="BF111" s="34">
        <v>0</v>
      </c>
      <c r="BG111" s="34" t="str">
        <v/>
      </c>
      <c r="BH111" s="34" t="str">
        <v/>
      </c>
      <c r="BI111" s="34" t="str">
        <v/>
      </c>
      <c r="BJ111" s="34" t="str">
        <v/>
      </c>
      <c r="BK111" s="34" t="str">
        <v>BOX</v>
      </c>
      <c r="BL111" s="34">
        <v>1</v>
      </c>
      <c r="BM111" s="34" t="str">
        <v/>
      </c>
      <c r="BN111" s="34" t="str">
        <v/>
      </c>
      <c r="BO111" s="34" t="str">
        <v/>
      </c>
      <c r="BP111" s="34" t="str">
        <v/>
      </c>
      <c r="BQ111" s="34" t="str">
        <v>3х1,5</v>
      </c>
      <c r="BR111" s="34" t="str">
        <v/>
      </c>
      <c r="BS111" s="34" t="str">
        <v/>
      </c>
      <c r="BT111" s="34" t="str">
        <v/>
      </c>
      <c r="BU111" s="34">
        <v>0</v>
      </c>
      <c r="BV111" s="34">
        <v>132</v>
      </c>
      <c r="BW111" s="34">
        <v>1</v>
      </c>
      <c r="BX111" s="34">
        <v>0</v>
      </c>
      <c r="BY111" s="34">
        <v>0</v>
      </c>
      <c r="BZ111">
        <v>7</v>
      </c>
      <c r="CA111" t="str">
        <v>линии</v>
      </c>
    </row>
    <row r="112" spans="1:79" x14ac:dyDescent="0.3">
      <c r="A112" s="39" t="str">
        <v>ЩОВ-2</v>
      </c>
      <c r="B112" s="42">
        <v>19</v>
      </c>
      <c r="C112" s="42">
        <v>2</v>
      </c>
      <c r="D112" s="75" t="str">
        <v/>
      </c>
      <c r="E112" s="75" t="str">
        <v>авто</v>
      </c>
      <c r="F112" s="76" t="str">
        <v/>
      </c>
      <c r="G112" s="47" t="str">
        <v>QF5</v>
      </c>
      <c r="H112" s="47" t="str">
        <v>1P С6А</v>
      </c>
      <c r="I112" s="75" t="str">
        <v/>
      </c>
      <c r="J112" s="76" t="str">
        <v/>
      </c>
      <c r="K112" s="76" t="str">
        <v/>
      </c>
      <c r="L112" s="75" t="str">
        <v/>
      </c>
      <c r="M112" s="49" t="str">
        <v/>
      </c>
      <c r="N112" s="76" t="str">
        <v/>
      </c>
      <c r="O112" s="49" t="str">
        <v/>
      </c>
      <c r="P112" s="77" t="str">
        <v/>
      </c>
      <c r="Q112" s="53" t="str">
        <v>ВВГнг(А)-LS (3х1,5) L=34-0,2%</v>
      </c>
      <c r="R112" s="54" t="str">
        <v>K.2.004A</v>
      </c>
      <c r="S112" s="55" t="str">
        <v>Внутренний блок кондиционирования Технический этаж Пом. №002Т</v>
      </c>
      <c r="T112" s="56">
        <v>0.104</v>
      </c>
      <c r="U112" s="56">
        <v>0.48</v>
      </c>
      <c r="V112" s="42" t="str">
        <v>L2</v>
      </c>
      <c r="W112" s="57" t="str">
        <v>ok</v>
      </c>
      <c r="X112" s="58" t="str">
        <v/>
      </c>
      <c r="Y112" s="75" t="str">
        <v/>
      </c>
      <c r="Z112" s="59">
        <v>0.48</v>
      </c>
      <c r="AA112" s="61">
        <v>6</v>
      </c>
      <c r="AB112" s="61">
        <v>16</v>
      </c>
      <c r="AC112" s="61" t="str">
        <v/>
      </c>
      <c r="AD112" s="62" t="str">
        <v>QF5</v>
      </c>
      <c r="AE112" s="62" t="str">
        <v/>
      </c>
      <c r="AF112" s="34">
        <v>5</v>
      </c>
      <c r="AG112" s="34" t="str">
        <v>QF5</v>
      </c>
      <c r="AH112" s="34" t="str">
        <v/>
      </c>
      <c r="AI112" s="34" t="str">
        <v/>
      </c>
      <c r="AJ112" s="34" t="str">
        <v>QF5</v>
      </c>
      <c r="AK112" s="34">
        <v>1</v>
      </c>
      <c r="AL112" s="34" t="str">
        <v>K</v>
      </c>
      <c r="AM112" s="34">
        <v>0</v>
      </c>
      <c r="AN112" s="34">
        <v>0</v>
      </c>
      <c r="AO112" s="34">
        <v>6</v>
      </c>
      <c r="AP112" s="34">
        <v>16</v>
      </c>
      <c r="AQ112" s="34">
        <v>6</v>
      </c>
      <c r="AR112" s="34">
        <v>1</v>
      </c>
      <c r="AS112" s="34">
        <v>0</v>
      </c>
      <c r="AT112" s="34" t="str">
        <v>1P</v>
      </c>
      <c r="AU112" s="34">
        <v>6</v>
      </c>
      <c r="AV112" s="34" t="str">
        <v/>
      </c>
      <c r="AW112" s="34" t="str">
        <v/>
      </c>
      <c r="AX112" s="34" t="str">
        <v/>
      </c>
      <c r="AY112" s="34">
        <v>1</v>
      </c>
      <c r="AZ112" s="34" t="str">
        <v/>
      </c>
      <c r="BA112" s="34">
        <v>0</v>
      </c>
      <c r="BB112" s="34">
        <v>0</v>
      </c>
      <c r="BD112" s="34">
        <v>1</v>
      </c>
      <c r="BE112" s="34">
        <v>0</v>
      </c>
      <c r="BF112" s="34">
        <v>0</v>
      </c>
      <c r="BG112" s="34" t="str">
        <v/>
      </c>
      <c r="BH112" s="34" t="str">
        <v/>
      </c>
      <c r="BI112" s="34" t="str">
        <v/>
      </c>
      <c r="BJ112" s="34" t="str">
        <v/>
      </c>
      <c r="BK112" s="34" t="str">
        <v>BOX</v>
      </c>
      <c r="BL112" s="34">
        <v>1</v>
      </c>
      <c r="BM112" s="34" t="str">
        <v/>
      </c>
      <c r="BN112" s="34" t="str">
        <v/>
      </c>
      <c r="BO112" s="34" t="str">
        <v/>
      </c>
      <c r="BP112" s="34" t="str">
        <v/>
      </c>
      <c r="BQ112" s="34" t="str">
        <v>3х1,5</v>
      </c>
      <c r="BR112" s="34" t="str">
        <v/>
      </c>
      <c r="BS112" s="34" t="str">
        <v/>
      </c>
      <c r="BT112" s="34" t="str">
        <v/>
      </c>
      <c r="BU112" s="34">
        <v>0</v>
      </c>
      <c r="BV112" s="34">
        <v>133</v>
      </c>
      <c r="BW112" s="34">
        <v>1</v>
      </c>
      <c r="BX112" s="34">
        <v>0</v>
      </c>
      <c r="BY112" s="34">
        <v>0</v>
      </c>
      <c r="BZ112">
        <v>7</v>
      </c>
      <c r="CA112" t="str">
        <v>линии</v>
      </c>
    </row>
    <row r="113" spans="1:79" x14ac:dyDescent="0.3">
      <c r="A113" s="39" t="str">
        <v>ЩОВ-2</v>
      </c>
      <c r="B113" s="42">
        <v>20</v>
      </c>
      <c r="C113" s="42">
        <v>2</v>
      </c>
      <c r="D113" s="75" t="str">
        <v/>
      </c>
      <c r="E113" s="75" t="str">
        <v>авто</v>
      </c>
      <c r="F113" s="76" t="str">
        <v/>
      </c>
      <c r="G113" s="47" t="str">
        <v>QF6</v>
      </c>
      <c r="H113" s="47" t="str">
        <v>1P С6А</v>
      </c>
      <c r="I113" s="75" t="str">
        <v/>
      </c>
      <c r="J113" s="76" t="str">
        <v/>
      </c>
      <c r="K113" s="76" t="str">
        <v/>
      </c>
      <c r="L113" s="75" t="str">
        <v/>
      </c>
      <c r="M113" s="49" t="str">
        <v/>
      </c>
      <c r="N113" s="76" t="str">
        <v/>
      </c>
      <c r="O113" s="49" t="str">
        <v/>
      </c>
      <c r="P113" s="77" t="str">
        <v>XT6</v>
      </c>
      <c r="Q113" s="53" t="str">
        <v>ВВГнг(А)-LS (3х1,5) L=34-0,32%</v>
      </c>
      <c r="R113" s="54" t="str">
        <v>K.2.005A</v>
      </c>
      <c r="S113" s="55" t="str">
        <v>Внутренний блок кондиционирования Технический этаж Пом. №002Т</v>
      </c>
      <c r="T113" s="56">
        <v>0.16200000000000001</v>
      </c>
      <c r="U113" s="56">
        <v>0.74</v>
      </c>
      <c r="V113" s="42" t="str">
        <v>L1</v>
      </c>
      <c r="W113" s="57" t="str">
        <v>ok</v>
      </c>
      <c r="X113" s="58" t="str">
        <v/>
      </c>
      <c r="Y113" s="75" t="str">
        <v/>
      </c>
      <c r="Z113" s="59">
        <v>0.74</v>
      </c>
      <c r="AA113" s="61">
        <v>6</v>
      </c>
      <c r="AB113" s="61">
        <v>16</v>
      </c>
      <c r="AC113" s="61" t="str">
        <v/>
      </c>
      <c r="AD113" s="62" t="str">
        <v>QF6 → XT6</v>
      </c>
      <c r="AE113" s="62" t="str">
        <v/>
      </c>
      <c r="AF113" s="34">
        <v>6</v>
      </c>
      <c r="AG113" s="34" t="str">
        <v>QF6</v>
      </c>
      <c r="AH113" s="34" t="str">
        <v/>
      </c>
      <c r="AI113" s="34" t="str">
        <v/>
      </c>
      <c r="AJ113" s="34" t="str">
        <v>QF6</v>
      </c>
      <c r="AK113" s="34">
        <v>1</v>
      </c>
      <c r="AL113" s="34" t="str">
        <v>K</v>
      </c>
      <c r="AM113" s="34">
        <v>0</v>
      </c>
      <c r="AN113" s="34">
        <v>0</v>
      </c>
      <c r="AO113" s="34">
        <v>6</v>
      </c>
      <c r="AP113" s="34">
        <v>16</v>
      </c>
      <c r="AQ113" s="34">
        <v>6</v>
      </c>
      <c r="AR113" s="34">
        <v>1</v>
      </c>
      <c r="AS113" s="34">
        <v>0</v>
      </c>
      <c r="AT113" s="34" t="str">
        <v>1P</v>
      </c>
      <c r="AU113" s="34">
        <v>6</v>
      </c>
      <c r="AV113" s="34" t="str">
        <v/>
      </c>
      <c r="AW113" s="34" t="str">
        <v/>
      </c>
      <c r="AX113" s="34" t="str">
        <v/>
      </c>
      <c r="AY113" s="34">
        <v>1</v>
      </c>
      <c r="AZ113" s="34" t="str">
        <v/>
      </c>
      <c r="BA113" s="34">
        <v>0</v>
      </c>
      <c r="BB113" s="34">
        <v>0</v>
      </c>
      <c r="BD113" s="34">
        <v>1</v>
      </c>
      <c r="BE113" s="34">
        <v>0</v>
      </c>
      <c r="BF113" s="34">
        <v>0</v>
      </c>
      <c r="BG113" s="34" t="str">
        <v/>
      </c>
      <c r="BH113" s="34" t="str">
        <v/>
      </c>
      <c r="BI113" s="34" t="str">
        <v/>
      </c>
      <c r="BJ113" s="34" t="str">
        <v/>
      </c>
      <c r="BK113" s="34" t="str">
        <v>BOX</v>
      </c>
      <c r="BL113" s="34">
        <v>1</v>
      </c>
      <c r="BM113" s="34" t="str">
        <v/>
      </c>
      <c r="BN113" s="34" t="str">
        <v/>
      </c>
      <c r="BO113" s="34" t="str">
        <v/>
      </c>
      <c r="BP113" s="34" t="str">
        <v/>
      </c>
      <c r="BQ113" s="34" t="str">
        <v>3х1,5</v>
      </c>
      <c r="BR113" s="34" t="str">
        <v/>
      </c>
      <c r="BS113" s="34" t="str">
        <v/>
      </c>
      <c r="BT113" s="34" t="str">
        <v/>
      </c>
      <c r="BU113" s="34">
        <v>0</v>
      </c>
      <c r="BV113" s="34">
        <v>134</v>
      </c>
      <c r="BW113" s="34">
        <v>1</v>
      </c>
      <c r="BX113" s="34">
        <v>0</v>
      </c>
      <c r="BY113" s="34">
        <v>0</v>
      </c>
      <c r="BZ113">
        <v>7</v>
      </c>
      <c r="CA113" t="str">
        <v>линии</v>
      </c>
    </row>
    <row r="114" spans="1:79" x14ac:dyDescent="0.3">
      <c r="A114" s="39" t="str">
        <v>ЩОВ-2</v>
      </c>
      <c r="B114" s="42">
        <v>21</v>
      </c>
      <c r="C114" s="42">
        <v>2</v>
      </c>
      <c r="D114" s="75" t="str">
        <v/>
      </c>
      <c r="E114" s="75" t="str">
        <v>авто</v>
      </c>
      <c r="F114" s="76" t="str">
        <v/>
      </c>
      <c r="G114" s="47" t="str">
        <v>QF7</v>
      </c>
      <c r="H114" s="47" t="str">
        <v>1P С6А</v>
      </c>
      <c r="I114" s="75" t="str">
        <v/>
      </c>
      <c r="J114" s="76" t="str">
        <v/>
      </c>
      <c r="K114" s="76" t="str">
        <v/>
      </c>
      <c r="L114" s="75" t="str">
        <v/>
      </c>
      <c r="M114" s="49" t="str">
        <v/>
      </c>
      <c r="N114" s="76" t="str">
        <v/>
      </c>
      <c r="O114" s="49" t="str">
        <v/>
      </c>
      <c r="P114" s="77" t="str">
        <v/>
      </c>
      <c r="Q114" s="53" t="str">
        <v>ВВГнг(А)-LS (3х1,5) L=23-0,14%</v>
      </c>
      <c r="R114" s="54" t="str">
        <v>K.2.008A</v>
      </c>
      <c r="S114" s="55" t="str">
        <v>Внутренний блок кондиционирования Технический этаж Пом. №002Т</v>
      </c>
      <c r="T114" s="56">
        <v>0.104</v>
      </c>
      <c r="U114" s="56">
        <v>0.48</v>
      </c>
      <c r="V114" s="42" t="str">
        <v>L2</v>
      </c>
      <c r="W114" s="57" t="str">
        <v>ok</v>
      </c>
      <c r="X114" s="58" t="str">
        <v/>
      </c>
      <c r="Y114" s="75" t="str">
        <v/>
      </c>
      <c r="Z114" s="59">
        <v>0.48</v>
      </c>
      <c r="AA114" s="61">
        <v>6</v>
      </c>
      <c r="AB114" s="61">
        <v>16</v>
      </c>
      <c r="AC114" s="61" t="str">
        <v/>
      </c>
      <c r="AD114" s="62" t="str">
        <v>QF7</v>
      </c>
      <c r="AE114" s="62" t="str">
        <v/>
      </c>
      <c r="AF114" s="34">
        <v>7</v>
      </c>
      <c r="AG114" s="34" t="str">
        <v>QF7</v>
      </c>
      <c r="AH114" s="34" t="str">
        <v/>
      </c>
      <c r="AI114" s="34" t="str">
        <v/>
      </c>
      <c r="AJ114" s="34" t="str">
        <v>QF7</v>
      </c>
      <c r="AK114" s="34">
        <v>1</v>
      </c>
      <c r="AL114" s="34" t="str">
        <v>K</v>
      </c>
      <c r="AM114" s="34">
        <v>0</v>
      </c>
      <c r="AN114" s="34">
        <v>0</v>
      </c>
      <c r="AO114" s="34">
        <v>6</v>
      </c>
      <c r="AP114" s="34">
        <v>16</v>
      </c>
      <c r="AQ114" s="34">
        <v>6</v>
      </c>
      <c r="AR114" s="34">
        <v>1</v>
      </c>
      <c r="AS114" s="34">
        <v>0</v>
      </c>
      <c r="AT114" s="34" t="str">
        <v>1P</v>
      </c>
      <c r="AU114" s="34">
        <v>6</v>
      </c>
      <c r="AV114" s="34" t="str">
        <v/>
      </c>
      <c r="AW114" s="34" t="str">
        <v/>
      </c>
      <c r="AX114" s="34" t="str">
        <v/>
      </c>
      <c r="AY114" s="34">
        <v>1</v>
      </c>
      <c r="AZ114" s="34" t="str">
        <v/>
      </c>
      <c r="BA114" s="34">
        <v>0</v>
      </c>
      <c r="BB114" s="34">
        <v>0</v>
      </c>
      <c r="BD114" s="34">
        <v>1</v>
      </c>
      <c r="BE114" s="34">
        <v>0</v>
      </c>
      <c r="BF114" s="34">
        <v>0</v>
      </c>
      <c r="BG114" s="34" t="str">
        <v/>
      </c>
      <c r="BH114" s="34" t="str">
        <v/>
      </c>
      <c r="BI114" s="34" t="str">
        <v/>
      </c>
      <c r="BJ114" s="34" t="str">
        <v/>
      </c>
      <c r="BK114" s="34" t="str">
        <v>BOX</v>
      </c>
      <c r="BL114" s="34">
        <v>1</v>
      </c>
      <c r="BM114" s="34" t="str">
        <v/>
      </c>
      <c r="BN114" s="34" t="str">
        <v/>
      </c>
      <c r="BO114" s="34" t="str">
        <v/>
      </c>
      <c r="BP114" s="34" t="str">
        <v/>
      </c>
      <c r="BQ114" s="34" t="str">
        <v>3х1,5</v>
      </c>
      <c r="BR114" s="34" t="str">
        <v/>
      </c>
      <c r="BS114" s="34" t="str">
        <v/>
      </c>
      <c r="BT114" s="34" t="str">
        <v/>
      </c>
      <c r="BU114" s="34">
        <v>0</v>
      </c>
      <c r="BV114" s="34">
        <v>135</v>
      </c>
      <c r="BW114" s="34">
        <v>1</v>
      </c>
      <c r="BX114" s="34">
        <v>0</v>
      </c>
      <c r="BY114" s="34">
        <v>0</v>
      </c>
      <c r="BZ114">
        <v>7</v>
      </c>
      <c r="CA114" t="str">
        <v>линии</v>
      </c>
    </row>
    <row r="115" spans="1:79" x14ac:dyDescent="0.3">
      <c r="A115" s="39" t="str">
        <v>ЩОВ-2</v>
      </c>
      <c r="B115" s="42">
        <v>22</v>
      </c>
      <c r="C115" s="42">
        <v>2</v>
      </c>
      <c r="D115" s="75" t="str">
        <v/>
      </c>
      <c r="E115" s="75" t="str">
        <v>авто</v>
      </c>
      <c r="F115" s="76" t="str">
        <v/>
      </c>
      <c r="G115" s="47" t="str">
        <v>QF8</v>
      </c>
      <c r="H115" s="47" t="str">
        <v>1P С6А</v>
      </c>
      <c r="I115" s="75" t="str">
        <v/>
      </c>
      <c r="J115" s="76" t="str">
        <v/>
      </c>
      <c r="K115" s="76" t="str">
        <v/>
      </c>
      <c r="L115" s="75" t="str">
        <v/>
      </c>
      <c r="M115" s="49" t="str">
        <v/>
      </c>
      <c r="N115" s="76" t="str">
        <v/>
      </c>
      <c r="O115" s="49" t="str">
        <v/>
      </c>
      <c r="P115" s="77" t="str">
        <v/>
      </c>
      <c r="Q115" s="53" t="str">
        <v>ВВГнг(А)-LS (3х1,5) L=22-0,21%</v>
      </c>
      <c r="R115" s="54" t="str">
        <v>K.2.009A</v>
      </c>
      <c r="S115" s="55" t="str">
        <v>Внутренний блок кондиционирования Технический этаж Пом. №002Т</v>
      </c>
      <c r="T115" s="56">
        <v>0.16200000000000001</v>
      </c>
      <c r="U115" s="56">
        <v>0.74</v>
      </c>
      <c r="V115" s="42" t="str">
        <v>L1</v>
      </c>
      <c r="W115" s="57" t="str">
        <v>ok</v>
      </c>
      <c r="X115" s="58" t="str">
        <v/>
      </c>
      <c r="Y115" s="75" t="str">
        <v/>
      </c>
      <c r="Z115" s="59">
        <v>0.74</v>
      </c>
      <c r="AA115" s="61">
        <v>6</v>
      </c>
      <c r="AB115" s="61">
        <v>16</v>
      </c>
      <c r="AC115" s="61" t="str">
        <v/>
      </c>
      <c r="AD115" s="62" t="str">
        <v>QF8</v>
      </c>
      <c r="AE115" s="62" t="str">
        <v/>
      </c>
      <c r="AF115" s="34">
        <v>8</v>
      </c>
      <c r="AG115" s="34" t="str">
        <v>QF8</v>
      </c>
      <c r="AH115" s="34" t="str">
        <v/>
      </c>
      <c r="AI115" s="34" t="str">
        <v/>
      </c>
      <c r="AJ115" s="34" t="str">
        <v>QF8</v>
      </c>
      <c r="AK115" s="34">
        <v>1</v>
      </c>
      <c r="AL115" s="34" t="str">
        <v>K</v>
      </c>
      <c r="AM115" s="34">
        <v>0</v>
      </c>
      <c r="AN115" s="34">
        <v>0</v>
      </c>
      <c r="AO115" s="34">
        <v>6</v>
      </c>
      <c r="AP115" s="34">
        <v>16</v>
      </c>
      <c r="AQ115" s="34">
        <v>6</v>
      </c>
      <c r="AR115" s="34">
        <v>1</v>
      </c>
      <c r="AS115" s="34">
        <v>0</v>
      </c>
      <c r="AT115" s="34" t="str">
        <v>1P</v>
      </c>
      <c r="AU115" s="34">
        <v>6</v>
      </c>
      <c r="AV115" s="34" t="str">
        <v/>
      </c>
      <c r="AW115" s="34" t="str">
        <v/>
      </c>
      <c r="AX115" s="34" t="str">
        <v/>
      </c>
      <c r="AY115" s="34">
        <v>1</v>
      </c>
      <c r="AZ115" s="34" t="str">
        <v/>
      </c>
      <c r="BA115" s="34">
        <v>0</v>
      </c>
      <c r="BB115" s="34">
        <v>0</v>
      </c>
      <c r="BD115" s="34">
        <v>1</v>
      </c>
      <c r="BE115" s="34">
        <v>0</v>
      </c>
      <c r="BF115" s="34">
        <v>0</v>
      </c>
      <c r="BG115" s="34" t="str">
        <v/>
      </c>
      <c r="BH115" s="34" t="str">
        <v/>
      </c>
      <c r="BI115" s="34" t="str">
        <v/>
      </c>
      <c r="BJ115" s="34" t="str">
        <v/>
      </c>
      <c r="BK115" s="34" t="str">
        <v>BOX</v>
      </c>
      <c r="BL115" s="34">
        <v>1</v>
      </c>
      <c r="BM115" s="34" t="str">
        <v/>
      </c>
      <c r="BN115" s="34" t="str">
        <v/>
      </c>
      <c r="BO115" s="34" t="str">
        <v/>
      </c>
      <c r="BP115" s="34" t="str">
        <v/>
      </c>
      <c r="BQ115" s="34" t="str">
        <v>3х1,5</v>
      </c>
      <c r="BR115" s="34" t="str">
        <v/>
      </c>
      <c r="BS115" s="34" t="str">
        <v/>
      </c>
      <c r="BT115" s="34" t="str">
        <v/>
      </c>
      <c r="BU115" s="34">
        <v>0</v>
      </c>
      <c r="BV115" s="34">
        <v>136</v>
      </c>
      <c r="BW115" s="34">
        <v>1</v>
      </c>
      <c r="BX115" s="34">
        <v>0</v>
      </c>
      <c r="BY115" s="34">
        <v>0</v>
      </c>
      <c r="BZ115">
        <v>7</v>
      </c>
      <c r="CA115" t="str">
        <v>линии</v>
      </c>
    </row>
    <row r="116" spans="1:79" x14ac:dyDescent="0.3">
      <c r="A116" s="39" t="str">
        <v>ЩОВ-2</v>
      </c>
      <c r="B116" s="42">
        <v>23</v>
      </c>
      <c r="C116" s="42">
        <v>2</v>
      </c>
      <c r="D116" s="75" t="str">
        <v/>
      </c>
      <c r="E116" s="75" t="str">
        <v>авто</v>
      </c>
      <c r="F116" s="76" t="str">
        <v/>
      </c>
      <c r="G116" s="47" t="str">
        <v>QF9</v>
      </c>
      <c r="H116" s="47" t="str">
        <v>1P С6А</v>
      </c>
      <c r="I116" s="75" t="str">
        <v/>
      </c>
      <c r="J116" s="76" t="str">
        <v/>
      </c>
      <c r="K116" s="76" t="str">
        <v/>
      </c>
      <c r="L116" s="75" t="str">
        <v/>
      </c>
      <c r="M116" s="49" t="str">
        <v/>
      </c>
      <c r="N116" s="76" t="str">
        <v/>
      </c>
      <c r="O116" s="49" t="str">
        <v/>
      </c>
      <c r="P116" s="77" t="str">
        <v/>
      </c>
      <c r="Q116" s="53" t="str">
        <v>ВВГнг(А)-LS (3х1,5) L=19-0,24%</v>
      </c>
      <c r="R116" s="54" t="str">
        <v>K.2.014A</v>
      </c>
      <c r="S116" s="55" t="str">
        <v>Внутренний блок кондиционирования Технический этаж Пом. №002Т</v>
      </c>
      <c r="T116" s="56">
        <v>0.222</v>
      </c>
      <c r="U116" s="56">
        <v>1.02</v>
      </c>
      <c r="V116" s="42" t="str">
        <v>L1</v>
      </c>
      <c r="W116" s="57" t="str">
        <v>ok</v>
      </c>
      <c r="X116" s="58" t="str">
        <v/>
      </c>
      <c r="Y116" s="75" t="str">
        <v/>
      </c>
      <c r="Z116" s="59">
        <v>1.02</v>
      </c>
      <c r="AA116" s="61">
        <v>6</v>
      </c>
      <c r="AB116" s="61">
        <v>16</v>
      </c>
      <c r="AC116" s="61" t="str">
        <v/>
      </c>
      <c r="AD116" s="62" t="str">
        <v>QF9</v>
      </c>
      <c r="AE116" s="62" t="str">
        <v/>
      </c>
      <c r="AF116" s="34">
        <v>9</v>
      </c>
      <c r="AG116" s="34" t="str">
        <v>QF9</v>
      </c>
      <c r="AH116" s="34" t="str">
        <v/>
      </c>
      <c r="AI116" s="34" t="str">
        <v/>
      </c>
      <c r="AJ116" s="34" t="str">
        <v>QF9</v>
      </c>
      <c r="AK116" s="34">
        <v>1</v>
      </c>
      <c r="AL116" s="34" t="str">
        <v>K</v>
      </c>
      <c r="AM116" s="34">
        <v>0</v>
      </c>
      <c r="AN116" s="34">
        <v>0</v>
      </c>
      <c r="AO116" s="34">
        <v>6</v>
      </c>
      <c r="AP116" s="34">
        <v>16</v>
      </c>
      <c r="AQ116" s="34">
        <v>6</v>
      </c>
      <c r="AR116" s="34">
        <v>1</v>
      </c>
      <c r="AS116" s="34">
        <v>0</v>
      </c>
      <c r="AT116" s="34" t="str">
        <v>1P</v>
      </c>
      <c r="AU116" s="34">
        <v>6</v>
      </c>
      <c r="AV116" s="34" t="str">
        <v/>
      </c>
      <c r="AW116" s="34" t="str">
        <v/>
      </c>
      <c r="AX116" s="34" t="str">
        <v/>
      </c>
      <c r="AY116" s="34">
        <v>1</v>
      </c>
      <c r="AZ116" s="34" t="str">
        <v/>
      </c>
      <c r="BA116" s="34">
        <v>0</v>
      </c>
      <c r="BB116" s="34">
        <v>0</v>
      </c>
      <c r="BD116" s="34">
        <v>1</v>
      </c>
      <c r="BE116" s="34">
        <v>0</v>
      </c>
      <c r="BF116" s="34">
        <v>0</v>
      </c>
      <c r="BG116" s="34" t="str">
        <v/>
      </c>
      <c r="BH116" s="34" t="str">
        <v/>
      </c>
      <c r="BI116" s="34" t="str">
        <v/>
      </c>
      <c r="BJ116" s="34" t="str">
        <v/>
      </c>
      <c r="BK116" s="34" t="str">
        <v>BOX</v>
      </c>
      <c r="BL116" s="34">
        <v>1</v>
      </c>
      <c r="BM116" s="34" t="str">
        <v/>
      </c>
      <c r="BN116" s="34" t="str">
        <v/>
      </c>
      <c r="BO116" s="34" t="str">
        <v/>
      </c>
      <c r="BP116" s="34" t="str">
        <v/>
      </c>
      <c r="BQ116" s="34" t="str">
        <v>3х1,5</v>
      </c>
      <c r="BR116" s="34" t="str">
        <v/>
      </c>
      <c r="BS116" s="34" t="str">
        <v/>
      </c>
      <c r="BT116" s="34" t="str">
        <v/>
      </c>
      <c r="BU116" s="34">
        <v>0</v>
      </c>
      <c r="BV116" s="34">
        <v>137</v>
      </c>
      <c r="BW116" s="34">
        <v>1</v>
      </c>
      <c r="BX116" s="34">
        <v>0</v>
      </c>
      <c r="BY116" s="34">
        <v>0</v>
      </c>
      <c r="BZ116">
        <v>7</v>
      </c>
      <c r="CA116" t="str">
        <v>линии</v>
      </c>
    </row>
    <row r="117" spans="1:79" x14ac:dyDescent="0.3">
      <c r="A117" s="39" t="str">
        <v>ЩОВ-2</v>
      </c>
      <c r="B117" s="42">
        <v>24</v>
      </c>
      <c r="C117" s="42">
        <v>2</v>
      </c>
      <c r="D117" s="75" t="str">
        <v/>
      </c>
      <c r="E117" s="75" t="str">
        <v>авто</v>
      </c>
      <c r="F117" s="76" t="str">
        <v/>
      </c>
      <c r="G117" s="47" t="str">
        <v>QF10</v>
      </c>
      <c r="H117" s="47" t="str">
        <v>1P С6А</v>
      </c>
      <c r="I117" s="75" t="str">
        <v/>
      </c>
      <c r="J117" s="76" t="str">
        <v/>
      </c>
      <c r="K117" s="76" t="str">
        <v/>
      </c>
      <c r="L117" s="75" t="str">
        <v/>
      </c>
      <c r="M117" s="49" t="str">
        <v/>
      </c>
      <c r="N117" s="76" t="str">
        <v/>
      </c>
      <c r="O117" s="49" t="str">
        <v/>
      </c>
      <c r="P117" s="77" t="str">
        <v/>
      </c>
      <c r="Q117" s="53" t="str">
        <v>ВВГнг(А)-LS (3х1,5) L=35-0,21%</v>
      </c>
      <c r="R117" s="54" t="str">
        <v>K.2.016A</v>
      </c>
      <c r="S117" s="55" t="str">
        <v>Внутренний блок кондиционирования Технический этаж Пом. №001Б</v>
      </c>
      <c r="T117" s="56">
        <v>0.104</v>
      </c>
      <c r="U117" s="56">
        <v>0.48</v>
      </c>
      <c r="V117" s="42" t="str">
        <v>L2</v>
      </c>
      <c r="W117" s="57" t="str">
        <v>ok</v>
      </c>
      <c r="X117" s="58" t="str">
        <v/>
      </c>
      <c r="Y117" s="75" t="str">
        <v/>
      </c>
      <c r="Z117" s="59">
        <v>0.48</v>
      </c>
      <c r="AA117" s="61">
        <v>6</v>
      </c>
      <c r="AB117" s="61">
        <v>16</v>
      </c>
      <c r="AC117" s="61" t="str">
        <v/>
      </c>
      <c r="AD117" s="62" t="str">
        <v>QF10</v>
      </c>
      <c r="AE117" s="62" t="str">
        <v/>
      </c>
      <c r="AF117" s="34">
        <v>10</v>
      </c>
      <c r="AG117" s="34" t="str">
        <v>QF10</v>
      </c>
      <c r="AH117" s="34" t="str">
        <v/>
      </c>
      <c r="AI117" s="34" t="str">
        <v/>
      </c>
      <c r="AJ117" s="34" t="str">
        <v>QF10</v>
      </c>
      <c r="AK117" s="34">
        <v>1</v>
      </c>
      <c r="AL117" s="34" t="str">
        <v>K</v>
      </c>
      <c r="AM117" s="34">
        <v>0</v>
      </c>
      <c r="AN117" s="34">
        <v>0</v>
      </c>
      <c r="AO117" s="34">
        <v>6</v>
      </c>
      <c r="AP117" s="34">
        <v>16</v>
      </c>
      <c r="AQ117" s="34">
        <v>6</v>
      </c>
      <c r="AR117" s="34">
        <v>1</v>
      </c>
      <c r="AS117" s="34">
        <v>0</v>
      </c>
      <c r="AT117" s="34" t="str">
        <v>1P</v>
      </c>
      <c r="AU117" s="34">
        <v>6</v>
      </c>
      <c r="AV117" s="34" t="str">
        <v/>
      </c>
      <c r="AW117" s="34" t="str">
        <v/>
      </c>
      <c r="AX117" s="34" t="str">
        <v/>
      </c>
      <c r="AY117" s="34">
        <v>1</v>
      </c>
      <c r="AZ117" s="34" t="str">
        <v/>
      </c>
      <c r="BA117" s="34">
        <v>0</v>
      </c>
      <c r="BB117" s="34">
        <v>0</v>
      </c>
      <c r="BD117" s="34">
        <v>1</v>
      </c>
      <c r="BE117" s="34">
        <v>0</v>
      </c>
      <c r="BF117" s="34">
        <v>0</v>
      </c>
      <c r="BG117" s="34" t="str">
        <v/>
      </c>
      <c r="BH117" s="34" t="str">
        <v/>
      </c>
      <c r="BI117" s="34" t="str">
        <v/>
      </c>
      <c r="BJ117" s="34" t="str">
        <v/>
      </c>
      <c r="BK117" s="34" t="str">
        <v>BOX</v>
      </c>
      <c r="BL117" s="34">
        <v>1</v>
      </c>
      <c r="BM117" s="34" t="str">
        <v/>
      </c>
      <c r="BN117" s="34" t="str">
        <v/>
      </c>
      <c r="BO117" s="34" t="str">
        <v/>
      </c>
      <c r="BP117" s="34" t="str">
        <v/>
      </c>
      <c r="BQ117" s="34" t="str">
        <v>3х1,5</v>
      </c>
      <c r="BR117" s="34" t="str">
        <v/>
      </c>
      <c r="BS117" s="34" t="str">
        <v/>
      </c>
      <c r="BT117" s="34" t="str">
        <v/>
      </c>
      <c r="BU117" s="34">
        <v>0</v>
      </c>
      <c r="BV117" s="34">
        <v>138</v>
      </c>
      <c r="BW117" s="34">
        <v>1</v>
      </c>
      <c r="BX117" s="34">
        <v>0</v>
      </c>
      <c r="BY117" s="34">
        <v>0</v>
      </c>
      <c r="BZ117">
        <v>7</v>
      </c>
      <c r="CA117" t="str">
        <v>линии</v>
      </c>
    </row>
    <row r="118" spans="1:79" x14ac:dyDescent="0.3">
      <c r="A118" s="39" t="str">
        <v>ЩОВ-2</v>
      </c>
      <c r="B118" s="42">
        <v>25</v>
      </c>
      <c r="C118" s="42">
        <v>2</v>
      </c>
      <c r="D118" s="75" t="str">
        <v/>
      </c>
      <c r="E118" s="75" t="str">
        <v>авто</v>
      </c>
      <c r="F118" s="76" t="str">
        <v/>
      </c>
      <c r="G118" s="47" t="str">
        <v>QF11</v>
      </c>
      <c r="H118" s="47" t="str">
        <v>1P С6А</v>
      </c>
      <c r="I118" s="75" t="str">
        <v/>
      </c>
      <c r="J118" s="76" t="str">
        <v/>
      </c>
      <c r="K118" s="76" t="str">
        <v/>
      </c>
      <c r="L118" s="75" t="str">
        <v/>
      </c>
      <c r="M118" s="49" t="str">
        <v/>
      </c>
      <c r="N118" s="76" t="str">
        <v/>
      </c>
      <c r="O118" s="49" t="str">
        <v/>
      </c>
      <c r="P118" s="77" t="str">
        <v/>
      </c>
      <c r="Q118" s="53" t="str">
        <v>ВВГнг(А)-LS (3х1,5) L=32-0,3%</v>
      </c>
      <c r="R118" s="54" t="str">
        <v>K.2.019A</v>
      </c>
      <c r="S118" s="55" t="str">
        <v>Внутренний блок кондиционирования Технический этаж Пом. №003Т</v>
      </c>
      <c r="T118" s="56">
        <v>0.16200000000000001</v>
      </c>
      <c r="U118" s="56">
        <v>0.74</v>
      </c>
      <c r="V118" s="42" t="str">
        <v>L1</v>
      </c>
      <c r="W118" s="57" t="str">
        <v>ok</v>
      </c>
      <c r="X118" s="58" t="str">
        <v/>
      </c>
      <c r="Y118" s="75" t="str">
        <v/>
      </c>
      <c r="Z118" s="59">
        <v>0.74</v>
      </c>
      <c r="AA118" s="61">
        <v>6</v>
      </c>
      <c r="AB118" s="61">
        <v>16</v>
      </c>
      <c r="AC118" s="61" t="str">
        <v/>
      </c>
      <c r="AD118" s="62" t="str">
        <v>QF11</v>
      </c>
      <c r="AE118" s="62" t="str">
        <v/>
      </c>
      <c r="AF118" s="34">
        <v>11</v>
      </c>
      <c r="AG118" s="34" t="str">
        <v>QF11</v>
      </c>
      <c r="AH118" s="34" t="str">
        <v/>
      </c>
      <c r="AI118" s="34" t="str">
        <v/>
      </c>
      <c r="AJ118" s="34" t="str">
        <v>QF11</v>
      </c>
      <c r="AK118" s="34">
        <v>1</v>
      </c>
      <c r="AL118" s="34" t="str">
        <v>K</v>
      </c>
      <c r="AM118" s="34">
        <v>0</v>
      </c>
      <c r="AN118" s="34">
        <v>0</v>
      </c>
      <c r="AO118" s="34">
        <v>6</v>
      </c>
      <c r="AP118" s="34">
        <v>16</v>
      </c>
      <c r="AQ118" s="34">
        <v>6</v>
      </c>
      <c r="AR118" s="34">
        <v>1</v>
      </c>
      <c r="AS118" s="34">
        <v>0</v>
      </c>
      <c r="AT118" s="34" t="str">
        <v>1P</v>
      </c>
      <c r="AU118" s="34">
        <v>6</v>
      </c>
      <c r="AV118" s="34" t="str">
        <v/>
      </c>
      <c r="AW118" s="34" t="str">
        <v/>
      </c>
      <c r="AX118" s="34" t="str">
        <v/>
      </c>
      <c r="AY118" s="34">
        <v>1</v>
      </c>
      <c r="AZ118" s="34" t="str">
        <v/>
      </c>
      <c r="BA118" s="34">
        <v>0</v>
      </c>
      <c r="BB118" s="34">
        <v>0</v>
      </c>
      <c r="BD118" s="34">
        <v>1</v>
      </c>
      <c r="BE118" s="34">
        <v>0</v>
      </c>
      <c r="BF118" s="34">
        <v>0</v>
      </c>
      <c r="BG118" s="34" t="str">
        <v/>
      </c>
      <c r="BH118" s="34" t="str">
        <v/>
      </c>
      <c r="BI118" s="34" t="str">
        <v/>
      </c>
      <c r="BJ118" s="34" t="str">
        <v/>
      </c>
      <c r="BK118" s="34" t="str">
        <v>BOX</v>
      </c>
      <c r="BL118" s="34">
        <v>1</v>
      </c>
      <c r="BM118" s="34" t="str">
        <v/>
      </c>
      <c r="BN118" s="34" t="str">
        <v/>
      </c>
      <c r="BO118" s="34" t="str">
        <v/>
      </c>
      <c r="BP118" s="34" t="str">
        <v/>
      </c>
      <c r="BQ118" s="34" t="str">
        <v>3х1,5</v>
      </c>
      <c r="BR118" s="34" t="str">
        <v/>
      </c>
      <c r="BS118" s="34" t="str">
        <v/>
      </c>
      <c r="BT118" s="34" t="str">
        <v/>
      </c>
      <c r="BU118" s="34">
        <v>0</v>
      </c>
      <c r="BV118" s="34">
        <v>139</v>
      </c>
      <c r="BW118" s="34">
        <v>1</v>
      </c>
      <c r="BX118" s="34">
        <v>0</v>
      </c>
      <c r="BY118" s="34">
        <v>0</v>
      </c>
      <c r="BZ118">
        <v>7</v>
      </c>
      <c r="CA118" t="str">
        <v>линии</v>
      </c>
    </row>
    <row r="119" spans="1:79" x14ac:dyDescent="0.3">
      <c r="A119" s="39" t="str">
        <v>ЩОВ-2</v>
      </c>
      <c r="B119" s="42">
        <v>26</v>
      </c>
      <c r="C119" s="42">
        <v>2</v>
      </c>
      <c r="D119" s="75" t="str">
        <v/>
      </c>
      <c r="E119" s="75" t="str">
        <v>авто</v>
      </c>
      <c r="F119" s="76" t="str">
        <v/>
      </c>
      <c r="G119" s="47" t="str">
        <v>QF12</v>
      </c>
      <c r="H119" s="47" t="str">
        <v>1P С6А</v>
      </c>
      <c r="I119" s="75" t="str">
        <v/>
      </c>
      <c r="J119" s="76" t="str">
        <v/>
      </c>
      <c r="K119" s="76" t="str">
        <v/>
      </c>
      <c r="L119" s="75" t="str">
        <v/>
      </c>
      <c r="M119" s="49" t="str">
        <v/>
      </c>
      <c r="N119" s="76" t="str">
        <v/>
      </c>
      <c r="O119" s="49" t="str">
        <v/>
      </c>
      <c r="P119" s="77" t="str">
        <v/>
      </c>
      <c r="Q119" s="53" t="str">
        <v>ВВГнг(А)-LS (3х1,5) L=35-0,06%</v>
      </c>
      <c r="R119" s="54" t="str">
        <v>K.3.002Б</v>
      </c>
      <c r="S119" s="55" t="str">
        <v>Внутренний блок кондиционирования Технический этаж Пом. №003Т</v>
      </c>
      <c r="T119" s="56">
        <v>2.7E-2</v>
      </c>
      <c r="U119" s="56">
        <v>0.13</v>
      </c>
      <c r="V119" s="42" t="str">
        <v>L1</v>
      </c>
      <c r="W119" s="57" t="str">
        <v>ok</v>
      </c>
      <c r="X119" s="58" t="str">
        <v/>
      </c>
      <c r="Y119" s="75" t="str">
        <v/>
      </c>
      <c r="Z119" s="59">
        <v>0.13</v>
      </c>
      <c r="AA119" s="61">
        <v>6</v>
      </c>
      <c r="AB119" s="61">
        <v>16</v>
      </c>
      <c r="AC119" s="61" t="str">
        <v/>
      </c>
      <c r="AD119" s="62" t="str">
        <v>QF12</v>
      </c>
      <c r="AE119" s="62" t="str">
        <v/>
      </c>
      <c r="AF119" s="34">
        <v>12</v>
      </c>
      <c r="AG119" s="34" t="str">
        <v>QF12</v>
      </c>
      <c r="AH119" s="34" t="str">
        <v/>
      </c>
      <c r="AI119" s="34" t="str">
        <v/>
      </c>
      <c r="AJ119" s="34" t="str">
        <v>QF12</v>
      </c>
      <c r="AK119" s="34">
        <v>1</v>
      </c>
      <c r="AL119" s="34" t="str">
        <v>K</v>
      </c>
      <c r="AM119" s="34">
        <v>0</v>
      </c>
      <c r="AN119" s="34">
        <v>0</v>
      </c>
      <c r="AO119" s="34">
        <v>6</v>
      </c>
      <c r="AP119" s="34">
        <v>16</v>
      </c>
      <c r="AQ119" s="34">
        <v>6</v>
      </c>
      <c r="AR119" s="34">
        <v>1</v>
      </c>
      <c r="AS119" s="34">
        <v>0</v>
      </c>
      <c r="AT119" s="34" t="str">
        <v>1P</v>
      </c>
      <c r="AU119" s="34">
        <v>6</v>
      </c>
      <c r="AV119" s="34" t="str">
        <v/>
      </c>
      <c r="AW119" s="34" t="str">
        <v/>
      </c>
      <c r="AX119" s="34" t="str">
        <v/>
      </c>
      <c r="AY119" s="34">
        <v>1</v>
      </c>
      <c r="AZ119" s="34" t="str">
        <v/>
      </c>
      <c r="BA119" s="34">
        <v>0</v>
      </c>
      <c r="BB119" s="34">
        <v>0</v>
      </c>
      <c r="BD119" s="34">
        <v>1</v>
      </c>
      <c r="BE119" s="34">
        <v>0</v>
      </c>
      <c r="BF119" s="34">
        <v>0</v>
      </c>
      <c r="BG119" s="34" t="str">
        <v/>
      </c>
      <c r="BH119" s="34" t="str">
        <v/>
      </c>
      <c r="BI119" s="34" t="str">
        <v/>
      </c>
      <c r="BJ119" s="34" t="str">
        <v/>
      </c>
      <c r="BK119" s="34" t="str">
        <v>BOX</v>
      </c>
      <c r="BL119" s="34">
        <v>1</v>
      </c>
      <c r="BM119" s="34" t="str">
        <v/>
      </c>
      <c r="BN119" s="34" t="str">
        <v/>
      </c>
      <c r="BO119" s="34" t="str">
        <v/>
      </c>
      <c r="BP119" s="34" t="str">
        <v/>
      </c>
      <c r="BQ119" s="34" t="str">
        <v>3х1,5</v>
      </c>
      <c r="BR119" s="34" t="str">
        <v/>
      </c>
      <c r="BS119" s="34" t="str">
        <v/>
      </c>
      <c r="BT119" s="34" t="str">
        <v/>
      </c>
      <c r="BU119" s="34">
        <v>0</v>
      </c>
      <c r="BV119" s="34">
        <v>140</v>
      </c>
      <c r="BW119" s="34">
        <v>1</v>
      </c>
      <c r="BX119" s="34">
        <v>0</v>
      </c>
      <c r="BY119" s="34">
        <v>0</v>
      </c>
      <c r="BZ119">
        <v>7</v>
      </c>
      <c r="CA119" t="str">
        <v>линии</v>
      </c>
    </row>
    <row r="120" spans="1:79" x14ac:dyDescent="0.3">
      <c r="A120" s="39" t="str">
        <v>ЩОВ-2</v>
      </c>
      <c r="B120" s="42">
        <v>27</v>
      </c>
      <c r="C120" s="42">
        <v>2</v>
      </c>
      <c r="D120" s="75" t="str">
        <v/>
      </c>
      <c r="E120" s="75" t="str">
        <v>авто</v>
      </c>
      <c r="F120" s="76" t="str">
        <v/>
      </c>
      <c r="G120" s="47" t="str">
        <v>QF13</v>
      </c>
      <c r="H120" s="47" t="str">
        <v>1P С6А</v>
      </c>
      <c r="I120" s="75" t="str">
        <v/>
      </c>
      <c r="J120" s="76" t="str">
        <v/>
      </c>
      <c r="K120" s="76" t="str">
        <v/>
      </c>
      <c r="L120" s="75" t="str">
        <v/>
      </c>
      <c r="M120" s="49" t="str">
        <v/>
      </c>
      <c r="N120" s="76" t="str">
        <v/>
      </c>
      <c r="O120" s="49" t="str">
        <v/>
      </c>
      <c r="P120" s="77" t="str">
        <v/>
      </c>
      <c r="Q120" s="53" t="str">
        <v>ВВГнг(А)-LS (3х1,5) L=30-0,07%</v>
      </c>
      <c r="R120" s="54" t="str">
        <v>K.3.004T.1</v>
      </c>
      <c r="S120" s="55" t="str">
        <v>Внутренний блок кондиционирования Технический этаж Пом. №004Т</v>
      </c>
      <c r="T120" s="56">
        <v>0.04</v>
      </c>
      <c r="U120" s="56">
        <v>0.19</v>
      </c>
      <c r="V120" s="42" t="str">
        <v>L2</v>
      </c>
      <c r="W120" s="57" t="str">
        <v>ok</v>
      </c>
      <c r="X120" s="58" t="str">
        <v/>
      </c>
      <c r="Y120" s="75" t="str">
        <v/>
      </c>
      <c r="Z120" s="59">
        <v>0.19</v>
      </c>
      <c r="AA120" s="61">
        <v>6</v>
      </c>
      <c r="AB120" s="61">
        <v>16</v>
      </c>
      <c r="AC120" s="61" t="str">
        <v/>
      </c>
      <c r="AD120" s="62" t="str">
        <v>QF13</v>
      </c>
      <c r="AE120" s="62" t="str">
        <v/>
      </c>
      <c r="AF120" s="34">
        <v>13</v>
      </c>
      <c r="AG120" s="34" t="str">
        <v>QF13</v>
      </c>
      <c r="AH120" s="34" t="str">
        <v/>
      </c>
      <c r="AI120" s="34" t="str">
        <v/>
      </c>
      <c r="AJ120" s="34" t="str">
        <v>QF13</v>
      </c>
      <c r="AK120" s="34">
        <v>1</v>
      </c>
      <c r="AL120" s="34" t="str">
        <v>K</v>
      </c>
      <c r="AM120" s="34">
        <v>0</v>
      </c>
      <c r="AN120" s="34">
        <v>0</v>
      </c>
      <c r="AO120" s="34">
        <v>6</v>
      </c>
      <c r="AP120" s="34">
        <v>16</v>
      </c>
      <c r="AQ120" s="34">
        <v>6</v>
      </c>
      <c r="AR120" s="34">
        <v>1</v>
      </c>
      <c r="AS120" s="34">
        <v>0</v>
      </c>
      <c r="AT120" s="34" t="str">
        <v>1P</v>
      </c>
      <c r="AU120" s="34">
        <v>6</v>
      </c>
      <c r="AV120" s="34" t="str">
        <v/>
      </c>
      <c r="AW120" s="34" t="str">
        <v/>
      </c>
      <c r="AX120" s="34" t="str">
        <v/>
      </c>
      <c r="AY120" s="34">
        <v>1</v>
      </c>
      <c r="AZ120" s="34" t="str">
        <v/>
      </c>
      <c r="BA120" s="34">
        <v>0</v>
      </c>
      <c r="BB120" s="34">
        <v>0</v>
      </c>
      <c r="BD120" s="34">
        <v>1</v>
      </c>
      <c r="BE120" s="34">
        <v>0</v>
      </c>
      <c r="BF120" s="34">
        <v>0</v>
      </c>
      <c r="BG120" s="34" t="str">
        <v/>
      </c>
      <c r="BH120" s="34" t="str">
        <v/>
      </c>
      <c r="BI120" s="34" t="str">
        <v/>
      </c>
      <c r="BJ120" s="34" t="str">
        <v/>
      </c>
      <c r="BK120" s="34" t="str">
        <v>BOX</v>
      </c>
      <c r="BL120" s="34">
        <v>1</v>
      </c>
      <c r="BM120" s="34" t="str">
        <v/>
      </c>
      <c r="BN120" s="34" t="str">
        <v/>
      </c>
      <c r="BO120" s="34" t="str">
        <v/>
      </c>
      <c r="BP120" s="34" t="str">
        <v/>
      </c>
      <c r="BQ120" s="34" t="str">
        <v>3х1,5</v>
      </c>
      <c r="BR120" s="34" t="str">
        <v/>
      </c>
      <c r="BS120" s="34" t="str">
        <v/>
      </c>
      <c r="BT120" s="34" t="str">
        <v/>
      </c>
      <c r="BU120" s="34">
        <v>0</v>
      </c>
      <c r="BV120" s="34">
        <v>141</v>
      </c>
      <c r="BW120" s="34">
        <v>1</v>
      </c>
      <c r="BX120" s="34">
        <v>0</v>
      </c>
      <c r="BY120" s="34">
        <v>0</v>
      </c>
      <c r="BZ120">
        <v>7</v>
      </c>
      <c r="CA120" t="str">
        <v>линии</v>
      </c>
    </row>
    <row r="121" spans="1:79" x14ac:dyDescent="0.3">
      <c r="A121" s="39" t="str">
        <v>ЩОВ-2</v>
      </c>
      <c r="B121" s="42">
        <v>28</v>
      </c>
      <c r="C121" s="42">
        <v>2</v>
      </c>
      <c r="D121" s="75" t="str">
        <v/>
      </c>
      <c r="E121" s="75" t="str">
        <v>авто</v>
      </c>
      <c r="F121" s="76" t="str">
        <v/>
      </c>
      <c r="G121" s="47" t="str">
        <v>QF14</v>
      </c>
      <c r="H121" s="47" t="str">
        <v>1P С6А</v>
      </c>
      <c r="I121" s="75" t="str">
        <v/>
      </c>
      <c r="J121" s="76" t="str">
        <v/>
      </c>
      <c r="K121" s="76" t="str">
        <v/>
      </c>
      <c r="L121" s="75" t="str">
        <v/>
      </c>
      <c r="M121" s="49" t="str">
        <v/>
      </c>
      <c r="N121" s="76" t="str">
        <v/>
      </c>
      <c r="O121" s="49" t="str">
        <v/>
      </c>
      <c r="P121" s="77" t="str">
        <v/>
      </c>
      <c r="Q121" s="53" t="str">
        <v>ВВГнг(А)-LS (3х1,5) L=29-0,07%</v>
      </c>
      <c r="R121" s="54" t="str">
        <v>K.3.004T.2</v>
      </c>
      <c r="S121" s="55" t="str">
        <v>Внутренний блок кондиционирования Технический этаж Пом. №004Т</v>
      </c>
      <c r="T121" s="56">
        <v>0.04</v>
      </c>
      <c r="U121" s="56">
        <v>0.19</v>
      </c>
      <c r="V121" s="42" t="str">
        <v>L1</v>
      </c>
      <c r="W121" s="57" t="str">
        <v>ok</v>
      </c>
      <c r="X121" s="58" t="str">
        <v/>
      </c>
      <c r="Y121" s="75" t="str">
        <v/>
      </c>
      <c r="Z121" s="59">
        <v>0.19</v>
      </c>
      <c r="AA121" s="61">
        <v>6</v>
      </c>
      <c r="AB121" s="61">
        <v>16</v>
      </c>
      <c r="AC121" s="61" t="str">
        <v/>
      </c>
      <c r="AD121" s="62" t="str">
        <v>QF14</v>
      </c>
      <c r="AE121" s="62" t="str">
        <v/>
      </c>
      <c r="AF121" s="34">
        <v>14</v>
      </c>
      <c r="AG121" s="34" t="str">
        <v>QF14</v>
      </c>
      <c r="AH121" s="34" t="str">
        <v/>
      </c>
      <c r="AI121" s="34" t="str">
        <v/>
      </c>
      <c r="AJ121" s="34" t="str">
        <v>QF14</v>
      </c>
      <c r="AK121" s="34">
        <v>1</v>
      </c>
      <c r="AL121" s="34" t="str">
        <v>K</v>
      </c>
      <c r="AM121" s="34">
        <v>0</v>
      </c>
      <c r="AN121" s="34">
        <v>0</v>
      </c>
      <c r="AO121" s="34">
        <v>6</v>
      </c>
      <c r="AP121" s="34">
        <v>16</v>
      </c>
      <c r="AQ121" s="34">
        <v>6</v>
      </c>
      <c r="AR121" s="34">
        <v>1</v>
      </c>
      <c r="AS121" s="34">
        <v>0</v>
      </c>
      <c r="AT121" s="34" t="str">
        <v>1P</v>
      </c>
      <c r="AU121" s="34">
        <v>6</v>
      </c>
      <c r="AV121" s="34" t="str">
        <v/>
      </c>
      <c r="AW121" s="34" t="str">
        <v/>
      </c>
      <c r="AX121" s="34" t="str">
        <v/>
      </c>
      <c r="AY121" s="34">
        <v>1</v>
      </c>
      <c r="AZ121" s="34" t="str">
        <v/>
      </c>
      <c r="BA121" s="34">
        <v>0</v>
      </c>
      <c r="BB121" s="34">
        <v>0</v>
      </c>
      <c r="BD121" s="34">
        <v>1</v>
      </c>
      <c r="BE121" s="34">
        <v>0</v>
      </c>
      <c r="BF121" s="34">
        <v>0</v>
      </c>
      <c r="BG121" s="34" t="str">
        <v/>
      </c>
      <c r="BH121" s="34" t="str">
        <v/>
      </c>
      <c r="BI121" s="34" t="str">
        <v/>
      </c>
      <c r="BJ121" s="34" t="str">
        <v/>
      </c>
      <c r="BK121" s="34" t="str">
        <v>BOX</v>
      </c>
      <c r="BL121" s="34">
        <v>1</v>
      </c>
      <c r="BM121" s="34" t="str">
        <v/>
      </c>
      <c r="BN121" s="34" t="str">
        <v/>
      </c>
      <c r="BO121" s="34" t="str">
        <v/>
      </c>
      <c r="BP121" s="34" t="str">
        <v/>
      </c>
      <c r="BQ121" s="34" t="str">
        <v>3х1,5</v>
      </c>
      <c r="BR121" s="34" t="str">
        <v/>
      </c>
      <c r="BS121" s="34" t="str">
        <v/>
      </c>
      <c r="BT121" s="34" t="str">
        <v/>
      </c>
      <c r="BU121" s="34">
        <v>0</v>
      </c>
      <c r="BV121" s="34">
        <v>142</v>
      </c>
      <c r="BW121" s="34">
        <v>1</v>
      </c>
      <c r="BX121" s="34">
        <v>0</v>
      </c>
      <c r="BY121" s="34">
        <v>0</v>
      </c>
      <c r="BZ121">
        <v>7</v>
      </c>
      <c r="CA121" t="str">
        <v>линии</v>
      </c>
    </row>
    <row r="122" spans="1:79" x14ac:dyDescent="0.3">
      <c r="A122" s="39" t="str">
        <v>ЩОВ-2</v>
      </c>
      <c r="B122" s="42">
        <v>29</v>
      </c>
      <c r="C122" s="42">
        <v>2</v>
      </c>
      <c r="D122" s="75" t="str">
        <v/>
      </c>
      <c r="E122" s="75" t="str">
        <v>авто</v>
      </c>
      <c r="F122" s="76" t="str">
        <v/>
      </c>
      <c r="G122" s="47" t="str">
        <v>QF15</v>
      </c>
      <c r="H122" s="47" t="str">
        <v>1P С6А</v>
      </c>
      <c r="I122" s="75" t="str">
        <v/>
      </c>
      <c r="J122" s="76" t="str">
        <v/>
      </c>
      <c r="K122" s="76" t="str">
        <v/>
      </c>
      <c r="L122" s="75" t="str">
        <v/>
      </c>
      <c r="M122" s="49" t="str">
        <v/>
      </c>
      <c r="N122" s="76" t="str">
        <v/>
      </c>
      <c r="O122" s="49" t="str">
        <v/>
      </c>
      <c r="P122" s="77" t="str">
        <v/>
      </c>
      <c r="Q122" s="53" t="str">
        <v>ВВГнг(А)-LS (3х1,5) L=17-0,26%</v>
      </c>
      <c r="R122" s="54" t="str">
        <v>В.1</v>
      </c>
      <c r="S122" s="55" t="str">
        <v>Вытяжная установка Технический этаж Пом. №001Т</v>
      </c>
      <c r="T122" s="56">
        <v>0.27</v>
      </c>
      <c r="U122" s="56">
        <v>1.24</v>
      </c>
      <c r="V122" s="42" t="str">
        <v>L1</v>
      </c>
      <c r="W122" s="57" t="str">
        <v>ok</v>
      </c>
      <c r="X122" s="58" t="str">
        <v/>
      </c>
      <c r="Y122" s="75" t="str">
        <v/>
      </c>
      <c r="Z122" s="59">
        <v>1.24</v>
      </c>
      <c r="AA122" s="61">
        <v>6</v>
      </c>
      <c r="AB122" s="61">
        <v>16</v>
      </c>
      <c r="AC122" s="61" t="str">
        <v/>
      </c>
      <c r="AD122" s="62" t="str">
        <v>QF15</v>
      </c>
      <c r="AE122" s="62" t="str">
        <v/>
      </c>
      <c r="AF122" s="34">
        <v>15</v>
      </c>
      <c r="AG122" s="34" t="str">
        <v>QF15</v>
      </c>
      <c r="AH122" s="34" t="str">
        <v/>
      </c>
      <c r="AI122" s="34" t="str">
        <v/>
      </c>
      <c r="AJ122" s="34" t="str">
        <v>QF15</v>
      </c>
      <c r="AK122" s="34">
        <v>1</v>
      </c>
      <c r="AL122" s="34" t="str">
        <v>В</v>
      </c>
      <c r="AM122" s="34">
        <v>0</v>
      </c>
      <c r="AN122" s="34">
        <v>0</v>
      </c>
      <c r="AO122" s="34">
        <v>6</v>
      </c>
      <c r="AP122" s="34">
        <v>16</v>
      </c>
      <c r="AQ122" s="34">
        <v>6</v>
      </c>
      <c r="AR122" s="34">
        <v>1</v>
      </c>
      <c r="AS122" s="34">
        <v>0</v>
      </c>
      <c r="AT122" s="34" t="str">
        <v>1P</v>
      </c>
      <c r="AU122" s="34">
        <v>6</v>
      </c>
      <c r="AV122" s="34" t="str">
        <v/>
      </c>
      <c r="AW122" s="34" t="str">
        <v/>
      </c>
      <c r="AX122" s="34" t="str">
        <v/>
      </c>
      <c r="AY122" s="34">
        <v>1</v>
      </c>
      <c r="AZ122" s="34" t="str">
        <v/>
      </c>
      <c r="BA122" s="34">
        <v>0</v>
      </c>
      <c r="BB122" s="34">
        <v>0</v>
      </c>
      <c r="BD122" s="34">
        <v>1</v>
      </c>
      <c r="BE122" s="34">
        <v>0</v>
      </c>
      <c r="BF122" s="34">
        <v>0</v>
      </c>
      <c r="BG122" s="34" t="str">
        <v/>
      </c>
      <c r="BH122" s="34" t="str">
        <v/>
      </c>
      <c r="BI122" s="34" t="str">
        <v/>
      </c>
      <c r="BJ122" s="34" t="str">
        <v/>
      </c>
      <c r="BK122" s="34" t="str">
        <v>MOTOR</v>
      </c>
      <c r="BL122" s="34">
        <v>1</v>
      </c>
      <c r="BM122" s="34" t="str">
        <v/>
      </c>
      <c r="BN122" s="34" t="str">
        <v/>
      </c>
      <c r="BO122" s="34" t="str">
        <v/>
      </c>
      <c r="BP122" s="34" t="str">
        <v/>
      </c>
      <c r="BQ122" s="34" t="str">
        <v>3х1,5</v>
      </c>
      <c r="BR122" s="34" t="str">
        <v/>
      </c>
      <c r="BS122" s="34" t="str">
        <v/>
      </c>
      <c r="BT122" s="34" t="str">
        <v/>
      </c>
      <c r="BU122" s="34">
        <v>0</v>
      </c>
      <c r="BV122" s="34">
        <v>143</v>
      </c>
      <c r="BW122" s="34">
        <v>1</v>
      </c>
      <c r="BX122" s="34">
        <v>0</v>
      </c>
      <c r="BY122" s="34" t="str">
        <v>Привод (двигатель)</v>
      </c>
      <c r="BZ122">
        <v>7</v>
      </c>
      <c r="CA122" t="str">
        <v>линии</v>
      </c>
    </row>
    <row r="123" spans="1:79" x14ac:dyDescent="0.3">
      <c r="A123" s="39" t="str">
        <v>ЩОВ-2</v>
      </c>
      <c r="B123" s="42">
        <v>30</v>
      </c>
      <c r="C123" s="42">
        <v>2</v>
      </c>
      <c r="D123" s="75" t="str">
        <v/>
      </c>
      <c r="E123" s="75" t="str">
        <v>авто</v>
      </c>
      <c r="F123" s="76" t="str">
        <v/>
      </c>
      <c r="G123" s="47" t="str">
        <v>QF16</v>
      </c>
      <c r="H123" s="47" t="str">
        <v>1P С6А</v>
      </c>
      <c r="I123" s="75" t="str">
        <v/>
      </c>
      <c r="J123" s="76" t="str">
        <v/>
      </c>
      <c r="K123" s="76" t="str">
        <v/>
      </c>
      <c r="L123" s="75" t="str">
        <v/>
      </c>
      <c r="M123" s="49" t="str">
        <v/>
      </c>
      <c r="N123" s="76" t="str">
        <v/>
      </c>
      <c r="O123" s="49" t="str">
        <v/>
      </c>
      <c r="P123" s="77" t="str">
        <v/>
      </c>
      <c r="Q123" s="53" t="str">
        <v>ВВГнг(А)-LS (3х1,5) L=20-0,31%</v>
      </c>
      <c r="R123" s="54" t="str">
        <v>В.22</v>
      </c>
      <c r="S123" s="55" t="str">
        <v>Вытяжная установка Технический этаж Пом. №001Т</v>
      </c>
      <c r="T123" s="56">
        <v>0.27</v>
      </c>
      <c r="U123" s="56">
        <v>1.24</v>
      </c>
      <c r="V123" s="42" t="str">
        <v>L2</v>
      </c>
      <c r="W123" s="57" t="str">
        <v>ok</v>
      </c>
      <c r="X123" s="58" t="str">
        <v/>
      </c>
      <c r="Y123" s="75" t="str">
        <v/>
      </c>
      <c r="Z123" s="59">
        <v>1.24</v>
      </c>
      <c r="AA123" s="61">
        <v>6</v>
      </c>
      <c r="AB123" s="61">
        <v>16</v>
      </c>
      <c r="AC123" s="61" t="str">
        <v/>
      </c>
      <c r="AD123" s="62" t="str">
        <v>QF16</v>
      </c>
      <c r="AE123" s="62" t="str">
        <v/>
      </c>
      <c r="AF123" s="34">
        <v>16</v>
      </c>
      <c r="AG123" s="34" t="str">
        <v>QF16</v>
      </c>
      <c r="AH123" s="34" t="str">
        <v/>
      </c>
      <c r="AI123" s="34" t="str">
        <v/>
      </c>
      <c r="AJ123" s="34" t="str">
        <v>QF16</v>
      </c>
      <c r="AK123" s="34">
        <v>1</v>
      </c>
      <c r="AL123" s="34" t="str">
        <v>В</v>
      </c>
      <c r="AM123" s="34">
        <v>0</v>
      </c>
      <c r="AN123" s="34">
        <v>0</v>
      </c>
      <c r="AO123" s="34">
        <v>6</v>
      </c>
      <c r="AP123" s="34">
        <v>16</v>
      </c>
      <c r="AQ123" s="34">
        <v>6</v>
      </c>
      <c r="AR123" s="34">
        <v>1</v>
      </c>
      <c r="AS123" s="34">
        <v>0</v>
      </c>
      <c r="AT123" s="34" t="str">
        <v>1P</v>
      </c>
      <c r="AU123" s="34">
        <v>6</v>
      </c>
      <c r="AV123" s="34" t="str">
        <v/>
      </c>
      <c r="AW123" s="34" t="str">
        <v/>
      </c>
      <c r="AX123" s="34" t="str">
        <v/>
      </c>
      <c r="AY123" s="34">
        <v>1</v>
      </c>
      <c r="AZ123" s="34" t="str">
        <v/>
      </c>
      <c r="BA123" s="34">
        <v>0</v>
      </c>
      <c r="BB123" s="34">
        <v>0</v>
      </c>
      <c r="BD123" s="34">
        <v>1</v>
      </c>
      <c r="BE123" s="34">
        <v>0</v>
      </c>
      <c r="BF123" s="34">
        <v>0</v>
      </c>
      <c r="BG123" s="34" t="str">
        <v/>
      </c>
      <c r="BH123" s="34" t="str">
        <v/>
      </c>
      <c r="BI123" s="34" t="str">
        <v/>
      </c>
      <c r="BJ123" s="34" t="str">
        <v/>
      </c>
      <c r="BK123" s="34" t="str">
        <v>MOTOR</v>
      </c>
      <c r="BL123" s="34">
        <v>1</v>
      </c>
      <c r="BM123" s="34" t="str">
        <v/>
      </c>
      <c r="BN123" s="34" t="str">
        <v/>
      </c>
      <c r="BO123" s="34" t="str">
        <v/>
      </c>
      <c r="BP123" s="34" t="str">
        <v/>
      </c>
      <c r="BQ123" s="34" t="str">
        <v>3х1,5</v>
      </c>
      <c r="BR123" s="34" t="str">
        <v/>
      </c>
      <c r="BS123" s="34" t="str">
        <v/>
      </c>
      <c r="BT123" s="34" t="str">
        <v/>
      </c>
      <c r="BU123" s="34">
        <v>0</v>
      </c>
      <c r="BV123" s="34">
        <v>144</v>
      </c>
      <c r="BW123" s="34">
        <v>1</v>
      </c>
      <c r="BX123" s="34">
        <v>0</v>
      </c>
      <c r="BY123" s="34" t="str">
        <v>Привод (двигатель)</v>
      </c>
      <c r="BZ123">
        <v>7</v>
      </c>
      <c r="CA123" t="str">
        <v>линии</v>
      </c>
    </row>
    <row r="124" spans="1:79" x14ac:dyDescent="0.3">
      <c r="A124" s="39" t="str">
        <v>ЩОВ-2</v>
      </c>
      <c r="B124" s="42">
        <v>31</v>
      </c>
      <c r="C124" s="42">
        <v>2</v>
      </c>
      <c r="D124" s="75" t="str">
        <v/>
      </c>
      <c r="E124" s="75" t="str">
        <v>авто</v>
      </c>
      <c r="F124" s="76" t="str">
        <v/>
      </c>
      <c r="G124" s="47" t="str">
        <v>QF17</v>
      </c>
      <c r="H124" s="47" t="str">
        <v>1P С6А</v>
      </c>
      <c r="I124" s="75" t="str">
        <v/>
      </c>
      <c r="J124" s="76" t="str">
        <v/>
      </c>
      <c r="K124" s="76" t="str">
        <v/>
      </c>
      <c r="L124" s="75" t="str">
        <v/>
      </c>
      <c r="M124" s="49" t="str">
        <v/>
      </c>
      <c r="N124" s="76" t="str">
        <v/>
      </c>
      <c r="O124" s="49" t="str">
        <v/>
      </c>
      <c r="P124" s="77" t="str">
        <v/>
      </c>
      <c r="Q124" s="53" t="str">
        <v>ВВГнг(А)-LS (3х1,5) L=34-0,52%</v>
      </c>
      <c r="R124" s="54" t="str">
        <v>В.23</v>
      </c>
      <c r="S124" s="55" t="str">
        <v>Вытяжная установка Технический этаж Пом. №001Т</v>
      </c>
      <c r="T124" s="56">
        <v>0.27</v>
      </c>
      <c r="U124" s="56">
        <v>1.24</v>
      </c>
      <c r="V124" s="42" t="str">
        <v>L1</v>
      </c>
      <c r="W124" s="57" t="str">
        <v>ok</v>
      </c>
      <c r="X124" s="58" t="str">
        <v/>
      </c>
      <c r="Y124" s="75" t="str">
        <v/>
      </c>
      <c r="Z124" s="59">
        <v>1.24</v>
      </c>
      <c r="AA124" s="61">
        <v>6</v>
      </c>
      <c r="AB124" s="61">
        <v>16</v>
      </c>
      <c r="AC124" s="61" t="str">
        <v/>
      </c>
      <c r="AD124" s="62" t="str">
        <v>QF17</v>
      </c>
      <c r="AE124" s="62" t="str">
        <v/>
      </c>
      <c r="AF124" s="34">
        <v>17</v>
      </c>
      <c r="AG124" s="34" t="str">
        <v>QF17</v>
      </c>
      <c r="AH124" s="34" t="str">
        <v/>
      </c>
      <c r="AI124" s="34" t="str">
        <v/>
      </c>
      <c r="AJ124" s="34" t="str">
        <v>QF17</v>
      </c>
      <c r="AK124" s="34">
        <v>1</v>
      </c>
      <c r="AL124" s="34" t="str">
        <v>В</v>
      </c>
      <c r="AM124" s="34">
        <v>0</v>
      </c>
      <c r="AN124" s="34">
        <v>0</v>
      </c>
      <c r="AO124" s="34">
        <v>6</v>
      </c>
      <c r="AP124" s="34">
        <v>16</v>
      </c>
      <c r="AQ124" s="34">
        <v>6</v>
      </c>
      <c r="AR124" s="34">
        <v>1</v>
      </c>
      <c r="AS124" s="34">
        <v>0</v>
      </c>
      <c r="AT124" s="34" t="str">
        <v>1P</v>
      </c>
      <c r="AU124" s="34">
        <v>6</v>
      </c>
      <c r="AV124" s="34" t="str">
        <v/>
      </c>
      <c r="AW124" s="34" t="str">
        <v/>
      </c>
      <c r="AX124" s="34" t="str">
        <v/>
      </c>
      <c r="AY124" s="34">
        <v>1</v>
      </c>
      <c r="AZ124" s="34" t="str">
        <v/>
      </c>
      <c r="BA124" s="34">
        <v>0</v>
      </c>
      <c r="BB124" s="34">
        <v>0</v>
      </c>
      <c r="BD124" s="34">
        <v>1</v>
      </c>
      <c r="BE124" s="34">
        <v>0</v>
      </c>
      <c r="BF124" s="34">
        <v>0</v>
      </c>
      <c r="BG124" s="34" t="str">
        <v/>
      </c>
      <c r="BH124" s="34" t="str">
        <v/>
      </c>
      <c r="BI124" s="34" t="str">
        <v/>
      </c>
      <c r="BJ124" s="34" t="str">
        <v/>
      </c>
      <c r="BK124" s="34" t="str">
        <v>MOTOR</v>
      </c>
      <c r="BL124" s="34">
        <v>1</v>
      </c>
      <c r="BM124" s="34" t="str">
        <v/>
      </c>
      <c r="BN124" s="34" t="str">
        <v/>
      </c>
      <c r="BO124" s="34" t="str">
        <v/>
      </c>
      <c r="BP124" s="34" t="str">
        <v/>
      </c>
      <c r="BQ124" s="34" t="str">
        <v>3х1,5</v>
      </c>
      <c r="BR124" s="34" t="str">
        <v/>
      </c>
      <c r="BS124" s="34" t="str">
        <v/>
      </c>
      <c r="BT124" s="34" t="str">
        <v/>
      </c>
      <c r="BU124" s="34">
        <v>0</v>
      </c>
      <c r="BV124" s="34">
        <v>145</v>
      </c>
      <c r="BW124" s="34">
        <v>1</v>
      </c>
      <c r="BX124" s="34">
        <v>0</v>
      </c>
      <c r="BY124" s="34" t="str">
        <v>Привод (двигатель)</v>
      </c>
      <c r="BZ124">
        <v>7</v>
      </c>
      <c r="CA124" t="str">
        <v>линии</v>
      </c>
    </row>
    <row r="125" spans="1:79" x14ac:dyDescent="0.3">
      <c r="A125" s="39" t="str">
        <v>ЩОВ-2</v>
      </c>
      <c r="B125" s="42">
        <v>32</v>
      </c>
      <c r="C125" s="42">
        <v>2</v>
      </c>
      <c r="D125" s="75" t="str">
        <v/>
      </c>
      <c r="E125" s="75" t="str">
        <v>авто</v>
      </c>
      <c r="F125" s="76" t="str">
        <v/>
      </c>
      <c r="G125" s="47" t="str">
        <v>QF18</v>
      </c>
      <c r="H125" s="47" t="str">
        <v>1P С6А</v>
      </c>
      <c r="I125" s="75" t="str">
        <v/>
      </c>
      <c r="J125" s="76" t="str">
        <v/>
      </c>
      <c r="K125" s="76" t="str">
        <v/>
      </c>
      <c r="L125" s="75" t="str">
        <v/>
      </c>
      <c r="M125" s="49" t="str">
        <v/>
      </c>
      <c r="N125" s="76" t="str">
        <v/>
      </c>
      <c r="O125" s="49" t="str">
        <v/>
      </c>
      <c r="P125" s="77" t="str">
        <v/>
      </c>
      <c r="Q125" s="53" t="str">
        <v>ВВГнг(А)-LS (3х1,5) L=17-0,26%</v>
      </c>
      <c r="R125" s="54" t="str">
        <v>В.8</v>
      </c>
      <c r="S125" s="55" t="str">
        <v>Вытяжная установка Технический этаж Пом. №001Т</v>
      </c>
      <c r="T125" s="56">
        <v>0.27</v>
      </c>
      <c r="U125" s="56">
        <v>1.24</v>
      </c>
      <c r="V125" s="42" t="str">
        <v>L1</v>
      </c>
      <c r="W125" s="57" t="str">
        <v>ok</v>
      </c>
      <c r="X125" s="58" t="str">
        <v/>
      </c>
      <c r="Y125" s="75" t="str">
        <v/>
      </c>
      <c r="Z125" s="59">
        <v>1.24</v>
      </c>
      <c r="AA125" s="61">
        <v>6</v>
      </c>
      <c r="AB125" s="61">
        <v>16</v>
      </c>
      <c r="AC125" s="61" t="str">
        <v/>
      </c>
      <c r="AD125" s="62" t="str">
        <v>QF18</v>
      </c>
      <c r="AE125" s="62" t="str">
        <v/>
      </c>
      <c r="AF125" s="34">
        <v>18</v>
      </c>
      <c r="AG125" s="34" t="str">
        <v>QF18</v>
      </c>
      <c r="AH125" s="34" t="str">
        <v/>
      </c>
      <c r="AI125" s="34" t="str">
        <v/>
      </c>
      <c r="AJ125" s="34" t="str">
        <v>QF18</v>
      </c>
      <c r="AK125" s="34">
        <v>1</v>
      </c>
      <c r="AL125" s="34" t="str">
        <v>В</v>
      </c>
      <c r="AM125" s="34">
        <v>0</v>
      </c>
      <c r="AN125" s="34">
        <v>0</v>
      </c>
      <c r="AO125" s="34">
        <v>6</v>
      </c>
      <c r="AP125" s="34">
        <v>16</v>
      </c>
      <c r="AQ125" s="34">
        <v>6</v>
      </c>
      <c r="AR125" s="34">
        <v>1</v>
      </c>
      <c r="AS125" s="34">
        <v>0</v>
      </c>
      <c r="AT125" s="34" t="str">
        <v>1P</v>
      </c>
      <c r="AU125" s="34">
        <v>6</v>
      </c>
      <c r="AV125" s="34" t="str">
        <v/>
      </c>
      <c r="AW125" s="34" t="str">
        <v/>
      </c>
      <c r="AX125" s="34" t="str">
        <v/>
      </c>
      <c r="AY125" s="34">
        <v>1</v>
      </c>
      <c r="AZ125" s="34" t="str">
        <v/>
      </c>
      <c r="BA125" s="34">
        <v>0</v>
      </c>
      <c r="BB125" s="34">
        <v>0</v>
      </c>
      <c r="BD125" s="34">
        <v>1</v>
      </c>
      <c r="BE125" s="34">
        <v>0</v>
      </c>
      <c r="BF125" s="34">
        <v>0</v>
      </c>
      <c r="BG125" s="34" t="str">
        <v/>
      </c>
      <c r="BH125" s="34" t="str">
        <v/>
      </c>
      <c r="BI125" s="34" t="str">
        <v/>
      </c>
      <c r="BJ125" s="34" t="str">
        <v/>
      </c>
      <c r="BK125" s="34" t="str">
        <v>MOTOR</v>
      </c>
      <c r="BL125" s="34">
        <v>1</v>
      </c>
      <c r="BM125" s="34" t="str">
        <v/>
      </c>
      <c r="BN125" s="34" t="str">
        <v/>
      </c>
      <c r="BO125" s="34" t="str">
        <v/>
      </c>
      <c r="BP125" s="34" t="str">
        <v/>
      </c>
      <c r="BQ125" s="34" t="str">
        <v>3х1,5</v>
      </c>
      <c r="BR125" s="34" t="str">
        <v/>
      </c>
      <c r="BS125" s="34" t="str">
        <v/>
      </c>
      <c r="BT125" s="34" t="str">
        <v/>
      </c>
      <c r="BU125" s="34">
        <v>0</v>
      </c>
      <c r="BV125" s="34">
        <v>146</v>
      </c>
      <c r="BW125" s="34">
        <v>1</v>
      </c>
      <c r="BX125" s="34">
        <v>0</v>
      </c>
      <c r="BY125" s="34" t="str">
        <v>Привод (двигатель)</v>
      </c>
      <c r="BZ125">
        <v>7</v>
      </c>
      <c r="CA125" t="str">
        <v>линии</v>
      </c>
    </row>
    <row r="126" spans="1:79" x14ac:dyDescent="0.3">
      <c r="A126" s="39" t="str">
        <v>ЩОВ-2</v>
      </c>
      <c r="B126" s="42">
        <v>33</v>
      </c>
      <c r="C126" s="42">
        <v>2</v>
      </c>
      <c r="D126" s="75" t="str">
        <v/>
      </c>
      <c r="E126" s="75" t="str">
        <v>авто</v>
      </c>
      <c r="F126" s="76" t="str">
        <v/>
      </c>
      <c r="G126" s="47" t="str">
        <v>QF19</v>
      </c>
      <c r="H126" s="47" t="str">
        <v>1P С6А</v>
      </c>
      <c r="I126" s="75" t="str">
        <v/>
      </c>
      <c r="J126" s="76" t="str">
        <v/>
      </c>
      <c r="K126" s="76" t="str">
        <v/>
      </c>
      <c r="L126" s="75" t="str">
        <v/>
      </c>
      <c r="M126" s="49" t="str">
        <v/>
      </c>
      <c r="N126" s="76" t="str">
        <v/>
      </c>
      <c r="O126" s="49" t="str">
        <v/>
      </c>
      <c r="P126" s="77" t="str">
        <v/>
      </c>
      <c r="Q126" s="53" t="str">
        <v>ВВГнг(А)-LS (3х2,5) L=23-0,1%</v>
      </c>
      <c r="R126" s="54" t="str">
        <v>П.3</v>
      </c>
      <c r="S126" s="55" t="str">
        <v>Приточная установка Технический этаж Пом. №001Т</v>
      </c>
      <c r="T126" s="56">
        <v>0.12</v>
      </c>
      <c r="U126" s="56">
        <v>0.55000000000000004</v>
      </c>
      <c r="V126" s="42" t="str">
        <v>L2</v>
      </c>
      <c r="W126" s="57" t="str">
        <v>ok</v>
      </c>
      <c r="X126" s="58" t="str">
        <v/>
      </c>
      <c r="Y126" s="75" t="str">
        <v/>
      </c>
      <c r="Z126" s="59">
        <v>0.55000000000000004</v>
      </c>
      <c r="AA126" s="61">
        <v>6</v>
      </c>
      <c r="AB126" s="61">
        <v>25</v>
      </c>
      <c r="AC126" s="61" t="str">
        <v/>
      </c>
      <c r="AD126" s="62" t="str">
        <v>QF19</v>
      </c>
      <c r="AE126" s="62" t="str">
        <v/>
      </c>
      <c r="AF126" s="34">
        <v>19</v>
      </c>
      <c r="AG126" s="34" t="str">
        <v>QF19</v>
      </c>
      <c r="AH126" s="34" t="str">
        <v/>
      </c>
      <c r="AI126" s="34" t="str">
        <v/>
      </c>
      <c r="AJ126" s="34" t="str">
        <v>QF19</v>
      </c>
      <c r="AK126" s="34">
        <v>1</v>
      </c>
      <c r="AL126" s="34" t="str">
        <v>П</v>
      </c>
      <c r="AM126" s="34">
        <v>0</v>
      </c>
      <c r="AN126" s="34">
        <v>0</v>
      </c>
      <c r="AO126" s="34">
        <v>6</v>
      </c>
      <c r="AP126" s="34">
        <v>25</v>
      </c>
      <c r="AQ126" s="34">
        <v>6</v>
      </c>
      <c r="AR126" s="34">
        <v>1</v>
      </c>
      <c r="AS126" s="34">
        <v>0</v>
      </c>
      <c r="AT126" s="34" t="str">
        <v>1P</v>
      </c>
      <c r="AU126" s="34">
        <v>6</v>
      </c>
      <c r="AV126" s="34" t="str">
        <v/>
      </c>
      <c r="AW126" s="34" t="str">
        <v/>
      </c>
      <c r="AX126" s="34" t="str">
        <v/>
      </c>
      <c r="AY126" s="34">
        <v>1</v>
      </c>
      <c r="AZ126" s="34" t="str">
        <v/>
      </c>
      <c r="BA126" s="34">
        <v>0</v>
      </c>
      <c r="BB126" s="34">
        <v>0</v>
      </c>
      <c r="BD126" s="34">
        <v>1</v>
      </c>
      <c r="BE126" s="34">
        <v>0</v>
      </c>
      <c r="BF126" s="34">
        <v>0</v>
      </c>
      <c r="BG126" s="34" t="str">
        <v/>
      </c>
      <c r="BH126" s="34" t="str">
        <v/>
      </c>
      <c r="BI126" s="34" t="str">
        <v/>
      </c>
      <c r="BJ126" s="34" t="str">
        <v/>
      </c>
      <c r="BK126" s="34" t="str">
        <v>MOTOR</v>
      </c>
      <c r="BL126" s="34">
        <v>1</v>
      </c>
      <c r="BM126" s="34" t="str">
        <v/>
      </c>
      <c r="BN126" s="34" t="str">
        <v/>
      </c>
      <c r="BO126" s="34" t="str">
        <v/>
      </c>
      <c r="BP126" s="34" t="str">
        <v/>
      </c>
      <c r="BQ126" s="34" t="str">
        <v>3х2,5</v>
      </c>
      <c r="BR126" s="34" t="str">
        <v/>
      </c>
      <c r="BS126" s="34" t="str">
        <v/>
      </c>
      <c r="BT126" s="34" t="str">
        <v/>
      </c>
      <c r="BU126" s="34">
        <v>0</v>
      </c>
      <c r="BV126" s="34">
        <v>147</v>
      </c>
      <c r="BW126" s="34">
        <v>1</v>
      </c>
      <c r="BX126" s="34">
        <v>0</v>
      </c>
      <c r="BY126" s="34" t="str">
        <v>Привод (двигатель)</v>
      </c>
      <c r="BZ126">
        <v>7</v>
      </c>
      <c r="CA126" t="str">
        <v>линии</v>
      </c>
    </row>
    <row r="127" spans="1:79" x14ac:dyDescent="0.3">
      <c r="A127" s="39" t="str">
        <v>ЩОВ-2</v>
      </c>
      <c r="B127" s="42">
        <v>36</v>
      </c>
      <c r="C127" s="42">
        <v>3</v>
      </c>
      <c r="D127" s="75" t="str">
        <v/>
      </c>
      <c r="E127" s="75" t="str">
        <v>авто</v>
      </c>
      <c r="F127" s="76" t="str">
        <v/>
      </c>
      <c r="G127" s="47" t="str">
        <v>QF20</v>
      </c>
      <c r="H127" s="47" t="str">
        <v>1P С6А</v>
      </c>
      <c r="I127" s="75" t="str">
        <v/>
      </c>
      <c r="J127" s="76" t="str">
        <v/>
      </c>
      <c r="K127" s="76" t="str">
        <v/>
      </c>
      <c r="L127" s="75" t="str">
        <v/>
      </c>
      <c r="M127" s="49" t="str">
        <v/>
      </c>
      <c r="N127" s="76" t="str">
        <v/>
      </c>
      <c r="O127" s="49" t="str">
        <v/>
      </c>
      <c r="P127" s="77" t="str">
        <v>XT20</v>
      </c>
      <c r="Q127" s="53" t="str">
        <v>ВВГнг(А)-LS (3х2,5) L=35-0,33%</v>
      </c>
      <c r="R127" s="54" t="str">
        <v>П.5</v>
      </c>
      <c r="S127" s="55" t="str">
        <v>Приточная установка Технический этаж Пом. №001Т</v>
      </c>
      <c r="T127" s="56">
        <v>0.27</v>
      </c>
      <c r="U127" s="56">
        <v>1.24</v>
      </c>
      <c r="V127" s="42" t="str">
        <v>L2</v>
      </c>
      <c r="W127" s="57" t="str">
        <v>ok</v>
      </c>
      <c r="X127" s="58" t="str">
        <v/>
      </c>
      <c r="Y127" s="75" t="str">
        <v/>
      </c>
      <c r="Z127" s="59">
        <v>1.24</v>
      </c>
      <c r="AA127" s="61">
        <v>6</v>
      </c>
      <c r="AB127" s="61">
        <v>25</v>
      </c>
      <c r="AC127" s="61" t="str">
        <v/>
      </c>
      <c r="AD127" s="62" t="str">
        <v>QF20 → XT20</v>
      </c>
      <c r="AE127" s="62" t="str">
        <v/>
      </c>
      <c r="AF127" s="34">
        <v>20</v>
      </c>
      <c r="AG127" s="34" t="str">
        <v>QF20</v>
      </c>
      <c r="AH127" s="34" t="str">
        <v/>
      </c>
      <c r="AI127" s="34" t="str">
        <v/>
      </c>
      <c r="AJ127" s="34" t="str">
        <v>QF20</v>
      </c>
      <c r="AK127" s="34">
        <v>1</v>
      </c>
      <c r="AL127" s="34" t="str">
        <v>П</v>
      </c>
      <c r="AM127" s="34">
        <v>0</v>
      </c>
      <c r="AN127" s="34">
        <v>0</v>
      </c>
      <c r="AO127" s="34">
        <v>6</v>
      </c>
      <c r="AP127" s="34">
        <v>25</v>
      </c>
      <c r="AQ127" s="34">
        <v>6</v>
      </c>
      <c r="AR127" s="34">
        <v>1</v>
      </c>
      <c r="AS127" s="34">
        <v>0</v>
      </c>
      <c r="AT127" s="34" t="str">
        <v>1P</v>
      </c>
      <c r="AU127" s="34">
        <v>6</v>
      </c>
      <c r="AV127" s="34" t="str">
        <v/>
      </c>
      <c r="AW127" s="34" t="str">
        <v/>
      </c>
      <c r="AX127" s="34" t="str">
        <v/>
      </c>
      <c r="AY127" s="34">
        <v>1</v>
      </c>
      <c r="AZ127" s="34" t="str">
        <v/>
      </c>
      <c r="BA127" s="34">
        <v>0</v>
      </c>
      <c r="BB127" s="34">
        <v>0</v>
      </c>
      <c r="BD127" s="34">
        <v>1</v>
      </c>
      <c r="BE127" s="34">
        <v>0</v>
      </c>
      <c r="BF127" s="34">
        <v>0</v>
      </c>
      <c r="BG127" s="34" t="str">
        <v/>
      </c>
      <c r="BH127" s="34" t="str">
        <v/>
      </c>
      <c r="BI127" s="34" t="str">
        <v/>
      </c>
      <c r="BJ127" s="34" t="str">
        <v/>
      </c>
      <c r="BK127" s="34" t="str">
        <v>MOTOR</v>
      </c>
      <c r="BL127" s="34">
        <v>1</v>
      </c>
      <c r="BM127" s="34" t="str">
        <v/>
      </c>
      <c r="BN127" s="34" t="str">
        <v/>
      </c>
      <c r="BO127" s="34" t="str">
        <v/>
      </c>
      <c r="BP127" s="34" t="str">
        <v/>
      </c>
      <c r="BQ127" s="34" t="str">
        <v>3х2,5</v>
      </c>
      <c r="BR127" s="34" t="str">
        <v/>
      </c>
      <c r="BS127" s="34" t="str">
        <v/>
      </c>
      <c r="BT127" s="34" t="str">
        <v/>
      </c>
      <c r="BU127" s="34">
        <v>0</v>
      </c>
      <c r="BV127" s="34">
        <v>148</v>
      </c>
      <c r="BW127" s="34">
        <v>1</v>
      </c>
      <c r="BX127" s="34">
        <v>0</v>
      </c>
      <c r="BY127" s="34" t="str">
        <v>Привод (двигатель)</v>
      </c>
      <c r="BZ127">
        <v>7</v>
      </c>
      <c r="CA127" t="str">
        <v>линии</v>
      </c>
    </row>
    <row r="128" spans="1:79" x14ac:dyDescent="0.3">
      <c r="A128" s="39" t="str">
        <v>ЩОВ-2</v>
      </c>
      <c r="B128" s="42">
        <v>37</v>
      </c>
      <c r="C128" s="42">
        <v>3</v>
      </c>
      <c r="D128" s="75" t="str">
        <v/>
      </c>
      <c r="E128" s="75" t="str">
        <v>авто</v>
      </c>
      <c r="F128" s="76" t="str">
        <v/>
      </c>
      <c r="G128" s="47" t="str">
        <v>QF21</v>
      </c>
      <c r="H128" s="47" t="str">
        <v>1P С20А</v>
      </c>
      <c r="I128" s="75" t="str">
        <v/>
      </c>
      <c r="J128" s="76" t="str">
        <v/>
      </c>
      <c r="K128" s="76" t="str">
        <v/>
      </c>
      <c r="L128" s="75" t="str">
        <v/>
      </c>
      <c r="M128" s="49" t="str">
        <v/>
      </c>
      <c r="N128" s="76" t="str">
        <v/>
      </c>
      <c r="O128" s="49" t="str">
        <v/>
      </c>
      <c r="P128" s="77" t="str">
        <v>XT21</v>
      </c>
      <c r="Q128" s="53" t="str">
        <v>ВВГнг(А)-LS (3х4) L=34-2,75%</v>
      </c>
      <c r="R128" s="54" t="str">
        <v>ПВ.5</v>
      </c>
      <c r="S128" s="55" t="str">
        <v>Приточно-вытяжная установка Технический этаж Пом. №001Т</v>
      </c>
      <c r="T128" s="56">
        <v>3.8</v>
      </c>
      <c r="U128" s="56">
        <v>17.330000000000002</v>
      </c>
      <c r="V128" s="42" t="str">
        <v>L3</v>
      </c>
      <c r="W128" s="57" t="str">
        <v>ok</v>
      </c>
      <c r="X128" s="58" t="str">
        <v/>
      </c>
      <c r="Y128" s="75" t="str">
        <v/>
      </c>
      <c r="Z128" s="59">
        <v>17.330000000000002</v>
      </c>
      <c r="AA128" s="61">
        <v>20</v>
      </c>
      <c r="AB128" s="61">
        <v>32</v>
      </c>
      <c r="AC128" s="61" t="str">
        <v/>
      </c>
      <c r="AD128" s="62" t="str">
        <v>QF21 → XT21</v>
      </c>
      <c r="AE128" s="62" t="str">
        <v/>
      </c>
      <c r="AF128" s="34">
        <v>21</v>
      </c>
      <c r="AG128" s="34" t="str">
        <v>QF21</v>
      </c>
      <c r="AH128" s="34" t="str">
        <v/>
      </c>
      <c r="AI128" s="34" t="str">
        <v/>
      </c>
      <c r="AJ128" s="34" t="str">
        <v>QF21</v>
      </c>
      <c r="AK128" s="34">
        <v>1</v>
      </c>
      <c r="AL128" s="34" t="str">
        <v>ПВ</v>
      </c>
      <c r="AM128" s="34">
        <v>0</v>
      </c>
      <c r="AN128" s="34">
        <v>0</v>
      </c>
      <c r="AO128" s="34">
        <v>20</v>
      </c>
      <c r="AP128" s="34">
        <v>32</v>
      </c>
      <c r="AQ128" s="34">
        <v>20</v>
      </c>
      <c r="AR128" s="34">
        <v>1</v>
      </c>
      <c r="AS128" s="34">
        <v>0</v>
      </c>
      <c r="AT128" s="34" t="str">
        <v>1P</v>
      </c>
      <c r="AU128" s="34">
        <v>20</v>
      </c>
      <c r="AV128" s="34" t="str">
        <v/>
      </c>
      <c r="AW128" s="34" t="str">
        <v/>
      </c>
      <c r="AX128" s="34" t="str">
        <v/>
      </c>
      <c r="AY128" s="34">
        <v>1</v>
      </c>
      <c r="AZ128" s="34" t="str">
        <v/>
      </c>
      <c r="BA128" s="34">
        <v>0</v>
      </c>
      <c r="BB128" s="34">
        <v>0</v>
      </c>
      <c r="BD128" s="34">
        <v>1</v>
      </c>
      <c r="BE128" s="34">
        <v>0</v>
      </c>
      <c r="BF128" s="34">
        <v>0</v>
      </c>
      <c r="BG128" s="34" t="str">
        <v/>
      </c>
      <c r="BH128" s="34" t="str">
        <v/>
      </c>
      <c r="BI128" s="34" t="str">
        <v/>
      </c>
      <c r="BJ128" s="34" t="str">
        <v/>
      </c>
      <c r="BK128" s="34" t="str">
        <v>MOTOR</v>
      </c>
      <c r="BL128" s="34">
        <v>1</v>
      </c>
      <c r="BM128" s="34">
        <v>8</v>
      </c>
      <c r="BN128" s="34" t="str">
        <v/>
      </c>
      <c r="BO128" s="34" t="str">
        <v/>
      </c>
      <c r="BP128" s="34" t="str">
        <v/>
      </c>
      <c r="BQ128" s="34" t="str">
        <v>3х4</v>
      </c>
      <c r="BR128" s="34" t="str">
        <v/>
      </c>
      <c r="BS128" s="34" t="str">
        <v/>
      </c>
      <c r="BT128" s="34" t="str">
        <v/>
      </c>
      <c r="BU128" s="34">
        <v>0</v>
      </c>
      <c r="BV128" s="34">
        <v>149</v>
      </c>
      <c r="BW128" s="34">
        <v>1</v>
      </c>
      <c r="BX128" s="34">
        <v>0</v>
      </c>
      <c r="BY128" s="34" t="str">
        <v>Привод (двигатель)</v>
      </c>
      <c r="BZ128">
        <v>7</v>
      </c>
      <c r="CA128" t="str">
        <v>линии</v>
      </c>
    </row>
    <row r="129" spans="1:79" x14ac:dyDescent="0.3">
      <c r="A129" s="39" t="str">
        <v>ЩОВ-2</v>
      </c>
      <c r="B129" s="42">
        <v>38</v>
      </c>
      <c r="C129" s="42">
        <v>3</v>
      </c>
      <c r="D129" s="75" t="str">
        <v/>
      </c>
      <c r="E129" s="75" t="str">
        <v>авто</v>
      </c>
      <c r="F129" s="76" t="str">
        <v/>
      </c>
      <c r="G129" s="47" t="str">
        <v>QF22</v>
      </c>
      <c r="H129" s="47" t="str">
        <v>1P С10А</v>
      </c>
      <c r="I129" s="75" t="str">
        <v/>
      </c>
      <c r="J129" s="76" t="str">
        <v/>
      </c>
      <c r="K129" s="76" t="str">
        <v/>
      </c>
      <c r="L129" s="75" t="str">
        <v/>
      </c>
      <c r="M129" s="49" t="str">
        <v/>
      </c>
      <c r="N129" s="76" t="str">
        <v/>
      </c>
      <c r="O129" s="49" t="str">
        <v/>
      </c>
      <c r="P129" s="77" t="str">
        <v/>
      </c>
      <c r="Q129" s="53" t="str">
        <v>ВВГнг(А)-LS (3х2,5) L=30-1,33%</v>
      </c>
      <c r="R129" s="54" t="str">
        <v>ПВ.7</v>
      </c>
      <c r="S129" s="55" t="str">
        <v>Приточно-вытяжная установка Технический этаж Пом. №001Т</v>
      </c>
      <c r="T129" s="56">
        <v>1.3</v>
      </c>
      <c r="U129" s="56">
        <v>5.93</v>
      </c>
      <c r="V129" s="42" t="str">
        <v>L1</v>
      </c>
      <c r="W129" s="57" t="str">
        <v>ok</v>
      </c>
      <c r="X129" s="58" t="str">
        <v/>
      </c>
      <c r="Y129" s="75" t="str">
        <v/>
      </c>
      <c r="Z129" s="59">
        <v>5.93</v>
      </c>
      <c r="AA129" s="61">
        <v>10</v>
      </c>
      <c r="AB129" s="61">
        <v>25</v>
      </c>
      <c r="AC129" s="61" t="str">
        <v/>
      </c>
      <c r="AD129" s="62" t="str">
        <v>QF22</v>
      </c>
      <c r="AE129" s="62" t="str">
        <v/>
      </c>
      <c r="AF129" s="34">
        <v>22</v>
      </c>
      <c r="AG129" s="34" t="str">
        <v>QF22</v>
      </c>
      <c r="AH129" s="34" t="str">
        <v/>
      </c>
      <c r="AI129" s="34" t="str">
        <v/>
      </c>
      <c r="AJ129" s="34" t="str">
        <v>QF22</v>
      </c>
      <c r="AK129" s="34">
        <v>1</v>
      </c>
      <c r="AL129" s="34" t="str">
        <v>ПВ</v>
      </c>
      <c r="AM129" s="34">
        <v>0</v>
      </c>
      <c r="AN129" s="34">
        <v>0</v>
      </c>
      <c r="AO129" s="34">
        <v>10</v>
      </c>
      <c r="AP129" s="34">
        <v>25</v>
      </c>
      <c r="AQ129" s="34">
        <v>10</v>
      </c>
      <c r="AR129" s="34">
        <v>1</v>
      </c>
      <c r="AS129" s="34">
        <v>0</v>
      </c>
      <c r="AT129" s="34" t="str">
        <v>1P</v>
      </c>
      <c r="AU129" s="34">
        <v>10</v>
      </c>
      <c r="AV129" s="34" t="str">
        <v/>
      </c>
      <c r="AW129" s="34" t="str">
        <v/>
      </c>
      <c r="AX129" s="34" t="str">
        <v/>
      </c>
      <c r="AY129" s="34">
        <v>1</v>
      </c>
      <c r="AZ129" s="34" t="str">
        <v/>
      </c>
      <c r="BA129" s="34">
        <v>0</v>
      </c>
      <c r="BB129" s="34">
        <v>0</v>
      </c>
      <c r="BD129" s="34">
        <v>1</v>
      </c>
      <c r="BE129" s="34">
        <v>0</v>
      </c>
      <c r="BF129" s="34">
        <v>0</v>
      </c>
      <c r="BG129" s="34" t="str">
        <v/>
      </c>
      <c r="BH129" s="34" t="str">
        <v/>
      </c>
      <c r="BI129" s="34" t="str">
        <v/>
      </c>
      <c r="BJ129" s="34" t="str">
        <v/>
      </c>
      <c r="BK129" s="34" t="str">
        <v>MOTOR</v>
      </c>
      <c r="BL129" s="34">
        <v>1</v>
      </c>
      <c r="BM129" s="34" t="str">
        <v/>
      </c>
      <c r="BN129" s="34" t="str">
        <v/>
      </c>
      <c r="BO129" s="34" t="str">
        <v/>
      </c>
      <c r="BP129" s="34" t="str">
        <v/>
      </c>
      <c r="BQ129" s="34" t="str">
        <v>3х2,5</v>
      </c>
      <c r="BR129" s="34" t="str">
        <v/>
      </c>
      <c r="BS129" s="34" t="str">
        <v/>
      </c>
      <c r="BT129" s="34" t="str">
        <v/>
      </c>
      <c r="BU129" s="34">
        <v>0</v>
      </c>
      <c r="BV129" s="34">
        <v>150</v>
      </c>
      <c r="BW129" s="34">
        <v>1</v>
      </c>
      <c r="BX129" s="34">
        <v>0</v>
      </c>
      <c r="BY129" s="34" t="str">
        <v>Привод (двигатель)</v>
      </c>
      <c r="BZ129">
        <v>7</v>
      </c>
      <c r="CA129" t="str">
        <v>линии</v>
      </c>
    </row>
    <row r="130" spans="1:79" x14ac:dyDescent="0.3">
      <c r="A130" s="39" t="str">
        <v>ЩОВ-2</v>
      </c>
      <c r="B130" s="42">
        <v>39</v>
      </c>
      <c r="C130" s="42">
        <v>3</v>
      </c>
      <c r="D130" s="75" t="str">
        <v/>
      </c>
      <c r="E130" s="75" t="str">
        <v>авто</v>
      </c>
      <c r="F130" s="76" t="str">
        <v/>
      </c>
      <c r="G130" s="47" t="str">
        <v>QF23</v>
      </c>
      <c r="H130" s="47" t="str">
        <v>1P С10А</v>
      </c>
      <c r="I130" s="75" t="str">
        <v/>
      </c>
      <c r="J130" s="76" t="str">
        <v/>
      </c>
      <c r="K130" s="76" t="str">
        <v/>
      </c>
      <c r="L130" s="75" t="str">
        <v/>
      </c>
      <c r="M130" s="49" t="str">
        <v/>
      </c>
      <c r="N130" s="76" t="str">
        <v/>
      </c>
      <c r="O130" s="49" t="str">
        <v/>
      </c>
      <c r="P130" s="77" t="str">
        <v/>
      </c>
      <c r="Q130" s="53" t="str">
        <v>ВВГнг(А)-LS (3х2,5) L=15-0,92%</v>
      </c>
      <c r="R130" s="54" t="str">
        <v>ПВ.8</v>
      </c>
      <c r="S130" s="55" t="str">
        <v>Приточно-вытяжная установка Технический этаж Пом. №001Т</v>
      </c>
      <c r="T130" s="56">
        <v>1.8</v>
      </c>
      <c r="U130" s="56">
        <v>8.2099999999999991</v>
      </c>
      <c r="V130" s="42" t="str">
        <v>L2</v>
      </c>
      <c r="W130" s="57" t="str">
        <v>ok</v>
      </c>
      <c r="X130" s="58" t="str">
        <v/>
      </c>
      <c r="Y130" s="75" t="str">
        <v/>
      </c>
      <c r="Z130" s="59">
        <v>8.2099999999999991</v>
      </c>
      <c r="AA130" s="61">
        <v>10</v>
      </c>
      <c r="AB130" s="61">
        <v>25</v>
      </c>
      <c r="AC130" s="61" t="str">
        <v/>
      </c>
      <c r="AD130" s="62" t="str">
        <v>QF23</v>
      </c>
      <c r="AE130" s="62" t="str">
        <v/>
      </c>
      <c r="AF130" s="34">
        <v>23</v>
      </c>
      <c r="AG130" s="34" t="str">
        <v>QF23</v>
      </c>
      <c r="AH130" s="34" t="str">
        <v/>
      </c>
      <c r="AI130" s="34" t="str">
        <v/>
      </c>
      <c r="AJ130" s="34" t="str">
        <v>QF23</v>
      </c>
      <c r="AK130" s="34">
        <v>1</v>
      </c>
      <c r="AL130" s="34" t="str">
        <v>ПВ</v>
      </c>
      <c r="AM130" s="34">
        <v>0</v>
      </c>
      <c r="AN130" s="34">
        <v>0</v>
      </c>
      <c r="AO130" s="34">
        <v>10</v>
      </c>
      <c r="AP130" s="34">
        <v>25</v>
      </c>
      <c r="AQ130" s="34">
        <v>10</v>
      </c>
      <c r="AR130" s="34">
        <v>1</v>
      </c>
      <c r="AS130" s="34">
        <v>0</v>
      </c>
      <c r="AT130" s="34" t="str">
        <v>1P</v>
      </c>
      <c r="AU130" s="34">
        <v>10</v>
      </c>
      <c r="AV130" s="34" t="str">
        <v/>
      </c>
      <c r="AW130" s="34" t="str">
        <v/>
      </c>
      <c r="AX130" s="34" t="str">
        <v/>
      </c>
      <c r="AY130" s="34">
        <v>1</v>
      </c>
      <c r="AZ130" s="34" t="str">
        <v/>
      </c>
      <c r="BA130" s="34">
        <v>0</v>
      </c>
      <c r="BB130" s="34">
        <v>0</v>
      </c>
      <c r="BD130" s="34">
        <v>1</v>
      </c>
      <c r="BE130" s="34">
        <v>0</v>
      </c>
      <c r="BF130" s="34">
        <v>0</v>
      </c>
      <c r="BG130" s="34" t="str">
        <v/>
      </c>
      <c r="BH130" s="34" t="str">
        <v/>
      </c>
      <c r="BI130" s="34" t="str">
        <v/>
      </c>
      <c r="BJ130" s="34" t="str">
        <v/>
      </c>
      <c r="BK130" s="34" t="str">
        <v>MOTOR</v>
      </c>
      <c r="BL130" s="34">
        <v>1</v>
      </c>
      <c r="BM130" s="34" t="str">
        <v/>
      </c>
      <c r="BN130" s="34" t="str">
        <v/>
      </c>
      <c r="BO130" s="34" t="str">
        <v/>
      </c>
      <c r="BP130" s="34" t="str">
        <v/>
      </c>
      <c r="BQ130" s="34" t="str">
        <v>3х2,5</v>
      </c>
      <c r="BR130" s="34" t="str">
        <v/>
      </c>
      <c r="BS130" s="34" t="str">
        <v/>
      </c>
      <c r="BT130" s="34" t="str">
        <v/>
      </c>
      <c r="BU130" s="34">
        <v>0</v>
      </c>
      <c r="BV130" s="34">
        <v>151</v>
      </c>
      <c r="BW130" s="34">
        <v>1</v>
      </c>
      <c r="BX130" s="34">
        <v>0</v>
      </c>
      <c r="BY130" s="34" t="str">
        <v>Привод (двигатель)</v>
      </c>
      <c r="BZ130">
        <v>7</v>
      </c>
      <c r="CA130" t="str">
        <v>линии</v>
      </c>
    </row>
    <row r="131" spans="1:79" x14ac:dyDescent="0.3">
      <c r="A131" s="39" t="str">
        <v>ЩР-001</v>
      </c>
      <c r="B131" s="42">
        <v>2</v>
      </c>
      <c r="C131" s="42">
        <v>1</v>
      </c>
      <c r="D131" s="75" t="str">
        <v/>
      </c>
      <c r="E131" s="75" t="str">
        <v/>
      </c>
      <c r="F131" s="76" t="str">
        <v/>
      </c>
      <c r="G131" s="47" t="str">
        <v/>
      </c>
      <c r="H131" s="47" t="str">
        <v/>
      </c>
      <c r="I131" s="75" t="str">
        <v/>
      </c>
      <c r="J131" s="76" t="str">
        <v/>
      </c>
      <c r="K131" s="76" t="str">
        <v/>
      </c>
      <c r="L131" s="75" t="str">
        <v/>
      </c>
      <c r="M131" s="49" t="str">
        <v/>
      </c>
      <c r="N131" s="76" t="str">
        <v/>
      </c>
      <c r="O131" s="49" t="str">
        <v/>
      </c>
      <c r="P131" s="77" t="str">
        <v/>
      </c>
      <c r="Q131" s="53" t="str">
        <v/>
      </c>
      <c r="R131" s="54" t="str">
        <v>Ввод.1</v>
      </c>
      <c r="S131" s="55" t="str">
        <v>Ввод</v>
      </c>
      <c r="T131" s="56">
        <v>0</v>
      </c>
      <c r="U131" s="56">
        <v>0</v>
      </c>
      <c r="V131" s="42" t="str">
        <v>L1,L2,L3</v>
      </c>
      <c r="W131" s="57" t="str">
        <v/>
      </c>
      <c r="X131" s="58" t="str">
        <v/>
      </c>
      <c r="Y131" s="75" t="str">
        <v>вручную</v>
      </c>
      <c r="Z131" s="59" t="str">
        <v/>
      </c>
      <c r="AA131" s="61" t="str">
        <v/>
      </c>
      <c r="AB131" s="61">
        <v>32</v>
      </c>
      <c r="AC131" s="61" t="str">
        <v/>
      </c>
      <c r="AD131" s="62" t="str">
        <v/>
      </c>
      <c r="AE131" s="62" t="str">
        <v/>
      </c>
      <c r="AF131" s="34" t="str">
        <v/>
      </c>
      <c r="AG131" s="34" t="str">
        <v/>
      </c>
      <c r="AH131" s="34" t="str">
        <v/>
      </c>
      <c r="AI131" s="34" t="str">
        <v/>
      </c>
      <c r="AJ131" s="34" t="str">
        <v/>
      </c>
      <c r="AK131" s="34">
        <v>3</v>
      </c>
      <c r="AL131" s="34" t="str">
        <v>Ввод</v>
      </c>
      <c r="AM131" s="34">
        <v>0</v>
      </c>
      <c r="AN131" s="34">
        <v>0</v>
      </c>
      <c r="AO131" s="34" t="str">
        <v/>
      </c>
      <c r="AP131" s="34" t="str">
        <v/>
      </c>
      <c r="AQ131" s="34" t="str">
        <v/>
      </c>
      <c r="AR131" s="34" t="str">
        <v/>
      </c>
      <c r="AS131" s="34" t="str">
        <v/>
      </c>
      <c r="AT131" s="34" t="str">
        <v/>
      </c>
      <c r="AU131" s="34" t="str">
        <v/>
      </c>
      <c r="AV131" s="34" t="str">
        <v/>
      </c>
      <c r="AW131" s="34" t="str">
        <v/>
      </c>
      <c r="AX131" s="34" t="str">
        <v/>
      </c>
      <c r="AY131" s="34">
        <v>0</v>
      </c>
      <c r="AZ131" s="34" t="str">
        <v/>
      </c>
      <c r="BA131" s="34">
        <v>0</v>
      </c>
      <c r="BB131" s="34">
        <v>20</v>
      </c>
      <c r="BD131" s="34">
        <v>0</v>
      </c>
      <c r="BE131" s="34">
        <v>0</v>
      </c>
      <c r="BF131" s="34">
        <v>0</v>
      </c>
      <c r="BG131" s="34" t="str">
        <v/>
      </c>
      <c r="BH131" s="34" t="str">
        <v/>
      </c>
      <c r="BI131" s="34" t="str">
        <v/>
      </c>
      <c r="BJ131" s="34" t="str">
        <v/>
      </c>
      <c r="BK131" s="34" t="str">
        <v>BOX</v>
      </c>
      <c r="BL131" s="34">
        <v>1</v>
      </c>
      <c r="BM131" s="34" t="str">
        <v/>
      </c>
      <c r="BN131" s="34" t="str">
        <v/>
      </c>
      <c r="BO131" s="34" t="str">
        <v/>
      </c>
      <c r="BP131" s="34" t="str">
        <v/>
      </c>
      <c r="BQ131" s="34" t="str">
        <v/>
      </c>
      <c r="BR131" s="34" t="str">
        <v/>
      </c>
      <c r="BS131" s="34" t="str">
        <v/>
      </c>
      <c r="BT131" s="34" t="str">
        <v/>
      </c>
      <c r="BU131" s="34">
        <v>0</v>
      </c>
      <c r="BV131" s="34">
        <v>152</v>
      </c>
      <c r="BW131" s="34">
        <v>0</v>
      </c>
      <c r="BX131" s="34">
        <v>0</v>
      </c>
      <c r="BY131" s="34">
        <v>0</v>
      </c>
      <c r="BZ131">
        <v>8</v>
      </c>
      <c r="CA131" t="str">
        <v>вводной узел</v>
      </c>
    </row>
    <row r="132" spans="1:79" x14ac:dyDescent="0.3">
      <c r="A132" s="39" t="str">
        <v>ЩР-001</v>
      </c>
      <c r="B132" s="42">
        <v>8</v>
      </c>
      <c r="C132" s="42">
        <v>1</v>
      </c>
      <c r="D132" s="75" t="str">
        <v/>
      </c>
      <c r="E132" s="75" t="str">
        <v>авто</v>
      </c>
      <c r="F132" s="76" t="str">
        <v/>
      </c>
      <c r="G132" s="47" t="str">
        <v>QFD1</v>
      </c>
      <c r="H132" s="47" t="str">
        <v>2P С16А 30мА</v>
      </c>
      <c r="I132" s="75" t="str">
        <v/>
      </c>
      <c r="J132" s="76" t="str">
        <v/>
      </c>
      <c r="K132" s="76" t="str">
        <v/>
      </c>
      <c r="L132" s="75" t="str">
        <v/>
      </c>
      <c r="M132" s="49" t="str">
        <v/>
      </c>
      <c r="N132" s="76" t="str">
        <v/>
      </c>
      <c r="O132" s="49" t="str">
        <v/>
      </c>
      <c r="P132" s="77" t="str">
        <v>XT1</v>
      </c>
      <c r="Q132" s="53" t="str">
        <v>ВВГнг(А)-LS (3х2,5) L=126-2,82%</v>
      </c>
      <c r="R132" s="54" t="str">
        <v>R.00.001Б.1</v>
      </c>
      <c r="S132" s="55" t="str">
        <v>Розеточная группа Подвальный этаж Пом. №001Б</v>
      </c>
      <c r="T132" s="56">
        <v>0.65999999999999992</v>
      </c>
      <c r="U132" s="56">
        <v>3.01</v>
      </c>
      <c r="V132" s="42" t="str">
        <v>L3</v>
      </c>
      <c r="W132" s="57" t="str">
        <v>ok</v>
      </c>
      <c r="X132" s="58" t="str">
        <v/>
      </c>
      <c r="Y132" s="75" t="str">
        <v/>
      </c>
      <c r="Z132" s="59">
        <v>3.01</v>
      </c>
      <c r="AA132" s="61">
        <v>6</v>
      </c>
      <c r="AB132" s="61">
        <v>25</v>
      </c>
      <c r="AC132" s="61" t="str">
        <v/>
      </c>
      <c r="AD132" s="62" t="str">
        <v>QFD1 → XT1</v>
      </c>
      <c r="AE132" s="62" t="str">
        <v>потери 4,4 % &gt; 4 %</v>
      </c>
      <c r="AF132" s="34">
        <v>1</v>
      </c>
      <c r="AG132" s="34" t="str">
        <v>QFD1</v>
      </c>
      <c r="AH132" s="34" t="str">
        <v/>
      </c>
      <c r="AI132" s="34" t="str">
        <v/>
      </c>
      <c r="AJ132" s="34" t="str">
        <v>QFD1</v>
      </c>
      <c r="AK132" s="34">
        <v>1</v>
      </c>
      <c r="AL132" s="34" t="str">
        <v>R</v>
      </c>
      <c r="AM132" s="34">
        <v>30</v>
      </c>
      <c r="AN132" s="34">
        <v>0</v>
      </c>
      <c r="AO132" s="34">
        <v>16</v>
      </c>
      <c r="AP132" s="34">
        <v>25</v>
      </c>
      <c r="AQ132" s="34">
        <v>16</v>
      </c>
      <c r="AR132" s="34">
        <v>1</v>
      </c>
      <c r="AS132" s="34">
        <v>1</v>
      </c>
      <c r="AT132" s="34" t="str">
        <v>2P</v>
      </c>
      <c r="AU132" s="34">
        <v>16</v>
      </c>
      <c r="AV132" s="34" t="str">
        <v/>
      </c>
      <c r="AW132" s="34" t="str">
        <v/>
      </c>
      <c r="AX132" s="34" t="str">
        <v/>
      </c>
      <c r="AY132" s="34">
        <v>1</v>
      </c>
      <c r="AZ132" s="34" t="str">
        <v/>
      </c>
      <c r="BA132" s="34">
        <v>0</v>
      </c>
      <c r="BB132" s="34">
        <v>16</v>
      </c>
      <c r="BD132" s="34">
        <v>1</v>
      </c>
      <c r="BE132" s="34">
        <v>0</v>
      </c>
      <c r="BF132" s="34">
        <v>1</v>
      </c>
      <c r="BG132" s="34" t="str">
        <v/>
      </c>
      <c r="BH132" s="34" t="str">
        <v/>
      </c>
      <c r="BI132" s="34" t="str">
        <v/>
      </c>
      <c r="BJ132" s="34" t="str">
        <v/>
      </c>
      <c r="BK132" s="34" t="str">
        <v>SOCKET</v>
      </c>
      <c r="BL132" s="34">
        <v>1</v>
      </c>
      <c r="BM132" s="34">
        <v>9</v>
      </c>
      <c r="BN132" s="34" t="str">
        <v/>
      </c>
      <c r="BO132" s="34" t="str">
        <v/>
      </c>
      <c r="BP132" s="34" t="str">
        <v/>
      </c>
      <c r="BQ132" s="34" t="str">
        <v>3х2,5</v>
      </c>
      <c r="BR132" s="34" t="str">
        <v/>
      </c>
      <c r="BS132" s="34" t="str">
        <v/>
      </c>
      <c r="BT132" s="34" t="str">
        <v/>
      </c>
      <c r="BU132" s="34">
        <v>1</v>
      </c>
      <c r="BV132" s="34">
        <v>153</v>
      </c>
      <c r="BW132" s="34">
        <v>1</v>
      </c>
      <c r="BX132" s="34">
        <v>0</v>
      </c>
      <c r="BY132" s="34" t="str">
        <v>Розетка</v>
      </c>
      <c r="BZ132">
        <v>8</v>
      </c>
      <c r="CA132" t="str">
        <v>линии</v>
      </c>
    </row>
    <row r="133" spans="1:79" x14ac:dyDescent="0.3">
      <c r="A133" s="39" t="str">
        <v>ЩР-001</v>
      </c>
      <c r="B133" s="42">
        <v>9</v>
      </c>
      <c r="C133" s="42">
        <v>1</v>
      </c>
      <c r="D133" s="75" t="str">
        <v/>
      </c>
      <c r="E133" s="75" t="str">
        <v>авто</v>
      </c>
      <c r="F133" s="76" t="str">
        <v/>
      </c>
      <c r="G133" s="47" t="str">
        <v>QFD2</v>
      </c>
      <c r="H133" s="47" t="str">
        <v>2P С16А 30мА</v>
      </c>
      <c r="I133" s="75" t="str">
        <v/>
      </c>
      <c r="J133" s="76" t="str">
        <v/>
      </c>
      <c r="K133" s="76" t="str">
        <v/>
      </c>
      <c r="L133" s="75" t="str">
        <v/>
      </c>
      <c r="M133" s="49" t="str">
        <v/>
      </c>
      <c r="N133" s="76" t="str">
        <v/>
      </c>
      <c r="O133" s="49" t="str">
        <v/>
      </c>
      <c r="P133" s="77" t="str">
        <v>XT2</v>
      </c>
      <c r="Q133" s="53" t="str">
        <v>ВВГнг(А)-LS (3х2,5) L=39-0,4%</v>
      </c>
      <c r="R133" s="54" t="str">
        <v>R.00.003Т.1</v>
      </c>
      <c r="S133" s="55" t="str">
        <v>Розеточная группа Подвальный этаж Пом. №003Т</v>
      </c>
      <c r="T133" s="56">
        <v>0.3</v>
      </c>
      <c r="U133" s="56">
        <v>1.37</v>
      </c>
      <c r="V133" s="42" t="str">
        <v>L2</v>
      </c>
      <c r="W133" s="57" t="str">
        <v>ok</v>
      </c>
      <c r="X133" s="58" t="str">
        <v/>
      </c>
      <c r="Y133" s="75" t="str">
        <v/>
      </c>
      <c r="Z133" s="59">
        <v>1.37</v>
      </c>
      <c r="AA133" s="61">
        <v>6</v>
      </c>
      <c r="AB133" s="61">
        <v>25</v>
      </c>
      <c r="AC133" s="61" t="str">
        <v/>
      </c>
      <c r="AD133" s="62" t="str">
        <v>QFD2 → XT2</v>
      </c>
      <c r="AE133" s="62" t="str">
        <v/>
      </c>
      <c r="AF133" s="34">
        <v>2</v>
      </c>
      <c r="AG133" s="34" t="str">
        <v>QFD2</v>
      </c>
      <c r="AH133" s="34" t="str">
        <v/>
      </c>
      <c r="AI133" s="34" t="str">
        <v/>
      </c>
      <c r="AJ133" s="34" t="str">
        <v>QFD2</v>
      </c>
      <c r="AK133" s="34">
        <v>1</v>
      </c>
      <c r="AL133" s="34" t="str">
        <v>R</v>
      </c>
      <c r="AM133" s="34">
        <v>30</v>
      </c>
      <c r="AN133" s="34">
        <v>0</v>
      </c>
      <c r="AO133" s="34">
        <v>16</v>
      </c>
      <c r="AP133" s="34">
        <v>25</v>
      </c>
      <c r="AQ133" s="34">
        <v>16</v>
      </c>
      <c r="AR133" s="34">
        <v>1</v>
      </c>
      <c r="AS133" s="34">
        <v>1</v>
      </c>
      <c r="AT133" s="34" t="str">
        <v>2P</v>
      </c>
      <c r="AU133" s="34">
        <v>16</v>
      </c>
      <c r="AV133" s="34" t="str">
        <v/>
      </c>
      <c r="AW133" s="34" t="str">
        <v/>
      </c>
      <c r="AX133" s="34" t="str">
        <v/>
      </c>
      <c r="AY133" s="34">
        <v>1</v>
      </c>
      <c r="AZ133" s="34" t="str">
        <v/>
      </c>
      <c r="BA133" s="34">
        <v>0</v>
      </c>
      <c r="BB133" s="34">
        <v>16</v>
      </c>
      <c r="BD133" s="34">
        <v>1</v>
      </c>
      <c r="BE133" s="34">
        <v>0</v>
      </c>
      <c r="BF133" s="34">
        <v>1</v>
      </c>
      <c r="BG133" s="34" t="str">
        <v/>
      </c>
      <c r="BH133" s="34" t="str">
        <v/>
      </c>
      <c r="BI133" s="34" t="str">
        <v/>
      </c>
      <c r="BJ133" s="34" t="str">
        <v/>
      </c>
      <c r="BK133" s="34" t="str">
        <v>SOCKET</v>
      </c>
      <c r="BL133" s="34">
        <v>1</v>
      </c>
      <c r="BM133" s="34" t="str">
        <v/>
      </c>
      <c r="BN133" s="34" t="str">
        <v/>
      </c>
      <c r="BO133" s="34" t="str">
        <v/>
      </c>
      <c r="BP133" s="34" t="str">
        <v/>
      </c>
      <c r="BQ133" s="34" t="str">
        <v>3х2,5</v>
      </c>
      <c r="BR133" s="34" t="str">
        <v/>
      </c>
      <c r="BS133" s="34" t="str">
        <v/>
      </c>
      <c r="BT133" s="34" t="str">
        <v/>
      </c>
      <c r="BU133" s="34">
        <v>0</v>
      </c>
      <c r="BV133" s="34">
        <v>154</v>
      </c>
      <c r="BW133" s="34">
        <v>1</v>
      </c>
      <c r="BX133" s="34">
        <v>0</v>
      </c>
      <c r="BY133" s="34" t="str">
        <v>Розетка</v>
      </c>
      <c r="BZ133">
        <v>8</v>
      </c>
      <c r="CA133" t="str">
        <v>линии</v>
      </c>
    </row>
    <row r="134" spans="1:79" x14ac:dyDescent="0.3">
      <c r="A134" s="39" t="str">
        <v>ЩР-001</v>
      </c>
      <c r="B134" s="42">
        <v>10</v>
      </c>
      <c r="C134" s="42">
        <v>1</v>
      </c>
      <c r="D134" s="75" t="str">
        <v/>
      </c>
      <c r="E134" s="75" t="str">
        <v>авто</v>
      </c>
      <c r="F134" s="76" t="str">
        <v/>
      </c>
      <c r="G134" s="47" t="str">
        <v>QFD3</v>
      </c>
      <c r="H134" s="47" t="str">
        <v>2P С16А 30мА</v>
      </c>
      <c r="I134" s="75" t="str">
        <v/>
      </c>
      <c r="J134" s="76" t="str">
        <v/>
      </c>
      <c r="K134" s="76" t="str">
        <v/>
      </c>
      <c r="L134" s="75" t="str">
        <v/>
      </c>
      <c r="M134" s="49" t="str">
        <v/>
      </c>
      <c r="N134" s="76" t="str">
        <v/>
      </c>
      <c r="O134" s="49" t="str">
        <v/>
      </c>
      <c r="P134" s="77" t="str">
        <v>XT3</v>
      </c>
      <c r="Q134" s="53" t="str">
        <v>ВВГнг(А)-LS (3х2,5) L=8-0,02%</v>
      </c>
      <c r="R134" s="54" t="str">
        <v>R.00.004Т.1</v>
      </c>
      <c r="S134" s="55" t="str">
        <v>Розеточная группа Подвальный этаж Пом. №004Т</v>
      </c>
      <c r="T134" s="56">
        <v>0.06</v>
      </c>
      <c r="U134" s="56">
        <v>0.28000000000000003</v>
      </c>
      <c r="V134" s="42" t="str">
        <v>L2</v>
      </c>
      <c r="W134" s="57" t="str">
        <v>ok</v>
      </c>
      <c r="X134" s="58" t="str">
        <v/>
      </c>
      <c r="Y134" s="75" t="str">
        <v/>
      </c>
      <c r="Z134" s="59">
        <v>0.28000000000000003</v>
      </c>
      <c r="AA134" s="61">
        <v>6</v>
      </c>
      <c r="AB134" s="61">
        <v>25</v>
      </c>
      <c r="AC134" s="61" t="str">
        <v/>
      </c>
      <c r="AD134" s="62" t="str">
        <v>QFD3 → XT3</v>
      </c>
      <c r="AE134" s="62" t="str">
        <v/>
      </c>
      <c r="AF134" s="34">
        <v>3</v>
      </c>
      <c r="AG134" s="34" t="str">
        <v>QFD3</v>
      </c>
      <c r="AH134" s="34" t="str">
        <v/>
      </c>
      <c r="AI134" s="34" t="str">
        <v/>
      </c>
      <c r="AJ134" s="34" t="str">
        <v>QFD3</v>
      </c>
      <c r="AK134" s="34">
        <v>1</v>
      </c>
      <c r="AL134" s="34" t="str">
        <v>R</v>
      </c>
      <c r="AM134" s="34">
        <v>30</v>
      </c>
      <c r="AN134" s="34">
        <v>0</v>
      </c>
      <c r="AO134" s="34">
        <v>16</v>
      </c>
      <c r="AP134" s="34">
        <v>25</v>
      </c>
      <c r="AQ134" s="34">
        <v>16</v>
      </c>
      <c r="AR134" s="34">
        <v>1</v>
      </c>
      <c r="AS134" s="34">
        <v>1</v>
      </c>
      <c r="AT134" s="34" t="str">
        <v>2P</v>
      </c>
      <c r="AU134" s="34">
        <v>16</v>
      </c>
      <c r="AV134" s="34" t="str">
        <v/>
      </c>
      <c r="AW134" s="34" t="str">
        <v/>
      </c>
      <c r="AX134" s="34" t="str">
        <v/>
      </c>
      <c r="AY134" s="34">
        <v>1</v>
      </c>
      <c r="AZ134" s="34" t="str">
        <v/>
      </c>
      <c r="BA134" s="34">
        <v>0</v>
      </c>
      <c r="BB134" s="34">
        <v>16</v>
      </c>
      <c r="BD134" s="34">
        <v>1</v>
      </c>
      <c r="BE134" s="34">
        <v>0</v>
      </c>
      <c r="BF134" s="34">
        <v>1</v>
      </c>
      <c r="BG134" s="34" t="str">
        <v/>
      </c>
      <c r="BH134" s="34" t="str">
        <v/>
      </c>
      <c r="BI134" s="34" t="str">
        <v/>
      </c>
      <c r="BJ134" s="34" t="str">
        <v/>
      </c>
      <c r="BK134" s="34" t="str">
        <v>SOCKET</v>
      </c>
      <c r="BL134" s="34">
        <v>1</v>
      </c>
      <c r="BM134" s="34" t="str">
        <v/>
      </c>
      <c r="BN134" s="34" t="str">
        <v/>
      </c>
      <c r="BO134" s="34" t="str">
        <v/>
      </c>
      <c r="BP134" s="34" t="str">
        <v/>
      </c>
      <c r="BQ134" s="34" t="str">
        <v>3х2,5</v>
      </c>
      <c r="BR134" s="34" t="str">
        <v/>
      </c>
      <c r="BS134" s="34" t="str">
        <v/>
      </c>
      <c r="BT134" s="34" t="str">
        <v/>
      </c>
      <c r="BU134" s="34">
        <v>0</v>
      </c>
      <c r="BV134" s="34">
        <v>155</v>
      </c>
      <c r="BW134" s="34">
        <v>1</v>
      </c>
      <c r="BX134" s="34">
        <v>0</v>
      </c>
      <c r="BY134" s="34" t="str">
        <v>Розетка</v>
      </c>
      <c r="BZ134">
        <v>8</v>
      </c>
      <c r="CA134" t="str">
        <v>линии</v>
      </c>
    </row>
    <row r="135" spans="1:79" x14ac:dyDescent="0.3">
      <c r="A135" s="39" t="str">
        <v>ЩР-001</v>
      </c>
      <c r="B135" s="42">
        <v>11</v>
      </c>
      <c r="C135" s="42">
        <v>1</v>
      </c>
      <c r="D135" s="75" t="str">
        <v/>
      </c>
      <c r="E135" s="75" t="str">
        <v>авто</v>
      </c>
      <c r="F135" s="76" t="str">
        <v/>
      </c>
      <c r="G135" s="47" t="str">
        <v>QFD4</v>
      </c>
      <c r="H135" s="47" t="str">
        <v>2P С16А 30мА</v>
      </c>
      <c r="I135" s="75" t="str">
        <v/>
      </c>
      <c r="J135" s="76" t="str">
        <v/>
      </c>
      <c r="K135" s="76" t="str">
        <v/>
      </c>
      <c r="L135" s="75" t="str">
        <v/>
      </c>
      <c r="M135" s="49" t="str">
        <v/>
      </c>
      <c r="N135" s="76" t="str">
        <v/>
      </c>
      <c r="O135" s="49" t="str">
        <v/>
      </c>
      <c r="P135" s="77" t="str">
        <v>XT4</v>
      </c>
      <c r="Q135" s="53" t="str">
        <v>ВВГнг(А)-LS (3х2,5) L=27-0,06%</v>
      </c>
      <c r="R135" s="54" t="str">
        <v>R.00.001Тб.1</v>
      </c>
      <c r="S135" s="55" t="str">
        <v>Розеточная группа Подвальный этаж Пом. №001Тб</v>
      </c>
      <c r="T135" s="56">
        <v>0.06</v>
      </c>
      <c r="U135" s="56">
        <v>0.28000000000000003</v>
      </c>
      <c r="V135" s="42" t="str">
        <v>L2</v>
      </c>
      <c r="W135" s="57" t="str">
        <v>ok</v>
      </c>
      <c r="X135" s="58" t="str">
        <v/>
      </c>
      <c r="Y135" s="75" t="str">
        <v/>
      </c>
      <c r="Z135" s="59">
        <v>0.28000000000000003</v>
      </c>
      <c r="AA135" s="61">
        <v>6</v>
      </c>
      <c r="AB135" s="61">
        <v>25</v>
      </c>
      <c r="AC135" s="61" t="str">
        <v/>
      </c>
      <c r="AD135" s="62" t="str">
        <v>QFD4 → XT4</v>
      </c>
      <c r="AE135" s="62" t="str">
        <v/>
      </c>
      <c r="AF135" s="34">
        <v>4</v>
      </c>
      <c r="AG135" s="34" t="str">
        <v>QFD4</v>
      </c>
      <c r="AH135" s="34" t="str">
        <v/>
      </c>
      <c r="AI135" s="34" t="str">
        <v/>
      </c>
      <c r="AJ135" s="34" t="str">
        <v>QFD4</v>
      </c>
      <c r="AK135" s="34">
        <v>1</v>
      </c>
      <c r="AL135" s="34" t="str">
        <v>R</v>
      </c>
      <c r="AM135" s="34">
        <v>30</v>
      </c>
      <c r="AN135" s="34">
        <v>0</v>
      </c>
      <c r="AO135" s="34">
        <v>16</v>
      </c>
      <c r="AP135" s="34">
        <v>25</v>
      </c>
      <c r="AQ135" s="34">
        <v>16</v>
      </c>
      <c r="AR135" s="34">
        <v>1</v>
      </c>
      <c r="AS135" s="34">
        <v>1</v>
      </c>
      <c r="AT135" s="34" t="str">
        <v>2P</v>
      </c>
      <c r="AU135" s="34">
        <v>16</v>
      </c>
      <c r="AV135" s="34" t="str">
        <v/>
      </c>
      <c r="AW135" s="34" t="str">
        <v/>
      </c>
      <c r="AX135" s="34" t="str">
        <v/>
      </c>
      <c r="AY135" s="34">
        <v>1</v>
      </c>
      <c r="AZ135" s="34" t="str">
        <v/>
      </c>
      <c r="BA135" s="34">
        <v>0</v>
      </c>
      <c r="BB135" s="34">
        <v>16</v>
      </c>
      <c r="BD135" s="34">
        <v>1</v>
      </c>
      <c r="BE135" s="34">
        <v>0</v>
      </c>
      <c r="BF135" s="34">
        <v>1</v>
      </c>
      <c r="BG135" s="34" t="str">
        <v/>
      </c>
      <c r="BH135" s="34" t="str">
        <v/>
      </c>
      <c r="BI135" s="34" t="str">
        <v/>
      </c>
      <c r="BJ135" s="34" t="str">
        <v/>
      </c>
      <c r="BK135" s="34" t="str">
        <v>SOCKET</v>
      </c>
      <c r="BL135" s="34">
        <v>1</v>
      </c>
      <c r="BM135" s="34" t="str">
        <v/>
      </c>
      <c r="BN135" s="34" t="str">
        <v/>
      </c>
      <c r="BO135" s="34" t="str">
        <v/>
      </c>
      <c r="BP135" s="34" t="str">
        <v/>
      </c>
      <c r="BQ135" s="34" t="str">
        <v>3х2,5</v>
      </c>
      <c r="BR135" s="34" t="str">
        <v/>
      </c>
      <c r="BS135" s="34" t="str">
        <v/>
      </c>
      <c r="BT135" s="34" t="str">
        <v/>
      </c>
      <c r="BU135" s="34">
        <v>0</v>
      </c>
      <c r="BV135" s="34">
        <v>156</v>
      </c>
      <c r="BW135" s="34">
        <v>1</v>
      </c>
      <c r="BX135" s="34">
        <v>0</v>
      </c>
      <c r="BY135" s="34" t="str">
        <v>Розетка</v>
      </c>
      <c r="BZ135">
        <v>8</v>
      </c>
      <c r="CA135" t="str">
        <v>линии</v>
      </c>
    </row>
    <row r="136" spans="1:79" x14ac:dyDescent="0.3">
      <c r="A136" s="39" t="str">
        <v>ЩР-001</v>
      </c>
      <c r="B136" s="42">
        <v>12</v>
      </c>
      <c r="C136" s="42">
        <v>1</v>
      </c>
      <c r="D136" s="75" t="str">
        <v/>
      </c>
      <c r="E136" s="75" t="str">
        <v>авто</v>
      </c>
      <c r="F136" s="76" t="str">
        <v/>
      </c>
      <c r="G136" s="47" t="str">
        <v>QFD5</v>
      </c>
      <c r="H136" s="47" t="str">
        <v>2P С16А 30мА</v>
      </c>
      <c r="I136" s="75" t="str">
        <v/>
      </c>
      <c r="J136" s="76" t="str">
        <v/>
      </c>
      <c r="K136" s="76" t="str">
        <v/>
      </c>
      <c r="L136" s="75" t="str">
        <v/>
      </c>
      <c r="M136" s="49" t="str">
        <v/>
      </c>
      <c r="N136" s="76" t="str">
        <v/>
      </c>
      <c r="O136" s="49" t="str">
        <v/>
      </c>
      <c r="P136" s="77" t="str">
        <v>XT5</v>
      </c>
      <c r="Q136" s="53" t="str">
        <v>ВВГнг(А)-LS (3х2,5) L=63-0,9%</v>
      </c>
      <c r="R136" s="54" t="str">
        <v>R.00.001Б.2</v>
      </c>
      <c r="S136" s="55" t="str">
        <v>Розеточная группа Подвальный этаж Пом. №001Б</v>
      </c>
      <c r="T136" s="56">
        <v>0.42</v>
      </c>
      <c r="U136" s="56">
        <v>1.92</v>
      </c>
      <c r="V136" s="42" t="str">
        <v>L2</v>
      </c>
      <c r="W136" s="57" t="str">
        <v>ok</v>
      </c>
      <c r="X136" s="58" t="str">
        <v/>
      </c>
      <c r="Y136" s="75" t="str">
        <v/>
      </c>
      <c r="Z136" s="59">
        <v>1.92</v>
      </c>
      <c r="AA136" s="61">
        <v>6</v>
      </c>
      <c r="AB136" s="61">
        <v>25</v>
      </c>
      <c r="AC136" s="61" t="str">
        <v/>
      </c>
      <c r="AD136" s="62" t="str">
        <v>QFD5 → XT5</v>
      </c>
      <c r="AE136" s="62" t="str">
        <v/>
      </c>
      <c r="AF136" s="34">
        <v>5</v>
      </c>
      <c r="AG136" s="34" t="str">
        <v>QFD5</v>
      </c>
      <c r="AH136" s="34" t="str">
        <v/>
      </c>
      <c r="AI136" s="34" t="str">
        <v/>
      </c>
      <c r="AJ136" s="34" t="str">
        <v>QFD5</v>
      </c>
      <c r="AK136" s="34">
        <v>1</v>
      </c>
      <c r="AL136" s="34" t="str">
        <v>R</v>
      </c>
      <c r="AM136" s="34">
        <v>30</v>
      </c>
      <c r="AN136" s="34">
        <v>0</v>
      </c>
      <c r="AO136" s="34">
        <v>16</v>
      </c>
      <c r="AP136" s="34">
        <v>25</v>
      </c>
      <c r="AQ136" s="34">
        <v>16</v>
      </c>
      <c r="AR136" s="34">
        <v>1</v>
      </c>
      <c r="AS136" s="34">
        <v>1</v>
      </c>
      <c r="AT136" s="34" t="str">
        <v>2P</v>
      </c>
      <c r="AU136" s="34">
        <v>16</v>
      </c>
      <c r="AV136" s="34" t="str">
        <v/>
      </c>
      <c r="AW136" s="34" t="str">
        <v/>
      </c>
      <c r="AX136" s="34" t="str">
        <v/>
      </c>
      <c r="AY136" s="34">
        <v>1</v>
      </c>
      <c r="AZ136" s="34" t="str">
        <v/>
      </c>
      <c r="BA136" s="34">
        <v>0</v>
      </c>
      <c r="BB136" s="34">
        <v>16</v>
      </c>
      <c r="BD136" s="34">
        <v>1</v>
      </c>
      <c r="BE136" s="34">
        <v>0</v>
      </c>
      <c r="BF136" s="34">
        <v>1</v>
      </c>
      <c r="BG136" s="34" t="str">
        <v/>
      </c>
      <c r="BH136" s="34" t="str">
        <v/>
      </c>
      <c r="BI136" s="34" t="str">
        <v/>
      </c>
      <c r="BJ136" s="34" t="str">
        <v/>
      </c>
      <c r="BK136" s="34" t="str">
        <v>SOCKET</v>
      </c>
      <c r="BL136" s="34">
        <v>1</v>
      </c>
      <c r="BM136" s="34" t="str">
        <v/>
      </c>
      <c r="BN136" s="34" t="str">
        <v/>
      </c>
      <c r="BO136" s="34" t="str">
        <v/>
      </c>
      <c r="BP136" s="34" t="str">
        <v/>
      </c>
      <c r="BQ136" s="34" t="str">
        <v>3х2,5</v>
      </c>
      <c r="BR136" s="34" t="str">
        <v/>
      </c>
      <c r="BS136" s="34" t="str">
        <v/>
      </c>
      <c r="BT136" s="34" t="str">
        <v/>
      </c>
      <c r="BU136" s="34">
        <v>0</v>
      </c>
      <c r="BV136" s="34">
        <v>157</v>
      </c>
      <c r="BW136" s="34">
        <v>1</v>
      </c>
      <c r="BX136" s="34">
        <v>0</v>
      </c>
      <c r="BY136" s="34" t="str">
        <v>Розетка</v>
      </c>
      <c r="BZ136">
        <v>8</v>
      </c>
      <c r="CA136" t="str">
        <v>линии</v>
      </c>
    </row>
    <row r="137" spans="1:79" x14ac:dyDescent="0.3">
      <c r="A137" s="39" t="str">
        <v>ЩР-001</v>
      </c>
      <c r="B137" s="42">
        <v>13</v>
      </c>
      <c r="C137" s="42">
        <v>1</v>
      </c>
      <c r="D137" s="75" t="str">
        <v/>
      </c>
      <c r="E137" s="75" t="str">
        <v>авто</v>
      </c>
      <c r="F137" s="76" t="str">
        <v/>
      </c>
      <c r="G137" s="47" t="str">
        <v>QFD6</v>
      </c>
      <c r="H137" s="47" t="str">
        <v>2P С16А 30мА</v>
      </c>
      <c r="I137" s="75" t="str">
        <v/>
      </c>
      <c r="J137" s="76" t="str">
        <v/>
      </c>
      <c r="K137" s="76" t="str">
        <v/>
      </c>
      <c r="L137" s="75" t="str">
        <v/>
      </c>
      <c r="M137" s="49" t="str">
        <v/>
      </c>
      <c r="N137" s="76" t="str">
        <v/>
      </c>
      <c r="O137" s="49" t="str">
        <v/>
      </c>
      <c r="P137" s="77" t="str">
        <v>XT6</v>
      </c>
      <c r="Q137" s="53" t="str">
        <v>ВВГнг(А)-LS (3х2,5) L=62-0,64%</v>
      </c>
      <c r="R137" s="54" t="str">
        <v>R.00.005Т.1</v>
      </c>
      <c r="S137" s="55" t="str">
        <v>Розеточная группа Подвальный этаж Пом. №005Т</v>
      </c>
      <c r="T137" s="56">
        <v>0.3</v>
      </c>
      <c r="U137" s="56">
        <v>1.37</v>
      </c>
      <c r="V137" s="42" t="str">
        <v>L1</v>
      </c>
      <c r="W137" s="57" t="str">
        <v>ok</v>
      </c>
      <c r="X137" s="58" t="str">
        <v/>
      </c>
      <c r="Y137" s="75" t="str">
        <v/>
      </c>
      <c r="Z137" s="59">
        <v>1.37</v>
      </c>
      <c r="AA137" s="61">
        <v>6</v>
      </c>
      <c r="AB137" s="61">
        <v>25</v>
      </c>
      <c r="AC137" s="61" t="str">
        <v/>
      </c>
      <c r="AD137" s="62" t="str">
        <v>QFD6 → XT6</v>
      </c>
      <c r="AE137" s="62" t="str">
        <v/>
      </c>
      <c r="AF137" s="34">
        <v>6</v>
      </c>
      <c r="AG137" s="34" t="str">
        <v>QFD6</v>
      </c>
      <c r="AH137" s="34" t="str">
        <v/>
      </c>
      <c r="AI137" s="34" t="str">
        <v/>
      </c>
      <c r="AJ137" s="34" t="str">
        <v>QFD6</v>
      </c>
      <c r="AK137" s="34">
        <v>1</v>
      </c>
      <c r="AL137" s="34" t="str">
        <v>R</v>
      </c>
      <c r="AM137" s="34">
        <v>30</v>
      </c>
      <c r="AN137" s="34">
        <v>0</v>
      </c>
      <c r="AO137" s="34">
        <v>16</v>
      </c>
      <c r="AP137" s="34">
        <v>25</v>
      </c>
      <c r="AQ137" s="34">
        <v>16</v>
      </c>
      <c r="AR137" s="34">
        <v>1</v>
      </c>
      <c r="AS137" s="34">
        <v>1</v>
      </c>
      <c r="AT137" s="34" t="str">
        <v>2P</v>
      </c>
      <c r="AU137" s="34">
        <v>16</v>
      </c>
      <c r="AV137" s="34" t="str">
        <v/>
      </c>
      <c r="AW137" s="34" t="str">
        <v/>
      </c>
      <c r="AX137" s="34" t="str">
        <v/>
      </c>
      <c r="AY137" s="34">
        <v>1</v>
      </c>
      <c r="AZ137" s="34" t="str">
        <v/>
      </c>
      <c r="BA137" s="34">
        <v>0</v>
      </c>
      <c r="BB137" s="34">
        <v>16</v>
      </c>
      <c r="BD137" s="34">
        <v>1</v>
      </c>
      <c r="BE137" s="34">
        <v>0</v>
      </c>
      <c r="BF137" s="34">
        <v>1</v>
      </c>
      <c r="BG137" s="34" t="str">
        <v/>
      </c>
      <c r="BH137" s="34" t="str">
        <v/>
      </c>
      <c r="BI137" s="34" t="str">
        <v/>
      </c>
      <c r="BJ137" s="34" t="str">
        <v/>
      </c>
      <c r="BK137" s="34" t="str">
        <v>SOCKET</v>
      </c>
      <c r="BL137" s="34">
        <v>1</v>
      </c>
      <c r="BM137" s="34" t="str">
        <v/>
      </c>
      <c r="BN137" s="34" t="str">
        <v/>
      </c>
      <c r="BO137" s="34" t="str">
        <v/>
      </c>
      <c r="BP137" s="34" t="str">
        <v/>
      </c>
      <c r="BQ137" s="34" t="str">
        <v>3х2,5</v>
      </c>
      <c r="BR137" s="34" t="str">
        <v/>
      </c>
      <c r="BS137" s="34" t="str">
        <v/>
      </c>
      <c r="BT137" s="34" t="str">
        <v/>
      </c>
      <c r="BU137" s="34">
        <v>0</v>
      </c>
      <c r="BV137" s="34">
        <v>158</v>
      </c>
      <c r="BW137" s="34">
        <v>1</v>
      </c>
      <c r="BX137" s="34">
        <v>0</v>
      </c>
      <c r="BY137" s="34" t="str">
        <v>Розетка</v>
      </c>
      <c r="BZ137">
        <v>8</v>
      </c>
      <c r="CA137" t="str">
        <v>линии</v>
      </c>
    </row>
    <row r="138" spans="1:79" x14ac:dyDescent="0.3">
      <c r="A138" s="39" t="str">
        <v>ЩР-001</v>
      </c>
      <c r="B138" s="42">
        <v>14</v>
      </c>
      <c r="C138" s="42">
        <v>1</v>
      </c>
      <c r="D138" s="75" t="str">
        <v/>
      </c>
      <c r="E138" s="75" t="str">
        <v>авто</v>
      </c>
      <c r="F138" s="76" t="str">
        <v/>
      </c>
      <c r="G138" s="47" t="str">
        <v>QFD7</v>
      </c>
      <c r="H138" s="47" t="str">
        <v>2P С16А 30мА</v>
      </c>
      <c r="I138" s="75" t="str">
        <v/>
      </c>
      <c r="J138" s="76" t="str">
        <v/>
      </c>
      <c r="K138" s="76" t="str">
        <v/>
      </c>
      <c r="L138" s="75" t="str">
        <v/>
      </c>
      <c r="M138" s="49" t="str">
        <v/>
      </c>
      <c r="N138" s="76" t="str">
        <v/>
      </c>
      <c r="O138" s="49" t="str">
        <v/>
      </c>
      <c r="P138" s="77" t="str">
        <v>XT7</v>
      </c>
      <c r="Q138" s="53" t="str">
        <v>ВВГнг(А)-LS (3х2,5) L=31-0,19%</v>
      </c>
      <c r="R138" s="54" t="str">
        <v>R.00.002Т.1</v>
      </c>
      <c r="S138" s="55" t="str">
        <v>Розеточная группа Подвальный этаж Пом. №002Т</v>
      </c>
      <c r="T138" s="56">
        <v>0.18</v>
      </c>
      <c r="U138" s="56">
        <v>0.83</v>
      </c>
      <c r="V138" s="42" t="str">
        <v>L1</v>
      </c>
      <c r="W138" s="57" t="str">
        <v>ok</v>
      </c>
      <c r="X138" s="58" t="str">
        <v/>
      </c>
      <c r="Y138" s="75" t="str">
        <v/>
      </c>
      <c r="Z138" s="59">
        <v>0.83</v>
      </c>
      <c r="AA138" s="61">
        <v>6</v>
      </c>
      <c r="AB138" s="61">
        <v>25</v>
      </c>
      <c r="AC138" s="61" t="str">
        <v/>
      </c>
      <c r="AD138" s="62" t="str">
        <v>QFD7 → XT7</v>
      </c>
      <c r="AE138" s="62" t="str">
        <v/>
      </c>
      <c r="AF138" s="34">
        <v>7</v>
      </c>
      <c r="AG138" s="34" t="str">
        <v>QFD7</v>
      </c>
      <c r="AH138" s="34" t="str">
        <v/>
      </c>
      <c r="AI138" s="34" t="str">
        <v/>
      </c>
      <c r="AJ138" s="34" t="str">
        <v>QFD7</v>
      </c>
      <c r="AK138" s="34">
        <v>1</v>
      </c>
      <c r="AL138" s="34" t="str">
        <v>R</v>
      </c>
      <c r="AM138" s="34">
        <v>30</v>
      </c>
      <c r="AN138" s="34">
        <v>0</v>
      </c>
      <c r="AO138" s="34">
        <v>16</v>
      </c>
      <c r="AP138" s="34">
        <v>25</v>
      </c>
      <c r="AQ138" s="34">
        <v>16</v>
      </c>
      <c r="AR138" s="34">
        <v>1</v>
      </c>
      <c r="AS138" s="34">
        <v>1</v>
      </c>
      <c r="AT138" s="34" t="str">
        <v>2P</v>
      </c>
      <c r="AU138" s="34">
        <v>16</v>
      </c>
      <c r="AV138" s="34" t="str">
        <v/>
      </c>
      <c r="AW138" s="34" t="str">
        <v/>
      </c>
      <c r="AX138" s="34" t="str">
        <v/>
      </c>
      <c r="AY138" s="34">
        <v>1</v>
      </c>
      <c r="AZ138" s="34" t="str">
        <v/>
      </c>
      <c r="BA138" s="34">
        <v>0</v>
      </c>
      <c r="BB138" s="34">
        <v>16</v>
      </c>
      <c r="BD138" s="34">
        <v>1</v>
      </c>
      <c r="BE138" s="34">
        <v>0</v>
      </c>
      <c r="BF138" s="34">
        <v>1</v>
      </c>
      <c r="BG138" s="34" t="str">
        <v/>
      </c>
      <c r="BH138" s="34" t="str">
        <v/>
      </c>
      <c r="BI138" s="34" t="str">
        <v/>
      </c>
      <c r="BJ138" s="34" t="str">
        <v/>
      </c>
      <c r="BK138" s="34" t="str">
        <v>SOCKET</v>
      </c>
      <c r="BL138" s="34">
        <v>1</v>
      </c>
      <c r="BM138" s="34" t="str">
        <v/>
      </c>
      <c r="BN138" s="34" t="str">
        <v/>
      </c>
      <c r="BO138" s="34" t="str">
        <v/>
      </c>
      <c r="BP138" s="34" t="str">
        <v/>
      </c>
      <c r="BQ138" s="34" t="str">
        <v>3х2,5</v>
      </c>
      <c r="BR138" s="34" t="str">
        <v/>
      </c>
      <c r="BS138" s="34" t="str">
        <v/>
      </c>
      <c r="BT138" s="34" t="str">
        <v/>
      </c>
      <c r="BU138" s="34">
        <v>0</v>
      </c>
      <c r="BV138" s="34">
        <v>159</v>
      </c>
      <c r="BW138" s="34">
        <v>1</v>
      </c>
      <c r="BX138" s="34">
        <v>0</v>
      </c>
      <c r="BY138" s="34" t="str">
        <v>Розетка</v>
      </c>
      <c r="BZ138">
        <v>8</v>
      </c>
      <c r="CA138" t="str">
        <v>линии</v>
      </c>
    </row>
    <row r="139" spans="1:79" x14ac:dyDescent="0.3">
      <c r="A139" s="39" t="str">
        <v>ЩР-001</v>
      </c>
      <c r="B139" s="42">
        <v>15</v>
      </c>
      <c r="C139" s="42">
        <v>1</v>
      </c>
      <c r="D139" s="75" t="str">
        <v/>
      </c>
      <c r="E139" s="75" t="str">
        <v>авто</v>
      </c>
      <c r="F139" s="76" t="str">
        <v/>
      </c>
      <c r="G139" s="47" t="str">
        <v>QFD8</v>
      </c>
      <c r="H139" s="47" t="str">
        <v>2P С16А 30мА</v>
      </c>
      <c r="I139" s="75" t="str">
        <v/>
      </c>
      <c r="J139" s="76" t="str">
        <v/>
      </c>
      <c r="K139" s="76" t="str">
        <v/>
      </c>
      <c r="L139" s="75" t="str">
        <v/>
      </c>
      <c r="M139" s="49" t="str">
        <v/>
      </c>
      <c r="N139" s="76" t="str">
        <v/>
      </c>
      <c r="O139" s="49" t="str">
        <v/>
      </c>
      <c r="P139" s="77" t="str">
        <v>XT8</v>
      </c>
      <c r="Q139" s="53" t="str">
        <v>ВВГнг(А)-LS (3х2,5) L=95-1,16%</v>
      </c>
      <c r="R139" s="54" t="str">
        <v>R.00.001А.1</v>
      </c>
      <c r="S139" s="55" t="str">
        <v>Розеточная группа Подвальный этаж Пом. №001А</v>
      </c>
      <c r="T139" s="56">
        <v>0.36</v>
      </c>
      <c r="U139" s="56">
        <v>1.65</v>
      </c>
      <c r="V139" s="42" t="str">
        <v>L1</v>
      </c>
      <c r="W139" s="57" t="str">
        <v>ok</v>
      </c>
      <c r="X139" s="58" t="str">
        <v/>
      </c>
      <c r="Y139" s="75" t="str">
        <v/>
      </c>
      <c r="Z139" s="59">
        <v>1.65</v>
      </c>
      <c r="AA139" s="61">
        <v>6</v>
      </c>
      <c r="AB139" s="61">
        <v>25</v>
      </c>
      <c r="AC139" s="61" t="str">
        <v/>
      </c>
      <c r="AD139" s="62" t="str">
        <v>QFD8 → XT8</v>
      </c>
      <c r="AE139" s="62" t="str">
        <v/>
      </c>
      <c r="AF139" s="34">
        <v>8</v>
      </c>
      <c r="AG139" s="34" t="str">
        <v>QFD8</v>
      </c>
      <c r="AH139" s="34" t="str">
        <v/>
      </c>
      <c r="AI139" s="34" t="str">
        <v/>
      </c>
      <c r="AJ139" s="34" t="str">
        <v>QFD8</v>
      </c>
      <c r="AK139" s="34">
        <v>1</v>
      </c>
      <c r="AL139" s="34" t="str">
        <v>R</v>
      </c>
      <c r="AM139" s="34">
        <v>30</v>
      </c>
      <c r="AN139" s="34">
        <v>0</v>
      </c>
      <c r="AO139" s="34">
        <v>16</v>
      </c>
      <c r="AP139" s="34">
        <v>25</v>
      </c>
      <c r="AQ139" s="34">
        <v>16</v>
      </c>
      <c r="AR139" s="34">
        <v>1</v>
      </c>
      <c r="AS139" s="34">
        <v>1</v>
      </c>
      <c r="AT139" s="34" t="str">
        <v>2P</v>
      </c>
      <c r="AU139" s="34">
        <v>16</v>
      </c>
      <c r="AV139" s="34" t="str">
        <v/>
      </c>
      <c r="AW139" s="34" t="str">
        <v/>
      </c>
      <c r="AX139" s="34" t="str">
        <v/>
      </c>
      <c r="AY139" s="34">
        <v>1</v>
      </c>
      <c r="AZ139" s="34" t="str">
        <v/>
      </c>
      <c r="BA139" s="34">
        <v>0</v>
      </c>
      <c r="BB139" s="34">
        <v>16</v>
      </c>
      <c r="BD139" s="34">
        <v>1</v>
      </c>
      <c r="BE139" s="34">
        <v>0</v>
      </c>
      <c r="BF139" s="34">
        <v>1</v>
      </c>
      <c r="BG139" s="34" t="str">
        <v/>
      </c>
      <c r="BH139" s="34" t="str">
        <v/>
      </c>
      <c r="BI139" s="34" t="str">
        <v/>
      </c>
      <c r="BJ139" s="34" t="str">
        <v/>
      </c>
      <c r="BK139" s="34" t="str">
        <v>SOCKET</v>
      </c>
      <c r="BL139" s="34">
        <v>1</v>
      </c>
      <c r="BM139" s="34" t="str">
        <v/>
      </c>
      <c r="BN139" s="34" t="str">
        <v/>
      </c>
      <c r="BO139" s="34" t="str">
        <v/>
      </c>
      <c r="BP139" s="34" t="str">
        <v/>
      </c>
      <c r="BQ139" s="34" t="str">
        <v>3х2,5</v>
      </c>
      <c r="BR139" s="34" t="str">
        <v/>
      </c>
      <c r="BS139" s="34" t="str">
        <v/>
      </c>
      <c r="BT139" s="34" t="str">
        <v/>
      </c>
      <c r="BU139" s="34">
        <v>0</v>
      </c>
      <c r="BV139" s="34">
        <v>160</v>
      </c>
      <c r="BW139" s="34">
        <v>1</v>
      </c>
      <c r="BX139" s="34">
        <v>0</v>
      </c>
      <c r="BY139" s="34" t="str">
        <v>Розетка</v>
      </c>
      <c r="BZ139">
        <v>8</v>
      </c>
      <c r="CA139" t="str">
        <v>линии</v>
      </c>
    </row>
    <row r="140" spans="1:79" x14ac:dyDescent="0.3">
      <c r="A140" s="39" t="str">
        <v>ЩР-001</v>
      </c>
      <c r="B140" s="42">
        <v>16</v>
      </c>
      <c r="C140" s="42">
        <v>1</v>
      </c>
      <c r="D140" s="75" t="str">
        <v/>
      </c>
      <c r="E140" s="75" t="str">
        <v>авто</v>
      </c>
      <c r="F140" s="76" t="str">
        <v/>
      </c>
      <c r="G140" s="47" t="str">
        <v>QFD9</v>
      </c>
      <c r="H140" s="47" t="str">
        <v>2P С16А 30мА</v>
      </c>
      <c r="I140" s="75" t="str">
        <v/>
      </c>
      <c r="J140" s="76" t="str">
        <v/>
      </c>
      <c r="K140" s="76" t="str">
        <v/>
      </c>
      <c r="L140" s="75" t="str">
        <v/>
      </c>
      <c r="M140" s="49" t="str">
        <v/>
      </c>
      <c r="N140" s="76" t="str">
        <v/>
      </c>
      <c r="O140" s="49" t="str">
        <v/>
      </c>
      <c r="P140" s="77" t="str">
        <v>XT9</v>
      </c>
      <c r="Q140" s="53" t="str">
        <v>ВВГнг(А)-LS (3х2,5) L=48-0,3%</v>
      </c>
      <c r="R140" s="54" t="str">
        <v>R.00.005А.1</v>
      </c>
      <c r="S140" s="55" t="str">
        <v>Розеточная группа Подвальный этаж Пом. №005А</v>
      </c>
      <c r="T140" s="56">
        <v>0.18</v>
      </c>
      <c r="U140" s="56">
        <v>0.83</v>
      </c>
      <c r="V140" s="42" t="str">
        <v>L3</v>
      </c>
      <c r="W140" s="57" t="str">
        <v>ok</v>
      </c>
      <c r="X140" s="58" t="str">
        <v/>
      </c>
      <c r="Y140" s="75" t="str">
        <v/>
      </c>
      <c r="Z140" s="59">
        <v>0.83</v>
      </c>
      <c r="AA140" s="61">
        <v>6</v>
      </c>
      <c r="AB140" s="61">
        <v>25</v>
      </c>
      <c r="AC140" s="61" t="str">
        <v/>
      </c>
      <c r="AD140" s="62" t="str">
        <v>QFD9 → XT9</v>
      </c>
      <c r="AE140" s="62" t="str">
        <v/>
      </c>
      <c r="AF140" s="34">
        <v>9</v>
      </c>
      <c r="AG140" s="34" t="str">
        <v>QFD9</v>
      </c>
      <c r="AH140" s="34" t="str">
        <v/>
      </c>
      <c r="AI140" s="34" t="str">
        <v/>
      </c>
      <c r="AJ140" s="34" t="str">
        <v>QFD9</v>
      </c>
      <c r="AK140" s="34">
        <v>1</v>
      </c>
      <c r="AL140" s="34" t="str">
        <v>R</v>
      </c>
      <c r="AM140" s="34">
        <v>30</v>
      </c>
      <c r="AN140" s="34">
        <v>0</v>
      </c>
      <c r="AO140" s="34">
        <v>16</v>
      </c>
      <c r="AP140" s="34">
        <v>25</v>
      </c>
      <c r="AQ140" s="34">
        <v>16</v>
      </c>
      <c r="AR140" s="34">
        <v>1</v>
      </c>
      <c r="AS140" s="34">
        <v>1</v>
      </c>
      <c r="AT140" s="34" t="str">
        <v>2P</v>
      </c>
      <c r="AU140" s="34">
        <v>16</v>
      </c>
      <c r="AV140" s="34" t="str">
        <v/>
      </c>
      <c r="AW140" s="34" t="str">
        <v/>
      </c>
      <c r="AX140" s="34" t="str">
        <v/>
      </c>
      <c r="AY140" s="34">
        <v>1</v>
      </c>
      <c r="AZ140" s="34" t="str">
        <v/>
      </c>
      <c r="BA140" s="34">
        <v>0</v>
      </c>
      <c r="BB140" s="34">
        <v>16</v>
      </c>
      <c r="BD140" s="34">
        <v>1</v>
      </c>
      <c r="BE140" s="34">
        <v>0</v>
      </c>
      <c r="BF140" s="34">
        <v>1</v>
      </c>
      <c r="BG140" s="34" t="str">
        <v/>
      </c>
      <c r="BH140" s="34" t="str">
        <v/>
      </c>
      <c r="BI140" s="34" t="str">
        <v/>
      </c>
      <c r="BJ140" s="34" t="str">
        <v/>
      </c>
      <c r="BK140" s="34" t="str">
        <v>SOCKET</v>
      </c>
      <c r="BL140" s="34">
        <v>1</v>
      </c>
      <c r="BM140" s="34" t="str">
        <v/>
      </c>
      <c r="BN140" s="34" t="str">
        <v/>
      </c>
      <c r="BO140" s="34" t="str">
        <v/>
      </c>
      <c r="BP140" s="34" t="str">
        <v/>
      </c>
      <c r="BQ140" s="34" t="str">
        <v>3х2,5</v>
      </c>
      <c r="BR140" s="34" t="str">
        <v/>
      </c>
      <c r="BS140" s="34" t="str">
        <v/>
      </c>
      <c r="BT140" s="34" t="str">
        <v/>
      </c>
      <c r="BU140" s="34">
        <v>0</v>
      </c>
      <c r="BV140" s="34">
        <v>161</v>
      </c>
      <c r="BW140" s="34">
        <v>1</v>
      </c>
      <c r="BX140" s="34">
        <v>0</v>
      </c>
      <c r="BY140" s="34" t="str">
        <v>Розетка</v>
      </c>
      <c r="BZ140">
        <v>8</v>
      </c>
      <c r="CA140" t="str">
        <v>линии</v>
      </c>
    </row>
    <row r="141" spans="1:79" x14ac:dyDescent="0.3">
      <c r="A141" s="39" t="str">
        <v>ЩР-001</v>
      </c>
      <c r="B141" s="42">
        <v>19</v>
      </c>
      <c r="C141" s="42">
        <v>2</v>
      </c>
      <c r="D141" s="75" t="str">
        <v/>
      </c>
      <c r="E141" s="75" t="str">
        <v>авто</v>
      </c>
      <c r="F141" s="76" t="str">
        <v/>
      </c>
      <c r="G141" s="47" t="str">
        <v>QFD10</v>
      </c>
      <c r="H141" s="47" t="str">
        <v>2P С16А 30мА</v>
      </c>
      <c r="I141" s="75" t="str">
        <v/>
      </c>
      <c r="J141" s="76" t="str">
        <v/>
      </c>
      <c r="K141" s="76" t="str">
        <v/>
      </c>
      <c r="L141" s="75" t="str">
        <v/>
      </c>
      <c r="M141" s="49" t="str">
        <v/>
      </c>
      <c r="N141" s="76" t="str">
        <v/>
      </c>
      <c r="O141" s="49" t="str">
        <v/>
      </c>
      <c r="P141" s="77" t="str">
        <v/>
      </c>
      <c r="Q141" s="53" t="str">
        <v>ВВГнг(А)-LS (3х2,5) L=83-1,02%</v>
      </c>
      <c r="R141" s="54" t="str">
        <v>R.00.004А.1</v>
      </c>
      <c r="S141" s="55" t="str">
        <v>Розеточная группа Подвальный этаж Пом. №004А</v>
      </c>
      <c r="T141" s="56">
        <v>0.36</v>
      </c>
      <c r="U141" s="56">
        <v>1.65</v>
      </c>
      <c r="V141" s="42" t="str">
        <v>L3</v>
      </c>
      <c r="W141" s="57" t="str">
        <v>ok</v>
      </c>
      <c r="X141" s="58" t="str">
        <v/>
      </c>
      <c r="Y141" s="75" t="str">
        <v/>
      </c>
      <c r="Z141" s="59">
        <v>1.65</v>
      </c>
      <c r="AA141" s="61">
        <v>6</v>
      </c>
      <c r="AB141" s="61">
        <v>25</v>
      </c>
      <c r="AC141" s="61" t="str">
        <v/>
      </c>
      <c r="AD141" s="62" t="str">
        <v>QFD10</v>
      </c>
      <c r="AE141" s="62" t="str">
        <v/>
      </c>
      <c r="AF141" s="34">
        <v>10</v>
      </c>
      <c r="AG141" s="34" t="str">
        <v>QFD10</v>
      </c>
      <c r="AH141" s="34" t="str">
        <v/>
      </c>
      <c r="AI141" s="34" t="str">
        <v/>
      </c>
      <c r="AJ141" s="34" t="str">
        <v>QFD10</v>
      </c>
      <c r="AK141" s="34">
        <v>1</v>
      </c>
      <c r="AL141" s="34" t="str">
        <v>R</v>
      </c>
      <c r="AM141" s="34">
        <v>30</v>
      </c>
      <c r="AN141" s="34">
        <v>0</v>
      </c>
      <c r="AO141" s="34">
        <v>16</v>
      </c>
      <c r="AP141" s="34">
        <v>25</v>
      </c>
      <c r="AQ141" s="34">
        <v>16</v>
      </c>
      <c r="AR141" s="34">
        <v>1</v>
      </c>
      <c r="AS141" s="34">
        <v>1</v>
      </c>
      <c r="AT141" s="34" t="str">
        <v>2P</v>
      </c>
      <c r="AU141" s="34">
        <v>16</v>
      </c>
      <c r="AV141" s="34" t="str">
        <v/>
      </c>
      <c r="AW141" s="34" t="str">
        <v/>
      </c>
      <c r="AX141" s="34" t="str">
        <v/>
      </c>
      <c r="AY141" s="34">
        <v>1</v>
      </c>
      <c r="AZ141" s="34" t="str">
        <v/>
      </c>
      <c r="BA141" s="34">
        <v>0</v>
      </c>
      <c r="BB141" s="34">
        <v>16</v>
      </c>
      <c r="BD141" s="34">
        <v>1</v>
      </c>
      <c r="BE141" s="34">
        <v>0</v>
      </c>
      <c r="BF141" s="34">
        <v>1</v>
      </c>
      <c r="BG141" s="34" t="str">
        <v/>
      </c>
      <c r="BH141" s="34" t="str">
        <v/>
      </c>
      <c r="BI141" s="34" t="str">
        <v/>
      </c>
      <c r="BJ141" s="34" t="str">
        <v/>
      </c>
      <c r="BK141" s="34" t="str">
        <v>SOCKET</v>
      </c>
      <c r="BL141" s="34">
        <v>1</v>
      </c>
      <c r="BM141" s="34" t="str">
        <v/>
      </c>
      <c r="BN141" s="34" t="str">
        <v/>
      </c>
      <c r="BO141" s="34" t="str">
        <v/>
      </c>
      <c r="BP141" s="34" t="str">
        <v/>
      </c>
      <c r="BQ141" s="34" t="str">
        <v>3х2,5</v>
      </c>
      <c r="BR141" s="34" t="str">
        <v/>
      </c>
      <c r="BS141" s="34" t="str">
        <v/>
      </c>
      <c r="BT141" s="34" t="str">
        <v/>
      </c>
      <c r="BU141" s="34">
        <v>0</v>
      </c>
      <c r="BV141" s="34">
        <v>162</v>
      </c>
      <c r="BW141" s="34">
        <v>1</v>
      </c>
      <c r="BX141" s="34">
        <v>0</v>
      </c>
      <c r="BY141" s="34" t="str">
        <v>Розетка</v>
      </c>
      <c r="BZ141">
        <v>8</v>
      </c>
      <c r="CA141" t="str">
        <v>линии</v>
      </c>
    </row>
    <row r="142" spans="1:79" x14ac:dyDescent="0.3">
      <c r="A142" s="39" t="str">
        <v>ЩР-001</v>
      </c>
      <c r="B142" s="42">
        <v>20</v>
      </c>
      <c r="C142" s="42">
        <v>2</v>
      </c>
      <c r="D142" s="75" t="str">
        <v/>
      </c>
      <c r="E142" s="75" t="str">
        <v>авто</v>
      </c>
      <c r="F142" s="76" t="str">
        <v/>
      </c>
      <c r="G142" s="47" t="str">
        <v>QFD11</v>
      </c>
      <c r="H142" s="47" t="str">
        <v>2P С16А 30мА</v>
      </c>
      <c r="I142" s="75" t="str">
        <v/>
      </c>
      <c r="J142" s="76" t="str">
        <v/>
      </c>
      <c r="K142" s="76" t="str">
        <v/>
      </c>
      <c r="L142" s="75" t="str">
        <v/>
      </c>
      <c r="M142" s="49" t="str">
        <v/>
      </c>
      <c r="N142" s="76" t="str">
        <v/>
      </c>
      <c r="O142" s="49" t="str">
        <v/>
      </c>
      <c r="P142" s="77" t="str">
        <v>XT11</v>
      </c>
      <c r="Q142" s="53" t="str">
        <v>ВВГнг(А)-LS (3х2,5) L=38-0,16%</v>
      </c>
      <c r="R142" s="54" t="str">
        <v>R.00.001А.2</v>
      </c>
      <c r="S142" s="55" t="str">
        <v>Розеточная группа Подвальный этаж Пом. №001А</v>
      </c>
      <c r="T142" s="56">
        <v>0.12</v>
      </c>
      <c r="U142" s="56">
        <v>0.55000000000000004</v>
      </c>
      <c r="V142" s="42" t="str">
        <v>L1</v>
      </c>
      <c r="W142" s="57" t="str">
        <v>ok</v>
      </c>
      <c r="X142" s="58" t="str">
        <v/>
      </c>
      <c r="Y142" s="75" t="str">
        <v/>
      </c>
      <c r="Z142" s="59">
        <v>0.55000000000000004</v>
      </c>
      <c r="AA142" s="61">
        <v>6</v>
      </c>
      <c r="AB142" s="61">
        <v>25</v>
      </c>
      <c r="AC142" s="61" t="str">
        <v/>
      </c>
      <c r="AD142" s="62" t="str">
        <v>QFD11 → XT11</v>
      </c>
      <c r="AE142" s="62" t="str">
        <v/>
      </c>
      <c r="AF142" s="34">
        <v>11</v>
      </c>
      <c r="AG142" s="34" t="str">
        <v>QFD11</v>
      </c>
      <c r="AH142" s="34" t="str">
        <v/>
      </c>
      <c r="AI142" s="34" t="str">
        <v/>
      </c>
      <c r="AJ142" s="34" t="str">
        <v>QFD11</v>
      </c>
      <c r="AK142" s="34">
        <v>1</v>
      </c>
      <c r="AL142" s="34" t="str">
        <v>R</v>
      </c>
      <c r="AM142" s="34">
        <v>30</v>
      </c>
      <c r="AN142" s="34">
        <v>0</v>
      </c>
      <c r="AO142" s="34">
        <v>16</v>
      </c>
      <c r="AP142" s="34">
        <v>25</v>
      </c>
      <c r="AQ142" s="34">
        <v>16</v>
      </c>
      <c r="AR142" s="34">
        <v>1</v>
      </c>
      <c r="AS142" s="34">
        <v>1</v>
      </c>
      <c r="AT142" s="34" t="str">
        <v>2P</v>
      </c>
      <c r="AU142" s="34">
        <v>16</v>
      </c>
      <c r="AV142" s="34" t="str">
        <v/>
      </c>
      <c r="AW142" s="34" t="str">
        <v/>
      </c>
      <c r="AX142" s="34" t="str">
        <v/>
      </c>
      <c r="AY142" s="34">
        <v>1</v>
      </c>
      <c r="AZ142" s="34" t="str">
        <v/>
      </c>
      <c r="BA142" s="34">
        <v>0</v>
      </c>
      <c r="BB142" s="34">
        <v>16</v>
      </c>
      <c r="BD142" s="34">
        <v>1</v>
      </c>
      <c r="BE142" s="34">
        <v>0</v>
      </c>
      <c r="BF142" s="34">
        <v>1</v>
      </c>
      <c r="BG142" s="34" t="str">
        <v/>
      </c>
      <c r="BH142" s="34" t="str">
        <v/>
      </c>
      <c r="BI142" s="34" t="str">
        <v/>
      </c>
      <c r="BJ142" s="34" t="str">
        <v/>
      </c>
      <c r="BK142" s="34" t="str">
        <v>SOCKET</v>
      </c>
      <c r="BL142" s="34">
        <v>1</v>
      </c>
      <c r="BM142" s="34" t="str">
        <v/>
      </c>
      <c r="BN142" s="34" t="str">
        <v/>
      </c>
      <c r="BO142" s="34" t="str">
        <v/>
      </c>
      <c r="BP142" s="34" t="str">
        <v/>
      </c>
      <c r="BQ142" s="34" t="str">
        <v>3х2,5</v>
      </c>
      <c r="BR142" s="34" t="str">
        <v/>
      </c>
      <c r="BS142" s="34" t="str">
        <v/>
      </c>
      <c r="BT142" s="34" t="str">
        <v/>
      </c>
      <c r="BU142" s="34">
        <v>0</v>
      </c>
      <c r="BV142" s="34">
        <v>163</v>
      </c>
      <c r="BW142" s="34">
        <v>1</v>
      </c>
      <c r="BX142" s="34">
        <v>0</v>
      </c>
      <c r="BY142" s="34" t="str">
        <v>Розетка</v>
      </c>
      <c r="BZ142">
        <v>8</v>
      </c>
      <c r="CA142" t="str">
        <v>линии</v>
      </c>
    </row>
    <row r="143" spans="1:79" x14ac:dyDescent="0.3">
      <c r="A143" s="39" t="str">
        <v>ЩР-001</v>
      </c>
      <c r="B143" s="42">
        <v>21</v>
      </c>
      <c r="C143" s="42">
        <v>2</v>
      </c>
      <c r="D143" s="75" t="str">
        <v/>
      </c>
      <c r="E143" s="75" t="str">
        <v>авто</v>
      </c>
      <c r="F143" s="76" t="str">
        <v/>
      </c>
      <c r="G143" s="47" t="str">
        <v>QFD12</v>
      </c>
      <c r="H143" s="47" t="str">
        <v>2P С16А 30мА</v>
      </c>
      <c r="I143" s="75" t="str">
        <v/>
      </c>
      <c r="J143" s="76" t="str">
        <v/>
      </c>
      <c r="K143" s="76" t="str">
        <v/>
      </c>
      <c r="L143" s="75" t="str">
        <v/>
      </c>
      <c r="M143" s="49" t="str">
        <v/>
      </c>
      <c r="N143" s="76" t="str">
        <v/>
      </c>
      <c r="O143" s="49" t="str">
        <v/>
      </c>
      <c r="P143" s="77" t="str">
        <v/>
      </c>
      <c r="Q143" s="53" t="str">
        <v>ВВГнг(А)-LS (3х2,5) L=53-0,22%</v>
      </c>
      <c r="R143" s="54" t="str">
        <v>R.00.002.1А.1</v>
      </c>
      <c r="S143" s="55" t="str">
        <v>Розеточная группа Подвальный этаж Пом. №002</v>
      </c>
      <c r="T143" s="56">
        <v>0.12</v>
      </c>
      <c r="U143" s="56">
        <v>0.55000000000000004</v>
      </c>
      <c r="V143" s="42" t="str">
        <v>L2</v>
      </c>
      <c r="W143" s="57" t="str">
        <v>ok</v>
      </c>
      <c r="X143" s="58" t="str">
        <v/>
      </c>
      <c r="Y143" s="75" t="str">
        <v/>
      </c>
      <c r="Z143" s="59">
        <v>0.55000000000000004</v>
      </c>
      <c r="AA143" s="61">
        <v>6</v>
      </c>
      <c r="AB143" s="61">
        <v>25</v>
      </c>
      <c r="AC143" s="61" t="str">
        <v/>
      </c>
      <c r="AD143" s="62" t="str">
        <v>QFD12</v>
      </c>
      <c r="AE143" s="62" t="str">
        <v/>
      </c>
      <c r="AF143" s="34">
        <v>12</v>
      </c>
      <c r="AG143" s="34" t="str">
        <v>QFD12</v>
      </c>
      <c r="AH143" s="34" t="str">
        <v/>
      </c>
      <c r="AI143" s="34" t="str">
        <v/>
      </c>
      <c r="AJ143" s="34" t="str">
        <v>QFD12</v>
      </c>
      <c r="AK143" s="34">
        <v>1</v>
      </c>
      <c r="AL143" s="34" t="str">
        <v>R</v>
      </c>
      <c r="AM143" s="34">
        <v>30</v>
      </c>
      <c r="AN143" s="34">
        <v>0</v>
      </c>
      <c r="AO143" s="34">
        <v>16</v>
      </c>
      <c r="AP143" s="34">
        <v>25</v>
      </c>
      <c r="AQ143" s="34">
        <v>16</v>
      </c>
      <c r="AR143" s="34">
        <v>1</v>
      </c>
      <c r="AS143" s="34">
        <v>1</v>
      </c>
      <c r="AT143" s="34" t="str">
        <v>2P</v>
      </c>
      <c r="AU143" s="34">
        <v>16</v>
      </c>
      <c r="AV143" s="34" t="str">
        <v/>
      </c>
      <c r="AW143" s="34" t="str">
        <v/>
      </c>
      <c r="AX143" s="34" t="str">
        <v/>
      </c>
      <c r="AY143" s="34">
        <v>1</v>
      </c>
      <c r="AZ143" s="34" t="str">
        <v/>
      </c>
      <c r="BA143" s="34">
        <v>0</v>
      </c>
      <c r="BB143" s="34">
        <v>16</v>
      </c>
      <c r="BD143" s="34">
        <v>1</v>
      </c>
      <c r="BE143" s="34">
        <v>0</v>
      </c>
      <c r="BF143" s="34">
        <v>1</v>
      </c>
      <c r="BG143" s="34" t="str">
        <v/>
      </c>
      <c r="BH143" s="34" t="str">
        <v/>
      </c>
      <c r="BI143" s="34" t="str">
        <v/>
      </c>
      <c r="BJ143" s="34" t="str">
        <v/>
      </c>
      <c r="BK143" s="34" t="str">
        <v>SOCKET</v>
      </c>
      <c r="BL143" s="34">
        <v>1</v>
      </c>
      <c r="BM143" s="34" t="str">
        <v/>
      </c>
      <c r="BN143" s="34" t="str">
        <v/>
      </c>
      <c r="BO143" s="34" t="str">
        <v/>
      </c>
      <c r="BP143" s="34" t="str">
        <v/>
      </c>
      <c r="BQ143" s="34" t="str">
        <v>3х2,5</v>
      </c>
      <c r="BR143" s="34" t="str">
        <v/>
      </c>
      <c r="BS143" s="34" t="str">
        <v/>
      </c>
      <c r="BT143" s="34" t="str">
        <v/>
      </c>
      <c r="BU143" s="34">
        <v>0</v>
      </c>
      <c r="BV143" s="34">
        <v>164</v>
      </c>
      <c r="BW143" s="34">
        <v>1</v>
      </c>
      <c r="BX143" s="34">
        <v>0</v>
      </c>
      <c r="BY143" s="34" t="str">
        <v>Розетка</v>
      </c>
      <c r="BZ143">
        <v>8</v>
      </c>
      <c r="CA143" t="str">
        <v>линии</v>
      </c>
    </row>
    <row r="144" spans="1:79" x14ac:dyDescent="0.3">
      <c r="A144" s="39" t="str">
        <v>ЩР-001</v>
      </c>
      <c r="B144" s="42">
        <v>22</v>
      </c>
      <c r="C144" s="42">
        <v>2</v>
      </c>
      <c r="D144" s="75" t="str">
        <v/>
      </c>
      <c r="E144" s="75" t="str">
        <v>авто</v>
      </c>
      <c r="F144" s="76" t="str">
        <v/>
      </c>
      <c r="G144" s="47" t="str">
        <v>QFD13</v>
      </c>
      <c r="H144" s="47" t="str">
        <v>2P С16А 30мА</v>
      </c>
      <c r="I144" s="75" t="str">
        <v/>
      </c>
      <c r="J144" s="76" t="str">
        <v/>
      </c>
      <c r="K144" s="76" t="str">
        <v/>
      </c>
      <c r="L144" s="75" t="str">
        <v/>
      </c>
      <c r="M144" s="49" t="str">
        <v/>
      </c>
      <c r="N144" s="76" t="str">
        <v/>
      </c>
      <c r="O144" s="49" t="str">
        <v/>
      </c>
      <c r="P144" s="77" t="str">
        <v/>
      </c>
      <c r="Q144" s="53" t="str">
        <v>ВВГнг(А)-LS (3х2,5) L=69-0,29%</v>
      </c>
      <c r="R144" s="54" t="str">
        <v>R.00.006T.1</v>
      </c>
      <c r="S144" s="55" t="str">
        <v>Розеточная группа Подвальный этаж Пом. №006T</v>
      </c>
      <c r="T144" s="56">
        <v>0.12</v>
      </c>
      <c r="U144" s="56">
        <v>0.55000000000000004</v>
      </c>
      <c r="V144" s="42" t="str">
        <v>L3</v>
      </c>
      <c r="W144" s="57" t="str">
        <v>ok</v>
      </c>
      <c r="X144" s="58" t="str">
        <v/>
      </c>
      <c r="Y144" s="75" t="str">
        <v/>
      </c>
      <c r="Z144" s="59">
        <v>0.55000000000000004</v>
      </c>
      <c r="AA144" s="61">
        <v>6</v>
      </c>
      <c r="AB144" s="61">
        <v>25</v>
      </c>
      <c r="AC144" s="61" t="str">
        <v/>
      </c>
      <c r="AD144" s="62" t="str">
        <v>QFD13</v>
      </c>
      <c r="AE144" s="62" t="str">
        <v/>
      </c>
      <c r="AF144" s="34">
        <v>13</v>
      </c>
      <c r="AG144" s="34" t="str">
        <v>QFD13</v>
      </c>
      <c r="AH144" s="34" t="str">
        <v/>
      </c>
      <c r="AI144" s="34" t="str">
        <v/>
      </c>
      <c r="AJ144" s="34" t="str">
        <v>QFD13</v>
      </c>
      <c r="AK144" s="34">
        <v>1</v>
      </c>
      <c r="AL144" s="34" t="str">
        <v>R</v>
      </c>
      <c r="AM144" s="34">
        <v>30</v>
      </c>
      <c r="AN144" s="34">
        <v>0</v>
      </c>
      <c r="AO144" s="34">
        <v>16</v>
      </c>
      <c r="AP144" s="34">
        <v>25</v>
      </c>
      <c r="AQ144" s="34">
        <v>16</v>
      </c>
      <c r="AR144" s="34">
        <v>1</v>
      </c>
      <c r="AS144" s="34">
        <v>1</v>
      </c>
      <c r="AT144" s="34" t="str">
        <v>2P</v>
      </c>
      <c r="AU144" s="34">
        <v>16</v>
      </c>
      <c r="AV144" s="34" t="str">
        <v/>
      </c>
      <c r="AW144" s="34" t="str">
        <v/>
      </c>
      <c r="AX144" s="34" t="str">
        <v/>
      </c>
      <c r="AY144" s="34">
        <v>1</v>
      </c>
      <c r="AZ144" s="34" t="str">
        <v/>
      </c>
      <c r="BA144" s="34">
        <v>0</v>
      </c>
      <c r="BB144" s="34">
        <v>16</v>
      </c>
      <c r="BD144" s="34">
        <v>1</v>
      </c>
      <c r="BE144" s="34">
        <v>0</v>
      </c>
      <c r="BF144" s="34">
        <v>1</v>
      </c>
      <c r="BG144" s="34" t="str">
        <v/>
      </c>
      <c r="BH144" s="34" t="str">
        <v/>
      </c>
      <c r="BI144" s="34" t="str">
        <v/>
      </c>
      <c r="BJ144" s="34" t="str">
        <v/>
      </c>
      <c r="BK144" s="34" t="str">
        <v>SOCKET</v>
      </c>
      <c r="BL144" s="34">
        <v>1</v>
      </c>
      <c r="BM144" s="34" t="str">
        <v/>
      </c>
      <c r="BN144" s="34" t="str">
        <v/>
      </c>
      <c r="BO144" s="34" t="str">
        <v/>
      </c>
      <c r="BP144" s="34" t="str">
        <v/>
      </c>
      <c r="BQ144" s="34" t="str">
        <v>3х2,5</v>
      </c>
      <c r="BR144" s="34" t="str">
        <v/>
      </c>
      <c r="BS144" s="34" t="str">
        <v/>
      </c>
      <c r="BT144" s="34" t="str">
        <v/>
      </c>
      <c r="BU144" s="34">
        <v>0</v>
      </c>
      <c r="BV144" s="34">
        <v>165</v>
      </c>
      <c r="BW144" s="34">
        <v>1</v>
      </c>
      <c r="BX144" s="34">
        <v>0</v>
      </c>
      <c r="BY144" s="34" t="str">
        <v>Розетка</v>
      </c>
      <c r="BZ144">
        <v>8</v>
      </c>
      <c r="CA144" t="str">
        <v>линии</v>
      </c>
    </row>
    <row r="145" spans="1:79" x14ac:dyDescent="0.3">
      <c r="A145" s="39" t="str">
        <v>ЩР-001</v>
      </c>
      <c r="B145" s="42">
        <v>23</v>
      </c>
      <c r="C145" s="42">
        <v>2</v>
      </c>
      <c r="D145" s="75" t="str">
        <v/>
      </c>
      <c r="E145" s="75" t="str">
        <v>авто</v>
      </c>
      <c r="F145" s="76" t="str">
        <v/>
      </c>
      <c r="G145" s="47" t="str">
        <v>QFD14</v>
      </c>
      <c r="H145" s="47" t="str">
        <v>2P С16А 30мА</v>
      </c>
      <c r="I145" s="75" t="str">
        <v/>
      </c>
      <c r="J145" s="76" t="str">
        <v/>
      </c>
      <c r="K145" s="76" t="str">
        <v/>
      </c>
      <c r="L145" s="75" t="str">
        <v/>
      </c>
      <c r="M145" s="49" t="str">
        <v/>
      </c>
      <c r="N145" s="76" t="str">
        <v/>
      </c>
      <c r="O145" s="49" t="str">
        <v/>
      </c>
      <c r="P145" s="77" t="str">
        <v/>
      </c>
      <c r="Q145" s="53" t="str">
        <v>ВВГнг(А)-LS (3х2,5) L=26-0,06%</v>
      </c>
      <c r="R145" s="54" t="str">
        <v>R.00.007Т.1</v>
      </c>
      <c r="S145" s="55" t="str">
        <v>Розеточная группа Подвальный этаж Пом. №007Т</v>
      </c>
      <c r="T145" s="56">
        <v>0.06</v>
      </c>
      <c r="U145" s="56">
        <v>0.28000000000000003</v>
      </c>
      <c r="V145" s="42" t="str">
        <v>L3</v>
      </c>
      <c r="W145" s="57" t="str">
        <v>ok</v>
      </c>
      <c r="X145" s="58" t="str">
        <v/>
      </c>
      <c r="Y145" s="75" t="str">
        <v/>
      </c>
      <c r="Z145" s="59">
        <v>0.28000000000000003</v>
      </c>
      <c r="AA145" s="61">
        <v>6</v>
      </c>
      <c r="AB145" s="61">
        <v>25</v>
      </c>
      <c r="AC145" s="61" t="str">
        <v/>
      </c>
      <c r="AD145" s="62" t="str">
        <v>QFD14</v>
      </c>
      <c r="AE145" s="62" t="str">
        <v/>
      </c>
      <c r="AF145" s="34">
        <v>14</v>
      </c>
      <c r="AG145" s="34" t="str">
        <v>QFD14</v>
      </c>
      <c r="AH145" s="34" t="str">
        <v/>
      </c>
      <c r="AI145" s="34" t="str">
        <v/>
      </c>
      <c r="AJ145" s="34" t="str">
        <v>QFD14</v>
      </c>
      <c r="AK145" s="34">
        <v>1</v>
      </c>
      <c r="AL145" s="34" t="str">
        <v>R</v>
      </c>
      <c r="AM145" s="34">
        <v>30</v>
      </c>
      <c r="AN145" s="34">
        <v>0</v>
      </c>
      <c r="AO145" s="34">
        <v>16</v>
      </c>
      <c r="AP145" s="34">
        <v>25</v>
      </c>
      <c r="AQ145" s="34">
        <v>16</v>
      </c>
      <c r="AR145" s="34">
        <v>1</v>
      </c>
      <c r="AS145" s="34">
        <v>1</v>
      </c>
      <c r="AT145" s="34" t="str">
        <v>2P</v>
      </c>
      <c r="AU145" s="34">
        <v>16</v>
      </c>
      <c r="AV145" s="34" t="str">
        <v/>
      </c>
      <c r="AW145" s="34" t="str">
        <v/>
      </c>
      <c r="AX145" s="34" t="str">
        <v/>
      </c>
      <c r="AY145" s="34">
        <v>1</v>
      </c>
      <c r="AZ145" s="34" t="str">
        <v/>
      </c>
      <c r="BA145" s="34">
        <v>0</v>
      </c>
      <c r="BB145" s="34">
        <v>16</v>
      </c>
      <c r="BD145" s="34">
        <v>1</v>
      </c>
      <c r="BE145" s="34">
        <v>0</v>
      </c>
      <c r="BF145" s="34">
        <v>1</v>
      </c>
      <c r="BG145" s="34" t="str">
        <v/>
      </c>
      <c r="BH145" s="34" t="str">
        <v/>
      </c>
      <c r="BI145" s="34" t="str">
        <v/>
      </c>
      <c r="BJ145" s="34" t="str">
        <v/>
      </c>
      <c r="BK145" s="34" t="str">
        <v>SOCKET</v>
      </c>
      <c r="BL145" s="34">
        <v>1</v>
      </c>
      <c r="BM145" s="34" t="str">
        <v/>
      </c>
      <c r="BN145" s="34" t="str">
        <v/>
      </c>
      <c r="BO145" s="34" t="str">
        <v/>
      </c>
      <c r="BP145" s="34" t="str">
        <v/>
      </c>
      <c r="BQ145" s="34" t="str">
        <v>3х2,5</v>
      </c>
      <c r="BR145" s="34" t="str">
        <v/>
      </c>
      <c r="BS145" s="34" t="str">
        <v/>
      </c>
      <c r="BT145" s="34" t="str">
        <v/>
      </c>
      <c r="BU145" s="34">
        <v>0</v>
      </c>
      <c r="BV145" s="34">
        <v>166</v>
      </c>
      <c r="BW145" s="34">
        <v>1</v>
      </c>
      <c r="BX145" s="34">
        <v>0</v>
      </c>
      <c r="BY145" s="34" t="str">
        <v>Розетка</v>
      </c>
      <c r="BZ145">
        <v>8</v>
      </c>
      <c r="CA145" t="str">
        <v>линии</v>
      </c>
    </row>
    <row r="146" spans="1:79" x14ac:dyDescent="0.3">
      <c r="A146" s="39" t="str">
        <v>ЩР-001</v>
      </c>
      <c r="B146" s="42">
        <v>24</v>
      </c>
      <c r="C146" s="42">
        <v>2</v>
      </c>
      <c r="D146" s="75" t="str">
        <v/>
      </c>
      <c r="E146" s="75" t="str">
        <v>авто</v>
      </c>
      <c r="F146" s="76" t="str">
        <v/>
      </c>
      <c r="G146" s="47" t="str">
        <v>QFD15</v>
      </c>
      <c r="H146" s="47" t="str">
        <v>2P С16А 30мА</v>
      </c>
      <c r="I146" s="75" t="str">
        <v/>
      </c>
      <c r="J146" s="76" t="str">
        <v/>
      </c>
      <c r="K146" s="76" t="str">
        <v/>
      </c>
      <c r="L146" s="75" t="str">
        <v/>
      </c>
      <c r="M146" s="49" t="str">
        <v/>
      </c>
      <c r="N146" s="76" t="str">
        <v/>
      </c>
      <c r="O146" s="49" t="str">
        <v/>
      </c>
      <c r="P146" s="77" t="str">
        <v/>
      </c>
      <c r="Q146" s="53" t="str">
        <v>ВВГнг(А)-LS (3х2,5) L=35-0,15%</v>
      </c>
      <c r="R146" s="54" t="str">
        <v>R.00.008T.1</v>
      </c>
      <c r="S146" s="55" t="str">
        <v>Розеточная группа Подвальный этаж Пом. №008T</v>
      </c>
      <c r="T146" s="56">
        <v>0.12</v>
      </c>
      <c r="U146" s="56">
        <v>0.55000000000000004</v>
      </c>
      <c r="V146" s="42" t="str">
        <v>L1</v>
      </c>
      <c r="W146" s="57" t="str">
        <v>ok</v>
      </c>
      <c r="X146" s="58" t="str">
        <v/>
      </c>
      <c r="Y146" s="75" t="str">
        <v/>
      </c>
      <c r="Z146" s="59">
        <v>0.55000000000000004</v>
      </c>
      <c r="AA146" s="61">
        <v>6</v>
      </c>
      <c r="AB146" s="61">
        <v>25</v>
      </c>
      <c r="AC146" s="61" t="str">
        <v/>
      </c>
      <c r="AD146" s="62" t="str">
        <v>QFD15</v>
      </c>
      <c r="AE146" s="62" t="str">
        <v/>
      </c>
      <c r="AF146" s="34">
        <v>15</v>
      </c>
      <c r="AG146" s="34" t="str">
        <v>QFD15</v>
      </c>
      <c r="AH146" s="34" t="str">
        <v/>
      </c>
      <c r="AI146" s="34" t="str">
        <v/>
      </c>
      <c r="AJ146" s="34" t="str">
        <v>QFD15</v>
      </c>
      <c r="AK146" s="34">
        <v>1</v>
      </c>
      <c r="AL146" s="34" t="str">
        <v>R</v>
      </c>
      <c r="AM146" s="34">
        <v>30</v>
      </c>
      <c r="AN146" s="34">
        <v>0</v>
      </c>
      <c r="AO146" s="34">
        <v>16</v>
      </c>
      <c r="AP146" s="34">
        <v>25</v>
      </c>
      <c r="AQ146" s="34">
        <v>16</v>
      </c>
      <c r="AR146" s="34">
        <v>1</v>
      </c>
      <c r="AS146" s="34">
        <v>1</v>
      </c>
      <c r="AT146" s="34" t="str">
        <v>2P</v>
      </c>
      <c r="AU146" s="34">
        <v>16</v>
      </c>
      <c r="AV146" s="34" t="str">
        <v/>
      </c>
      <c r="AW146" s="34" t="str">
        <v/>
      </c>
      <c r="AX146" s="34" t="str">
        <v/>
      </c>
      <c r="AY146" s="34">
        <v>1</v>
      </c>
      <c r="AZ146" s="34" t="str">
        <v/>
      </c>
      <c r="BA146" s="34">
        <v>0</v>
      </c>
      <c r="BB146" s="34">
        <v>16</v>
      </c>
      <c r="BD146" s="34">
        <v>1</v>
      </c>
      <c r="BE146" s="34">
        <v>0</v>
      </c>
      <c r="BF146" s="34">
        <v>1</v>
      </c>
      <c r="BG146" s="34" t="str">
        <v/>
      </c>
      <c r="BH146" s="34" t="str">
        <v/>
      </c>
      <c r="BI146" s="34" t="str">
        <v/>
      </c>
      <c r="BJ146" s="34" t="str">
        <v/>
      </c>
      <c r="BK146" s="34" t="str">
        <v>SOCKET</v>
      </c>
      <c r="BL146" s="34">
        <v>1</v>
      </c>
      <c r="BM146" s="34" t="str">
        <v/>
      </c>
      <c r="BN146" s="34" t="str">
        <v/>
      </c>
      <c r="BO146" s="34" t="str">
        <v/>
      </c>
      <c r="BP146" s="34" t="str">
        <v/>
      </c>
      <c r="BQ146" s="34" t="str">
        <v>3х2,5</v>
      </c>
      <c r="BR146" s="34" t="str">
        <v/>
      </c>
      <c r="BS146" s="34" t="str">
        <v/>
      </c>
      <c r="BT146" s="34" t="str">
        <v/>
      </c>
      <c r="BU146" s="34">
        <v>0</v>
      </c>
      <c r="BV146" s="34">
        <v>167</v>
      </c>
      <c r="BW146" s="34">
        <v>1</v>
      </c>
      <c r="BX146" s="34">
        <v>0</v>
      </c>
      <c r="BY146" s="34" t="str">
        <v>Розетка</v>
      </c>
      <c r="BZ146">
        <v>8</v>
      </c>
      <c r="CA146" t="str">
        <v>линии</v>
      </c>
    </row>
    <row r="147" spans="1:79" x14ac:dyDescent="0.3">
      <c r="A147" s="39" t="str">
        <v>ЩР-001</v>
      </c>
      <c r="B147" s="42">
        <v>25</v>
      </c>
      <c r="C147" s="42">
        <v>2</v>
      </c>
      <c r="D147" s="75" t="str">
        <v/>
      </c>
      <c r="E147" s="75" t="str">
        <v>авто</v>
      </c>
      <c r="F147" s="76" t="str">
        <v/>
      </c>
      <c r="G147" s="47" t="str">
        <v>QFD16</v>
      </c>
      <c r="H147" s="47" t="str">
        <v>2P С16А 30мА</v>
      </c>
      <c r="I147" s="75" t="str">
        <v/>
      </c>
      <c r="J147" s="76" t="str">
        <v/>
      </c>
      <c r="K147" s="76" t="str">
        <v/>
      </c>
      <c r="L147" s="75" t="str">
        <v/>
      </c>
      <c r="M147" s="49" t="str">
        <v/>
      </c>
      <c r="N147" s="76" t="str">
        <v/>
      </c>
      <c r="O147" s="49" t="str">
        <v/>
      </c>
      <c r="P147" s="77" t="str">
        <v/>
      </c>
      <c r="Q147" s="53" t="str">
        <v>ВВГнг(А)-LS (3х2,5) L=31-0,07%</v>
      </c>
      <c r="R147" s="54" t="str">
        <v>R.00.002Tб.1</v>
      </c>
      <c r="S147" s="55" t="str">
        <v>Розеточная группа Подвальный этаж Пом. №002Tб</v>
      </c>
      <c r="T147" s="56">
        <v>0.06</v>
      </c>
      <c r="U147" s="56">
        <v>0.28000000000000003</v>
      </c>
      <c r="V147" s="42" t="str">
        <v>L1</v>
      </c>
      <c r="W147" s="57" t="str">
        <v>ok</v>
      </c>
      <c r="X147" s="58" t="str">
        <v/>
      </c>
      <c r="Y147" s="75" t="str">
        <v/>
      </c>
      <c r="Z147" s="59">
        <v>0.28000000000000003</v>
      </c>
      <c r="AA147" s="61">
        <v>6</v>
      </c>
      <c r="AB147" s="61">
        <v>25</v>
      </c>
      <c r="AC147" s="61" t="str">
        <v/>
      </c>
      <c r="AD147" s="62" t="str">
        <v>QFD16</v>
      </c>
      <c r="AE147" s="62" t="str">
        <v/>
      </c>
      <c r="AF147" s="34">
        <v>16</v>
      </c>
      <c r="AG147" s="34" t="str">
        <v>QFD16</v>
      </c>
      <c r="AH147" s="34" t="str">
        <v/>
      </c>
      <c r="AI147" s="34" t="str">
        <v/>
      </c>
      <c r="AJ147" s="34" t="str">
        <v>QFD16</v>
      </c>
      <c r="AK147" s="34">
        <v>1</v>
      </c>
      <c r="AL147" s="34" t="str">
        <v>R</v>
      </c>
      <c r="AM147" s="34">
        <v>30</v>
      </c>
      <c r="AN147" s="34">
        <v>0</v>
      </c>
      <c r="AO147" s="34">
        <v>16</v>
      </c>
      <c r="AP147" s="34">
        <v>25</v>
      </c>
      <c r="AQ147" s="34">
        <v>16</v>
      </c>
      <c r="AR147" s="34">
        <v>1</v>
      </c>
      <c r="AS147" s="34">
        <v>1</v>
      </c>
      <c r="AT147" s="34" t="str">
        <v>2P</v>
      </c>
      <c r="AU147" s="34">
        <v>16</v>
      </c>
      <c r="AV147" s="34" t="str">
        <v/>
      </c>
      <c r="AW147" s="34" t="str">
        <v/>
      </c>
      <c r="AX147" s="34" t="str">
        <v/>
      </c>
      <c r="AY147" s="34">
        <v>1</v>
      </c>
      <c r="AZ147" s="34" t="str">
        <v/>
      </c>
      <c r="BA147" s="34">
        <v>0</v>
      </c>
      <c r="BB147" s="34">
        <v>16</v>
      </c>
      <c r="BD147" s="34">
        <v>1</v>
      </c>
      <c r="BE147" s="34">
        <v>0</v>
      </c>
      <c r="BF147" s="34">
        <v>1</v>
      </c>
      <c r="BG147" s="34" t="str">
        <v/>
      </c>
      <c r="BH147" s="34" t="str">
        <v/>
      </c>
      <c r="BI147" s="34" t="str">
        <v/>
      </c>
      <c r="BJ147" s="34" t="str">
        <v/>
      </c>
      <c r="BK147" s="34" t="str">
        <v>SOCKET</v>
      </c>
      <c r="BL147" s="34">
        <v>1</v>
      </c>
      <c r="BM147" s="34" t="str">
        <v/>
      </c>
      <c r="BN147" s="34" t="str">
        <v/>
      </c>
      <c r="BO147" s="34" t="str">
        <v/>
      </c>
      <c r="BP147" s="34" t="str">
        <v/>
      </c>
      <c r="BQ147" s="34" t="str">
        <v>3х2,5</v>
      </c>
      <c r="BR147" s="34" t="str">
        <v/>
      </c>
      <c r="BS147" s="34" t="str">
        <v/>
      </c>
      <c r="BT147" s="34" t="str">
        <v/>
      </c>
      <c r="BU147" s="34">
        <v>0</v>
      </c>
      <c r="BV147" s="34">
        <v>168</v>
      </c>
      <c r="BW147" s="34">
        <v>1</v>
      </c>
      <c r="BX147" s="34">
        <v>0</v>
      </c>
      <c r="BY147" s="34" t="str">
        <v>Розетка</v>
      </c>
      <c r="BZ147">
        <v>8</v>
      </c>
      <c r="CA147" t="str">
        <v>линии</v>
      </c>
    </row>
    <row r="148" spans="1:79" x14ac:dyDescent="0.3">
      <c r="A148" s="39" t="str">
        <v>ЩР-001</v>
      </c>
      <c r="B148" s="42">
        <v>26</v>
      </c>
      <c r="C148" s="42">
        <v>2</v>
      </c>
      <c r="D148" s="75" t="str">
        <v/>
      </c>
      <c r="E148" s="75" t="str">
        <v>авто</v>
      </c>
      <c r="F148" s="76" t="str">
        <v/>
      </c>
      <c r="G148" s="47" t="str">
        <v>QFD17</v>
      </c>
      <c r="H148" s="47" t="str">
        <v>2P С16А 30мА</v>
      </c>
      <c r="I148" s="75" t="str">
        <v/>
      </c>
      <c r="J148" s="76" t="str">
        <v/>
      </c>
      <c r="K148" s="76" t="str">
        <v/>
      </c>
      <c r="L148" s="75" t="str">
        <v/>
      </c>
      <c r="M148" s="49" t="str">
        <v/>
      </c>
      <c r="N148" s="76" t="str">
        <v/>
      </c>
      <c r="O148" s="49" t="str">
        <v/>
      </c>
      <c r="P148" s="77" t="str">
        <v/>
      </c>
      <c r="Q148" s="53" t="str">
        <v>ВВГнг(А)-LS (3х2,5) L=83-1,52%</v>
      </c>
      <c r="R148" s="54" t="str">
        <v>R.00.007Б.1</v>
      </c>
      <c r="S148" s="55" t="str">
        <v>Розеточная группа Подвальный этаж Пом. №007Б</v>
      </c>
      <c r="T148" s="56">
        <v>0.54</v>
      </c>
      <c r="U148" s="56">
        <v>2.4699999999999998</v>
      </c>
      <c r="V148" s="42" t="str">
        <v>L3</v>
      </c>
      <c r="W148" s="57" t="str">
        <v>ok</v>
      </c>
      <c r="X148" s="58" t="str">
        <v/>
      </c>
      <c r="Y148" s="75" t="str">
        <v/>
      </c>
      <c r="Z148" s="59">
        <v>2.4699999999999998</v>
      </c>
      <c r="AA148" s="61">
        <v>6</v>
      </c>
      <c r="AB148" s="61">
        <v>25</v>
      </c>
      <c r="AC148" s="61" t="str">
        <v/>
      </c>
      <c r="AD148" s="62" t="str">
        <v>QFD17</v>
      </c>
      <c r="AE148" s="62" t="str">
        <v/>
      </c>
      <c r="AF148" s="34">
        <v>17</v>
      </c>
      <c r="AG148" s="34" t="str">
        <v>QFD17</v>
      </c>
      <c r="AH148" s="34" t="str">
        <v/>
      </c>
      <c r="AI148" s="34" t="str">
        <v/>
      </c>
      <c r="AJ148" s="34" t="str">
        <v>QFD17</v>
      </c>
      <c r="AK148" s="34">
        <v>1</v>
      </c>
      <c r="AL148" s="34" t="str">
        <v>R</v>
      </c>
      <c r="AM148" s="34">
        <v>30</v>
      </c>
      <c r="AN148" s="34">
        <v>0</v>
      </c>
      <c r="AO148" s="34">
        <v>16</v>
      </c>
      <c r="AP148" s="34">
        <v>25</v>
      </c>
      <c r="AQ148" s="34">
        <v>16</v>
      </c>
      <c r="AR148" s="34">
        <v>1</v>
      </c>
      <c r="AS148" s="34">
        <v>1</v>
      </c>
      <c r="AT148" s="34" t="str">
        <v>2P</v>
      </c>
      <c r="AU148" s="34">
        <v>16</v>
      </c>
      <c r="AV148" s="34" t="str">
        <v/>
      </c>
      <c r="AW148" s="34" t="str">
        <v/>
      </c>
      <c r="AX148" s="34" t="str">
        <v/>
      </c>
      <c r="AY148" s="34">
        <v>1</v>
      </c>
      <c r="AZ148" s="34" t="str">
        <v/>
      </c>
      <c r="BA148" s="34">
        <v>0</v>
      </c>
      <c r="BB148" s="34">
        <v>16</v>
      </c>
      <c r="BD148" s="34">
        <v>1</v>
      </c>
      <c r="BE148" s="34">
        <v>0</v>
      </c>
      <c r="BF148" s="34">
        <v>1</v>
      </c>
      <c r="BG148" s="34" t="str">
        <v/>
      </c>
      <c r="BH148" s="34" t="str">
        <v/>
      </c>
      <c r="BI148" s="34" t="str">
        <v/>
      </c>
      <c r="BJ148" s="34" t="str">
        <v/>
      </c>
      <c r="BK148" s="34" t="str">
        <v>SOCKET</v>
      </c>
      <c r="BL148" s="34">
        <v>1</v>
      </c>
      <c r="BM148" s="34" t="str">
        <v/>
      </c>
      <c r="BN148" s="34" t="str">
        <v/>
      </c>
      <c r="BO148" s="34" t="str">
        <v/>
      </c>
      <c r="BP148" s="34" t="str">
        <v/>
      </c>
      <c r="BQ148" s="34" t="str">
        <v>3х2,5</v>
      </c>
      <c r="BR148" s="34" t="str">
        <v/>
      </c>
      <c r="BS148" s="34" t="str">
        <v/>
      </c>
      <c r="BT148" s="34" t="str">
        <v/>
      </c>
      <c r="BU148" s="34">
        <v>0</v>
      </c>
      <c r="BV148" s="34">
        <v>169</v>
      </c>
      <c r="BW148" s="34">
        <v>1</v>
      </c>
      <c r="BX148" s="34">
        <v>0</v>
      </c>
      <c r="BY148" s="34" t="str">
        <v>Розетка</v>
      </c>
      <c r="BZ148">
        <v>8</v>
      </c>
      <c r="CA148" t="str">
        <v>линии</v>
      </c>
    </row>
    <row r="149" spans="1:79" x14ac:dyDescent="0.3">
      <c r="A149" s="39" t="str">
        <v>ЩР-001</v>
      </c>
      <c r="B149" s="42">
        <v>27</v>
      </c>
      <c r="C149" s="42">
        <v>2</v>
      </c>
      <c r="D149" s="75" t="str">
        <v/>
      </c>
      <c r="E149" s="75" t="str">
        <v>авто</v>
      </c>
      <c r="F149" s="76" t="str">
        <v/>
      </c>
      <c r="G149" s="47" t="str">
        <v>QFD18</v>
      </c>
      <c r="H149" s="47" t="str">
        <v>2P С16А 30мА</v>
      </c>
      <c r="I149" s="75" t="str">
        <v/>
      </c>
      <c r="J149" s="76" t="str">
        <v/>
      </c>
      <c r="K149" s="76" t="str">
        <v/>
      </c>
      <c r="L149" s="75" t="str">
        <v/>
      </c>
      <c r="M149" s="49" t="str">
        <v/>
      </c>
      <c r="N149" s="76" t="str">
        <v/>
      </c>
      <c r="O149" s="49" t="str">
        <v/>
      </c>
      <c r="P149" s="77" t="str">
        <v/>
      </c>
      <c r="Q149" s="53" t="str">
        <v>ВВГнг(А)-LS (3х2,5) L=76-1,4%</v>
      </c>
      <c r="R149" s="54" t="str">
        <v>R.00.004Б.1</v>
      </c>
      <c r="S149" s="55" t="str">
        <v>Розеточная группа Подвальный этаж Пом. №004Б</v>
      </c>
      <c r="T149" s="56">
        <v>0.54</v>
      </c>
      <c r="U149" s="56">
        <v>2.4699999999999998</v>
      </c>
      <c r="V149" s="42" t="str">
        <v>L2</v>
      </c>
      <c r="W149" s="57" t="str">
        <v>ok</v>
      </c>
      <c r="X149" s="58" t="str">
        <v/>
      </c>
      <c r="Y149" s="75" t="str">
        <v/>
      </c>
      <c r="Z149" s="59">
        <v>2.4699999999999998</v>
      </c>
      <c r="AA149" s="61">
        <v>6</v>
      </c>
      <c r="AB149" s="61">
        <v>25</v>
      </c>
      <c r="AC149" s="61" t="str">
        <v/>
      </c>
      <c r="AD149" s="62" t="str">
        <v>QFD18</v>
      </c>
      <c r="AE149" s="62" t="str">
        <v/>
      </c>
      <c r="AF149" s="34">
        <v>18</v>
      </c>
      <c r="AG149" s="34" t="str">
        <v>QFD18</v>
      </c>
      <c r="AH149" s="34" t="str">
        <v/>
      </c>
      <c r="AI149" s="34" t="str">
        <v/>
      </c>
      <c r="AJ149" s="34" t="str">
        <v>QFD18</v>
      </c>
      <c r="AK149" s="34">
        <v>1</v>
      </c>
      <c r="AL149" s="34" t="str">
        <v>R</v>
      </c>
      <c r="AM149" s="34">
        <v>30</v>
      </c>
      <c r="AN149" s="34">
        <v>0</v>
      </c>
      <c r="AO149" s="34">
        <v>16</v>
      </c>
      <c r="AP149" s="34">
        <v>25</v>
      </c>
      <c r="AQ149" s="34">
        <v>16</v>
      </c>
      <c r="AR149" s="34">
        <v>1</v>
      </c>
      <c r="AS149" s="34">
        <v>1</v>
      </c>
      <c r="AT149" s="34" t="str">
        <v>2P</v>
      </c>
      <c r="AU149" s="34">
        <v>16</v>
      </c>
      <c r="AV149" s="34" t="str">
        <v/>
      </c>
      <c r="AW149" s="34" t="str">
        <v/>
      </c>
      <c r="AX149" s="34" t="str">
        <v/>
      </c>
      <c r="AY149" s="34">
        <v>1</v>
      </c>
      <c r="AZ149" s="34" t="str">
        <v/>
      </c>
      <c r="BA149" s="34">
        <v>0</v>
      </c>
      <c r="BB149" s="34">
        <v>16</v>
      </c>
      <c r="BD149" s="34">
        <v>1</v>
      </c>
      <c r="BE149" s="34">
        <v>0</v>
      </c>
      <c r="BF149" s="34">
        <v>1</v>
      </c>
      <c r="BG149" s="34" t="str">
        <v/>
      </c>
      <c r="BH149" s="34" t="str">
        <v/>
      </c>
      <c r="BI149" s="34" t="str">
        <v/>
      </c>
      <c r="BJ149" s="34" t="str">
        <v/>
      </c>
      <c r="BK149" s="34" t="str">
        <v>SOCKET</v>
      </c>
      <c r="BL149" s="34">
        <v>1</v>
      </c>
      <c r="BM149" s="34" t="str">
        <v/>
      </c>
      <c r="BN149" s="34" t="str">
        <v/>
      </c>
      <c r="BO149" s="34" t="str">
        <v/>
      </c>
      <c r="BP149" s="34" t="str">
        <v/>
      </c>
      <c r="BQ149" s="34" t="str">
        <v>3х2,5</v>
      </c>
      <c r="BR149" s="34" t="str">
        <v/>
      </c>
      <c r="BS149" s="34" t="str">
        <v/>
      </c>
      <c r="BT149" s="34" t="str">
        <v/>
      </c>
      <c r="BU149" s="34">
        <v>0</v>
      </c>
      <c r="BV149" s="34">
        <v>170</v>
      </c>
      <c r="BW149" s="34">
        <v>1</v>
      </c>
      <c r="BX149" s="34">
        <v>0</v>
      </c>
      <c r="BY149" s="34" t="str">
        <v>Розетка</v>
      </c>
      <c r="BZ149">
        <v>8</v>
      </c>
      <c r="CA149" t="str">
        <v>линии</v>
      </c>
    </row>
    <row r="150" spans="1:79" x14ac:dyDescent="0.3">
      <c r="A150" s="39" t="str">
        <v>ЩР-001</v>
      </c>
      <c r="B150" s="42">
        <v>28</v>
      </c>
      <c r="C150" s="42">
        <v>2</v>
      </c>
      <c r="D150" s="75" t="str">
        <v/>
      </c>
      <c r="E150" s="75" t="str">
        <v>авто</v>
      </c>
      <c r="F150" s="76" t="str">
        <v/>
      </c>
      <c r="G150" s="47" t="str">
        <v>QFD19</v>
      </c>
      <c r="H150" s="47" t="str">
        <v>2P С16А 30мА</v>
      </c>
      <c r="I150" s="75" t="str">
        <v/>
      </c>
      <c r="J150" s="76" t="str">
        <v/>
      </c>
      <c r="K150" s="76" t="str">
        <v/>
      </c>
      <c r="L150" s="75" t="str">
        <v/>
      </c>
      <c r="M150" s="49" t="str">
        <v/>
      </c>
      <c r="N150" s="76" t="str">
        <v/>
      </c>
      <c r="O150" s="49" t="str">
        <v/>
      </c>
      <c r="P150" s="77" t="str">
        <v/>
      </c>
      <c r="Q150" s="53" t="str">
        <v>ВВГнг(А)-LS (3х2,5) L=71-1,16%</v>
      </c>
      <c r="R150" s="54" t="str">
        <v>R.00.005Б.1</v>
      </c>
      <c r="S150" s="55" t="str">
        <v>Розеточная группа Подвальный этаж Пом. №005Б</v>
      </c>
      <c r="T150" s="56">
        <v>0.48</v>
      </c>
      <c r="U150" s="56">
        <v>2.19</v>
      </c>
      <c r="V150" s="42" t="str">
        <v>L3</v>
      </c>
      <c r="W150" s="57" t="str">
        <v>ok</v>
      </c>
      <c r="X150" s="58" t="str">
        <v/>
      </c>
      <c r="Y150" s="75" t="str">
        <v/>
      </c>
      <c r="Z150" s="59">
        <v>2.19</v>
      </c>
      <c r="AA150" s="61">
        <v>6</v>
      </c>
      <c r="AB150" s="61">
        <v>25</v>
      </c>
      <c r="AC150" s="61" t="str">
        <v/>
      </c>
      <c r="AD150" s="62" t="str">
        <v>QFD19</v>
      </c>
      <c r="AE150" s="62" t="str">
        <v/>
      </c>
      <c r="AF150" s="34">
        <v>19</v>
      </c>
      <c r="AG150" s="34" t="str">
        <v>QFD19</v>
      </c>
      <c r="AH150" s="34" t="str">
        <v/>
      </c>
      <c r="AI150" s="34" t="str">
        <v/>
      </c>
      <c r="AJ150" s="34" t="str">
        <v>QFD19</v>
      </c>
      <c r="AK150" s="34">
        <v>1</v>
      </c>
      <c r="AL150" s="34" t="str">
        <v>R</v>
      </c>
      <c r="AM150" s="34">
        <v>30</v>
      </c>
      <c r="AN150" s="34">
        <v>0</v>
      </c>
      <c r="AO150" s="34">
        <v>16</v>
      </c>
      <c r="AP150" s="34">
        <v>25</v>
      </c>
      <c r="AQ150" s="34">
        <v>16</v>
      </c>
      <c r="AR150" s="34">
        <v>1</v>
      </c>
      <c r="AS150" s="34">
        <v>1</v>
      </c>
      <c r="AT150" s="34" t="str">
        <v>2P</v>
      </c>
      <c r="AU150" s="34">
        <v>16</v>
      </c>
      <c r="AV150" s="34" t="str">
        <v/>
      </c>
      <c r="AW150" s="34" t="str">
        <v/>
      </c>
      <c r="AX150" s="34" t="str">
        <v/>
      </c>
      <c r="AY150" s="34">
        <v>1</v>
      </c>
      <c r="AZ150" s="34" t="str">
        <v/>
      </c>
      <c r="BA150" s="34">
        <v>0</v>
      </c>
      <c r="BB150" s="34">
        <v>16</v>
      </c>
      <c r="BD150" s="34">
        <v>1</v>
      </c>
      <c r="BE150" s="34">
        <v>0</v>
      </c>
      <c r="BF150" s="34">
        <v>1</v>
      </c>
      <c r="BG150" s="34" t="str">
        <v/>
      </c>
      <c r="BH150" s="34" t="str">
        <v/>
      </c>
      <c r="BI150" s="34" t="str">
        <v/>
      </c>
      <c r="BJ150" s="34" t="str">
        <v/>
      </c>
      <c r="BK150" s="34" t="str">
        <v>SOCKET</v>
      </c>
      <c r="BL150" s="34">
        <v>1</v>
      </c>
      <c r="BM150" s="34" t="str">
        <v/>
      </c>
      <c r="BN150" s="34" t="str">
        <v/>
      </c>
      <c r="BO150" s="34" t="str">
        <v/>
      </c>
      <c r="BP150" s="34" t="str">
        <v/>
      </c>
      <c r="BQ150" s="34" t="str">
        <v>3х2,5</v>
      </c>
      <c r="BR150" s="34" t="str">
        <v/>
      </c>
      <c r="BS150" s="34" t="str">
        <v/>
      </c>
      <c r="BT150" s="34" t="str">
        <v/>
      </c>
      <c r="BU150" s="34">
        <v>0</v>
      </c>
      <c r="BV150" s="34">
        <v>171</v>
      </c>
      <c r="BW150" s="34">
        <v>1</v>
      </c>
      <c r="BX150" s="34">
        <v>0</v>
      </c>
      <c r="BY150" s="34" t="str">
        <v>Розетка</v>
      </c>
      <c r="BZ150">
        <v>8</v>
      </c>
      <c r="CA150" t="str">
        <v>линии</v>
      </c>
    </row>
    <row r="151" spans="1:79" x14ac:dyDescent="0.3">
      <c r="A151" s="39" t="str">
        <v>ЩР-001</v>
      </c>
      <c r="B151" s="42">
        <v>29</v>
      </c>
      <c r="C151" s="42">
        <v>2</v>
      </c>
      <c r="D151" s="75" t="str">
        <v/>
      </c>
      <c r="E151" s="75" t="str">
        <v>авто</v>
      </c>
      <c r="F151" s="76" t="str">
        <v/>
      </c>
      <c r="G151" s="47" t="str">
        <v>QFD20</v>
      </c>
      <c r="H151" s="47" t="str">
        <v>2P С16А 30мА</v>
      </c>
      <c r="I151" s="75" t="str">
        <v/>
      </c>
      <c r="J151" s="76" t="str">
        <v/>
      </c>
      <c r="K151" s="76" t="str">
        <v/>
      </c>
      <c r="L151" s="75" t="str">
        <v/>
      </c>
      <c r="M151" s="49" t="str">
        <v/>
      </c>
      <c r="N151" s="76" t="str">
        <v/>
      </c>
      <c r="O151" s="49" t="str">
        <v/>
      </c>
      <c r="P151" s="77" t="str">
        <v/>
      </c>
      <c r="Q151" s="53" t="str">
        <v>ВВГнг(А)-LS (3х2,5) L=29-0,12%</v>
      </c>
      <c r="R151" s="54" t="str">
        <v>R.00.009Б.1</v>
      </c>
      <c r="S151" s="55" t="str">
        <v>Розеточная группа Подвальный этаж Пом. №009Б</v>
      </c>
      <c r="T151" s="56">
        <v>0.12</v>
      </c>
      <c r="U151" s="56">
        <v>0.55000000000000004</v>
      </c>
      <c r="V151" s="42" t="str">
        <v>L2</v>
      </c>
      <c r="W151" s="57" t="str">
        <v>ok</v>
      </c>
      <c r="X151" s="58" t="str">
        <v/>
      </c>
      <c r="Y151" s="75" t="str">
        <v/>
      </c>
      <c r="Z151" s="59">
        <v>0.55000000000000004</v>
      </c>
      <c r="AA151" s="61">
        <v>6</v>
      </c>
      <c r="AB151" s="61">
        <v>25</v>
      </c>
      <c r="AC151" s="61" t="str">
        <v/>
      </c>
      <c r="AD151" s="62" t="str">
        <v>QFD20</v>
      </c>
      <c r="AE151" s="62" t="str">
        <v/>
      </c>
      <c r="AF151" s="34">
        <v>20</v>
      </c>
      <c r="AG151" s="34" t="str">
        <v>QFD20</v>
      </c>
      <c r="AH151" s="34" t="str">
        <v/>
      </c>
      <c r="AI151" s="34" t="str">
        <v/>
      </c>
      <c r="AJ151" s="34" t="str">
        <v>QFD20</v>
      </c>
      <c r="AK151" s="34">
        <v>1</v>
      </c>
      <c r="AL151" s="34" t="str">
        <v>R</v>
      </c>
      <c r="AM151" s="34">
        <v>30</v>
      </c>
      <c r="AN151" s="34">
        <v>0</v>
      </c>
      <c r="AO151" s="34">
        <v>16</v>
      </c>
      <c r="AP151" s="34">
        <v>25</v>
      </c>
      <c r="AQ151" s="34">
        <v>16</v>
      </c>
      <c r="AR151" s="34">
        <v>1</v>
      </c>
      <c r="AS151" s="34">
        <v>1</v>
      </c>
      <c r="AT151" s="34" t="str">
        <v>2P</v>
      </c>
      <c r="AU151" s="34">
        <v>16</v>
      </c>
      <c r="AV151" s="34" t="str">
        <v/>
      </c>
      <c r="AW151" s="34" t="str">
        <v/>
      </c>
      <c r="AX151" s="34" t="str">
        <v/>
      </c>
      <c r="AY151" s="34">
        <v>1</v>
      </c>
      <c r="AZ151" s="34" t="str">
        <v/>
      </c>
      <c r="BA151" s="34">
        <v>0</v>
      </c>
      <c r="BB151" s="34">
        <v>16</v>
      </c>
      <c r="BD151" s="34">
        <v>1</v>
      </c>
      <c r="BE151" s="34">
        <v>0</v>
      </c>
      <c r="BF151" s="34">
        <v>1</v>
      </c>
      <c r="BG151" s="34" t="str">
        <v/>
      </c>
      <c r="BH151" s="34" t="str">
        <v/>
      </c>
      <c r="BI151" s="34" t="str">
        <v/>
      </c>
      <c r="BJ151" s="34" t="str">
        <v/>
      </c>
      <c r="BK151" s="34" t="str">
        <v>SOCKET</v>
      </c>
      <c r="BL151" s="34">
        <v>1</v>
      </c>
      <c r="BM151" s="34" t="str">
        <v/>
      </c>
      <c r="BN151" s="34" t="str">
        <v/>
      </c>
      <c r="BO151" s="34" t="str">
        <v/>
      </c>
      <c r="BP151" s="34" t="str">
        <v/>
      </c>
      <c r="BQ151" s="34" t="str">
        <v>3х2,5</v>
      </c>
      <c r="BR151" s="34" t="str">
        <v/>
      </c>
      <c r="BS151" s="34" t="str">
        <v/>
      </c>
      <c r="BT151" s="34" t="str">
        <v/>
      </c>
      <c r="BU151" s="34">
        <v>0</v>
      </c>
      <c r="BV151" s="34">
        <v>172</v>
      </c>
      <c r="BW151" s="34">
        <v>1</v>
      </c>
      <c r="BX151" s="34">
        <v>0</v>
      </c>
      <c r="BY151" s="34" t="str">
        <v>Розетка</v>
      </c>
      <c r="BZ151">
        <v>8</v>
      </c>
      <c r="CA151" t="str">
        <v>линии</v>
      </c>
    </row>
    <row r="152" spans="1:79" x14ac:dyDescent="0.3">
      <c r="A152" s="39" t="str">
        <v>ЩР-001</v>
      </c>
      <c r="B152" s="42">
        <v>30</v>
      </c>
      <c r="C152" s="42">
        <v>2</v>
      </c>
      <c r="D152" s="75" t="str">
        <v/>
      </c>
      <c r="E152" s="75" t="str">
        <v>авто</v>
      </c>
      <c r="F152" s="76" t="str">
        <v/>
      </c>
      <c r="G152" s="47" t="str">
        <v>QFD21</v>
      </c>
      <c r="H152" s="47" t="str">
        <v>2P С16А 30мА</v>
      </c>
      <c r="I152" s="75" t="str">
        <v/>
      </c>
      <c r="J152" s="76" t="str">
        <v/>
      </c>
      <c r="K152" s="76" t="str">
        <v/>
      </c>
      <c r="L152" s="75" t="str">
        <v/>
      </c>
      <c r="M152" s="49" t="str">
        <v/>
      </c>
      <c r="N152" s="76" t="str">
        <v/>
      </c>
      <c r="O152" s="49" t="str">
        <v/>
      </c>
      <c r="P152" s="77" t="str">
        <v/>
      </c>
      <c r="Q152" s="53" t="str">
        <v>ВВГнг(А)-LS (3х2,5) L=30-0,13%</v>
      </c>
      <c r="R152" s="54" t="str">
        <v>R.00.006Б.1</v>
      </c>
      <c r="S152" s="55" t="str">
        <v>Розеточная группа Подвальный этаж Пом. №006Б</v>
      </c>
      <c r="T152" s="56">
        <v>0.12</v>
      </c>
      <c r="U152" s="56">
        <v>0.55000000000000004</v>
      </c>
      <c r="V152" s="42" t="str">
        <v>L3</v>
      </c>
      <c r="W152" s="57" t="str">
        <v>ok</v>
      </c>
      <c r="X152" s="58" t="str">
        <v/>
      </c>
      <c r="Y152" s="75" t="str">
        <v/>
      </c>
      <c r="Z152" s="59">
        <v>0.55000000000000004</v>
      </c>
      <c r="AA152" s="61">
        <v>6</v>
      </c>
      <c r="AB152" s="61">
        <v>25</v>
      </c>
      <c r="AC152" s="61" t="str">
        <v/>
      </c>
      <c r="AD152" s="62" t="str">
        <v>QFD21</v>
      </c>
      <c r="AE152" s="62" t="str">
        <v/>
      </c>
      <c r="AF152" s="34">
        <v>21</v>
      </c>
      <c r="AG152" s="34" t="str">
        <v>QFD21</v>
      </c>
      <c r="AH152" s="34" t="str">
        <v/>
      </c>
      <c r="AI152" s="34" t="str">
        <v/>
      </c>
      <c r="AJ152" s="34" t="str">
        <v>QFD21</v>
      </c>
      <c r="AK152" s="34">
        <v>1</v>
      </c>
      <c r="AL152" s="34" t="str">
        <v>R</v>
      </c>
      <c r="AM152" s="34">
        <v>30</v>
      </c>
      <c r="AN152" s="34">
        <v>0</v>
      </c>
      <c r="AO152" s="34">
        <v>16</v>
      </c>
      <c r="AP152" s="34">
        <v>25</v>
      </c>
      <c r="AQ152" s="34">
        <v>16</v>
      </c>
      <c r="AR152" s="34">
        <v>1</v>
      </c>
      <c r="AS152" s="34">
        <v>1</v>
      </c>
      <c r="AT152" s="34" t="str">
        <v>2P</v>
      </c>
      <c r="AU152" s="34">
        <v>16</v>
      </c>
      <c r="AV152" s="34" t="str">
        <v/>
      </c>
      <c r="AW152" s="34" t="str">
        <v/>
      </c>
      <c r="AX152" s="34" t="str">
        <v/>
      </c>
      <c r="AY152" s="34">
        <v>1</v>
      </c>
      <c r="AZ152" s="34" t="str">
        <v/>
      </c>
      <c r="BA152" s="34">
        <v>0</v>
      </c>
      <c r="BB152" s="34">
        <v>16</v>
      </c>
      <c r="BD152" s="34">
        <v>1</v>
      </c>
      <c r="BE152" s="34">
        <v>0</v>
      </c>
      <c r="BF152" s="34">
        <v>1</v>
      </c>
      <c r="BG152" s="34" t="str">
        <v/>
      </c>
      <c r="BH152" s="34" t="str">
        <v/>
      </c>
      <c r="BI152" s="34" t="str">
        <v/>
      </c>
      <c r="BJ152" s="34" t="str">
        <v/>
      </c>
      <c r="BK152" s="34" t="str">
        <v>SOCKET</v>
      </c>
      <c r="BL152" s="34">
        <v>1</v>
      </c>
      <c r="BM152" s="34" t="str">
        <v/>
      </c>
      <c r="BN152" s="34" t="str">
        <v/>
      </c>
      <c r="BO152" s="34" t="str">
        <v/>
      </c>
      <c r="BP152" s="34" t="str">
        <v/>
      </c>
      <c r="BQ152" s="34" t="str">
        <v>3х2,5</v>
      </c>
      <c r="BR152" s="34" t="str">
        <v/>
      </c>
      <c r="BS152" s="34" t="str">
        <v/>
      </c>
      <c r="BT152" s="34" t="str">
        <v/>
      </c>
      <c r="BU152" s="34">
        <v>0</v>
      </c>
      <c r="BV152" s="34">
        <v>173</v>
      </c>
      <c r="BW152" s="34">
        <v>1</v>
      </c>
      <c r="BX152" s="34">
        <v>0</v>
      </c>
      <c r="BY152" s="34" t="str">
        <v>Розетка</v>
      </c>
      <c r="BZ152">
        <v>8</v>
      </c>
      <c r="CA152" t="str">
        <v>линии</v>
      </c>
    </row>
    <row r="153" spans="1:79" x14ac:dyDescent="0.3">
      <c r="A153" s="39" t="str">
        <v>ЩР-001</v>
      </c>
      <c r="B153" s="42">
        <v>31</v>
      </c>
      <c r="C153" s="42">
        <v>2</v>
      </c>
      <c r="D153" s="75" t="str">
        <v/>
      </c>
      <c r="E153" s="75" t="str">
        <v>авто</v>
      </c>
      <c r="F153" s="76" t="str">
        <v/>
      </c>
      <c r="G153" s="47" t="str">
        <v>QFD22</v>
      </c>
      <c r="H153" s="47" t="str">
        <v>2P С16А 30мА</v>
      </c>
      <c r="I153" s="75" t="str">
        <v/>
      </c>
      <c r="J153" s="76" t="str">
        <v/>
      </c>
      <c r="K153" s="76" t="str">
        <v/>
      </c>
      <c r="L153" s="75" t="str">
        <v/>
      </c>
      <c r="M153" s="49" t="str">
        <v/>
      </c>
      <c r="N153" s="76" t="str">
        <v/>
      </c>
      <c r="O153" s="49" t="str">
        <v/>
      </c>
      <c r="P153" s="77" t="str">
        <v/>
      </c>
      <c r="Q153" s="53" t="str">
        <v>ВВГнг(А)-LS (3х2,5) L=80-0,82%</v>
      </c>
      <c r="R153" s="54" t="str">
        <v>R.00.007А.1</v>
      </c>
      <c r="S153" s="55" t="str">
        <v>Розеточная группа Подвальный этаж Пом. №007А</v>
      </c>
      <c r="T153" s="56">
        <v>0.3</v>
      </c>
      <c r="U153" s="56">
        <v>1.37</v>
      </c>
      <c r="V153" s="42" t="str">
        <v>L3</v>
      </c>
      <c r="W153" s="57" t="str">
        <v>ok</v>
      </c>
      <c r="X153" s="58" t="str">
        <v/>
      </c>
      <c r="Y153" s="75" t="str">
        <v/>
      </c>
      <c r="Z153" s="59">
        <v>1.37</v>
      </c>
      <c r="AA153" s="61">
        <v>6</v>
      </c>
      <c r="AB153" s="61">
        <v>25</v>
      </c>
      <c r="AC153" s="61" t="str">
        <v/>
      </c>
      <c r="AD153" s="62" t="str">
        <v>QFD22</v>
      </c>
      <c r="AE153" s="62" t="str">
        <v/>
      </c>
      <c r="AF153" s="34">
        <v>22</v>
      </c>
      <c r="AG153" s="34" t="str">
        <v>QFD22</v>
      </c>
      <c r="AH153" s="34" t="str">
        <v/>
      </c>
      <c r="AI153" s="34" t="str">
        <v/>
      </c>
      <c r="AJ153" s="34" t="str">
        <v>QFD22</v>
      </c>
      <c r="AK153" s="34">
        <v>1</v>
      </c>
      <c r="AL153" s="34" t="str">
        <v>R</v>
      </c>
      <c r="AM153" s="34">
        <v>30</v>
      </c>
      <c r="AN153" s="34">
        <v>0</v>
      </c>
      <c r="AO153" s="34">
        <v>16</v>
      </c>
      <c r="AP153" s="34">
        <v>25</v>
      </c>
      <c r="AQ153" s="34">
        <v>16</v>
      </c>
      <c r="AR153" s="34">
        <v>1</v>
      </c>
      <c r="AS153" s="34">
        <v>1</v>
      </c>
      <c r="AT153" s="34" t="str">
        <v>2P</v>
      </c>
      <c r="AU153" s="34">
        <v>16</v>
      </c>
      <c r="AV153" s="34" t="str">
        <v/>
      </c>
      <c r="AW153" s="34" t="str">
        <v/>
      </c>
      <c r="AX153" s="34" t="str">
        <v/>
      </c>
      <c r="AY153" s="34">
        <v>1</v>
      </c>
      <c r="AZ153" s="34" t="str">
        <v/>
      </c>
      <c r="BA153" s="34">
        <v>0</v>
      </c>
      <c r="BB153" s="34">
        <v>16</v>
      </c>
      <c r="BD153" s="34">
        <v>1</v>
      </c>
      <c r="BE153" s="34">
        <v>0</v>
      </c>
      <c r="BF153" s="34">
        <v>1</v>
      </c>
      <c r="BG153" s="34" t="str">
        <v/>
      </c>
      <c r="BH153" s="34" t="str">
        <v/>
      </c>
      <c r="BI153" s="34" t="str">
        <v/>
      </c>
      <c r="BJ153" s="34" t="str">
        <v/>
      </c>
      <c r="BK153" s="34" t="str">
        <v>SOCKET</v>
      </c>
      <c r="BL153" s="34">
        <v>1</v>
      </c>
      <c r="BM153" s="34" t="str">
        <v/>
      </c>
      <c r="BN153" s="34" t="str">
        <v/>
      </c>
      <c r="BO153" s="34" t="str">
        <v/>
      </c>
      <c r="BP153" s="34" t="str">
        <v/>
      </c>
      <c r="BQ153" s="34" t="str">
        <v>3х2,5</v>
      </c>
      <c r="BR153" s="34" t="str">
        <v/>
      </c>
      <c r="BS153" s="34" t="str">
        <v/>
      </c>
      <c r="BT153" s="34" t="str">
        <v/>
      </c>
      <c r="BU153" s="34">
        <v>0</v>
      </c>
      <c r="BV153" s="34">
        <v>174</v>
      </c>
      <c r="BW153" s="34">
        <v>1</v>
      </c>
      <c r="BX153" s="34">
        <v>0</v>
      </c>
      <c r="BY153" s="34" t="str">
        <v>Розетка</v>
      </c>
      <c r="BZ153">
        <v>8</v>
      </c>
      <c r="CA153" t="str">
        <v>линии</v>
      </c>
    </row>
    <row r="154" spans="1:79" x14ac:dyDescent="0.3">
      <c r="A154" s="39" t="str">
        <v>ЩР-001</v>
      </c>
      <c r="B154" s="42">
        <v>32</v>
      </c>
      <c r="C154" s="42">
        <v>2</v>
      </c>
      <c r="D154" s="75" t="str">
        <v/>
      </c>
      <c r="E154" s="75" t="str">
        <v>авто</v>
      </c>
      <c r="F154" s="76" t="str">
        <v/>
      </c>
      <c r="G154" s="47" t="str">
        <v>QFD23</v>
      </c>
      <c r="H154" s="47" t="str">
        <v>2P С16А 30мА</v>
      </c>
      <c r="I154" s="75" t="str">
        <v/>
      </c>
      <c r="J154" s="76" t="str">
        <v/>
      </c>
      <c r="K154" s="76" t="str">
        <v/>
      </c>
      <c r="L154" s="75" t="str">
        <v/>
      </c>
      <c r="M154" s="49" t="str">
        <v/>
      </c>
      <c r="N154" s="76" t="str">
        <v/>
      </c>
      <c r="O154" s="49" t="str">
        <v/>
      </c>
      <c r="P154" s="77" t="str">
        <v/>
      </c>
      <c r="Q154" s="53" t="str">
        <v>ВВГнг(А)-LS (3х2,5) L=47-0,2%</v>
      </c>
      <c r="R154" s="54" t="str">
        <v>R.00.008А.1</v>
      </c>
      <c r="S154" s="55" t="str">
        <v>Розеточная группа Подвальный этаж Пом. №008А</v>
      </c>
      <c r="T154" s="56">
        <v>0.12</v>
      </c>
      <c r="U154" s="56">
        <v>0.55000000000000004</v>
      </c>
      <c r="V154" s="42" t="str">
        <v>L1</v>
      </c>
      <c r="W154" s="57" t="str">
        <v>ok</v>
      </c>
      <c r="X154" s="58" t="str">
        <v/>
      </c>
      <c r="Y154" s="75" t="str">
        <v/>
      </c>
      <c r="Z154" s="59">
        <v>0.55000000000000004</v>
      </c>
      <c r="AA154" s="61">
        <v>6</v>
      </c>
      <c r="AB154" s="61">
        <v>25</v>
      </c>
      <c r="AC154" s="61" t="str">
        <v/>
      </c>
      <c r="AD154" s="62" t="str">
        <v>QFD23</v>
      </c>
      <c r="AE154" s="62" t="str">
        <v/>
      </c>
      <c r="AF154" s="34">
        <v>23</v>
      </c>
      <c r="AG154" s="34" t="str">
        <v>QFD23</v>
      </c>
      <c r="AH154" s="34" t="str">
        <v/>
      </c>
      <c r="AI154" s="34" t="str">
        <v/>
      </c>
      <c r="AJ154" s="34" t="str">
        <v>QFD23</v>
      </c>
      <c r="AK154" s="34">
        <v>1</v>
      </c>
      <c r="AL154" s="34" t="str">
        <v>R</v>
      </c>
      <c r="AM154" s="34">
        <v>30</v>
      </c>
      <c r="AN154" s="34">
        <v>0</v>
      </c>
      <c r="AO154" s="34">
        <v>16</v>
      </c>
      <c r="AP154" s="34">
        <v>25</v>
      </c>
      <c r="AQ154" s="34">
        <v>16</v>
      </c>
      <c r="AR154" s="34">
        <v>1</v>
      </c>
      <c r="AS154" s="34">
        <v>1</v>
      </c>
      <c r="AT154" s="34" t="str">
        <v>2P</v>
      </c>
      <c r="AU154" s="34">
        <v>16</v>
      </c>
      <c r="AV154" s="34" t="str">
        <v/>
      </c>
      <c r="AW154" s="34" t="str">
        <v/>
      </c>
      <c r="AX154" s="34" t="str">
        <v/>
      </c>
      <c r="AY154" s="34">
        <v>1</v>
      </c>
      <c r="AZ154" s="34" t="str">
        <v/>
      </c>
      <c r="BA154" s="34">
        <v>0</v>
      </c>
      <c r="BB154" s="34">
        <v>16</v>
      </c>
      <c r="BD154" s="34">
        <v>1</v>
      </c>
      <c r="BE154" s="34">
        <v>0</v>
      </c>
      <c r="BF154" s="34">
        <v>1</v>
      </c>
      <c r="BG154" s="34" t="str">
        <v/>
      </c>
      <c r="BH154" s="34" t="str">
        <v/>
      </c>
      <c r="BI154" s="34" t="str">
        <v/>
      </c>
      <c r="BJ154" s="34" t="str">
        <v/>
      </c>
      <c r="BK154" s="34" t="str">
        <v>SOCKET</v>
      </c>
      <c r="BL154" s="34">
        <v>1</v>
      </c>
      <c r="BM154" s="34" t="str">
        <v/>
      </c>
      <c r="BN154" s="34" t="str">
        <v/>
      </c>
      <c r="BO154" s="34" t="str">
        <v/>
      </c>
      <c r="BP154" s="34" t="str">
        <v/>
      </c>
      <c r="BQ154" s="34" t="str">
        <v>3х2,5</v>
      </c>
      <c r="BR154" s="34" t="str">
        <v/>
      </c>
      <c r="BS154" s="34" t="str">
        <v/>
      </c>
      <c r="BT154" s="34" t="str">
        <v/>
      </c>
      <c r="BU154" s="34">
        <v>0</v>
      </c>
      <c r="BV154" s="34">
        <v>175</v>
      </c>
      <c r="BW154" s="34">
        <v>1</v>
      </c>
      <c r="BX154" s="34">
        <v>0</v>
      </c>
      <c r="BY154" s="34" t="str">
        <v>Розетка</v>
      </c>
      <c r="BZ154">
        <v>8</v>
      </c>
      <c r="CA154" t="str">
        <v>линии</v>
      </c>
    </row>
    <row r="155" spans="1:79" x14ac:dyDescent="0.3">
      <c r="A155" s="39" t="str">
        <v>ЩР-001</v>
      </c>
      <c r="B155" s="42">
        <v>33</v>
      </c>
      <c r="C155" s="42">
        <v>2</v>
      </c>
      <c r="D155" s="75" t="str">
        <v/>
      </c>
      <c r="E155" s="75" t="str">
        <v>авто</v>
      </c>
      <c r="F155" s="76" t="str">
        <v/>
      </c>
      <c r="G155" s="47" t="str">
        <v>QFD24</v>
      </c>
      <c r="H155" s="47" t="str">
        <v>2P С16А 30мА</v>
      </c>
      <c r="I155" s="75" t="str">
        <v/>
      </c>
      <c r="J155" s="76" t="str">
        <v/>
      </c>
      <c r="K155" s="76" t="str">
        <v/>
      </c>
      <c r="L155" s="75" t="str">
        <v/>
      </c>
      <c r="M155" s="49" t="str">
        <v/>
      </c>
      <c r="N155" s="76" t="str">
        <v/>
      </c>
      <c r="O155" s="49" t="str">
        <v/>
      </c>
      <c r="P155" s="77" t="str">
        <v/>
      </c>
      <c r="Q155" s="53" t="str">
        <v>ВВГнг(А)-LS (3х2,5) L=31-0,07%</v>
      </c>
      <c r="R155" s="54" t="str">
        <v>R.00.002Б.1</v>
      </c>
      <c r="S155" s="55" t="str">
        <v>Розеточная группа Подвальный этаж Пом. №002Б</v>
      </c>
      <c r="T155" s="56">
        <v>0.06</v>
      </c>
      <c r="U155" s="56">
        <v>0.28000000000000003</v>
      </c>
      <c r="V155" s="42" t="str">
        <v>L3</v>
      </c>
      <c r="W155" s="57" t="str">
        <v>ok</v>
      </c>
      <c r="X155" s="58" t="str">
        <v/>
      </c>
      <c r="Y155" s="75" t="str">
        <v/>
      </c>
      <c r="Z155" s="59">
        <v>0.28000000000000003</v>
      </c>
      <c r="AA155" s="61">
        <v>6</v>
      </c>
      <c r="AB155" s="61">
        <v>25</v>
      </c>
      <c r="AC155" s="61" t="str">
        <v/>
      </c>
      <c r="AD155" s="62" t="str">
        <v>QFD24</v>
      </c>
      <c r="AE155" s="62" t="str">
        <v/>
      </c>
      <c r="AF155" s="34">
        <v>24</v>
      </c>
      <c r="AG155" s="34" t="str">
        <v>QFD24</v>
      </c>
      <c r="AH155" s="34" t="str">
        <v/>
      </c>
      <c r="AI155" s="34" t="str">
        <v/>
      </c>
      <c r="AJ155" s="34" t="str">
        <v>QFD24</v>
      </c>
      <c r="AK155" s="34">
        <v>1</v>
      </c>
      <c r="AL155" s="34" t="str">
        <v>R</v>
      </c>
      <c r="AM155" s="34">
        <v>30</v>
      </c>
      <c r="AN155" s="34">
        <v>0</v>
      </c>
      <c r="AO155" s="34">
        <v>16</v>
      </c>
      <c r="AP155" s="34">
        <v>25</v>
      </c>
      <c r="AQ155" s="34">
        <v>16</v>
      </c>
      <c r="AR155" s="34">
        <v>1</v>
      </c>
      <c r="AS155" s="34">
        <v>1</v>
      </c>
      <c r="AT155" s="34" t="str">
        <v>2P</v>
      </c>
      <c r="AU155" s="34">
        <v>16</v>
      </c>
      <c r="AV155" s="34" t="str">
        <v/>
      </c>
      <c r="AW155" s="34" t="str">
        <v/>
      </c>
      <c r="AX155" s="34" t="str">
        <v/>
      </c>
      <c r="AY155" s="34">
        <v>1</v>
      </c>
      <c r="AZ155" s="34" t="str">
        <v/>
      </c>
      <c r="BA155" s="34">
        <v>0</v>
      </c>
      <c r="BB155" s="34">
        <v>16</v>
      </c>
      <c r="BD155" s="34">
        <v>1</v>
      </c>
      <c r="BE155" s="34">
        <v>0</v>
      </c>
      <c r="BF155" s="34">
        <v>1</v>
      </c>
      <c r="BG155" s="34" t="str">
        <v/>
      </c>
      <c r="BH155" s="34" t="str">
        <v/>
      </c>
      <c r="BI155" s="34" t="str">
        <v/>
      </c>
      <c r="BJ155" s="34" t="str">
        <v/>
      </c>
      <c r="BK155" s="34" t="str">
        <v>SOCKET</v>
      </c>
      <c r="BL155" s="34">
        <v>1</v>
      </c>
      <c r="BM155" s="34" t="str">
        <v/>
      </c>
      <c r="BN155" s="34" t="str">
        <v/>
      </c>
      <c r="BO155" s="34" t="str">
        <v/>
      </c>
      <c r="BP155" s="34" t="str">
        <v/>
      </c>
      <c r="BQ155" s="34" t="str">
        <v>3х2,5</v>
      </c>
      <c r="BR155" s="34" t="str">
        <v/>
      </c>
      <c r="BS155" s="34" t="str">
        <v/>
      </c>
      <c r="BT155" s="34" t="str">
        <v/>
      </c>
      <c r="BU155" s="34">
        <v>0</v>
      </c>
      <c r="BV155" s="34">
        <v>176</v>
      </c>
      <c r="BW155" s="34">
        <v>1</v>
      </c>
      <c r="BX155" s="34">
        <v>0</v>
      </c>
      <c r="BY155" s="34" t="str">
        <v>Розетка</v>
      </c>
      <c r="BZ155">
        <v>8</v>
      </c>
      <c r="CA155" t="str">
        <v>линии</v>
      </c>
    </row>
    <row r="156" spans="1:79" x14ac:dyDescent="0.3">
      <c r="A156" s="39" t="str">
        <v>ЩР-001</v>
      </c>
      <c r="B156" s="42">
        <v>36</v>
      </c>
      <c r="C156" s="42">
        <v>3</v>
      </c>
      <c r="D156" s="75" t="str">
        <v/>
      </c>
      <c r="E156" s="75" t="str">
        <v>авто</v>
      </c>
      <c r="F156" s="76" t="str">
        <v/>
      </c>
      <c r="G156" s="47" t="str">
        <v>QF25</v>
      </c>
      <c r="H156" s="47" t="str">
        <v>1P С16А</v>
      </c>
      <c r="I156" s="75" t="str">
        <v/>
      </c>
      <c r="J156" s="76" t="str">
        <v/>
      </c>
      <c r="K156" s="76" t="str">
        <v/>
      </c>
      <c r="L156" s="75" t="str">
        <v/>
      </c>
      <c r="M156" s="49" t="str">
        <v/>
      </c>
      <c r="N156" s="76" t="str">
        <v/>
      </c>
      <c r="O156" s="49" t="str">
        <v/>
      </c>
      <c r="P156" s="77" t="str">
        <v>XT25</v>
      </c>
      <c r="Q156" s="53" t="str">
        <v>ВВГнг(А)-LS (3х2,5) L=36-0,74%</v>
      </c>
      <c r="R156" s="54" t="str">
        <v>ШТК-0</v>
      </c>
      <c r="S156" s="55" t="str">
        <v>Шкаф телекоммуникационный ШТК-0 Подвальный этаж Пом. №007Т</v>
      </c>
      <c r="T156" s="56">
        <v>0.6</v>
      </c>
      <c r="U156" s="56">
        <v>2.7399999999999998</v>
      </c>
      <c r="V156" s="42" t="str">
        <v>L3</v>
      </c>
      <c r="W156" s="57" t="str">
        <v>ok</v>
      </c>
      <c r="X156" s="58" t="str">
        <v/>
      </c>
      <c r="Y156" s="75" t="str">
        <v/>
      </c>
      <c r="Z156" s="59">
        <v>2.7399999999999998</v>
      </c>
      <c r="AA156" s="61">
        <v>6</v>
      </c>
      <c r="AB156" s="61">
        <v>25</v>
      </c>
      <c r="AC156" s="61" t="str">
        <v/>
      </c>
      <c r="AD156" s="62" t="str">
        <v>QF25 → XT25</v>
      </c>
      <c r="AE156" s="62" t="str">
        <v/>
      </c>
      <c r="AF156" s="34">
        <v>25</v>
      </c>
      <c r="AG156" s="34" t="str">
        <v>QF25</v>
      </c>
      <c r="AH156" s="34" t="str">
        <v/>
      </c>
      <c r="AI156" s="34" t="str">
        <v/>
      </c>
      <c r="AJ156" s="34" t="str">
        <v>QF25</v>
      </c>
      <c r="AK156" s="34">
        <v>1</v>
      </c>
      <c r="AL156" s="34" t="str">
        <v>ШТК-0</v>
      </c>
      <c r="AM156" s="34">
        <v>0</v>
      </c>
      <c r="AN156" s="34">
        <v>0</v>
      </c>
      <c r="AO156" s="34">
        <v>16</v>
      </c>
      <c r="AP156" s="34">
        <v>25</v>
      </c>
      <c r="AQ156" s="34">
        <v>16</v>
      </c>
      <c r="AR156" s="34">
        <v>1</v>
      </c>
      <c r="AS156" s="34">
        <v>0</v>
      </c>
      <c r="AT156" s="34" t="str">
        <v>1P</v>
      </c>
      <c r="AU156" s="34">
        <v>16</v>
      </c>
      <c r="AV156" s="34" t="str">
        <v/>
      </c>
      <c r="AW156" s="34" t="str">
        <v/>
      </c>
      <c r="AX156" s="34" t="str">
        <v/>
      </c>
      <c r="AY156" s="34">
        <v>1</v>
      </c>
      <c r="AZ156" s="34" t="str">
        <v/>
      </c>
      <c r="BA156" s="34">
        <v>0</v>
      </c>
      <c r="BB156" s="34">
        <v>16</v>
      </c>
      <c r="BD156" s="34">
        <v>1</v>
      </c>
      <c r="BE156" s="34">
        <v>0</v>
      </c>
      <c r="BF156" s="34">
        <v>0</v>
      </c>
      <c r="BG156" s="34" t="str">
        <v/>
      </c>
      <c r="BH156" s="34" t="str">
        <v/>
      </c>
      <c r="BI156" s="34" t="str">
        <v/>
      </c>
      <c r="BJ156" s="34" t="str">
        <v/>
      </c>
      <c r="BK156" s="34" t="str">
        <v>BOX</v>
      </c>
      <c r="BL156" s="34">
        <v>1</v>
      </c>
      <c r="BM156" s="34" t="str">
        <v/>
      </c>
      <c r="BN156" s="34" t="str">
        <v/>
      </c>
      <c r="BO156" s="34" t="str">
        <v/>
      </c>
      <c r="BP156" s="34" t="str">
        <v/>
      </c>
      <c r="BQ156" s="34" t="str">
        <v>3х2,5</v>
      </c>
      <c r="BR156" s="34" t="str">
        <v/>
      </c>
      <c r="BS156" s="34" t="str">
        <v/>
      </c>
      <c r="BT156" s="34" t="str">
        <v/>
      </c>
      <c r="BU156" s="34">
        <v>0</v>
      </c>
      <c r="BV156" s="34">
        <v>177</v>
      </c>
      <c r="BW156" s="34">
        <v>1</v>
      </c>
      <c r="BX156" s="34">
        <v>0</v>
      </c>
      <c r="BY156" s="34" t="str">
        <v/>
      </c>
      <c r="BZ156">
        <v>8</v>
      </c>
      <c r="CA156" t="str">
        <v>линии</v>
      </c>
    </row>
    <row r="157" spans="1:79" x14ac:dyDescent="0.3">
      <c r="A157" s="39" t="str">
        <v>ЩР-001</v>
      </c>
      <c r="B157" s="42">
        <v>37</v>
      </c>
      <c r="C157" s="42">
        <v>3</v>
      </c>
      <c r="D157" s="75" t="str">
        <v/>
      </c>
      <c r="E157" s="75" t="str">
        <v>авто</v>
      </c>
      <c r="F157" s="76" t="str">
        <v/>
      </c>
      <c r="G157" s="47" t="str">
        <v>QF26</v>
      </c>
      <c r="H157" s="47" t="str">
        <v>1P С16А</v>
      </c>
      <c r="I157" s="75" t="str">
        <v/>
      </c>
      <c r="J157" s="76" t="str">
        <v/>
      </c>
      <c r="K157" s="76" t="str">
        <v/>
      </c>
      <c r="L157" s="75" t="str">
        <v/>
      </c>
      <c r="M157" s="49" t="str">
        <v/>
      </c>
      <c r="N157" s="76" t="str">
        <v/>
      </c>
      <c r="O157" s="49" t="str">
        <v/>
      </c>
      <c r="P157" s="77" t="str">
        <v>XT26</v>
      </c>
      <c r="Q157" s="53" t="str">
        <v>ВВГнг(А)-LS (3х2,5) L=38-3,48%</v>
      </c>
      <c r="R157" s="54" t="str">
        <v>ШТК-ЛВС.00</v>
      </c>
      <c r="S157" s="55" t="str">
        <v>Шкаф телекоммуникационный ШТК-ЛВС.00  Подвальный этаж Пом. №007Т</v>
      </c>
      <c r="T157" s="56">
        <v>2.7</v>
      </c>
      <c r="U157" s="56">
        <v>12.31</v>
      </c>
      <c r="V157" s="42" t="str">
        <v>L1</v>
      </c>
      <c r="W157" s="57" t="str">
        <v>ok</v>
      </c>
      <c r="X157" s="58" t="str">
        <v/>
      </c>
      <c r="Y157" s="75" t="str">
        <v/>
      </c>
      <c r="Z157" s="59">
        <v>12.31</v>
      </c>
      <c r="AA157" s="61">
        <v>16</v>
      </c>
      <c r="AB157" s="61">
        <v>25</v>
      </c>
      <c r="AC157" s="61" t="str">
        <v/>
      </c>
      <c r="AD157" s="62" t="str">
        <v>QF26 → XT26</v>
      </c>
      <c r="AE157" s="62" t="str">
        <v>потери 5,1 % &gt; 4 %</v>
      </c>
      <c r="AF157" s="34">
        <v>26</v>
      </c>
      <c r="AG157" s="34" t="str">
        <v>QF26</v>
      </c>
      <c r="AH157" s="34" t="str">
        <v/>
      </c>
      <c r="AI157" s="34" t="str">
        <v/>
      </c>
      <c r="AJ157" s="34" t="str">
        <v>QF26</v>
      </c>
      <c r="AK157" s="34">
        <v>1</v>
      </c>
      <c r="AL157" s="34" t="str">
        <v>ШТК-ЛВС</v>
      </c>
      <c r="AM157" s="34">
        <v>0</v>
      </c>
      <c r="AN157" s="34">
        <v>0</v>
      </c>
      <c r="AO157" s="34">
        <v>16</v>
      </c>
      <c r="AP157" s="34">
        <v>25</v>
      </c>
      <c r="AQ157" s="34">
        <v>16</v>
      </c>
      <c r="AR157" s="34">
        <v>1</v>
      </c>
      <c r="AS157" s="34">
        <v>0</v>
      </c>
      <c r="AT157" s="34" t="str">
        <v>1P</v>
      </c>
      <c r="AU157" s="34">
        <v>16</v>
      </c>
      <c r="AV157" s="34" t="str">
        <v/>
      </c>
      <c r="AW157" s="34" t="str">
        <v/>
      </c>
      <c r="AX157" s="34" t="str">
        <v/>
      </c>
      <c r="AY157" s="34">
        <v>1</v>
      </c>
      <c r="AZ157" s="34" t="str">
        <v/>
      </c>
      <c r="BA157" s="34">
        <v>0</v>
      </c>
      <c r="BB157" s="34">
        <v>16</v>
      </c>
      <c r="BD157" s="34">
        <v>1</v>
      </c>
      <c r="BE157" s="34">
        <v>0</v>
      </c>
      <c r="BF157" s="34">
        <v>0</v>
      </c>
      <c r="BG157" s="34" t="str">
        <v/>
      </c>
      <c r="BH157" s="34" t="str">
        <v/>
      </c>
      <c r="BI157" s="34" t="str">
        <v/>
      </c>
      <c r="BJ157" s="34" t="str">
        <v/>
      </c>
      <c r="BK157" s="34" t="str">
        <v>BOX</v>
      </c>
      <c r="BL157" s="34">
        <v>1</v>
      </c>
      <c r="BM157" s="34" t="str">
        <v/>
      </c>
      <c r="BN157" s="34" t="str">
        <v/>
      </c>
      <c r="BO157" s="34" t="str">
        <v/>
      </c>
      <c r="BP157" s="34" t="str">
        <v/>
      </c>
      <c r="BQ157" s="34" t="str">
        <v>3х2,5</v>
      </c>
      <c r="BR157" s="34" t="str">
        <v/>
      </c>
      <c r="BS157" s="34" t="str">
        <v/>
      </c>
      <c r="BT157" s="34" t="str">
        <v/>
      </c>
      <c r="BU157" s="34">
        <v>1</v>
      </c>
      <c r="BV157" s="34">
        <v>178</v>
      </c>
      <c r="BW157" s="34">
        <v>1</v>
      </c>
      <c r="BX157" s="34">
        <v>0</v>
      </c>
      <c r="BY157" s="34">
        <v>0</v>
      </c>
      <c r="BZ157">
        <v>8</v>
      </c>
      <c r="CA157" t="str">
        <v>линии</v>
      </c>
    </row>
    <row r="158" spans="1:79" x14ac:dyDescent="0.3">
      <c r="A158" s="39" t="str">
        <v>ЩР-001</v>
      </c>
      <c r="B158" s="42">
        <v>38</v>
      </c>
      <c r="C158" s="42">
        <v>3</v>
      </c>
      <c r="D158" s="75" t="str">
        <v/>
      </c>
      <c r="E158" s="75" t="str">
        <v>авто</v>
      </c>
      <c r="F158" s="76" t="str">
        <v/>
      </c>
      <c r="G158" s="47" t="str">
        <v>QF27</v>
      </c>
      <c r="H158" s="47" t="str">
        <v>1P С16А</v>
      </c>
      <c r="I158" s="75" t="str">
        <v/>
      </c>
      <c r="J158" s="76" t="str">
        <v/>
      </c>
      <c r="K158" s="76" t="str">
        <v/>
      </c>
      <c r="L158" s="75" t="str">
        <v/>
      </c>
      <c r="M158" s="49" t="str">
        <v/>
      </c>
      <c r="N158" s="76" t="str">
        <v/>
      </c>
      <c r="O158" s="49" t="str">
        <v/>
      </c>
      <c r="P158" s="77" t="str">
        <v/>
      </c>
      <c r="Q158" s="53" t="str">
        <v>ВВГнг(А)-LS (3х2,5) L=39-2,65%</v>
      </c>
      <c r="R158" s="54" t="str">
        <v>ШТК-СОТ.00</v>
      </c>
      <c r="S158" s="55" t="str">
        <v>Шкаф телекоммуникационный ШТК-СОТ.00  Подвальный этаж Пом. №007Т</v>
      </c>
      <c r="T158" s="56">
        <v>2</v>
      </c>
      <c r="U158" s="56">
        <v>9.1199999999999992</v>
      </c>
      <c r="V158" s="42" t="str">
        <v>L2</v>
      </c>
      <c r="W158" s="57" t="str">
        <v>ok</v>
      </c>
      <c r="X158" s="58" t="str">
        <v/>
      </c>
      <c r="Y158" s="75" t="str">
        <v/>
      </c>
      <c r="Z158" s="59">
        <v>9.1199999999999992</v>
      </c>
      <c r="AA158" s="61">
        <v>16</v>
      </c>
      <c r="AB158" s="61">
        <v>25</v>
      </c>
      <c r="AC158" s="61" t="str">
        <v/>
      </c>
      <c r="AD158" s="62" t="str">
        <v>QF27</v>
      </c>
      <c r="AE158" s="62" t="str">
        <v>потери 4,2 % &gt; 4 %</v>
      </c>
      <c r="AF158" s="34">
        <v>27</v>
      </c>
      <c r="AG158" s="34" t="str">
        <v>QF27</v>
      </c>
      <c r="AH158" s="34" t="str">
        <v/>
      </c>
      <c r="AI158" s="34" t="str">
        <v/>
      </c>
      <c r="AJ158" s="34" t="str">
        <v>QF27</v>
      </c>
      <c r="AK158" s="34">
        <v>1</v>
      </c>
      <c r="AL158" s="34" t="str">
        <v>ШТК-СОТ</v>
      </c>
      <c r="AM158" s="34">
        <v>0</v>
      </c>
      <c r="AN158" s="34">
        <v>0</v>
      </c>
      <c r="AO158" s="34">
        <v>16</v>
      </c>
      <c r="AP158" s="34">
        <v>25</v>
      </c>
      <c r="AQ158" s="34">
        <v>16</v>
      </c>
      <c r="AR158" s="34">
        <v>1</v>
      </c>
      <c r="AS158" s="34">
        <v>0</v>
      </c>
      <c r="AT158" s="34" t="str">
        <v>1P</v>
      </c>
      <c r="AU158" s="34">
        <v>16</v>
      </c>
      <c r="AV158" s="34" t="str">
        <v/>
      </c>
      <c r="AW158" s="34" t="str">
        <v/>
      </c>
      <c r="AX158" s="34" t="str">
        <v/>
      </c>
      <c r="AY158" s="34">
        <v>1</v>
      </c>
      <c r="AZ158" s="34" t="str">
        <v/>
      </c>
      <c r="BA158" s="34">
        <v>0</v>
      </c>
      <c r="BB158" s="34">
        <v>16</v>
      </c>
      <c r="BD158" s="34">
        <v>1</v>
      </c>
      <c r="BE158" s="34">
        <v>0</v>
      </c>
      <c r="BF158" s="34">
        <v>0</v>
      </c>
      <c r="BG158" s="34" t="str">
        <v/>
      </c>
      <c r="BH158" s="34" t="str">
        <v/>
      </c>
      <c r="BI158" s="34" t="str">
        <v/>
      </c>
      <c r="BJ158" s="34" t="str">
        <v/>
      </c>
      <c r="BK158" s="34" t="str">
        <v>BOX</v>
      </c>
      <c r="BL158" s="34">
        <v>1</v>
      </c>
      <c r="BM158" s="34" t="str">
        <v/>
      </c>
      <c r="BN158" s="34" t="str">
        <v/>
      </c>
      <c r="BO158" s="34" t="str">
        <v/>
      </c>
      <c r="BP158" s="34" t="str">
        <v/>
      </c>
      <c r="BQ158" s="34" t="str">
        <v>3х2,5</v>
      </c>
      <c r="BR158" s="34" t="str">
        <v/>
      </c>
      <c r="BS158" s="34" t="str">
        <v/>
      </c>
      <c r="BT158" s="34" t="str">
        <v/>
      </c>
      <c r="BU158" s="34">
        <v>1</v>
      </c>
      <c r="BV158" s="34">
        <v>179</v>
      </c>
      <c r="BW158" s="34">
        <v>1</v>
      </c>
      <c r="BX158" s="34">
        <v>0</v>
      </c>
      <c r="BY158" s="34">
        <v>0</v>
      </c>
      <c r="BZ158">
        <v>8</v>
      </c>
      <c r="CA158" t="str">
        <v>линии</v>
      </c>
    </row>
    <row r="159" spans="1:79" x14ac:dyDescent="0.3">
      <c r="A159" s="39" t="str">
        <v>ЩР-001</v>
      </c>
      <c r="B159" s="42">
        <v>40</v>
      </c>
      <c r="C159" s="42">
        <v>3</v>
      </c>
      <c r="D159" s="75" t="str">
        <v/>
      </c>
      <c r="E159" s="75" t="str">
        <v>авто</v>
      </c>
      <c r="F159" s="76" t="str">
        <v/>
      </c>
      <c r="G159" s="47" t="str">
        <v>QF28</v>
      </c>
      <c r="H159" s="47" t="str">
        <v>1P С16А</v>
      </c>
      <c r="I159" s="75" t="str">
        <v/>
      </c>
      <c r="J159" s="76" t="str">
        <v/>
      </c>
      <c r="K159" s="76" t="str">
        <v/>
      </c>
      <c r="L159" s="75" t="str">
        <v/>
      </c>
      <c r="M159" s="49" t="str">
        <v/>
      </c>
      <c r="N159" s="76" t="str">
        <v/>
      </c>
      <c r="O159" s="49" t="str">
        <v/>
      </c>
      <c r="P159" s="77" t="str">
        <v/>
      </c>
      <c r="Q159" s="53" t="str">
        <v>ВВГнг(А)-LS (3х2,5) L=98-1%</v>
      </c>
      <c r="R159" s="54" t="str">
        <v>ЩКД-6</v>
      </c>
      <c r="S159" s="55" t="str">
        <v>Щит контроля доступа ШДК-06. Пом. Венткиосок</v>
      </c>
      <c r="T159" s="56">
        <v>0.3</v>
      </c>
      <c r="U159" s="56">
        <v>1.37</v>
      </c>
      <c r="V159" s="42" t="str">
        <v>L2</v>
      </c>
      <c r="W159" s="57" t="str">
        <v>ok</v>
      </c>
      <c r="X159" s="58" t="str">
        <v/>
      </c>
      <c r="Y159" s="75" t="str">
        <v/>
      </c>
      <c r="Z159" s="59">
        <v>1.37</v>
      </c>
      <c r="AA159" s="61">
        <v>6</v>
      </c>
      <c r="AB159" s="61">
        <v>25</v>
      </c>
      <c r="AC159" s="61" t="str">
        <v/>
      </c>
      <c r="AD159" s="62" t="str">
        <v>QF28</v>
      </c>
      <c r="AE159" s="62" t="str">
        <v/>
      </c>
      <c r="AF159" s="34">
        <v>28</v>
      </c>
      <c r="AG159" s="34" t="str">
        <v>QF28</v>
      </c>
      <c r="AH159" s="34" t="str">
        <v/>
      </c>
      <c r="AI159" s="34" t="str">
        <v/>
      </c>
      <c r="AJ159" s="34" t="str">
        <v>QF28</v>
      </c>
      <c r="AK159" s="34">
        <v>1</v>
      </c>
      <c r="AL159" s="34" t="str">
        <v>ЩКД-6</v>
      </c>
      <c r="AM159" s="34">
        <v>0</v>
      </c>
      <c r="AN159" s="34">
        <v>0</v>
      </c>
      <c r="AO159" s="34">
        <v>16</v>
      </c>
      <c r="AP159" s="34">
        <v>25</v>
      </c>
      <c r="AQ159" s="34">
        <v>16</v>
      </c>
      <c r="AR159" s="34">
        <v>1</v>
      </c>
      <c r="AS159" s="34">
        <v>0</v>
      </c>
      <c r="AT159" s="34" t="str">
        <v>1P</v>
      </c>
      <c r="AU159" s="34">
        <v>16</v>
      </c>
      <c r="AV159" s="34" t="str">
        <v/>
      </c>
      <c r="AW159" s="34" t="str">
        <v/>
      </c>
      <c r="AX159" s="34" t="str">
        <v/>
      </c>
      <c r="AY159" s="34">
        <v>1</v>
      </c>
      <c r="AZ159" s="34" t="str">
        <v/>
      </c>
      <c r="BA159" s="34">
        <v>0</v>
      </c>
      <c r="BB159" s="34">
        <v>16</v>
      </c>
      <c r="BD159" s="34">
        <v>1</v>
      </c>
      <c r="BE159" s="34">
        <v>0</v>
      </c>
      <c r="BF159" s="34">
        <v>0</v>
      </c>
      <c r="BG159" s="34" t="str">
        <v/>
      </c>
      <c r="BH159" s="34" t="str">
        <v/>
      </c>
      <c r="BI159" s="34" t="str">
        <v/>
      </c>
      <c r="BJ159" s="34" t="str">
        <v/>
      </c>
      <c r="BK159" s="34" t="str">
        <v>BOX</v>
      </c>
      <c r="BL159" s="34">
        <v>1</v>
      </c>
      <c r="BM159" s="34" t="str">
        <v/>
      </c>
      <c r="BN159" s="34" t="str">
        <v/>
      </c>
      <c r="BO159" s="34" t="str">
        <v/>
      </c>
      <c r="BP159" s="34" t="str">
        <v/>
      </c>
      <c r="BQ159" s="34" t="str">
        <v>3х2,5</v>
      </c>
      <c r="BR159" s="34" t="str">
        <v/>
      </c>
      <c r="BS159" s="34" t="str">
        <v/>
      </c>
      <c r="BT159" s="34" t="str">
        <v/>
      </c>
      <c r="BU159" s="34">
        <v>0</v>
      </c>
      <c r="BV159" s="34">
        <v>180</v>
      </c>
      <c r="BW159" s="34">
        <v>1</v>
      </c>
      <c r="BX159" s="34">
        <v>0</v>
      </c>
      <c r="BY159" s="34" t="str">
        <v/>
      </c>
      <c r="BZ159">
        <v>8</v>
      </c>
      <c r="CA159" t="str">
        <v>линии</v>
      </c>
    </row>
    <row r="160" spans="1:79" x14ac:dyDescent="0.3">
      <c r="A160" s="39" t="str">
        <v>ЩР-001</v>
      </c>
      <c r="B160" s="42">
        <v>41</v>
      </c>
      <c r="C160" s="42">
        <v>3</v>
      </c>
      <c r="D160" s="75" t="str">
        <v/>
      </c>
      <c r="E160" s="75" t="str">
        <v>авто</v>
      </c>
      <c r="F160" s="76" t="str">
        <v/>
      </c>
      <c r="G160" s="47" t="str">
        <v>QF29</v>
      </c>
      <c r="H160" s="47" t="str">
        <v>1P С16А</v>
      </c>
      <c r="I160" s="75" t="str">
        <v/>
      </c>
      <c r="J160" s="76" t="str">
        <v/>
      </c>
      <c r="K160" s="76" t="str">
        <v/>
      </c>
      <c r="L160" s="75" t="str">
        <v/>
      </c>
      <c r="M160" s="49" t="str">
        <v/>
      </c>
      <c r="N160" s="76" t="str">
        <v/>
      </c>
      <c r="O160" s="49" t="str">
        <v/>
      </c>
      <c r="P160" s="77" t="str">
        <v/>
      </c>
      <c r="Q160" s="53" t="str">
        <v>ВВГнг(А)-LS (3х2,5) L=12-0,21%</v>
      </c>
      <c r="R160" s="54" t="str">
        <v>ЩКД-001</v>
      </c>
      <c r="S160" s="55" t="str">
        <v>Щит контроля доступа ШДК-001 Подвальный этаж Пом. №004Т</v>
      </c>
      <c r="T160" s="56">
        <v>0.5</v>
      </c>
      <c r="U160" s="56">
        <v>2.2799999999999998</v>
      </c>
      <c r="V160" s="42" t="str">
        <v>L3</v>
      </c>
      <c r="W160" s="57" t="str">
        <v>ok</v>
      </c>
      <c r="X160" s="58" t="str">
        <v/>
      </c>
      <c r="Y160" s="75" t="str">
        <v/>
      </c>
      <c r="Z160" s="59">
        <v>2.2799999999999998</v>
      </c>
      <c r="AA160" s="61">
        <v>6</v>
      </c>
      <c r="AB160" s="61">
        <v>25</v>
      </c>
      <c r="AC160" s="61" t="str">
        <v/>
      </c>
      <c r="AD160" s="62" t="str">
        <v>QF29</v>
      </c>
      <c r="AE160" s="62" t="str">
        <v/>
      </c>
      <c r="AF160" s="34">
        <v>29</v>
      </c>
      <c r="AG160" s="34" t="str">
        <v>QF29</v>
      </c>
      <c r="AH160" s="34" t="str">
        <v/>
      </c>
      <c r="AI160" s="34" t="str">
        <v/>
      </c>
      <c r="AJ160" s="34" t="str">
        <v>QF29</v>
      </c>
      <c r="AK160" s="34">
        <v>1</v>
      </c>
      <c r="AL160" s="34" t="str">
        <v>ЩКД-001</v>
      </c>
      <c r="AM160" s="34">
        <v>0</v>
      </c>
      <c r="AN160" s="34">
        <v>0</v>
      </c>
      <c r="AO160" s="34">
        <v>16</v>
      </c>
      <c r="AP160" s="34">
        <v>25</v>
      </c>
      <c r="AQ160" s="34">
        <v>16</v>
      </c>
      <c r="AR160" s="34">
        <v>1</v>
      </c>
      <c r="AS160" s="34">
        <v>0</v>
      </c>
      <c r="AT160" s="34" t="str">
        <v>1P</v>
      </c>
      <c r="AU160" s="34">
        <v>16</v>
      </c>
      <c r="AV160" s="34" t="str">
        <v/>
      </c>
      <c r="AW160" s="34" t="str">
        <v/>
      </c>
      <c r="AX160" s="34" t="str">
        <v/>
      </c>
      <c r="AY160" s="34">
        <v>1</v>
      </c>
      <c r="AZ160" s="34" t="str">
        <v/>
      </c>
      <c r="BA160" s="34">
        <v>0</v>
      </c>
      <c r="BB160" s="34">
        <v>16</v>
      </c>
      <c r="BD160" s="34">
        <v>1</v>
      </c>
      <c r="BE160" s="34">
        <v>0</v>
      </c>
      <c r="BF160" s="34">
        <v>0</v>
      </c>
      <c r="BG160" s="34" t="str">
        <v/>
      </c>
      <c r="BH160" s="34" t="str">
        <v/>
      </c>
      <c r="BI160" s="34" t="str">
        <v/>
      </c>
      <c r="BJ160" s="34" t="str">
        <v/>
      </c>
      <c r="BK160" s="34" t="str">
        <v>BOX</v>
      </c>
      <c r="BL160" s="34">
        <v>1</v>
      </c>
      <c r="BM160" s="34" t="str">
        <v/>
      </c>
      <c r="BN160" s="34" t="str">
        <v/>
      </c>
      <c r="BO160" s="34" t="str">
        <v/>
      </c>
      <c r="BP160" s="34" t="str">
        <v/>
      </c>
      <c r="BQ160" s="34" t="str">
        <v>3х2,5</v>
      </c>
      <c r="BR160" s="34" t="str">
        <v/>
      </c>
      <c r="BS160" s="34" t="str">
        <v/>
      </c>
      <c r="BT160" s="34" t="str">
        <v/>
      </c>
      <c r="BU160" s="34">
        <v>0</v>
      </c>
      <c r="BV160" s="34">
        <v>181</v>
      </c>
      <c r="BW160" s="34">
        <v>1</v>
      </c>
      <c r="BX160" s="34">
        <v>0</v>
      </c>
      <c r="BY160" s="34" t="str">
        <v/>
      </c>
      <c r="BZ160">
        <v>8</v>
      </c>
      <c r="CA160" t="str">
        <v>линии</v>
      </c>
    </row>
    <row r="161" spans="1:79" x14ac:dyDescent="0.3">
      <c r="A161" s="39" t="str">
        <v>ЩР-01</v>
      </c>
      <c r="B161" s="42">
        <v>2</v>
      </c>
      <c r="C161" s="42">
        <v>1</v>
      </c>
      <c r="D161" s="75" t="str">
        <v/>
      </c>
      <c r="E161" s="75" t="str">
        <v/>
      </c>
      <c r="F161" s="76" t="str">
        <v/>
      </c>
      <c r="G161" s="47" t="str">
        <v/>
      </c>
      <c r="H161" s="47" t="str">
        <v/>
      </c>
      <c r="I161" s="75" t="str">
        <v/>
      </c>
      <c r="J161" s="76" t="str">
        <v/>
      </c>
      <c r="K161" s="76" t="str">
        <v/>
      </c>
      <c r="L161" s="75" t="str">
        <v/>
      </c>
      <c r="M161" s="49" t="str">
        <v/>
      </c>
      <c r="N161" s="76" t="str">
        <v/>
      </c>
      <c r="O161" s="49" t="str">
        <v/>
      </c>
      <c r="P161" s="77" t="str">
        <v/>
      </c>
      <c r="Q161" s="53" t="str">
        <v/>
      </c>
      <c r="R161" s="54" t="str">
        <v>Ввод.1</v>
      </c>
      <c r="S161" s="55" t="str">
        <v>Ввод</v>
      </c>
      <c r="T161" s="56">
        <v>0</v>
      </c>
      <c r="U161" s="56">
        <v>0</v>
      </c>
      <c r="V161" s="42" t="str">
        <v>L1,L2,L3</v>
      </c>
      <c r="W161" s="57" t="str">
        <v/>
      </c>
      <c r="X161" s="58" t="str">
        <v/>
      </c>
      <c r="Y161" s="75" t="str">
        <v>вручную</v>
      </c>
      <c r="Z161" s="59" t="str">
        <v/>
      </c>
      <c r="AA161" s="61" t="str">
        <v/>
      </c>
      <c r="AB161" s="61">
        <v>50</v>
      </c>
      <c r="AC161" s="61" t="str">
        <v/>
      </c>
      <c r="AD161" s="62" t="str">
        <v/>
      </c>
      <c r="AE161" s="62" t="str">
        <v/>
      </c>
      <c r="AF161" s="34" t="str">
        <v/>
      </c>
      <c r="AG161" s="34" t="str">
        <v/>
      </c>
      <c r="AH161" s="34" t="str">
        <v/>
      </c>
      <c r="AI161" s="34" t="str">
        <v/>
      </c>
      <c r="AJ161" s="34" t="str">
        <v/>
      </c>
      <c r="AK161" s="34">
        <v>3</v>
      </c>
      <c r="AL161" s="34" t="str">
        <v>Ввод</v>
      </c>
      <c r="AM161" s="34">
        <v>0</v>
      </c>
      <c r="AN161" s="34">
        <v>0</v>
      </c>
      <c r="AO161" s="34" t="str">
        <v/>
      </c>
      <c r="AP161" s="34" t="str">
        <v/>
      </c>
      <c r="AQ161" s="34" t="str">
        <v/>
      </c>
      <c r="AR161" s="34" t="str">
        <v/>
      </c>
      <c r="AS161" s="34" t="str">
        <v/>
      </c>
      <c r="AT161" s="34" t="str">
        <v/>
      </c>
      <c r="AU161" s="34" t="str">
        <v/>
      </c>
      <c r="AV161" s="34" t="str">
        <v/>
      </c>
      <c r="AW161" s="34" t="str">
        <v/>
      </c>
      <c r="AX161" s="34" t="str">
        <v/>
      </c>
      <c r="AY161" s="34">
        <v>0</v>
      </c>
      <c r="AZ161" s="34" t="str">
        <v/>
      </c>
      <c r="BA161" s="34">
        <v>0</v>
      </c>
      <c r="BB161" s="34">
        <v>40</v>
      </c>
      <c r="BD161" s="34">
        <v>0</v>
      </c>
      <c r="BE161" s="34">
        <v>0</v>
      </c>
      <c r="BF161" s="34">
        <v>0</v>
      </c>
      <c r="BG161" s="34" t="str">
        <v/>
      </c>
      <c r="BH161" s="34" t="str">
        <v/>
      </c>
      <c r="BI161" s="34" t="str">
        <v/>
      </c>
      <c r="BJ161" s="34" t="str">
        <v/>
      </c>
      <c r="BK161" s="34" t="str">
        <v>BOX</v>
      </c>
      <c r="BL161" s="34">
        <v>1</v>
      </c>
      <c r="BM161" s="34" t="str">
        <v/>
      </c>
      <c r="BN161" s="34" t="str">
        <v/>
      </c>
      <c r="BO161" s="34" t="str">
        <v/>
      </c>
      <c r="BP161" s="34" t="str">
        <v/>
      </c>
      <c r="BQ161" s="34" t="str">
        <v/>
      </c>
      <c r="BR161" s="34" t="str">
        <v/>
      </c>
      <c r="BS161" s="34" t="str">
        <v/>
      </c>
      <c r="BT161" s="34" t="str">
        <v/>
      </c>
      <c r="BU161" s="34">
        <v>0</v>
      </c>
      <c r="BV161" s="34">
        <v>182</v>
      </c>
      <c r="BW161" s="34">
        <v>0</v>
      </c>
      <c r="BX161" s="34">
        <v>0</v>
      </c>
      <c r="BY161" s="34">
        <v>0</v>
      </c>
      <c r="BZ161">
        <v>9</v>
      </c>
      <c r="CA161" t="str">
        <v>вводной узел</v>
      </c>
    </row>
    <row r="162" spans="1:79" x14ac:dyDescent="0.3">
      <c r="A162" s="39" t="str">
        <v>ЩР-01</v>
      </c>
      <c r="B162" s="42">
        <v>9</v>
      </c>
      <c r="C162" s="42">
        <v>1</v>
      </c>
      <c r="D162" s="75" t="str">
        <v/>
      </c>
      <c r="E162" s="75" t="str">
        <v>авто</v>
      </c>
      <c r="F162" s="76" t="str">
        <v/>
      </c>
      <c r="G162" s="47" t="str">
        <v>QFD1</v>
      </c>
      <c r="H162" s="47" t="str">
        <v>2P С16А 30мА</v>
      </c>
      <c r="I162" s="75" t="str">
        <v/>
      </c>
      <c r="J162" s="76" t="str">
        <v/>
      </c>
      <c r="K162" s="76" t="str">
        <v/>
      </c>
      <c r="L162" s="75" t="str">
        <v/>
      </c>
      <c r="M162" s="49" t="str">
        <v/>
      </c>
      <c r="N162" s="76" t="str">
        <v/>
      </c>
      <c r="O162" s="49" t="str">
        <v/>
      </c>
      <c r="P162" s="77" t="str">
        <v>XT1</v>
      </c>
      <c r="Q162" s="53" t="str">
        <v>ВВГнг(А)-LS (3х2,5) L=38-0,16%</v>
      </c>
      <c r="R162" s="54" t="str">
        <v>R.0.002A.1</v>
      </c>
      <c r="S162" s="55" t="str">
        <v>Розеточная группа Цокольный этаж Пом. №002A</v>
      </c>
      <c r="T162" s="56">
        <v>0.12</v>
      </c>
      <c r="U162" s="56">
        <v>0.55000000000000004</v>
      </c>
      <c r="V162" s="42" t="str">
        <v>L3</v>
      </c>
      <c r="W162" s="57" t="str">
        <v>ok</v>
      </c>
      <c r="X162" s="58" t="str">
        <v/>
      </c>
      <c r="Y162" s="75" t="str">
        <v/>
      </c>
      <c r="Z162" s="59">
        <v>0.55000000000000004</v>
      </c>
      <c r="AA162" s="61">
        <v>6</v>
      </c>
      <c r="AB162" s="61">
        <v>25</v>
      </c>
      <c r="AC162" s="61" t="str">
        <v/>
      </c>
      <c r="AD162" s="62" t="str">
        <v>QFD1 → XT1</v>
      </c>
      <c r="AE162" s="62" t="str">
        <v/>
      </c>
      <c r="AF162" s="34">
        <v>1</v>
      </c>
      <c r="AG162" s="34" t="str">
        <v>QFD1</v>
      </c>
      <c r="AH162" s="34" t="str">
        <v/>
      </c>
      <c r="AI162" s="34" t="str">
        <v/>
      </c>
      <c r="AJ162" s="34" t="str">
        <v>QFD1</v>
      </c>
      <c r="AK162" s="34">
        <v>1</v>
      </c>
      <c r="AL162" s="34" t="str">
        <v>R</v>
      </c>
      <c r="AM162" s="34">
        <v>30</v>
      </c>
      <c r="AN162" s="34">
        <v>0</v>
      </c>
      <c r="AO162" s="34">
        <v>16</v>
      </c>
      <c r="AP162" s="34">
        <v>25</v>
      </c>
      <c r="AQ162" s="34">
        <v>16</v>
      </c>
      <c r="AR162" s="34">
        <v>1</v>
      </c>
      <c r="AS162" s="34">
        <v>1</v>
      </c>
      <c r="AT162" s="34" t="str">
        <v>2P</v>
      </c>
      <c r="AU162" s="34">
        <v>16</v>
      </c>
      <c r="AV162" s="34" t="str">
        <v/>
      </c>
      <c r="AW162" s="34" t="str">
        <v/>
      </c>
      <c r="AX162" s="34" t="str">
        <v/>
      </c>
      <c r="AY162" s="34">
        <v>1</v>
      </c>
      <c r="AZ162" s="34" t="str">
        <v/>
      </c>
      <c r="BA162" s="34">
        <v>0</v>
      </c>
      <c r="BB162" s="34">
        <v>16</v>
      </c>
      <c r="BD162" s="34">
        <v>1</v>
      </c>
      <c r="BE162" s="34">
        <v>0</v>
      </c>
      <c r="BF162" s="34">
        <v>1</v>
      </c>
      <c r="BG162" s="34" t="str">
        <v/>
      </c>
      <c r="BH162" s="34" t="str">
        <v/>
      </c>
      <c r="BI162" s="34" t="str">
        <v/>
      </c>
      <c r="BJ162" s="34" t="str">
        <v/>
      </c>
      <c r="BK162" s="34" t="str">
        <v>SOCKET</v>
      </c>
      <c r="BL162" s="34">
        <v>1</v>
      </c>
      <c r="BM162" s="34" t="str">
        <v/>
      </c>
      <c r="BN162" s="34" t="str">
        <v/>
      </c>
      <c r="BO162" s="34" t="str">
        <v/>
      </c>
      <c r="BP162" s="34" t="str">
        <v/>
      </c>
      <c r="BQ162" s="34" t="str">
        <v>3х2,5</v>
      </c>
      <c r="BR162" s="34" t="str">
        <v/>
      </c>
      <c r="BS162" s="34" t="str">
        <v/>
      </c>
      <c r="BT162" s="34" t="str">
        <v/>
      </c>
      <c r="BU162" s="34">
        <v>0</v>
      </c>
      <c r="BV162" s="34">
        <v>183</v>
      </c>
      <c r="BW162" s="34">
        <v>1</v>
      </c>
      <c r="BX162" s="34">
        <v>0</v>
      </c>
      <c r="BY162" s="34" t="str">
        <v>Розетка</v>
      </c>
      <c r="BZ162">
        <v>9</v>
      </c>
      <c r="CA162" t="str">
        <v>линии</v>
      </c>
    </row>
    <row r="163" spans="1:79" x14ac:dyDescent="0.3">
      <c r="A163" s="39" t="str">
        <v>ЩР-01</v>
      </c>
      <c r="B163" s="42">
        <v>10</v>
      </c>
      <c r="C163" s="42">
        <v>1</v>
      </c>
      <c r="D163" s="75" t="str">
        <v/>
      </c>
      <c r="E163" s="75" t="str">
        <v>авто</v>
      </c>
      <c r="F163" s="76" t="str">
        <v/>
      </c>
      <c r="G163" s="47" t="str">
        <v>QFD2</v>
      </c>
      <c r="H163" s="47" t="str">
        <v>2P С16А 30мА</v>
      </c>
      <c r="I163" s="75" t="str">
        <v/>
      </c>
      <c r="J163" s="76" t="str">
        <v/>
      </c>
      <c r="K163" s="76" t="str">
        <v/>
      </c>
      <c r="L163" s="75" t="str">
        <v/>
      </c>
      <c r="M163" s="49" t="str">
        <v/>
      </c>
      <c r="N163" s="76" t="str">
        <v/>
      </c>
      <c r="O163" s="49" t="str">
        <v/>
      </c>
      <c r="P163" s="77" t="str">
        <v>XT2</v>
      </c>
      <c r="Q163" s="53" t="str">
        <v>ВВГнг(А)-LS (3х2,5) L=79-0,81%</v>
      </c>
      <c r="R163" s="54" t="str">
        <v>R.0.002A.2</v>
      </c>
      <c r="S163" s="55" t="str">
        <v>Розеточная группа Цокольный этаж Пом. №002A</v>
      </c>
      <c r="T163" s="56">
        <v>0.3</v>
      </c>
      <c r="U163" s="56">
        <v>1.37</v>
      </c>
      <c r="V163" s="42" t="str">
        <v>L3</v>
      </c>
      <c r="W163" s="57" t="str">
        <v>ok</v>
      </c>
      <c r="X163" s="58" t="str">
        <v/>
      </c>
      <c r="Y163" s="75" t="str">
        <v/>
      </c>
      <c r="Z163" s="59">
        <v>1.37</v>
      </c>
      <c r="AA163" s="61">
        <v>6</v>
      </c>
      <c r="AB163" s="61">
        <v>25</v>
      </c>
      <c r="AC163" s="61" t="str">
        <v/>
      </c>
      <c r="AD163" s="62" t="str">
        <v>QFD2 → XT2</v>
      </c>
      <c r="AE163" s="62" t="str">
        <v/>
      </c>
      <c r="AF163" s="34">
        <v>2</v>
      </c>
      <c r="AG163" s="34" t="str">
        <v>QFD2</v>
      </c>
      <c r="AH163" s="34" t="str">
        <v/>
      </c>
      <c r="AI163" s="34" t="str">
        <v/>
      </c>
      <c r="AJ163" s="34" t="str">
        <v>QFD2</v>
      </c>
      <c r="AK163" s="34">
        <v>1</v>
      </c>
      <c r="AL163" s="34" t="str">
        <v>R</v>
      </c>
      <c r="AM163" s="34">
        <v>30</v>
      </c>
      <c r="AN163" s="34">
        <v>0</v>
      </c>
      <c r="AO163" s="34">
        <v>16</v>
      </c>
      <c r="AP163" s="34">
        <v>25</v>
      </c>
      <c r="AQ163" s="34">
        <v>16</v>
      </c>
      <c r="AR163" s="34">
        <v>1</v>
      </c>
      <c r="AS163" s="34">
        <v>1</v>
      </c>
      <c r="AT163" s="34" t="str">
        <v>2P</v>
      </c>
      <c r="AU163" s="34">
        <v>16</v>
      </c>
      <c r="AV163" s="34" t="str">
        <v/>
      </c>
      <c r="AW163" s="34" t="str">
        <v/>
      </c>
      <c r="AX163" s="34" t="str">
        <v/>
      </c>
      <c r="AY163" s="34">
        <v>1</v>
      </c>
      <c r="AZ163" s="34" t="str">
        <v/>
      </c>
      <c r="BA163" s="34">
        <v>0</v>
      </c>
      <c r="BB163" s="34">
        <v>16</v>
      </c>
      <c r="BD163" s="34">
        <v>1</v>
      </c>
      <c r="BE163" s="34">
        <v>0</v>
      </c>
      <c r="BF163" s="34">
        <v>1</v>
      </c>
      <c r="BG163" s="34" t="str">
        <v/>
      </c>
      <c r="BH163" s="34" t="str">
        <v/>
      </c>
      <c r="BI163" s="34" t="str">
        <v/>
      </c>
      <c r="BJ163" s="34" t="str">
        <v/>
      </c>
      <c r="BK163" s="34" t="str">
        <v>SOCKET</v>
      </c>
      <c r="BL163" s="34">
        <v>1</v>
      </c>
      <c r="BM163" s="34" t="str">
        <v/>
      </c>
      <c r="BN163" s="34" t="str">
        <v/>
      </c>
      <c r="BO163" s="34" t="str">
        <v/>
      </c>
      <c r="BP163" s="34" t="str">
        <v/>
      </c>
      <c r="BQ163" s="34" t="str">
        <v>3х2,5</v>
      </c>
      <c r="BR163" s="34" t="str">
        <v/>
      </c>
      <c r="BS163" s="34" t="str">
        <v/>
      </c>
      <c r="BT163" s="34" t="str">
        <v/>
      </c>
      <c r="BU163" s="34">
        <v>0</v>
      </c>
      <c r="BV163" s="34">
        <v>184</v>
      </c>
      <c r="BW163" s="34">
        <v>1</v>
      </c>
      <c r="BX163" s="34">
        <v>0</v>
      </c>
      <c r="BY163" s="34" t="str">
        <v>Розетка</v>
      </c>
      <c r="BZ163">
        <v>9</v>
      </c>
      <c r="CA163" t="str">
        <v>линии</v>
      </c>
    </row>
    <row r="164" spans="1:79" x14ac:dyDescent="0.3">
      <c r="A164" s="39" t="str">
        <v>ЩР-01</v>
      </c>
      <c r="B164" s="42">
        <v>11</v>
      </c>
      <c r="C164" s="42">
        <v>1</v>
      </c>
      <c r="D164" s="75" t="str">
        <v/>
      </c>
      <c r="E164" s="75" t="str">
        <v>авто</v>
      </c>
      <c r="F164" s="76" t="str">
        <v/>
      </c>
      <c r="G164" s="47" t="str">
        <v>QFD3</v>
      </c>
      <c r="H164" s="47" t="str">
        <v>2P С16А 30мА</v>
      </c>
      <c r="I164" s="75" t="str">
        <v/>
      </c>
      <c r="J164" s="76" t="str">
        <v/>
      </c>
      <c r="K164" s="76" t="str">
        <v/>
      </c>
      <c r="L164" s="75" t="str">
        <v/>
      </c>
      <c r="M164" s="49" t="str">
        <v/>
      </c>
      <c r="N164" s="76" t="str">
        <v/>
      </c>
      <c r="O164" s="49" t="str">
        <v/>
      </c>
      <c r="P164" s="77" t="str">
        <v>XT3</v>
      </c>
      <c r="Q164" s="53" t="str">
        <v>ВВГнг(А)-LS (3х2,5) L=47-0,29%</v>
      </c>
      <c r="R164" s="54" t="str">
        <v>R.0.002A.3</v>
      </c>
      <c r="S164" s="55" t="str">
        <v>Розеточная группа Цокольный этаж Пом. №002A</v>
      </c>
      <c r="T164" s="56">
        <v>0.18</v>
      </c>
      <c r="U164" s="56">
        <v>0.83</v>
      </c>
      <c r="V164" s="42" t="str">
        <v>L2</v>
      </c>
      <c r="W164" s="57" t="str">
        <v>ok</v>
      </c>
      <c r="X164" s="58" t="str">
        <v/>
      </c>
      <c r="Y164" s="75" t="str">
        <v/>
      </c>
      <c r="Z164" s="59">
        <v>0.83</v>
      </c>
      <c r="AA164" s="61">
        <v>6</v>
      </c>
      <c r="AB164" s="61">
        <v>25</v>
      </c>
      <c r="AC164" s="61" t="str">
        <v/>
      </c>
      <c r="AD164" s="62" t="str">
        <v>QFD3 → XT3</v>
      </c>
      <c r="AE164" s="62" t="str">
        <v/>
      </c>
      <c r="AF164" s="34">
        <v>3</v>
      </c>
      <c r="AG164" s="34" t="str">
        <v>QFD3</v>
      </c>
      <c r="AH164" s="34" t="str">
        <v/>
      </c>
      <c r="AI164" s="34" t="str">
        <v/>
      </c>
      <c r="AJ164" s="34" t="str">
        <v>QFD3</v>
      </c>
      <c r="AK164" s="34">
        <v>1</v>
      </c>
      <c r="AL164" s="34" t="str">
        <v>R</v>
      </c>
      <c r="AM164" s="34">
        <v>30</v>
      </c>
      <c r="AN164" s="34">
        <v>0</v>
      </c>
      <c r="AO164" s="34">
        <v>16</v>
      </c>
      <c r="AP164" s="34">
        <v>25</v>
      </c>
      <c r="AQ164" s="34">
        <v>16</v>
      </c>
      <c r="AR164" s="34">
        <v>1</v>
      </c>
      <c r="AS164" s="34">
        <v>1</v>
      </c>
      <c r="AT164" s="34" t="str">
        <v>2P</v>
      </c>
      <c r="AU164" s="34">
        <v>16</v>
      </c>
      <c r="AV164" s="34" t="str">
        <v/>
      </c>
      <c r="AW164" s="34" t="str">
        <v/>
      </c>
      <c r="AX164" s="34" t="str">
        <v/>
      </c>
      <c r="AY164" s="34">
        <v>1</v>
      </c>
      <c r="AZ164" s="34" t="str">
        <v/>
      </c>
      <c r="BA164" s="34">
        <v>0</v>
      </c>
      <c r="BB164" s="34">
        <v>16</v>
      </c>
      <c r="BD164" s="34">
        <v>1</v>
      </c>
      <c r="BE164" s="34">
        <v>0</v>
      </c>
      <c r="BF164" s="34">
        <v>1</v>
      </c>
      <c r="BG164" s="34" t="str">
        <v/>
      </c>
      <c r="BH164" s="34" t="str">
        <v/>
      </c>
      <c r="BI164" s="34" t="str">
        <v/>
      </c>
      <c r="BJ164" s="34" t="str">
        <v/>
      </c>
      <c r="BK164" s="34" t="str">
        <v>SOCKET</v>
      </c>
      <c r="BL164" s="34">
        <v>1</v>
      </c>
      <c r="BM164" s="34" t="str">
        <v/>
      </c>
      <c r="BN164" s="34" t="str">
        <v/>
      </c>
      <c r="BO164" s="34" t="str">
        <v/>
      </c>
      <c r="BP164" s="34" t="str">
        <v/>
      </c>
      <c r="BQ164" s="34" t="str">
        <v>3х2,5</v>
      </c>
      <c r="BR164" s="34" t="str">
        <v/>
      </c>
      <c r="BS164" s="34" t="str">
        <v/>
      </c>
      <c r="BT164" s="34" t="str">
        <v/>
      </c>
      <c r="BU164" s="34">
        <v>0</v>
      </c>
      <c r="BV164" s="34">
        <v>185</v>
      </c>
      <c r="BW164" s="34">
        <v>1</v>
      </c>
      <c r="BX164" s="34">
        <v>0</v>
      </c>
      <c r="BY164" s="34" t="str">
        <v>Розетка</v>
      </c>
      <c r="BZ164">
        <v>9</v>
      </c>
      <c r="CA164" t="str">
        <v>линии</v>
      </c>
    </row>
    <row r="165" spans="1:79" x14ac:dyDescent="0.3">
      <c r="A165" s="39" t="str">
        <v>ЩР-01</v>
      </c>
      <c r="B165" s="42">
        <v>12</v>
      </c>
      <c r="C165" s="42">
        <v>1</v>
      </c>
      <c r="D165" s="75" t="str">
        <v/>
      </c>
      <c r="E165" s="75" t="str">
        <v>авто</v>
      </c>
      <c r="F165" s="76" t="str">
        <v/>
      </c>
      <c r="G165" s="47" t="str">
        <v>QFD4</v>
      </c>
      <c r="H165" s="47" t="str">
        <v>2P С16А 30мА</v>
      </c>
      <c r="I165" s="75" t="str">
        <v/>
      </c>
      <c r="J165" s="76" t="str">
        <v/>
      </c>
      <c r="K165" s="76" t="str">
        <v/>
      </c>
      <c r="L165" s="75" t="str">
        <v/>
      </c>
      <c r="M165" s="49" t="str">
        <v/>
      </c>
      <c r="N165" s="76" t="str">
        <v/>
      </c>
      <c r="O165" s="49" t="str">
        <v/>
      </c>
      <c r="P165" s="77" t="str">
        <v>XT4</v>
      </c>
      <c r="Q165" s="53" t="str">
        <v>ВВГнг(А)-LS (3х2,5) L=32-0,07%</v>
      </c>
      <c r="R165" s="54" t="str">
        <v>R.0.002T.1</v>
      </c>
      <c r="S165" s="55" t="str">
        <v>Розеточная группа Цокольный этаж Пом. №002T</v>
      </c>
      <c r="T165" s="56">
        <v>0.06</v>
      </c>
      <c r="U165" s="56">
        <v>0.28000000000000003</v>
      </c>
      <c r="V165" s="42" t="str">
        <v>L3</v>
      </c>
      <c r="W165" s="57" t="str">
        <v>ok</v>
      </c>
      <c r="X165" s="58" t="str">
        <v/>
      </c>
      <c r="Y165" s="75" t="str">
        <v/>
      </c>
      <c r="Z165" s="59">
        <v>0.28000000000000003</v>
      </c>
      <c r="AA165" s="61">
        <v>6</v>
      </c>
      <c r="AB165" s="61">
        <v>25</v>
      </c>
      <c r="AC165" s="61" t="str">
        <v/>
      </c>
      <c r="AD165" s="62" t="str">
        <v>QFD4 → XT4</v>
      </c>
      <c r="AE165" s="62" t="str">
        <v/>
      </c>
      <c r="AF165" s="34">
        <v>4</v>
      </c>
      <c r="AG165" s="34" t="str">
        <v>QFD4</v>
      </c>
      <c r="AH165" s="34" t="str">
        <v/>
      </c>
      <c r="AI165" s="34" t="str">
        <v/>
      </c>
      <c r="AJ165" s="34" t="str">
        <v>QFD4</v>
      </c>
      <c r="AK165" s="34">
        <v>1</v>
      </c>
      <c r="AL165" s="34" t="str">
        <v>R</v>
      </c>
      <c r="AM165" s="34">
        <v>30</v>
      </c>
      <c r="AN165" s="34">
        <v>0</v>
      </c>
      <c r="AO165" s="34">
        <v>16</v>
      </c>
      <c r="AP165" s="34">
        <v>25</v>
      </c>
      <c r="AQ165" s="34">
        <v>16</v>
      </c>
      <c r="AR165" s="34">
        <v>1</v>
      </c>
      <c r="AS165" s="34">
        <v>1</v>
      </c>
      <c r="AT165" s="34" t="str">
        <v>2P</v>
      </c>
      <c r="AU165" s="34">
        <v>16</v>
      </c>
      <c r="AV165" s="34" t="str">
        <v/>
      </c>
      <c r="AW165" s="34" t="str">
        <v/>
      </c>
      <c r="AX165" s="34" t="str">
        <v/>
      </c>
      <c r="AY165" s="34">
        <v>1</v>
      </c>
      <c r="AZ165" s="34" t="str">
        <v/>
      </c>
      <c r="BA165" s="34">
        <v>0</v>
      </c>
      <c r="BB165" s="34">
        <v>16</v>
      </c>
      <c r="BD165" s="34">
        <v>1</v>
      </c>
      <c r="BE165" s="34">
        <v>0</v>
      </c>
      <c r="BF165" s="34">
        <v>1</v>
      </c>
      <c r="BG165" s="34" t="str">
        <v/>
      </c>
      <c r="BH165" s="34" t="str">
        <v/>
      </c>
      <c r="BI165" s="34" t="str">
        <v/>
      </c>
      <c r="BJ165" s="34" t="str">
        <v/>
      </c>
      <c r="BK165" s="34" t="str">
        <v>SOCKET</v>
      </c>
      <c r="BL165" s="34">
        <v>1</v>
      </c>
      <c r="BM165" s="34" t="str">
        <v/>
      </c>
      <c r="BN165" s="34" t="str">
        <v/>
      </c>
      <c r="BO165" s="34" t="str">
        <v/>
      </c>
      <c r="BP165" s="34" t="str">
        <v/>
      </c>
      <c r="BQ165" s="34" t="str">
        <v>3х2,5</v>
      </c>
      <c r="BR165" s="34" t="str">
        <v/>
      </c>
      <c r="BS165" s="34" t="str">
        <v/>
      </c>
      <c r="BT165" s="34" t="str">
        <v/>
      </c>
      <c r="BU165" s="34">
        <v>0</v>
      </c>
      <c r="BV165" s="34">
        <v>186</v>
      </c>
      <c r="BW165" s="34">
        <v>1</v>
      </c>
      <c r="BX165" s="34">
        <v>0</v>
      </c>
      <c r="BY165" s="34" t="str">
        <v>Розетка</v>
      </c>
      <c r="BZ165">
        <v>9</v>
      </c>
      <c r="CA165" t="str">
        <v>линии</v>
      </c>
    </row>
    <row r="166" spans="1:79" x14ac:dyDescent="0.3">
      <c r="A166" s="39" t="str">
        <v>ЩР-01</v>
      </c>
      <c r="B166" s="42">
        <v>13</v>
      </c>
      <c r="C166" s="42">
        <v>1</v>
      </c>
      <c r="D166" s="75" t="str">
        <v/>
      </c>
      <c r="E166" s="75" t="str">
        <v>авто</v>
      </c>
      <c r="F166" s="76" t="str">
        <v/>
      </c>
      <c r="G166" s="47" t="str">
        <v>QFD5</v>
      </c>
      <c r="H166" s="47" t="str">
        <v>2P С16А 30мА</v>
      </c>
      <c r="I166" s="75" t="str">
        <v/>
      </c>
      <c r="J166" s="76" t="str">
        <v/>
      </c>
      <c r="K166" s="76" t="str">
        <v/>
      </c>
      <c r="L166" s="75" t="str">
        <v/>
      </c>
      <c r="M166" s="49" t="str">
        <v/>
      </c>
      <c r="N166" s="76" t="str">
        <v/>
      </c>
      <c r="O166" s="49" t="str">
        <v/>
      </c>
      <c r="P166" s="77" t="str">
        <v>XT5</v>
      </c>
      <c r="Q166" s="53" t="str">
        <v>ВВГнг(А)-LS (3х2,5) L=45-0,37%</v>
      </c>
      <c r="R166" s="54" t="str">
        <v>R.0.002Б.1</v>
      </c>
      <c r="S166" s="55" t="str">
        <v>Розеточная группа Цокольный этаж Пом. №002Б</v>
      </c>
      <c r="T166" s="56">
        <v>0.24</v>
      </c>
      <c r="U166" s="56">
        <v>1.1000000000000001</v>
      </c>
      <c r="V166" s="42" t="str">
        <v>L3</v>
      </c>
      <c r="W166" s="57" t="str">
        <v>ok</v>
      </c>
      <c r="X166" s="58" t="str">
        <v/>
      </c>
      <c r="Y166" s="75" t="str">
        <v/>
      </c>
      <c r="Z166" s="59">
        <v>1.1000000000000001</v>
      </c>
      <c r="AA166" s="61">
        <v>6</v>
      </c>
      <c r="AB166" s="61">
        <v>25</v>
      </c>
      <c r="AC166" s="61" t="str">
        <v/>
      </c>
      <c r="AD166" s="62" t="str">
        <v>QFD5 → XT5</v>
      </c>
      <c r="AE166" s="62" t="str">
        <v/>
      </c>
      <c r="AF166" s="34">
        <v>5</v>
      </c>
      <c r="AG166" s="34" t="str">
        <v>QFD5</v>
      </c>
      <c r="AH166" s="34" t="str">
        <v/>
      </c>
      <c r="AI166" s="34" t="str">
        <v/>
      </c>
      <c r="AJ166" s="34" t="str">
        <v>QFD5</v>
      </c>
      <c r="AK166" s="34">
        <v>1</v>
      </c>
      <c r="AL166" s="34" t="str">
        <v>R</v>
      </c>
      <c r="AM166" s="34">
        <v>30</v>
      </c>
      <c r="AN166" s="34">
        <v>0</v>
      </c>
      <c r="AO166" s="34">
        <v>16</v>
      </c>
      <c r="AP166" s="34">
        <v>25</v>
      </c>
      <c r="AQ166" s="34">
        <v>16</v>
      </c>
      <c r="AR166" s="34">
        <v>1</v>
      </c>
      <c r="AS166" s="34">
        <v>1</v>
      </c>
      <c r="AT166" s="34" t="str">
        <v>2P</v>
      </c>
      <c r="AU166" s="34">
        <v>16</v>
      </c>
      <c r="AV166" s="34" t="str">
        <v/>
      </c>
      <c r="AW166" s="34" t="str">
        <v/>
      </c>
      <c r="AX166" s="34" t="str">
        <v/>
      </c>
      <c r="AY166" s="34">
        <v>1</v>
      </c>
      <c r="AZ166" s="34" t="str">
        <v/>
      </c>
      <c r="BA166" s="34">
        <v>0</v>
      </c>
      <c r="BB166" s="34">
        <v>16</v>
      </c>
      <c r="BD166" s="34">
        <v>1</v>
      </c>
      <c r="BE166" s="34">
        <v>0</v>
      </c>
      <c r="BF166" s="34">
        <v>1</v>
      </c>
      <c r="BG166" s="34" t="str">
        <v/>
      </c>
      <c r="BH166" s="34" t="str">
        <v/>
      </c>
      <c r="BI166" s="34" t="str">
        <v/>
      </c>
      <c r="BJ166" s="34" t="str">
        <v/>
      </c>
      <c r="BK166" s="34" t="str">
        <v>SOCKET</v>
      </c>
      <c r="BL166" s="34">
        <v>1</v>
      </c>
      <c r="BM166" s="34" t="str">
        <v/>
      </c>
      <c r="BN166" s="34" t="str">
        <v/>
      </c>
      <c r="BO166" s="34" t="str">
        <v/>
      </c>
      <c r="BP166" s="34" t="str">
        <v/>
      </c>
      <c r="BQ166" s="34" t="str">
        <v>3х2,5</v>
      </c>
      <c r="BR166" s="34" t="str">
        <v/>
      </c>
      <c r="BS166" s="34" t="str">
        <v/>
      </c>
      <c r="BT166" s="34" t="str">
        <v/>
      </c>
      <c r="BU166" s="34">
        <v>0</v>
      </c>
      <c r="BV166" s="34">
        <v>187</v>
      </c>
      <c r="BW166" s="34">
        <v>1</v>
      </c>
      <c r="BX166" s="34">
        <v>0</v>
      </c>
      <c r="BY166" s="34" t="str">
        <v>Розетка</v>
      </c>
      <c r="BZ166">
        <v>9</v>
      </c>
      <c r="CA166" t="str">
        <v>линии</v>
      </c>
    </row>
    <row r="167" spans="1:79" x14ac:dyDescent="0.3">
      <c r="A167" s="39" t="str">
        <v>ЩР-01</v>
      </c>
      <c r="B167" s="42">
        <v>14</v>
      </c>
      <c r="C167" s="42">
        <v>1</v>
      </c>
      <c r="D167" s="75" t="str">
        <v/>
      </c>
      <c r="E167" s="75" t="str">
        <v>авто</v>
      </c>
      <c r="F167" s="76" t="str">
        <v/>
      </c>
      <c r="G167" s="47" t="str">
        <v>QFD6</v>
      </c>
      <c r="H167" s="47" t="str">
        <v>2P С16А 30мА</v>
      </c>
      <c r="I167" s="75" t="str">
        <v/>
      </c>
      <c r="J167" s="76" t="str">
        <v/>
      </c>
      <c r="K167" s="76" t="str">
        <v/>
      </c>
      <c r="L167" s="75" t="str">
        <v/>
      </c>
      <c r="M167" s="49" t="str">
        <v/>
      </c>
      <c r="N167" s="76" t="str">
        <v/>
      </c>
      <c r="O167" s="49" t="str">
        <v/>
      </c>
      <c r="P167" s="77" t="str">
        <v>XT6</v>
      </c>
      <c r="Q167" s="53" t="str">
        <v>ВВГнг(А)-LS (3х2,5) L=121-2,22%</v>
      </c>
      <c r="R167" s="54" t="str">
        <v>R.0.002Б.2</v>
      </c>
      <c r="S167" s="55" t="str">
        <v>Розеточная группа Цокольный этаж Пом. №002Б</v>
      </c>
      <c r="T167" s="56">
        <v>0.54</v>
      </c>
      <c r="U167" s="56">
        <v>2.4699999999999998</v>
      </c>
      <c r="V167" s="42" t="str">
        <v>L3</v>
      </c>
      <c r="W167" s="57" t="str">
        <v>ok</v>
      </c>
      <c r="X167" s="58" t="str">
        <v/>
      </c>
      <c r="Y167" s="75" t="str">
        <v/>
      </c>
      <c r="Z167" s="59">
        <v>2.4699999999999998</v>
      </c>
      <c r="AA167" s="61">
        <v>6</v>
      </c>
      <c r="AB167" s="61">
        <v>25</v>
      </c>
      <c r="AC167" s="61" t="str">
        <v/>
      </c>
      <c r="AD167" s="62" t="str">
        <v>QFD6 → XT6</v>
      </c>
      <c r="AE167" s="62" t="str">
        <v/>
      </c>
      <c r="AF167" s="34">
        <v>6</v>
      </c>
      <c r="AG167" s="34" t="str">
        <v>QFD6</v>
      </c>
      <c r="AH167" s="34" t="str">
        <v/>
      </c>
      <c r="AI167" s="34" t="str">
        <v/>
      </c>
      <c r="AJ167" s="34" t="str">
        <v>QFD6</v>
      </c>
      <c r="AK167" s="34">
        <v>1</v>
      </c>
      <c r="AL167" s="34" t="str">
        <v>R</v>
      </c>
      <c r="AM167" s="34">
        <v>30</v>
      </c>
      <c r="AN167" s="34">
        <v>0</v>
      </c>
      <c r="AO167" s="34">
        <v>16</v>
      </c>
      <c r="AP167" s="34">
        <v>25</v>
      </c>
      <c r="AQ167" s="34">
        <v>16</v>
      </c>
      <c r="AR167" s="34">
        <v>1</v>
      </c>
      <c r="AS167" s="34">
        <v>1</v>
      </c>
      <c r="AT167" s="34" t="str">
        <v>2P</v>
      </c>
      <c r="AU167" s="34">
        <v>16</v>
      </c>
      <c r="AV167" s="34" t="str">
        <v/>
      </c>
      <c r="AW167" s="34" t="str">
        <v/>
      </c>
      <c r="AX167" s="34" t="str">
        <v/>
      </c>
      <c r="AY167" s="34">
        <v>1</v>
      </c>
      <c r="AZ167" s="34" t="str">
        <v/>
      </c>
      <c r="BA167" s="34">
        <v>0</v>
      </c>
      <c r="BB167" s="34">
        <v>16</v>
      </c>
      <c r="BD167" s="34">
        <v>1</v>
      </c>
      <c r="BE167" s="34">
        <v>0</v>
      </c>
      <c r="BF167" s="34">
        <v>1</v>
      </c>
      <c r="BG167" s="34" t="str">
        <v/>
      </c>
      <c r="BH167" s="34" t="str">
        <v/>
      </c>
      <c r="BI167" s="34" t="str">
        <v/>
      </c>
      <c r="BJ167" s="34" t="str">
        <v/>
      </c>
      <c r="BK167" s="34" t="str">
        <v>SOCKET</v>
      </c>
      <c r="BL167" s="34">
        <v>1</v>
      </c>
      <c r="BM167" s="34" t="str">
        <v/>
      </c>
      <c r="BN167" s="34" t="str">
        <v/>
      </c>
      <c r="BO167" s="34" t="str">
        <v/>
      </c>
      <c r="BP167" s="34" t="str">
        <v/>
      </c>
      <c r="BQ167" s="34" t="str">
        <v>3х2,5</v>
      </c>
      <c r="BR167" s="34" t="str">
        <v/>
      </c>
      <c r="BS167" s="34" t="str">
        <v/>
      </c>
      <c r="BT167" s="34" t="str">
        <v/>
      </c>
      <c r="BU167" s="34">
        <v>0</v>
      </c>
      <c r="BV167" s="34">
        <v>188</v>
      </c>
      <c r="BW167" s="34">
        <v>1</v>
      </c>
      <c r="BX167" s="34">
        <v>0</v>
      </c>
      <c r="BY167" s="34" t="str">
        <v>Розетка</v>
      </c>
      <c r="BZ167">
        <v>9</v>
      </c>
      <c r="CA167" t="str">
        <v>линии</v>
      </c>
    </row>
    <row r="168" spans="1:79" x14ac:dyDescent="0.3">
      <c r="A168" s="39" t="str">
        <v>ЩР-01</v>
      </c>
      <c r="B168" s="42">
        <v>15</v>
      </c>
      <c r="C168" s="42">
        <v>1</v>
      </c>
      <c r="D168" s="75" t="str">
        <v/>
      </c>
      <c r="E168" s="75" t="str">
        <v>авто</v>
      </c>
      <c r="F168" s="76" t="str">
        <v/>
      </c>
      <c r="G168" s="47" t="str">
        <v>QFD7</v>
      </c>
      <c r="H168" s="47" t="str">
        <v>2P С16А 30мА</v>
      </c>
      <c r="I168" s="75" t="str">
        <v/>
      </c>
      <c r="J168" s="76" t="str">
        <v/>
      </c>
      <c r="K168" s="76" t="str">
        <v/>
      </c>
      <c r="L168" s="75" t="str">
        <v/>
      </c>
      <c r="M168" s="49" t="str">
        <v/>
      </c>
      <c r="N168" s="76" t="str">
        <v/>
      </c>
      <c r="O168" s="49" t="str">
        <v/>
      </c>
      <c r="P168" s="77" t="str">
        <v>XT7</v>
      </c>
      <c r="Q168" s="53" t="str">
        <v>ВВГнг(А)-LS (3х2,5) L=77-0,79%</v>
      </c>
      <c r="R168" s="54" t="str">
        <v>R.0.003A.1</v>
      </c>
      <c r="S168" s="55" t="str">
        <v>Розеточная группа Цокольный этаж Пом. №003A</v>
      </c>
      <c r="T168" s="56">
        <v>0.3</v>
      </c>
      <c r="U168" s="56">
        <v>1.37</v>
      </c>
      <c r="V168" s="42" t="str">
        <v>L3</v>
      </c>
      <c r="W168" s="57" t="str">
        <v>ok</v>
      </c>
      <c r="X168" s="58" t="str">
        <v/>
      </c>
      <c r="Y168" s="75" t="str">
        <v/>
      </c>
      <c r="Z168" s="59">
        <v>1.37</v>
      </c>
      <c r="AA168" s="61">
        <v>6</v>
      </c>
      <c r="AB168" s="61">
        <v>25</v>
      </c>
      <c r="AC168" s="61" t="str">
        <v/>
      </c>
      <c r="AD168" s="62" t="str">
        <v>QFD7 → XT7</v>
      </c>
      <c r="AE168" s="62" t="str">
        <v/>
      </c>
      <c r="AF168" s="34">
        <v>7</v>
      </c>
      <c r="AG168" s="34" t="str">
        <v>QFD7</v>
      </c>
      <c r="AH168" s="34" t="str">
        <v/>
      </c>
      <c r="AI168" s="34" t="str">
        <v/>
      </c>
      <c r="AJ168" s="34" t="str">
        <v>QFD7</v>
      </c>
      <c r="AK168" s="34">
        <v>1</v>
      </c>
      <c r="AL168" s="34" t="str">
        <v>R</v>
      </c>
      <c r="AM168" s="34">
        <v>30</v>
      </c>
      <c r="AN168" s="34">
        <v>0</v>
      </c>
      <c r="AO168" s="34">
        <v>16</v>
      </c>
      <c r="AP168" s="34">
        <v>25</v>
      </c>
      <c r="AQ168" s="34">
        <v>16</v>
      </c>
      <c r="AR168" s="34">
        <v>1</v>
      </c>
      <c r="AS168" s="34">
        <v>1</v>
      </c>
      <c r="AT168" s="34" t="str">
        <v>2P</v>
      </c>
      <c r="AU168" s="34">
        <v>16</v>
      </c>
      <c r="AV168" s="34" t="str">
        <v/>
      </c>
      <c r="AW168" s="34" t="str">
        <v/>
      </c>
      <c r="AX168" s="34" t="str">
        <v/>
      </c>
      <c r="AY168" s="34">
        <v>1</v>
      </c>
      <c r="AZ168" s="34" t="str">
        <v/>
      </c>
      <c r="BA168" s="34">
        <v>0</v>
      </c>
      <c r="BB168" s="34">
        <v>16</v>
      </c>
      <c r="BD168" s="34">
        <v>1</v>
      </c>
      <c r="BE168" s="34">
        <v>0</v>
      </c>
      <c r="BF168" s="34">
        <v>1</v>
      </c>
      <c r="BG168" s="34" t="str">
        <v/>
      </c>
      <c r="BH168" s="34" t="str">
        <v/>
      </c>
      <c r="BI168" s="34" t="str">
        <v/>
      </c>
      <c r="BJ168" s="34" t="str">
        <v/>
      </c>
      <c r="BK168" s="34" t="str">
        <v>SOCKET</v>
      </c>
      <c r="BL168" s="34">
        <v>1</v>
      </c>
      <c r="BM168" s="34" t="str">
        <v/>
      </c>
      <c r="BN168" s="34" t="str">
        <v/>
      </c>
      <c r="BO168" s="34" t="str">
        <v/>
      </c>
      <c r="BP168" s="34" t="str">
        <v/>
      </c>
      <c r="BQ168" s="34" t="str">
        <v>3х2,5</v>
      </c>
      <c r="BR168" s="34" t="str">
        <v/>
      </c>
      <c r="BS168" s="34" t="str">
        <v/>
      </c>
      <c r="BT168" s="34" t="str">
        <v/>
      </c>
      <c r="BU168" s="34">
        <v>0</v>
      </c>
      <c r="BV168" s="34">
        <v>189</v>
      </c>
      <c r="BW168" s="34">
        <v>1</v>
      </c>
      <c r="BX168" s="34">
        <v>0</v>
      </c>
      <c r="BY168" s="34" t="str">
        <v>Розетка</v>
      </c>
      <c r="BZ168">
        <v>9</v>
      </c>
      <c r="CA168" t="str">
        <v>линии</v>
      </c>
    </row>
    <row r="169" spans="1:79" x14ac:dyDescent="0.3">
      <c r="A169" s="39" t="str">
        <v>ЩР-01</v>
      </c>
      <c r="B169" s="42">
        <v>16</v>
      </c>
      <c r="C169" s="42">
        <v>1</v>
      </c>
      <c r="D169" s="75" t="str">
        <v/>
      </c>
      <c r="E169" s="75" t="str">
        <v>авто</v>
      </c>
      <c r="F169" s="76" t="str">
        <v/>
      </c>
      <c r="G169" s="47" t="str">
        <v>QFD8</v>
      </c>
      <c r="H169" s="47" t="str">
        <v>2P С16А 30мА</v>
      </c>
      <c r="I169" s="75" t="str">
        <v/>
      </c>
      <c r="J169" s="76" t="str">
        <v/>
      </c>
      <c r="K169" s="76" t="str">
        <v/>
      </c>
      <c r="L169" s="75" t="str">
        <v/>
      </c>
      <c r="M169" s="49" t="str">
        <v/>
      </c>
      <c r="N169" s="76" t="str">
        <v/>
      </c>
      <c r="O169" s="49" t="str">
        <v/>
      </c>
      <c r="P169" s="77" t="str">
        <v>XT8</v>
      </c>
      <c r="Q169" s="53" t="str">
        <v>ВВГнг(А)-LS (3х2,5) L=69-0,43%</v>
      </c>
      <c r="R169" s="54" t="str">
        <v>R.0.003A.3</v>
      </c>
      <c r="S169" s="55" t="str">
        <v>Розеточная группа Цокольный этаж Пом. №003A</v>
      </c>
      <c r="T169" s="56">
        <v>0.18</v>
      </c>
      <c r="U169" s="56">
        <v>0.83</v>
      </c>
      <c r="V169" s="42" t="str">
        <v>L1</v>
      </c>
      <c r="W169" s="57" t="str">
        <v>ok</v>
      </c>
      <c r="X169" s="58" t="str">
        <v/>
      </c>
      <c r="Y169" s="75" t="str">
        <v/>
      </c>
      <c r="Z169" s="59">
        <v>0.83</v>
      </c>
      <c r="AA169" s="61">
        <v>6</v>
      </c>
      <c r="AB169" s="61">
        <v>25</v>
      </c>
      <c r="AC169" s="61" t="str">
        <v/>
      </c>
      <c r="AD169" s="62" t="str">
        <v>QFD8 → XT8</v>
      </c>
      <c r="AE169" s="62" t="str">
        <v/>
      </c>
      <c r="AF169" s="34">
        <v>8</v>
      </c>
      <c r="AG169" s="34" t="str">
        <v>QFD8</v>
      </c>
      <c r="AH169" s="34" t="str">
        <v/>
      </c>
      <c r="AI169" s="34" t="str">
        <v/>
      </c>
      <c r="AJ169" s="34" t="str">
        <v>QFD8</v>
      </c>
      <c r="AK169" s="34">
        <v>1</v>
      </c>
      <c r="AL169" s="34" t="str">
        <v>R</v>
      </c>
      <c r="AM169" s="34">
        <v>30</v>
      </c>
      <c r="AN169" s="34">
        <v>0</v>
      </c>
      <c r="AO169" s="34">
        <v>16</v>
      </c>
      <c r="AP169" s="34">
        <v>25</v>
      </c>
      <c r="AQ169" s="34">
        <v>16</v>
      </c>
      <c r="AR169" s="34">
        <v>1</v>
      </c>
      <c r="AS169" s="34">
        <v>1</v>
      </c>
      <c r="AT169" s="34" t="str">
        <v>2P</v>
      </c>
      <c r="AU169" s="34">
        <v>16</v>
      </c>
      <c r="AV169" s="34" t="str">
        <v/>
      </c>
      <c r="AW169" s="34" t="str">
        <v/>
      </c>
      <c r="AX169" s="34" t="str">
        <v/>
      </c>
      <c r="AY169" s="34">
        <v>1</v>
      </c>
      <c r="AZ169" s="34" t="str">
        <v/>
      </c>
      <c r="BA169" s="34">
        <v>0</v>
      </c>
      <c r="BB169" s="34">
        <v>16</v>
      </c>
      <c r="BD169" s="34">
        <v>1</v>
      </c>
      <c r="BE169" s="34">
        <v>0</v>
      </c>
      <c r="BF169" s="34">
        <v>1</v>
      </c>
      <c r="BG169" s="34" t="str">
        <v/>
      </c>
      <c r="BH169" s="34" t="str">
        <v/>
      </c>
      <c r="BI169" s="34" t="str">
        <v/>
      </c>
      <c r="BJ169" s="34" t="str">
        <v/>
      </c>
      <c r="BK169" s="34" t="str">
        <v>SOCKET</v>
      </c>
      <c r="BL169" s="34">
        <v>1</v>
      </c>
      <c r="BM169" s="34" t="str">
        <v/>
      </c>
      <c r="BN169" s="34" t="str">
        <v/>
      </c>
      <c r="BO169" s="34" t="str">
        <v/>
      </c>
      <c r="BP169" s="34" t="str">
        <v/>
      </c>
      <c r="BQ169" s="34" t="str">
        <v>3х2,5</v>
      </c>
      <c r="BR169" s="34" t="str">
        <v/>
      </c>
      <c r="BS169" s="34" t="str">
        <v/>
      </c>
      <c r="BT169" s="34" t="str">
        <v/>
      </c>
      <c r="BU169" s="34">
        <v>0</v>
      </c>
      <c r="BV169" s="34">
        <v>190</v>
      </c>
      <c r="BW169" s="34">
        <v>1</v>
      </c>
      <c r="BX169" s="34">
        <v>0</v>
      </c>
      <c r="BY169" s="34" t="str">
        <v>Розетка</v>
      </c>
      <c r="BZ169">
        <v>9</v>
      </c>
      <c r="CA169" t="str">
        <v>линии</v>
      </c>
    </row>
    <row r="170" spans="1:79" x14ac:dyDescent="0.3">
      <c r="A170" s="39" t="str">
        <v>ЩР-01</v>
      </c>
      <c r="B170" s="42">
        <v>19</v>
      </c>
      <c r="C170" s="42">
        <v>2</v>
      </c>
      <c r="D170" s="75" t="str">
        <v/>
      </c>
      <c r="E170" s="75" t="str">
        <v>авто</v>
      </c>
      <c r="F170" s="76" t="str">
        <v/>
      </c>
      <c r="G170" s="47" t="str">
        <v>QFD9</v>
      </c>
      <c r="H170" s="47" t="str">
        <v>2P С16А 30мА</v>
      </c>
      <c r="I170" s="75" t="str">
        <v/>
      </c>
      <c r="J170" s="76" t="str">
        <v/>
      </c>
      <c r="K170" s="76" t="str">
        <v/>
      </c>
      <c r="L170" s="75" t="str">
        <v/>
      </c>
      <c r="M170" s="49" t="str">
        <v/>
      </c>
      <c r="N170" s="76" t="str">
        <v/>
      </c>
      <c r="O170" s="49" t="str">
        <v/>
      </c>
      <c r="P170" s="77" t="str">
        <v/>
      </c>
      <c r="Q170" s="53" t="str">
        <v>ВВГнг(А)-LS (3х2,5) L=47-0,1%</v>
      </c>
      <c r="R170" s="54" t="str">
        <v>R.0.003Б.1</v>
      </c>
      <c r="S170" s="55" t="str">
        <v>Розеточная группа Цокольный этаж Пом. №003Б</v>
      </c>
      <c r="T170" s="56">
        <v>0.06</v>
      </c>
      <c r="U170" s="56">
        <v>0.28000000000000003</v>
      </c>
      <c r="V170" s="42" t="str">
        <v>L2</v>
      </c>
      <c r="W170" s="57" t="str">
        <v>ok</v>
      </c>
      <c r="X170" s="58" t="str">
        <v/>
      </c>
      <c r="Y170" s="75" t="str">
        <v/>
      </c>
      <c r="Z170" s="59">
        <v>0.28000000000000003</v>
      </c>
      <c r="AA170" s="61">
        <v>6</v>
      </c>
      <c r="AB170" s="61">
        <v>25</v>
      </c>
      <c r="AC170" s="61" t="str">
        <v/>
      </c>
      <c r="AD170" s="62" t="str">
        <v>QFD9</v>
      </c>
      <c r="AE170" s="62" t="str">
        <v/>
      </c>
      <c r="AF170" s="34">
        <v>9</v>
      </c>
      <c r="AG170" s="34" t="str">
        <v>QFD9</v>
      </c>
      <c r="AH170" s="34" t="str">
        <v/>
      </c>
      <c r="AI170" s="34" t="str">
        <v/>
      </c>
      <c r="AJ170" s="34" t="str">
        <v>QFD9</v>
      </c>
      <c r="AK170" s="34">
        <v>1</v>
      </c>
      <c r="AL170" s="34" t="str">
        <v>R</v>
      </c>
      <c r="AM170" s="34">
        <v>30</v>
      </c>
      <c r="AN170" s="34">
        <v>0</v>
      </c>
      <c r="AO170" s="34">
        <v>16</v>
      </c>
      <c r="AP170" s="34">
        <v>25</v>
      </c>
      <c r="AQ170" s="34">
        <v>16</v>
      </c>
      <c r="AR170" s="34">
        <v>1</v>
      </c>
      <c r="AS170" s="34">
        <v>1</v>
      </c>
      <c r="AT170" s="34" t="str">
        <v>2P</v>
      </c>
      <c r="AU170" s="34">
        <v>16</v>
      </c>
      <c r="AV170" s="34" t="str">
        <v/>
      </c>
      <c r="AW170" s="34" t="str">
        <v/>
      </c>
      <c r="AX170" s="34" t="str">
        <v/>
      </c>
      <c r="AY170" s="34">
        <v>1</v>
      </c>
      <c r="AZ170" s="34" t="str">
        <v/>
      </c>
      <c r="BA170" s="34">
        <v>0</v>
      </c>
      <c r="BB170" s="34">
        <v>16</v>
      </c>
      <c r="BD170" s="34">
        <v>1</v>
      </c>
      <c r="BE170" s="34">
        <v>0</v>
      </c>
      <c r="BF170" s="34">
        <v>1</v>
      </c>
      <c r="BG170" s="34" t="str">
        <v/>
      </c>
      <c r="BH170" s="34" t="str">
        <v/>
      </c>
      <c r="BI170" s="34" t="str">
        <v/>
      </c>
      <c r="BJ170" s="34" t="str">
        <v/>
      </c>
      <c r="BK170" s="34" t="str">
        <v>SOCKET</v>
      </c>
      <c r="BL170" s="34">
        <v>1</v>
      </c>
      <c r="BM170" s="34" t="str">
        <v/>
      </c>
      <c r="BN170" s="34" t="str">
        <v/>
      </c>
      <c r="BO170" s="34" t="str">
        <v/>
      </c>
      <c r="BP170" s="34" t="str">
        <v/>
      </c>
      <c r="BQ170" s="34" t="str">
        <v>3х2,5</v>
      </c>
      <c r="BR170" s="34" t="str">
        <v/>
      </c>
      <c r="BS170" s="34" t="str">
        <v/>
      </c>
      <c r="BT170" s="34" t="str">
        <v/>
      </c>
      <c r="BU170" s="34">
        <v>0</v>
      </c>
      <c r="BV170" s="34">
        <v>191</v>
      </c>
      <c r="BW170" s="34">
        <v>1</v>
      </c>
      <c r="BX170" s="34">
        <v>0</v>
      </c>
      <c r="BY170" s="34" t="str">
        <v>Розетка</v>
      </c>
      <c r="BZ170">
        <v>9</v>
      </c>
      <c r="CA170" t="str">
        <v>линии</v>
      </c>
    </row>
    <row r="171" spans="1:79" x14ac:dyDescent="0.3">
      <c r="A171" s="39" t="str">
        <v>ЩР-01</v>
      </c>
      <c r="B171" s="42">
        <v>20</v>
      </c>
      <c r="C171" s="42">
        <v>2</v>
      </c>
      <c r="D171" s="75" t="str">
        <v/>
      </c>
      <c r="E171" s="75" t="str">
        <v>авто</v>
      </c>
      <c r="F171" s="76" t="str">
        <v/>
      </c>
      <c r="G171" s="47" t="str">
        <v>QFD10</v>
      </c>
      <c r="H171" s="47" t="str">
        <v>2P С16А 30мА</v>
      </c>
      <c r="I171" s="75" t="str">
        <v/>
      </c>
      <c r="J171" s="76" t="str">
        <v/>
      </c>
      <c r="K171" s="76" t="str">
        <v/>
      </c>
      <c r="L171" s="75" t="str">
        <v/>
      </c>
      <c r="M171" s="49" t="str">
        <v/>
      </c>
      <c r="N171" s="76" t="str">
        <v/>
      </c>
      <c r="O171" s="49" t="str">
        <v/>
      </c>
      <c r="P171" s="77" t="str">
        <v>XT10</v>
      </c>
      <c r="Q171" s="53" t="str">
        <v>ВВГнг(А)-LS (3х2,5) L=35-0,22%</v>
      </c>
      <c r="R171" s="54" t="str">
        <v>R.0.004Б.1</v>
      </c>
      <c r="S171" s="55" t="str">
        <v>Розеточная группа Цокольный этаж Пом. №004Б</v>
      </c>
      <c r="T171" s="56">
        <v>0.18</v>
      </c>
      <c r="U171" s="56">
        <v>0.83</v>
      </c>
      <c r="V171" s="42" t="str">
        <v>L3</v>
      </c>
      <c r="W171" s="57" t="str">
        <v>ok</v>
      </c>
      <c r="X171" s="58" t="str">
        <v/>
      </c>
      <c r="Y171" s="75" t="str">
        <v/>
      </c>
      <c r="Z171" s="59">
        <v>0.83</v>
      </c>
      <c r="AA171" s="61">
        <v>6</v>
      </c>
      <c r="AB171" s="61">
        <v>25</v>
      </c>
      <c r="AC171" s="61" t="str">
        <v/>
      </c>
      <c r="AD171" s="62" t="str">
        <v>QFD10 → XT10</v>
      </c>
      <c r="AE171" s="62" t="str">
        <v/>
      </c>
      <c r="AF171" s="34">
        <v>10</v>
      </c>
      <c r="AG171" s="34" t="str">
        <v>QFD10</v>
      </c>
      <c r="AH171" s="34" t="str">
        <v/>
      </c>
      <c r="AI171" s="34" t="str">
        <v/>
      </c>
      <c r="AJ171" s="34" t="str">
        <v>QFD10</v>
      </c>
      <c r="AK171" s="34">
        <v>1</v>
      </c>
      <c r="AL171" s="34" t="str">
        <v>R</v>
      </c>
      <c r="AM171" s="34">
        <v>30</v>
      </c>
      <c r="AN171" s="34">
        <v>0</v>
      </c>
      <c r="AO171" s="34">
        <v>16</v>
      </c>
      <c r="AP171" s="34">
        <v>25</v>
      </c>
      <c r="AQ171" s="34">
        <v>16</v>
      </c>
      <c r="AR171" s="34">
        <v>1</v>
      </c>
      <c r="AS171" s="34">
        <v>1</v>
      </c>
      <c r="AT171" s="34" t="str">
        <v>2P</v>
      </c>
      <c r="AU171" s="34">
        <v>16</v>
      </c>
      <c r="AV171" s="34" t="str">
        <v/>
      </c>
      <c r="AW171" s="34" t="str">
        <v/>
      </c>
      <c r="AX171" s="34" t="str">
        <v/>
      </c>
      <c r="AY171" s="34">
        <v>1</v>
      </c>
      <c r="AZ171" s="34" t="str">
        <v/>
      </c>
      <c r="BA171" s="34">
        <v>0</v>
      </c>
      <c r="BB171" s="34">
        <v>16</v>
      </c>
      <c r="BD171" s="34">
        <v>1</v>
      </c>
      <c r="BE171" s="34">
        <v>0</v>
      </c>
      <c r="BF171" s="34">
        <v>1</v>
      </c>
      <c r="BG171" s="34" t="str">
        <v/>
      </c>
      <c r="BH171" s="34" t="str">
        <v/>
      </c>
      <c r="BI171" s="34" t="str">
        <v/>
      </c>
      <c r="BJ171" s="34" t="str">
        <v/>
      </c>
      <c r="BK171" s="34" t="str">
        <v>SOCKET</v>
      </c>
      <c r="BL171" s="34">
        <v>1</v>
      </c>
      <c r="BM171" s="34" t="str">
        <v/>
      </c>
      <c r="BN171" s="34" t="str">
        <v/>
      </c>
      <c r="BO171" s="34" t="str">
        <v/>
      </c>
      <c r="BP171" s="34" t="str">
        <v/>
      </c>
      <c r="BQ171" s="34" t="str">
        <v>3х2,5</v>
      </c>
      <c r="BR171" s="34" t="str">
        <v/>
      </c>
      <c r="BS171" s="34" t="str">
        <v/>
      </c>
      <c r="BT171" s="34" t="str">
        <v/>
      </c>
      <c r="BU171" s="34">
        <v>0</v>
      </c>
      <c r="BV171" s="34">
        <v>192</v>
      </c>
      <c r="BW171" s="34">
        <v>1</v>
      </c>
      <c r="BX171" s="34">
        <v>0</v>
      </c>
      <c r="BY171" s="34" t="str">
        <v>Розетка</v>
      </c>
      <c r="BZ171">
        <v>9</v>
      </c>
      <c r="CA171" t="str">
        <v>линии</v>
      </c>
    </row>
    <row r="172" spans="1:79" x14ac:dyDescent="0.3">
      <c r="A172" s="39" t="str">
        <v>ЩР-01</v>
      </c>
      <c r="B172" s="42">
        <v>21</v>
      </c>
      <c r="C172" s="42">
        <v>2</v>
      </c>
      <c r="D172" s="75" t="str">
        <v/>
      </c>
      <c r="E172" s="75" t="str">
        <v>авто</v>
      </c>
      <c r="F172" s="76" t="str">
        <v/>
      </c>
      <c r="G172" s="47" t="str">
        <v>QFD11</v>
      </c>
      <c r="H172" s="47" t="str">
        <v>2P С16А 30мА</v>
      </c>
      <c r="I172" s="75" t="str">
        <v/>
      </c>
      <c r="J172" s="76" t="str">
        <v/>
      </c>
      <c r="K172" s="76" t="str">
        <v/>
      </c>
      <c r="L172" s="75" t="str">
        <v/>
      </c>
      <c r="M172" s="49" t="str">
        <v/>
      </c>
      <c r="N172" s="76" t="str">
        <v/>
      </c>
      <c r="O172" s="49" t="str">
        <v/>
      </c>
      <c r="P172" s="77" t="str">
        <v/>
      </c>
      <c r="Q172" s="53" t="str">
        <v>ВВГнг(А)-LS (3х2,5) L=19-1,42%</v>
      </c>
      <c r="R172" s="54" t="str">
        <v>R.0.004Б.2</v>
      </c>
      <c r="S172" s="55" t="str">
        <v>Розеточная группа Цокольный этаж Пом. №004Б Сушильная машина</v>
      </c>
      <c r="T172" s="56">
        <v>2.2000000000000002</v>
      </c>
      <c r="U172" s="56">
        <v>10.029999999999999</v>
      </c>
      <c r="V172" s="42" t="str">
        <v>L2</v>
      </c>
      <c r="W172" s="57" t="str">
        <v>ok</v>
      </c>
      <c r="X172" s="58" t="str">
        <v/>
      </c>
      <c r="Y172" s="75" t="str">
        <v/>
      </c>
      <c r="Z172" s="59">
        <v>10.029999999999999</v>
      </c>
      <c r="AA172" s="61">
        <v>16</v>
      </c>
      <c r="AB172" s="61">
        <v>25</v>
      </c>
      <c r="AC172" s="61" t="str">
        <v/>
      </c>
      <c r="AD172" s="62" t="str">
        <v>QFD11</v>
      </c>
      <c r="AE172" s="62" t="str">
        <v/>
      </c>
      <c r="AF172" s="34">
        <v>11</v>
      </c>
      <c r="AG172" s="34" t="str">
        <v>QFD11</v>
      </c>
      <c r="AH172" s="34" t="str">
        <v/>
      </c>
      <c r="AI172" s="34" t="str">
        <v/>
      </c>
      <c r="AJ172" s="34" t="str">
        <v>QFD11</v>
      </c>
      <c r="AK172" s="34">
        <v>1</v>
      </c>
      <c r="AL172" s="34" t="str">
        <v>R</v>
      </c>
      <c r="AM172" s="34">
        <v>30</v>
      </c>
      <c r="AN172" s="34">
        <v>0</v>
      </c>
      <c r="AO172" s="34">
        <v>16</v>
      </c>
      <c r="AP172" s="34">
        <v>25</v>
      </c>
      <c r="AQ172" s="34">
        <v>16</v>
      </c>
      <c r="AR172" s="34">
        <v>1</v>
      </c>
      <c r="AS172" s="34">
        <v>1</v>
      </c>
      <c r="AT172" s="34" t="str">
        <v>2P</v>
      </c>
      <c r="AU172" s="34">
        <v>16</v>
      </c>
      <c r="AV172" s="34" t="str">
        <v/>
      </c>
      <c r="AW172" s="34" t="str">
        <v/>
      </c>
      <c r="AX172" s="34" t="str">
        <v/>
      </c>
      <c r="AY172" s="34">
        <v>1</v>
      </c>
      <c r="AZ172" s="34" t="str">
        <v/>
      </c>
      <c r="BA172" s="34">
        <v>0</v>
      </c>
      <c r="BB172" s="34">
        <v>16</v>
      </c>
      <c r="BD172" s="34">
        <v>1</v>
      </c>
      <c r="BE172" s="34">
        <v>0</v>
      </c>
      <c r="BF172" s="34">
        <v>1</v>
      </c>
      <c r="BG172" s="34" t="str">
        <v/>
      </c>
      <c r="BH172" s="34" t="str">
        <v/>
      </c>
      <c r="BI172" s="34" t="str">
        <v/>
      </c>
      <c r="BJ172" s="34" t="str">
        <v/>
      </c>
      <c r="BK172" s="34" t="str">
        <v>SOCKET</v>
      </c>
      <c r="BL172" s="34">
        <v>1</v>
      </c>
      <c r="BM172" s="34" t="str">
        <v/>
      </c>
      <c r="BN172" s="34" t="str">
        <v/>
      </c>
      <c r="BO172" s="34" t="str">
        <v/>
      </c>
      <c r="BP172" s="34" t="str">
        <v/>
      </c>
      <c r="BQ172" s="34" t="str">
        <v>3х2,5</v>
      </c>
      <c r="BR172" s="34" t="str">
        <v/>
      </c>
      <c r="BS172" s="34" t="str">
        <v/>
      </c>
      <c r="BT172" s="34" t="str">
        <v/>
      </c>
      <c r="BU172" s="34">
        <v>0</v>
      </c>
      <c r="BV172" s="34">
        <v>193</v>
      </c>
      <c r="BW172" s="34">
        <v>1</v>
      </c>
      <c r="BX172" s="34">
        <v>0</v>
      </c>
      <c r="BY172" s="34" t="str">
        <v>Розетка</v>
      </c>
      <c r="BZ172">
        <v>9</v>
      </c>
      <c r="CA172" t="str">
        <v>линии</v>
      </c>
    </row>
    <row r="173" spans="1:79" x14ac:dyDescent="0.3">
      <c r="A173" s="39" t="str">
        <v>ЩР-01</v>
      </c>
      <c r="B173" s="42">
        <v>22</v>
      </c>
      <c r="C173" s="42">
        <v>2</v>
      </c>
      <c r="D173" s="75" t="str">
        <v/>
      </c>
      <c r="E173" s="75" t="str">
        <v>авто</v>
      </c>
      <c r="F173" s="76" t="str">
        <v/>
      </c>
      <c r="G173" s="47" t="str">
        <v>QFD12</v>
      </c>
      <c r="H173" s="47" t="str">
        <v>2P С16А 30мА</v>
      </c>
      <c r="I173" s="75" t="str">
        <v/>
      </c>
      <c r="J173" s="76" t="str">
        <v/>
      </c>
      <c r="K173" s="76" t="str">
        <v/>
      </c>
      <c r="L173" s="75" t="str">
        <v/>
      </c>
      <c r="M173" s="49" t="str">
        <v/>
      </c>
      <c r="N173" s="76" t="str">
        <v/>
      </c>
      <c r="O173" s="49" t="str">
        <v/>
      </c>
      <c r="P173" s="77" t="str">
        <v/>
      </c>
      <c r="Q173" s="53" t="str">
        <v>ВВГнг(А)-LS (3х2,5) L=29-2,17%</v>
      </c>
      <c r="R173" s="54" t="str">
        <v>R.0.004Б.3</v>
      </c>
      <c r="S173" s="55" t="str">
        <v>Розеточная группа Цокольный этаж Пом. №004Б Стиральная машина</v>
      </c>
      <c r="T173" s="56">
        <v>2.2000000000000002</v>
      </c>
      <c r="U173" s="56">
        <v>10.029999999999999</v>
      </c>
      <c r="V173" s="42" t="str">
        <v>L3</v>
      </c>
      <c r="W173" s="57" t="str">
        <v>ok</v>
      </c>
      <c r="X173" s="58" t="str">
        <v/>
      </c>
      <c r="Y173" s="75" t="str">
        <v/>
      </c>
      <c r="Z173" s="59">
        <v>10.029999999999999</v>
      </c>
      <c r="AA173" s="61">
        <v>16</v>
      </c>
      <c r="AB173" s="61">
        <v>25</v>
      </c>
      <c r="AC173" s="61" t="str">
        <v/>
      </c>
      <c r="AD173" s="62" t="str">
        <v>QFD12</v>
      </c>
      <c r="AE173" s="62" t="str">
        <v/>
      </c>
      <c r="AF173" s="34">
        <v>12</v>
      </c>
      <c r="AG173" s="34" t="str">
        <v>QFD12</v>
      </c>
      <c r="AH173" s="34" t="str">
        <v/>
      </c>
      <c r="AI173" s="34" t="str">
        <v/>
      </c>
      <c r="AJ173" s="34" t="str">
        <v>QFD12</v>
      </c>
      <c r="AK173" s="34">
        <v>1</v>
      </c>
      <c r="AL173" s="34" t="str">
        <v>R</v>
      </c>
      <c r="AM173" s="34">
        <v>30</v>
      </c>
      <c r="AN173" s="34">
        <v>0</v>
      </c>
      <c r="AO173" s="34">
        <v>16</v>
      </c>
      <c r="AP173" s="34">
        <v>25</v>
      </c>
      <c r="AQ173" s="34">
        <v>16</v>
      </c>
      <c r="AR173" s="34">
        <v>1</v>
      </c>
      <c r="AS173" s="34">
        <v>1</v>
      </c>
      <c r="AT173" s="34" t="str">
        <v>2P</v>
      </c>
      <c r="AU173" s="34">
        <v>16</v>
      </c>
      <c r="AV173" s="34" t="str">
        <v/>
      </c>
      <c r="AW173" s="34" t="str">
        <v/>
      </c>
      <c r="AX173" s="34" t="str">
        <v/>
      </c>
      <c r="AY173" s="34">
        <v>1</v>
      </c>
      <c r="AZ173" s="34" t="str">
        <v/>
      </c>
      <c r="BA173" s="34">
        <v>0</v>
      </c>
      <c r="BB173" s="34">
        <v>16</v>
      </c>
      <c r="BD173" s="34">
        <v>1</v>
      </c>
      <c r="BE173" s="34">
        <v>0</v>
      </c>
      <c r="BF173" s="34">
        <v>1</v>
      </c>
      <c r="BG173" s="34" t="str">
        <v/>
      </c>
      <c r="BH173" s="34" t="str">
        <v/>
      </c>
      <c r="BI173" s="34" t="str">
        <v/>
      </c>
      <c r="BJ173" s="34" t="str">
        <v/>
      </c>
      <c r="BK173" s="34" t="str">
        <v>SOCKET</v>
      </c>
      <c r="BL173" s="34">
        <v>1</v>
      </c>
      <c r="BM173" s="34" t="str">
        <v/>
      </c>
      <c r="BN173" s="34" t="str">
        <v/>
      </c>
      <c r="BO173" s="34" t="str">
        <v/>
      </c>
      <c r="BP173" s="34" t="str">
        <v/>
      </c>
      <c r="BQ173" s="34" t="str">
        <v>3х2,5</v>
      </c>
      <c r="BR173" s="34" t="str">
        <v/>
      </c>
      <c r="BS173" s="34" t="str">
        <v/>
      </c>
      <c r="BT173" s="34" t="str">
        <v/>
      </c>
      <c r="BU173" s="34">
        <v>0</v>
      </c>
      <c r="BV173" s="34">
        <v>194</v>
      </c>
      <c r="BW173" s="34">
        <v>1</v>
      </c>
      <c r="BX173" s="34">
        <v>0</v>
      </c>
      <c r="BY173" s="34" t="str">
        <v>Розетка</v>
      </c>
      <c r="BZ173">
        <v>9</v>
      </c>
      <c r="CA173" t="str">
        <v>линии</v>
      </c>
    </row>
    <row r="174" spans="1:79" x14ac:dyDescent="0.3">
      <c r="A174" s="39" t="str">
        <v>ЩР-01</v>
      </c>
      <c r="B174" s="42">
        <v>23</v>
      </c>
      <c r="C174" s="42">
        <v>2</v>
      </c>
      <c r="D174" s="75" t="str">
        <v/>
      </c>
      <c r="E174" s="75" t="str">
        <v>авто</v>
      </c>
      <c r="F174" s="76" t="str">
        <v/>
      </c>
      <c r="G174" s="47" t="str">
        <v>QFD13</v>
      </c>
      <c r="H174" s="47" t="str">
        <v>2P С16А 30мА</v>
      </c>
      <c r="I174" s="75" t="str">
        <v/>
      </c>
      <c r="J174" s="76" t="str">
        <v/>
      </c>
      <c r="K174" s="76" t="str">
        <v/>
      </c>
      <c r="L174" s="75" t="str">
        <v/>
      </c>
      <c r="M174" s="49" t="str">
        <v/>
      </c>
      <c r="N174" s="76" t="str">
        <v/>
      </c>
      <c r="O174" s="49" t="str">
        <v/>
      </c>
      <c r="P174" s="77" t="str">
        <v/>
      </c>
      <c r="Q174" s="53" t="str">
        <v>ВВГнг(А)-LS (3х2,5) L=61-0,38%</v>
      </c>
      <c r="R174" s="54" t="str">
        <v>R.0.006A.1</v>
      </c>
      <c r="S174" s="55" t="str">
        <v>Розеточная группа Цокольный этаж Пом. №006A</v>
      </c>
      <c r="T174" s="56">
        <v>0.18</v>
      </c>
      <c r="U174" s="56">
        <v>0.83</v>
      </c>
      <c r="V174" s="42" t="str">
        <v>L2</v>
      </c>
      <c r="W174" s="57" t="str">
        <v>ok</v>
      </c>
      <c r="X174" s="58" t="str">
        <v/>
      </c>
      <c r="Y174" s="75" t="str">
        <v/>
      </c>
      <c r="Z174" s="59">
        <v>0.83</v>
      </c>
      <c r="AA174" s="61">
        <v>6</v>
      </c>
      <c r="AB174" s="61">
        <v>25</v>
      </c>
      <c r="AC174" s="61" t="str">
        <v/>
      </c>
      <c r="AD174" s="62" t="str">
        <v>QFD13</v>
      </c>
      <c r="AE174" s="62" t="str">
        <v/>
      </c>
      <c r="AF174" s="34">
        <v>13</v>
      </c>
      <c r="AG174" s="34" t="str">
        <v>QFD13</v>
      </c>
      <c r="AH174" s="34" t="str">
        <v/>
      </c>
      <c r="AI174" s="34" t="str">
        <v/>
      </c>
      <c r="AJ174" s="34" t="str">
        <v>QFD13</v>
      </c>
      <c r="AK174" s="34">
        <v>1</v>
      </c>
      <c r="AL174" s="34" t="str">
        <v>R</v>
      </c>
      <c r="AM174" s="34">
        <v>30</v>
      </c>
      <c r="AN174" s="34">
        <v>0</v>
      </c>
      <c r="AO174" s="34">
        <v>16</v>
      </c>
      <c r="AP174" s="34">
        <v>25</v>
      </c>
      <c r="AQ174" s="34">
        <v>16</v>
      </c>
      <c r="AR174" s="34">
        <v>1</v>
      </c>
      <c r="AS174" s="34">
        <v>1</v>
      </c>
      <c r="AT174" s="34" t="str">
        <v>2P</v>
      </c>
      <c r="AU174" s="34">
        <v>16</v>
      </c>
      <c r="AV174" s="34" t="str">
        <v/>
      </c>
      <c r="AW174" s="34" t="str">
        <v/>
      </c>
      <c r="AX174" s="34" t="str">
        <v/>
      </c>
      <c r="AY174" s="34">
        <v>1</v>
      </c>
      <c r="AZ174" s="34" t="str">
        <v/>
      </c>
      <c r="BA174" s="34">
        <v>0</v>
      </c>
      <c r="BB174" s="34">
        <v>16</v>
      </c>
      <c r="BD174" s="34">
        <v>1</v>
      </c>
      <c r="BE174" s="34">
        <v>0</v>
      </c>
      <c r="BF174" s="34">
        <v>1</v>
      </c>
      <c r="BG174" s="34" t="str">
        <v/>
      </c>
      <c r="BH174" s="34" t="str">
        <v/>
      </c>
      <c r="BI174" s="34" t="str">
        <v/>
      </c>
      <c r="BJ174" s="34" t="str">
        <v/>
      </c>
      <c r="BK174" s="34" t="str">
        <v>SOCKET</v>
      </c>
      <c r="BL174" s="34">
        <v>1</v>
      </c>
      <c r="BM174" s="34" t="str">
        <v/>
      </c>
      <c r="BN174" s="34" t="str">
        <v/>
      </c>
      <c r="BO174" s="34" t="str">
        <v/>
      </c>
      <c r="BP174" s="34" t="str">
        <v/>
      </c>
      <c r="BQ174" s="34" t="str">
        <v>3х2,5</v>
      </c>
      <c r="BR174" s="34" t="str">
        <v/>
      </c>
      <c r="BS174" s="34" t="str">
        <v/>
      </c>
      <c r="BT174" s="34" t="str">
        <v/>
      </c>
      <c r="BU174" s="34">
        <v>0</v>
      </c>
      <c r="BV174" s="34">
        <v>195</v>
      </c>
      <c r="BW174" s="34">
        <v>1</v>
      </c>
      <c r="BX174" s="34">
        <v>0</v>
      </c>
      <c r="BY174" s="34" t="str">
        <v>Розетка</v>
      </c>
      <c r="BZ174">
        <v>9</v>
      </c>
      <c r="CA174" t="str">
        <v>линии</v>
      </c>
    </row>
    <row r="175" spans="1:79" x14ac:dyDescent="0.3">
      <c r="A175" s="39" t="str">
        <v>ЩР-01</v>
      </c>
      <c r="B175" s="42">
        <v>24</v>
      </c>
      <c r="C175" s="42">
        <v>2</v>
      </c>
      <c r="D175" s="75" t="str">
        <v/>
      </c>
      <c r="E175" s="75" t="str">
        <v>авто</v>
      </c>
      <c r="F175" s="76" t="str">
        <v/>
      </c>
      <c r="G175" s="47" t="str">
        <v>QFD14</v>
      </c>
      <c r="H175" s="47" t="str">
        <v>2P С16А 30мА</v>
      </c>
      <c r="I175" s="75" t="str">
        <v/>
      </c>
      <c r="J175" s="76" t="str">
        <v/>
      </c>
      <c r="K175" s="76" t="str">
        <v/>
      </c>
      <c r="L175" s="75" t="str">
        <v/>
      </c>
      <c r="M175" s="49" t="str">
        <v/>
      </c>
      <c r="N175" s="76" t="str">
        <v/>
      </c>
      <c r="O175" s="49" t="str">
        <v/>
      </c>
      <c r="P175" s="77" t="str">
        <v/>
      </c>
      <c r="Q175" s="53" t="str">
        <v>ВВГнг(А)-LS (3х2,5) L=29-0,12%</v>
      </c>
      <c r="R175" s="54" t="str">
        <v>R.0.007A.1</v>
      </c>
      <c r="S175" s="55" t="str">
        <v>Розеточная группа Цокольный этаж Пом. №007A</v>
      </c>
      <c r="T175" s="56">
        <v>0.12</v>
      </c>
      <c r="U175" s="56">
        <v>0.55000000000000004</v>
      </c>
      <c r="V175" s="42" t="str">
        <v>L2</v>
      </c>
      <c r="W175" s="57" t="str">
        <v>ok</v>
      </c>
      <c r="X175" s="58" t="str">
        <v/>
      </c>
      <c r="Y175" s="75" t="str">
        <v/>
      </c>
      <c r="Z175" s="59">
        <v>0.55000000000000004</v>
      </c>
      <c r="AA175" s="61">
        <v>6</v>
      </c>
      <c r="AB175" s="61">
        <v>25</v>
      </c>
      <c r="AC175" s="61" t="str">
        <v/>
      </c>
      <c r="AD175" s="62" t="str">
        <v>QFD14</v>
      </c>
      <c r="AE175" s="62" t="str">
        <v/>
      </c>
      <c r="AF175" s="34">
        <v>14</v>
      </c>
      <c r="AG175" s="34" t="str">
        <v>QFD14</v>
      </c>
      <c r="AH175" s="34" t="str">
        <v/>
      </c>
      <c r="AI175" s="34" t="str">
        <v/>
      </c>
      <c r="AJ175" s="34" t="str">
        <v>QFD14</v>
      </c>
      <c r="AK175" s="34">
        <v>1</v>
      </c>
      <c r="AL175" s="34" t="str">
        <v>R</v>
      </c>
      <c r="AM175" s="34">
        <v>30</v>
      </c>
      <c r="AN175" s="34">
        <v>0</v>
      </c>
      <c r="AO175" s="34">
        <v>16</v>
      </c>
      <c r="AP175" s="34">
        <v>25</v>
      </c>
      <c r="AQ175" s="34">
        <v>16</v>
      </c>
      <c r="AR175" s="34">
        <v>1</v>
      </c>
      <c r="AS175" s="34">
        <v>1</v>
      </c>
      <c r="AT175" s="34" t="str">
        <v>2P</v>
      </c>
      <c r="AU175" s="34">
        <v>16</v>
      </c>
      <c r="AV175" s="34" t="str">
        <v/>
      </c>
      <c r="AW175" s="34" t="str">
        <v/>
      </c>
      <c r="AX175" s="34" t="str">
        <v/>
      </c>
      <c r="AY175" s="34">
        <v>1</v>
      </c>
      <c r="AZ175" s="34" t="str">
        <v/>
      </c>
      <c r="BA175" s="34">
        <v>0</v>
      </c>
      <c r="BB175" s="34">
        <v>16</v>
      </c>
      <c r="BD175" s="34">
        <v>1</v>
      </c>
      <c r="BE175" s="34">
        <v>0</v>
      </c>
      <c r="BF175" s="34">
        <v>1</v>
      </c>
      <c r="BG175" s="34" t="str">
        <v/>
      </c>
      <c r="BH175" s="34" t="str">
        <v/>
      </c>
      <c r="BI175" s="34" t="str">
        <v/>
      </c>
      <c r="BJ175" s="34" t="str">
        <v/>
      </c>
      <c r="BK175" s="34" t="str">
        <v>SOCKET</v>
      </c>
      <c r="BL175" s="34">
        <v>1</v>
      </c>
      <c r="BM175" s="34" t="str">
        <v/>
      </c>
      <c r="BN175" s="34" t="str">
        <v/>
      </c>
      <c r="BO175" s="34" t="str">
        <v/>
      </c>
      <c r="BP175" s="34" t="str">
        <v/>
      </c>
      <c r="BQ175" s="34" t="str">
        <v>3х2,5</v>
      </c>
      <c r="BR175" s="34" t="str">
        <v/>
      </c>
      <c r="BS175" s="34" t="str">
        <v/>
      </c>
      <c r="BT175" s="34" t="str">
        <v/>
      </c>
      <c r="BU175" s="34">
        <v>0</v>
      </c>
      <c r="BV175" s="34">
        <v>196</v>
      </c>
      <c r="BW175" s="34">
        <v>1</v>
      </c>
      <c r="BX175" s="34">
        <v>0</v>
      </c>
      <c r="BY175" s="34" t="str">
        <v>Розетка</v>
      </c>
      <c r="BZ175">
        <v>9</v>
      </c>
      <c r="CA175" t="str">
        <v>линии</v>
      </c>
    </row>
    <row r="176" spans="1:79" x14ac:dyDescent="0.3">
      <c r="A176" s="39" t="str">
        <v>ЩР-01</v>
      </c>
      <c r="B176" s="42">
        <v>25</v>
      </c>
      <c r="C176" s="42">
        <v>2</v>
      </c>
      <c r="D176" s="75" t="str">
        <v/>
      </c>
      <c r="E176" s="75" t="str">
        <v>авто</v>
      </c>
      <c r="F176" s="76" t="str">
        <v/>
      </c>
      <c r="G176" s="47" t="str">
        <v>QFD15</v>
      </c>
      <c r="H176" s="47" t="str">
        <v>2P С16А 30мА</v>
      </c>
      <c r="I176" s="75" t="str">
        <v/>
      </c>
      <c r="J176" s="76" t="str">
        <v/>
      </c>
      <c r="K176" s="76" t="str">
        <v/>
      </c>
      <c r="L176" s="75" t="str">
        <v/>
      </c>
      <c r="M176" s="49" t="str">
        <v/>
      </c>
      <c r="N176" s="76" t="str">
        <v/>
      </c>
      <c r="O176" s="49" t="str">
        <v/>
      </c>
      <c r="P176" s="77" t="str">
        <v/>
      </c>
      <c r="Q176" s="53" t="str">
        <v>ВВГнг(А)-LS (3х2,5) L=62-0,26%</v>
      </c>
      <c r="R176" s="54" t="str">
        <v>R.0.008A.1</v>
      </c>
      <c r="S176" s="55" t="str">
        <v>Розеточная группа Цокольный этаж Пом. №008A</v>
      </c>
      <c r="T176" s="56">
        <v>0.12</v>
      </c>
      <c r="U176" s="56">
        <v>0.55000000000000004</v>
      </c>
      <c r="V176" s="42" t="str">
        <v>L1</v>
      </c>
      <c r="W176" s="57" t="str">
        <v>ok</v>
      </c>
      <c r="X176" s="58" t="str">
        <v/>
      </c>
      <c r="Y176" s="75" t="str">
        <v/>
      </c>
      <c r="Z176" s="59">
        <v>0.55000000000000004</v>
      </c>
      <c r="AA176" s="61">
        <v>6</v>
      </c>
      <c r="AB176" s="61">
        <v>25</v>
      </c>
      <c r="AC176" s="61" t="str">
        <v/>
      </c>
      <c r="AD176" s="62" t="str">
        <v>QFD15</v>
      </c>
      <c r="AE176" s="62" t="str">
        <v/>
      </c>
      <c r="AF176" s="34">
        <v>15</v>
      </c>
      <c r="AG176" s="34" t="str">
        <v>QFD15</v>
      </c>
      <c r="AH176" s="34" t="str">
        <v/>
      </c>
      <c r="AI176" s="34" t="str">
        <v/>
      </c>
      <c r="AJ176" s="34" t="str">
        <v>QFD15</v>
      </c>
      <c r="AK176" s="34">
        <v>1</v>
      </c>
      <c r="AL176" s="34" t="str">
        <v>R</v>
      </c>
      <c r="AM176" s="34">
        <v>30</v>
      </c>
      <c r="AN176" s="34">
        <v>0</v>
      </c>
      <c r="AO176" s="34">
        <v>16</v>
      </c>
      <c r="AP176" s="34">
        <v>25</v>
      </c>
      <c r="AQ176" s="34">
        <v>16</v>
      </c>
      <c r="AR176" s="34">
        <v>1</v>
      </c>
      <c r="AS176" s="34">
        <v>1</v>
      </c>
      <c r="AT176" s="34" t="str">
        <v>2P</v>
      </c>
      <c r="AU176" s="34">
        <v>16</v>
      </c>
      <c r="AV176" s="34" t="str">
        <v/>
      </c>
      <c r="AW176" s="34" t="str">
        <v/>
      </c>
      <c r="AX176" s="34" t="str">
        <v/>
      </c>
      <c r="AY176" s="34">
        <v>1</v>
      </c>
      <c r="AZ176" s="34" t="str">
        <v/>
      </c>
      <c r="BA176" s="34">
        <v>0</v>
      </c>
      <c r="BB176" s="34">
        <v>16</v>
      </c>
      <c r="BD176" s="34">
        <v>1</v>
      </c>
      <c r="BE176" s="34">
        <v>0</v>
      </c>
      <c r="BF176" s="34">
        <v>1</v>
      </c>
      <c r="BG176" s="34" t="str">
        <v/>
      </c>
      <c r="BH176" s="34" t="str">
        <v/>
      </c>
      <c r="BI176" s="34" t="str">
        <v/>
      </c>
      <c r="BJ176" s="34" t="str">
        <v/>
      </c>
      <c r="BK176" s="34" t="str">
        <v>SOCKET</v>
      </c>
      <c r="BL176" s="34">
        <v>1</v>
      </c>
      <c r="BM176" s="34" t="str">
        <v/>
      </c>
      <c r="BN176" s="34" t="str">
        <v/>
      </c>
      <c r="BO176" s="34" t="str">
        <v/>
      </c>
      <c r="BP176" s="34" t="str">
        <v/>
      </c>
      <c r="BQ176" s="34" t="str">
        <v>3х2,5</v>
      </c>
      <c r="BR176" s="34" t="str">
        <v/>
      </c>
      <c r="BS176" s="34" t="str">
        <v/>
      </c>
      <c r="BT176" s="34" t="str">
        <v/>
      </c>
      <c r="BU176" s="34">
        <v>0</v>
      </c>
      <c r="BV176" s="34">
        <v>197</v>
      </c>
      <c r="BW176" s="34">
        <v>1</v>
      </c>
      <c r="BX176" s="34">
        <v>0</v>
      </c>
      <c r="BY176" s="34" t="str">
        <v>Розетка</v>
      </c>
      <c r="BZ176">
        <v>9</v>
      </c>
      <c r="CA176" t="str">
        <v>линии</v>
      </c>
    </row>
    <row r="177" spans="1:79" x14ac:dyDescent="0.3">
      <c r="A177" s="39" t="str">
        <v>ЩР-01</v>
      </c>
      <c r="B177" s="42">
        <v>26</v>
      </c>
      <c r="C177" s="42">
        <v>2</v>
      </c>
      <c r="D177" s="75" t="str">
        <v/>
      </c>
      <c r="E177" s="75" t="str">
        <v>авто</v>
      </c>
      <c r="F177" s="76" t="str">
        <v/>
      </c>
      <c r="G177" s="47" t="str">
        <v>QFD16</v>
      </c>
      <c r="H177" s="47" t="str">
        <v>2P С16А 30мА</v>
      </c>
      <c r="I177" s="75" t="str">
        <v/>
      </c>
      <c r="J177" s="76" t="str">
        <v/>
      </c>
      <c r="K177" s="76" t="str">
        <v/>
      </c>
      <c r="L177" s="75" t="str">
        <v/>
      </c>
      <c r="M177" s="49" t="str">
        <v/>
      </c>
      <c r="N177" s="76" t="str">
        <v/>
      </c>
      <c r="O177" s="49" t="str">
        <v/>
      </c>
      <c r="P177" s="77" t="str">
        <v/>
      </c>
      <c r="Q177" s="53" t="str">
        <v>ВВГнг(А)-LS (3х2,5) L=64-4,77%</v>
      </c>
      <c r="R177" s="54" t="str">
        <v>R.0.008A.2</v>
      </c>
      <c r="S177" s="55" t="str">
        <v>Розеточная группа Цокольный этаж Пом. №008A Душ виши</v>
      </c>
      <c r="T177" s="56">
        <v>2.2000000000000002</v>
      </c>
      <c r="U177" s="56">
        <v>10.029999999999999</v>
      </c>
      <c r="V177" s="42" t="str">
        <v>L1</v>
      </c>
      <c r="W177" s="57" t="str">
        <v>ok</v>
      </c>
      <c r="X177" s="58" t="str">
        <v/>
      </c>
      <c r="Y177" s="75" t="str">
        <v/>
      </c>
      <c r="Z177" s="59">
        <v>10.029999999999999</v>
      </c>
      <c r="AA177" s="61">
        <v>16</v>
      </c>
      <c r="AB177" s="61">
        <v>25</v>
      </c>
      <c r="AC177" s="61" t="str">
        <v/>
      </c>
      <c r="AD177" s="62" t="str">
        <v>QFD16</v>
      </c>
      <c r="AE177" s="62" t="str">
        <v>потери 5,2 % &gt; 4 %</v>
      </c>
      <c r="AF177" s="34">
        <v>16</v>
      </c>
      <c r="AG177" s="34" t="str">
        <v>QFD16</v>
      </c>
      <c r="AH177" s="34" t="str">
        <v/>
      </c>
      <c r="AI177" s="34" t="str">
        <v/>
      </c>
      <c r="AJ177" s="34" t="str">
        <v>QFD16</v>
      </c>
      <c r="AK177" s="34">
        <v>1</v>
      </c>
      <c r="AL177" s="34" t="str">
        <v>R</v>
      </c>
      <c r="AM177" s="34">
        <v>30</v>
      </c>
      <c r="AN177" s="34">
        <v>0</v>
      </c>
      <c r="AO177" s="34">
        <v>16</v>
      </c>
      <c r="AP177" s="34">
        <v>25</v>
      </c>
      <c r="AQ177" s="34">
        <v>16</v>
      </c>
      <c r="AR177" s="34">
        <v>1</v>
      </c>
      <c r="AS177" s="34">
        <v>1</v>
      </c>
      <c r="AT177" s="34" t="str">
        <v>2P</v>
      </c>
      <c r="AU177" s="34">
        <v>16</v>
      </c>
      <c r="AV177" s="34" t="str">
        <v/>
      </c>
      <c r="AW177" s="34" t="str">
        <v/>
      </c>
      <c r="AX177" s="34" t="str">
        <v/>
      </c>
      <c r="AY177" s="34">
        <v>1</v>
      </c>
      <c r="AZ177" s="34" t="str">
        <v/>
      </c>
      <c r="BA177" s="34">
        <v>0</v>
      </c>
      <c r="BB177" s="34">
        <v>16</v>
      </c>
      <c r="BD177" s="34">
        <v>1</v>
      </c>
      <c r="BE177" s="34">
        <v>0</v>
      </c>
      <c r="BF177" s="34">
        <v>1</v>
      </c>
      <c r="BG177" s="34" t="str">
        <v/>
      </c>
      <c r="BH177" s="34" t="str">
        <v/>
      </c>
      <c r="BI177" s="34" t="str">
        <v/>
      </c>
      <c r="BJ177" s="34" t="str">
        <v/>
      </c>
      <c r="BK177" s="34" t="str">
        <v>SOCKET</v>
      </c>
      <c r="BL177" s="34">
        <v>1</v>
      </c>
      <c r="BM177" s="34" t="str">
        <v/>
      </c>
      <c r="BN177" s="34" t="str">
        <v/>
      </c>
      <c r="BO177" s="34" t="str">
        <v/>
      </c>
      <c r="BP177" s="34" t="str">
        <v/>
      </c>
      <c r="BQ177" s="34" t="str">
        <v>3х2,5</v>
      </c>
      <c r="BR177" s="34" t="str">
        <v/>
      </c>
      <c r="BS177" s="34" t="str">
        <v/>
      </c>
      <c r="BT177" s="34" t="str">
        <v/>
      </c>
      <c r="BU177" s="34">
        <v>1</v>
      </c>
      <c r="BV177" s="34">
        <v>198</v>
      </c>
      <c r="BW177" s="34">
        <v>1</v>
      </c>
      <c r="BX177" s="34">
        <v>0</v>
      </c>
      <c r="BY177" s="34" t="str">
        <v>Розетка</v>
      </c>
      <c r="BZ177">
        <v>9</v>
      </c>
      <c r="CA177" t="str">
        <v>линии</v>
      </c>
    </row>
    <row r="178" spans="1:79" x14ac:dyDescent="0.3">
      <c r="A178" s="39" t="str">
        <v>ЩР-01</v>
      </c>
      <c r="B178" s="42">
        <v>27</v>
      </c>
      <c r="C178" s="42">
        <v>2</v>
      </c>
      <c r="D178" s="75" t="str">
        <v/>
      </c>
      <c r="E178" s="75" t="str">
        <v>авто</v>
      </c>
      <c r="F178" s="76" t="str">
        <v/>
      </c>
      <c r="G178" s="47" t="str">
        <v>QFD17</v>
      </c>
      <c r="H178" s="47" t="str">
        <v>2P С16А 30мА</v>
      </c>
      <c r="I178" s="75" t="str">
        <v/>
      </c>
      <c r="J178" s="76" t="str">
        <v/>
      </c>
      <c r="K178" s="76" t="str">
        <v/>
      </c>
      <c r="L178" s="75" t="str">
        <v/>
      </c>
      <c r="M178" s="49" t="str">
        <v/>
      </c>
      <c r="N178" s="76" t="str">
        <v/>
      </c>
      <c r="O178" s="49" t="str">
        <v/>
      </c>
      <c r="P178" s="77" t="str">
        <v/>
      </c>
      <c r="Q178" s="53" t="str">
        <v>ВВГнг(А)-LS (3х2,5) L=52-0,43%</v>
      </c>
      <c r="R178" s="54" t="str">
        <v>R.0.009A.1</v>
      </c>
      <c r="S178" s="55" t="str">
        <v>Розеточная группа Цокольный этаж Пом. №009A</v>
      </c>
      <c r="T178" s="56">
        <v>0.24</v>
      </c>
      <c r="U178" s="56">
        <v>1.1000000000000001</v>
      </c>
      <c r="V178" s="42" t="str">
        <v>L2</v>
      </c>
      <c r="W178" s="57" t="str">
        <v>ok</v>
      </c>
      <c r="X178" s="58" t="str">
        <v/>
      </c>
      <c r="Y178" s="75" t="str">
        <v/>
      </c>
      <c r="Z178" s="59">
        <v>1.1000000000000001</v>
      </c>
      <c r="AA178" s="61">
        <v>6</v>
      </c>
      <c r="AB178" s="61">
        <v>25</v>
      </c>
      <c r="AC178" s="61" t="str">
        <v/>
      </c>
      <c r="AD178" s="62" t="str">
        <v>QFD17</v>
      </c>
      <c r="AE178" s="62" t="str">
        <v/>
      </c>
      <c r="AF178" s="34">
        <v>17</v>
      </c>
      <c r="AG178" s="34" t="str">
        <v>QFD17</v>
      </c>
      <c r="AH178" s="34" t="str">
        <v/>
      </c>
      <c r="AI178" s="34" t="str">
        <v/>
      </c>
      <c r="AJ178" s="34" t="str">
        <v>QFD17</v>
      </c>
      <c r="AK178" s="34">
        <v>1</v>
      </c>
      <c r="AL178" s="34" t="str">
        <v>R</v>
      </c>
      <c r="AM178" s="34">
        <v>30</v>
      </c>
      <c r="AN178" s="34">
        <v>0</v>
      </c>
      <c r="AO178" s="34">
        <v>16</v>
      </c>
      <c r="AP178" s="34">
        <v>25</v>
      </c>
      <c r="AQ178" s="34">
        <v>16</v>
      </c>
      <c r="AR178" s="34">
        <v>1</v>
      </c>
      <c r="AS178" s="34">
        <v>1</v>
      </c>
      <c r="AT178" s="34" t="str">
        <v>2P</v>
      </c>
      <c r="AU178" s="34">
        <v>16</v>
      </c>
      <c r="AV178" s="34" t="str">
        <v/>
      </c>
      <c r="AW178" s="34" t="str">
        <v/>
      </c>
      <c r="AX178" s="34" t="str">
        <v/>
      </c>
      <c r="AY178" s="34">
        <v>1</v>
      </c>
      <c r="AZ178" s="34" t="str">
        <v/>
      </c>
      <c r="BA178" s="34">
        <v>0</v>
      </c>
      <c r="BB178" s="34">
        <v>16</v>
      </c>
      <c r="BD178" s="34">
        <v>1</v>
      </c>
      <c r="BE178" s="34">
        <v>0</v>
      </c>
      <c r="BF178" s="34">
        <v>1</v>
      </c>
      <c r="BG178" s="34" t="str">
        <v/>
      </c>
      <c r="BH178" s="34" t="str">
        <v/>
      </c>
      <c r="BI178" s="34" t="str">
        <v/>
      </c>
      <c r="BJ178" s="34" t="str">
        <v/>
      </c>
      <c r="BK178" s="34" t="str">
        <v>SOCKET</v>
      </c>
      <c r="BL178" s="34">
        <v>1</v>
      </c>
      <c r="BM178" s="34" t="str">
        <v/>
      </c>
      <c r="BN178" s="34" t="str">
        <v/>
      </c>
      <c r="BO178" s="34" t="str">
        <v/>
      </c>
      <c r="BP178" s="34" t="str">
        <v/>
      </c>
      <c r="BQ178" s="34" t="str">
        <v>3х2,5</v>
      </c>
      <c r="BR178" s="34" t="str">
        <v/>
      </c>
      <c r="BS178" s="34" t="str">
        <v/>
      </c>
      <c r="BT178" s="34" t="str">
        <v/>
      </c>
      <c r="BU178" s="34">
        <v>0</v>
      </c>
      <c r="BV178" s="34">
        <v>199</v>
      </c>
      <c r="BW178" s="34">
        <v>1</v>
      </c>
      <c r="BX178" s="34">
        <v>0</v>
      </c>
      <c r="BY178" s="34" t="str">
        <v>Розетка</v>
      </c>
      <c r="BZ178">
        <v>9</v>
      </c>
      <c r="CA178" t="str">
        <v>линии</v>
      </c>
    </row>
    <row r="179" spans="1:79" x14ac:dyDescent="0.3">
      <c r="A179" s="39" t="str">
        <v>ЩР-01</v>
      </c>
      <c r="B179" s="42">
        <v>28</v>
      </c>
      <c r="C179" s="42">
        <v>2</v>
      </c>
      <c r="D179" s="75" t="str">
        <v/>
      </c>
      <c r="E179" s="75" t="str">
        <v>авто</v>
      </c>
      <c r="F179" s="76" t="str">
        <v/>
      </c>
      <c r="G179" s="47" t="str">
        <v>QFD18</v>
      </c>
      <c r="H179" s="47" t="str">
        <v>2P С16А 30мА</v>
      </c>
      <c r="I179" s="75" t="str">
        <v/>
      </c>
      <c r="J179" s="76" t="str">
        <v/>
      </c>
      <c r="K179" s="76" t="str">
        <v/>
      </c>
      <c r="L179" s="75" t="str">
        <v/>
      </c>
      <c r="M179" s="49" t="str">
        <v/>
      </c>
      <c r="N179" s="76" t="str">
        <v/>
      </c>
      <c r="O179" s="49" t="str">
        <v/>
      </c>
      <c r="P179" s="77" t="str">
        <v/>
      </c>
      <c r="Q179" s="53" t="str">
        <v>ВВГнг(А)-LS (3х2,5) L=59-0,72%</v>
      </c>
      <c r="R179" s="54" t="str">
        <v>R.0.009A.2</v>
      </c>
      <c r="S179" s="55" t="str">
        <v>Розеточная группа Цокольный этаж Пом. №009A</v>
      </c>
      <c r="T179" s="56">
        <v>0.36</v>
      </c>
      <c r="U179" s="56">
        <v>1.65</v>
      </c>
      <c r="V179" s="42" t="str">
        <v>L3</v>
      </c>
      <c r="W179" s="57" t="str">
        <v>ok</v>
      </c>
      <c r="X179" s="58" t="str">
        <v/>
      </c>
      <c r="Y179" s="75" t="str">
        <v/>
      </c>
      <c r="Z179" s="59">
        <v>1.65</v>
      </c>
      <c r="AA179" s="61">
        <v>6</v>
      </c>
      <c r="AB179" s="61">
        <v>25</v>
      </c>
      <c r="AC179" s="61" t="str">
        <v/>
      </c>
      <c r="AD179" s="62" t="str">
        <v>QFD18</v>
      </c>
      <c r="AE179" s="62" t="str">
        <v/>
      </c>
      <c r="AF179" s="34">
        <v>18</v>
      </c>
      <c r="AG179" s="34" t="str">
        <v>QFD18</v>
      </c>
      <c r="AH179" s="34" t="str">
        <v/>
      </c>
      <c r="AI179" s="34" t="str">
        <v/>
      </c>
      <c r="AJ179" s="34" t="str">
        <v>QFD18</v>
      </c>
      <c r="AK179" s="34">
        <v>1</v>
      </c>
      <c r="AL179" s="34" t="str">
        <v>R</v>
      </c>
      <c r="AM179" s="34">
        <v>30</v>
      </c>
      <c r="AN179" s="34">
        <v>0</v>
      </c>
      <c r="AO179" s="34">
        <v>16</v>
      </c>
      <c r="AP179" s="34">
        <v>25</v>
      </c>
      <c r="AQ179" s="34">
        <v>16</v>
      </c>
      <c r="AR179" s="34">
        <v>1</v>
      </c>
      <c r="AS179" s="34">
        <v>1</v>
      </c>
      <c r="AT179" s="34" t="str">
        <v>2P</v>
      </c>
      <c r="AU179" s="34">
        <v>16</v>
      </c>
      <c r="AV179" s="34" t="str">
        <v/>
      </c>
      <c r="AW179" s="34" t="str">
        <v/>
      </c>
      <c r="AX179" s="34" t="str">
        <v/>
      </c>
      <c r="AY179" s="34">
        <v>1</v>
      </c>
      <c r="AZ179" s="34" t="str">
        <v/>
      </c>
      <c r="BA179" s="34">
        <v>0</v>
      </c>
      <c r="BB179" s="34">
        <v>16</v>
      </c>
      <c r="BD179" s="34">
        <v>1</v>
      </c>
      <c r="BE179" s="34">
        <v>0</v>
      </c>
      <c r="BF179" s="34">
        <v>1</v>
      </c>
      <c r="BG179" s="34" t="str">
        <v/>
      </c>
      <c r="BH179" s="34" t="str">
        <v/>
      </c>
      <c r="BI179" s="34" t="str">
        <v/>
      </c>
      <c r="BJ179" s="34" t="str">
        <v/>
      </c>
      <c r="BK179" s="34" t="str">
        <v>SOCKET</v>
      </c>
      <c r="BL179" s="34">
        <v>1</v>
      </c>
      <c r="BM179" s="34" t="str">
        <v/>
      </c>
      <c r="BN179" s="34" t="str">
        <v/>
      </c>
      <c r="BO179" s="34" t="str">
        <v/>
      </c>
      <c r="BP179" s="34" t="str">
        <v/>
      </c>
      <c r="BQ179" s="34" t="str">
        <v>3х2,5</v>
      </c>
      <c r="BR179" s="34" t="str">
        <v/>
      </c>
      <c r="BS179" s="34" t="str">
        <v/>
      </c>
      <c r="BT179" s="34" t="str">
        <v/>
      </c>
      <c r="BU179" s="34">
        <v>0</v>
      </c>
      <c r="BV179" s="34">
        <v>200</v>
      </c>
      <c r="BW179" s="34">
        <v>1</v>
      </c>
      <c r="BX179" s="34">
        <v>0</v>
      </c>
      <c r="BY179" s="34" t="str">
        <v>Розетка</v>
      </c>
      <c r="BZ179">
        <v>9</v>
      </c>
      <c r="CA179" t="str">
        <v>линии</v>
      </c>
    </row>
    <row r="180" spans="1:79" x14ac:dyDescent="0.3">
      <c r="A180" s="39" t="str">
        <v>ЩР-01</v>
      </c>
      <c r="B180" s="42">
        <v>29</v>
      </c>
      <c r="C180" s="42">
        <v>2</v>
      </c>
      <c r="D180" s="75" t="str">
        <v/>
      </c>
      <c r="E180" s="75" t="str">
        <v>авто</v>
      </c>
      <c r="F180" s="76" t="str">
        <v/>
      </c>
      <c r="G180" s="47" t="str">
        <v>QFD19</v>
      </c>
      <c r="H180" s="47" t="str">
        <v>2P С16А 30мА</v>
      </c>
      <c r="I180" s="75" t="str">
        <v/>
      </c>
      <c r="J180" s="76" t="str">
        <v/>
      </c>
      <c r="K180" s="76" t="str">
        <v/>
      </c>
      <c r="L180" s="75" t="str">
        <v/>
      </c>
      <c r="M180" s="49" t="str">
        <v/>
      </c>
      <c r="N180" s="76" t="str">
        <v/>
      </c>
      <c r="O180" s="49" t="str">
        <v/>
      </c>
      <c r="P180" s="77" t="str">
        <v/>
      </c>
      <c r="Q180" s="53" t="str">
        <v>ВВГнг(А)-LS (3х2,5) L=30-0,07%</v>
      </c>
      <c r="R180" s="54" t="str">
        <v>R.0.010A.1</v>
      </c>
      <c r="S180" s="55" t="str">
        <v>Розеточная группа Цокольный этаж Пом. №010A</v>
      </c>
      <c r="T180" s="56">
        <v>0.06</v>
      </c>
      <c r="U180" s="56">
        <v>0.28000000000000003</v>
      </c>
      <c r="V180" s="42" t="str">
        <v>L3</v>
      </c>
      <c r="W180" s="57" t="str">
        <v>ok</v>
      </c>
      <c r="X180" s="58" t="str">
        <v/>
      </c>
      <c r="Y180" s="75" t="str">
        <v/>
      </c>
      <c r="Z180" s="59">
        <v>0.28000000000000003</v>
      </c>
      <c r="AA180" s="61">
        <v>6</v>
      </c>
      <c r="AB180" s="61">
        <v>25</v>
      </c>
      <c r="AC180" s="61" t="str">
        <v/>
      </c>
      <c r="AD180" s="62" t="str">
        <v>QFD19</v>
      </c>
      <c r="AE180" s="62" t="str">
        <v/>
      </c>
      <c r="AF180" s="34">
        <v>19</v>
      </c>
      <c r="AG180" s="34" t="str">
        <v>QFD19</v>
      </c>
      <c r="AH180" s="34" t="str">
        <v/>
      </c>
      <c r="AI180" s="34" t="str">
        <v/>
      </c>
      <c r="AJ180" s="34" t="str">
        <v>QFD19</v>
      </c>
      <c r="AK180" s="34">
        <v>1</v>
      </c>
      <c r="AL180" s="34" t="str">
        <v>R</v>
      </c>
      <c r="AM180" s="34">
        <v>30</v>
      </c>
      <c r="AN180" s="34">
        <v>0</v>
      </c>
      <c r="AO180" s="34">
        <v>16</v>
      </c>
      <c r="AP180" s="34">
        <v>25</v>
      </c>
      <c r="AQ180" s="34">
        <v>16</v>
      </c>
      <c r="AR180" s="34">
        <v>1</v>
      </c>
      <c r="AS180" s="34">
        <v>1</v>
      </c>
      <c r="AT180" s="34" t="str">
        <v>2P</v>
      </c>
      <c r="AU180" s="34">
        <v>16</v>
      </c>
      <c r="AV180" s="34" t="str">
        <v/>
      </c>
      <c r="AW180" s="34" t="str">
        <v/>
      </c>
      <c r="AX180" s="34" t="str">
        <v/>
      </c>
      <c r="AY180" s="34">
        <v>1</v>
      </c>
      <c r="AZ180" s="34" t="str">
        <v/>
      </c>
      <c r="BA180" s="34">
        <v>0</v>
      </c>
      <c r="BB180" s="34">
        <v>16</v>
      </c>
      <c r="BD180" s="34">
        <v>1</v>
      </c>
      <c r="BE180" s="34">
        <v>0</v>
      </c>
      <c r="BF180" s="34">
        <v>1</v>
      </c>
      <c r="BG180" s="34" t="str">
        <v/>
      </c>
      <c r="BH180" s="34" t="str">
        <v/>
      </c>
      <c r="BI180" s="34" t="str">
        <v/>
      </c>
      <c r="BJ180" s="34" t="str">
        <v/>
      </c>
      <c r="BK180" s="34" t="str">
        <v>SOCKET</v>
      </c>
      <c r="BL180" s="34">
        <v>1</v>
      </c>
      <c r="BM180" s="34" t="str">
        <v/>
      </c>
      <c r="BN180" s="34" t="str">
        <v/>
      </c>
      <c r="BO180" s="34" t="str">
        <v/>
      </c>
      <c r="BP180" s="34" t="str">
        <v/>
      </c>
      <c r="BQ180" s="34" t="str">
        <v>3х2,5</v>
      </c>
      <c r="BR180" s="34" t="str">
        <v/>
      </c>
      <c r="BS180" s="34" t="str">
        <v/>
      </c>
      <c r="BT180" s="34" t="str">
        <v/>
      </c>
      <c r="BU180" s="34">
        <v>0</v>
      </c>
      <c r="BV180" s="34">
        <v>201</v>
      </c>
      <c r="BW180" s="34">
        <v>1</v>
      </c>
      <c r="BX180" s="34">
        <v>0</v>
      </c>
      <c r="BY180" s="34" t="str">
        <v>Розетка</v>
      </c>
      <c r="BZ180">
        <v>9</v>
      </c>
      <c r="CA180" t="str">
        <v>линии</v>
      </c>
    </row>
    <row r="181" spans="1:79" x14ac:dyDescent="0.3">
      <c r="A181" s="39" t="str">
        <v>ЩР-01</v>
      </c>
      <c r="B181" s="42">
        <v>30</v>
      </c>
      <c r="C181" s="42">
        <v>2</v>
      </c>
      <c r="D181" s="75" t="str">
        <v/>
      </c>
      <c r="E181" s="75" t="str">
        <v>авто</v>
      </c>
      <c r="F181" s="76" t="str">
        <v/>
      </c>
      <c r="G181" s="47" t="str">
        <v>QFD20</v>
      </c>
      <c r="H181" s="47" t="str">
        <v>2P С16А 30мА</v>
      </c>
      <c r="I181" s="75" t="str">
        <v/>
      </c>
      <c r="J181" s="76" t="str">
        <v/>
      </c>
      <c r="K181" s="76" t="str">
        <v/>
      </c>
      <c r="L181" s="75" t="str">
        <v/>
      </c>
      <c r="M181" s="49" t="str">
        <v/>
      </c>
      <c r="N181" s="76" t="str">
        <v/>
      </c>
      <c r="O181" s="49" t="str">
        <v/>
      </c>
      <c r="P181" s="77" t="str">
        <v/>
      </c>
      <c r="Q181" s="53" t="str">
        <v>ВВГнг(А)-LS (3х2,5) L=25-0,06%</v>
      </c>
      <c r="R181" s="54" t="str">
        <v>R.0.011.1A</v>
      </c>
      <c r="S181" s="55" t="str">
        <v>Розеточная группа Цокольный этаж Пом. №011</v>
      </c>
      <c r="T181" s="56">
        <v>0.06</v>
      </c>
      <c r="U181" s="56">
        <v>0.28000000000000003</v>
      </c>
      <c r="V181" s="42" t="str">
        <v>L1</v>
      </c>
      <c r="W181" s="57" t="str">
        <v>ok</v>
      </c>
      <c r="X181" s="58" t="str">
        <v/>
      </c>
      <c r="Y181" s="75" t="str">
        <v/>
      </c>
      <c r="Z181" s="59">
        <v>0.28000000000000003</v>
      </c>
      <c r="AA181" s="61">
        <v>6</v>
      </c>
      <c r="AB181" s="61">
        <v>25</v>
      </c>
      <c r="AC181" s="61" t="str">
        <v/>
      </c>
      <c r="AD181" s="62" t="str">
        <v>QFD20</v>
      </c>
      <c r="AE181" s="62" t="str">
        <v/>
      </c>
      <c r="AF181" s="34">
        <v>20</v>
      </c>
      <c r="AG181" s="34" t="str">
        <v>QFD20</v>
      </c>
      <c r="AH181" s="34" t="str">
        <v/>
      </c>
      <c r="AI181" s="34" t="str">
        <v/>
      </c>
      <c r="AJ181" s="34" t="str">
        <v>QFD20</v>
      </c>
      <c r="AK181" s="34">
        <v>1</v>
      </c>
      <c r="AL181" s="34" t="str">
        <v>R</v>
      </c>
      <c r="AM181" s="34">
        <v>30</v>
      </c>
      <c r="AN181" s="34">
        <v>0</v>
      </c>
      <c r="AO181" s="34">
        <v>16</v>
      </c>
      <c r="AP181" s="34">
        <v>25</v>
      </c>
      <c r="AQ181" s="34">
        <v>16</v>
      </c>
      <c r="AR181" s="34">
        <v>1</v>
      </c>
      <c r="AS181" s="34">
        <v>1</v>
      </c>
      <c r="AT181" s="34" t="str">
        <v>2P</v>
      </c>
      <c r="AU181" s="34">
        <v>16</v>
      </c>
      <c r="AV181" s="34" t="str">
        <v/>
      </c>
      <c r="AW181" s="34" t="str">
        <v/>
      </c>
      <c r="AX181" s="34" t="str">
        <v/>
      </c>
      <c r="AY181" s="34">
        <v>1</v>
      </c>
      <c r="AZ181" s="34" t="str">
        <v/>
      </c>
      <c r="BA181" s="34">
        <v>0</v>
      </c>
      <c r="BB181" s="34">
        <v>16</v>
      </c>
      <c r="BD181" s="34">
        <v>1</v>
      </c>
      <c r="BE181" s="34">
        <v>0</v>
      </c>
      <c r="BF181" s="34">
        <v>1</v>
      </c>
      <c r="BG181" s="34" t="str">
        <v/>
      </c>
      <c r="BH181" s="34" t="str">
        <v/>
      </c>
      <c r="BI181" s="34" t="str">
        <v/>
      </c>
      <c r="BJ181" s="34" t="str">
        <v/>
      </c>
      <c r="BK181" s="34" t="str">
        <v>SOCKET</v>
      </c>
      <c r="BL181" s="34">
        <v>1</v>
      </c>
      <c r="BM181" s="34" t="str">
        <v/>
      </c>
      <c r="BN181" s="34" t="str">
        <v/>
      </c>
      <c r="BO181" s="34" t="str">
        <v/>
      </c>
      <c r="BP181" s="34" t="str">
        <v/>
      </c>
      <c r="BQ181" s="34" t="str">
        <v>3х2,5</v>
      </c>
      <c r="BR181" s="34" t="str">
        <v/>
      </c>
      <c r="BS181" s="34" t="str">
        <v/>
      </c>
      <c r="BT181" s="34" t="str">
        <v/>
      </c>
      <c r="BU181" s="34">
        <v>0</v>
      </c>
      <c r="BV181" s="34">
        <v>202</v>
      </c>
      <c r="BW181" s="34">
        <v>1</v>
      </c>
      <c r="BX181" s="34">
        <v>0</v>
      </c>
      <c r="BY181" s="34" t="str">
        <v>Розетка</v>
      </c>
      <c r="BZ181">
        <v>9</v>
      </c>
      <c r="CA181" t="str">
        <v>линии</v>
      </c>
    </row>
    <row r="182" spans="1:79" x14ac:dyDescent="0.3">
      <c r="A182" s="39" t="str">
        <v>ЩР-01</v>
      </c>
      <c r="B182" s="42">
        <v>31</v>
      </c>
      <c r="C182" s="42">
        <v>2</v>
      </c>
      <c r="D182" s="75" t="str">
        <v/>
      </c>
      <c r="E182" s="75" t="str">
        <v>авто</v>
      </c>
      <c r="F182" s="76" t="str">
        <v/>
      </c>
      <c r="G182" s="47" t="str">
        <v>QFD21</v>
      </c>
      <c r="H182" s="47" t="str">
        <v>2P С16А 30мА</v>
      </c>
      <c r="I182" s="75" t="str">
        <v/>
      </c>
      <c r="J182" s="76" t="str">
        <v/>
      </c>
      <c r="K182" s="76" t="str">
        <v/>
      </c>
      <c r="L182" s="75" t="str">
        <v/>
      </c>
      <c r="M182" s="49" t="str">
        <v/>
      </c>
      <c r="N182" s="76" t="str">
        <v/>
      </c>
      <c r="O182" s="49" t="str">
        <v/>
      </c>
      <c r="P182" s="77" t="str">
        <v/>
      </c>
      <c r="Q182" s="53" t="str">
        <v>ВВГнг(А)-LS (3х2,5) L=31-0,07%</v>
      </c>
      <c r="R182" s="54" t="str">
        <v>R.0.011Б.1</v>
      </c>
      <c r="S182" s="55" t="str">
        <v>Розеточная группа Цокольный этаж Пом. №011Б</v>
      </c>
      <c r="T182" s="56">
        <v>0.06</v>
      </c>
      <c r="U182" s="56">
        <v>0.28000000000000003</v>
      </c>
      <c r="V182" s="42" t="str">
        <v>L2</v>
      </c>
      <c r="W182" s="57" t="str">
        <v>ok</v>
      </c>
      <c r="X182" s="58" t="str">
        <v/>
      </c>
      <c r="Y182" s="75" t="str">
        <v/>
      </c>
      <c r="Z182" s="59">
        <v>0.28000000000000003</v>
      </c>
      <c r="AA182" s="61">
        <v>6</v>
      </c>
      <c r="AB182" s="61">
        <v>25</v>
      </c>
      <c r="AC182" s="61" t="str">
        <v/>
      </c>
      <c r="AD182" s="62" t="str">
        <v>QFD21</v>
      </c>
      <c r="AE182" s="62" t="str">
        <v/>
      </c>
      <c r="AF182" s="34">
        <v>21</v>
      </c>
      <c r="AG182" s="34" t="str">
        <v>QFD21</v>
      </c>
      <c r="AH182" s="34" t="str">
        <v/>
      </c>
      <c r="AI182" s="34" t="str">
        <v/>
      </c>
      <c r="AJ182" s="34" t="str">
        <v>QFD21</v>
      </c>
      <c r="AK182" s="34">
        <v>1</v>
      </c>
      <c r="AL182" s="34" t="str">
        <v>R</v>
      </c>
      <c r="AM182" s="34">
        <v>30</v>
      </c>
      <c r="AN182" s="34">
        <v>0</v>
      </c>
      <c r="AO182" s="34">
        <v>16</v>
      </c>
      <c r="AP182" s="34">
        <v>25</v>
      </c>
      <c r="AQ182" s="34">
        <v>16</v>
      </c>
      <c r="AR182" s="34">
        <v>1</v>
      </c>
      <c r="AS182" s="34">
        <v>1</v>
      </c>
      <c r="AT182" s="34" t="str">
        <v>2P</v>
      </c>
      <c r="AU182" s="34">
        <v>16</v>
      </c>
      <c r="AV182" s="34" t="str">
        <v/>
      </c>
      <c r="AW182" s="34" t="str">
        <v/>
      </c>
      <c r="AX182" s="34" t="str">
        <v/>
      </c>
      <c r="AY182" s="34">
        <v>1</v>
      </c>
      <c r="AZ182" s="34" t="str">
        <v/>
      </c>
      <c r="BA182" s="34">
        <v>0</v>
      </c>
      <c r="BB182" s="34">
        <v>16</v>
      </c>
      <c r="BD182" s="34">
        <v>1</v>
      </c>
      <c r="BE182" s="34">
        <v>0</v>
      </c>
      <c r="BF182" s="34">
        <v>1</v>
      </c>
      <c r="BG182" s="34" t="str">
        <v/>
      </c>
      <c r="BH182" s="34" t="str">
        <v/>
      </c>
      <c r="BI182" s="34" t="str">
        <v/>
      </c>
      <c r="BJ182" s="34" t="str">
        <v/>
      </c>
      <c r="BK182" s="34" t="str">
        <v>SOCKET</v>
      </c>
      <c r="BL182" s="34">
        <v>1</v>
      </c>
      <c r="BM182" s="34" t="str">
        <v/>
      </c>
      <c r="BN182" s="34" t="str">
        <v/>
      </c>
      <c r="BO182" s="34" t="str">
        <v/>
      </c>
      <c r="BP182" s="34" t="str">
        <v/>
      </c>
      <c r="BQ182" s="34" t="str">
        <v>3х2,5</v>
      </c>
      <c r="BR182" s="34" t="str">
        <v/>
      </c>
      <c r="BS182" s="34" t="str">
        <v/>
      </c>
      <c r="BT182" s="34" t="str">
        <v/>
      </c>
      <c r="BU182" s="34">
        <v>0</v>
      </c>
      <c r="BV182" s="34">
        <v>203</v>
      </c>
      <c r="BW182" s="34">
        <v>1</v>
      </c>
      <c r="BX182" s="34">
        <v>0</v>
      </c>
      <c r="BY182" s="34" t="str">
        <v>Розетка</v>
      </c>
      <c r="BZ182">
        <v>9</v>
      </c>
      <c r="CA182" t="str">
        <v>линии</v>
      </c>
    </row>
    <row r="183" spans="1:79" x14ac:dyDescent="0.3">
      <c r="A183" s="39" t="str">
        <v>ЩР-01</v>
      </c>
      <c r="B183" s="42">
        <v>32</v>
      </c>
      <c r="C183" s="42">
        <v>2</v>
      </c>
      <c r="D183" s="75" t="str">
        <v/>
      </c>
      <c r="E183" s="75" t="str">
        <v>авто</v>
      </c>
      <c r="F183" s="76" t="str">
        <v/>
      </c>
      <c r="G183" s="47" t="str">
        <v>QFD22</v>
      </c>
      <c r="H183" s="47" t="str">
        <v>2P С16А 30мА</v>
      </c>
      <c r="I183" s="75" t="str">
        <v/>
      </c>
      <c r="J183" s="76" t="str">
        <v/>
      </c>
      <c r="K183" s="76" t="str">
        <v/>
      </c>
      <c r="L183" s="75" t="str">
        <v/>
      </c>
      <c r="M183" s="49" t="str">
        <v/>
      </c>
      <c r="N183" s="76" t="str">
        <v/>
      </c>
      <c r="O183" s="49" t="str">
        <v/>
      </c>
      <c r="P183" s="77" t="str">
        <v/>
      </c>
      <c r="Q183" s="53" t="str">
        <v>ВВГнг(А)-LS (3х2,5) L=79-0,81%</v>
      </c>
      <c r="R183" s="54" t="str">
        <v>R.0.012A.1</v>
      </c>
      <c r="S183" s="55" t="str">
        <v>Розеточная группа Цокольный этаж Пом. №012A</v>
      </c>
      <c r="T183" s="56">
        <v>0.3</v>
      </c>
      <c r="U183" s="56">
        <v>1.37</v>
      </c>
      <c r="V183" s="42" t="str">
        <v>L3</v>
      </c>
      <c r="W183" s="57" t="str">
        <v>ok</v>
      </c>
      <c r="X183" s="58" t="str">
        <v/>
      </c>
      <c r="Y183" s="75" t="str">
        <v/>
      </c>
      <c r="Z183" s="59">
        <v>1.37</v>
      </c>
      <c r="AA183" s="61">
        <v>6</v>
      </c>
      <c r="AB183" s="61">
        <v>25</v>
      </c>
      <c r="AC183" s="61" t="str">
        <v/>
      </c>
      <c r="AD183" s="62" t="str">
        <v>QFD22</v>
      </c>
      <c r="AE183" s="62" t="str">
        <v/>
      </c>
      <c r="AF183" s="34">
        <v>22</v>
      </c>
      <c r="AG183" s="34" t="str">
        <v>QFD22</v>
      </c>
      <c r="AH183" s="34" t="str">
        <v/>
      </c>
      <c r="AI183" s="34" t="str">
        <v/>
      </c>
      <c r="AJ183" s="34" t="str">
        <v>QFD22</v>
      </c>
      <c r="AK183" s="34">
        <v>1</v>
      </c>
      <c r="AL183" s="34" t="str">
        <v>R</v>
      </c>
      <c r="AM183" s="34">
        <v>30</v>
      </c>
      <c r="AN183" s="34">
        <v>0</v>
      </c>
      <c r="AO183" s="34">
        <v>16</v>
      </c>
      <c r="AP183" s="34">
        <v>25</v>
      </c>
      <c r="AQ183" s="34">
        <v>16</v>
      </c>
      <c r="AR183" s="34">
        <v>1</v>
      </c>
      <c r="AS183" s="34">
        <v>1</v>
      </c>
      <c r="AT183" s="34" t="str">
        <v>2P</v>
      </c>
      <c r="AU183" s="34">
        <v>16</v>
      </c>
      <c r="AV183" s="34" t="str">
        <v/>
      </c>
      <c r="AW183" s="34" t="str">
        <v/>
      </c>
      <c r="AX183" s="34" t="str">
        <v/>
      </c>
      <c r="AY183" s="34">
        <v>1</v>
      </c>
      <c r="AZ183" s="34" t="str">
        <v/>
      </c>
      <c r="BA183" s="34">
        <v>0</v>
      </c>
      <c r="BB183" s="34">
        <v>16</v>
      </c>
      <c r="BD183" s="34">
        <v>1</v>
      </c>
      <c r="BE183" s="34">
        <v>0</v>
      </c>
      <c r="BF183" s="34">
        <v>1</v>
      </c>
      <c r="BG183" s="34" t="str">
        <v/>
      </c>
      <c r="BH183" s="34" t="str">
        <v/>
      </c>
      <c r="BI183" s="34" t="str">
        <v/>
      </c>
      <c r="BJ183" s="34" t="str">
        <v/>
      </c>
      <c r="BK183" s="34" t="str">
        <v>SOCKET</v>
      </c>
      <c r="BL183" s="34">
        <v>1</v>
      </c>
      <c r="BM183" s="34" t="str">
        <v/>
      </c>
      <c r="BN183" s="34" t="str">
        <v/>
      </c>
      <c r="BO183" s="34" t="str">
        <v/>
      </c>
      <c r="BP183" s="34" t="str">
        <v/>
      </c>
      <c r="BQ183" s="34" t="str">
        <v>3х2,5</v>
      </c>
      <c r="BR183" s="34" t="str">
        <v/>
      </c>
      <c r="BS183" s="34" t="str">
        <v/>
      </c>
      <c r="BT183" s="34" t="str">
        <v/>
      </c>
      <c r="BU183" s="34">
        <v>0</v>
      </c>
      <c r="BV183" s="34">
        <v>204</v>
      </c>
      <c r="BW183" s="34">
        <v>1</v>
      </c>
      <c r="BX183" s="34">
        <v>0</v>
      </c>
      <c r="BY183" s="34" t="str">
        <v>Розетка</v>
      </c>
      <c r="BZ183">
        <v>9</v>
      </c>
      <c r="CA183" t="str">
        <v>линии</v>
      </c>
    </row>
    <row r="184" spans="1:79" x14ac:dyDescent="0.3">
      <c r="A184" s="39" t="str">
        <v>ЩР-01</v>
      </c>
      <c r="B184" s="42">
        <v>33</v>
      </c>
      <c r="C184" s="42">
        <v>2</v>
      </c>
      <c r="D184" s="75" t="str">
        <v/>
      </c>
      <c r="E184" s="75" t="str">
        <v>авто</v>
      </c>
      <c r="F184" s="76" t="str">
        <v/>
      </c>
      <c r="G184" s="47" t="str">
        <v>QFD23</v>
      </c>
      <c r="H184" s="47" t="str">
        <v>2P С16А 30мА</v>
      </c>
      <c r="I184" s="75" t="str">
        <v/>
      </c>
      <c r="J184" s="76" t="str">
        <v/>
      </c>
      <c r="K184" s="76" t="str">
        <v/>
      </c>
      <c r="L184" s="75" t="str">
        <v/>
      </c>
      <c r="M184" s="49" t="str">
        <v/>
      </c>
      <c r="N184" s="76" t="str">
        <v/>
      </c>
      <c r="O184" s="49" t="str">
        <v/>
      </c>
      <c r="P184" s="77" t="str">
        <v/>
      </c>
      <c r="Q184" s="53" t="str">
        <v>ВВГнг(А)-LS (3х2,5) L=63-0,26%</v>
      </c>
      <c r="R184" s="54" t="str">
        <v>R.0.013A.1</v>
      </c>
      <c r="S184" s="55" t="str">
        <v>Розеточная группа Цокольный этаж Пом. №013A</v>
      </c>
      <c r="T184" s="56">
        <v>0.12</v>
      </c>
      <c r="U184" s="56">
        <v>0.55000000000000004</v>
      </c>
      <c r="V184" s="42" t="str">
        <v>L3</v>
      </c>
      <c r="W184" s="57" t="str">
        <v>ok</v>
      </c>
      <c r="X184" s="58" t="str">
        <v/>
      </c>
      <c r="Y184" s="75" t="str">
        <v/>
      </c>
      <c r="Z184" s="59">
        <v>0.55000000000000004</v>
      </c>
      <c r="AA184" s="61">
        <v>6</v>
      </c>
      <c r="AB184" s="61">
        <v>25</v>
      </c>
      <c r="AC184" s="61" t="str">
        <v/>
      </c>
      <c r="AD184" s="62" t="str">
        <v>QFD23</v>
      </c>
      <c r="AE184" s="62" t="str">
        <v/>
      </c>
      <c r="AF184" s="34">
        <v>23</v>
      </c>
      <c r="AG184" s="34" t="str">
        <v>QFD23</v>
      </c>
      <c r="AH184" s="34" t="str">
        <v/>
      </c>
      <c r="AI184" s="34" t="str">
        <v/>
      </c>
      <c r="AJ184" s="34" t="str">
        <v>QFD23</v>
      </c>
      <c r="AK184" s="34">
        <v>1</v>
      </c>
      <c r="AL184" s="34" t="str">
        <v>R</v>
      </c>
      <c r="AM184" s="34">
        <v>30</v>
      </c>
      <c r="AN184" s="34">
        <v>0</v>
      </c>
      <c r="AO184" s="34">
        <v>16</v>
      </c>
      <c r="AP184" s="34">
        <v>25</v>
      </c>
      <c r="AQ184" s="34">
        <v>16</v>
      </c>
      <c r="AR184" s="34">
        <v>1</v>
      </c>
      <c r="AS184" s="34">
        <v>1</v>
      </c>
      <c r="AT184" s="34" t="str">
        <v>2P</v>
      </c>
      <c r="AU184" s="34">
        <v>16</v>
      </c>
      <c r="AV184" s="34" t="str">
        <v/>
      </c>
      <c r="AW184" s="34" t="str">
        <v/>
      </c>
      <c r="AX184" s="34" t="str">
        <v/>
      </c>
      <c r="AY184" s="34">
        <v>1</v>
      </c>
      <c r="AZ184" s="34" t="str">
        <v/>
      </c>
      <c r="BA184" s="34">
        <v>0</v>
      </c>
      <c r="BB184" s="34">
        <v>16</v>
      </c>
      <c r="BD184" s="34">
        <v>1</v>
      </c>
      <c r="BE184" s="34">
        <v>0</v>
      </c>
      <c r="BF184" s="34">
        <v>1</v>
      </c>
      <c r="BG184" s="34" t="str">
        <v/>
      </c>
      <c r="BH184" s="34" t="str">
        <v/>
      </c>
      <c r="BI184" s="34" t="str">
        <v/>
      </c>
      <c r="BJ184" s="34" t="str">
        <v/>
      </c>
      <c r="BK184" s="34" t="str">
        <v>SOCKET</v>
      </c>
      <c r="BL184" s="34">
        <v>1</v>
      </c>
      <c r="BM184" s="34" t="str">
        <v/>
      </c>
      <c r="BN184" s="34" t="str">
        <v/>
      </c>
      <c r="BO184" s="34" t="str">
        <v/>
      </c>
      <c r="BP184" s="34" t="str">
        <v/>
      </c>
      <c r="BQ184" s="34" t="str">
        <v>3х2,5</v>
      </c>
      <c r="BR184" s="34" t="str">
        <v/>
      </c>
      <c r="BS184" s="34" t="str">
        <v/>
      </c>
      <c r="BT184" s="34" t="str">
        <v/>
      </c>
      <c r="BU184" s="34">
        <v>0</v>
      </c>
      <c r="BV184" s="34">
        <v>205</v>
      </c>
      <c r="BW184" s="34">
        <v>1</v>
      </c>
      <c r="BX184" s="34">
        <v>0</v>
      </c>
      <c r="BY184" s="34" t="str">
        <v>Розетка</v>
      </c>
      <c r="BZ184">
        <v>9</v>
      </c>
      <c r="CA184" t="str">
        <v>линии</v>
      </c>
    </row>
    <row r="185" spans="1:79" x14ac:dyDescent="0.3">
      <c r="A185" s="39" t="str">
        <v>ЩР-01</v>
      </c>
      <c r="B185" s="42">
        <v>36</v>
      </c>
      <c r="C185" s="42">
        <v>3</v>
      </c>
      <c r="D185" s="75" t="str">
        <v/>
      </c>
      <c r="E185" s="75" t="str">
        <v>авто</v>
      </c>
      <c r="F185" s="76" t="str">
        <v/>
      </c>
      <c r="G185" s="47" t="str">
        <v>QFD24</v>
      </c>
      <c r="H185" s="47" t="str">
        <v>2P С16А 30мА</v>
      </c>
      <c r="I185" s="75" t="str">
        <v/>
      </c>
      <c r="J185" s="76" t="str">
        <v/>
      </c>
      <c r="K185" s="76" t="str">
        <v/>
      </c>
      <c r="L185" s="75" t="str">
        <v/>
      </c>
      <c r="M185" s="49" t="str">
        <v/>
      </c>
      <c r="N185" s="76" t="str">
        <v/>
      </c>
      <c r="O185" s="49" t="str">
        <v/>
      </c>
      <c r="P185" s="77" t="str">
        <v>XT24</v>
      </c>
      <c r="Q185" s="53" t="str">
        <v>ВВГнг(А)-LS (3х2,5) L=57-0,12%</v>
      </c>
      <c r="R185" s="54" t="str">
        <v>R.0.013Б.1</v>
      </c>
      <c r="S185" s="55" t="str">
        <v>Розеточная группа Цокольный этаж Пом. №013Б</v>
      </c>
      <c r="T185" s="56">
        <v>0.06</v>
      </c>
      <c r="U185" s="56">
        <v>0.28000000000000003</v>
      </c>
      <c r="V185" s="42" t="str">
        <v>L3</v>
      </c>
      <c r="W185" s="57" t="str">
        <v>ok</v>
      </c>
      <c r="X185" s="58" t="str">
        <v/>
      </c>
      <c r="Y185" s="75" t="str">
        <v/>
      </c>
      <c r="Z185" s="59">
        <v>0.28000000000000003</v>
      </c>
      <c r="AA185" s="61">
        <v>6</v>
      </c>
      <c r="AB185" s="61">
        <v>25</v>
      </c>
      <c r="AC185" s="61" t="str">
        <v/>
      </c>
      <c r="AD185" s="62" t="str">
        <v>QFD24 → XT24</v>
      </c>
      <c r="AE185" s="62" t="str">
        <v/>
      </c>
      <c r="AF185" s="34">
        <v>24</v>
      </c>
      <c r="AG185" s="34" t="str">
        <v>QFD24</v>
      </c>
      <c r="AH185" s="34" t="str">
        <v/>
      </c>
      <c r="AI185" s="34" t="str">
        <v/>
      </c>
      <c r="AJ185" s="34" t="str">
        <v>QFD24</v>
      </c>
      <c r="AK185" s="34">
        <v>1</v>
      </c>
      <c r="AL185" s="34" t="str">
        <v>R</v>
      </c>
      <c r="AM185" s="34">
        <v>30</v>
      </c>
      <c r="AN185" s="34">
        <v>0</v>
      </c>
      <c r="AO185" s="34">
        <v>16</v>
      </c>
      <c r="AP185" s="34">
        <v>25</v>
      </c>
      <c r="AQ185" s="34">
        <v>16</v>
      </c>
      <c r="AR185" s="34">
        <v>1</v>
      </c>
      <c r="AS185" s="34">
        <v>1</v>
      </c>
      <c r="AT185" s="34" t="str">
        <v>2P</v>
      </c>
      <c r="AU185" s="34">
        <v>16</v>
      </c>
      <c r="AV185" s="34" t="str">
        <v/>
      </c>
      <c r="AW185" s="34" t="str">
        <v/>
      </c>
      <c r="AX185" s="34" t="str">
        <v/>
      </c>
      <c r="AY185" s="34">
        <v>1</v>
      </c>
      <c r="AZ185" s="34" t="str">
        <v/>
      </c>
      <c r="BA185" s="34">
        <v>0</v>
      </c>
      <c r="BB185" s="34">
        <v>16</v>
      </c>
      <c r="BD185" s="34">
        <v>1</v>
      </c>
      <c r="BE185" s="34">
        <v>0</v>
      </c>
      <c r="BF185" s="34">
        <v>1</v>
      </c>
      <c r="BG185" s="34" t="str">
        <v/>
      </c>
      <c r="BH185" s="34" t="str">
        <v/>
      </c>
      <c r="BI185" s="34" t="str">
        <v/>
      </c>
      <c r="BJ185" s="34" t="str">
        <v/>
      </c>
      <c r="BK185" s="34" t="str">
        <v>SOCKET</v>
      </c>
      <c r="BL185" s="34">
        <v>1</v>
      </c>
      <c r="BM185" s="34" t="str">
        <v/>
      </c>
      <c r="BN185" s="34" t="str">
        <v/>
      </c>
      <c r="BO185" s="34" t="str">
        <v/>
      </c>
      <c r="BP185" s="34" t="str">
        <v/>
      </c>
      <c r="BQ185" s="34" t="str">
        <v>3х2,5</v>
      </c>
      <c r="BR185" s="34" t="str">
        <v/>
      </c>
      <c r="BS185" s="34" t="str">
        <v/>
      </c>
      <c r="BT185" s="34" t="str">
        <v/>
      </c>
      <c r="BU185" s="34">
        <v>0</v>
      </c>
      <c r="BV185" s="34">
        <v>206</v>
      </c>
      <c r="BW185" s="34">
        <v>1</v>
      </c>
      <c r="BX185" s="34">
        <v>0</v>
      </c>
      <c r="BY185" s="34" t="str">
        <v>Розетка</v>
      </c>
      <c r="BZ185">
        <v>9</v>
      </c>
      <c r="CA185" t="str">
        <v>линии</v>
      </c>
    </row>
    <row r="186" spans="1:79" x14ac:dyDescent="0.3">
      <c r="A186" s="39" t="str">
        <v>ЩР-01</v>
      </c>
      <c r="B186" s="42">
        <v>37</v>
      </c>
      <c r="C186" s="42">
        <v>3</v>
      </c>
      <c r="D186" s="75" t="str">
        <v/>
      </c>
      <c r="E186" s="75" t="str">
        <v>авто</v>
      </c>
      <c r="F186" s="76" t="str">
        <v/>
      </c>
      <c r="G186" s="47" t="str">
        <v>QFD25</v>
      </c>
      <c r="H186" s="47" t="str">
        <v>2P С16А 30мА</v>
      </c>
      <c r="I186" s="75" t="str">
        <v/>
      </c>
      <c r="J186" s="76" t="str">
        <v/>
      </c>
      <c r="K186" s="76" t="str">
        <v/>
      </c>
      <c r="L186" s="75" t="str">
        <v/>
      </c>
      <c r="M186" s="49" t="str">
        <v/>
      </c>
      <c r="N186" s="76" t="str">
        <v/>
      </c>
      <c r="O186" s="49" t="str">
        <v/>
      </c>
      <c r="P186" s="77" t="str">
        <v>XT25</v>
      </c>
      <c r="Q186" s="53" t="str">
        <v>ВВГнг(А)-LS (3х2,5) L=51-0,21%</v>
      </c>
      <c r="R186" s="54" t="str">
        <v>R.0.013Б.2</v>
      </c>
      <c r="S186" s="55" t="str">
        <v>Розеточная группа Цокольный этаж Пом. №013Б</v>
      </c>
      <c r="T186" s="56">
        <v>0.12</v>
      </c>
      <c r="U186" s="56">
        <v>0.55000000000000004</v>
      </c>
      <c r="V186" s="42" t="str">
        <v>L2</v>
      </c>
      <c r="W186" s="57" t="str">
        <v>ok</v>
      </c>
      <c r="X186" s="58" t="str">
        <v/>
      </c>
      <c r="Y186" s="75" t="str">
        <v/>
      </c>
      <c r="Z186" s="59">
        <v>0.55000000000000004</v>
      </c>
      <c r="AA186" s="61">
        <v>6</v>
      </c>
      <c r="AB186" s="61">
        <v>25</v>
      </c>
      <c r="AC186" s="61" t="str">
        <v/>
      </c>
      <c r="AD186" s="62" t="str">
        <v>QFD25 → XT25</v>
      </c>
      <c r="AE186" s="62" t="str">
        <v/>
      </c>
      <c r="AF186" s="34">
        <v>25</v>
      </c>
      <c r="AG186" s="34" t="str">
        <v>QFD25</v>
      </c>
      <c r="AH186" s="34" t="str">
        <v/>
      </c>
      <c r="AI186" s="34" t="str">
        <v/>
      </c>
      <c r="AJ186" s="34" t="str">
        <v>QFD25</v>
      </c>
      <c r="AK186" s="34">
        <v>1</v>
      </c>
      <c r="AL186" s="34" t="str">
        <v>R</v>
      </c>
      <c r="AM186" s="34">
        <v>30</v>
      </c>
      <c r="AN186" s="34">
        <v>0</v>
      </c>
      <c r="AO186" s="34">
        <v>16</v>
      </c>
      <c r="AP186" s="34">
        <v>25</v>
      </c>
      <c r="AQ186" s="34">
        <v>16</v>
      </c>
      <c r="AR186" s="34">
        <v>1</v>
      </c>
      <c r="AS186" s="34">
        <v>1</v>
      </c>
      <c r="AT186" s="34" t="str">
        <v>2P</v>
      </c>
      <c r="AU186" s="34">
        <v>16</v>
      </c>
      <c r="AV186" s="34" t="str">
        <v/>
      </c>
      <c r="AW186" s="34" t="str">
        <v/>
      </c>
      <c r="AX186" s="34" t="str">
        <v/>
      </c>
      <c r="AY186" s="34">
        <v>1</v>
      </c>
      <c r="AZ186" s="34" t="str">
        <v/>
      </c>
      <c r="BA186" s="34">
        <v>0</v>
      </c>
      <c r="BB186" s="34">
        <v>16</v>
      </c>
      <c r="BD186" s="34">
        <v>1</v>
      </c>
      <c r="BE186" s="34">
        <v>0</v>
      </c>
      <c r="BF186" s="34">
        <v>1</v>
      </c>
      <c r="BG186" s="34" t="str">
        <v/>
      </c>
      <c r="BH186" s="34" t="str">
        <v/>
      </c>
      <c r="BI186" s="34" t="str">
        <v/>
      </c>
      <c r="BJ186" s="34" t="str">
        <v/>
      </c>
      <c r="BK186" s="34" t="str">
        <v>SOCKET</v>
      </c>
      <c r="BL186" s="34">
        <v>1</v>
      </c>
      <c r="BM186" s="34" t="str">
        <v/>
      </c>
      <c r="BN186" s="34" t="str">
        <v/>
      </c>
      <c r="BO186" s="34" t="str">
        <v/>
      </c>
      <c r="BP186" s="34" t="str">
        <v/>
      </c>
      <c r="BQ186" s="34" t="str">
        <v>3х2,5</v>
      </c>
      <c r="BR186" s="34" t="str">
        <v/>
      </c>
      <c r="BS186" s="34" t="str">
        <v/>
      </c>
      <c r="BT186" s="34" t="str">
        <v/>
      </c>
      <c r="BU186" s="34">
        <v>0</v>
      </c>
      <c r="BV186" s="34">
        <v>207</v>
      </c>
      <c r="BW186" s="34">
        <v>1</v>
      </c>
      <c r="BX186" s="34">
        <v>0</v>
      </c>
      <c r="BY186" s="34" t="str">
        <v>Розетка</v>
      </c>
      <c r="BZ186">
        <v>9</v>
      </c>
      <c r="CA186" t="str">
        <v>линии</v>
      </c>
    </row>
    <row r="187" spans="1:79" x14ac:dyDescent="0.3">
      <c r="A187" s="39" t="str">
        <v>ЩР-01</v>
      </c>
      <c r="B187" s="42">
        <v>38</v>
      </c>
      <c r="C187" s="42">
        <v>3</v>
      </c>
      <c r="D187" s="75" t="str">
        <v/>
      </c>
      <c r="E187" s="75" t="str">
        <v>авто</v>
      </c>
      <c r="F187" s="76" t="str">
        <v/>
      </c>
      <c r="G187" s="47" t="str">
        <v>QFD26</v>
      </c>
      <c r="H187" s="47" t="str">
        <v>2P С16А 30мА</v>
      </c>
      <c r="I187" s="75" t="str">
        <v/>
      </c>
      <c r="J187" s="76" t="str">
        <v/>
      </c>
      <c r="K187" s="76" t="str">
        <v/>
      </c>
      <c r="L187" s="75" t="str">
        <v/>
      </c>
      <c r="M187" s="49" t="str">
        <v/>
      </c>
      <c r="N187" s="76" t="str">
        <v/>
      </c>
      <c r="O187" s="49" t="str">
        <v/>
      </c>
      <c r="P187" s="77" t="str">
        <v/>
      </c>
      <c r="Q187" s="53" t="str">
        <v>ВВГнг(А)-LS (3х2,5) L=51-0,52%</v>
      </c>
      <c r="R187" s="54" t="str">
        <v>R.0.013Б.3</v>
      </c>
      <c r="S187" s="55" t="str">
        <v>Розеточная группа Цокольный этаж Пом. №013Б Полотенцесушитель</v>
      </c>
      <c r="T187" s="56">
        <v>0.3</v>
      </c>
      <c r="U187" s="56">
        <v>1.37</v>
      </c>
      <c r="V187" s="42" t="str">
        <v>L3</v>
      </c>
      <c r="W187" s="57" t="str">
        <v>ok</v>
      </c>
      <c r="X187" s="58" t="str">
        <v/>
      </c>
      <c r="Y187" s="75" t="str">
        <v/>
      </c>
      <c r="Z187" s="59">
        <v>1.37</v>
      </c>
      <c r="AA187" s="61">
        <v>6</v>
      </c>
      <c r="AB187" s="61">
        <v>25</v>
      </c>
      <c r="AC187" s="61" t="str">
        <v/>
      </c>
      <c r="AD187" s="62" t="str">
        <v>QFD26</v>
      </c>
      <c r="AE187" s="62" t="str">
        <v/>
      </c>
      <c r="AF187" s="34">
        <v>26</v>
      </c>
      <c r="AG187" s="34" t="str">
        <v>QFD26</v>
      </c>
      <c r="AH187" s="34" t="str">
        <v/>
      </c>
      <c r="AI187" s="34" t="str">
        <v/>
      </c>
      <c r="AJ187" s="34" t="str">
        <v>QFD26</v>
      </c>
      <c r="AK187" s="34">
        <v>1</v>
      </c>
      <c r="AL187" s="34" t="str">
        <v>R</v>
      </c>
      <c r="AM187" s="34">
        <v>30</v>
      </c>
      <c r="AN187" s="34">
        <v>0</v>
      </c>
      <c r="AO187" s="34">
        <v>16</v>
      </c>
      <c r="AP187" s="34">
        <v>25</v>
      </c>
      <c r="AQ187" s="34">
        <v>16</v>
      </c>
      <c r="AR187" s="34">
        <v>1</v>
      </c>
      <c r="AS187" s="34">
        <v>1</v>
      </c>
      <c r="AT187" s="34" t="str">
        <v>2P</v>
      </c>
      <c r="AU187" s="34">
        <v>16</v>
      </c>
      <c r="AV187" s="34" t="str">
        <v/>
      </c>
      <c r="AW187" s="34" t="str">
        <v/>
      </c>
      <c r="AX187" s="34" t="str">
        <v/>
      </c>
      <c r="AY187" s="34">
        <v>1</v>
      </c>
      <c r="AZ187" s="34" t="str">
        <v/>
      </c>
      <c r="BA187" s="34">
        <v>0</v>
      </c>
      <c r="BB187" s="34">
        <v>16</v>
      </c>
      <c r="BD187" s="34">
        <v>1</v>
      </c>
      <c r="BE187" s="34">
        <v>0</v>
      </c>
      <c r="BF187" s="34">
        <v>1</v>
      </c>
      <c r="BG187" s="34" t="str">
        <v/>
      </c>
      <c r="BH187" s="34" t="str">
        <v/>
      </c>
      <c r="BI187" s="34" t="str">
        <v/>
      </c>
      <c r="BJ187" s="34" t="str">
        <v/>
      </c>
      <c r="BK187" s="34" t="str">
        <v>SOCKET</v>
      </c>
      <c r="BL187" s="34">
        <v>1</v>
      </c>
      <c r="BM187" s="34" t="str">
        <v/>
      </c>
      <c r="BN187" s="34" t="str">
        <v/>
      </c>
      <c r="BO187" s="34" t="str">
        <v/>
      </c>
      <c r="BP187" s="34" t="str">
        <v/>
      </c>
      <c r="BQ187" s="34" t="str">
        <v>3х2,5</v>
      </c>
      <c r="BR187" s="34" t="str">
        <v/>
      </c>
      <c r="BS187" s="34" t="str">
        <v/>
      </c>
      <c r="BT187" s="34" t="str">
        <v/>
      </c>
      <c r="BU187" s="34">
        <v>0</v>
      </c>
      <c r="BV187" s="34">
        <v>208</v>
      </c>
      <c r="BW187" s="34">
        <v>1</v>
      </c>
      <c r="BX187" s="34">
        <v>0</v>
      </c>
      <c r="BY187" s="34" t="str">
        <v>Розетка</v>
      </c>
      <c r="BZ187">
        <v>9</v>
      </c>
      <c r="CA187" t="str">
        <v>линии</v>
      </c>
    </row>
    <row r="188" spans="1:79" x14ac:dyDescent="0.3">
      <c r="A188" s="39" t="str">
        <v>ЩР-01</v>
      </c>
      <c r="B188" s="42">
        <v>39</v>
      </c>
      <c r="C188" s="42">
        <v>3</v>
      </c>
      <c r="D188" s="75" t="str">
        <v/>
      </c>
      <c r="E188" s="75" t="str">
        <v>авто</v>
      </c>
      <c r="F188" s="76" t="str">
        <v/>
      </c>
      <c r="G188" s="47" t="str">
        <v>QFD27</v>
      </c>
      <c r="H188" s="47" t="str">
        <v>2P С16А 30мА</v>
      </c>
      <c r="I188" s="75" t="str">
        <v/>
      </c>
      <c r="J188" s="76" t="str">
        <v/>
      </c>
      <c r="K188" s="76" t="str">
        <v/>
      </c>
      <c r="L188" s="75" t="str">
        <v/>
      </c>
      <c r="M188" s="49" t="str">
        <v/>
      </c>
      <c r="N188" s="76" t="str">
        <v/>
      </c>
      <c r="O188" s="49" t="str">
        <v/>
      </c>
      <c r="P188" s="77" t="str">
        <v/>
      </c>
      <c r="Q188" s="53" t="str">
        <v>ВВГнг(А)-LS (3х2,5) L=58-4,33%</v>
      </c>
      <c r="R188" s="54" t="str">
        <v>R.0.013Б.4</v>
      </c>
      <c r="S188" s="55" t="str">
        <v>Розеточная группа Цокольный этаж Пом. №013Б Сушильная машина</v>
      </c>
      <c r="T188" s="56">
        <v>2.2000000000000002</v>
      </c>
      <c r="U188" s="56">
        <v>10.029999999999999</v>
      </c>
      <c r="V188" s="42" t="str">
        <v>L2</v>
      </c>
      <c r="W188" s="57" t="str">
        <v>ok</v>
      </c>
      <c r="X188" s="58" t="str">
        <v/>
      </c>
      <c r="Y188" s="75" t="str">
        <v/>
      </c>
      <c r="Z188" s="59">
        <v>10.029999999999999</v>
      </c>
      <c r="AA188" s="61">
        <v>16</v>
      </c>
      <c r="AB188" s="61">
        <v>25</v>
      </c>
      <c r="AC188" s="61" t="str">
        <v/>
      </c>
      <c r="AD188" s="62" t="str">
        <v>QFD27</v>
      </c>
      <c r="AE188" s="62" t="str">
        <v>потери 4,8 % &gt; 4 %</v>
      </c>
      <c r="AF188" s="34">
        <v>27</v>
      </c>
      <c r="AG188" s="34" t="str">
        <v>QFD27</v>
      </c>
      <c r="AH188" s="34" t="str">
        <v/>
      </c>
      <c r="AI188" s="34" t="str">
        <v/>
      </c>
      <c r="AJ188" s="34" t="str">
        <v>QFD27</v>
      </c>
      <c r="AK188" s="34">
        <v>1</v>
      </c>
      <c r="AL188" s="34" t="str">
        <v>R</v>
      </c>
      <c r="AM188" s="34">
        <v>30</v>
      </c>
      <c r="AN188" s="34">
        <v>0</v>
      </c>
      <c r="AO188" s="34">
        <v>16</v>
      </c>
      <c r="AP188" s="34">
        <v>25</v>
      </c>
      <c r="AQ188" s="34">
        <v>16</v>
      </c>
      <c r="AR188" s="34">
        <v>1</v>
      </c>
      <c r="AS188" s="34">
        <v>1</v>
      </c>
      <c r="AT188" s="34" t="str">
        <v>2P</v>
      </c>
      <c r="AU188" s="34">
        <v>16</v>
      </c>
      <c r="AV188" s="34" t="str">
        <v/>
      </c>
      <c r="AW188" s="34" t="str">
        <v/>
      </c>
      <c r="AX188" s="34" t="str">
        <v/>
      </c>
      <c r="AY188" s="34">
        <v>1</v>
      </c>
      <c r="AZ188" s="34" t="str">
        <v/>
      </c>
      <c r="BA188" s="34">
        <v>0</v>
      </c>
      <c r="BB188" s="34">
        <v>16</v>
      </c>
      <c r="BD188" s="34">
        <v>1</v>
      </c>
      <c r="BE188" s="34">
        <v>0</v>
      </c>
      <c r="BF188" s="34">
        <v>1</v>
      </c>
      <c r="BG188" s="34" t="str">
        <v/>
      </c>
      <c r="BH188" s="34" t="str">
        <v/>
      </c>
      <c r="BI188" s="34" t="str">
        <v/>
      </c>
      <c r="BJ188" s="34" t="str">
        <v/>
      </c>
      <c r="BK188" s="34" t="str">
        <v>SOCKET</v>
      </c>
      <c r="BL188" s="34">
        <v>1</v>
      </c>
      <c r="BM188" s="34" t="str">
        <v/>
      </c>
      <c r="BN188" s="34" t="str">
        <v/>
      </c>
      <c r="BO188" s="34" t="str">
        <v/>
      </c>
      <c r="BP188" s="34" t="str">
        <v/>
      </c>
      <c r="BQ188" s="34" t="str">
        <v>3х2,5</v>
      </c>
      <c r="BR188" s="34" t="str">
        <v/>
      </c>
      <c r="BS188" s="34" t="str">
        <v/>
      </c>
      <c r="BT188" s="34" t="str">
        <v/>
      </c>
      <c r="BU188" s="34">
        <v>1</v>
      </c>
      <c r="BV188" s="34">
        <v>209</v>
      </c>
      <c r="BW188" s="34">
        <v>1</v>
      </c>
      <c r="BX188" s="34">
        <v>0</v>
      </c>
      <c r="BY188" s="34" t="str">
        <v>Розетка</v>
      </c>
      <c r="BZ188">
        <v>9</v>
      </c>
      <c r="CA188" t="str">
        <v>линии</v>
      </c>
    </row>
    <row r="189" spans="1:79" x14ac:dyDescent="0.3">
      <c r="A189" s="39" t="str">
        <v>ЩР-01</v>
      </c>
      <c r="B189" s="42">
        <v>40</v>
      </c>
      <c r="C189" s="42">
        <v>3</v>
      </c>
      <c r="D189" s="75" t="str">
        <v/>
      </c>
      <c r="E189" s="75" t="str">
        <v>авто</v>
      </c>
      <c r="F189" s="76" t="str">
        <v/>
      </c>
      <c r="G189" s="47" t="str">
        <v>QFD28</v>
      </c>
      <c r="H189" s="47" t="str">
        <v>2P С16А 30мА</v>
      </c>
      <c r="I189" s="75" t="str">
        <v/>
      </c>
      <c r="J189" s="76" t="str">
        <v/>
      </c>
      <c r="K189" s="76" t="str">
        <v/>
      </c>
      <c r="L189" s="75" t="str">
        <v/>
      </c>
      <c r="M189" s="49" t="str">
        <v/>
      </c>
      <c r="N189" s="76" t="str">
        <v/>
      </c>
      <c r="O189" s="49" t="str">
        <v/>
      </c>
      <c r="P189" s="77" t="str">
        <v/>
      </c>
      <c r="Q189" s="53" t="str">
        <v>ВВГнг(А)-LS (3х2,5) L=72-0,3%</v>
      </c>
      <c r="R189" s="54" t="str">
        <v>R.0.015A.1</v>
      </c>
      <c r="S189" s="55" t="str">
        <v>Розеточная группа Цокольный этаж Пом. №015A</v>
      </c>
      <c r="T189" s="56">
        <v>0.12</v>
      </c>
      <c r="U189" s="56">
        <v>0.55000000000000004</v>
      </c>
      <c r="V189" s="42" t="str">
        <v>L1</v>
      </c>
      <c r="W189" s="57" t="str">
        <v>ok</v>
      </c>
      <c r="X189" s="58" t="str">
        <v/>
      </c>
      <c r="Y189" s="75" t="str">
        <v/>
      </c>
      <c r="Z189" s="59">
        <v>0.55000000000000004</v>
      </c>
      <c r="AA189" s="61">
        <v>6</v>
      </c>
      <c r="AB189" s="61">
        <v>25</v>
      </c>
      <c r="AC189" s="61" t="str">
        <v/>
      </c>
      <c r="AD189" s="62" t="str">
        <v>QFD28</v>
      </c>
      <c r="AE189" s="62" t="str">
        <v/>
      </c>
      <c r="AF189" s="34">
        <v>28</v>
      </c>
      <c r="AG189" s="34" t="str">
        <v>QFD28</v>
      </c>
      <c r="AH189" s="34" t="str">
        <v/>
      </c>
      <c r="AI189" s="34" t="str">
        <v/>
      </c>
      <c r="AJ189" s="34" t="str">
        <v>QFD28</v>
      </c>
      <c r="AK189" s="34">
        <v>1</v>
      </c>
      <c r="AL189" s="34" t="str">
        <v>R</v>
      </c>
      <c r="AM189" s="34">
        <v>30</v>
      </c>
      <c r="AN189" s="34">
        <v>0</v>
      </c>
      <c r="AO189" s="34">
        <v>16</v>
      </c>
      <c r="AP189" s="34">
        <v>25</v>
      </c>
      <c r="AQ189" s="34">
        <v>16</v>
      </c>
      <c r="AR189" s="34">
        <v>1</v>
      </c>
      <c r="AS189" s="34">
        <v>1</v>
      </c>
      <c r="AT189" s="34" t="str">
        <v>2P</v>
      </c>
      <c r="AU189" s="34">
        <v>16</v>
      </c>
      <c r="AV189" s="34" t="str">
        <v/>
      </c>
      <c r="AW189" s="34" t="str">
        <v/>
      </c>
      <c r="AX189" s="34" t="str">
        <v/>
      </c>
      <c r="AY189" s="34">
        <v>1</v>
      </c>
      <c r="AZ189" s="34" t="str">
        <v/>
      </c>
      <c r="BA189" s="34">
        <v>0</v>
      </c>
      <c r="BB189" s="34">
        <v>16</v>
      </c>
      <c r="BD189" s="34">
        <v>1</v>
      </c>
      <c r="BE189" s="34">
        <v>0</v>
      </c>
      <c r="BF189" s="34">
        <v>1</v>
      </c>
      <c r="BG189" s="34" t="str">
        <v/>
      </c>
      <c r="BH189" s="34" t="str">
        <v/>
      </c>
      <c r="BI189" s="34" t="str">
        <v/>
      </c>
      <c r="BJ189" s="34" t="str">
        <v/>
      </c>
      <c r="BK189" s="34" t="str">
        <v>SOCKET</v>
      </c>
      <c r="BL189" s="34">
        <v>1</v>
      </c>
      <c r="BM189" s="34" t="str">
        <v/>
      </c>
      <c r="BN189" s="34" t="str">
        <v/>
      </c>
      <c r="BO189" s="34" t="str">
        <v/>
      </c>
      <c r="BP189" s="34" t="str">
        <v/>
      </c>
      <c r="BQ189" s="34" t="str">
        <v>3х2,5</v>
      </c>
      <c r="BR189" s="34" t="str">
        <v/>
      </c>
      <c r="BS189" s="34" t="str">
        <v/>
      </c>
      <c r="BT189" s="34" t="str">
        <v/>
      </c>
      <c r="BU189" s="34">
        <v>0</v>
      </c>
      <c r="BV189" s="34">
        <v>210</v>
      </c>
      <c r="BW189" s="34">
        <v>1</v>
      </c>
      <c r="BX189" s="34">
        <v>0</v>
      </c>
      <c r="BY189" s="34" t="str">
        <v>Розетка</v>
      </c>
      <c r="BZ189">
        <v>9</v>
      </c>
      <c r="CA189" t="str">
        <v>линии</v>
      </c>
    </row>
    <row r="190" spans="1:79" x14ac:dyDescent="0.3">
      <c r="A190" s="39" t="str">
        <v>ЩР-01</v>
      </c>
      <c r="B190" s="42">
        <v>41</v>
      </c>
      <c r="C190" s="42">
        <v>3</v>
      </c>
      <c r="D190" s="75" t="str">
        <v/>
      </c>
      <c r="E190" s="75" t="str">
        <v>авто</v>
      </c>
      <c r="F190" s="76" t="str">
        <v/>
      </c>
      <c r="G190" s="47" t="str">
        <v>QFD29</v>
      </c>
      <c r="H190" s="47" t="str">
        <v>2P С16А 30мА</v>
      </c>
      <c r="I190" s="75" t="str">
        <v/>
      </c>
      <c r="J190" s="76" t="str">
        <v/>
      </c>
      <c r="K190" s="76" t="str">
        <v/>
      </c>
      <c r="L190" s="75" t="str">
        <v/>
      </c>
      <c r="M190" s="49" t="str">
        <v/>
      </c>
      <c r="N190" s="76" t="str">
        <v/>
      </c>
      <c r="O190" s="49" t="str">
        <v/>
      </c>
      <c r="P190" s="77" t="str">
        <v/>
      </c>
      <c r="Q190" s="53" t="str">
        <v>ВВГнг(А)-LS (3х2,5) L=84-0,69%</v>
      </c>
      <c r="R190" s="54" t="str">
        <v>R.0.017A.1</v>
      </c>
      <c r="S190" s="55" t="str">
        <v>Розеточная группа Цокольный этаж Пом. №017A</v>
      </c>
      <c r="T190" s="56">
        <v>0.24</v>
      </c>
      <c r="U190" s="56">
        <v>1.1000000000000001</v>
      </c>
      <c r="V190" s="42" t="str">
        <v>L1</v>
      </c>
      <c r="W190" s="57" t="str">
        <v>ok</v>
      </c>
      <c r="X190" s="58" t="str">
        <v/>
      </c>
      <c r="Y190" s="75" t="str">
        <v/>
      </c>
      <c r="Z190" s="59">
        <v>1.1000000000000001</v>
      </c>
      <c r="AA190" s="61">
        <v>6</v>
      </c>
      <c r="AB190" s="61">
        <v>25</v>
      </c>
      <c r="AC190" s="61" t="str">
        <v/>
      </c>
      <c r="AD190" s="62" t="str">
        <v>QFD29</v>
      </c>
      <c r="AE190" s="62" t="str">
        <v/>
      </c>
      <c r="AF190" s="34">
        <v>29</v>
      </c>
      <c r="AG190" s="34" t="str">
        <v>QFD29</v>
      </c>
      <c r="AH190" s="34" t="str">
        <v/>
      </c>
      <c r="AI190" s="34" t="str">
        <v/>
      </c>
      <c r="AJ190" s="34" t="str">
        <v>QFD29</v>
      </c>
      <c r="AK190" s="34">
        <v>1</v>
      </c>
      <c r="AL190" s="34" t="str">
        <v>R</v>
      </c>
      <c r="AM190" s="34">
        <v>30</v>
      </c>
      <c r="AN190" s="34">
        <v>0</v>
      </c>
      <c r="AO190" s="34">
        <v>16</v>
      </c>
      <c r="AP190" s="34">
        <v>25</v>
      </c>
      <c r="AQ190" s="34">
        <v>16</v>
      </c>
      <c r="AR190" s="34">
        <v>1</v>
      </c>
      <c r="AS190" s="34">
        <v>1</v>
      </c>
      <c r="AT190" s="34" t="str">
        <v>2P</v>
      </c>
      <c r="AU190" s="34">
        <v>16</v>
      </c>
      <c r="AV190" s="34" t="str">
        <v/>
      </c>
      <c r="AW190" s="34" t="str">
        <v/>
      </c>
      <c r="AX190" s="34" t="str">
        <v/>
      </c>
      <c r="AY190" s="34">
        <v>1</v>
      </c>
      <c r="AZ190" s="34" t="str">
        <v/>
      </c>
      <c r="BA190" s="34">
        <v>0</v>
      </c>
      <c r="BB190" s="34">
        <v>16</v>
      </c>
      <c r="BD190" s="34">
        <v>1</v>
      </c>
      <c r="BE190" s="34">
        <v>0</v>
      </c>
      <c r="BF190" s="34">
        <v>1</v>
      </c>
      <c r="BG190" s="34" t="str">
        <v/>
      </c>
      <c r="BH190" s="34" t="str">
        <v/>
      </c>
      <c r="BI190" s="34" t="str">
        <v/>
      </c>
      <c r="BJ190" s="34" t="str">
        <v/>
      </c>
      <c r="BK190" s="34" t="str">
        <v>SOCKET</v>
      </c>
      <c r="BL190" s="34">
        <v>1</v>
      </c>
      <c r="BM190" s="34" t="str">
        <v/>
      </c>
      <c r="BN190" s="34" t="str">
        <v/>
      </c>
      <c r="BO190" s="34" t="str">
        <v/>
      </c>
      <c r="BP190" s="34" t="str">
        <v/>
      </c>
      <c r="BQ190" s="34" t="str">
        <v>3х2,5</v>
      </c>
      <c r="BR190" s="34" t="str">
        <v/>
      </c>
      <c r="BS190" s="34" t="str">
        <v/>
      </c>
      <c r="BT190" s="34" t="str">
        <v/>
      </c>
      <c r="BU190" s="34">
        <v>0</v>
      </c>
      <c r="BV190" s="34">
        <v>211</v>
      </c>
      <c r="BW190" s="34">
        <v>1</v>
      </c>
      <c r="BX190" s="34">
        <v>0</v>
      </c>
      <c r="BY190" s="34" t="str">
        <v>Розетка</v>
      </c>
      <c r="BZ190">
        <v>9</v>
      </c>
      <c r="CA190" t="str">
        <v>линии</v>
      </c>
    </row>
    <row r="191" spans="1:79" x14ac:dyDescent="0.3">
      <c r="A191" s="39" t="str">
        <v>ЩР-01</v>
      </c>
      <c r="B191" s="42">
        <v>42</v>
      </c>
      <c r="C191" s="42">
        <v>3</v>
      </c>
      <c r="D191" s="75" t="str">
        <v/>
      </c>
      <c r="E191" s="75" t="str">
        <v>авто</v>
      </c>
      <c r="F191" s="76" t="str">
        <v/>
      </c>
      <c r="G191" s="47" t="str">
        <v>QFD30</v>
      </c>
      <c r="H191" s="47" t="str">
        <v>2P С16А 30мА</v>
      </c>
      <c r="I191" s="75" t="str">
        <v/>
      </c>
      <c r="J191" s="76" t="str">
        <v/>
      </c>
      <c r="K191" s="76" t="str">
        <v/>
      </c>
      <c r="L191" s="75" t="str">
        <v/>
      </c>
      <c r="M191" s="49" t="str">
        <v/>
      </c>
      <c r="N191" s="76" t="str">
        <v/>
      </c>
      <c r="O191" s="49" t="str">
        <v/>
      </c>
      <c r="P191" s="77" t="str">
        <v/>
      </c>
      <c r="Q191" s="53" t="str">
        <v>ВВГнг(А)-LS (3х2,5) L=56-0,12%</v>
      </c>
      <c r="R191" s="54" t="str">
        <v>R.0.018A.1</v>
      </c>
      <c r="S191" s="55" t="str">
        <v>Розеточная группа Цокольный этаж Пом. №018A</v>
      </c>
      <c r="T191" s="56">
        <v>0.06</v>
      </c>
      <c r="U191" s="56">
        <v>0.28000000000000003</v>
      </c>
      <c r="V191" s="42" t="str">
        <v>L1</v>
      </c>
      <c r="W191" s="57" t="str">
        <v>ok</v>
      </c>
      <c r="X191" s="58" t="str">
        <v/>
      </c>
      <c r="Y191" s="75" t="str">
        <v/>
      </c>
      <c r="Z191" s="59">
        <v>0.28000000000000003</v>
      </c>
      <c r="AA191" s="61">
        <v>6</v>
      </c>
      <c r="AB191" s="61">
        <v>25</v>
      </c>
      <c r="AC191" s="61" t="str">
        <v/>
      </c>
      <c r="AD191" s="62" t="str">
        <v>QFD30</v>
      </c>
      <c r="AE191" s="62" t="str">
        <v/>
      </c>
      <c r="AF191" s="34">
        <v>30</v>
      </c>
      <c r="AG191" s="34" t="str">
        <v>QFD30</v>
      </c>
      <c r="AH191" s="34" t="str">
        <v/>
      </c>
      <c r="AI191" s="34" t="str">
        <v/>
      </c>
      <c r="AJ191" s="34" t="str">
        <v>QFD30</v>
      </c>
      <c r="AK191" s="34">
        <v>1</v>
      </c>
      <c r="AL191" s="34" t="str">
        <v>R</v>
      </c>
      <c r="AM191" s="34">
        <v>30</v>
      </c>
      <c r="AN191" s="34">
        <v>0</v>
      </c>
      <c r="AO191" s="34">
        <v>16</v>
      </c>
      <c r="AP191" s="34">
        <v>25</v>
      </c>
      <c r="AQ191" s="34">
        <v>16</v>
      </c>
      <c r="AR191" s="34">
        <v>1</v>
      </c>
      <c r="AS191" s="34">
        <v>1</v>
      </c>
      <c r="AT191" s="34" t="str">
        <v>2P</v>
      </c>
      <c r="AU191" s="34">
        <v>16</v>
      </c>
      <c r="AV191" s="34" t="str">
        <v/>
      </c>
      <c r="AW191" s="34" t="str">
        <v/>
      </c>
      <c r="AX191" s="34" t="str">
        <v/>
      </c>
      <c r="AY191" s="34">
        <v>1</v>
      </c>
      <c r="AZ191" s="34" t="str">
        <v/>
      </c>
      <c r="BA191" s="34">
        <v>0</v>
      </c>
      <c r="BB191" s="34">
        <v>16</v>
      </c>
      <c r="BD191" s="34">
        <v>1</v>
      </c>
      <c r="BE191" s="34">
        <v>0</v>
      </c>
      <c r="BF191" s="34">
        <v>1</v>
      </c>
      <c r="BG191" s="34" t="str">
        <v/>
      </c>
      <c r="BH191" s="34" t="str">
        <v/>
      </c>
      <c r="BI191" s="34" t="str">
        <v/>
      </c>
      <c r="BJ191" s="34" t="str">
        <v/>
      </c>
      <c r="BK191" s="34" t="str">
        <v>SOCKET</v>
      </c>
      <c r="BL191" s="34">
        <v>1</v>
      </c>
      <c r="BM191" s="34" t="str">
        <v/>
      </c>
      <c r="BN191" s="34" t="str">
        <v/>
      </c>
      <c r="BO191" s="34" t="str">
        <v/>
      </c>
      <c r="BP191" s="34" t="str">
        <v/>
      </c>
      <c r="BQ191" s="34" t="str">
        <v>3х2,5</v>
      </c>
      <c r="BR191" s="34" t="str">
        <v/>
      </c>
      <c r="BS191" s="34" t="str">
        <v/>
      </c>
      <c r="BT191" s="34" t="str">
        <v/>
      </c>
      <c r="BU191" s="34">
        <v>0</v>
      </c>
      <c r="BV191" s="34">
        <v>212</v>
      </c>
      <c r="BW191" s="34">
        <v>1</v>
      </c>
      <c r="BX191" s="34">
        <v>0</v>
      </c>
      <c r="BY191" s="34" t="str">
        <v>Розетка</v>
      </c>
      <c r="BZ191">
        <v>9</v>
      </c>
      <c r="CA191" t="str">
        <v>линии</v>
      </c>
    </row>
    <row r="192" spans="1:79" x14ac:dyDescent="0.3">
      <c r="A192" s="39" t="str">
        <v>ЩР-01</v>
      </c>
      <c r="B192" s="42">
        <v>43</v>
      </c>
      <c r="C192" s="42">
        <v>3</v>
      </c>
      <c r="D192" s="75" t="str">
        <v/>
      </c>
      <c r="E192" s="75" t="str">
        <v>авто</v>
      </c>
      <c r="F192" s="76" t="str">
        <v/>
      </c>
      <c r="G192" s="47" t="str">
        <v>QFD31</v>
      </c>
      <c r="H192" s="47" t="str">
        <v>2P С16А 30мА</v>
      </c>
      <c r="I192" s="75" t="str">
        <v/>
      </c>
      <c r="J192" s="76" t="str">
        <v/>
      </c>
      <c r="K192" s="76" t="str">
        <v/>
      </c>
      <c r="L192" s="75" t="str">
        <v/>
      </c>
      <c r="M192" s="49" t="str">
        <v/>
      </c>
      <c r="N192" s="76" t="str">
        <v/>
      </c>
      <c r="O192" s="49" t="str">
        <v/>
      </c>
      <c r="P192" s="77" t="str">
        <v/>
      </c>
      <c r="Q192" s="53" t="str">
        <v>ВВГнг(А)-LS (3х2,5) L=33-0,07%</v>
      </c>
      <c r="R192" s="54" t="str">
        <v>R.0.018Б.1</v>
      </c>
      <c r="S192" s="55" t="str">
        <v>Розеточная группа Цокольный этаж Пом. №018Б</v>
      </c>
      <c r="T192" s="56">
        <v>0.06</v>
      </c>
      <c r="U192" s="56">
        <v>0.28000000000000003</v>
      </c>
      <c r="V192" s="42" t="str">
        <v>L2</v>
      </c>
      <c r="W192" s="57" t="str">
        <v>ok</v>
      </c>
      <c r="X192" s="58" t="str">
        <v/>
      </c>
      <c r="Y192" s="75" t="str">
        <v/>
      </c>
      <c r="Z192" s="59">
        <v>0.28000000000000003</v>
      </c>
      <c r="AA192" s="61">
        <v>6</v>
      </c>
      <c r="AB192" s="61">
        <v>25</v>
      </c>
      <c r="AC192" s="61" t="str">
        <v/>
      </c>
      <c r="AD192" s="62" t="str">
        <v>QFD31</v>
      </c>
      <c r="AE192" s="62" t="str">
        <v/>
      </c>
      <c r="AF192" s="34">
        <v>31</v>
      </c>
      <c r="AG192" s="34" t="str">
        <v>QFD31</v>
      </c>
      <c r="AH192" s="34" t="str">
        <v/>
      </c>
      <c r="AI192" s="34" t="str">
        <v/>
      </c>
      <c r="AJ192" s="34" t="str">
        <v>QFD31</v>
      </c>
      <c r="AK192" s="34">
        <v>1</v>
      </c>
      <c r="AL192" s="34" t="str">
        <v>R</v>
      </c>
      <c r="AM192" s="34">
        <v>30</v>
      </c>
      <c r="AN192" s="34">
        <v>0</v>
      </c>
      <c r="AO192" s="34">
        <v>16</v>
      </c>
      <c r="AP192" s="34">
        <v>25</v>
      </c>
      <c r="AQ192" s="34">
        <v>16</v>
      </c>
      <c r="AR192" s="34">
        <v>1</v>
      </c>
      <c r="AS192" s="34">
        <v>1</v>
      </c>
      <c r="AT192" s="34" t="str">
        <v>2P</v>
      </c>
      <c r="AU192" s="34">
        <v>16</v>
      </c>
      <c r="AV192" s="34" t="str">
        <v/>
      </c>
      <c r="AW192" s="34" t="str">
        <v/>
      </c>
      <c r="AX192" s="34" t="str">
        <v/>
      </c>
      <c r="AY192" s="34">
        <v>1</v>
      </c>
      <c r="AZ192" s="34" t="str">
        <v/>
      </c>
      <c r="BA192" s="34">
        <v>0</v>
      </c>
      <c r="BB192" s="34">
        <v>16</v>
      </c>
      <c r="BD192" s="34">
        <v>1</v>
      </c>
      <c r="BE192" s="34">
        <v>0</v>
      </c>
      <c r="BF192" s="34">
        <v>1</v>
      </c>
      <c r="BG192" s="34" t="str">
        <v/>
      </c>
      <c r="BH192" s="34" t="str">
        <v/>
      </c>
      <c r="BI192" s="34" t="str">
        <v/>
      </c>
      <c r="BJ192" s="34" t="str">
        <v/>
      </c>
      <c r="BK192" s="34" t="str">
        <v>SOCKET</v>
      </c>
      <c r="BL192" s="34">
        <v>1</v>
      </c>
      <c r="BM192" s="34" t="str">
        <v/>
      </c>
      <c r="BN192" s="34" t="str">
        <v/>
      </c>
      <c r="BO192" s="34" t="str">
        <v/>
      </c>
      <c r="BP192" s="34" t="str">
        <v/>
      </c>
      <c r="BQ192" s="34" t="str">
        <v>3х2,5</v>
      </c>
      <c r="BR192" s="34" t="str">
        <v/>
      </c>
      <c r="BS192" s="34" t="str">
        <v/>
      </c>
      <c r="BT192" s="34" t="str">
        <v/>
      </c>
      <c r="BU192" s="34">
        <v>0</v>
      </c>
      <c r="BV192" s="34">
        <v>213</v>
      </c>
      <c r="BW192" s="34">
        <v>1</v>
      </c>
      <c r="BX192" s="34">
        <v>0</v>
      </c>
      <c r="BY192" s="34" t="str">
        <v>Розетка</v>
      </c>
      <c r="BZ192">
        <v>9</v>
      </c>
      <c r="CA192" t="str">
        <v>линии</v>
      </c>
    </row>
    <row r="193" spans="1:79" x14ac:dyDescent="0.3">
      <c r="A193" s="39" t="str">
        <v>ЩР-01</v>
      </c>
      <c r="B193" s="42">
        <v>44</v>
      </c>
      <c r="C193" s="42">
        <v>3</v>
      </c>
      <c r="D193" s="75" t="str">
        <v/>
      </c>
      <c r="E193" s="75" t="str">
        <v>авто</v>
      </c>
      <c r="F193" s="76" t="str">
        <v/>
      </c>
      <c r="G193" s="47" t="str">
        <v>QFD32</v>
      </c>
      <c r="H193" s="47" t="str">
        <v>2P С16А 30мА</v>
      </c>
      <c r="I193" s="75" t="str">
        <v/>
      </c>
      <c r="J193" s="76" t="str">
        <v/>
      </c>
      <c r="K193" s="76" t="str">
        <v/>
      </c>
      <c r="L193" s="75" t="str">
        <v/>
      </c>
      <c r="M193" s="49" t="str">
        <v/>
      </c>
      <c r="N193" s="76" t="str">
        <v/>
      </c>
      <c r="O193" s="49" t="str">
        <v/>
      </c>
      <c r="P193" s="77" t="str">
        <v/>
      </c>
      <c r="Q193" s="53" t="str">
        <v>ВВГнг(А)-LS (3х2,5) L=72-0,59%</v>
      </c>
      <c r="R193" s="54" t="str">
        <v>R.0.021A.1</v>
      </c>
      <c r="S193" s="55" t="str">
        <v>Розеточная группа Цокольный этаж Пом. №021A</v>
      </c>
      <c r="T193" s="56">
        <v>0.24</v>
      </c>
      <c r="U193" s="56">
        <v>1.1000000000000001</v>
      </c>
      <c r="V193" s="42" t="str">
        <v>L3</v>
      </c>
      <c r="W193" s="57" t="str">
        <v>ok</v>
      </c>
      <c r="X193" s="58" t="str">
        <v/>
      </c>
      <c r="Y193" s="75" t="str">
        <v/>
      </c>
      <c r="Z193" s="59">
        <v>1.1000000000000001</v>
      </c>
      <c r="AA193" s="61">
        <v>6</v>
      </c>
      <c r="AB193" s="61">
        <v>25</v>
      </c>
      <c r="AC193" s="61" t="str">
        <v/>
      </c>
      <c r="AD193" s="62" t="str">
        <v>QFD32</v>
      </c>
      <c r="AE193" s="62" t="str">
        <v/>
      </c>
      <c r="AF193" s="34">
        <v>32</v>
      </c>
      <c r="AG193" s="34" t="str">
        <v>QFD32</v>
      </c>
      <c r="AH193" s="34" t="str">
        <v/>
      </c>
      <c r="AI193" s="34" t="str">
        <v/>
      </c>
      <c r="AJ193" s="34" t="str">
        <v>QFD32</v>
      </c>
      <c r="AK193" s="34">
        <v>1</v>
      </c>
      <c r="AL193" s="34" t="str">
        <v>R</v>
      </c>
      <c r="AM193" s="34">
        <v>30</v>
      </c>
      <c r="AN193" s="34">
        <v>0</v>
      </c>
      <c r="AO193" s="34">
        <v>16</v>
      </c>
      <c r="AP193" s="34">
        <v>25</v>
      </c>
      <c r="AQ193" s="34">
        <v>16</v>
      </c>
      <c r="AR193" s="34">
        <v>1</v>
      </c>
      <c r="AS193" s="34">
        <v>1</v>
      </c>
      <c r="AT193" s="34" t="str">
        <v>2P</v>
      </c>
      <c r="AU193" s="34">
        <v>16</v>
      </c>
      <c r="AV193" s="34" t="str">
        <v/>
      </c>
      <c r="AW193" s="34" t="str">
        <v/>
      </c>
      <c r="AX193" s="34" t="str">
        <v/>
      </c>
      <c r="AY193" s="34">
        <v>1</v>
      </c>
      <c r="AZ193" s="34" t="str">
        <v/>
      </c>
      <c r="BA193" s="34">
        <v>0</v>
      </c>
      <c r="BB193" s="34">
        <v>16</v>
      </c>
      <c r="BD193" s="34">
        <v>1</v>
      </c>
      <c r="BE193" s="34">
        <v>0</v>
      </c>
      <c r="BF193" s="34">
        <v>1</v>
      </c>
      <c r="BG193" s="34" t="str">
        <v/>
      </c>
      <c r="BH193" s="34" t="str">
        <v/>
      </c>
      <c r="BI193" s="34" t="str">
        <v/>
      </c>
      <c r="BJ193" s="34" t="str">
        <v/>
      </c>
      <c r="BK193" s="34" t="str">
        <v>SOCKET</v>
      </c>
      <c r="BL193" s="34">
        <v>1</v>
      </c>
      <c r="BM193" s="34" t="str">
        <v/>
      </c>
      <c r="BN193" s="34" t="str">
        <v/>
      </c>
      <c r="BO193" s="34" t="str">
        <v/>
      </c>
      <c r="BP193" s="34" t="str">
        <v/>
      </c>
      <c r="BQ193" s="34" t="str">
        <v>3х2,5</v>
      </c>
      <c r="BR193" s="34" t="str">
        <v/>
      </c>
      <c r="BS193" s="34" t="str">
        <v/>
      </c>
      <c r="BT193" s="34" t="str">
        <v/>
      </c>
      <c r="BU193" s="34">
        <v>0</v>
      </c>
      <c r="BV193" s="34">
        <v>214</v>
      </c>
      <c r="BW193" s="34">
        <v>1</v>
      </c>
      <c r="BX193" s="34">
        <v>0</v>
      </c>
      <c r="BY193" s="34" t="str">
        <v>Розетка</v>
      </c>
      <c r="BZ193">
        <v>9</v>
      </c>
      <c r="CA193" t="str">
        <v>линии</v>
      </c>
    </row>
    <row r="194" spans="1:79" x14ac:dyDescent="0.3">
      <c r="A194" s="39" t="str">
        <v>ЩР-01</v>
      </c>
      <c r="B194" s="42">
        <v>45</v>
      </c>
      <c r="C194" s="42">
        <v>3</v>
      </c>
      <c r="D194" s="75" t="str">
        <v/>
      </c>
      <c r="E194" s="75" t="str">
        <v>авто</v>
      </c>
      <c r="F194" s="76" t="str">
        <v/>
      </c>
      <c r="G194" s="47" t="str">
        <v>QFD33</v>
      </c>
      <c r="H194" s="47" t="str">
        <v>2P С16А 30мА</v>
      </c>
      <c r="I194" s="75" t="str">
        <v/>
      </c>
      <c r="J194" s="76" t="str">
        <v/>
      </c>
      <c r="K194" s="76" t="str">
        <v/>
      </c>
      <c r="L194" s="75" t="str">
        <v/>
      </c>
      <c r="M194" s="49" t="str">
        <v/>
      </c>
      <c r="N194" s="76" t="str">
        <v/>
      </c>
      <c r="O194" s="49" t="str">
        <v/>
      </c>
      <c r="P194" s="77" t="str">
        <v/>
      </c>
      <c r="Q194" s="53" t="str">
        <v>ВВГнг(А)-LS (3х2,5) L=54-0,11%</v>
      </c>
      <c r="R194" s="54" t="str">
        <v>R.0.022.1</v>
      </c>
      <c r="S194" s="55" t="str">
        <v>Розеточная группа Цокольный этаж Пом. №022</v>
      </c>
      <c r="T194" s="56">
        <v>0.06</v>
      </c>
      <c r="U194" s="56">
        <v>0.28000000000000003</v>
      </c>
      <c r="V194" s="42" t="str">
        <v>L3</v>
      </c>
      <c r="W194" s="57" t="str">
        <v>ok</v>
      </c>
      <c r="X194" s="58" t="str">
        <v/>
      </c>
      <c r="Y194" s="75" t="str">
        <v/>
      </c>
      <c r="Z194" s="59">
        <v>0.28000000000000003</v>
      </c>
      <c r="AA194" s="61">
        <v>6</v>
      </c>
      <c r="AB194" s="61">
        <v>25</v>
      </c>
      <c r="AC194" s="61" t="str">
        <v/>
      </c>
      <c r="AD194" s="62" t="str">
        <v>QFD33</v>
      </c>
      <c r="AE194" s="62" t="str">
        <v/>
      </c>
      <c r="AF194" s="34">
        <v>33</v>
      </c>
      <c r="AG194" s="34" t="str">
        <v>QFD33</v>
      </c>
      <c r="AH194" s="34" t="str">
        <v/>
      </c>
      <c r="AI194" s="34" t="str">
        <v/>
      </c>
      <c r="AJ194" s="34" t="str">
        <v>QFD33</v>
      </c>
      <c r="AK194" s="34">
        <v>1</v>
      </c>
      <c r="AL194" s="34" t="str">
        <v>R</v>
      </c>
      <c r="AM194" s="34">
        <v>30</v>
      </c>
      <c r="AN194" s="34">
        <v>0</v>
      </c>
      <c r="AO194" s="34">
        <v>16</v>
      </c>
      <c r="AP194" s="34">
        <v>25</v>
      </c>
      <c r="AQ194" s="34">
        <v>16</v>
      </c>
      <c r="AR194" s="34">
        <v>1</v>
      </c>
      <c r="AS194" s="34">
        <v>1</v>
      </c>
      <c r="AT194" s="34" t="str">
        <v>2P</v>
      </c>
      <c r="AU194" s="34">
        <v>16</v>
      </c>
      <c r="AV194" s="34" t="str">
        <v/>
      </c>
      <c r="AW194" s="34" t="str">
        <v/>
      </c>
      <c r="AX194" s="34" t="str">
        <v/>
      </c>
      <c r="AY194" s="34">
        <v>1</v>
      </c>
      <c r="AZ194" s="34" t="str">
        <v/>
      </c>
      <c r="BA194" s="34">
        <v>0</v>
      </c>
      <c r="BB194" s="34">
        <v>16</v>
      </c>
      <c r="BD194" s="34">
        <v>1</v>
      </c>
      <c r="BE194" s="34">
        <v>0</v>
      </c>
      <c r="BF194" s="34">
        <v>1</v>
      </c>
      <c r="BG194" s="34" t="str">
        <v/>
      </c>
      <c r="BH194" s="34" t="str">
        <v/>
      </c>
      <c r="BI194" s="34" t="str">
        <v/>
      </c>
      <c r="BJ194" s="34" t="str">
        <v/>
      </c>
      <c r="BK194" s="34" t="str">
        <v>SOCKET</v>
      </c>
      <c r="BL194" s="34">
        <v>1</v>
      </c>
      <c r="BM194" s="34" t="str">
        <v/>
      </c>
      <c r="BN194" s="34" t="str">
        <v/>
      </c>
      <c r="BO194" s="34" t="str">
        <v/>
      </c>
      <c r="BP194" s="34" t="str">
        <v/>
      </c>
      <c r="BQ194" s="34" t="str">
        <v>3х2,5</v>
      </c>
      <c r="BR194" s="34" t="str">
        <v/>
      </c>
      <c r="BS194" s="34" t="str">
        <v/>
      </c>
      <c r="BT194" s="34" t="str">
        <v/>
      </c>
      <c r="BU194" s="34">
        <v>0</v>
      </c>
      <c r="BV194" s="34">
        <v>215</v>
      </c>
      <c r="BW194" s="34">
        <v>1</v>
      </c>
      <c r="BX194" s="34">
        <v>0</v>
      </c>
      <c r="BY194" s="34" t="str">
        <v>Розетка</v>
      </c>
      <c r="BZ194">
        <v>9</v>
      </c>
      <c r="CA194" t="str">
        <v>линии</v>
      </c>
    </row>
    <row r="195" spans="1:79" x14ac:dyDescent="0.3">
      <c r="A195" s="39" t="str">
        <v>ЩР-01</v>
      </c>
      <c r="B195" s="42">
        <v>46</v>
      </c>
      <c r="C195" s="42">
        <v>3</v>
      </c>
      <c r="D195" s="75" t="str">
        <v/>
      </c>
      <c r="E195" s="75" t="str">
        <v>авто</v>
      </c>
      <c r="F195" s="76" t="str">
        <v/>
      </c>
      <c r="G195" s="47" t="str">
        <v>QFD34</v>
      </c>
      <c r="H195" s="47" t="str">
        <v>2P С16А 30мА</v>
      </c>
      <c r="I195" s="75" t="str">
        <v/>
      </c>
      <c r="J195" s="76" t="str">
        <v/>
      </c>
      <c r="K195" s="76" t="str">
        <v/>
      </c>
      <c r="L195" s="75" t="str">
        <v/>
      </c>
      <c r="M195" s="49" t="str">
        <v/>
      </c>
      <c r="N195" s="76" t="str">
        <v/>
      </c>
      <c r="O195" s="49" t="str">
        <v/>
      </c>
      <c r="P195" s="77" t="str">
        <v/>
      </c>
      <c r="Q195" s="53" t="str">
        <v>ВВГнг(А)-LS (3х2,5) L=63-0,39%</v>
      </c>
      <c r="R195" s="54" t="str">
        <v>R.0.012A.2</v>
      </c>
      <c r="S195" s="55" t="str">
        <v>Розеточная группа Цокольный этаж Пом. №012A</v>
      </c>
      <c r="T195" s="56">
        <v>0.18</v>
      </c>
      <c r="U195" s="56">
        <v>0.83</v>
      </c>
      <c r="V195" s="42" t="str">
        <v>L1</v>
      </c>
      <c r="W195" s="57" t="str">
        <v>ok</v>
      </c>
      <c r="X195" s="58" t="str">
        <v/>
      </c>
      <c r="Y195" s="75" t="str">
        <v/>
      </c>
      <c r="Z195" s="59">
        <v>0.83</v>
      </c>
      <c r="AA195" s="61">
        <v>6</v>
      </c>
      <c r="AB195" s="61">
        <v>25</v>
      </c>
      <c r="AC195" s="61" t="str">
        <v/>
      </c>
      <c r="AD195" s="62" t="str">
        <v>QFD34</v>
      </c>
      <c r="AE195" s="62" t="str">
        <v/>
      </c>
      <c r="AF195" s="34">
        <v>34</v>
      </c>
      <c r="AG195" s="34" t="str">
        <v>QFD34</v>
      </c>
      <c r="AH195" s="34" t="str">
        <v/>
      </c>
      <c r="AI195" s="34" t="str">
        <v/>
      </c>
      <c r="AJ195" s="34" t="str">
        <v>QFD34</v>
      </c>
      <c r="AK195" s="34">
        <v>1</v>
      </c>
      <c r="AL195" s="34" t="str">
        <v>R</v>
      </c>
      <c r="AM195" s="34">
        <v>30</v>
      </c>
      <c r="AN195" s="34">
        <v>0</v>
      </c>
      <c r="AO195" s="34">
        <v>16</v>
      </c>
      <c r="AP195" s="34">
        <v>25</v>
      </c>
      <c r="AQ195" s="34">
        <v>16</v>
      </c>
      <c r="AR195" s="34">
        <v>1</v>
      </c>
      <c r="AS195" s="34">
        <v>1</v>
      </c>
      <c r="AT195" s="34" t="str">
        <v>2P</v>
      </c>
      <c r="AU195" s="34">
        <v>16</v>
      </c>
      <c r="AV195" s="34" t="str">
        <v/>
      </c>
      <c r="AW195" s="34" t="str">
        <v/>
      </c>
      <c r="AX195" s="34" t="str">
        <v/>
      </c>
      <c r="AY195" s="34">
        <v>1</v>
      </c>
      <c r="AZ195" s="34" t="str">
        <v/>
      </c>
      <c r="BA195" s="34">
        <v>0</v>
      </c>
      <c r="BB195" s="34">
        <v>16</v>
      </c>
      <c r="BD195" s="34">
        <v>1</v>
      </c>
      <c r="BE195" s="34">
        <v>0</v>
      </c>
      <c r="BF195" s="34">
        <v>1</v>
      </c>
      <c r="BG195" s="34" t="str">
        <v/>
      </c>
      <c r="BH195" s="34" t="str">
        <v/>
      </c>
      <c r="BI195" s="34" t="str">
        <v/>
      </c>
      <c r="BJ195" s="34" t="str">
        <v/>
      </c>
      <c r="BK195" s="34" t="str">
        <v>SOCKET</v>
      </c>
      <c r="BL195" s="34">
        <v>1</v>
      </c>
      <c r="BM195" s="34" t="str">
        <v/>
      </c>
      <c r="BN195" s="34" t="str">
        <v/>
      </c>
      <c r="BO195" s="34" t="str">
        <v/>
      </c>
      <c r="BP195" s="34" t="str">
        <v/>
      </c>
      <c r="BQ195" s="34" t="str">
        <v>3х2,5</v>
      </c>
      <c r="BR195" s="34" t="str">
        <v/>
      </c>
      <c r="BS195" s="34" t="str">
        <v/>
      </c>
      <c r="BT195" s="34" t="str">
        <v/>
      </c>
      <c r="BU195" s="34">
        <v>0</v>
      </c>
      <c r="BV195" s="34">
        <v>216</v>
      </c>
      <c r="BW195" s="34">
        <v>1</v>
      </c>
      <c r="BX195" s="34">
        <v>0</v>
      </c>
      <c r="BY195" s="34" t="str">
        <v>Розетка</v>
      </c>
      <c r="BZ195">
        <v>9</v>
      </c>
      <c r="CA195" t="str">
        <v>линии</v>
      </c>
    </row>
    <row r="196" spans="1:79" x14ac:dyDescent="0.3">
      <c r="A196" s="39" t="str">
        <v>ЩР-01</v>
      </c>
      <c r="B196" s="42">
        <v>47</v>
      </c>
      <c r="C196" s="42">
        <v>3</v>
      </c>
      <c r="D196" s="75" t="str">
        <v/>
      </c>
      <c r="E196" s="75" t="str">
        <v>авто</v>
      </c>
      <c r="F196" s="76" t="str">
        <v/>
      </c>
      <c r="G196" s="47" t="str">
        <v>QFD35</v>
      </c>
      <c r="H196" s="47" t="str">
        <v>2P С16А 30мА</v>
      </c>
      <c r="I196" s="75" t="str">
        <v/>
      </c>
      <c r="J196" s="76" t="str">
        <v/>
      </c>
      <c r="K196" s="76" t="str">
        <v/>
      </c>
      <c r="L196" s="75" t="str">
        <v/>
      </c>
      <c r="M196" s="49" t="str">
        <v/>
      </c>
      <c r="N196" s="76" t="str">
        <v/>
      </c>
      <c r="O196" s="49" t="str">
        <v/>
      </c>
      <c r="P196" s="77" t="str">
        <v/>
      </c>
      <c r="Q196" s="53" t="str">
        <v>ВВГнг(А)-LS (3х2,5) L=51-0,11%</v>
      </c>
      <c r="R196" s="54" t="str">
        <v>R.0.020A.1</v>
      </c>
      <c r="S196" s="55" t="str">
        <v>Розеточная группа Цокольный этаж Пом. №020A</v>
      </c>
      <c r="T196" s="56">
        <v>0.06</v>
      </c>
      <c r="U196" s="56">
        <v>0.28000000000000003</v>
      </c>
      <c r="V196" s="42" t="str">
        <v>L1</v>
      </c>
      <c r="W196" s="57" t="str">
        <v>ok</v>
      </c>
      <c r="X196" s="58" t="str">
        <v/>
      </c>
      <c r="Y196" s="75" t="str">
        <v/>
      </c>
      <c r="Z196" s="59">
        <v>0.28000000000000003</v>
      </c>
      <c r="AA196" s="61">
        <v>6</v>
      </c>
      <c r="AB196" s="61">
        <v>25</v>
      </c>
      <c r="AC196" s="61" t="str">
        <v/>
      </c>
      <c r="AD196" s="62" t="str">
        <v>QFD35</v>
      </c>
      <c r="AE196" s="62" t="str">
        <v/>
      </c>
      <c r="AF196" s="34">
        <v>35</v>
      </c>
      <c r="AG196" s="34" t="str">
        <v>QFD35</v>
      </c>
      <c r="AH196" s="34" t="str">
        <v/>
      </c>
      <c r="AI196" s="34" t="str">
        <v/>
      </c>
      <c r="AJ196" s="34" t="str">
        <v>QFD35</v>
      </c>
      <c r="AK196" s="34">
        <v>1</v>
      </c>
      <c r="AL196" s="34" t="str">
        <v>R</v>
      </c>
      <c r="AM196" s="34">
        <v>30</v>
      </c>
      <c r="AN196" s="34">
        <v>0</v>
      </c>
      <c r="AO196" s="34">
        <v>16</v>
      </c>
      <c r="AP196" s="34">
        <v>25</v>
      </c>
      <c r="AQ196" s="34">
        <v>16</v>
      </c>
      <c r="AR196" s="34">
        <v>1</v>
      </c>
      <c r="AS196" s="34">
        <v>1</v>
      </c>
      <c r="AT196" s="34" t="str">
        <v>2P</v>
      </c>
      <c r="AU196" s="34">
        <v>16</v>
      </c>
      <c r="AV196" s="34" t="str">
        <v/>
      </c>
      <c r="AW196" s="34" t="str">
        <v/>
      </c>
      <c r="AX196" s="34" t="str">
        <v/>
      </c>
      <c r="AY196" s="34">
        <v>1</v>
      </c>
      <c r="AZ196" s="34" t="str">
        <v/>
      </c>
      <c r="BA196" s="34">
        <v>0</v>
      </c>
      <c r="BB196" s="34">
        <v>16</v>
      </c>
      <c r="BD196" s="34">
        <v>1</v>
      </c>
      <c r="BE196" s="34">
        <v>0</v>
      </c>
      <c r="BF196" s="34">
        <v>1</v>
      </c>
      <c r="BG196" s="34" t="str">
        <v/>
      </c>
      <c r="BH196" s="34" t="str">
        <v/>
      </c>
      <c r="BI196" s="34" t="str">
        <v/>
      </c>
      <c r="BJ196" s="34" t="str">
        <v/>
      </c>
      <c r="BK196" s="34" t="str">
        <v>SOCKET</v>
      </c>
      <c r="BL196" s="34">
        <v>1</v>
      </c>
      <c r="BM196" s="34" t="str">
        <v/>
      </c>
      <c r="BN196" s="34" t="str">
        <v/>
      </c>
      <c r="BO196" s="34" t="str">
        <v/>
      </c>
      <c r="BP196" s="34" t="str">
        <v/>
      </c>
      <c r="BQ196" s="34" t="str">
        <v>3х2,5</v>
      </c>
      <c r="BR196" s="34" t="str">
        <v/>
      </c>
      <c r="BS196" s="34" t="str">
        <v/>
      </c>
      <c r="BT196" s="34" t="str">
        <v/>
      </c>
      <c r="BU196" s="34">
        <v>0</v>
      </c>
      <c r="BV196" s="34">
        <v>217</v>
      </c>
      <c r="BW196" s="34">
        <v>1</v>
      </c>
      <c r="BX196" s="34">
        <v>0</v>
      </c>
      <c r="BY196" s="34" t="str">
        <v>Розетка</v>
      </c>
      <c r="BZ196">
        <v>9</v>
      </c>
      <c r="CA196" t="str">
        <v>линии</v>
      </c>
    </row>
    <row r="197" spans="1:79" x14ac:dyDescent="0.3">
      <c r="A197" s="39" t="str">
        <v>ЩР-01</v>
      </c>
      <c r="B197" s="42">
        <v>53</v>
      </c>
      <c r="C197" s="42">
        <v>4</v>
      </c>
      <c r="D197" s="75" t="str">
        <v/>
      </c>
      <c r="E197" s="75" t="str">
        <v>авто</v>
      </c>
      <c r="F197" s="76" t="str">
        <v/>
      </c>
      <c r="G197" s="47" t="str">
        <v>QF36</v>
      </c>
      <c r="H197" s="47" t="str">
        <v>1P С25А</v>
      </c>
      <c r="I197" s="75" t="str">
        <v/>
      </c>
      <c r="J197" s="76" t="str">
        <v/>
      </c>
      <c r="K197" s="76" t="str">
        <v/>
      </c>
      <c r="L197" s="75" t="str">
        <v/>
      </c>
      <c r="M197" s="49" t="str">
        <v/>
      </c>
      <c r="N197" s="76" t="str">
        <v/>
      </c>
      <c r="O197" s="49" t="str">
        <v/>
      </c>
      <c r="P197" s="77" t="str">
        <v>XT36</v>
      </c>
      <c r="Q197" s="53" t="str">
        <v>ВВГнг(А)-LS (3х6) L=22-1,45%</v>
      </c>
      <c r="R197" s="54" t="str">
        <v>ШТК-1</v>
      </c>
      <c r="S197" s="55" t="str">
        <v>Шкаф телекоммуникационный ШТК-2 Цокольный этаж Пом. №002Т</v>
      </c>
      <c r="T197" s="56">
        <v>4.625</v>
      </c>
      <c r="U197" s="56">
        <v>21.09</v>
      </c>
      <c r="V197" s="42" t="str">
        <v>L1</v>
      </c>
      <c r="W197" s="57" t="str">
        <v>ok</v>
      </c>
      <c r="X197" s="58" t="str">
        <v/>
      </c>
      <c r="Y197" s="75" t="str">
        <v/>
      </c>
      <c r="Z197" s="59">
        <v>21.09</v>
      </c>
      <c r="AA197" s="61">
        <v>25</v>
      </c>
      <c r="AB197" s="61">
        <v>50</v>
      </c>
      <c r="AC197" s="61" t="str">
        <v/>
      </c>
      <c r="AD197" s="62" t="str">
        <v>QF36 → XT36</v>
      </c>
      <c r="AE197" s="62" t="str">
        <v/>
      </c>
      <c r="AF197" s="34">
        <v>36</v>
      </c>
      <c r="AG197" s="34" t="str">
        <v>QF36</v>
      </c>
      <c r="AH197" s="34" t="str">
        <v/>
      </c>
      <c r="AI197" s="34" t="str">
        <v/>
      </c>
      <c r="AJ197" s="34" t="str">
        <v>QF36</v>
      </c>
      <c r="AK197" s="34">
        <v>1</v>
      </c>
      <c r="AL197" s="34" t="str">
        <v>ШТК-1</v>
      </c>
      <c r="AM197" s="34">
        <v>0</v>
      </c>
      <c r="AN197" s="34">
        <v>0</v>
      </c>
      <c r="AO197" s="34">
        <v>25</v>
      </c>
      <c r="AP197" s="34">
        <v>50</v>
      </c>
      <c r="AQ197" s="34">
        <v>25</v>
      </c>
      <c r="AR197" s="34">
        <v>1</v>
      </c>
      <c r="AS197" s="34">
        <v>0</v>
      </c>
      <c r="AT197" s="34" t="str">
        <v>1P</v>
      </c>
      <c r="AU197" s="34">
        <v>25</v>
      </c>
      <c r="AV197" s="34" t="str">
        <v/>
      </c>
      <c r="AW197" s="34" t="str">
        <v/>
      </c>
      <c r="AX197" s="34" t="str">
        <v/>
      </c>
      <c r="AY197" s="34">
        <v>1</v>
      </c>
      <c r="AZ197" s="34" t="str">
        <v/>
      </c>
      <c r="BA197" s="34">
        <v>0</v>
      </c>
      <c r="BB197" s="34">
        <v>25</v>
      </c>
      <c r="BD197" s="34">
        <v>1</v>
      </c>
      <c r="BE197" s="34">
        <v>0</v>
      </c>
      <c r="BF197" s="34">
        <v>0</v>
      </c>
      <c r="BG197" s="34" t="str">
        <v/>
      </c>
      <c r="BH197" s="34" t="str">
        <v/>
      </c>
      <c r="BI197" s="34" t="str">
        <v/>
      </c>
      <c r="BJ197" s="34" t="str">
        <v/>
      </c>
      <c r="BK197" s="34" t="str">
        <v>BOX</v>
      </c>
      <c r="BL197" s="34">
        <v>1</v>
      </c>
      <c r="BM197" s="34">
        <v>10</v>
      </c>
      <c r="BN197" s="34" t="str">
        <v/>
      </c>
      <c r="BO197" s="34" t="str">
        <v/>
      </c>
      <c r="BP197" s="34" t="str">
        <v/>
      </c>
      <c r="BQ197" s="34" t="str">
        <v>3х6</v>
      </c>
      <c r="BR197" s="34" t="str">
        <v/>
      </c>
      <c r="BS197" s="34" t="str">
        <v/>
      </c>
      <c r="BT197" s="34" t="str">
        <v/>
      </c>
      <c r="BU197" s="34">
        <v>0</v>
      </c>
      <c r="BV197" s="34">
        <v>218</v>
      </c>
      <c r="BW197" s="34">
        <v>1</v>
      </c>
      <c r="BX197" s="34">
        <v>0</v>
      </c>
      <c r="BY197" s="34" t="str">
        <v/>
      </c>
      <c r="BZ197">
        <v>9</v>
      </c>
      <c r="CA197" t="str">
        <v>линии</v>
      </c>
    </row>
    <row r="198" spans="1:79" x14ac:dyDescent="0.3">
      <c r="A198" s="39" t="str">
        <v>ЩР-01</v>
      </c>
      <c r="B198" s="42">
        <v>54</v>
      </c>
      <c r="C198" s="42">
        <v>4</v>
      </c>
      <c r="D198" s="75" t="str">
        <v/>
      </c>
      <c r="E198" s="75" t="str">
        <v>авто</v>
      </c>
      <c r="F198" s="76" t="str">
        <v/>
      </c>
      <c r="G198" s="47" t="str">
        <v>QF37</v>
      </c>
      <c r="H198" s="47" t="str">
        <v>1P С16А</v>
      </c>
      <c r="I198" s="75" t="str">
        <v/>
      </c>
      <c r="J198" s="76" t="str">
        <v/>
      </c>
      <c r="K198" s="76" t="str">
        <v/>
      </c>
      <c r="L198" s="75" t="str">
        <v/>
      </c>
      <c r="M198" s="49" t="str">
        <v/>
      </c>
      <c r="N198" s="76" t="str">
        <v/>
      </c>
      <c r="O198" s="49" t="str">
        <v/>
      </c>
      <c r="P198" s="77" t="str">
        <v>XT37</v>
      </c>
      <c r="Q198" s="53" t="str">
        <v>ВВГнг(А)-LS (3х2,5) L=25-2,29%</v>
      </c>
      <c r="R198" s="54" t="str">
        <v>ШТК-СОТ.0</v>
      </c>
      <c r="S198" s="55" t="str">
        <v>Шкаф телекоммуникационный ШТК-СОТ.0 Цокольный этаж Пом. №002Т</v>
      </c>
      <c r="T198" s="56">
        <v>2.7</v>
      </c>
      <c r="U198" s="56">
        <v>12.31</v>
      </c>
      <c r="V198" s="42" t="str">
        <v>L2</v>
      </c>
      <c r="W198" s="57" t="str">
        <v>ok</v>
      </c>
      <c r="X198" s="58" t="str">
        <v/>
      </c>
      <c r="Y198" s="75" t="str">
        <v/>
      </c>
      <c r="Z198" s="59">
        <v>12.31</v>
      </c>
      <c r="AA198" s="61">
        <v>16</v>
      </c>
      <c r="AB198" s="61">
        <v>25</v>
      </c>
      <c r="AC198" s="61" t="str">
        <v/>
      </c>
      <c r="AD198" s="62" t="str">
        <v>QF37 → XT37</v>
      </c>
      <c r="AE198" s="62" t="str">
        <v/>
      </c>
      <c r="AF198" s="34">
        <v>37</v>
      </c>
      <c r="AG198" s="34" t="str">
        <v>QF37</v>
      </c>
      <c r="AH198" s="34" t="str">
        <v/>
      </c>
      <c r="AI198" s="34" t="str">
        <v/>
      </c>
      <c r="AJ198" s="34" t="str">
        <v>QF37</v>
      </c>
      <c r="AK198" s="34">
        <v>1</v>
      </c>
      <c r="AL198" s="34" t="str">
        <v>ШТК-СОТ</v>
      </c>
      <c r="AM198" s="34">
        <v>0</v>
      </c>
      <c r="AN198" s="34">
        <v>0</v>
      </c>
      <c r="AO198" s="34">
        <v>16</v>
      </c>
      <c r="AP198" s="34">
        <v>25</v>
      </c>
      <c r="AQ198" s="34">
        <v>16</v>
      </c>
      <c r="AR198" s="34">
        <v>1</v>
      </c>
      <c r="AS198" s="34">
        <v>0</v>
      </c>
      <c r="AT198" s="34" t="str">
        <v>1P</v>
      </c>
      <c r="AU198" s="34">
        <v>16</v>
      </c>
      <c r="AV198" s="34" t="str">
        <v/>
      </c>
      <c r="AW198" s="34" t="str">
        <v/>
      </c>
      <c r="AX198" s="34" t="str">
        <v/>
      </c>
      <c r="AY198" s="34">
        <v>1</v>
      </c>
      <c r="AZ198" s="34" t="str">
        <v/>
      </c>
      <c r="BA198" s="34">
        <v>0</v>
      </c>
      <c r="BB198" s="34">
        <v>16</v>
      </c>
      <c r="BD198" s="34">
        <v>1</v>
      </c>
      <c r="BE198" s="34">
        <v>0</v>
      </c>
      <c r="BF198" s="34">
        <v>0</v>
      </c>
      <c r="BG198" s="34" t="str">
        <v/>
      </c>
      <c r="BH198" s="34" t="str">
        <v/>
      </c>
      <c r="BI198" s="34" t="str">
        <v/>
      </c>
      <c r="BJ198" s="34" t="str">
        <v/>
      </c>
      <c r="BK198" s="34" t="str">
        <v>BOX</v>
      </c>
      <c r="BL198" s="34">
        <v>1</v>
      </c>
      <c r="BM198" s="34" t="str">
        <v/>
      </c>
      <c r="BN198" s="34" t="str">
        <v/>
      </c>
      <c r="BO198" s="34" t="str">
        <v/>
      </c>
      <c r="BP198" s="34" t="str">
        <v/>
      </c>
      <c r="BQ198" s="34" t="str">
        <v>3х2,5</v>
      </c>
      <c r="BR198" s="34" t="str">
        <v/>
      </c>
      <c r="BS198" s="34" t="str">
        <v/>
      </c>
      <c r="BT198" s="34" t="str">
        <v/>
      </c>
      <c r="BU198" s="34">
        <v>0</v>
      </c>
      <c r="BV198" s="34">
        <v>219</v>
      </c>
      <c r="BW198" s="34">
        <v>1</v>
      </c>
      <c r="BX198" s="34">
        <v>0</v>
      </c>
      <c r="BY198" s="34">
        <v>0</v>
      </c>
      <c r="BZ198">
        <v>9</v>
      </c>
      <c r="CA198" t="str">
        <v>линии</v>
      </c>
    </row>
    <row r="199" spans="1:79" x14ac:dyDescent="0.3">
      <c r="A199" s="39" t="str">
        <v>ЩР-01</v>
      </c>
      <c r="B199" s="42">
        <v>55</v>
      </c>
      <c r="C199" s="42">
        <v>4</v>
      </c>
      <c r="D199" s="75" t="str">
        <v/>
      </c>
      <c r="E199" s="75" t="str">
        <v>авто</v>
      </c>
      <c r="F199" s="76" t="str">
        <v/>
      </c>
      <c r="G199" s="47" t="str">
        <v>QF38</v>
      </c>
      <c r="H199" s="47" t="str">
        <v>1P С16А</v>
      </c>
      <c r="I199" s="75" t="str">
        <v/>
      </c>
      <c r="J199" s="76" t="str">
        <v/>
      </c>
      <c r="K199" s="76" t="str">
        <v/>
      </c>
      <c r="L199" s="75" t="str">
        <v/>
      </c>
      <c r="M199" s="49" t="str">
        <v/>
      </c>
      <c r="N199" s="76" t="str">
        <v/>
      </c>
      <c r="O199" s="49" t="str">
        <v/>
      </c>
      <c r="P199" s="77" t="str">
        <v>XT38</v>
      </c>
      <c r="Q199" s="53" t="str">
        <v>ВВГнг(А)-LS (3х2,5) L=27-2,47%</v>
      </c>
      <c r="R199" s="54" t="str">
        <v>ШТК-ЛВС.0</v>
      </c>
      <c r="S199" s="55" t="str">
        <v>Шкаф телекоммуникационный ШТК-ЛВС.0 Цокольный этаж Пом. №002Т</v>
      </c>
      <c r="T199" s="56">
        <v>2.7</v>
      </c>
      <c r="U199" s="56">
        <v>12.31</v>
      </c>
      <c r="V199" s="42" t="str">
        <v>L3</v>
      </c>
      <c r="W199" s="57" t="str">
        <v>ok</v>
      </c>
      <c r="X199" s="58" t="str">
        <v/>
      </c>
      <c r="Y199" s="75" t="str">
        <v/>
      </c>
      <c r="Z199" s="59">
        <v>12.31</v>
      </c>
      <c r="AA199" s="61">
        <v>16</v>
      </c>
      <c r="AB199" s="61">
        <v>25</v>
      </c>
      <c r="AC199" s="61" t="str">
        <v/>
      </c>
      <c r="AD199" s="62" t="str">
        <v>QF38 → XT38</v>
      </c>
      <c r="AE199" s="62" t="str">
        <v/>
      </c>
      <c r="AF199" s="34">
        <v>38</v>
      </c>
      <c r="AG199" s="34" t="str">
        <v>QF38</v>
      </c>
      <c r="AH199" s="34" t="str">
        <v/>
      </c>
      <c r="AI199" s="34" t="str">
        <v/>
      </c>
      <c r="AJ199" s="34" t="str">
        <v>QF38</v>
      </c>
      <c r="AK199" s="34">
        <v>1</v>
      </c>
      <c r="AL199" s="34" t="str">
        <v>ШТК-ЛВС</v>
      </c>
      <c r="AM199" s="34">
        <v>0</v>
      </c>
      <c r="AN199" s="34">
        <v>0</v>
      </c>
      <c r="AO199" s="34">
        <v>16</v>
      </c>
      <c r="AP199" s="34">
        <v>25</v>
      </c>
      <c r="AQ199" s="34">
        <v>16</v>
      </c>
      <c r="AR199" s="34">
        <v>1</v>
      </c>
      <c r="AS199" s="34">
        <v>0</v>
      </c>
      <c r="AT199" s="34" t="str">
        <v>1P</v>
      </c>
      <c r="AU199" s="34">
        <v>16</v>
      </c>
      <c r="AV199" s="34" t="str">
        <v/>
      </c>
      <c r="AW199" s="34" t="str">
        <v/>
      </c>
      <c r="AX199" s="34" t="str">
        <v/>
      </c>
      <c r="AY199" s="34">
        <v>1</v>
      </c>
      <c r="AZ199" s="34" t="str">
        <v/>
      </c>
      <c r="BA199" s="34">
        <v>0</v>
      </c>
      <c r="BB199" s="34">
        <v>16</v>
      </c>
      <c r="BD199" s="34">
        <v>1</v>
      </c>
      <c r="BE199" s="34">
        <v>0</v>
      </c>
      <c r="BF199" s="34">
        <v>0</v>
      </c>
      <c r="BG199" s="34" t="str">
        <v/>
      </c>
      <c r="BH199" s="34" t="str">
        <v/>
      </c>
      <c r="BI199" s="34" t="str">
        <v/>
      </c>
      <c r="BJ199" s="34" t="str">
        <v/>
      </c>
      <c r="BK199" s="34" t="str">
        <v>BOX</v>
      </c>
      <c r="BL199" s="34">
        <v>1</v>
      </c>
      <c r="BM199" s="34" t="str">
        <v/>
      </c>
      <c r="BN199" s="34" t="str">
        <v/>
      </c>
      <c r="BO199" s="34" t="str">
        <v/>
      </c>
      <c r="BP199" s="34" t="str">
        <v/>
      </c>
      <c r="BQ199" s="34" t="str">
        <v>3х2,5</v>
      </c>
      <c r="BR199" s="34" t="str">
        <v/>
      </c>
      <c r="BS199" s="34" t="str">
        <v/>
      </c>
      <c r="BT199" s="34" t="str">
        <v/>
      </c>
      <c r="BU199" s="34">
        <v>0</v>
      </c>
      <c r="BV199" s="34">
        <v>220</v>
      </c>
      <c r="BW199" s="34">
        <v>1</v>
      </c>
      <c r="BX199" s="34">
        <v>0</v>
      </c>
      <c r="BY199" s="34">
        <v>0</v>
      </c>
      <c r="BZ199">
        <v>9</v>
      </c>
      <c r="CA199" t="str">
        <v>линии</v>
      </c>
    </row>
    <row r="200" spans="1:79" x14ac:dyDescent="0.3">
      <c r="A200" s="39" t="str">
        <v>ЩР-01</v>
      </c>
      <c r="B200" s="42">
        <v>57</v>
      </c>
      <c r="C200" s="42">
        <v>4</v>
      </c>
      <c r="D200" s="75" t="str">
        <v/>
      </c>
      <c r="E200" s="75" t="str">
        <v>авто</v>
      </c>
      <c r="F200" s="76" t="str">
        <v/>
      </c>
      <c r="G200" s="47" t="str">
        <v>QF39</v>
      </c>
      <c r="H200" s="47" t="str">
        <v>1P С16А</v>
      </c>
      <c r="I200" s="75" t="str">
        <v/>
      </c>
      <c r="J200" s="76" t="str">
        <v/>
      </c>
      <c r="K200" s="76" t="str">
        <v/>
      </c>
      <c r="L200" s="75" t="str">
        <v/>
      </c>
      <c r="M200" s="49" t="str">
        <v/>
      </c>
      <c r="N200" s="76" t="str">
        <v/>
      </c>
      <c r="O200" s="49" t="str">
        <v/>
      </c>
      <c r="P200" s="77" t="str">
        <v>XT39</v>
      </c>
      <c r="Q200" s="53" t="str">
        <v>ВВГнг(А)-LS (3х2,5) L=12-0,13%</v>
      </c>
      <c r="R200" s="54" t="str">
        <v>ЩДК-01</v>
      </c>
      <c r="S200" s="55" t="str">
        <v>Щит контроля доступа ШДК-01 Цокольный этаж Пом. №001Т</v>
      </c>
      <c r="T200" s="56">
        <v>0.3</v>
      </c>
      <c r="U200" s="56">
        <v>1.37</v>
      </c>
      <c r="V200" s="42" t="str">
        <v>L1</v>
      </c>
      <c r="W200" s="57" t="str">
        <v>ok</v>
      </c>
      <c r="X200" s="58" t="str">
        <v/>
      </c>
      <c r="Y200" s="75" t="str">
        <v/>
      </c>
      <c r="Z200" s="59">
        <v>1.37</v>
      </c>
      <c r="AA200" s="61">
        <v>6</v>
      </c>
      <c r="AB200" s="61">
        <v>25</v>
      </c>
      <c r="AC200" s="61" t="str">
        <v/>
      </c>
      <c r="AD200" s="62" t="str">
        <v>QF39 → XT39</v>
      </c>
      <c r="AE200" s="62" t="str">
        <v/>
      </c>
      <c r="AF200" s="34">
        <v>39</v>
      </c>
      <c r="AG200" s="34" t="str">
        <v>QF39</v>
      </c>
      <c r="AH200" s="34" t="str">
        <v/>
      </c>
      <c r="AI200" s="34" t="str">
        <v/>
      </c>
      <c r="AJ200" s="34" t="str">
        <v>QF39</v>
      </c>
      <c r="AK200" s="34">
        <v>1</v>
      </c>
      <c r="AL200" s="34" t="str">
        <v>ЩДК-01</v>
      </c>
      <c r="AM200" s="34">
        <v>0</v>
      </c>
      <c r="AN200" s="34">
        <v>0</v>
      </c>
      <c r="AO200" s="34">
        <v>16</v>
      </c>
      <c r="AP200" s="34">
        <v>25</v>
      </c>
      <c r="AQ200" s="34">
        <v>16</v>
      </c>
      <c r="AR200" s="34">
        <v>1</v>
      </c>
      <c r="AS200" s="34">
        <v>0</v>
      </c>
      <c r="AT200" s="34" t="str">
        <v>1P</v>
      </c>
      <c r="AU200" s="34">
        <v>16</v>
      </c>
      <c r="AV200" s="34" t="str">
        <v/>
      </c>
      <c r="AW200" s="34" t="str">
        <v/>
      </c>
      <c r="AX200" s="34" t="str">
        <v/>
      </c>
      <c r="AY200" s="34">
        <v>1</v>
      </c>
      <c r="AZ200" s="34" t="str">
        <v/>
      </c>
      <c r="BA200" s="34">
        <v>0</v>
      </c>
      <c r="BB200" s="34">
        <v>16</v>
      </c>
      <c r="BD200" s="34">
        <v>1</v>
      </c>
      <c r="BE200" s="34">
        <v>0</v>
      </c>
      <c r="BF200" s="34">
        <v>0</v>
      </c>
      <c r="BG200" s="34" t="str">
        <v/>
      </c>
      <c r="BH200" s="34" t="str">
        <v/>
      </c>
      <c r="BI200" s="34" t="str">
        <v/>
      </c>
      <c r="BJ200" s="34" t="str">
        <v/>
      </c>
      <c r="BK200" s="34" t="str">
        <v>BOX</v>
      </c>
      <c r="BL200" s="34">
        <v>1</v>
      </c>
      <c r="BM200" s="34" t="str">
        <v/>
      </c>
      <c r="BN200" s="34" t="str">
        <v/>
      </c>
      <c r="BO200" s="34" t="str">
        <v/>
      </c>
      <c r="BP200" s="34" t="str">
        <v/>
      </c>
      <c r="BQ200" s="34" t="str">
        <v>3х2,5</v>
      </c>
      <c r="BR200" s="34" t="str">
        <v/>
      </c>
      <c r="BS200" s="34" t="str">
        <v/>
      </c>
      <c r="BT200" s="34" t="str">
        <v/>
      </c>
      <c r="BU200" s="34">
        <v>0</v>
      </c>
      <c r="BV200" s="34">
        <v>221</v>
      </c>
      <c r="BW200" s="34">
        <v>1</v>
      </c>
      <c r="BX200" s="34">
        <v>0</v>
      </c>
      <c r="BY200" s="34" t="str">
        <v/>
      </c>
      <c r="BZ200">
        <v>9</v>
      </c>
      <c r="CA200" t="str">
        <v>линии</v>
      </c>
    </row>
    <row r="201" spans="1:79" x14ac:dyDescent="0.3">
      <c r="A201" s="39" t="str">
        <v>ЩР-1</v>
      </c>
      <c r="B201" s="42">
        <v>2</v>
      </c>
      <c r="C201" s="42">
        <v>1</v>
      </c>
      <c r="D201" s="75" t="str">
        <v/>
      </c>
      <c r="E201" s="75" t="str">
        <v/>
      </c>
      <c r="F201" s="76" t="str">
        <v/>
      </c>
      <c r="G201" s="47" t="str">
        <v/>
      </c>
      <c r="H201" s="47" t="str">
        <v/>
      </c>
      <c r="I201" s="75" t="str">
        <v/>
      </c>
      <c r="J201" s="76" t="str">
        <v/>
      </c>
      <c r="K201" s="76" t="str">
        <v/>
      </c>
      <c r="L201" s="75" t="str">
        <v/>
      </c>
      <c r="M201" s="49" t="str">
        <v/>
      </c>
      <c r="N201" s="76" t="str">
        <v/>
      </c>
      <c r="O201" s="49" t="str">
        <v/>
      </c>
      <c r="P201" s="77" t="str">
        <v/>
      </c>
      <c r="Q201" s="53" t="str">
        <v/>
      </c>
      <c r="R201" s="54" t="str">
        <v>Ввод.1</v>
      </c>
      <c r="S201" s="55" t="str">
        <v>Ввод</v>
      </c>
      <c r="T201" s="56">
        <v>0</v>
      </c>
      <c r="U201" s="56">
        <v>0</v>
      </c>
      <c r="V201" s="42" t="str">
        <v>L1,L2,L3</v>
      </c>
      <c r="W201" s="57" t="str">
        <v/>
      </c>
      <c r="X201" s="58" t="str">
        <v/>
      </c>
      <c r="Y201" s="75" t="str">
        <v>вручную</v>
      </c>
      <c r="Z201" s="59" t="str">
        <v/>
      </c>
      <c r="AA201" s="61" t="str">
        <v/>
      </c>
      <c r="AB201" s="61">
        <v>63</v>
      </c>
      <c r="AC201" s="61" t="str">
        <v/>
      </c>
      <c r="AD201" s="62" t="str">
        <v/>
      </c>
      <c r="AE201" s="62" t="str">
        <v/>
      </c>
      <c r="AF201" s="34" t="str">
        <v/>
      </c>
      <c r="AG201" s="34" t="str">
        <v/>
      </c>
      <c r="AH201" s="34" t="str">
        <v/>
      </c>
      <c r="AI201" s="34" t="str">
        <v/>
      </c>
      <c r="AJ201" s="34" t="str">
        <v/>
      </c>
      <c r="AK201" s="34">
        <v>3</v>
      </c>
      <c r="AL201" s="34" t="str">
        <v>Ввод</v>
      </c>
      <c r="AM201" s="34">
        <v>0</v>
      </c>
      <c r="AN201" s="34">
        <v>0</v>
      </c>
      <c r="AO201" s="34" t="str">
        <v/>
      </c>
      <c r="AP201" s="34" t="str">
        <v/>
      </c>
      <c r="AQ201" s="34" t="str">
        <v/>
      </c>
      <c r="AR201" s="34" t="str">
        <v/>
      </c>
      <c r="AS201" s="34" t="str">
        <v/>
      </c>
      <c r="AT201" s="34" t="str">
        <v/>
      </c>
      <c r="AU201" s="34" t="str">
        <v/>
      </c>
      <c r="AV201" s="34" t="str">
        <v/>
      </c>
      <c r="AW201" s="34" t="str">
        <v/>
      </c>
      <c r="AX201" s="34" t="str">
        <v/>
      </c>
      <c r="AY201" s="34">
        <v>0</v>
      </c>
      <c r="AZ201" s="34" t="str">
        <v/>
      </c>
      <c r="BA201" s="34">
        <v>0</v>
      </c>
      <c r="BB201" s="34">
        <v>63</v>
      </c>
      <c r="BD201" s="34">
        <v>0</v>
      </c>
      <c r="BE201" s="34">
        <v>0</v>
      </c>
      <c r="BF201" s="34">
        <v>0</v>
      </c>
      <c r="BG201" s="34" t="str">
        <v/>
      </c>
      <c r="BH201" s="34" t="str">
        <v/>
      </c>
      <c r="BI201" s="34" t="str">
        <v/>
      </c>
      <c r="BJ201" s="34" t="str">
        <v/>
      </c>
      <c r="BK201" s="34" t="str">
        <v>BOX</v>
      </c>
      <c r="BL201" s="34">
        <v>1</v>
      </c>
      <c r="BM201" s="34" t="str">
        <v/>
      </c>
      <c r="BN201" s="34" t="str">
        <v/>
      </c>
      <c r="BO201" s="34" t="str">
        <v/>
      </c>
      <c r="BP201" s="34" t="str">
        <v/>
      </c>
      <c r="BQ201" s="34" t="str">
        <v/>
      </c>
      <c r="BR201" s="34" t="str">
        <v/>
      </c>
      <c r="BS201" s="34" t="str">
        <v/>
      </c>
      <c r="BT201" s="34" t="str">
        <v/>
      </c>
      <c r="BU201" s="34">
        <v>0</v>
      </c>
      <c r="BV201" s="34">
        <v>222</v>
      </c>
      <c r="BW201" s="34">
        <v>0</v>
      </c>
      <c r="BX201" s="34">
        <v>0</v>
      </c>
      <c r="BY201" s="34">
        <v>0</v>
      </c>
      <c r="BZ201">
        <v>10</v>
      </c>
      <c r="CA201" t="str">
        <v>вводной узел</v>
      </c>
    </row>
    <row r="202" spans="1:79" x14ac:dyDescent="0.3">
      <c r="A202" s="39" t="str">
        <v>ЩР-1</v>
      </c>
      <c r="B202" s="42">
        <v>9</v>
      </c>
      <c r="C202" s="42">
        <v>1</v>
      </c>
      <c r="D202" s="75" t="str">
        <v/>
      </c>
      <c r="E202" s="75" t="str">
        <v>авто</v>
      </c>
      <c r="F202" s="76" t="str">
        <v/>
      </c>
      <c r="G202" s="47" t="str">
        <v>QFD1</v>
      </c>
      <c r="H202" s="47" t="str">
        <v>2P С16А 30мА</v>
      </c>
      <c r="I202" s="75" t="str">
        <v/>
      </c>
      <c r="J202" s="76" t="str">
        <v/>
      </c>
      <c r="K202" s="76" t="str">
        <v/>
      </c>
      <c r="L202" s="75" t="str">
        <v/>
      </c>
      <c r="M202" s="49" t="str">
        <v/>
      </c>
      <c r="N202" s="76" t="str">
        <v/>
      </c>
      <c r="O202" s="49" t="str">
        <v/>
      </c>
      <c r="P202" s="77" t="str">
        <v>XT1</v>
      </c>
      <c r="Q202" s="53" t="str">
        <v>ВВГнг(А)-LS (3х2,5) L=81-0,99%</v>
      </c>
      <c r="R202" s="54" t="str">
        <v>R.1.001A.1</v>
      </c>
      <c r="S202" s="55" t="str">
        <v>Розеточная группа Первый этаж Пом. №001A</v>
      </c>
      <c r="T202" s="56">
        <v>0.36</v>
      </c>
      <c r="U202" s="56">
        <v>1.65</v>
      </c>
      <c r="V202" s="42" t="str">
        <v>L3</v>
      </c>
      <c r="W202" s="57" t="str">
        <v>ok</v>
      </c>
      <c r="X202" s="58" t="str">
        <v/>
      </c>
      <c r="Y202" s="75" t="str">
        <v/>
      </c>
      <c r="Z202" s="59">
        <v>1.65</v>
      </c>
      <c r="AA202" s="61">
        <v>6</v>
      </c>
      <c r="AB202" s="61">
        <v>25</v>
      </c>
      <c r="AC202" s="61" t="str">
        <v/>
      </c>
      <c r="AD202" s="62" t="str">
        <v>QFD1 → XT1</v>
      </c>
      <c r="AE202" s="62" t="str">
        <v/>
      </c>
      <c r="AF202" s="34">
        <v>1</v>
      </c>
      <c r="AG202" s="34" t="str">
        <v>QFD1</v>
      </c>
      <c r="AH202" s="34" t="str">
        <v/>
      </c>
      <c r="AI202" s="34" t="str">
        <v/>
      </c>
      <c r="AJ202" s="34" t="str">
        <v>QFD1</v>
      </c>
      <c r="AK202" s="34">
        <v>1</v>
      </c>
      <c r="AL202" s="34" t="str">
        <v>R</v>
      </c>
      <c r="AM202" s="34">
        <v>30</v>
      </c>
      <c r="AN202" s="34">
        <v>0</v>
      </c>
      <c r="AO202" s="34">
        <v>16</v>
      </c>
      <c r="AP202" s="34">
        <v>25</v>
      </c>
      <c r="AQ202" s="34">
        <v>16</v>
      </c>
      <c r="AR202" s="34">
        <v>1</v>
      </c>
      <c r="AS202" s="34">
        <v>1</v>
      </c>
      <c r="AT202" s="34" t="str">
        <v>2P</v>
      </c>
      <c r="AU202" s="34">
        <v>16</v>
      </c>
      <c r="AV202" s="34" t="str">
        <v/>
      </c>
      <c r="AW202" s="34" t="str">
        <v/>
      </c>
      <c r="AX202" s="34" t="str">
        <v/>
      </c>
      <c r="AY202" s="34">
        <v>1</v>
      </c>
      <c r="AZ202" s="34" t="str">
        <v/>
      </c>
      <c r="BA202" s="34">
        <v>0</v>
      </c>
      <c r="BB202" s="34">
        <v>16</v>
      </c>
      <c r="BD202" s="34">
        <v>1</v>
      </c>
      <c r="BE202" s="34">
        <v>0</v>
      </c>
      <c r="BF202" s="34">
        <v>1</v>
      </c>
      <c r="BG202" s="34" t="str">
        <v/>
      </c>
      <c r="BH202" s="34" t="str">
        <v/>
      </c>
      <c r="BI202" s="34" t="str">
        <v/>
      </c>
      <c r="BJ202" s="34" t="str">
        <v/>
      </c>
      <c r="BK202" s="34" t="str">
        <v>SOCKET</v>
      </c>
      <c r="BL202" s="34">
        <v>1</v>
      </c>
      <c r="BM202" s="34" t="str">
        <v/>
      </c>
      <c r="BN202" s="34" t="str">
        <v/>
      </c>
      <c r="BO202" s="34" t="str">
        <v/>
      </c>
      <c r="BP202" s="34" t="str">
        <v/>
      </c>
      <c r="BQ202" s="34" t="str">
        <v>3х2,5</v>
      </c>
      <c r="BR202" s="34" t="str">
        <v/>
      </c>
      <c r="BS202" s="34" t="str">
        <v/>
      </c>
      <c r="BT202" s="34" t="str">
        <v/>
      </c>
      <c r="BU202" s="34">
        <v>0</v>
      </c>
      <c r="BV202" s="34">
        <v>223</v>
      </c>
      <c r="BW202" s="34">
        <v>1</v>
      </c>
      <c r="BX202" s="34">
        <v>0</v>
      </c>
      <c r="BY202" s="34" t="str">
        <v>Розетка</v>
      </c>
      <c r="BZ202">
        <v>10</v>
      </c>
      <c r="CA202" t="str">
        <v>линии</v>
      </c>
    </row>
    <row r="203" spans="1:79" x14ac:dyDescent="0.3">
      <c r="A203" s="39" t="str">
        <v>ЩР-1</v>
      </c>
      <c r="B203" s="42">
        <v>10</v>
      </c>
      <c r="C203" s="42">
        <v>1</v>
      </c>
      <c r="D203" s="75" t="str">
        <v/>
      </c>
      <c r="E203" s="75" t="str">
        <v>авто</v>
      </c>
      <c r="F203" s="76" t="str">
        <v/>
      </c>
      <c r="G203" s="47" t="str">
        <v>QFD2</v>
      </c>
      <c r="H203" s="47" t="str">
        <v>2P С16А 30мА</v>
      </c>
      <c r="I203" s="75" t="str">
        <v/>
      </c>
      <c r="J203" s="76" t="str">
        <v/>
      </c>
      <c r="K203" s="76" t="str">
        <v/>
      </c>
      <c r="L203" s="75" t="str">
        <v/>
      </c>
      <c r="M203" s="49" t="str">
        <v/>
      </c>
      <c r="N203" s="76" t="str">
        <v/>
      </c>
      <c r="O203" s="49" t="str">
        <v/>
      </c>
      <c r="P203" s="77" t="str">
        <v>XT2</v>
      </c>
      <c r="Q203" s="53" t="str">
        <v>ВВГнг(А)-LS (3х2,5) L=73-0,3%</v>
      </c>
      <c r="R203" s="54" t="str">
        <v>R.1.001Aб.1</v>
      </c>
      <c r="S203" s="55" t="str">
        <v>Розеточная группа Первый этаж Пом. №001Aб, 002Аб</v>
      </c>
      <c r="T203" s="56">
        <v>0.12</v>
      </c>
      <c r="U203" s="56">
        <v>0.55000000000000004</v>
      </c>
      <c r="V203" s="42" t="str">
        <v>L3</v>
      </c>
      <c r="W203" s="57" t="str">
        <v>ok</v>
      </c>
      <c r="X203" s="58" t="str">
        <v/>
      </c>
      <c r="Y203" s="75" t="str">
        <v/>
      </c>
      <c r="Z203" s="59">
        <v>0.55000000000000004</v>
      </c>
      <c r="AA203" s="61">
        <v>6</v>
      </c>
      <c r="AB203" s="61">
        <v>25</v>
      </c>
      <c r="AC203" s="61" t="str">
        <v/>
      </c>
      <c r="AD203" s="62" t="str">
        <v>QFD2 → XT2</v>
      </c>
      <c r="AE203" s="62" t="str">
        <v/>
      </c>
      <c r="AF203" s="34">
        <v>2</v>
      </c>
      <c r="AG203" s="34" t="str">
        <v>QFD2</v>
      </c>
      <c r="AH203" s="34" t="str">
        <v/>
      </c>
      <c r="AI203" s="34" t="str">
        <v/>
      </c>
      <c r="AJ203" s="34" t="str">
        <v>QFD2</v>
      </c>
      <c r="AK203" s="34">
        <v>1</v>
      </c>
      <c r="AL203" s="34" t="str">
        <v>R</v>
      </c>
      <c r="AM203" s="34">
        <v>30</v>
      </c>
      <c r="AN203" s="34">
        <v>0</v>
      </c>
      <c r="AO203" s="34">
        <v>16</v>
      </c>
      <c r="AP203" s="34">
        <v>25</v>
      </c>
      <c r="AQ203" s="34">
        <v>16</v>
      </c>
      <c r="AR203" s="34">
        <v>1</v>
      </c>
      <c r="AS203" s="34">
        <v>1</v>
      </c>
      <c r="AT203" s="34" t="str">
        <v>2P</v>
      </c>
      <c r="AU203" s="34">
        <v>16</v>
      </c>
      <c r="AV203" s="34" t="str">
        <v/>
      </c>
      <c r="AW203" s="34" t="str">
        <v/>
      </c>
      <c r="AX203" s="34" t="str">
        <v/>
      </c>
      <c r="AY203" s="34">
        <v>1</v>
      </c>
      <c r="AZ203" s="34" t="str">
        <v/>
      </c>
      <c r="BA203" s="34">
        <v>0</v>
      </c>
      <c r="BB203" s="34">
        <v>16</v>
      </c>
      <c r="BD203" s="34">
        <v>1</v>
      </c>
      <c r="BE203" s="34">
        <v>0</v>
      </c>
      <c r="BF203" s="34">
        <v>1</v>
      </c>
      <c r="BG203" s="34" t="str">
        <v/>
      </c>
      <c r="BH203" s="34" t="str">
        <v/>
      </c>
      <c r="BI203" s="34" t="str">
        <v/>
      </c>
      <c r="BJ203" s="34" t="str">
        <v/>
      </c>
      <c r="BK203" s="34" t="str">
        <v>SOCKET</v>
      </c>
      <c r="BL203" s="34">
        <v>1</v>
      </c>
      <c r="BM203" s="34" t="str">
        <v/>
      </c>
      <c r="BN203" s="34" t="str">
        <v/>
      </c>
      <c r="BO203" s="34" t="str">
        <v/>
      </c>
      <c r="BP203" s="34" t="str">
        <v/>
      </c>
      <c r="BQ203" s="34" t="str">
        <v>3х2,5</v>
      </c>
      <c r="BR203" s="34" t="str">
        <v/>
      </c>
      <c r="BS203" s="34" t="str">
        <v/>
      </c>
      <c r="BT203" s="34" t="str">
        <v/>
      </c>
      <c r="BU203" s="34">
        <v>0</v>
      </c>
      <c r="BV203" s="34">
        <v>224</v>
      </c>
      <c r="BW203" s="34">
        <v>1</v>
      </c>
      <c r="BX203" s="34">
        <v>0</v>
      </c>
      <c r="BY203" s="34" t="str">
        <v>Розетка</v>
      </c>
      <c r="BZ203">
        <v>10</v>
      </c>
      <c r="CA203" t="str">
        <v>линии</v>
      </c>
    </row>
    <row r="204" spans="1:79" x14ac:dyDescent="0.3">
      <c r="A204" s="39" t="str">
        <v>ЩР-1</v>
      </c>
      <c r="B204" s="42">
        <v>11</v>
      </c>
      <c r="C204" s="42">
        <v>1</v>
      </c>
      <c r="D204" s="75" t="str">
        <v/>
      </c>
      <c r="E204" s="75" t="str">
        <v>авто</v>
      </c>
      <c r="F204" s="76" t="str">
        <v/>
      </c>
      <c r="G204" s="47" t="str">
        <v>QFD3</v>
      </c>
      <c r="H204" s="47" t="str">
        <v>2P С16А 30мА</v>
      </c>
      <c r="I204" s="75" t="str">
        <v/>
      </c>
      <c r="J204" s="76" t="str">
        <v/>
      </c>
      <c r="K204" s="76" t="str">
        <v/>
      </c>
      <c r="L204" s="75" t="str">
        <v/>
      </c>
      <c r="M204" s="49" t="str">
        <v/>
      </c>
      <c r="N204" s="76" t="str">
        <v/>
      </c>
      <c r="O204" s="49" t="str">
        <v/>
      </c>
      <c r="P204" s="77" t="str">
        <v>XT3</v>
      </c>
      <c r="Q204" s="53" t="str">
        <v>ВВГнг(А)-LS (3х2,5) L=59-0,24%</v>
      </c>
      <c r="R204" s="54" t="str">
        <v>R.1.001Г.1</v>
      </c>
      <c r="S204" s="55" t="str">
        <v>Розеточная группа Первый этаж Пом. №001Г</v>
      </c>
      <c r="T204" s="56">
        <v>0.12</v>
      </c>
      <c r="U204" s="56">
        <v>0.55000000000000004</v>
      </c>
      <c r="V204" s="42" t="str">
        <v>L1</v>
      </c>
      <c r="W204" s="57" t="str">
        <v>ok</v>
      </c>
      <c r="X204" s="58" t="str">
        <v/>
      </c>
      <c r="Y204" s="75" t="str">
        <v/>
      </c>
      <c r="Z204" s="59">
        <v>0.55000000000000004</v>
      </c>
      <c r="AA204" s="61">
        <v>6</v>
      </c>
      <c r="AB204" s="61">
        <v>25</v>
      </c>
      <c r="AC204" s="61" t="str">
        <v/>
      </c>
      <c r="AD204" s="62" t="str">
        <v>QFD3 → XT3</v>
      </c>
      <c r="AE204" s="62" t="str">
        <v/>
      </c>
      <c r="AF204" s="34">
        <v>3</v>
      </c>
      <c r="AG204" s="34" t="str">
        <v>QFD3</v>
      </c>
      <c r="AH204" s="34" t="str">
        <v/>
      </c>
      <c r="AI204" s="34" t="str">
        <v/>
      </c>
      <c r="AJ204" s="34" t="str">
        <v>QFD3</v>
      </c>
      <c r="AK204" s="34">
        <v>1</v>
      </c>
      <c r="AL204" s="34" t="str">
        <v>R</v>
      </c>
      <c r="AM204" s="34">
        <v>30</v>
      </c>
      <c r="AN204" s="34">
        <v>0</v>
      </c>
      <c r="AO204" s="34">
        <v>16</v>
      </c>
      <c r="AP204" s="34">
        <v>25</v>
      </c>
      <c r="AQ204" s="34">
        <v>16</v>
      </c>
      <c r="AR204" s="34">
        <v>1</v>
      </c>
      <c r="AS204" s="34">
        <v>1</v>
      </c>
      <c r="AT204" s="34" t="str">
        <v>2P</v>
      </c>
      <c r="AU204" s="34">
        <v>16</v>
      </c>
      <c r="AV204" s="34" t="str">
        <v/>
      </c>
      <c r="AW204" s="34" t="str">
        <v/>
      </c>
      <c r="AX204" s="34" t="str">
        <v/>
      </c>
      <c r="AY204" s="34">
        <v>1</v>
      </c>
      <c r="AZ204" s="34" t="str">
        <v/>
      </c>
      <c r="BA204" s="34">
        <v>0</v>
      </c>
      <c r="BB204" s="34">
        <v>16</v>
      </c>
      <c r="BD204" s="34">
        <v>1</v>
      </c>
      <c r="BE204" s="34">
        <v>0</v>
      </c>
      <c r="BF204" s="34">
        <v>1</v>
      </c>
      <c r="BG204" s="34" t="str">
        <v/>
      </c>
      <c r="BH204" s="34" t="str">
        <v/>
      </c>
      <c r="BI204" s="34" t="str">
        <v/>
      </c>
      <c r="BJ204" s="34" t="str">
        <v/>
      </c>
      <c r="BK204" s="34" t="str">
        <v>SOCKET</v>
      </c>
      <c r="BL204" s="34">
        <v>1</v>
      </c>
      <c r="BM204" s="34" t="str">
        <v/>
      </c>
      <c r="BN204" s="34" t="str">
        <v/>
      </c>
      <c r="BO204" s="34" t="str">
        <v/>
      </c>
      <c r="BP204" s="34" t="str">
        <v/>
      </c>
      <c r="BQ204" s="34" t="str">
        <v>3х2,5</v>
      </c>
      <c r="BR204" s="34" t="str">
        <v/>
      </c>
      <c r="BS204" s="34" t="str">
        <v/>
      </c>
      <c r="BT204" s="34" t="str">
        <v/>
      </c>
      <c r="BU204" s="34">
        <v>0</v>
      </c>
      <c r="BV204" s="34">
        <v>225</v>
      </c>
      <c r="BW204" s="34">
        <v>1</v>
      </c>
      <c r="BX204" s="34">
        <v>0</v>
      </c>
      <c r="BY204" s="34" t="str">
        <v>Розетка</v>
      </c>
      <c r="BZ204">
        <v>10</v>
      </c>
      <c r="CA204" t="str">
        <v>линии</v>
      </c>
    </row>
    <row r="205" spans="1:79" x14ac:dyDescent="0.3">
      <c r="A205" s="39" t="str">
        <v>ЩР-1</v>
      </c>
      <c r="B205" s="42">
        <v>12</v>
      </c>
      <c r="C205" s="42">
        <v>1</v>
      </c>
      <c r="D205" s="75" t="str">
        <v/>
      </c>
      <c r="E205" s="75" t="str">
        <v>авто</v>
      </c>
      <c r="F205" s="76" t="str">
        <v/>
      </c>
      <c r="G205" s="47" t="str">
        <v>QFD4</v>
      </c>
      <c r="H205" s="47" t="str">
        <v>2P С16А 30мА</v>
      </c>
      <c r="I205" s="75" t="str">
        <v/>
      </c>
      <c r="J205" s="76" t="str">
        <v/>
      </c>
      <c r="K205" s="76" t="str">
        <v/>
      </c>
      <c r="L205" s="75" t="str">
        <v/>
      </c>
      <c r="M205" s="49" t="str">
        <v/>
      </c>
      <c r="N205" s="76" t="str">
        <v/>
      </c>
      <c r="O205" s="49" t="str">
        <v/>
      </c>
      <c r="P205" s="77" t="str">
        <v>XT4</v>
      </c>
      <c r="Q205" s="53" t="str">
        <v>ВВГнг(А)-LS (3х2,5) L=66-0,41%</v>
      </c>
      <c r="R205" s="54" t="str">
        <v>R.1.002A.1</v>
      </c>
      <c r="S205" s="55" t="str">
        <v>Розеточная группа Первый этаж Пом. №002A, 023А</v>
      </c>
      <c r="T205" s="56">
        <v>0.18</v>
      </c>
      <c r="U205" s="56">
        <v>0.83</v>
      </c>
      <c r="V205" s="42" t="str">
        <v>L3</v>
      </c>
      <c r="W205" s="57" t="str">
        <v>ok</v>
      </c>
      <c r="X205" s="58" t="str">
        <v/>
      </c>
      <c r="Y205" s="75" t="str">
        <v/>
      </c>
      <c r="Z205" s="59">
        <v>0.83</v>
      </c>
      <c r="AA205" s="61">
        <v>6</v>
      </c>
      <c r="AB205" s="61">
        <v>25</v>
      </c>
      <c r="AC205" s="61" t="str">
        <v/>
      </c>
      <c r="AD205" s="62" t="str">
        <v>QFD4 → XT4</v>
      </c>
      <c r="AE205" s="62" t="str">
        <v/>
      </c>
      <c r="AF205" s="34">
        <v>4</v>
      </c>
      <c r="AG205" s="34" t="str">
        <v>QFD4</v>
      </c>
      <c r="AH205" s="34" t="str">
        <v/>
      </c>
      <c r="AI205" s="34" t="str">
        <v/>
      </c>
      <c r="AJ205" s="34" t="str">
        <v>QFD4</v>
      </c>
      <c r="AK205" s="34">
        <v>1</v>
      </c>
      <c r="AL205" s="34" t="str">
        <v>R</v>
      </c>
      <c r="AM205" s="34">
        <v>30</v>
      </c>
      <c r="AN205" s="34">
        <v>0</v>
      </c>
      <c r="AO205" s="34">
        <v>16</v>
      </c>
      <c r="AP205" s="34">
        <v>25</v>
      </c>
      <c r="AQ205" s="34">
        <v>16</v>
      </c>
      <c r="AR205" s="34">
        <v>1</v>
      </c>
      <c r="AS205" s="34">
        <v>1</v>
      </c>
      <c r="AT205" s="34" t="str">
        <v>2P</v>
      </c>
      <c r="AU205" s="34">
        <v>16</v>
      </c>
      <c r="AV205" s="34" t="str">
        <v/>
      </c>
      <c r="AW205" s="34" t="str">
        <v/>
      </c>
      <c r="AX205" s="34" t="str">
        <v/>
      </c>
      <c r="AY205" s="34">
        <v>1</v>
      </c>
      <c r="AZ205" s="34" t="str">
        <v/>
      </c>
      <c r="BA205" s="34">
        <v>0</v>
      </c>
      <c r="BB205" s="34">
        <v>16</v>
      </c>
      <c r="BD205" s="34">
        <v>1</v>
      </c>
      <c r="BE205" s="34">
        <v>0</v>
      </c>
      <c r="BF205" s="34">
        <v>1</v>
      </c>
      <c r="BG205" s="34" t="str">
        <v/>
      </c>
      <c r="BH205" s="34" t="str">
        <v/>
      </c>
      <c r="BI205" s="34" t="str">
        <v/>
      </c>
      <c r="BJ205" s="34" t="str">
        <v/>
      </c>
      <c r="BK205" s="34" t="str">
        <v>SOCKET</v>
      </c>
      <c r="BL205" s="34">
        <v>1</v>
      </c>
      <c r="BM205" s="34" t="str">
        <v/>
      </c>
      <c r="BN205" s="34" t="str">
        <v/>
      </c>
      <c r="BO205" s="34" t="str">
        <v/>
      </c>
      <c r="BP205" s="34" t="str">
        <v/>
      </c>
      <c r="BQ205" s="34" t="str">
        <v>3х2,5</v>
      </c>
      <c r="BR205" s="34" t="str">
        <v/>
      </c>
      <c r="BS205" s="34" t="str">
        <v/>
      </c>
      <c r="BT205" s="34" t="str">
        <v/>
      </c>
      <c r="BU205" s="34">
        <v>0</v>
      </c>
      <c r="BV205" s="34">
        <v>226</v>
      </c>
      <c r="BW205" s="34">
        <v>1</v>
      </c>
      <c r="BX205" s="34">
        <v>0</v>
      </c>
      <c r="BY205" s="34" t="str">
        <v>Розетка</v>
      </c>
      <c r="BZ205">
        <v>10</v>
      </c>
      <c r="CA205" t="str">
        <v>линии</v>
      </c>
    </row>
    <row r="206" spans="1:79" x14ac:dyDescent="0.3">
      <c r="A206" s="39" t="str">
        <v>ЩР-1</v>
      </c>
      <c r="B206" s="42">
        <v>13</v>
      </c>
      <c r="C206" s="42">
        <v>1</v>
      </c>
      <c r="D206" s="75" t="str">
        <v/>
      </c>
      <c r="E206" s="75" t="str">
        <v>авто</v>
      </c>
      <c r="F206" s="76" t="str">
        <v/>
      </c>
      <c r="G206" s="47" t="str">
        <v>QFD5</v>
      </c>
      <c r="H206" s="47" t="str">
        <v>2P С16А 30мА</v>
      </c>
      <c r="I206" s="75" t="str">
        <v/>
      </c>
      <c r="J206" s="76" t="str">
        <v/>
      </c>
      <c r="K206" s="76" t="str">
        <v/>
      </c>
      <c r="L206" s="75" t="str">
        <v/>
      </c>
      <c r="M206" s="49" t="str">
        <v/>
      </c>
      <c r="N206" s="76" t="str">
        <v/>
      </c>
      <c r="O206" s="49" t="str">
        <v/>
      </c>
      <c r="P206" s="77" t="str">
        <v>XT5</v>
      </c>
      <c r="Q206" s="53" t="str">
        <v>ВВГнг(А)-LS (3х2,5) L=80-0,49%</v>
      </c>
      <c r="R206" s="54" t="str">
        <v>R.1.002Aб.1</v>
      </c>
      <c r="S206" s="55" t="str">
        <v>Розеточная группа Первый этаж Пом. №002Aб</v>
      </c>
      <c r="T206" s="56">
        <v>0.18</v>
      </c>
      <c r="U206" s="56">
        <v>0.83</v>
      </c>
      <c r="V206" s="42" t="str">
        <v>L3</v>
      </c>
      <c r="W206" s="57" t="str">
        <v>ok</v>
      </c>
      <c r="X206" s="58" t="str">
        <v/>
      </c>
      <c r="Y206" s="75" t="str">
        <v/>
      </c>
      <c r="Z206" s="59">
        <v>0.83</v>
      </c>
      <c r="AA206" s="61">
        <v>6</v>
      </c>
      <c r="AB206" s="61">
        <v>25</v>
      </c>
      <c r="AC206" s="61" t="str">
        <v/>
      </c>
      <c r="AD206" s="62" t="str">
        <v>QFD5 → XT5</v>
      </c>
      <c r="AE206" s="62" t="str">
        <v/>
      </c>
      <c r="AF206" s="34">
        <v>5</v>
      </c>
      <c r="AG206" s="34" t="str">
        <v>QFD5</v>
      </c>
      <c r="AH206" s="34" t="str">
        <v/>
      </c>
      <c r="AI206" s="34" t="str">
        <v/>
      </c>
      <c r="AJ206" s="34" t="str">
        <v>QFD5</v>
      </c>
      <c r="AK206" s="34">
        <v>1</v>
      </c>
      <c r="AL206" s="34" t="str">
        <v>R</v>
      </c>
      <c r="AM206" s="34">
        <v>30</v>
      </c>
      <c r="AN206" s="34">
        <v>0</v>
      </c>
      <c r="AO206" s="34">
        <v>16</v>
      </c>
      <c r="AP206" s="34">
        <v>25</v>
      </c>
      <c r="AQ206" s="34">
        <v>16</v>
      </c>
      <c r="AR206" s="34">
        <v>1</v>
      </c>
      <c r="AS206" s="34">
        <v>1</v>
      </c>
      <c r="AT206" s="34" t="str">
        <v>2P</v>
      </c>
      <c r="AU206" s="34">
        <v>16</v>
      </c>
      <c r="AV206" s="34" t="str">
        <v/>
      </c>
      <c r="AW206" s="34" t="str">
        <v/>
      </c>
      <c r="AX206" s="34" t="str">
        <v/>
      </c>
      <c r="AY206" s="34">
        <v>1</v>
      </c>
      <c r="AZ206" s="34" t="str">
        <v/>
      </c>
      <c r="BA206" s="34">
        <v>0</v>
      </c>
      <c r="BB206" s="34">
        <v>16</v>
      </c>
      <c r="BD206" s="34">
        <v>1</v>
      </c>
      <c r="BE206" s="34">
        <v>0</v>
      </c>
      <c r="BF206" s="34">
        <v>1</v>
      </c>
      <c r="BG206" s="34" t="str">
        <v/>
      </c>
      <c r="BH206" s="34" t="str">
        <v/>
      </c>
      <c r="BI206" s="34" t="str">
        <v/>
      </c>
      <c r="BJ206" s="34" t="str">
        <v/>
      </c>
      <c r="BK206" s="34" t="str">
        <v>SOCKET</v>
      </c>
      <c r="BL206" s="34">
        <v>1</v>
      </c>
      <c r="BM206" s="34" t="str">
        <v/>
      </c>
      <c r="BN206" s="34" t="str">
        <v/>
      </c>
      <c r="BO206" s="34" t="str">
        <v/>
      </c>
      <c r="BP206" s="34" t="str">
        <v/>
      </c>
      <c r="BQ206" s="34" t="str">
        <v>3х2,5</v>
      </c>
      <c r="BR206" s="34" t="str">
        <v/>
      </c>
      <c r="BS206" s="34" t="str">
        <v/>
      </c>
      <c r="BT206" s="34" t="str">
        <v/>
      </c>
      <c r="BU206" s="34">
        <v>0</v>
      </c>
      <c r="BV206" s="34">
        <v>227</v>
      </c>
      <c r="BW206" s="34">
        <v>1</v>
      </c>
      <c r="BX206" s="34">
        <v>0</v>
      </c>
      <c r="BY206" s="34" t="str">
        <v>Розетка</v>
      </c>
      <c r="BZ206">
        <v>10</v>
      </c>
      <c r="CA206" t="str">
        <v>линии</v>
      </c>
    </row>
    <row r="207" spans="1:79" x14ac:dyDescent="0.3">
      <c r="A207" s="39" t="str">
        <v>ЩР-1</v>
      </c>
      <c r="B207" s="42">
        <v>14</v>
      </c>
      <c r="C207" s="42">
        <v>1</v>
      </c>
      <c r="D207" s="75" t="str">
        <v/>
      </c>
      <c r="E207" s="75" t="str">
        <v>авто</v>
      </c>
      <c r="F207" s="76" t="str">
        <v/>
      </c>
      <c r="G207" s="47" t="str">
        <v>QFD6</v>
      </c>
      <c r="H207" s="47" t="str">
        <v>2P С16А 30мА</v>
      </c>
      <c r="I207" s="75" t="str">
        <v/>
      </c>
      <c r="J207" s="76" t="str">
        <v/>
      </c>
      <c r="K207" s="76" t="str">
        <v/>
      </c>
      <c r="L207" s="75" t="str">
        <v/>
      </c>
      <c r="M207" s="49" t="str">
        <v/>
      </c>
      <c r="N207" s="76" t="str">
        <v/>
      </c>
      <c r="O207" s="49" t="str">
        <v/>
      </c>
      <c r="P207" s="77" t="str">
        <v>XT6</v>
      </c>
      <c r="Q207" s="53" t="str">
        <v>ВВГнг(А)-LS (3х2,5) L=30-0,24%</v>
      </c>
      <c r="R207" s="54" t="str">
        <v>R.1.002Б.1</v>
      </c>
      <c r="S207" s="55" t="str">
        <v>Розеточная группа Первый этаж Пом. №002Б Ледогенератор</v>
      </c>
      <c r="T207" s="56">
        <v>0.23</v>
      </c>
      <c r="U207" s="56">
        <v>1.05</v>
      </c>
      <c r="V207" s="42" t="str">
        <v>L1</v>
      </c>
      <c r="W207" s="57" t="str">
        <v>ok</v>
      </c>
      <c r="X207" s="58" t="str">
        <v/>
      </c>
      <c r="Y207" s="75" t="str">
        <v/>
      </c>
      <c r="Z207" s="59">
        <v>1.05</v>
      </c>
      <c r="AA207" s="61">
        <v>6</v>
      </c>
      <c r="AB207" s="61">
        <v>25</v>
      </c>
      <c r="AC207" s="61" t="str">
        <v/>
      </c>
      <c r="AD207" s="62" t="str">
        <v>QFD6 → XT6</v>
      </c>
      <c r="AE207" s="62" t="str">
        <v/>
      </c>
      <c r="AF207" s="34">
        <v>6</v>
      </c>
      <c r="AG207" s="34" t="str">
        <v>QFD6</v>
      </c>
      <c r="AH207" s="34" t="str">
        <v/>
      </c>
      <c r="AI207" s="34" t="str">
        <v/>
      </c>
      <c r="AJ207" s="34" t="str">
        <v>QFD6</v>
      </c>
      <c r="AK207" s="34">
        <v>1</v>
      </c>
      <c r="AL207" s="34" t="str">
        <v>R</v>
      </c>
      <c r="AM207" s="34">
        <v>30</v>
      </c>
      <c r="AN207" s="34">
        <v>0</v>
      </c>
      <c r="AO207" s="34">
        <v>16</v>
      </c>
      <c r="AP207" s="34">
        <v>25</v>
      </c>
      <c r="AQ207" s="34">
        <v>16</v>
      </c>
      <c r="AR207" s="34">
        <v>1</v>
      </c>
      <c r="AS207" s="34">
        <v>1</v>
      </c>
      <c r="AT207" s="34" t="str">
        <v>2P</v>
      </c>
      <c r="AU207" s="34">
        <v>16</v>
      </c>
      <c r="AV207" s="34" t="str">
        <v/>
      </c>
      <c r="AW207" s="34" t="str">
        <v/>
      </c>
      <c r="AX207" s="34" t="str">
        <v/>
      </c>
      <c r="AY207" s="34">
        <v>1</v>
      </c>
      <c r="AZ207" s="34" t="str">
        <v/>
      </c>
      <c r="BA207" s="34">
        <v>0</v>
      </c>
      <c r="BB207" s="34">
        <v>16</v>
      </c>
      <c r="BD207" s="34">
        <v>1</v>
      </c>
      <c r="BE207" s="34">
        <v>0</v>
      </c>
      <c r="BF207" s="34">
        <v>1</v>
      </c>
      <c r="BG207" s="34" t="str">
        <v/>
      </c>
      <c r="BH207" s="34" t="str">
        <v/>
      </c>
      <c r="BI207" s="34" t="str">
        <v/>
      </c>
      <c r="BJ207" s="34" t="str">
        <v/>
      </c>
      <c r="BK207" s="34" t="str">
        <v>SOCKET</v>
      </c>
      <c r="BL207" s="34">
        <v>1</v>
      </c>
      <c r="BM207" s="34" t="str">
        <v/>
      </c>
      <c r="BN207" s="34" t="str">
        <v/>
      </c>
      <c r="BO207" s="34" t="str">
        <v/>
      </c>
      <c r="BP207" s="34" t="str">
        <v/>
      </c>
      <c r="BQ207" s="34" t="str">
        <v>3х2,5</v>
      </c>
      <c r="BR207" s="34" t="str">
        <v/>
      </c>
      <c r="BS207" s="34" t="str">
        <v/>
      </c>
      <c r="BT207" s="34" t="str">
        <v/>
      </c>
      <c r="BU207" s="34">
        <v>0</v>
      </c>
      <c r="BV207" s="34">
        <v>228</v>
      </c>
      <c r="BW207" s="34">
        <v>1</v>
      </c>
      <c r="BX207" s="34">
        <v>0</v>
      </c>
      <c r="BY207" s="34" t="str">
        <v>Розетка</v>
      </c>
      <c r="BZ207">
        <v>10</v>
      </c>
      <c r="CA207" t="str">
        <v>линии</v>
      </c>
    </row>
    <row r="208" spans="1:79" x14ac:dyDescent="0.3">
      <c r="A208" s="39" t="str">
        <v>ЩР-1</v>
      </c>
      <c r="B208" s="42">
        <v>15</v>
      </c>
      <c r="C208" s="42">
        <v>1</v>
      </c>
      <c r="D208" s="75" t="str">
        <v/>
      </c>
      <c r="E208" s="75" t="str">
        <v>авто</v>
      </c>
      <c r="F208" s="76" t="str">
        <v/>
      </c>
      <c r="G208" s="47" t="str">
        <v>QFD7</v>
      </c>
      <c r="H208" s="47" t="str">
        <v>2P С16А 30мА</v>
      </c>
      <c r="I208" s="75" t="str">
        <v/>
      </c>
      <c r="J208" s="76" t="str">
        <v/>
      </c>
      <c r="K208" s="76" t="str">
        <v/>
      </c>
      <c r="L208" s="75" t="str">
        <v/>
      </c>
      <c r="M208" s="49" t="str">
        <v/>
      </c>
      <c r="N208" s="76" t="str">
        <v/>
      </c>
      <c r="O208" s="49" t="str">
        <v/>
      </c>
      <c r="P208" s="77" t="str">
        <v>XT7</v>
      </c>
      <c r="Q208" s="53" t="str">
        <v>ВВГнг(А)-LS (3х2,5) L=29-0,18%</v>
      </c>
      <c r="R208" s="54" t="str">
        <v>R.1.002Б.2</v>
      </c>
      <c r="S208" s="55" t="str">
        <v>Розеточная группа Первый этаж Пом. №002Б</v>
      </c>
      <c r="T208" s="56">
        <v>0.18</v>
      </c>
      <c r="U208" s="56">
        <v>0.83</v>
      </c>
      <c r="V208" s="42" t="str">
        <v>L2</v>
      </c>
      <c r="W208" s="57" t="str">
        <v>ok</v>
      </c>
      <c r="X208" s="58" t="str">
        <v/>
      </c>
      <c r="Y208" s="75" t="str">
        <v/>
      </c>
      <c r="Z208" s="59">
        <v>0.83</v>
      </c>
      <c r="AA208" s="61">
        <v>6</v>
      </c>
      <c r="AB208" s="61">
        <v>25</v>
      </c>
      <c r="AC208" s="61" t="str">
        <v/>
      </c>
      <c r="AD208" s="62" t="str">
        <v>QFD7 → XT7</v>
      </c>
      <c r="AE208" s="62" t="str">
        <v/>
      </c>
      <c r="AF208" s="34">
        <v>7</v>
      </c>
      <c r="AG208" s="34" t="str">
        <v>QFD7</v>
      </c>
      <c r="AH208" s="34" t="str">
        <v/>
      </c>
      <c r="AI208" s="34" t="str">
        <v/>
      </c>
      <c r="AJ208" s="34" t="str">
        <v>QFD7</v>
      </c>
      <c r="AK208" s="34">
        <v>1</v>
      </c>
      <c r="AL208" s="34" t="str">
        <v>R</v>
      </c>
      <c r="AM208" s="34">
        <v>30</v>
      </c>
      <c r="AN208" s="34">
        <v>0</v>
      </c>
      <c r="AO208" s="34">
        <v>16</v>
      </c>
      <c r="AP208" s="34">
        <v>25</v>
      </c>
      <c r="AQ208" s="34">
        <v>16</v>
      </c>
      <c r="AR208" s="34">
        <v>1</v>
      </c>
      <c r="AS208" s="34">
        <v>1</v>
      </c>
      <c r="AT208" s="34" t="str">
        <v>2P</v>
      </c>
      <c r="AU208" s="34">
        <v>16</v>
      </c>
      <c r="AV208" s="34" t="str">
        <v/>
      </c>
      <c r="AW208" s="34" t="str">
        <v/>
      </c>
      <c r="AX208" s="34" t="str">
        <v/>
      </c>
      <c r="AY208" s="34">
        <v>1</v>
      </c>
      <c r="AZ208" s="34" t="str">
        <v/>
      </c>
      <c r="BA208" s="34">
        <v>0</v>
      </c>
      <c r="BB208" s="34">
        <v>16</v>
      </c>
      <c r="BD208" s="34">
        <v>1</v>
      </c>
      <c r="BE208" s="34">
        <v>0</v>
      </c>
      <c r="BF208" s="34">
        <v>1</v>
      </c>
      <c r="BG208" s="34" t="str">
        <v/>
      </c>
      <c r="BH208" s="34" t="str">
        <v/>
      </c>
      <c r="BI208" s="34" t="str">
        <v/>
      </c>
      <c r="BJ208" s="34" t="str">
        <v/>
      </c>
      <c r="BK208" s="34" t="str">
        <v>SOCKET</v>
      </c>
      <c r="BL208" s="34">
        <v>1</v>
      </c>
      <c r="BM208" s="34" t="str">
        <v/>
      </c>
      <c r="BN208" s="34" t="str">
        <v/>
      </c>
      <c r="BO208" s="34" t="str">
        <v/>
      </c>
      <c r="BP208" s="34" t="str">
        <v/>
      </c>
      <c r="BQ208" s="34" t="str">
        <v>3х2,5</v>
      </c>
      <c r="BR208" s="34" t="str">
        <v/>
      </c>
      <c r="BS208" s="34" t="str">
        <v/>
      </c>
      <c r="BT208" s="34" t="str">
        <v/>
      </c>
      <c r="BU208" s="34">
        <v>0</v>
      </c>
      <c r="BV208" s="34">
        <v>229</v>
      </c>
      <c r="BW208" s="34">
        <v>1</v>
      </c>
      <c r="BX208" s="34">
        <v>0</v>
      </c>
      <c r="BY208" s="34" t="str">
        <v>Розетка</v>
      </c>
      <c r="BZ208">
        <v>10</v>
      </c>
      <c r="CA208" t="str">
        <v>линии</v>
      </c>
    </row>
    <row r="209" spans="1:79" x14ac:dyDescent="0.3">
      <c r="A209" s="39" t="str">
        <v>ЩР-1</v>
      </c>
      <c r="B209" s="42">
        <v>16</v>
      </c>
      <c r="C209" s="42">
        <v>1</v>
      </c>
      <c r="D209" s="75" t="str">
        <v/>
      </c>
      <c r="E209" s="75" t="str">
        <v>авто</v>
      </c>
      <c r="F209" s="76" t="str">
        <v/>
      </c>
      <c r="G209" s="47" t="str">
        <v>QFD8</v>
      </c>
      <c r="H209" s="47" t="str">
        <v>2P С16А 30мА</v>
      </c>
      <c r="I209" s="75" t="str">
        <v/>
      </c>
      <c r="J209" s="76" t="str">
        <v/>
      </c>
      <c r="K209" s="76" t="str">
        <v/>
      </c>
      <c r="L209" s="75" t="str">
        <v/>
      </c>
      <c r="M209" s="49" t="str">
        <v/>
      </c>
      <c r="N209" s="76" t="str">
        <v/>
      </c>
      <c r="O209" s="49" t="str">
        <v/>
      </c>
      <c r="P209" s="77" t="str">
        <v>XT8</v>
      </c>
      <c r="Q209" s="53" t="str">
        <v>ВВГнг(А)-LS (3х2,5) L=29-0,36%</v>
      </c>
      <c r="R209" s="54" t="str">
        <v>R.1.002Б.3</v>
      </c>
      <c r="S209" s="55" t="str">
        <v>Розеточная группа Первый этаж Пом. №002Б Ледогенератор</v>
      </c>
      <c r="T209" s="56">
        <v>0.36</v>
      </c>
      <c r="U209" s="56">
        <v>1.65</v>
      </c>
      <c r="V209" s="42" t="str">
        <v>L3</v>
      </c>
      <c r="W209" s="57" t="str">
        <v>ok</v>
      </c>
      <c r="X209" s="58" t="str">
        <v/>
      </c>
      <c r="Y209" s="75" t="str">
        <v/>
      </c>
      <c r="Z209" s="59">
        <v>1.65</v>
      </c>
      <c r="AA209" s="61">
        <v>6</v>
      </c>
      <c r="AB209" s="61">
        <v>25</v>
      </c>
      <c r="AC209" s="61" t="str">
        <v/>
      </c>
      <c r="AD209" s="62" t="str">
        <v>QFD8 → XT8</v>
      </c>
      <c r="AE209" s="62" t="str">
        <v/>
      </c>
      <c r="AF209" s="34">
        <v>8</v>
      </c>
      <c r="AG209" s="34" t="str">
        <v>QFD8</v>
      </c>
      <c r="AH209" s="34" t="str">
        <v/>
      </c>
      <c r="AI209" s="34" t="str">
        <v/>
      </c>
      <c r="AJ209" s="34" t="str">
        <v>QFD8</v>
      </c>
      <c r="AK209" s="34">
        <v>1</v>
      </c>
      <c r="AL209" s="34" t="str">
        <v>R</v>
      </c>
      <c r="AM209" s="34">
        <v>30</v>
      </c>
      <c r="AN209" s="34">
        <v>0</v>
      </c>
      <c r="AO209" s="34">
        <v>16</v>
      </c>
      <c r="AP209" s="34">
        <v>25</v>
      </c>
      <c r="AQ209" s="34">
        <v>16</v>
      </c>
      <c r="AR209" s="34">
        <v>1</v>
      </c>
      <c r="AS209" s="34">
        <v>1</v>
      </c>
      <c r="AT209" s="34" t="str">
        <v>2P</v>
      </c>
      <c r="AU209" s="34">
        <v>16</v>
      </c>
      <c r="AV209" s="34" t="str">
        <v/>
      </c>
      <c r="AW209" s="34" t="str">
        <v/>
      </c>
      <c r="AX209" s="34" t="str">
        <v/>
      </c>
      <c r="AY209" s="34">
        <v>1</v>
      </c>
      <c r="AZ209" s="34" t="str">
        <v/>
      </c>
      <c r="BA209" s="34">
        <v>0</v>
      </c>
      <c r="BB209" s="34">
        <v>16</v>
      </c>
      <c r="BD209" s="34">
        <v>1</v>
      </c>
      <c r="BE209" s="34">
        <v>0</v>
      </c>
      <c r="BF209" s="34">
        <v>1</v>
      </c>
      <c r="BG209" s="34" t="str">
        <v/>
      </c>
      <c r="BH209" s="34" t="str">
        <v/>
      </c>
      <c r="BI209" s="34" t="str">
        <v/>
      </c>
      <c r="BJ209" s="34" t="str">
        <v/>
      </c>
      <c r="BK209" s="34" t="str">
        <v>SOCKET</v>
      </c>
      <c r="BL209" s="34">
        <v>1</v>
      </c>
      <c r="BM209" s="34" t="str">
        <v/>
      </c>
      <c r="BN209" s="34" t="str">
        <v/>
      </c>
      <c r="BO209" s="34" t="str">
        <v/>
      </c>
      <c r="BP209" s="34" t="str">
        <v/>
      </c>
      <c r="BQ209" s="34" t="str">
        <v>3х2,5</v>
      </c>
      <c r="BR209" s="34" t="str">
        <v/>
      </c>
      <c r="BS209" s="34" t="str">
        <v/>
      </c>
      <c r="BT209" s="34" t="str">
        <v/>
      </c>
      <c r="BU209" s="34">
        <v>0</v>
      </c>
      <c r="BV209" s="34">
        <v>230</v>
      </c>
      <c r="BW209" s="34">
        <v>1</v>
      </c>
      <c r="BX209" s="34">
        <v>0</v>
      </c>
      <c r="BY209" s="34" t="str">
        <v>Розетка</v>
      </c>
      <c r="BZ209">
        <v>10</v>
      </c>
      <c r="CA209" t="str">
        <v>линии</v>
      </c>
    </row>
    <row r="210" spans="1:79" x14ac:dyDescent="0.3">
      <c r="A210" s="39" t="str">
        <v>ЩР-1</v>
      </c>
      <c r="B210" s="42">
        <v>19</v>
      </c>
      <c r="C210" s="42">
        <v>2</v>
      </c>
      <c r="D210" s="75" t="str">
        <v/>
      </c>
      <c r="E210" s="75" t="str">
        <v>авто</v>
      </c>
      <c r="F210" s="76" t="str">
        <v/>
      </c>
      <c r="G210" s="47" t="str">
        <v>QFD9</v>
      </c>
      <c r="H210" s="47" t="str">
        <v>2P С16А 30мА</v>
      </c>
      <c r="I210" s="75" t="str">
        <v/>
      </c>
      <c r="J210" s="76" t="str">
        <v/>
      </c>
      <c r="K210" s="76" t="str">
        <v/>
      </c>
      <c r="L210" s="75" t="str">
        <v/>
      </c>
      <c r="M210" s="49" t="str">
        <v/>
      </c>
      <c r="N210" s="76" t="str">
        <v/>
      </c>
      <c r="O210" s="49" t="str">
        <v/>
      </c>
      <c r="P210" s="77" t="str">
        <v/>
      </c>
      <c r="Q210" s="53" t="str">
        <v>ВВГнг(А)-LS (3х2,5) L=17-0,11%</v>
      </c>
      <c r="R210" s="54" t="str">
        <v>R.1.002Б.4</v>
      </c>
      <c r="S210" s="55" t="str">
        <v>Розеточная группа Первый этаж Пом. №002Б Фартук</v>
      </c>
      <c r="T210" s="56">
        <v>0.18</v>
      </c>
      <c r="U210" s="56">
        <v>0.83</v>
      </c>
      <c r="V210" s="42" t="str">
        <v>L3</v>
      </c>
      <c r="W210" s="57" t="str">
        <v>ok</v>
      </c>
      <c r="X210" s="58" t="str">
        <v/>
      </c>
      <c r="Y210" s="75" t="str">
        <v/>
      </c>
      <c r="Z210" s="59">
        <v>0.83</v>
      </c>
      <c r="AA210" s="61">
        <v>6</v>
      </c>
      <c r="AB210" s="61">
        <v>25</v>
      </c>
      <c r="AC210" s="61" t="str">
        <v/>
      </c>
      <c r="AD210" s="62" t="str">
        <v>QFD9</v>
      </c>
      <c r="AE210" s="62" t="str">
        <v/>
      </c>
      <c r="AF210" s="34">
        <v>9</v>
      </c>
      <c r="AG210" s="34" t="str">
        <v>QFD9</v>
      </c>
      <c r="AH210" s="34" t="str">
        <v/>
      </c>
      <c r="AI210" s="34" t="str">
        <v/>
      </c>
      <c r="AJ210" s="34" t="str">
        <v>QFD9</v>
      </c>
      <c r="AK210" s="34">
        <v>1</v>
      </c>
      <c r="AL210" s="34" t="str">
        <v>R</v>
      </c>
      <c r="AM210" s="34">
        <v>30</v>
      </c>
      <c r="AN210" s="34">
        <v>0</v>
      </c>
      <c r="AO210" s="34">
        <v>16</v>
      </c>
      <c r="AP210" s="34">
        <v>25</v>
      </c>
      <c r="AQ210" s="34">
        <v>16</v>
      </c>
      <c r="AR210" s="34">
        <v>1</v>
      </c>
      <c r="AS210" s="34">
        <v>1</v>
      </c>
      <c r="AT210" s="34" t="str">
        <v>2P</v>
      </c>
      <c r="AU210" s="34">
        <v>16</v>
      </c>
      <c r="AV210" s="34" t="str">
        <v/>
      </c>
      <c r="AW210" s="34" t="str">
        <v/>
      </c>
      <c r="AX210" s="34" t="str">
        <v/>
      </c>
      <c r="AY210" s="34">
        <v>1</v>
      </c>
      <c r="AZ210" s="34" t="str">
        <v/>
      </c>
      <c r="BA210" s="34">
        <v>0</v>
      </c>
      <c r="BB210" s="34">
        <v>16</v>
      </c>
      <c r="BD210" s="34">
        <v>1</v>
      </c>
      <c r="BE210" s="34">
        <v>0</v>
      </c>
      <c r="BF210" s="34">
        <v>1</v>
      </c>
      <c r="BG210" s="34" t="str">
        <v/>
      </c>
      <c r="BH210" s="34" t="str">
        <v/>
      </c>
      <c r="BI210" s="34" t="str">
        <v/>
      </c>
      <c r="BJ210" s="34" t="str">
        <v/>
      </c>
      <c r="BK210" s="34" t="str">
        <v>SOCKET</v>
      </c>
      <c r="BL210" s="34">
        <v>1</v>
      </c>
      <c r="BM210" s="34" t="str">
        <v/>
      </c>
      <c r="BN210" s="34" t="str">
        <v/>
      </c>
      <c r="BO210" s="34" t="str">
        <v/>
      </c>
      <c r="BP210" s="34" t="str">
        <v/>
      </c>
      <c r="BQ210" s="34" t="str">
        <v>3х2,5</v>
      </c>
      <c r="BR210" s="34" t="str">
        <v/>
      </c>
      <c r="BS210" s="34" t="str">
        <v/>
      </c>
      <c r="BT210" s="34" t="str">
        <v/>
      </c>
      <c r="BU210" s="34">
        <v>0</v>
      </c>
      <c r="BV210" s="34">
        <v>231</v>
      </c>
      <c r="BW210" s="34">
        <v>1</v>
      </c>
      <c r="BX210" s="34">
        <v>0</v>
      </c>
      <c r="BY210" s="34" t="str">
        <v>Розетка</v>
      </c>
      <c r="BZ210">
        <v>10</v>
      </c>
      <c r="CA210" t="str">
        <v>линии</v>
      </c>
    </row>
    <row r="211" spans="1:79" x14ac:dyDescent="0.3">
      <c r="A211" s="39" t="str">
        <v>ЩР-1</v>
      </c>
      <c r="B211" s="42">
        <v>20</v>
      </c>
      <c r="C211" s="42">
        <v>2</v>
      </c>
      <c r="D211" s="75" t="str">
        <v/>
      </c>
      <c r="E211" s="75" t="str">
        <v>авто</v>
      </c>
      <c r="F211" s="76" t="str">
        <v/>
      </c>
      <c r="G211" s="47" t="str">
        <v>QFD10</v>
      </c>
      <c r="H211" s="47" t="str">
        <v>2P С20А 30мА</v>
      </c>
      <c r="I211" s="75" t="str">
        <v/>
      </c>
      <c r="J211" s="76" t="str">
        <v/>
      </c>
      <c r="K211" s="76" t="str">
        <v/>
      </c>
      <c r="L211" s="75" t="str">
        <v/>
      </c>
      <c r="M211" s="49" t="str">
        <v/>
      </c>
      <c r="N211" s="76" t="str">
        <v/>
      </c>
      <c r="O211" s="49" t="str">
        <v/>
      </c>
      <c r="P211" s="77" t="str">
        <v>XT10</v>
      </c>
      <c r="Q211" s="53" t="str">
        <v>ВВГнг(А)-LS (3х4) L=22-1,78%</v>
      </c>
      <c r="R211" s="54" t="str">
        <v>R.1.002Б.5</v>
      </c>
      <c r="S211" s="55" t="str">
        <v>Розеточная группа Первый этаж Пом. №002Б ПММ</v>
      </c>
      <c r="T211" s="56">
        <v>3.8</v>
      </c>
      <c r="U211" s="56">
        <v>17.330000000000002</v>
      </c>
      <c r="V211" s="42" t="str">
        <v>L1</v>
      </c>
      <c r="W211" s="57" t="str">
        <v>ok</v>
      </c>
      <c r="X211" s="58" t="str">
        <v/>
      </c>
      <c r="Y211" s="75" t="str">
        <v/>
      </c>
      <c r="Z211" s="59">
        <v>17.330000000000002</v>
      </c>
      <c r="AA211" s="61">
        <v>20</v>
      </c>
      <c r="AB211" s="61">
        <v>32</v>
      </c>
      <c r="AC211" s="61" t="str">
        <v/>
      </c>
      <c r="AD211" s="62" t="str">
        <v>QFD10 → XT10</v>
      </c>
      <c r="AE211" s="62" t="str">
        <v/>
      </c>
      <c r="AF211" s="34">
        <v>10</v>
      </c>
      <c r="AG211" s="34" t="str">
        <v>QFD10</v>
      </c>
      <c r="AH211" s="34" t="str">
        <v/>
      </c>
      <c r="AI211" s="34" t="str">
        <v/>
      </c>
      <c r="AJ211" s="34" t="str">
        <v>QFD10</v>
      </c>
      <c r="AK211" s="34">
        <v>1</v>
      </c>
      <c r="AL211" s="34" t="str">
        <v>R</v>
      </c>
      <c r="AM211" s="34">
        <v>30</v>
      </c>
      <c r="AN211" s="34">
        <v>0</v>
      </c>
      <c r="AO211" s="34">
        <v>20</v>
      </c>
      <c r="AP211" s="34">
        <v>32</v>
      </c>
      <c r="AQ211" s="34">
        <v>20</v>
      </c>
      <c r="AR211" s="34">
        <v>1</v>
      </c>
      <c r="AS211" s="34">
        <v>1</v>
      </c>
      <c r="AT211" s="34" t="str">
        <v>2P</v>
      </c>
      <c r="AU211" s="34">
        <v>20</v>
      </c>
      <c r="AV211" s="34" t="str">
        <v/>
      </c>
      <c r="AW211" s="34" t="str">
        <v/>
      </c>
      <c r="AX211" s="34" t="str">
        <v/>
      </c>
      <c r="AY211" s="34">
        <v>1</v>
      </c>
      <c r="AZ211" s="34" t="str">
        <v/>
      </c>
      <c r="BA211" s="34">
        <v>0</v>
      </c>
      <c r="BB211" s="34">
        <v>16</v>
      </c>
      <c r="BD211" s="34">
        <v>1</v>
      </c>
      <c r="BE211" s="34">
        <v>0</v>
      </c>
      <c r="BF211" s="34">
        <v>1</v>
      </c>
      <c r="BG211" s="34" t="str">
        <v/>
      </c>
      <c r="BH211" s="34" t="str">
        <v/>
      </c>
      <c r="BI211" s="34" t="str">
        <v/>
      </c>
      <c r="BJ211" s="34" t="str">
        <v/>
      </c>
      <c r="BK211" s="34" t="str">
        <v>SOCKET</v>
      </c>
      <c r="BL211" s="34">
        <v>1</v>
      </c>
      <c r="BM211" s="34">
        <v>11</v>
      </c>
      <c r="BN211" s="34" t="str">
        <v/>
      </c>
      <c r="BO211" s="34" t="str">
        <v/>
      </c>
      <c r="BP211" s="34" t="str">
        <v/>
      </c>
      <c r="BQ211" s="34" t="str">
        <v>3х4</v>
      </c>
      <c r="BR211" s="34" t="str">
        <v/>
      </c>
      <c r="BS211" s="34" t="str">
        <v/>
      </c>
      <c r="BT211" s="34" t="str">
        <v/>
      </c>
      <c r="BU211" s="34">
        <v>0</v>
      </c>
      <c r="BV211" s="34">
        <v>232</v>
      </c>
      <c r="BW211" s="34">
        <v>1</v>
      </c>
      <c r="BX211" s="34">
        <v>0</v>
      </c>
      <c r="BY211" s="34" t="str">
        <v>Розетка</v>
      </c>
      <c r="BZ211">
        <v>10</v>
      </c>
      <c r="CA211" t="str">
        <v>линии</v>
      </c>
    </row>
    <row r="212" spans="1:79" x14ac:dyDescent="0.3">
      <c r="A212" s="39" t="str">
        <v>ЩР-1</v>
      </c>
      <c r="B212" s="42">
        <v>21</v>
      </c>
      <c r="C212" s="42">
        <v>2</v>
      </c>
      <c r="D212" s="75" t="str">
        <v/>
      </c>
      <c r="E212" s="75" t="str">
        <v>авто</v>
      </c>
      <c r="F212" s="76" t="str">
        <v/>
      </c>
      <c r="G212" s="47" t="str">
        <v>QFD11</v>
      </c>
      <c r="H212" s="47" t="str">
        <v>2P С20А 30мА</v>
      </c>
      <c r="I212" s="75" t="str">
        <v/>
      </c>
      <c r="J212" s="76" t="str">
        <v/>
      </c>
      <c r="K212" s="76" t="str">
        <v/>
      </c>
      <c r="L212" s="75" t="str">
        <v/>
      </c>
      <c r="M212" s="49" t="str">
        <v/>
      </c>
      <c r="N212" s="76" t="str">
        <v/>
      </c>
      <c r="O212" s="49" t="str">
        <v/>
      </c>
      <c r="P212" s="77" t="str">
        <v/>
      </c>
      <c r="Q212" s="53" t="str">
        <v>ВВГнг(А)-LS (3х4) L=22-1,68%</v>
      </c>
      <c r="R212" s="54" t="str">
        <v>R.1.002Б.6</v>
      </c>
      <c r="S212" s="55" t="str">
        <v>Розеточная группа Первый этаж Пом. №002Б Стаканомоечная машина</v>
      </c>
      <c r="T212" s="56">
        <v>3.6</v>
      </c>
      <c r="U212" s="56">
        <v>16.41</v>
      </c>
      <c r="V212" s="42" t="str">
        <v>L3</v>
      </c>
      <c r="W212" s="57" t="str">
        <v>ok</v>
      </c>
      <c r="X212" s="58" t="str">
        <v/>
      </c>
      <c r="Y212" s="75" t="str">
        <v/>
      </c>
      <c r="Z212" s="59">
        <v>16.41</v>
      </c>
      <c r="AA212" s="61">
        <v>20</v>
      </c>
      <c r="AB212" s="61">
        <v>32</v>
      </c>
      <c r="AC212" s="61" t="str">
        <v/>
      </c>
      <c r="AD212" s="62" t="str">
        <v>QFD11</v>
      </c>
      <c r="AE212" s="62" t="str">
        <v/>
      </c>
      <c r="AF212" s="34">
        <v>11</v>
      </c>
      <c r="AG212" s="34" t="str">
        <v>QFD11</v>
      </c>
      <c r="AH212" s="34" t="str">
        <v/>
      </c>
      <c r="AI212" s="34" t="str">
        <v/>
      </c>
      <c r="AJ212" s="34" t="str">
        <v>QFD11</v>
      </c>
      <c r="AK212" s="34">
        <v>1</v>
      </c>
      <c r="AL212" s="34" t="str">
        <v>R</v>
      </c>
      <c r="AM212" s="34">
        <v>30</v>
      </c>
      <c r="AN212" s="34">
        <v>0</v>
      </c>
      <c r="AO212" s="34">
        <v>20</v>
      </c>
      <c r="AP212" s="34">
        <v>32</v>
      </c>
      <c r="AQ212" s="34">
        <v>20</v>
      </c>
      <c r="AR212" s="34">
        <v>1</v>
      </c>
      <c r="AS212" s="34">
        <v>1</v>
      </c>
      <c r="AT212" s="34" t="str">
        <v>2P</v>
      </c>
      <c r="AU212" s="34">
        <v>20</v>
      </c>
      <c r="AV212" s="34" t="str">
        <v/>
      </c>
      <c r="AW212" s="34" t="str">
        <v/>
      </c>
      <c r="AX212" s="34" t="str">
        <v/>
      </c>
      <c r="AY212" s="34">
        <v>1</v>
      </c>
      <c r="AZ212" s="34" t="str">
        <v/>
      </c>
      <c r="BA212" s="34">
        <v>0</v>
      </c>
      <c r="BB212" s="34">
        <v>16</v>
      </c>
      <c r="BD212" s="34">
        <v>1</v>
      </c>
      <c r="BE212" s="34">
        <v>0</v>
      </c>
      <c r="BF212" s="34">
        <v>1</v>
      </c>
      <c r="BG212" s="34" t="str">
        <v/>
      </c>
      <c r="BH212" s="34" t="str">
        <v/>
      </c>
      <c r="BI212" s="34" t="str">
        <v/>
      </c>
      <c r="BJ212" s="34" t="str">
        <v/>
      </c>
      <c r="BK212" s="34" t="str">
        <v>SOCKET</v>
      </c>
      <c r="BL212" s="34">
        <v>1</v>
      </c>
      <c r="BM212" s="34" t="str">
        <v/>
      </c>
      <c r="BN212" s="34" t="str">
        <v/>
      </c>
      <c r="BO212" s="34" t="str">
        <v/>
      </c>
      <c r="BP212" s="34" t="str">
        <v/>
      </c>
      <c r="BQ212" s="34" t="str">
        <v>3х4</v>
      </c>
      <c r="BR212" s="34" t="str">
        <v/>
      </c>
      <c r="BS212" s="34" t="str">
        <v/>
      </c>
      <c r="BT212" s="34" t="str">
        <v/>
      </c>
      <c r="BU212" s="34">
        <v>0</v>
      </c>
      <c r="BV212" s="34">
        <v>233</v>
      </c>
      <c r="BW212" s="34">
        <v>1</v>
      </c>
      <c r="BX212" s="34">
        <v>0</v>
      </c>
      <c r="BY212" s="34" t="str">
        <v>Розетка</v>
      </c>
      <c r="BZ212">
        <v>10</v>
      </c>
      <c r="CA212" t="str">
        <v>линии</v>
      </c>
    </row>
    <row r="213" spans="1:79" x14ac:dyDescent="0.3">
      <c r="A213" s="39" t="str">
        <v>ЩР-1</v>
      </c>
      <c r="B213" s="42">
        <v>22</v>
      </c>
      <c r="C213" s="42">
        <v>2</v>
      </c>
      <c r="D213" s="75" t="str">
        <v/>
      </c>
      <c r="E213" s="75" t="str">
        <v>авто</v>
      </c>
      <c r="F213" s="76" t="str">
        <v/>
      </c>
      <c r="G213" s="47" t="str">
        <v>QFD12</v>
      </c>
      <c r="H213" s="47" t="str">
        <v>2P С16А 30мА</v>
      </c>
      <c r="I213" s="75" t="str">
        <v/>
      </c>
      <c r="J213" s="76" t="str">
        <v/>
      </c>
      <c r="K213" s="76" t="str">
        <v/>
      </c>
      <c r="L213" s="75" t="str">
        <v/>
      </c>
      <c r="M213" s="49" t="str">
        <v/>
      </c>
      <c r="N213" s="76" t="str">
        <v/>
      </c>
      <c r="O213" s="49" t="str">
        <v/>
      </c>
      <c r="P213" s="77" t="str">
        <v/>
      </c>
      <c r="Q213" s="53" t="str">
        <v>ВВГнг(А)-LS (3х2,5) L=22-0,05%</v>
      </c>
      <c r="R213" s="54" t="str">
        <v>R.1.002Б.7</v>
      </c>
      <c r="S213" s="55" t="str">
        <v>Розеточная группа Первый этаж Пом. №002Б</v>
      </c>
      <c r="T213" s="56">
        <v>0.06</v>
      </c>
      <c r="U213" s="56">
        <v>0.28000000000000003</v>
      </c>
      <c r="V213" s="42" t="str">
        <v>L3</v>
      </c>
      <c r="W213" s="57" t="str">
        <v>ok</v>
      </c>
      <c r="X213" s="58" t="str">
        <v/>
      </c>
      <c r="Y213" s="75" t="str">
        <v/>
      </c>
      <c r="Z213" s="59">
        <v>0.28000000000000003</v>
      </c>
      <c r="AA213" s="61">
        <v>6</v>
      </c>
      <c r="AB213" s="61">
        <v>25</v>
      </c>
      <c r="AC213" s="61" t="str">
        <v/>
      </c>
      <c r="AD213" s="62" t="str">
        <v>QFD12</v>
      </c>
      <c r="AE213" s="62" t="str">
        <v/>
      </c>
      <c r="AF213" s="34">
        <v>12</v>
      </c>
      <c r="AG213" s="34" t="str">
        <v>QFD12</v>
      </c>
      <c r="AH213" s="34" t="str">
        <v/>
      </c>
      <c r="AI213" s="34" t="str">
        <v/>
      </c>
      <c r="AJ213" s="34" t="str">
        <v>QFD12</v>
      </c>
      <c r="AK213" s="34">
        <v>1</v>
      </c>
      <c r="AL213" s="34" t="str">
        <v>R</v>
      </c>
      <c r="AM213" s="34">
        <v>30</v>
      </c>
      <c r="AN213" s="34">
        <v>0</v>
      </c>
      <c r="AO213" s="34">
        <v>16</v>
      </c>
      <c r="AP213" s="34">
        <v>25</v>
      </c>
      <c r="AQ213" s="34">
        <v>16</v>
      </c>
      <c r="AR213" s="34">
        <v>1</v>
      </c>
      <c r="AS213" s="34">
        <v>1</v>
      </c>
      <c r="AT213" s="34" t="str">
        <v>2P</v>
      </c>
      <c r="AU213" s="34">
        <v>16</v>
      </c>
      <c r="AV213" s="34" t="str">
        <v/>
      </c>
      <c r="AW213" s="34" t="str">
        <v/>
      </c>
      <c r="AX213" s="34" t="str">
        <v/>
      </c>
      <c r="AY213" s="34">
        <v>1</v>
      </c>
      <c r="AZ213" s="34" t="str">
        <v/>
      </c>
      <c r="BA213" s="34">
        <v>0</v>
      </c>
      <c r="BB213" s="34">
        <v>16</v>
      </c>
      <c r="BD213" s="34">
        <v>1</v>
      </c>
      <c r="BE213" s="34">
        <v>0</v>
      </c>
      <c r="BF213" s="34">
        <v>1</v>
      </c>
      <c r="BG213" s="34" t="str">
        <v/>
      </c>
      <c r="BH213" s="34" t="str">
        <v/>
      </c>
      <c r="BI213" s="34" t="str">
        <v/>
      </c>
      <c r="BJ213" s="34" t="str">
        <v/>
      </c>
      <c r="BK213" s="34" t="str">
        <v>SOCKET</v>
      </c>
      <c r="BL213" s="34">
        <v>1</v>
      </c>
      <c r="BM213" s="34" t="str">
        <v/>
      </c>
      <c r="BN213" s="34" t="str">
        <v/>
      </c>
      <c r="BO213" s="34" t="str">
        <v/>
      </c>
      <c r="BP213" s="34" t="str">
        <v/>
      </c>
      <c r="BQ213" s="34" t="str">
        <v>3х2,5</v>
      </c>
      <c r="BR213" s="34" t="str">
        <v/>
      </c>
      <c r="BS213" s="34" t="str">
        <v/>
      </c>
      <c r="BT213" s="34" t="str">
        <v/>
      </c>
      <c r="BU213" s="34">
        <v>0</v>
      </c>
      <c r="BV213" s="34">
        <v>234</v>
      </c>
      <c r="BW213" s="34">
        <v>1</v>
      </c>
      <c r="BX213" s="34">
        <v>0</v>
      </c>
      <c r="BY213" s="34" t="str">
        <v>Розетка</v>
      </c>
      <c r="BZ213">
        <v>10</v>
      </c>
      <c r="CA213" t="str">
        <v>линии</v>
      </c>
    </row>
    <row r="214" spans="1:79" x14ac:dyDescent="0.3">
      <c r="A214" s="39" t="str">
        <v>ЩР-1</v>
      </c>
      <c r="B214" s="42">
        <v>23</v>
      </c>
      <c r="C214" s="42">
        <v>2</v>
      </c>
      <c r="D214" s="75" t="str">
        <v/>
      </c>
      <c r="E214" s="75" t="str">
        <v>авто</v>
      </c>
      <c r="F214" s="76" t="str">
        <v/>
      </c>
      <c r="G214" s="47" t="str">
        <v>QFD13</v>
      </c>
      <c r="H214" s="47" t="str">
        <v>2P С16А 30мА</v>
      </c>
      <c r="I214" s="75" t="str">
        <v/>
      </c>
      <c r="J214" s="76" t="str">
        <v/>
      </c>
      <c r="K214" s="76" t="str">
        <v/>
      </c>
      <c r="L214" s="75" t="str">
        <v/>
      </c>
      <c r="M214" s="49" t="str">
        <v/>
      </c>
      <c r="N214" s="76" t="str">
        <v/>
      </c>
      <c r="O214" s="49" t="str">
        <v/>
      </c>
      <c r="P214" s="77" t="str">
        <v/>
      </c>
      <c r="Q214" s="53" t="str">
        <v>ВВГнг(А)-LS (3х2,5) L=27-0,22%</v>
      </c>
      <c r="R214" s="54" t="str">
        <v>R.1.002Б.8</v>
      </c>
      <c r="S214" s="55" t="str">
        <v>Розеточная группа Первый этаж Пом. №002Б</v>
      </c>
      <c r="T214" s="56">
        <v>0.24</v>
      </c>
      <c r="U214" s="56">
        <v>1.1000000000000001</v>
      </c>
      <c r="V214" s="42" t="str">
        <v>L1</v>
      </c>
      <c r="W214" s="57" t="str">
        <v>ok</v>
      </c>
      <c r="X214" s="58" t="str">
        <v/>
      </c>
      <c r="Y214" s="75" t="str">
        <v/>
      </c>
      <c r="Z214" s="59">
        <v>1.1000000000000001</v>
      </c>
      <c r="AA214" s="61">
        <v>6</v>
      </c>
      <c r="AB214" s="61">
        <v>25</v>
      </c>
      <c r="AC214" s="61" t="str">
        <v/>
      </c>
      <c r="AD214" s="62" t="str">
        <v>QFD13</v>
      </c>
      <c r="AE214" s="62" t="str">
        <v/>
      </c>
      <c r="AF214" s="34">
        <v>13</v>
      </c>
      <c r="AG214" s="34" t="str">
        <v>QFD13</v>
      </c>
      <c r="AH214" s="34" t="str">
        <v/>
      </c>
      <c r="AI214" s="34" t="str">
        <v/>
      </c>
      <c r="AJ214" s="34" t="str">
        <v>QFD13</v>
      </c>
      <c r="AK214" s="34">
        <v>1</v>
      </c>
      <c r="AL214" s="34" t="str">
        <v>R</v>
      </c>
      <c r="AM214" s="34">
        <v>30</v>
      </c>
      <c r="AN214" s="34">
        <v>0</v>
      </c>
      <c r="AO214" s="34">
        <v>16</v>
      </c>
      <c r="AP214" s="34">
        <v>25</v>
      </c>
      <c r="AQ214" s="34">
        <v>16</v>
      </c>
      <c r="AR214" s="34">
        <v>1</v>
      </c>
      <c r="AS214" s="34">
        <v>1</v>
      </c>
      <c r="AT214" s="34" t="str">
        <v>2P</v>
      </c>
      <c r="AU214" s="34">
        <v>16</v>
      </c>
      <c r="AV214" s="34" t="str">
        <v/>
      </c>
      <c r="AW214" s="34" t="str">
        <v/>
      </c>
      <c r="AX214" s="34" t="str">
        <v/>
      </c>
      <c r="AY214" s="34">
        <v>1</v>
      </c>
      <c r="AZ214" s="34" t="str">
        <v/>
      </c>
      <c r="BA214" s="34">
        <v>0</v>
      </c>
      <c r="BB214" s="34">
        <v>16</v>
      </c>
      <c r="BD214" s="34">
        <v>1</v>
      </c>
      <c r="BE214" s="34">
        <v>0</v>
      </c>
      <c r="BF214" s="34">
        <v>1</v>
      </c>
      <c r="BG214" s="34" t="str">
        <v/>
      </c>
      <c r="BH214" s="34" t="str">
        <v/>
      </c>
      <c r="BI214" s="34" t="str">
        <v/>
      </c>
      <c r="BJ214" s="34" t="str">
        <v/>
      </c>
      <c r="BK214" s="34" t="str">
        <v>SOCKET</v>
      </c>
      <c r="BL214" s="34">
        <v>1</v>
      </c>
      <c r="BM214" s="34" t="str">
        <v/>
      </c>
      <c r="BN214" s="34" t="str">
        <v/>
      </c>
      <c r="BO214" s="34" t="str">
        <v/>
      </c>
      <c r="BP214" s="34" t="str">
        <v/>
      </c>
      <c r="BQ214" s="34" t="str">
        <v>3х2,5</v>
      </c>
      <c r="BR214" s="34" t="str">
        <v/>
      </c>
      <c r="BS214" s="34" t="str">
        <v/>
      </c>
      <c r="BT214" s="34" t="str">
        <v/>
      </c>
      <c r="BU214" s="34">
        <v>0</v>
      </c>
      <c r="BV214" s="34">
        <v>235</v>
      </c>
      <c r="BW214" s="34">
        <v>1</v>
      </c>
      <c r="BX214" s="34">
        <v>0</v>
      </c>
      <c r="BY214" s="34" t="str">
        <v>Розетка</v>
      </c>
      <c r="BZ214">
        <v>10</v>
      </c>
      <c r="CA214" t="str">
        <v>линии</v>
      </c>
    </row>
    <row r="215" spans="1:79" x14ac:dyDescent="0.3">
      <c r="A215" s="39" t="str">
        <v>ЩР-1</v>
      </c>
      <c r="B215" s="42">
        <v>24</v>
      </c>
      <c r="C215" s="42">
        <v>2</v>
      </c>
      <c r="D215" s="75" t="str">
        <v/>
      </c>
      <c r="E215" s="75" t="str">
        <v>авто</v>
      </c>
      <c r="F215" s="76" t="str">
        <v/>
      </c>
      <c r="G215" s="47" t="str">
        <v>QFD14</v>
      </c>
      <c r="H215" s="47" t="str">
        <v>2P С16А 30мА</v>
      </c>
      <c r="I215" s="75" t="str">
        <v/>
      </c>
      <c r="J215" s="76" t="str">
        <v/>
      </c>
      <c r="K215" s="76" t="str">
        <v/>
      </c>
      <c r="L215" s="75" t="str">
        <v/>
      </c>
      <c r="M215" s="49" t="str">
        <v/>
      </c>
      <c r="N215" s="76" t="str">
        <v/>
      </c>
      <c r="O215" s="49" t="str">
        <v/>
      </c>
      <c r="P215" s="77" t="str">
        <v/>
      </c>
      <c r="Q215" s="53" t="str">
        <v>ВВГнг(А)-LS (3х2,5) L=113-0,92%</v>
      </c>
      <c r="R215" s="54" t="str">
        <v>R.1.002Г.1</v>
      </c>
      <c r="S215" s="55" t="str">
        <v>Розеточная группа Первый этаж Пом. №002Г</v>
      </c>
      <c r="T215" s="56">
        <v>0.24</v>
      </c>
      <c r="U215" s="56">
        <v>1.1000000000000001</v>
      </c>
      <c r="V215" s="42" t="str">
        <v>L2</v>
      </c>
      <c r="W215" s="57" t="str">
        <v>ok</v>
      </c>
      <c r="X215" s="58" t="str">
        <v/>
      </c>
      <c r="Y215" s="75" t="str">
        <v/>
      </c>
      <c r="Z215" s="59">
        <v>1.1000000000000001</v>
      </c>
      <c r="AA215" s="61">
        <v>6</v>
      </c>
      <c r="AB215" s="61">
        <v>25</v>
      </c>
      <c r="AC215" s="61" t="str">
        <v/>
      </c>
      <c r="AD215" s="62" t="str">
        <v>QFD14</v>
      </c>
      <c r="AE215" s="62" t="str">
        <v/>
      </c>
      <c r="AF215" s="34">
        <v>14</v>
      </c>
      <c r="AG215" s="34" t="str">
        <v>QFD14</v>
      </c>
      <c r="AH215" s="34" t="str">
        <v/>
      </c>
      <c r="AI215" s="34" t="str">
        <v/>
      </c>
      <c r="AJ215" s="34" t="str">
        <v>QFD14</v>
      </c>
      <c r="AK215" s="34">
        <v>1</v>
      </c>
      <c r="AL215" s="34" t="str">
        <v>R</v>
      </c>
      <c r="AM215" s="34">
        <v>30</v>
      </c>
      <c r="AN215" s="34">
        <v>0</v>
      </c>
      <c r="AO215" s="34">
        <v>16</v>
      </c>
      <c r="AP215" s="34">
        <v>25</v>
      </c>
      <c r="AQ215" s="34">
        <v>16</v>
      </c>
      <c r="AR215" s="34">
        <v>1</v>
      </c>
      <c r="AS215" s="34">
        <v>1</v>
      </c>
      <c r="AT215" s="34" t="str">
        <v>2P</v>
      </c>
      <c r="AU215" s="34">
        <v>16</v>
      </c>
      <c r="AV215" s="34" t="str">
        <v/>
      </c>
      <c r="AW215" s="34" t="str">
        <v/>
      </c>
      <c r="AX215" s="34" t="str">
        <v/>
      </c>
      <c r="AY215" s="34">
        <v>1</v>
      </c>
      <c r="AZ215" s="34" t="str">
        <v/>
      </c>
      <c r="BA215" s="34">
        <v>0</v>
      </c>
      <c r="BB215" s="34">
        <v>16</v>
      </c>
      <c r="BD215" s="34">
        <v>1</v>
      </c>
      <c r="BE215" s="34">
        <v>0</v>
      </c>
      <c r="BF215" s="34">
        <v>1</v>
      </c>
      <c r="BG215" s="34" t="str">
        <v/>
      </c>
      <c r="BH215" s="34" t="str">
        <v/>
      </c>
      <c r="BI215" s="34" t="str">
        <v/>
      </c>
      <c r="BJ215" s="34" t="str">
        <v/>
      </c>
      <c r="BK215" s="34" t="str">
        <v>SOCKET</v>
      </c>
      <c r="BL215" s="34">
        <v>1</v>
      </c>
      <c r="BM215" s="34" t="str">
        <v/>
      </c>
      <c r="BN215" s="34" t="str">
        <v/>
      </c>
      <c r="BO215" s="34" t="str">
        <v/>
      </c>
      <c r="BP215" s="34" t="str">
        <v/>
      </c>
      <c r="BQ215" s="34" t="str">
        <v>3х2,5</v>
      </c>
      <c r="BR215" s="34" t="str">
        <v/>
      </c>
      <c r="BS215" s="34" t="str">
        <v/>
      </c>
      <c r="BT215" s="34" t="str">
        <v/>
      </c>
      <c r="BU215" s="34">
        <v>0</v>
      </c>
      <c r="BV215" s="34">
        <v>236</v>
      </c>
      <c r="BW215" s="34">
        <v>1</v>
      </c>
      <c r="BX215" s="34">
        <v>0</v>
      </c>
      <c r="BY215" s="34" t="str">
        <v>Розетка</v>
      </c>
      <c r="BZ215">
        <v>10</v>
      </c>
      <c r="CA215" t="str">
        <v>линии</v>
      </c>
    </row>
    <row r="216" spans="1:79" x14ac:dyDescent="0.3">
      <c r="A216" s="39" t="str">
        <v>ЩР-1</v>
      </c>
      <c r="B216" s="42">
        <v>25</v>
      </c>
      <c r="C216" s="42">
        <v>2</v>
      </c>
      <c r="D216" s="75" t="str">
        <v/>
      </c>
      <c r="E216" s="75" t="str">
        <v>авто</v>
      </c>
      <c r="F216" s="76" t="str">
        <v/>
      </c>
      <c r="G216" s="47" t="str">
        <v>QFD15</v>
      </c>
      <c r="H216" s="47" t="str">
        <v>2P С16А 30мА</v>
      </c>
      <c r="I216" s="75" t="str">
        <v/>
      </c>
      <c r="J216" s="76" t="str">
        <v/>
      </c>
      <c r="K216" s="76" t="str">
        <v/>
      </c>
      <c r="L216" s="75" t="str">
        <v/>
      </c>
      <c r="M216" s="49" t="str">
        <v/>
      </c>
      <c r="N216" s="76" t="str">
        <v/>
      </c>
      <c r="O216" s="49" t="str">
        <v/>
      </c>
      <c r="P216" s="77" t="str">
        <v/>
      </c>
      <c r="Q216" s="53" t="str">
        <v>ВВГнг(А)-LS (3х2,5) L=60-0,74%</v>
      </c>
      <c r="R216" s="54" t="str">
        <v>R.1.003A.1</v>
      </c>
      <c r="S216" s="55" t="str">
        <v>Розеточная группа Первый этаж Пом. №003A</v>
      </c>
      <c r="T216" s="56">
        <v>0.36</v>
      </c>
      <c r="U216" s="56">
        <v>1.65</v>
      </c>
      <c r="V216" s="42" t="str">
        <v>L3</v>
      </c>
      <c r="W216" s="57" t="str">
        <v>ok</v>
      </c>
      <c r="X216" s="58" t="str">
        <v/>
      </c>
      <c r="Y216" s="75" t="str">
        <v/>
      </c>
      <c r="Z216" s="59">
        <v>1.65</v>
      </c>
      <c r="AA216" s="61">
        <v>6</v>
      </c>
      <c r="AB216" s="61">
        <v>25</v>
      </c>
      <c r="AC216" s="61" t="str">
        <v/>
      </c>
      <c r="AD216" s="62" t="str">
        <v>QFD15</v>
      </c>
      <c r="AE216" s="62" t="str">
        <v/>
      </c>
      <c r="AF216" s="34">
        <v>15</v>
      </c>
      <c r="AG216" s="34" t="str">
        <v>QFD15</v>
      </c>
      <c r="AH216" s="34" t="str">
        <v/>
      </c>
      <c r="AI216" s="34" t="str">
        <v/>
      </c>
      <c r="AJ216" s="34" t="str">
        <v>QFD15</v>
      </c>
      <c r="AK216" s="34">
        <v>1</v>
      </c>
      <c r="AL216" s="34" t="str">
        <v>R</v>
      </c>
      <c r="AM216" s="34">
        <v>30</v>
      </c>
      <c r="AN216" s="34">
        <v>0</v>
      </c>
      <c r="AO216" s="34">
        <v>16</v>
      </c>
      <c r="AP216" s="34">
        <v>25</v>
      </c>
      <c r="AQ216" s="34">
        <v>16</v>
      </c>
      <c r="AR216" s="34">
        <v>1</v>
      </c>
      <c r="AS216" s="34">
        <v>1</v>
      </c>
      <c r="AT216" s="34" t="str">
        <v>2P</v>
      </c>
      <c r="AU216" s="34">
        <v>16</v>
      </c>
      <c r="AV216" s="34" t="str">
        <v/>
      </c>
      <c r="AW216" s="34" t="str">
        <v/>
      </c>
      <c r="AX216" s="34" t="str">
        <v/>
      </c>
      <c r="AY216" s="34">
        <v>1</v>
      </c>
      <c r="AZ216" s="34" t="str">
        <v/>
      </c>
      <c r="BA216" s="34">
        <v>0</v>
      </c>
      <c r="BB216" s="34">
        <v>16</v>
      </c>
      <c r="BD216" s="34">
        <v>1</v>
      </c>
      <c r="BE216" s="34">
        <v>0</v>
      </c>
      <c r="BF216" s="34">
        <v>1</v>
      </c>
      <c r="BG216" s="34" t="str">
        <v/>
      </c>
      <c r="BH216" s="34" t="str">
        <v/>
      </c>
      <c r="BI216" s="34" t="str">
        <v/>
      </c>
      <c r="BJ216" s="34" t="str">
        <v/>
      </c>
      <c r="BK216" s="34" t="str">
        <v>SOCKET</v>
      </c>
      <c r="BL216" s="34">
        <v>1</v>
      </c>
      <c r="BM216" s="34" t="str">
        <v/>
      </c>
      <c r="BN216" s="34" t="str">
        <v/>
      </c>
      <c r="BO216" s="34" t="str">
        <v/>
      </c>
      <c r="BP216" s="34" t="str">
        <v/>
      </c>
      <c r="BQ216" s="34" t="str">
        <v>3х2,5</v>
      </c>
      <c r="BR216" s="34" t="str">
        <v/>
      </c>
      <c r="BS216" s="34" t="str">
        <v/>
      </c>
      <c r="BT216" s="34" t="str">
        <v/>
      </c>
      <c r="BU216" s="34">
        <v>0</v>
      </c>
      <c r="BV216" s="34">
        <v>237</v>
      </c>
      <c r="BW216" s="34">
        <v>1</v>
      </c>
      <c r="BX216" s="34">
        <v>0</v>
      </c>
      <c r="BY216" s="34" t="str">
        <v>Розетка</v>
      </c>
      <c r="BZ216">
        <v>10</v>
      </c>
      <c r="CA216" t="str">
        <v>линии</v>
      </c>
    </row>
    <row r="217" spans="1:79" x14ac:dyDescent="0.3">
      <c r="A217" s="39" t="str">
        <v>ЩР-1</v>
      </c>
      <c r="B217" s="42">
        <v>26</v>
      </c>
      <c r="C217" s="42">
        <v>2</v>
      </c>
      <c r="D217" s="75" t="str">
        <v/>
      </c>
      <c r="E217" s="75" t="str">
        <v>авто</v>
      </c>
      <c r="F217" s="76" t="str">
        <v/>
      </c>
      <c r="G217" s="47" t="str">
        <v>QFD16</v>
      </c>
      <c r="H217" s="47" t="str">
        <v>2P С16А 30мА</v>
      </c>
      <c r="I217" s="75" t="str">
        <v/>
      </c>
      <c r="J217" s="76" t="str">
        <v/>
      </c>
      <c r="K217" s="76" t="str">
        <v/>
      </c>
      <c r="L217" s="75" t="str">
        <v/>
      </c>
      <c r="M217" s="49" t="str">
        <v/>
      </c>
      <c r="N217" s="76" t="str">
        <v/>
      </c>
      <c r="O217" s="49" t="str">
        <v/>
      </c>
      <c r="P217" s="77" t="str">
        <v/>
      </c>
      <c r="Q217" s="53" t="str">
        <v>ВВГнг(А)-LS (3х2,5) L=75-0,77%</v>
      </c>
      <c r="R217" s="54" t="str">
        <v>R.1.003A.2</v>
      </c>
      <c r="S217" s="55" t="str">
        <v>Розеточная группа Первый этаж Пом. №003A</v>
      </c>
      <c r="T217" s="56">
        <v>0.3</v>
      </c>
      <c r="U217" s="56">
        <v>1.37</v>
      </c>
      <c r="V217" s="42" t="str">
        <v>L1</v>
      </c>
      <c r="W217" s="57" t="str">
        <v>ok</v>
      </c>
      <c r="X217" s="58" t="str">
        <v/>
      </c>
      <c r="Y217" s="75" t="str">
        <v/>
      </c>
      <c r="Z217" s="59">
        <v>1.37</v>
      </c>
      <c r="AA217" s="61">
        <v>6</v>
      </c>
      <c r="AB217" s="61">
        <v>25</v>
      </c>
      <c r="AC217" s="61" t="str">
        <v/>
      </c>
      <c r="AD217" s="62" t="str">
        <v>QFD16</v>
      </c>
      <c r="AE217" s="62" t="str">
        <v/>
      </c>
      <c r="AF217" s="34">
        <v>16</v>
      </c>
      <c r="AG217" s="34" t="str">
        <v>QFD16</v>
      </c>
      <c r="AH217" s="34" t="str">
        <v/>
      </c>
      <c r="AI217" s="34" t="str">
        <v/>
      </c>
      <c r="AJ217" s="34" t="str">
        <v>QFD16</v>
      </c>
      <c r="AK217" s="34">
        <v>1</v>
      </c>
      <c r="AL217" s="34" t="str">
        <v>R</v>
      </c>
      <c r="AM217" s="34">
        <v>30</v>
      </c>
      <c r="AN217" s="34">
        <v>0</v>
      </c>
      <c r="AO217" s="34">
        <v>16</v>
      </c>
      <c r="AP217" s="34">
        <v>25</v>
      </c>
      <c r="AQ217" s="34">
        <v>16</v>
      </c>
      <c r="AR217" s="34">
        <v>1</v>
      </c>
      <c r="AS217" s="34">
        <v>1</v>
      </c>
      <c r="AT217" s="34" t="str">
        <v>2P</v>
      </c>
      <c r="AU217" s="34">
        <v>16</v>
      </c>
      <c r="AV217" s="34" t="str">
        <v/>
      </c>
      <c r="AW217" s="34" t="str">
        <v/>
      </c>
      <c r="AX217" s="34" t="str">
        <v/>
      </c>
      <c r="AY217" s="34">
        <v>1</v>
      </c>
      <c r="AZ217" s="34" t="str">
        <v/>
      </c>
      <c r="BA217" s="34">
        <v>0</v>
      </c>
      <c r="BB217" s="34">
        <v>16</v>
      </c>
      <c r="BD217" s="34">
        <v>1</v>
      </c>
      <c r="BE217" s="34">
        <v>0</v>
      </c>
      <c r="BF217" s="34">
        <v>1</v>
      </c>
      <c r="BG217" s="34" t="str">
        <v/>
      </c>
      <c r="BH217" s="34" t="str">
        <v/>
      </c>
      <c r="BI217" s="34" t="str">
        <v/>
      </c>
      <c r="BJ217" s="34" t="str">
        <v/>
      </c>
      <c r="BK217" s="34" t="str">
        <v>SOCKET</v>
      </c>
      <c r="BL217" s="34">
        <v>1</v>
      </c>
      <c r="BM217" s="34" t="str">
        <v/>
      </c>
      <c r="BN217" s="34" t="str">
        <v/>
      </c>
      <c r="BO217" s="34" t="str">
        <v/>
      </c>
      <c r="BP217" s="34" t="str">
        <v/>
      </c>
      <c r="BQ217" s="34" t="str">
        <v>3х2,5</v>
      </c>
      <c r="BR217" s="34" t="str">
        <v/>
      </c>
      <c r="BS217" s="34" t="str">
        <v/>
      </c>
      <c r="BT217" s="34" t="str">
        <v/>
      </c>
      <c r="BU217" s="34">
        <v>0</v>
      </c>
      <c r="BV217" s="34">
        <v>238</v>
      </c>
      <c r="BW217" s="34">
        <v>1</v>
      </c>
      <c r="BX217" s="34">
        <v>0</v>
      </c>
      <c r="BY217" s="34" t="str">
        <v>Розетка</v>
      </c>
      <c r="BZ217">
        <v>10</v>
      </c>
      <c r="CA217" t="str">
        <v>линии</v>
      </c>
    </row>
    <row r="218" spans="1:79" x14ac:dyDescent="0.3">
      <c r="A218" s="39" t="str">
        <v>ЩР-1</v>
      </c>
      <c r="B218" s="42">
        <v>27</v>
      </c>
      <c r="C218" s="42">
        <v>2</v>
      </c>
      <c r="D218" s="75" t="str">
        <v/>
      </c>
      <c r="E218" s="75" t="str">
        <v>авто</v>
      </c>
      <c r="F218" s="76" t="str">
        <v/>
      </c>
      <c r="G218" s="47" t="str">
        <v>QFD17</v>
      </c>
      <c r="H218" s="47" t="str">
        <v>2P С16А 30мА</v>
      </c>
      <c r="I218" s="75" t="str">
        <v/>
      </c>
      <c r="J218" s="76" t="str">
        <v/>
      </c>
      <c r="K218" s="76" t="str">
        <v/>
      </c>
      <c r="L218" s="75" t="str">
        <v/>
      </c>
      <c r="M218" s="49" t="str">
        <v/>
      </c>
      <c r="N218" s="76" t="str">
        <v/>
      </c>
      <c r="O218" s="49" t="str">
        <v/>
      </c>
      <c r="P218" s="77" t="str">
        <v/>
      </c>
      <c r="Q218" s="53" t="str">
        <v>ВВГнг(А)-LS (3х2,5) L=107-1,31%</v>
      </c>
      <c r="R218" s="54" t="str">
        <v>R.1.003A.3</v>
      </c>
      <c r="S218" s="55" t="str">
        <v>Розеточная группа Первый этаж Пом. №003A</v>
      </c>
      <c r="T218" s="56">
        <v>0.36</v>
      </c>
      <c r="U218" s="56">
        <v>1.65</v>
      </c>
      <c r="V218" s="42" t="str">
        <v>L2</v>
      </c>
      <c r="W218" s="57" t="str">
        <v>ok</v>
      </c>
      <c r="X218" s="58" t="str">
        <v/>
      </c>
      <c r="Y218" s="75" t="str">
        <v/>
      </c>
      <c r="Z218" s="59">
        <v>1.65</v>
      </c>
      <c r="AA218" s="61">
        <v>6</v>
      </c>
      <c r="AB218" s="61">
        <v>25</v>
      </c>
      <c r="AC218" s="61" t="str">
        <v/>
      </c>
      <c r="AD218" s="62" t="str">
        <v>QFD17</v>
      </c>
      <c r="AE218" s="62" t="str">
        <v/>
      </c>
      <c r="AF218" s="34">
        <v>17</v>
      </c>
      <c r="AG218" s="34" t="str">
        <v>QFD17</v>
      </c>
      <c r="AH218" s="34" t="str">
        <v/>
      </c>
      <c r="AI218" s="34" t="str">
        <v/>
      </c>
      <c r="AJ218" s="34" t="str">
        <v>QFD17</v>
      </c>
      <c r="AK218" s="34">
        <v>1</v>
      </c>
      <c r="AL218" s="34" t="str">
        <v>R</v>
      </c>
      <c r="AM218" s="34">
        <v>30</v>
      </c>
      <c r="AN218" s="34">
        <v>0</v>
      </c>
      <c r="AO218" s="34">
        <v>16</v>
      </c>
      <c r="AP218" s="34">
        <v>25</v>
      </c>
      <c r="AQ218" s="34">
        <v>16</v>
      </c>
      <c r="AR218" s="34">
        <v>1</v>
      </c>
      <c r="AS218" s="34">
        <v>1</v>
      </c>
      <c r="AT218" s="34" t="str">
        <v>2P</v>
      </c>
      <c r="AU218" s="34">
        <v>16</v>
      </c>
      <c r="AV218" s="34" t="str">
        <v/>
      </c>
      <c r="AW218" s="34" t="str">
        <v/>
      </c>
      <c r="AX218" s="34" t="str">
        <v/>
      </c>
      <c r="AY218" s="34">
        <v>1</v>
      </c>
      <c r="AZ218" s="34" t="str">
        <v/>
      </c>
      <c r="BA218" s="34">
        <v>0</v>
      </c>
      <c r="BB218" s="34">
        <v>16</v>
      </c>
      <c r="BD218" s="34">
        <v>1</v>
      </c>
      <c r="BE218" s="34">
        <v>0</v>
      </c>
      <c r="BF218" s="34">
        <v>1</v>
      </c>
      <c r="BG218" s="34" t="str">
        <v/>
      </c>
      <c r="BH218" s="34" t="str">
        <v/>
      </c>
      <c r="BI218" s="34" t="str">
        <v/>
      </c>
      <c r="BJ218" s="34" t="str">
        <v/>
      </c>
      <c r="BK218" s="34" t="str">
        <v>SOCKET</v>
      </c>
      <c r="BL218" s="34">
        <v>1</v>
      </c>
      <c r="BM218" s="34" t="str">
        <v/>
      </c>
      <c r="BN218" s="34" t="str">
        <v/>
      </c>
      <c r="BO218" s="34" t="str">
        <v/>
      </c>
      <c r="BP218" s="34" t="str">
        <v/>
      </c>
      <c r="BQ218" s="34" t="str">
        <v>3х2,5</v>
      </c>
      <c r="BR218" s="34" t="str">
        <v/>
      </c>
      <c r="BS218" s="34" t="str">
        <v/>
      </c>
      <c r="BT218" s="34" t="str">
        <v/>
      </c>
      <c r="BU218" s="34">
        <v>0</v>
      </c>
      <c r="BV218" s="34">
        <v>239</v>
      </c>
      <c r="BW218" s="34">
        <v>1</v>
      </c>
      <c r="BX218" s="34">
        <v>0</v>
      </c>
      <c r="BY218" s="34" t="str">
        <v>Розетка</v>
      </c>
      <c r="BZ218">
        <v>10</v>
      </c>
      <c r="CA218" t="str">
        <v>линии</v>
      </c>
    </row>
    <row r="219" spans="1:79" x14ac:dyDescent="0.3">
      <c r="A219" s="39" t="str">
        <v>ЩР-1</v>
      </c>
      <c r="B219" s="42">
        <v>28</v>
      </c>
      <c r="C219" s="42">
        <v>2</v>
      </c>
      <c r="D219" s="75" t="str">
        <v/>
      </c>
      <c r="E219" s="75" t="str">
        <v>авто</v>
      </c>
      <c r="F219" s="76" t="str">
        <v/>
      </c>
      <c r="G219" s="47" t="str">
        <v>QFD18</v>
      </c>
      <c r="H219" s="47" t="str">
        <v>2P С16А 30мА</v>
      </c>
      <c r="I219" s="75" t="str">
        <v/>
      </c>
      <c r="J219" s="76" t="str">
        <v/>
      </c>
      <c r="K219" s="76" t="str">
        <v/>
      </c>
      <c r="L219" s="75" t="str">
        <v/>
      </c>
      <c r="M219" s="49" t="str">
        <v/>
      </c>
      <c r="N219" s="76" t="str">
        <v/>
      </c>
      <c r="O219" s="49" t="str">
        <v/>
      </c>
      <c r="P219" s="77" t="str">
        <v/>
      </c>
      <c r="Q219" s="53" t="str">
        <v>ВВГнг(А)-LS (3х2,5) L=69-0,71%</v>
      </c>
      <c r="R219" s="54" t="str">
        <v>R.1.003A2</v>
      </c>
      <c r="S219" s="55" t="str">
        <v>Розеточная группа Первый этаж Пом. №003A2</v>
      </c>
      <c r="T219" s="56">
        <v>0.3</v>
      </c>
      <c r="U219" s="56">
        <v>1.37</v>
      </c>
      <c r="V219" s="42" t="str">
        <v>L1</v>
      </c>
      <c r="W219" s="57" t="str">
        <v>ok</v>
      </c>
      <c r="X219" s="58" t="str">
        <v/>
      </c>
      <c r="Y219" s="75" t="str">
        <v/>
      </c>
      <c r="Z219" s="59">
        <v>1.37</v>
      </c>
      <c r="AA219" s="61">
        <v>6</v>
      </c>
      <c r="AB219" s="61">
        <v>25</v>
      </c>
      <c r="AC219" s="61" t="str">
        <v/>
      </c>
      <c r="AD219" s="62" t="str">
        <v>QFD18</v>
      </c>
      <c r="AE219" s="62" t="str">
        <v/>
      </c>
      <c r="AF219" s="34">
        <v>18</v>
      </c>
      <c r="AG219" s="34" t="str">
        <v>QFD18</v>
      </c>
      <c r="AH219" s="34" t="str">
        <v/>
      </c>
      <c r="AI219" s="34" t="str">
        <v/>
      </c>
      <c r="AJ219" s="34" t="str">
        <v>QFD18</v>
      </c>
      <c r="AK219" s="34">
        <v>1</v>
      </c>
      <c r="AL219" s="34" t="str">
        <v>R</v>
      </c>
      <c r="AM219" s="34">
        <v>30</v>
      </c>
      <c r="AN219" s="34">
        <v>0</v>
      </c>
      <c r="AO219" s="34">
        <v>16</v>
      </c>
      <c r="AP219" s="34">
        <v>25</v>
      </c>
      <c r="AQ219" s="34">
        <v>16</v>
      </c>
      <c r="AR219" s="34">
        <v>1</v>
      </c>
      <c r="AS219" s="34">
        <v>1</v>
      </c>
      <c r="AT219" s="34" t="str">
        <v>2P</v>
      </c>
      <c r="AU219" s="34">
        <v>16</v>
      </c>
      <c r="AV219" s="34" t="str">
        <v/>
      </c>
      <c r="AW219" s="34" t="str">
        <v/>
      </c>
      <c r="AX219" s="34" t="str">
        <v/>
      </c>
      <c r="AY219" s="34">
        <v>1</v>
      </c>
      <c r="AZ219" s="34" t="str">
        <v/>
      </c>
      <c r="BA219" s="34">
        <v>0</v>
      </c>
      <c r="BB219" s="34">
        <v>16</v>
      </c>
      <c r="BD219" s="34">
        <v>1</v>
      </c>
      <c r="BE219" s="34">
        <v>0</v>
      </c>
      <c r="BF219" s="34">
        <v>1</v>
      </c>
      <c r="BG219" s="34" t="str">
        <v/>
      </c>
      <c r="BH219" s="34" t="str">
        <v/>
      </c>
      <c r="BI219" s="34" t="str">
        <v/>
      </c>
      <c r="BJ219" s="34" t="str">
        <v/>
      </c>
      <c r="BK219" s="34" t="str">
        <v>SOCKET</v>
      </c>
      <c r="BL219" s="34">
        <v>1</v>
      </c>
      <c r="BM219" s="34" t="str">
        <v/>
      </c>
      <c r="BN219" s="34" t="str">
        <v/>
      </c>
      <c r="BO219" s="34" t="str">
        <v/>
      </c>
      <c r="BP219" s="34" t="str">
        <v/>
      </c>
      <c r="BQ219" s="34" t="str">
        <v>3х2,5</v>
      </c>
      <c r="BR219" s="34" t="str">
        <v/>
      </c>
      <c r="BS219" s="34" t="str">
        <v/>
      </c>
      <c r="BT219" s="34" t="str">
        <v/>
      </c>
      <c r="BU219" s="34">
        <v>0</v>
      </c>
      <c r="BV219" s="34">
        <v>240</v>
      </c>
      <c r="BW219" s="34">
        <v>1</v>
      </c>
      <c r="BX219" s="34">
        <v>0</v>
      </c>
      <c r="BY219" s="34" t="str">
        <v>Розетка</v>
      </c>
      <c r="BZ219">
        <v>10</v>
      </c>
      <c r="CA219" t="str">
        <v>линии</v>
      </c>
    </row>
    <row r="220" spans="1:79" x14ac:dyDescent="0.3">
      <c r="A220" s="39" t="str">
        <v>ЩР-1</v>
      </c>
      <c r="B220" s="42">
        <v>29</v>
      </c>
      <c r="C220" s="42">
        <v>2</v>
      </c>
      <c r="D220" s="75" t="str">
        <v/>
      </c>
      <c r="E220" s="75" t="str">
        <v>авто</v>
      </c>
      <c r="F220" s="76" t="str">
        <v/>
      </c>
      <c r="G220" s="47" t="str">
        <v>QFD19</v>
      </c>
      <c r="H220" s="47" t="str">
        <v>2P С16А 30мА</v>
      </c>
      <c r="I220" s="75" t="str">
        <v/>
      </c>
      <c r="J220" s="76" t="str">
        <v/>
      </c>
      <c r="K220" s="76" t="str">
        <v/>
      </c>
      <c r="L220" s="75" t="str">
        <v/>
      </c>
      <c r="M220" s="49" t="str">
        <v/>
      </c>
      <c r="N220" s="76" t="str">
        <v/>
      </c>
      <c r="O220" s="49" t="str">
        <v/>
      </c>
      <c r="P220" s="77" t="str">
        <v/>
      </c>
      <c r="Q220" s="53" t="str">
        <v>ВВГнг(А)-LS (3х2,5) L=81-0,66%</v>
      </c>
      <c r="R220" s="54" t="str">
        <v>R.1.003Aб.1</v>
      </c>
      <c r="S220" s="55" t="str">
        <v>Розеточная группа Первый этаж Пом. №003Aб</v>
      </c>
      <c r="T220" s="56">
        <v>0.24</v>
      </c>
      <c r="U220" s="56">
        <v>1.1000000000000001</v>
      </c>
      <c r="V220" s="42" t="str">
        <v>L1</v>
      </c>
      <c r="W220" s="57" t="str">
        <v>ok</v>
      </c>
      <c r="X220" s="58" t="str">
        <v/>
      </c>
      <c r="Y220" s="75" t="str">
        <v/>
      </c>
      <c r="Z220" s="59">
        <v>1.1000000000000001</v>
      </c>
      <c r="AA220" s="61">
        <v>6</v>
      </c>
      <c r="AB220" s="61">
        <v>25</v>
      </c>
      <c r="AC220" s="61" t="str">
        <v/>
      </c>
      <c r="AD220" s="62" t="str">
        <v>QFD19</v>
      </c>
      <c r="AE220" s="62" t="str">
        <v/>
      </c>
      <c r="AF220" s="34">
        <v>19</v>
      </c>
      <c r="AG220" s="34" t="str">
        <v>QFD19</v>
      </c>
      <c r="AH220" s="34" t="str">
        <v/>
      </c>
      <c r="AI220" s="34" t="str">
        <v/>
      </c>
      <c r="AJ220" s="34" t="str">
        <v>QFD19</v>
      </c>
      <c r="AK220" s="34">
        <v>1</v>
      </c>
      <c r="AL220" s="34" t="str">
        <v>R</v>
      </c>
      <c r="AM220" s="34">
        <v>30</v>
      </c>
      <c r="AN220" s="34">
        <v>0</v>
      </c>
      <c r="AO220" s="34">
        <v>16</v>
      </c>
      <c r="AP220" s="34">
        <v>25</v>
      </c>
      <c r="AQ220" s="34">
        <v>16</v>
      </c>
      <c r="AR220" s="34">
        <v>1</v>
      </c>
      <c r="AS220" s="34">
        <v>1</v>
      </c>
      <c r="AT220" s="34" t="str">
        <v>2P</v>
      </c>
      <c r="AU220" s="34">
        <v>16</v>
      </c>
      <c r="AV220" s="34" t="str">
        <v/>
      </c>
      <c r="AW220" s="34" t="str">
        <v/>
      </c>
      <c r="AX220" s="34" t="str">
        <v/>
      </c>
      <c r="AY220" s="34">
        <v>1</v>
      </c>
      <c r="AZ220" s="34" t="str">
        <v/>
      </c>
      <c r="BA220" s="34">
        <v>0</v>
      </c>
      <c r="BB220" s="34">
        <v>16</v>
      </c>
      <c r="BD220" s="34">
        <v>1</v>
      </c>
      <c r="BE220" s="34">
        <v>0</v>
      </c>
      <c r="BF220" s="34">
        <v>1</v>
      </c>
      <c r="BG220" s="34" t="str">
        <v/>
      </c>
      <c r="BH220" s="34" t="str">
        <v/>
      </c>
      <c r="BI220" s="34" t="str">
        <v/>
      </c>
      <c r="BJ220" s="34" t="str">
        <v/>
      </c>
      <c r="BK220" s="34" t="str">
        <v>SOCKET</v>
      </c>
      <c r="BL220" s="34">
        <v>1</v>
      </c>
      <c r="BM220" s="34" t="str">
        <v/>
      </c>
      <c r="BN220" s="34" t="str">
        <v/>
      </c>
      <c r="BO220" s="34" t="str">
        <v/>
      </c>
      <c r="BP220" s="34" t="str">
        <v/>
      </c>
      <c r="BQ220" s="34" t="str">
        <v>3х2,5</v>
      </c>
      <c r="BR220" s="34" t="str">
        <v/>
      </c>
      <c r="BS220" s="34" t="str">
        <v/>
      </c>
      <c r="BT220" s="34" t="str">
        <v/>
      </c>
      <c r="BU220" s="34">
        <v>0</v>
      </c>
      <c r="BV220" s="34">
        <v>241</v>
      </c>
      <c r="BW220" s="34">
        <v>1</v>
      </c>
      <c r="BX220" s="34">
        <v>0</v>
      </c>
      <c r="BY220" s="34" t="str">
        <v>Розетка</v>
      </c>
      <c r="BZ220">
        <v>10</v>
      </c>
      <c r="CA220" t="str">
        <v>линии</v>
      </c>
    </row>
    <row r="221" spans="1:79" x14ac:dyDescent="0.3">
      <c r="A221" s="39" t="str">
        <v>ЩР-1</v>
      </c>
      <c r="B221" s="42">
        <v>30</v>
      </c>
      <c r="C221" s="42">
        <v>2</v>
      </c>
      <c r="D221" s="75" t="str">
        <v/>
      </c>
      <c r="E221" s="75" t="str">
        <v>авто</v>
      </c>
      <c r="F221" s="76" t="str">
        <v/>
      </c>
      <c r="G221" s="47" t="str">
        <v>QFD20</v>
      </c>
      <c r="H221" s="47" t="str">
        <v>2P С16А 30мА</v>
      </c>
      <c r="I221" s="75" t="str">
        <v/>
      </c>
      <c r="J221" s="76" t="str">
        <v/>
      </c>
      <c r="K221" s="76" t="str">
        <v/>
      </c>
      <c r="L221" s="75" t="str">
        <v/>
      </c>
      <c r="M221" s="49" t="str">
        <v/>
      </c>
      <c r="N221" s="76" t="str">
        <v/>
      </c>
      <c r="O221" s="49" t="str">
        <v/>
      </c>
      <c r="P221" s="77" t="str">
        <v/>
      </c>
      <c r="Q221" s="53" t="str">
        <v>ВВГнг(А)-LS (3х2,5) L=28-0,23%</v>
      </c>
      <c r="R221" s="54" t="str">
        <v>R.1.003Б.1</v>
      </c>
      <c r="S221" s="55" t="str">
        <v>Розеточная группа Первый этаж Пом. №003Б</v>
      </c>
      <c r="T221" s="56">
        <v>0.24</v>
      </c>
      <c r="U221" s="56">
        <v>1.1000000000000001</v>
      </c>
      <c r="V221" s="42" t="str">
        <v>L2</v>
      </c>
      <c r="W221" s="57" t="str">
        <v>ok</v>
      </c>
      <c r="X221" s="58" t="str">
        <v/>
      </c>
      <c r="Y221" s="75" t="str">
        <v/>
      </c>
      <c r="Z221" s="59">
        <v>1.1000000000000001</v>
      </c>
      <c r="AA221" s="61">
        <v>6</v>
      </c>
      <c r="AB221" s="61">
        <v>25</v>
      </c>
      <c r="AC221" s="61" t="str">
        <v/>
      </c>
      <c r="AD221" s="62" t="str">
        <v>QFD20</v>
      </c>
      <c r="AE221" s="62" t="str">
        <v/>
      </c>
      <c r="AF221" s="34">
        <v>20</v>
      </c>
      <c r="AG221" s="34" t="str">
        <v>QFD20</v>
      </c>
      <c r="AH221" s="34" t="str">
        <v/>
      </c>
      <c r="AI221" s="34" t="str">
        <v/>
      </c>
      <c r="AJ221" s="34" t="str">
        <v>QFD20</v>
      </c>
      <c r="AK221" s="34">
        <v>1</v>
      </c>
      <c r="AL221" s="34" t="str">
        <v>R</v>
      </c>
      <c r="AM221" s="34">
        <v>30</v>
      </c>
      <c r="AN221" s="34">
        <v>0</v>
      </c>
      <c r="AO221" s="34">
        <v>16</v>
      </c>
      <c r="AP221" s="34">
        <v>25</v>
      </c>
      <c r="AQ221" s="34">
        <v>16</v>
      </c>
      <c r="AR221" s="34">
        <v>1</v>
      </c>
      <c r="AS221" s="34">
        <v>1</v>
      </c>
      <c r="AT221" s="34" t="str">
        <v>2P</v>
      </c>
      <c r="AU221" s="34">
        <v>16</v>
      </c>
      <c r="AV221" s="34" t="str">
        <v/>
      </c>
      <c r="AW221" s="34" t="str">
        <v/>
      </c>
      <c r="AX221" s="34" t="str">
        <v/>
      </c>
      <c r="AY221" s="34">
        <v>1</v>
      </c>
      <c r="AZ221" s="34" t="str">
        <v/>
      </c>
      <c r="BA221" s="34">
        <v>0</v>
      </c>
      <c r="BB221" s="34">
        <v>16</v>
      </c>
      <c r="BD221" s="34">
        <v>1</v>
      </c>
      <c r="BE221" s="34">
        <v>0</v>
      </c>
      <c r="BF221" s="34">
        <v>1</v>
      </c>
      <c r="BG221" s="34" t="str">
        <v/>
      </c>
      <c r="BH221" s="34" t="str">
        <v/>
      </c>
      <c r="BI221" s="34" t="str">
        <v/>
      </c>
      <c r="BJ221" s="34" t="str">
        <v/>
      </c>
      <c r="BK221" s="34" t="str">
        <v>SOCKET</v>
      </c>
      <c r="BL221" s="34">
        <v>1</v>
      </c>
      <c r="BM221" s="34" t="str">
        <v/>
      </c>
      <c r="BN221" s="34" t="str">
        <v/>
      </c>
      <c r="BO221" s="34" t="str">
        <v/>
      </c>
      <c r="BP221" s="34" t="str">
        <v/>
      </c>
      <c r="BQ221" s="34" t="str">
        <v>3х2,5</v>
      </c>
      <c r="BR221" s="34" t="str">
        <v/>
      </c>
      <c r="BS221" s="34" t="str">
        <v/>
      </c>
      <c r="BT221" s="34" t="str">
        <v/>
      </c>
      <c r="BU221" s="34">
        <v>0</v>
      </c>
      <c r="BV221" s="34">
        <v>242</v>
      </c>
      <c r="BW221" s="34">
        <v>1</v>
      </c>
      <c r="BX221" s="34">
        <v>0</v>
      </c>
      <c r="BY221" s="34" t="str">
        <v>Розетка</v>
      </c>
      <c r="BZ221">
        <v>10</v>
      </c>
      <c r="CA221" t="str">
        <v>линии</v>
      </c>
    </row>
    <row r="222" spans="1:79" x14ac:dyDescent="0.3">
      <c r="A222" s="39" t="str">
        <v>ЩР-1</v>
      </c>
      <c r="B222" s="42">
        <v>31</v>
      </c>
      <c r="C222" s="42">
        <v>2</v>
      </c>
      <c r="D222" s="75" t="str">
        <v/>
      </c>
      <c r="E222" s="75" t="str">
        <v>авто</v>
      </c>
      <c r="F222" s="76" t="str">
        <v/>
      </c>
      <c r="G222" s="47" t="str">
        <v>QFD21</v>
      </c>
      <c r="H222" s="47" t="str">
        <v>2P С16А 30мА</v>
      </c>
      <c r="I222" s="75" t="str">
        <v/>
      </c>
      <c r="J222" s="76" t="str">
        <v/>
      </c>
      <c r="K222" s="76" t="str">
        <v/>
      </c>
      <c r="L222" s="75" t="str">
        <v/>
      </c>
      <c r="M222" s="49" t="str">
        <v/>
      </c>
      <c r="N222" s="76" t="str">
        <v/>
      </c>
      <c r="O222" s="49" t="str">
        <v/>
      </c>
      <c r="P222" s="77" t="str">
        <v/>
      </c>
      <c r="Q222" s="53" t="str">
        <v>ВВГнг(А)-LS (3х2,5) L=13-0,06%</v>
      </c>
      <c r="R222" s="54" t="str">
        <v>R.1.003Б.2</v>
      </c>
      <c r="S222" s="55" t="str">
        <v>Розеточная группа Первый этаж Пом. №003Б</v>
      </c>
      <c r="T222" s="56">
        <v>0.12</v>
      </c>
      <c r="U222" s="56">
        <v>0.55000000000000004</v>
      </c>
      <c r="V222" s="42" t="str">
        <v>L3</v>
      </c>
      <c r="W222" s="57" t="str">
        <v>ok</v>
      </c>
      <c r="X222" s="58" t="str">
        <v/>
      </c>
      <c r="Y222" s="75" t="str">
        <v/>
      </c>
      <c r="Z222" s="59">
        <v>0.55000000000000004</v>
      </c>
      <c r="AA222" s="61">
        <v>6</v>
      </c>
      <c r="AB222" s="61">
        <v>25</v>
      </c>
      <c r="AC222" s="61" t="str">
        <v/>
      </c>
      <c r="AD222" s="62" t="str">
        <v>QFD21</v>
      </c>
      <c r="AE222" s="62" t="str">
        <v/>
      </c>
      <c r="AF222" s="34">
        <v>21</v>
      </c>
      <c r="AG222" s="34" t="str">
        <v>QFD21</v>
      </c>
      <c r="AH222" s="34" t="str">
        <v/>
      </c>
      <c r="AI222" s="34" t="str">
        <v/>
      </c>
      <c r="AJ222" s="34" t="str">
        <v>QFD21</v>
      </c>
      <c r="AK222" s="34">
        <v>1</v>
      </c>
      <c r="AL222" s="34" t="str">
        <v>R</v>
      </c>
      <c r="AM222" s="34">
        <v>30</v>
      </c>
      <c r="AN222" s="34">
        <v>0</v>
      </c>
      <c r="AO222" s="34">
        <v>16</v>
      </c>
      <c r="AP222" s="34">
        <v>25</v>
      </c>
      <c r="AQ222" s="34">
        <v>16</v>
      </c>
      <c r="AR222" s="34">
        <v>1</v>
      </c>
      <c r="AS222" s="34">
        <v>1</v>
      </c>
      <c r="AT222" s="34" t="str">
        <v>2P</v>
      </c>
      <c r="AU222" s="34">
        <v>16</v>
      </c>
      <c r="AV222" s="34" t="str">
        <v/>
      </c>
      <c r="AW222" s="34" t="str">
        <v/>
      </c>
      <c r="AX222" s="34" t="str">
        <v/>
      </c>
      <c r="AY222" s="34">
        <v>1</v>
      </c>
      <c r="AZ222" s="34" t="str">
        <v/>
      </c>
      <c r="BA222" s="34">
        <v>0</v>
      </c>
      <c r="BB222" s="34">
        <v>16</v>
      </c>
      <c r="BD222" s="34">
        <v>1</v>
      </c>
      <c r="BE222" s="34">
        <v>0</v>
      </c>
      <c r="BF222" s="34">
        <v>1</v>
      </c>
      <c r="BG222" s="34" t="str">
        <v/>
      </c>
      <c r="BH222" s="34" t="str">
        <v/>
      </c>
      <c r="BI222" s="34" t="str">
        <v/>
      </c>
      <c r="BJ222" s="34" t="str">
        <v/>
      </c>
      <c r="BK222" s="34" t="str">
        <v>SOCKET</v>
      </c>
      <c r="BL222" s="34">
        <v>1</v>
      </c>
      <c r="BM222" s="34" t="str">
        <v/>
      </c>
      <c r="BN222" s="34" t="str">
        <v/>
      </c>
      <c r="BO222" s="34" t="str">
        <v/>
      </c>
      <c r="BP222" s="34" t="str">
        <v/>
      </c>
      <c r="BQ222" s="34" t="str">
        <v>3х2,5</v>
      </c>
      <c r="BR222" s="34" t="str">
        <v/>
      </c>
      <c r="BS222" s="34" t="str">
        <v/>
      </c>
      <c r="BT222" s="34" t="str">
        <v/>
      </c>
      <c r="BU222" s="34">
        <v>0</v>
      </c>
      <c r="BV222" s="34">
        <v>243</v>
      </c>
      <c r="BW222" s="34">
        <v>1</v>
      </c>
      <c r="BX222" s="34">
        <v>0</v>
      </c>
      <c r="BY222" s="34" t="str">
        <v>Розетка</v>
      </c>
      <c r="BZ222">
        <v>10</v>
      </c>
      <c r="CA222" t="str">
        <v>линии</v>
      </c>
    </row>
    <row r="223" spans="1:79" x14ac:dyDescent="0.3">
      <c r="A223" s="39" t="str">
        <v>ЩР-1</v>
      </c>
      <c r="B223" s="42">
        <v>32</v>
      </c>
      <c r="C223" s="42">
        <v>2</v>
      </c>
      <c r="D223" s="75" t="str">
        <v/>
      </c>
      <c r="E223" s="75" t="str">
        <v>авто</v>
      </c>
      <c r="F223" s="76" t="str">
        <v/>
      </c>
      <c r="G223" s="47" t="str">
        <v>QFD22</v>
      </c>
      <c r="H223" s="47" t="str">
        <v>2P С16А 30мА</v>
      </c>
      <c r="I223" s="75" t="str">
        <v/>
      </c>
      <c r="J223" s="76" t="str">
        <v/>
      </c>
      <c r="K223" s="76" t="str">
        <v/>
      </c>
      <c r="L223" s="75" t="str">
        <v/>
      </c>
      <c r="M223" s="49" t="str">
        <v/>
      </c>
      <c r="N223" s="76" t="str">
        <v/>
      </c>
      <c r="O223" s="49" t="str">
        <v/>
      </c>
      <c r="P223" s="77" t="str">
        <v/>
      </c>
      <c r="Q223" s="53" t="str">
        <v>ВВГнг(А)-LS (3х2,5) L=32-0,07%</v>
      </c>
      <c r="R223" s="54" t="str">
        <v>R.1.003Г.1</v>
      </c>
      <c r="S223" s="55" t="str">
        <v>Розеточная группа Первый этаж Пом. №003Г</v>
      </c>
      <c r="T223" s="56">
        <v>0.06</v>
      </c>
      <c r="U223" s="56">
        <v>0.28000000000000003</v>
      </c>
      <c r="V223" s="42" t="str">
        <v>L1</v>
      </c>
      <c r="W223" s="57" t="str">
        <v>ok</v>
      </c>
      <c r="X223" s="58" t="str">
        <v/>
      </c>
      <c r="Y223" s="75" t="str">
        <v/>
      </c>
      <c r="Z223" s="59">
        <v>0.28000000000000003</v>
      </c>
      <c r="AA223" s="61">
        <v>6</v>
      </c>
      <c r="AB223" s="61">
        <v>25</v>
      </c>
      <c r="AC223" s="61" t="str">
        <v/>
      </c>
      <c r="AD223" s="62" t="str">
        <v>QFD22</v>
      </c>
      <c r="AE223" s="62" t="str">
        <v/>
      </c>
      <c r="AF223" s="34">
        <v>22</v>
      </c>
      <c r="AG223" s="34" t="str">
        <v>QFD22</v>
      </c>
      <c r="AH223" s="34" t="str">
        <v/>
      </c>
      <c r="AI223" s="34" t="str">
        <v/>
      </c>
      <c r="AJ223" s="34" t="str">
        <v>QFD22</v>
      </c>
      <c r="AK223" s="34">
        <v>1</v>
      </c>
      <c r="AL223" s="34" t="str">
        <v>R</v>
      </c>
      <c r="AM223" s="34">
        <v>30</v>
      </c>
      <c r="AN223" s="34">
        <v>0</v>
      </c>
      <c r="AO223" s="34">
        <v>16</v>
      </c>
      <c r="AP223" s="34">
        <v>25</v>
      </c>
      <c r="AQ223" s="34">
        <v>16</v>
      </c>
      <c r="AR223" s="34">
        <v>1</v>
      </c>
      <c r="AS223" s="34">
        <v>1</v>
      </c>
      <c r="AT223" s="34" t="str">
        <v>2P</v>
      </c>
      <c r="AU223" s="34">
        <v>16</v>
      </c>
      <c r="AV223" s="34" t="str">
        <v/>
      </c>
      <c r="AW223" s="34" t="str">
        <v/>
      </c>
      <c r="AX223" s="34" t="str">
        <v/>
      </c>
      <c r="AY223" s="34">
        <v>1</v>
      </c>
      <c r="AZ223" s="34" t="str">
        <v/>
      </c>
      <c r="BA223" s="34">
        <v>0</v>
      </c>
      <c r="BB223" s="34">
        <v>16</v>
      </c>
      <c r="BD223" s="34">
        <v>1</v>
      </c>
      <c r="BE223" s="34">
        <v>0</v>
      </c>
      <c r="BF223" s="34">
        <v>1</v>
      </c>
      <c r="BG223" s="34" t="str">
        <v/>
      </c>
      <c r="BH223" s="34" t="str">
        <v/>
      </c>
      <c r="BI223" s="34" t="str">
        <v/>
      </c>
      <c r="BJ223" s="34" t="str">
        <v/>
      </c>
      <c r="BK223" s="34" t="str">
        <v>SOCKET</v>
      </c>
      <c r="BL223" s="34">
        <v>1</v>
      </c>
      <c r="BM223" s="34" t="str">
        <v/>
      </c>
      <c r="BN223" s="34" t="str">
        <v/>
      </c>
      <c r="BO223" s="34" t="str">
        <v/>
      </c>
      <c r="BP223" s="34" t="str">
        <v/>
      </c>
      <c r="BQ223" s="34" t="str">
        <v>3х2,5</v>
      </c>
      <c r="BR223" s="34" t="str">
        <v/>
      </c>
      <c r="BS223" s="34" t="str">
        <v/>
      </c>
      <c r="BT223" s="34" t="str">
        <v/>
      </c>
      <c r="BU223" s="34">
        <v>0</v>
      </c>
      <c r="BV223" s="34">
        <v>244</v>
      </c>
      <c r="BW223" s="34">
        <v>1</v>
      </c>
      <c r="BX223" s="34">
        <v>0</v>
      </c>
      <c r="BY223" s="34" t="str">
        <v>Розетка</v>
      </c>
      <c r="BZ223">
        <v>10</v>
      </c>
      <c r="CA223" t="str">
        <v>линии</v>
      </c>
    </row>
    <row r="224" spans="1:79" x14ac:dyDescent="0.3">
      <c r="A224" s="39" t="str">
        <v>ЩР-1</v>
      </c>
      <c r="B224" s="42">
        <v>33</v>
      </c>
      <c r="C224" s="42">
        <v>2</v>
      </c>
      <c r="D224" s="75" t="str">
        <v/>
      </c>
      <c r="E224" s="75" t="str">
        <v>авто</v>
      </c>
      <c r="F224" s="76" t="str">
        <v/>
      </c>
      <c r="G224" s="47" t="str">
        <v>QFD23</v>
      </c>
      <c r="H224" s="47" t="str">
        <v>2P С16А 30мА</v>
      </c>
      <c r="I224" s="75" t="str">
        <v/>
      </c>
      <c r="J224" s="76" t="str">
        <v/>
      </c>
      <c r="K224" s="76" t="str">
        <v/>
      </c>
      <c r="L224" s="75" t="str">
        <v/>
      </c>
      <c r="M224" s="49" t="str">
        <v/>
      </c>
      <c r="N224" s="76" t="str">
        <v/>
      </c>
      <c r="O224" s="49" t="str">
        <v/>
      </c>
      <c r="P224" s="77" t="str">
        <v/>
      </c>
      <c r="Q224" s="53" t="str">
        <v>ВВГнг(А)-LS (3х2,5) L=75-0,61%</v>
      </c>
      <c r="R224" s="54" t="str">
        <v>R.1.004Aб.1</v>
      </c>
      <c r="S224" s="55" t="str">
        <v>Розеточная группа Первый этаж Пом. №004Aб</v>
      </c>
      <c r="T224" s="56">
        <v>0.24</v>
      </c>
      <c r="U224" s="56">
        <v>1.1000000000000001</v>
      </c>
      <c r="V224" s="42" t="str">
        <v>L2</v>
      </c>
      <c r="W224" s="57" t="str">
        <v>ok</v>
      </c>
      <c r="X224" s="58" t="str">
        <v/>
      </c>
      <c r="Y224" s="75" t="str">
        <v/>
      </c>
      <c r="Z224" s="59">
        <v>1.1000000000000001</v>
      </c>
      <c r="AA224" s="61">
        <v>6</v>
      </c>
      <c r="AB224" s="61">
        <v>25</v>
      </c>
      <c r="AC224" s="61" t="str">
        <v/>
      </c>
      <c r="AD224" s="62" t="str">
        <v>QFD23</v>
      </c>
      <c r="AE224" s="62" t="str">
        <v/>
      </c>
      <c r="AF224" s="34">
        <v>23</v>
      </c>
      <c r="AG224" s="34" t="str">
        <v>QFD23</v>
      </c>
      <c r="AH224" s="34" t="str">
        <v/>
      </c>
      <c r="AI224" s="34" t="str">
        <v/>
      </c>
      <c r="AJ224" s="34" t="str">
        <v>QFD23</v>
      </c>
      <c r="AK224" s="34">
        <v>1</v>
      </c>
      <c r="AL224" s="34" t="str">
        <v>R</v>
      </c>
      <c r="AM224" s="34">
        <v>30</v>
      </c>
      <c r="AN224" s="34">
        <v>0</v>
      </c>
      <c r="AO224" s="34">
        <v>16</v>
      </c>
      <c r="AP224" s="34">
        <v>25</v>
      </c>
      <c r="AQ224" s="34">
        <v>16</v>
      </c>
      <c r="AR224" s="34">
        <v>1</v>
      </c>
      <c r="AS224" s="34">
        <v>1</v>
      </c>
      <c r="AT224" s="34" t="str">
        <v>2P</v>
      </c>
      <c r="AU224" s="34">
        <v>16</v>
      </c>
      <c r="AV224" s="34" t="str">
        <v/>
      </c>
      <c r="AW224" s="34" t="str">
        <v/>
      </c>
      <c r="AX224" s="34" t="str">
        <v/>
      </c>
      <c r="AY224" s="34">
        <v>1</v>
      </c>
      <c r="AZ224" s="34" t="str">
        <v/>
      </c>
      <c r="BA224" s="34">
        <v>0</v>
      </c>
      <c r="BB224" s="34">
        <v>16</v>
      </c>
      <c r="BD224" s="34">
        <v>1</v>
      </c>
      <c r="BE224" s="34">
        <v>0</v>
      </c>
      <c r="BF224" s="34">
        <v>1</v>
      </c>
      <c r="BG224" s="34" t="str">
        <v/>
      </c>
      <c r="BH224" s="34" t="str">
        <v/>
      </c>
      <c r="BI224" s="34" t="str">
        <v/>
      </c>
      <c r="BJ224" s="34" t="str">
        <v/>
      </c>
      <c r="BK224" s="34" t="str">
        <v>SOCKET</v>
      </c>
      <c r="BL224" s="34">
        <v>1</v>
      </c>
      <c r="BM224" s="34" t="str">
        <v/>
      </c>
      <c r="BN224" s="34" t="str">
        <v/>
      </c>
      <c r="BO224" s="34" t="str">
        <v/>
      </c>
      <c r="BP224" s="34" t="str">
        <v/>
      </c>
      <c r="BQ224" s="34" t="str">
        <v>3х2,5</v>
      </c>
      <c r="BR224" s="34" t="str">
        <v/>
      </c>
      <c r="BS224" s="34" t="str">
        <v/>
      </c>
      <c r="BT224" s="34" t="str">
        <v/>
      </c>
      <c r="BU224" s="34">
        <v>0</v>
      </c>
      <c r="BV224" s="34">
        <v>245</v>
      </c>
      <c r="BW224" s="34">
        <v>1</v>
      </c>
      <c r="BX224" s="34">
        <v>0</v>
      </c>
      <c r="BY224" s="34" t="str">
        <v>Розетка</v>
      </c>
      <c r="BZ224">
        <v>10</v>
      </c>
      <c r="CA224" t="str">
        <v>линии</v>
      </c>
    </row>
    <row r="225" spans="1:79" x14ac:dyDescent="0.3">
      <c r="A225" s="39" t="str">
        <v>ЩР-1</v>
      </c>
      <c r="B225" s="42">
        <v>36</v>
      </c>
      <c r="C225" s="42">
        <v>3</v>
      </c>
      <c r="D225" s="75" t="str">
        <v/>
      </c>
      <c r="E225" s="75" t="str">
        <v>авто</v>
      </c>
      <c r="F225" s="76" t="str">
        <v/>
      </c>
      <c r="G225" s="47" t="str">
        <v>QFD24</v>
      </c>
      <c r="H225" s="47" t="str">
        <v>2P С16А 30мА</v>
      </c>
      <c r="I225" s="75" t="str">
        <v/>
      </c>
      <c r="J225" s="76" t="str">
        <v/>
      </c>
      <c r="K225" s="76" t="str">
        <v/>
      </c>
      <c r="L225" s="75" t="str">
        <v/>
      </c>
      <c r="M225" s="49" t="str">
        <v/>
      </c>
      <c r="N225" s="76" t="str">
        <v/>
      </c>
      <c r="O225" s="49" t="str">
        <v/>
      </c>
      <c r="P225" s="77" t="str">
        <v>XT24</v>
      </c>
      <c r="Q225" s="53" t="str">
        <v>ВВГнг(А)-LS (3х2,5) L=31-0,07%</v>
      </c>
      <c r="R225" s="54" t="str">
        <v>R.1.005A.1</v>
      </c>
      <c r="S225" s="55" t="str">
        <v>Розеточная группа Первый этаж Пом. №005A</v>
      </c>
      <c r="T225" s="56">
        <v>0.06</v>
      </c>
      <c r="U225" s="56">
        <v>0.28000000000000003</v>
      </c>
      <c r="V225" s="42" t="str">
        <v>L2</v>
      </c>
      <c r="W225" s="57" t="str">
        <v>ok</v>
      </c>
      <c r="X225" s="58" t="str">
        <v/>
      </c>
      <c r="Y225" s="75" t="str">
        <v/>
      </c>
      <c r="Z225" s="59">
        <v>0.28000000000000003</v>
      </c>
      <c r="AA225" s="61">
        <v>6</v>
      </c>
      <c r="AB225" s="61">
        <v>25</v>
      </c>
      <c r="AC225" s="61" t="str">
        <v/>
      </c>
      <c r="AD225" s="62" t="str">
        <v>QFD24 → XT24</v>
      </c>
      <c r="AE225" s="62" t="str">
        <v/>
      </c>
      <c r="AF225" s="34">
        <v>24</v>
      </c>
      <c r="AG225" s="34" t="str">
        <v>QFD24</v>
      </c>
      <c r="AH225" s="34" t="str">
        <v/>
      </c>
      <c r="AI225" s="34" t="str">
        <v/>
      </c>
      <c r="AJ225" s="34" t="str">
        <v>QFD24</v>
      </c>
      <c r="AK225" s="34">
        <v>1</v>
      </c>
      <c r="AL225" s="34" t="str">
        <v>R</v>
      </c>
      <c r="AM225" s="34">
        <v>30</v>
      </c>
      <c r="AN225" s="34">
        <v>0</v>
      </c>
      <c r="AO225" s="34">
        <v>16</v>
      </c>
      <c r="AP225" s="34">
        <v>25</v>
      </c>
      <c r="AQ225" s="34">
        <v>16</v>
      </c>
      <c r="AR225" s="34">
        <v>1</v>
      </c>
      <c r="AS225" s="34">
        <v>1</v>
      </c>
      <c r="AT225" s="34" t="str">
        <v>2P</v>
      </c>
      <c r="AU225" s="34">
        <v>16</v>
      </c>
      <c r="AV225" s="34" t="str">
        <v/>
      </c>
      <c r="AW225" s="34" t="str">
        <v/>
      </c>
      <c r="AX225" s="34" t="str">
        <v/>
      </c>
      <c r="AY225" s="34">
        <v>1</v>
      </c>
      <c r="AZ225" s="34" t="str">
        <v/>
      </c>
      <c r="BA225" s="34">
        <v>0</v>
      </c>
      <c r="BB225" s="34">
        <v>16</v>
      </c>
      <c r="BD225" s="34">
        <v>1</v>
      </c>
      <c r="BE225" s="34">
        <v>0</v>
      </c>
      <c r="BF225" s="34">
        <v>1</v>
      </c>
      <c r="BG225" s="34" t="str">
        <v/>
      </c>
      <c r="BH225" s="34" t="str">
        <v/>
      </c>
      <c r="BI225" s="34" t="str">
        <v/>
      </c>
      <c r="BJ225" s="34" t="str">
        <v/>
      </c>
      <c r="BK225" s="34" t="str">
        <v>SOCKET</v>
      </c>
      <c r="BL225" s="34">
        <v>1</v>
      </c>
      <c r="BM225" s="34" t="str">
        <v/>
      </c>
      <c r="BN225" s="34" t="str">
        <v/>
      </c>
      <c r="BO225" s="34" t="str">
        <v/>
      </c>
      <c r="BP225" s="34" t="str">
        <v/>
      </c>
      <c r="BQ225" s="34" t="str">
        <v>3х2,5</v>
      </c>
      <c r="BR225" s="34" t="str">
        <v/>
      </c>
      <c r="BS225" s="34" t="str">
        <v/>
      </c>
      <c r="BT225" s="34" t="str">
        <v/>
      </c>
      <c r="BU225" s="34">
        <v>0</v>
      </c>
      <c r="BV225" s="34">
        <v>246</v>
      </c>
      <c r="BW225" s="34">
        <v>1</v>
      </c>
      <c r="BX225" s="34">
        <v>0</v>
      </c>
      <c r="BY225" s="34" t="str">
        <v>Розетка</v>
      </c>
      <c r="BZ225">
        <v>10</v>
      </c>
      <c r="CA225" t="str">
        <v>линии</v>
      </c>
    </row>
    <row r="226" spans="1:79" x14ac:dyDescent="0.3">
      <c r="A226" s="39" t="str">
        <v>ЩР-1</v>
      </c>
      <c r="B226" s="42">
        <v>37</v>
      </c>
      <c r="C226" s="42">
        <v>3</v>
      </c>
      <c r="D226" s="75" t="str">
        <v/>
      </c>
      <c r="E226" s="75" t="str">
        <v>авто</v>
      </c>
      <c r="F226" s="76" t="str">
        <v/>
      </c>
      <c r="G226" s="47" t="str">
        <v>QFD25</v>
      </c>
      <c r="H226" s="47" t="str">
        <v>2P С16А 30мА</v>
      </c>
      <c r="I226" s="75" t="str">
        <v/>
      </c>
      <c r="J226" s="76" t="str">
        <v/>
      </c>
      <c r="K226" s="76" t="str">
        <v/>
      </c>
      <c r="L226" s="75" t="str">
        <v/>
      </c>
      <c r="M226" s="49" t="str">
        <v/>
      </c>
      <c r="N226" s="76" t="str">
        <v/>
      </c>
      <c r="O226" s="49" t="str">
        <v/>
      </c>
      <c r="P226" s="77" t="str">
        <v>XT25</v>
      </c>
      <c r="Q226" s="53" t="str">
        <v>ВВГнг(А)-LS (3х2,5) L=54-0,22%</v>
      </c>
      <c r="R226" s="54" t="str">
        <v>R.1.006A.1</v>
      </c>
      <c r="S226" s="55" t="str">
        <v>Розеточная группа Первый этаж Пом. №006A</v>
      </c>
      <c r="T226" s="56">
        <v>0.12</v>
      </c>
      <c r="U226" s="56">
        <v>0.55000000000000004</v>
      </c>
      <c r="V226" s="42" t="str">
        <v>L2</v>
      </c>
      <c r="W226" s="57" t="str">
        <v>ok</v>
      </c>
      <c r="X226" s="58" t="str">
        <v/>
      </c>
      <c r="Y226" s="75" t="str">
        <v/>
      </c>
      <c r="Z226" s="59">
        <v>0.55000000000000004</v>
      </c>
      <c r="AA226" s="61">
        <v>6</v>
      </c>
      <c r="AB226" s="61">
        <v>25</v>
      </c>
      <c r="AC226" s="61" t="str">
        <v/>
      </c>
      <c r="AD226" s="62" t="str">
        <v>QFD25 → XT25</v>
      </c>
      <c r="AE226" s="62" t="str">
        <v/>
      </c>
      <c r="AF226" s="34">
        <v>25</v>
      </c>
      <c r="AG226" s="34" t="str">
        <v>QFD25</v>
      </c>
      <c r="AH226" s="34" t="str">
        <v/>
      </c>
      <c r="AI226" s="34" t="str">
        <v/>
      </c>
      <c r="AJ226" s="34" t="str">
        <v>QFD25</v>
      </c>
      <c r="AK226" s="34">
        <v>1</v>
      </c>
      <c r="AL226" s="34" t="str">
        <v>R</v>
      </c>
      <c r="AM226" s="34">
        <v>30</v>
      </c>
      <c r="AN226" s="34">
        <v>0</v>
      </c>
      <c r="AO226" s="34">
        <v>16</v>
      </c>
      <c r="AP226" s="34">
        <v>25</v>
      </c>
      <c r="AQ226" s="34">
        <v>16</v>
      </c>
      <c r="AR226" s="34">
        <v>1</v>
      </c>
      <c r="AS226" s="34">
        <v>1</v>
      </c>
      <c r="AT226" s="34" t="str">
        <v>2P</v>
      </c>
      <c r="AU226" s="34">
        <v>16</v>
      </c>
      <c r="AV226" s="34" t="str">
        <v/>
      </c>
      <c r="AW226" s="34" t="str">
        <v/>
      </c>
      <c r="AX226" s="34" t="str">
        <v/>
      </c>
      <c r="AY226" s="34">
        <v>1</v>
      </c>
      <c r="AZ226" s="34" t="str">
        <v/>
      </c>
      <c r="BA226" s="34">
        <v>0</v>
      </c>
      <c r="BB226" s="34">
        <v>16</v>
      </c>
      <c r="BD226" s="34">
        <v>1</v>
      </c>
      <c r="BE226" s="34">
        <v>0</v>
      </c>
      <c r="BF226" s="34">
        <v>1</v>
      </c>
      <c r="BG226" s="34" t="str">
        <v/>
      </c>
      <c r="BH226" s="34" t="str">
        <v/>
      </c>
      <c r="BI226" s="34" t="str">
        <v/>
      </c>
      <c r="BJ226" s="34" t="str">
        <v/>
      </c>
      <c r="BK226" s="34" t="str">
        <v>SOCKET</v>
      </c>
      <c r="BL226" s="34">
        <v>1</v>
      </c>
      <c r="BM226" s="34" t="str">
        <v/>
      </c>
      <c r="BN226" s="34" t="str">
        <v/>
      </c>
      <c r="BO226" s="34" t="str">
        <v/>
      </c>
      <c r="BP226" s="34" t="str">
        <v/>
      </c>
      <c r="BQ226" s="34" t="str">
        <v>3х2,5</v>
      </c>
      <c r="BR226" s="34" t="str">
        <v/>
      </c>
      <c r="BS226" s="34" t="str">
        <v/>
      </c>
      <c r="BT226" s="34" t="str">
        <v/>
      </c>
      <c r="BU226" s="34">
        <v>0</v>
      </c>
      <c r="BV226" s="34">
        <v>247</v>
      </c>
      <c r="BW226" s="34">
        <v>1</v>
      </c>
      <c r="BX226" s="34">
        <v>0</v>
      </c>
      <c r="BY226" s="34" t="str">
        <v>Розетка</v>
      </c>
      <c r="BZ226">
        <v>10</v>
      </c>
      <c r="CA226" t="str">
        <v>линии</v>
      </c>
    </row>
    <row r="227" spans="1:79" x14ac:dyDescent="0.3">
      <c r="A227" s="39" t="str">
        <v>ЩР-1</v>
      </c>
      <c r="B227" s="42">
        <v>38</v>
      </c>
      <c r="C227" s="42">
        <v>3</v>
      </c>
      <c r="D227" s="75" t="str">
        <v/>
      </c>
      <c r="E227" s="75" t="str">
        <v>авто</v>
      </c>
      <c r="F227" s="76" t="str">
        <v/>
      </c>
      <c r="G227" s="47" t="str">
        <v>QFD26</v>
      </c>
      <c r="H227" s="47" t="str">
        <v>2P С16А 30мА</v>
      </c>
      <c r="I227" s="75" t="str">
        <v/>
      </c>
      <c r="J227" s="76" t="str">
        <v/>
      </c>
      <c r="K227" s="76" t="str">
        <v/>
      </c>
      <c r="L227" s="75" t="str">
        <v/>
      </c>
      <c r="M227" s="49" t="str">
        <v/>
      </c>
      <c r="N227" s="76" t="str">
        <v/>
      </c>
      <c r="O227" s="49" t="str">
        <v/>
      </c>
      <c r="P227" s="77" t="str">
        <v/>
      </c>
      <c r="Q227" s="53" t="str">
        <v>ВВГнг(А)-LS (3х2,5) L=106-0,87%</v>
      </c>
      <c r="R227" s="54" t="str">
        <v>R.1.006Aб.1</v>
      </c>
      <c r="S227" s="55" t="str">
        <v>Розеточная группа Первый этаж Пом. №006Aб</v>
      </c>
      <c r="T227" s="56">
        <v>0.24</v>
      </c>
      <c r="U227" s="56">
        <v>1.1000000000000001</v>
      </c>
      <c r="V227" s="42" t="str">
        <v>L1</v>
      </c>
      <c r="W227" s="57" t="str">
        <v>ok</v>
      </c>
      <c r="X227" s="58" t="str">
        <v/>
      </c>
      <c r="Y227" s="75" t="str">
        <v/>
      </c>
      <c r="Z227" s="59">
        <v>1.1000000000000001</v>
      </c>
      <c r="AA227" s="61">
        <v>6</v>
      </c>
      <c r="AB227" s="61">
        <v>25</v>
      </c>
      <c r="AC227" s="61" t="str">
        <v/>
      </c>
      <c r="AD227" s="62" t="str">
        <v>QFD26</v>
      </c>
      <c r="AE227" s="62" t="str">
        <v/>
      </c>
      <c r="AF227" s="34">
        <v>26</v>
      </c>
      <c r="AG227" s="34" t="str">
        <v>QFD26</v>
      </c>
      <c r="AH227" s="34" t="str">
        <v/>
      </c>
      <c r="AI227" s="34" t="str">
        <v/>
      </c>
      <c r="AJ227" s="34" t="str">
        <v>QFD26</v>
      </c>
      <c r="AK227" s="34">
        <v>1</v>
      </c>
      <c r="AL227" s="34" t="str">
        <v>R</v>
      </c>
      <c r="AM227" s="34">
        <v>30</v>
      </c>
      <c r="AN227" s="34">
        <v>0</v>
      </c>
      <c r="AO227" s="34">
        <v>16</v>
      </c>
      <c r="AP227" s="34">
        <v>25</v>
      </c>
      <c r="AQ227" s="34">
        <v>16</v>
      </c>
      <c r="AR227" s="34">
        <v>1</v>
      </c>
      <c r="AS227" s="34">
        <v>1</v>
      </c>
      <c r="AT227" s="34" t="str">
        <v>2P</v>
      </c>
      <c r="AU227" s="34">
        <v>16</v>
      </c>
      <c r="AV227" s="34" t="str">
        <v/>
      </c>
      <c r="AW227" s="34" t="str">
        <v/>
      </c>
      <c r="AX227" s="34" t="str">
        <v/>
      </c>
      <c r="AY227" s="34">
        <v>1</v>
      </c>
      <c r="AZ227" s="34" t="str">
        <v/>
      </c>
      <c r="BA227" s="34">
        <v>0</v>
      </c>
      <c r="BB227" s="34">
        <v>16</v>
      </c>
      <c r="BD227" s="34">
        <v>1</v>
      </c>
      <c r="BE227" s="34">
        <v>0</v>
      </c>
      <c r="BF227" s="34">
        <v>1</v>
      </c>
      <c r="BG227" s="34" t="str">
        <v/>
      </c>
      <c r="BH227" s="34" t="str">
        <v/>
      </c>
      <c r="BI227" s="34" t="str">
        <v/>
      </c>
      <c r="BJ227" s="34" t="str">
        <v/>
      </c>
      <c r="BK227" s="34" t="str">
        <v>SOCKET</v>
      </c>
      <c r="BL227" s="34">
        <v>1</v>
      </c>
      <c r="BM227" s="34" t="str">
        <v/>
      </c>
      <c r="BN227" s="34" t="str">
        <v/>
      </c>
      <c r="BO227" s="34" t="str">
        <v/>
      </c>
      <c r="BP227" s="34" t="str">
        <v/>
      </c>
      <c r="BQ227" s="34" t="str">
        <v>3х2,5</v>
      </c>
      <c r="BR227" s="34" t="str">
        <v/>
      </c>
      <c r="BS227" s="34" t="str">
        <v/>
      </c>
      <c r="BT227" s="34" t="str">
        <v/>
      </c>
      <c r="BU227" s="34">
        <v>0</v>
      </c>
      <c r="BV227" s="34">
        <v>248</v>
      </c>
      <c r="BW227" s="34">
        <v>1</v>
      </c>
      <c r="BX227" s="34">
        <v>0</v>
      </c>
      <c r="BY227" s="34" t="str">
        <v>Розетка</v>
      </c>
      <c r="BZ227">
        <v>10</v>
      </c>
      <c r="CA227" t="str">
        <v>линии</v>
      </c>
    </row>
    <row r="228" spans="1:79" x14ac:dyDescent="0.3">
      <c r="A228" s="39" t="str">
        <v>ЩР-1</v>
      </c>
      <c r="B228" s="42">
        <v>39</v>
      </c>
      <c r="C228" s="42">
        <v>3</v>
      </c>
      <c r="D228" s="75" t="str">
        <v/>
      </c>
      <c r="E228" s="75" t="str">
        <v>авто</v>
      </c>
      <c r="F228" s="76" t="str">
        <v/>
      </c>
      <c r="G228" s="47" t="str">
        <v>QFD27</v>
      </c>
      <c r="H228" s="47" t="str">
        <v>2P С16А 30мА</v>
      </c>
      <c r="I228" s="75" t="str">
        <v/>
      </c>
      <c r="J228" s="76" t="str">
        <v/>
      </c>
      <c r="K228" s="76" t="str">
        <v/>
      </c>
      <c r="L228" s="75" t="str">
        <v/>
      </c>
      <c r="M228" s="49" t="str">
        <v/>
      </c>
      <c r="N228" s="76" t="str">
        <v/>
      </c>
      <c r="O228" s="49" t="str">
        <v/>
      </c>
      <c r="P228" s="77" t="str">
        <v/>
      </c>
      <c r="Q228" s="53" t="str">
        <v>ВВГнг(А)-LS (3х2,5) L=124-1,27%</v>
      </c>
      <c r="R228" s="54" t="str">
        <v>R.1.006Aб.2</v>
      </c>
      <c r="S228" s="55" t="str">
        <v>Розеточная группа Первый этаж Пом. №006Aб</v>
      </c>
      <c r="T228" s="56">
        <v>0.3</v>
      </c>
      <c r="U228" s="56">
        <v>1.37</v>
      </c>
      <c r="V228" s="42" t="str">
        <v>L2</v>
      </c>
      <c r="W228" s="57" t="str">
        <v>ok</v>
      </c>
      <c r="X228" s="58" t="str">
        <v/>
      </c>
      <c r="Y228" s="75" t="str">
        <v/>
      </c>
      <c r="Z228" s="59">
        <v>1.37</v>
      </c>
      <c r="AA228" s="61">
        <v>6</v>
      </c>
      <c r="AB228" s="61">
        <v>25</v>
      </c>
      <c r="AC228" s="61" t="str">
        <v/>
      </c>
      <c r="AD228" s="62" t="str">
        <v>QFD27</v>
      </c>
      <c r="AE228" s="62" t="str">
        <v/>
      </c>
      <c r="AF228" s="34">
        <v>27</v>
      </c>
      <c r="AG228" s="34" t="str">
        <v>QFD27</v>
      </c>
      <c r="AH228" s="34" t="str">
        <v/>
      </c>
      <c r="AI228" s="34" t="str">
        <v/>
      </c>
      <c r="AJ228" s="34" t="str">
        <v>QFD27</v>
      </c>
      <c r="AK228" s="34">
        <v>1</v>
      </c>
      <c r="AL228" s="34" t="str">
        <v>R</v>
      </c>
      <c r="AM228" s="34">
        <v>30</v>
      </c>
      <c r="AN228" s="34">
        <v>0</v>
      </c>
      <c r="AO228" s="34">
        <v>16</v>
      </c>
      <c r="AP228" s="34">
        <v>25</v>
      </c>
      <c r="AQ228" s="34">
        <v>16</v>
      </c>
      <c r="AR228" s="34">
        <v>1</v>
      </c>
      <c r="AS228" s="34">
        <v>1</v>
      </c>
      <c r="AT228" s="34" t="str">
        <v>2P</v>
      </c>
      <c r="AU228" s="34">
        <v>16</v>
      </c>
      <c r="AV228" s="34" t="str">
        <v/>
      </c>
      <c r="AW228" s="34" t="str">
        <v/>
      </c>
      <c r="AX228" s="34" t="str">
        <v/>
      </c>
      <c r="AY228" s="34">
        <v>1</v>
      </c>
      <c r="AZ228" s="34" t="str">
        <v/>
      </c>
      <c r="BA228" s="34">
        <v>0</v>
      </c>
      <c r="BB228" s="34">
        <v>16</v>
      </c>
      <c r="BD228" s="34">
        <v>1</v>
      </c>
      <c r="BE228" s="34">
        <v>0</v>
      </c>
      <c r="BF228" s="34">
        <v>1</v>
      </c>
      <c r="BG228" s="34" t="str">
        <v/>
      </c>
      <c r="BH228" s="34" t="str">
        <v/>
      </c>
      <c r="BI228" s="34" t="str">
        <v/>
      </c>
      <c r="BJ228" s="34" t="str">
        <v/>
      </c>
      <c r="BK228" s="34" t="str">
        <v>SOCKET</v>
      </c>
      <c r="BL228" s="34">
        <v>1</v>
      </c>
      <c r="BM228" s="34" t="str">
        <v/>
      </c>
      <c r="BN228" s="34" t="str">
        <v/>
      </c>
      <c r="BO228" s="34" t="str">
        <v/>
      </c>
      <c r="BP228" s="34" t="str">
        <v/>
      </c>
      <c r="BQ228" s="34" t="str">
        <v>3х2,5</v>
      </c>
      <c r="BR228" s="34" t="str">
        <v/>
      </c>
      <c r="BS228" s="34" t="str">
        <v/>
      </c>
      <c r="BT228" s="34" t="str">
        <v/>
      </c>
      <c r="BU228" s="34">
        <v>0</v>
      </c>
      <c r="BV228" s="34">
        <v>249</v>
      </c>
      <c r="BW228" s="34">
        <v>1</v>
      </c>
      <c r="BX228" s="34">
        <v>0</v>
      </c>
      <c r="BY228" s="34" t="str">
        <v>Розетка</v>
      </c>
      <c r="BZ228">
        <v>10</v>
      </c>
      <c r="CA228" t="str">
        <v>линии</v>
      </c>
    </row>
    <row r="229" spans="1:79" x14ac:dyDescent="0.3">
      <c r="A229" s="39" t="str">
        <v>ЩР-1</v>
      </c>
      <c r="B229" s="42">
        <v>40</v>
      </c>
      <c r="C229" s="42">
        <v>3</v>
      </c>
      <c r="D229" s="75" t="str">
        <v/>
      </c>
      <c r="E229" s="75" t="str">
        <v>авто</v>
      </c>
      <c r="F229" s="76" t="str">
        <v/>
      </c>
      <c r="G229" s="47" t="str">
        <v>QFD28</v>
      </c>
      <c r="H229" s="47" t="str">
        <v>2P С16А 30мА</v>
      </c>
      <c r="I229" s="75" t="str">
        <v/>
      </c>
      <c r="J229" s="76" t="str">
        <v/>
      </c>
      <c r="K229" s="76" t="str">
        <v/>
      </c>
      <c r="L229" s="75" t="str">
        <v/>
      </c>
      <c r="M229" s="49" t="str">
        <v/>
      </c>
      <c r="N229" s="76" t="str">
        <v/>
      </c>
      <c r="O229" s="49" t="str">
        <v/>
      </c>
      <c r="P229" s="77" t="str">
        <v/>
      </c>
      <c r="Q229" s="53" t="str">
        <v>ВВГнг(А)-LS (3х2,5) L=45-0,37%</v>
      </c>
      <c r="R229" s="54" t="str">
        <v>R.1.007A.1</v>
      </c>
      <c r="S229" s="55" t="str">
        <v>Розеточная группа Первый этаж Пом. №007A</v>
      </c>
      <c r="T229" s="56">
        <v>0.24</v>
      </c>
      <c r="U229" s="56">
        <v>1.1000000000000001</v>
      </c>
      <c r="V229" s="42" t="str">
        <v>L2</v>
      </c>
      <c r="W229" s="57" t="str">
        <v>ok</v>
      </c>
      <c r="X229" s="58" t="str">
        <v/>
      </c>
      <c r="Y229" s="75" t="str">
        <v/>
      </c>
      <c r="Z229" s="59">
        <v>1.1000000000000001</v>
      </c>
      <c r="AA229" s="61">
        <v>6</v>
      </c>
      <c r="AB229" s="61">
        <v>25</v>
      </c>
      <c r="AC229" s="61" t="str">
        <v/>
      </c>
      <c r="AD229" s="62" t="str">
        <v>QFD28</v>
      </c>
      <c r="AE229" s="62" t="str">
        <v/>
      </c>
      <c r="AF229" s="34">
        <v>28</v>
      </c>
      <c r="AG229" s="34" t="str">
        <v>QFD28</v>
      </c>
      <c r="AH229" s="34" t="str">
        <v/>
      </c>
      <c r="AI229" s="34" t="str">
        <v/>
      </c>
      <c r="AJ229" s="34" t="str">
        <v>QFD28</v>
      </c>
      <c r="AK229" s="34">
        <v>1</v>
      </c>
      <c r="AL229" s="34" t="str">
        <v>R</v>
      </c>
      <c r="AM229" s="34">
        <v>30</v>
      </c>
      <c r="AN229" s="34">
        <v>0</v>
      </c>
      <c r="AO229" s="34">
        <v>16</v>
      </c>
      <c r="AP229" s="34">
        <v>25</v>
      </c>
      <c r="AQ229" s="34">
        <v>16</v>
      </c>
      <c r="AR229" s="34">
        <v>1</v>
      </c>
      <c r="AS229" s="34">
        <v>1</v>
      </c>
      <c r="AT229" s="34" t="str">
        <v>2P</v>
      </c>
      <c r="AU229" s="34">
        <v>16</v>
      </c>
      <c r="AV229" s="34" t="str">
        <v/>
      </c>
      <c r="AW229" s="34" t="str">
        <v/>
      </c>
      <c r="AX229" s="34" t="str">
        <v/>
      </c>
      <c r="AY229" s="34">
        <v>1</v>
      </c>
      <c r="AZ229" s="34" t="str">
        <v/>
      </c>
      <c r="BA229" s="34">
        <v>0</v>
      </c>
      <c r="BB229" s="34">
        <v>16</v>
      </c>
      <c r="BD229" s="34">
        <v>1</v>
      </c>
      <c r="BE229" s="34">
        <v>0</v>
      </c>
      <c r="BF229" s="34">
        <v>1</v>
      </c>
      <c r="BG229" s="34" t="str">
        <v/>
      </c>
      <c r="BH229" s="34" t="str">
        <v/>
      </c>
      <c r="BI229" s="34" t="str">
        <v/>
      </c>
      <c r="BJ229" s="34" t="str">
        <v/>
      </c>
      <c r="BK229" s="34" t="str">
        <v>SOCKET</v>
      </c>
      <c r="BL229" s="34">
        <v>1</v>
      </c>
      <c r="BM229" s="34" t="str">
        <v/>
      </c>
      <c r="BN229" s="34" t="str">
        <v/>
      </c>
      <c r="BO229" s="34" t="str">
        <v/>
      </c>
      <c r="BP229" s="34" t="str">
        <v/>
      </c>
      <c r="BQ229" s="34" t="str">
        <v>3х2,5</v>
      </c>
      <c r="BR229" s="34" t="str">
        <v/>
      </c>
      <c r="BS229" s="34" t="str">
        <v/>
      </c>
      <c r="BT229" s="34" t="str">
        <v/>
      </c>
      <c r="BU229" s="34">
        <v>0</v>
      </c>
      <c r="BV229" s="34">
        <v>250</v>
      </c>
      <c r="BW229" s="34">
        <v>1</v>
      </c>
      <c r="BX229" s="34">
        <v>0</v>
      </c>
      <c r="BY229" s="34" t="str">
        <v>Розетка</v>
      </c>
      <c r="BZ229">
        <v>10</v>
      </c>
      <c r="CA229" t="str">
        <v>линии</v>
      </c>
    </row>
    <row r="230" spans="1:79" x14ac:dyDescent="0.3">
      <c r="A230" s="39" t="str">
        <v>ЩР-1</v>
      </c>
      <c r="B230" s="42">
        <v>41</v>
      </c>
      <c r="C230" s="42">
        <v>3</v>
      </c>
      <c r="D230" s="75" t="str">
        <v/>
      </c>
      <c r="E230" s="75" t="str">
        <v>авто</v>
      </c>
      <c r="F230" s="76" t="str">
        <v/>
      </c>
      <c r="G230" s="47" t="str">
        <v>QFD29</v>
      </c>
      <c r="H230" s="47" t="str">
        <v>2P С16А 30мА</v>
      </c>
      <c r="I230" s="75" t="str">
        <v/>
      </c>
      <c r="J230" s="76" t="str">
        <v/>
      </c>
      <c r="K230" s="76" t="str">
        <v/>
      </c>
      <c r="L230" s="75" t="str">
        <v/>
      </c>
      <c r="M230" s="49" t="str">
        <v/>
      </c>
      <c r="N230" s="76" t="str">
        <v/>
      </c>
      <c r="O230" s="49" t="str">
        <v/>
      </c>
      <c r="P230" s="77" t="str">
        <v/>
      </c>
      <c r="Q230" s="53" t="str">
        <v>ВВГнг(А)-LS (3х2,5) L=51-0,21%</v>
      </c>
      <c r="R230" s="54" t="str">
        <v>R.1.008A.1</v>
      </c>
      <c r="S230" s="55" t="str">
        <v>Розеточная группа Первый этаж Пом. №008A</v>
      </c>
      <c r="T230" s="56">
        <v>0.12</v>
      </c>
      <c r="U230" s="56">
        <v>0.55000000000000004</v>
      </c>
      <c r="V230" s="42" t="str">
        <v>L1</v>
      </c>
      <c r="W230" s="57" t="str">
        <v>ok</v>
      </c>
      <c r="X230" s="58" t="str">
        <v/>
      </c>
      <c r="Y230" s="75" t="str">
        <v/>
      </c>
      <c r="Z230" s="59">
        <v>0.55000000000000004</v>
      </c>
      <c r="AA230" s="61">
        <v>6</v>
      </c>
      <c r="AB230" s="61">
        <v>25</v>
      </c>
      <c r="AC230" s="61" t="str">
        <v/>
      </c>
      <c r="AD230" s="62" t="str">
        <v>QFD29</v>
      </c>
      <c r="AE230" s="62" t="str">
        <v/>
      </c>
      <c r="AF230" s="34">
        <v>29</v>
      </c>
      <c r="AG230" s="34" t="str">
        <v>QFD29</v>
      </c>
      <c r="AH230" s="34" t="str">
        <v/>
      </c>
      <c r="AI230" s="34" t="str">
        <v/>
      </c>
      <c r="AJ230" s="34" t="str">
        <v>QFD29</v>
      </c>
      <c r="AK230" s="34">
        <v>1</v>
      </c>
      <c r="AL230" s="34" t="str">
        <v>R</v>
      </c>
      <c r="AM230" s="34">
        <v>30</v>
      </c>
      <c r="AN230" s="34">
        <v>0</v>
      </c>
      <c r="AO230" s="34">
        <v>16</v>
      </c>
      <c r="AP230" s="34">
        <v>25</v>
      </c>
      <c r="AQ230" s="34">
        <v>16</v>
      </c>
      <c r="AR230" s="34">
        <v>1</v>
      </c>
      <c r="AS230" s="34">
        <v>1</v>
      </c>
      <c r="AT230" s="34" t="str">
        <v>2P</v>
      </c>
      <c r="AU230" s="34">
        <v>16</v>
      </c>
      <c r="AV230" s="34" t="str">
        <v/>
      </c>
      <c r="AW230" s="34" t="str">
        <v/>
      </c>
      <c r="AX230" s="34" t="str">
        <v/>
      </c>
      <c r="AY230" s="34">
        <v>1</v>
      </c>
      <c r="AZ230" s="34" t="str">
        <v/>
      </c>
      <c r="BA230" s="34">
        <v>0</v>
      </c>
      <c r="BB230" s="34">
        <v>16</v>
      </c>
      <c r="BD230" s="34">
        <v>1</v>
      </c>
      <c r="BE230" s="34">
        <v>0</v>
      </c>
      <c r="BF230" s="34">
        <v>1</v>
      </c>
      <c r="BG230" s="34" t="str">
        <v/>
      </c>
      <c r="BH230" s="34" t="str">
        <v/>
      </c>
      <c r="BI230" s="34" t="str">
        <v/>
      </c>
      <c r="BJ230" s="34" t="str">
        <v/>
      </c>
      <c r="BK230" s="34" t="str">
        <v>SOCKET</v>
      </c>
      <c r="BL230" s="34">
        <v>1</v>
      </c>
      <c r="BM230" s="34" t="str">
        <v/>
      </c>
      <c r="BN230" s="34" t="str">
        <v/>
      </c>
      <c r="BO230" s="34" t="str">
        <v/>
      </c>
      <c r="BP230" s="34" t="str">
        <v/>
      </c>
      <c r="BQ230" s="34" t="str">
        <v>3х2,5</v>
      </c>
      <c r="BR230" s="34" t="str">
        <v/>
      </c>
      <c r="BS230" s="34" t="str">
        <v/>
      </c>
      <c r="BT230" s="34" t="str">
        <v/>
      </c>
      <c r="BU230" s="34">
        <v>0</v>
      </c>
      <c r="BV230" s="34">
        <v>251</v>
      </c>
      <c r="BW230" s="34">
        <v>1</v>
      </c>
      <c r="BX230" s="34">
        <v>0</v>
      </c>
      <c r="BY230" s="34" t="str">
        <v>Розетка</v>
      </c>
      <c r="BZ230">
        <v>10</v>
      </c>
      <c r="CA230" t="str">
        <v>линии</v>
      </c>
    </row>
    <row r="231" spans="1:79" x14ac:dyDescent="0.3">
      <c r="A231" s="39" t="str">
        <v>ЩР-1</v>
      </c>
      <c r="B231" s="42">
        <v>42</v>
      </c>
      <c r="C231" s="42">
        <v>3</v>
      </c>
      <c r="D231" s="75" t="str">
        <v/>
      </c>
      <c r="E231" s="75" t="str">
        <v>авто</v>
      </c>
      <c r="F231" s="76" t="str">
        <v/>
      </c>
      <c r="G231" s="47" t="str">
        <v>QFD30</v>
      </c>
      <c r="H231" s="47" t="str">
        <v>2P С16А 30мА</v>
      </c>
      <c r="I231" s="75" t="str">
        <v/>
      </c>
      <c r="J231" s="76" t="str">
        <v/>
      </c>
      <c r="K231" s="76" t="str">
        <v/>
      </c>
      <c r="L231" s="75" t="str">
        <v/>
      </c>
      <c r="M231" s="49" t="str">
        <v/>
      </c>
      <c r="N231" s="76" t="str">
        <v/>
      </c>
      <c r="O231" s="49" t="str">
        <v/>
      </c>
      <c r="P231" s="77" t="str">
        <v/>
      </c>
      <c r="Q231" s="53" t="str">
        <v>ВВГнг(А)-LS (3х2,5) L=27-0,17%</v>
      </c>
      <c r="R231" s="54" t="str">
        <v>R.1.009A.1</v>
      </c>
      <c r="S231" s="55" t="str">
        <v>Розеточная группа Первый этаж Пом. №009A</v>
      </c>
      <c r="T231" s="56">
        <v>0.18</v>
      </c>
      <c r="U231" s="56">
        <v>0.83</v>
      </c>
      <c r="V231" s="42" t="str">
        <v>L2</v>
      </c>
      <c r="W231" s="57" t="str">
        <v>ok</v>
      </c>
      <c r="X231" s="58" t="str">
        <v/>
      </c>
      <c r="Y231" s="75" t="str">
        <v/>
      </c>
      <c r="Z231" s="59">
        <v>0.83</v>
      </c>
      <c r="AA231" s="61">
        <v>6</v>
      </c>
      <c r="AB231" s="61">
        <v>25</v>
      </c>
      <c r="AC231" s="61" t="str">
        <v/>
      </c>
      <c r="AD231" s="62" t="str">
        <v>QFD30</v>
      </c>
      <c r="AE231" s="62" t="str">
        <v/>
      </c>
      <c r="AF231" s="34">
        <v>30</v>
      </c>
      <c r="AG231" s="34" t="str">
        <v>QFD30</v>
      </c>
      <c r="AH231" s="34" t="str">
        <v/>
      </c>
      <c r="AI231" s="34" t="str">
        <v/>
      </c>
      <c r="AJ231" s="34" t="str">
        <v>QFD30</v>
      </c>
      <c r="AK231" s="34">
        <v>1</v>
      </c>
      <c r="AL231" s="34" t="str">
        <v>R</v>
      </c>
      <c r="AM231" s="34">
        <v>30</v>
      </c>
      <c r="AN231" s="34">
        <v>0</v>
      </c>
      <c r="AO231" s="34">
        <v>16</v>
      </c>
      <c r="AP231" s="34">
        <v>25</v>
      </c>
      <c r="AQ231" s="34">
        <v>16</v>
      </c>
      <c r="AR231" s="34">
        <v>1</v>
      </c>
      <c r="AS231" s="34">
        <v>1</v>
      </c>
      <c r="AT231" s="34" t="str">
        <v>2P</v>
      </c>
      <c r="AU231" s="34">
        <v>16</v>
      </c>
      <c r="AV231" s="34" t="str">
        <v/>
      </c>
      <c r="AW231" s="34" t="str">
        <v/>
      </c>
      <c r="AX231" s="34" t="str">
        <v/>
      </c>
      <c r="AY231" s="34">
        <v>1</v>
      </c>
      <c r="AZ231" s="34" t="str">
        <v/>
      </c>
      <c r="BA231" s="34">
        <v>0</v>
      </c>
      <c r="BB231" s="34">
        <v>16</v>
      </c>
      <c r="BD231" s="34">
        <v>1</v>
      </c>
      <c r="BE231" s="34">
        <v>0</v>
      </c>
      <c r="BF231" s="34">
        <v>1</v>
      </c>
      <c r="BG231" s="34" t="str">
        <v/>
      </c>
      <c r="BH231" s="34" t="str">
        <v/>
      </c>
      <c r="BI231" s="34" t="str">
        <v/>
      </c>
      <c r="BJ231" s="34" t="str">
        <v/>
      </c>
      <c r="BK231" s="34" t="str">
        <v>SOCKET</v>
      </c>
      <c r="BL231" s="34">
        <v>1</v>
      </c>
      <c r="BM231" s="34" t="str">
        <v/>
      </c>
      <c r="BN231" s="34" t="str">
        <v/>
      </c>
      <c r="BO231" s="34" t="str">
        <v/>
      </c>
      <c r="BP231" s="34" t="str">
        <v/>
      </c>
      <c r="BQ231" s="34" t="str">
        <v>3х2,5</v>
      </c>
      <c r="BR231" s="34" t="str">
        <v/>
      </c>
      <c r="BS231" s="34" t="str">
        <v/>
      </c>
      <c r="BT231" s="34" t="str">
        <v/>
      </c>
      <c r="BU231" s="34">
        <v>0</v>
      </c>
      <c r="BV231" s="34">
        <v>252</v>
      </c>
      <c r="BW231" s="34">
        <v>1</v>
      </c>
      <c r="BX231" s="34">
        <v>0</v>
      </c>
      <c r="BY231" s="34" t="str">
        <v>Розетка</v>
      </c>
      <c r="BZ231">
        <v>10</v>
      </c>
      <c r="CA231" t="str">
        <v>линии</v>
      </c>
    </row>
    <row r="232" spans="1:79" x14ac:dyDescent="0.3">
      <c r="A232" s="39" t="str">
        <v>ЩР-1</v>
      </c>
      <c r="B232" s="42">
        <v>43</v>
      </c>
      <c r="C232" s="42">
        <v>3</v>
      </c>
      <c r="D232" s="75" t="str">
        <v/>
      </c>
      <c r="E232" s="75" t="str">
        <v>авто</v>
      </c>
      <c r="F232" s="76" t="str">
        <v/>
      </c>
      <c r="G232" s="47" t="str">
        <v>QFD31</v>
      </c>
      <c r="H232" s="47" t="str">
        <v>2P С16А 30мА</v>
      </c>
      <c r="I232" s="75" t="str">
        <v/>
      </c>
      <c r="J232" s="76" t="str">
        <v/>
      </c>
      <c r="K232" s="76" t="str">
        <v/>
      </c>
      <c r="L232" s="75" t="str">
        <v/>
      </c>
      <c r="M232" s="49" t="str">
        <v/>
      </c>
      <c r="N232" s="76" t="str">
        <v/>
      </c>
      <c r="O232" s="49" t="str">
        <v/>
      </c>
      <c r="P232" s="77" t="str">
        <v/>
      </c>
      <c r="Q232" s="53" t="str">
        <v>ВВГнг(А)-LS (3х2,5) L=45-0,37%</v>
      </c>
      <c r="R232" s="54" t="str">
        <v>R.1.010A.1</v>
      </c>
      <c r="S232" s="55" t="str">
        <v>Розеточная группа Первый этаж Пом. №010A</v>
      </c>
      <c r="T232" s="56">
        <v>0.24</v>
      </c>
      <c r="U232" s="56">
        <v>1.1000000000000001</v>
      </c>
      <c r="V232" s="42" t="str">
        <v>L3</v>
      </c>
      <c r="W232" s="57" t="str">
        <v>ok</v>
      </c>
      <c r="X232" s="58" t="str">
        <v/>
      </c>
      <c r="Y232" s="75" t="str">
        <v/>
      </c>
      <c r="Z232" s="59">
        <v>1.1000000000000001</v>
      </c>
      <c r="AA232" s="61">
        <v>6</v>
      </c>
      <c r="AB232" s="61">
        <v>25</v>
      </c>
      <c r="AC232" s="61" t="str">
        <v/>
      </c>
      <c r="AD232" s="62" t="str">
        <v>QFD31</v>
      </c>
      <c r="AE232" s="62" t="str">
        <v/>
      </c>
      <c r="AF232" s="34">
        <v>31</v>
      </c>
      <c r="AG232" s="34" t="str">
        <v>QFD31</v>
      </c>
      <c r="AH232" s="34" t="str">
        <v/>
      </c>
      <c r="AI232" s="34" t="str">
        <v/>
      </c>
      <c r="AJ232" s="34" t="str">
        <v>QFD31</v>
      </c>
      <c r="AK232" s="34">
        <v>1</v>
      </c>
      <c r="AL232" s="34" t="str">
        <v>R</v>
      </c>
      <c r="AM232" s="34">
        <v>30</v>
      </c>
      <c r="AN232" s="34">
        <v>0</v>
      </c>
      <c r="AO232" s="34">
        <v>16</v>
      </c>
      <c r="AP232" s="34">
        <v>25</v>
      </c>
      <c r="AQ232" s="34">
        <v>16</v>
      </c>
      <c r="AR232" s="34">
        <v>1</v>
      </c>
      <c r="AS232" s="34">
        <v>1</v>
      </c>
      <c r="AT232" s="34" t="str">
        <v>2P</v>
      </c>
      <c r="AU232" s="34">
        <v>16</v>
      </c>
      <c r="AV232" s="34" t="str">
        <v/>
      </c>
      <c r="AW232" s="34" t="str">
        <v/>
      </c>
      <c r="AX232" s="34" t="str">
        <v/>
      </c>
      <c r="AY232" s="34">
        <v>1</v>
      </c>
      <c r="AZ232" s="34" t="str">
        <v/>
      </c>
      <c r="BA232" s="34">
        <v>0</v>
      </c>
      <c r="BB232" s="34">
        <v>16</v>
      </c>
      <c r="BD232" s="34">
        <v>1</v>
      </c>
      <c r="BE232" s="34">
        <v>0</v>
      </c>
      <c r="BF232" s="34">
        <v>1</v>
      </c>
      <c r="BG232" s="34" t="str">
        <v/>
      </c>
      <c r="BH232" s="34" t="str">
        <v/>
      </c>
      <c r="BI232" s="34" t="str">
        <v/>
      </c>
      <c r="BJ232" s="34" t="str">
        <v/>
      </c>
      <c r="BK232" s="34" t="str">
        <v>SOCKET</v>
      </c>
      <c r="BL232" s="34">
        <v>1</v>
      </c>
      <c r="BM232" s="34" t="str">
        <v/>
      </c>
      <c r="BN232" s="34" t="str">
        <v/>
      </c>
      <c r="BO232" s="34" t="str">
        <v/>
      </c>
      <c r="BP232" s="34" t="str">
        <v/>
      </c>
      <c r="BQ232" s="34" t="str">
        <v>3х2,5</v>
      </c>
      <c r="BR232" s="34" t="str">
        <v/>
      </c>
      <c r="BS232" s="34" t="str">
        <v/>
      </c>
      <c r="BT232" s="34" t="str">
        <v/>
      </c>
      <c r="BU232" s="34">
        <v>0</v>
      </c>
      <c r="BV232" s="34">
        <v>253</v>
      </c>
      <c r="BW232" s="34">
        <v>1</v>
      </c>
      <c r="BX232" s="34">
        <v>0</v>
      </c>
      <c r="BY232" s="34" t="str">
        <v>Розетка</v>
      </c>
      <c r="BZ232">
        <v>10</v>
      </c>
      <c r="CA232" t="str">
        <v>линии</v>
      </c>
    </row>
    <row r="233" spans="1:79" x14ac:dyDescent="0.3">
      <c r="A233" s="39" t="str">
        <v>ЩР-1</v>
      </c>
      <c r="B233" s="42">
        <v>44</v>
      </c>
      <c r="C233" s="42">
        <v>3</v>
      </c>
      <c r="D233" s="75" t="str">
        <v/>
      </c>
      <c r="E233" s="75" t="str">
        <v>авто</v>
      </c>
      <c r="F233" s="76" t="str">
        <v/>
      </c>
      <c r="G233" s="47" t="str">
        <v>QFD32</v>
      </c>
      <c r="H233" s="47" t="str">
        <v>2P С16А 30мА</v>
      </c>
      <c r="I233" s="75" t="str">
        <v/>
      </c>
      <c r="J233" s="76" t="str">
        <v/>
      </c>
      <c r="K233" s="76" t="str">
        <v/>
      </c>
      <c r="L233" s="75" t="str">
        <v/>
      </c>
      <c r="M233" s="49" t="str">
        <v/>
      </c>
      <c r="N233" s="76" t="str">
        <v/>
      </c>
      <c r="O233" s="49" t="str">
        <v/>
      </c>
      <c r="P233" s="77" t="str">
        <v/>
      </c>
      <c r="Q233" s="53" t="str">
        <v>ВВГнг(А)-LS (3х2,5) L=73-1,04%</v>
      </c>
      <c r="R233" s="54" t="str">
        <v>R.1.011A.1</v>
      </c>
      <c r="S233" s="55" t="str">
        <v>Розеточная группа Первый этаж Пом. №011A</v>
      </c>
      <c r="T233" s="56">
        <v>0.42</v>
      </c>
      <c r="U233" s="56">
        <v>1.92</v>
      </c>
      <c r="V233" s="42" t="str">
        <v>L1</v>
      </c>
      <c r="W233" s="57" t="str">
        <v>ok</v>
      </c>
      <c r="X233" s="58" t="str">
        <v/>
      </c>
      <c r="Y233" s="75" t="str">
        <v/>
      </c>
      <c r="Z233" s="59">
        <v>1.92</v>
      </c>
      <c r="AA233" s="61">
        <v>6</v>
      </c>
      <c r="AB233" s="61">
        <v>25</v>
      </c>
      <c r="AC233" s="61" t="str">
        <v/>
      </c>
      <c r="AD233" s="62" t="str">
        <v>QFD32</v>
      </c>
      <c r="AE233" s="62" t="str">
        <v/>
      </c>
      <c r="AF233" s="34">
        <v>32</v>
      </c>
      <c r="AG233" s="34" t="str">
        <v>QFD32</v>
      </c>
      <c r="AH233" s="34" t="str">
        <v/>
      </c>
      <c r="AI233" s="34" t="str">
        <v/>
      </c>
      <c r="AJ233" s="34" t="str">
        <v>QFD32</v>
      </c>
      <c r="AK233" s="34">
        <v>1</v>
      </c>
      <c r="AL233" s="34" t="str">
        <v>R</v>
      </c>
      <c r="AM233" s="34">
        <v>30</v>
      </c>
      <c r="AN233" s="34">
        <v>0</v>
      </c>
      <c r="AO233" s="34">
        <v>16</v>
      </c>
      <c r="AP233" s="34">
        <v>25</v>
      </c>
      <c r="AQ233" s="34">
        <v>16</v>
      </c>
      <c r="AR233" s="34">
        <v>1</v>
      </c>
      <c r="AS233" s="34">
        <v>1</v>
      </c>
      <c r="AT233" s="34" t="str">
        <v>2P</v>
      </c>
      <c r="AU233" s="34">
        <v>16</v>
      </c>
      <c r="AV233" s="34" t="str">
        <v/>
      </c>
      <c r="AW233" s="34" t="str">
        <v/>
      </c>
      <c r="AX233" s="34" t="str">
        <v/>
      </c>
      <c r="AY233" s="34">
        <v>1</v>
      </c>
      <c r="AZ233" s="34" t="str">
        <v/>
      </c>
      <c r="BA233" s="34">
        <v>0</v>
      </c>
      <c r="BB233" s="34">
        <v>16</v>
      </c>
      <c r="BD233" s="34">
        <v>1</v>
      </c>
      <c r="BE233" s="34">
        <v>0</v>
      </c>
      <c r="BF233" s="34">
        <v>1</v>
      </c>
      <c r="BG233" s="34" t="str">
        <v/>
      </c>
      <c r="BH233" s="34" t="str">
        <v/>
      </c>
      <c r="BI233" s="34" t="str">
        <v/>
      </c>
      <c r="BJ233" s="34" t="str">
        <v/>
      </c>
      <c r="BK233" s="34" t="str">
        <v>SOCKET</v>
      </c>
      <c r="BL233" s="34">
        <v>1</v>
      </c>
      <c r="BM233" s="34" t="str">
        <v/>
      </c>
      <c r="BN233" s="34" t="str">
        <v/>
      </c>
      <c r="BO233" s="34" t="str">
        <v/>
      </c>
      <c r="BP233" s="34" t="str">
        <v/>
      </c>
      <c r="BQ233" s="34" t="str">
        <v>3х2,5</v>
      </c>
      <c r="BR233" s="34" t="str">
        <v/>
      </c>
      <c r="BS233" s="34" t="str">
        <v/>
      </c>
      <c r="BT233" s="34" t="str">
        <v/>
      </c>
      <c r="BU233" s="34">
        <v>0</v>
      </c>
      <c r="BV233" s="34">
        <v>254</v>
      </c>
      <c r="BW233" s="34">
        <v>1</v>
      </c>
      <c r="BX233" s="34">
        <v>0</v>
      </c>
      <c r="BY233" s="34" t="str">
        <v>Розетка</v>
      </c>
      <c r="BZ233">
        <v>10</v>
      </c>
      <c r="CA233" t="str">
        <v>линии</v>
      </c>
    </row>
    <row r="234" spans="1:79" x14ac:dyDescent="0.3">
      <c r="A234" s="39" t="str">
        <v>ЩР-1</v>
      </c>
      <c r="B234" s="42">
        <v>45</v>
      </c>
      <c r="C234" s="42">
        <v>3</v>
      </c>
      <c r="D234" s="75" t="str">
        <v/>
      </c>
      <c r="E234" s="75" t="str">
        <v>авто</v>
      </c>
      <c r="F234" s="76" t="str">
        <v/>
      </c>
      <c r="G234" s="47" t="str">
        <v>QFD33</v>
      </c>
      <c r="H234" s="47" t="str">
        <v>2P С16А 30мА</v>
      </c>
      <c r="I234" s="75" t="str">
        <v/>
      </c>
      <c r="J234" s="76" t="str">
        <v/>
      </c>
      <c r="K234" s="76" t="str">
        <v/>
      </c>
      <c r="L234" s="75" t="str">
        <v/>
      </c>
      <c r="M234" s="49" t="str">
        <v/>
      </c>
      <c r="N234" s="76" t="str">
        <v/>
      </c>
      <c r="O234" s="49" t="str">
        <v/>
      </c>
      <c r="P234" s="77" t="str">
        <v/>
      </c>
      <c r="Q234" s="53" t="str">
        <v>ВВГнг(А)-LS (3х2,5) L=32-0,07%</v>
      </c>
      <c r="R234" s="54" t="str">
        <v>R.1.012.1A.1</v>
      </c>
      <c r="S234" s="55" t="str">
        <v>Розеточная группа Первый этаж Пом. №012</v>
      </c>
      <c r="T234" s="56">
        <v>0.06</v>
      </c>
      <c r="U234" s="56">
        <v>0.28000000000000003</v>
      </c>
      <c r="V234" s="42" t="str">
        <v>L1</v>
      </c>
      <c r="W234" s="57" t="str">
        <v>ok</v>
      </c>
      <c r="X234" s="58" t="str">
        <v/>
      </c>
      <c r="Y234" s="75" t="str">
        <v/>
      </c>
      <c r="Z234" s="59">
        <v>0.28000000000000003</v>
      </c>
      <c r="AA234" s="61">
        <v>6</v>
      </c>
      <c r="AB234" s="61">
        <v>25</v>
      </c>
      <c r="AC234" s="61" t="str">
        <v/>
      </c>
      <c r="AD234" s="62" t="str">
        <v>QFD33</v>
      </c>
      <c r="AE234" s="62" t="str">
        <v/>
      </c>
      <c r="AF234" s="34">
        <v>33</v>
      </c>
      <c r="AG234" s="34" t="str">
        <v>QFD33</v>
      </c>
      <c r="AH234" s="34" t="str">
        <v/>
      </c>
      <c r="AI234" s="34" t="str">
        <v/>
      </c>
      <c r="AJ234" s="34" t="str">
        <v>QFD33</v>
      </c>
      <c r="AK234" s="34">
        <v>1</v>
      </c>
      <c r="AL234" s="34" t="str">
        <v>R</v>
      </c>
      <c r="AM234" s="34">
        <v>30</v>
      </c>
      <c r="AN234" s="34">
        <v>0</v>
      </c>
      <c r="AO234" s="34">
        <v>16</v>
      </c>
      <c r="AP234" s="34">
        <v>25</v>
      </c>
      <c r="AQ234" s="34">
        <v>16</v>
      </c>
      <c r="AR234" s="34">
        <v>1</v>
      </c>
      <c r="AS234" s="34">
        <v>1</v>
      </c>
      <c r="AT234" s="34" t="str">
        <v>2P</v>
      </c>
      <c r="AU234" s="34">
        <v>16</v>
      </c>
      <c r="AV234" s="34" t="str">
        <v/>
      </c>
      <c r="AW234" s="34" t="str">
        <v/>
      </c>
      <c r="AX234" s="34" t="str">
        <v/>
      </c>
      <c r="AY234" s="34">
        <v>1</v>
      </c>
      <c r="AZ234" s="34" t="str">
        <v/>
      </c>
      <c r="BA234" s="34">
        <v>0</v>
      </c>
      <c r="BB234" s="34">
        <v>16</v>
      </c>
      <c r="BD234" s="34">
        <v>1</v>
      </c>
      <c r="BE234" s="34">
        <v>0</v>
      </c>
      <c r="BF234" s="34">
        <v>1</v>
      </c>
      <c r="BG234" s="34" t="str">
        <v/>
      </c>
      <c r="BH234" s="34" t="str">
        <v/>
      </c>
      <c r="BI234" s="34" t="str">
        <v/>
      </c>
      <c r="BJ234" s="34" t="str">
        <v/>
      </c>
      <c r="BK234" s="34" t="str">
        <v>SOCKET</v>
      </c>
      <c r="BL234" s="34">
        <v>1</v>
      </c>
      <c r="BM234" s="34" t="str">
        <v/>
      </c>
      <c r="BN234" s="34" t="str">
        <v/>
      </c>
      <c r="BO234" s="34" t="str">
        <v/>
      </c>
      <c r="BP234" s="34" t="str">
        <v/>
      </c>
      <c r="BQ234" s="34" t="str">
        <v>3х2,5</v>
      </c>
      <c r="BR234" s="34" t="str">
        <v/>
      </c>
      <c r="BS234" s="34" t="str">
        <v/>
      </c>
      <c r="BT234" s="34" t="str">
        <v/>
      </c>
      <c r="BU234" s="34">
        <v>0</v>
      </c>
      <c r="BV234" s="34">
        <v>255</v>
      </c>
      <c r="BW234" s="34">
        <v>1</v>
      </c>
      <c r="BX234" s="34">
        <v>0</v>
      </c>
      <c r="BY234" s="34" t="str">
        <v>Розетка</v>
      </c>
      <c r="BZ234">
        <v>10</v>
      </c>
      <c r="CA234" t="str">
        <v>линии</v>
      </c>
    </row>
    <row r="235" spans="1:79" x14ac:dyDescent="0.3">
      <c r="A235" s="39" t="str">
        <v>ЩР-1</v>
      </c>
      <c r="B235" s="42">
        <v>46</v>
      </c>
      <c r="C235" s="42">
        <v>3</v>
      </c>
      <c r="D235" s="75" t="str">
        <v/>
      </c>
      <c r="E235" s="75" t="str">
        <v>авто</v>
      </c>
      <c r="F235" s="76" t="str">
        <v/>
      </c>
      <c r="G235" s="47" t="str">
        <v>QFD34</v>
      </c>
      <c r="H235" s="47" t="str">
        <v>2P С16А 30мА</v>
      </c>
      <c r="I235" s="75" t="str">
        <v/>
      </c>
      <c r="J235" s="76" t="str">
        <v/>
      </c>
      <c r="K235" s="76" t="str">
        <v/>
      </c>
      <c r="L235" s="75" t="str">
        <v/>
      </c>
      <c r="M235" s="49" t="str">
        <v/>
      </c>
      <c r="N235" s="76" t="str">
        <v/>
      </c>
      <c r="O235" s="49" t="str">
        <v/>
      </c>
      <c r="P235" s="77" t="str">
        <v/>
      </c>
      <c r="Q235" s="53" t="str">
        <v>ВВГнг(А)-LS (3х2,5) L=38-0,08%</v>
      </c>
      <c r="R235" s="54" t="str">
        <v>R.1.013A.1</v>
      </c>
      <c r="S235" s="55" t="str">
        <v>Розеточная группа Первый этаж Пом. №013A</v>
      </c>
      <c r="T235" s="56">
        <v>0.06</v>
      </c>
      <c r="U235" s="56">
        <v>0.28000000000000003</v>
      </c>
      <c r="V235" s="42" t="str">
        <v>L1</v>
      </c>
      <c r="W235" s="57" t="str">
        <v>ok</v>
      </c>
      <c r="X235" s="58" t="str">
        <v/>
      </c>
      <c r="Y235" s="75" t="str">
        <v/>
      </c>
      <c r="Z235" s="59">
        <v>0.28000000000000003</v>
      </c>
      <c r="AA235" s="61">
        <v>6</v>
      </c>
      <c r="AB235" s="61">
        <v>25</v>
      </c>
      <c r="AC235" s="61" t="str">
        <v/>
      </c>
      <c r="AD235" s="62" t="str">
        <v>QFD34</v>
      </c>
      <c r="AE235" s="62" t="str">
        <v/>
      </c>
      <c r="AF235" s="34">
        <v>34</v>
      </c>
      <c r="AG235" s="34" t="str">
        <v>QFD34</v>
      </c>
      <c r="AH235" s="34" t="str">
        <v/>
      </c>
      <c r="AI235" s="34" t="str">
        <v/>
      </c>
      <c r="AJ235" s="34" t="str">
        <v>QFD34</v>
      </c>
      <c r="AK235" s="34">
        <v>1</v>
      </c>
      <c r="AL235" s="34" t="str">
        <v>R</v>
      </c>
      <c r="AM235" s="34">
        <v>30</v>
      </c>
      <c r="AN235" s="34">
        <v>0</v>
      </c>
      <c r="AO235" s="34">
        <v>16</v>
      </c>
      <c r="AP235" s="34">
        <v>25</v>
      </c>
      <c r="AQ235" s="34">
        <v>16</v>
      </c>
      <c r="AR235" s="34">
        <v>1</v>
      </c>
      <c r="AS235" s="34">
        <v>1</v>
      </c>
      <c r="AT235" s="34" t="str">
        <v>2P</v>
      </c>
      <c r="AU235" s="34">
        <v>16</v>
      </c>
      <c r="AV235" s="34" t="str">
        <v/>
      </c>
      <c r="AW235" s="34" t="str">
        <v/>
      </c>
      <c r="AX235" s="34" t="str">
        <v/>
      </c>
      <c r="AY235" s="34">
        <v>1</v>
      </c>
      <c r="AZ235" s="34" t="str">
        <v/>
      </c>
      <c r="BA235" s="34">
        <v>0</v>
      </c>
      <c r="BB235" s="34">
        <v>16</v>
      </c>
      <c r="BD235" s="34">
        <v>1</v>
      </c>
      <c r="BE235" s="34">
        <v>0</v>
      </c>
      <c r="BF235" s="34">
        <v>1</v>
      </c>
      <c r="BG235" s="34" t="str">
        <v/>
      </c>
      <c r="BH235" s="34" t="str">
        <v/>
      </c>
      <c r="BI235" s="34" t="str">
        <v/>
      </c>
      <c r="BJ235" s="34" t="str">
        <v/>
      </c>
      <c r="BK235" s="34" t="str">
        <v>SOCKET</v>
      </c>
      <c r="BL235" s="34">
        <v>1</v>
      </c>
      <c r="BM235" s="34" t="str">
        <v/>
      </c>
      <c r="BN235" s="34" t="str">
        <v/>
      </c>
      <c r="BO235" s="34" t="str">
        <v/>
      </c>
      <c r="BP235" s="34" t="str">
        <v/>
      </c>
      <c r="BQ235" s="34" t="str">
        <v>3х2,5</v>
      </c>
      <c r="BR235" s="34" t="str">
        <v/>
      </c>
      <c r="BS235" s="34" t="str">
        <v/>
      </c>
      <c r="BT235" s="34" t="str">
        <v/>
      </c>
      <c r="BU235" s="34">
        <v>0</v>
      </c>
      <c r="BV235" s="34">
        <v>256</v>
      </c>
      <c r="BW235" s="34">
        <v>1</v>
      </c>
      <c r="BX235" s="34">
        <v>0</v>
      </c>
      <c r="BY235" s="34" t="str">
        <v>Розетка</v>
      </c>
      <c r="BZ235">
        <v>10</v>
      </c>
      <c r="CA235" t="str">
        <v>линии</v>
      </c>
    </row>
    <row r="236" spans="1:79" x14ac:dyDescent="0.3">
      <c r="A236" s="39" t="str">
        <v>ЩР-1</v>
      </c>
      <c r="B236" s="42">
        <v>47</v>
      </c>
      <c r="C236" s="42">
        <v>3</v>
      </c>
      <c r="D236" s="75" t="str">
        <v/>
      </c>
      <c r="E236" s="75" t="str">
        <v>авто</v>
      </c>
      <c r="F236" s="76" t="str">
        <v/>
      </c>
      <c r="G236" s="47" t="str">
        <v>QFD35</v>
      </c>
      <c r="H236" s="47" t="str">
        <v>2P С16А 30мА</v>
      </c>
      <c r="I236" s="75" t="str">
        <v/>
      </c>
      <c r="J236" s="76" t="str">
        <v/>
      </c>
      <c r="K236" s="76" t="str">
        <v/>
      </c>
      <c r="L236" s="75" t="str">
        <v/>
      </c>
      <c r="M236" s="49" t="str">
        <v/>
      </c>
      <c r="N236" s="76" t="str">
        <v/>
      </c>
      <c r="O236" s="49" t="str">
        <v/>
      </c>
      <c r="P236" s="77" t="str">
        <v/>
      </c>
      <c r="Q236" s="53" t="str">
        <v>ВВГнг(А)-LS (3х2,5) L=22-0,09%</v>
      </c>
      <c r="R236" s="54" t="str">
        <v>R.1.014A.1</v>
      </c>
      <c r="S236" s="55" t="str">
        <v>Розеточная группа Первый этаж Пом. №014A</v>
      </c>
      <c r="T236" s="56">
        <v>0.12</v>
      </c>
      <c r="U236" s="56">
        <v>0.55000000000000004</v>
      </c>
      <c r="V236" s="42" t="str">
        <v>L1</v>
      </c>
      <c r="W236" s="57" t="str">
        <v>ok</v>
      </c>
      <c r="X236" s="58" t="str">
        <v/>
      </c>
      <c r="Y236" s="75" t="str">
        <v/>
      </c>
      <c r="Z236" s="59">
        <v>0.55000000000000004</v>
      </c>
      <c r="AA236" s="61">
        <v>6</v>
      </c>
      <c r="AB236" s="61">
        <v>25</v>
      </c>
      <c r="AC236" s="61" t="str">
        <v/>
      </c>
      <c r="AD236" s="62" t="str">
        <v>QFD35</v>
      </c>
      <c r="AE236" s="62" t="str">
        <v/>
      </c>
      <c r="AF236" s="34">
        <v>35</v>
      </c>
      <c r="AG236" s="34" t="str">
        <v>QFD35</v>
      </c>
      <c r="AH236" s="34" t="str">
        <v/>
      </c>
      <c r="AI236" s="34" t="str">
        <v/>
      </c>
      <c r="AJ236" s="34" t="str">
        <v>QFD35</v>
      </c>
      <c r="AK236" s="34">
        <v>1</v>
      </c>
      <c r="AL236" s="34" t="str">
        <v>R</v>
      </c>
      <c r="AM236" s="34">
        <v>30</v>
      </c>
      <c r="AN236" s="34">
        <v>0</v>
      </c>
      <c r="AO236" s="34">
        <v>16</v>
      </c>
      <c r="AP236" s="34">
        <v>25</v>
      </c>
      <c r="AQ236" s="34">
        <v>16</v>
      </c>
      <c r="AR236" s="34">
        <v>1</v>
      </c>
      <c r="AS236" s="34">
        <v>1</v>
      </c>
      <c r="AT236" s="34" t="str">
        <v>2P</v>
      </c>
      <c r="AU236" s="34">
        <v>16</v>
      </c>
      <c r="AV236" s="34" t="str">
        <v/>
      </c>
      <c r="AW236" s="34" t="str">
        <v/>
      </c>
      <c r="AX236" s="34" t="str">
        <v/>
      </c>
      <c r="AY236" s="34">
        <v>1</v>
      </c>
      <c r="AZ236" s="34" t="str">
        <v/>
      </c>
      <c r="BA236" s="34">
        <v>0</v>
      </c>
      <c r="BB236" s="34">
        <v>16</v>
      </c>
      <c r="BD236" s="34">
        <v>1</v>
      </c>
      <c r="BE236" s="34">
        <v>0</v>
      </c>
      <c r="BF236" s="34">
        <v>1</v>
      </c>
      <c r="BG236" s="34" t="str">
        <v/>
      </c>
      <c r="BH236" s="34" t="str">
        <v/>
      </c>
      <c r="BI236" s="34" t="str">
        <v/>
      </c>
      <c r="BJ236" s="34" t="str">
        <v/>
      </c>
      <c r="BK236" s="34" t="str">
        <v>SOCKET</v>
      </c>
      <c r="BL236" s="34">
        <v>1</v>
      </c>
      <c r="BM236" s="34" t="str">
        <v/>
      </c>
      <c r="BN236" s="34" t="str">
        <v/>
      </c>
      <c r="BO236" s="34" t="str">
        <v/>
      </c>
      <c r="BP236" s="34" t="str">
        <v/>
      </c>
      <c r="BQ236" s="34" t="str">
        <v>3х2,5</v>
      </c>
      <c r="BR236" s="34" t="str">
        <v/>
      </c>
      <c r="BS236" s="34" t="str">
        <v/>
      </c>
      <c r="BT236" s="34" t="str">
        <v/>
      </c>
      <c r="BU236" s="34">
        <v>0</v>
      </c>
      <c r="BV236" s="34">
        <v>257</v>
      </c>
      <c r="BW236" s="34">
        <v>1</v>
      </c>
      <c r="BX236" s="34">
        <v>0</v>
      </c>
      <c r="BY236" s="34" t="str">
        <v>Розетка</v>
      </c>
      <c r="BZ236">
        <v>10</v>
      </c>
      <c r="CA236" t="str">
        <v>линии</v>
      </c>
    </row>
    <row r="237" spans="1:79" x14ac:dyDescent="0.3">
      <c r="A237" s="39" t="str">
        <v>ЩР-1</v>
      </c>
      <c r="B237" s="42">
        <v>48</v>
      </c>
      <c r="C237" s="42">
        <v>3</v>
      </c>
      <c r="D237" s="75" t="str">
        <v/>
      </c>
      <c r="E237" s="75" t="str">
        <v>авто</v>
      </c>
      <c r="F237" s="76" t="str">
        <v/>
      </c>
      <c r="G237" s="47" t="str">
        <v>QFD36</v>
      </c>
      <c r="H237" s="47" t="str">
        <v>2P С16А 30мА</v>
      </c>
      <c r="I237" s="75" t="str">
        <v/>
      </c>
      <c r="J237" s="76" t="str">
        <v/>
      </c>
      <c r="K237" s="76" t="str">
        <v/>
      </c>
      <c r="L237" s="75" t="str">
        <v/>
      </c>
      <c r="M237" s="49" t="str">
        <v/>
      </c>
      <c r="N237" s="76" t="str">
        <v/>
      </c>
      <c r="O237" s="49" t="str">
        <v/>
      </c>
      <c r="P237" s="77" t="str">
        <v>XT36</v>
      </c>
      <c r="Q237" s="53" t="str">
        <v>ВВГнг(А)-LS (3х2,5) L=42-0,35%</v>
      </c>
      <c r="R237" s="54" t="str">
        <v>R.1.015A.1</v>
      </c>
      <c r="S237" s="55" t="str">
        <v>Розеточная группа Первый этаж Пом. №015A</v>
      </c>
      <c r="T237" s="56">
        <v>0.24</v>
      </c>
      <c r="U237" s="56">
        <v>1.1000000000000001</v>
      </c>
      <c r="V237" s="42" t="str">
        <v>L2</v>
      </c>
      <c r="W237" s="57" t="str">
        <v>ok</v>
      </c>
      <c r="X237" s="58" t="str">
        <v/>
      </c>
      <c r="Y237" s="75" t="str">
        <v/>
      </c>
      <c r="Z237" s="59">
        <v>1.1000000000000001</v>
      </c>
      <c r="AA237" s="61">
        <v>6</v>
      </c>
      <c r="AB237" s="61">
        <v>25</v>
      </c>
      <c r="AC237" s="61" t="str">
        <v/>
      </c>
      <c r="AD237" s="62" t="str">
        <v>QFD36 → XT36</v>
      </c>
      <c r="AE237" s="62" t="str">
        <v/>
      </c>
      <c r="AF237" s="34">
        <v>36</v>
      </c>
      <c r="AG237" s="34" t="str">
        <v>QFD36</v>
      </c>
      <c r="AH237" s="34" t="str">
        <v/>
      </c>
      <c r="AI237" s="34" t="str">
        <v/>
      </c>
      <c r="AJ237" s="34" t="str">
        <v>QFD36</v>
      </c>
      <c r="AK237" s="34">
        <v>1</v>
      </c>
      <c r="AL237" s="34" t="str">
        <v>R</v>
      </c>
      <c r="AM237" s="34">
        <v>30</v>
      </c>
      <c r="AN237" s="34">
        <v>0</v>
      </c>
      <c r="AO237" s="34">
        <v>16</v>
      </c>
      <c r="AP237" s="34">
        <v>25</v>
      </c>
      <c r="AQ237" s="34">
        <v>16</v>
      </c>
      <c r="AR237" s="34">
        <v>1</v>
      </c>
      <c r="AS237" s="34">
        <v>1</v>
      </c>
      <c r="AT237" s="34" t="str">
        <v>2P</v>
      </c>
      <c r="AU237" s="34">
        <v>16</v>
      </c>
      <c r="AV237" s="34" t="str">
        <v/>
      </c>
      <c r="AW237" s="34" t="str">
        <v/>
      </c>
      <c r="AX237" s="34" t="str">
        <v/>
      </c>
      <c r="AY237" s="34">
        <v>1</v>
      </c>
      <c r="AZ237" s="34" t="str">
        <v/>
      </c>
      <c r="BA237" s="34">
        <v>0</v>
      </c>
      <c r="BB237" s="34">
        <v>16</v>
      </c>
      <c r="BD237" s="34">
        <v>1</v>
      </c>
      <c r="BE237" s="34">
        <v>0</v>
      </c>
      <c r="BF237" s="34">
        <v>1</v>
      </c>
      <c r="BG237" s="34" t="str">
        <v/>
      </c>
      <c r="BH237" s="34" t="str">
        <v/>
      </c>
      <c r="BI237" s="34" t="str">
        <v/>
      </c>
      <c r="BJ237" s="34" t="str">
        <v/>
      </c>
      <c r="BK237" s="34" t="str">
        <v>SOCKET</v>
      </c>
      <c r="BL237" s="34">
        <v>1</v>
      </c>
      <c r="BM237" s="34" t="str">
        <v/>
      </c>
      <c r="BN237" s="34" t="str">
        <v/>
      </c>
      <c r="BO237" s="34" t="str">
        <v/>
      </c>
      <c r="BP237" s="34" t="str">
        <v/>
      </c>
      <c r="BQ237" s="34" t="str">
        <v>3х2,5</v>
      </c>
      <c r="BR237" s="34" t="str">
        <v/>
      </c>
      <c r="BS237" s="34" t="str">
        <v/>
      </c>
      <c r="BT237" s="34" t="str">
        <v/>
      </c>
      <c r="BU237" s="34">
        <v>0</v>
      </c>
      <c r="BV237" s="34">
        <v>258</v>
      </c>
      <c r="BW237" s="34">
        <v>1</v>
      </c>
      <c r="BX237" s="34">
        <v>0</v>
      </c>
      <c r="BY237" s="34" t="str">
        <v>Розетка</v>
      </c>
      <c r="BZ237">
        <v>10</v>
      </c>
      <c r="CA237" t="str">
        <v>линии</v>
      </c>
    </row>
    <row r="238" spans="1:79" x14ac:dyDescent="0.3">
      <c r="A238" s="39" t="str">
        <v>ЩР-1</v>
      </c>
      <c r="B238" s="42">
        <v>49</v>
      </c>
      <c r="C238" s="42">
        <v>3</v>
      </c>
      <c r="D238" s="75" t="str">
        <v/>
      </c>
      <c r="E238" s="75" t="str">
        <v>авто</v>
      </c>
      <c r="F238" s="76" t="str">
        <v/>
      </c>
      <c r="G238" s="47" t="str">
        <v>QFD37</v>
      </c>
      <c r="H238" s="47" t="str">
        <v>2P С16А 30мА</v>
      </c>
      <c r="I238" s="75" t="str">
        <v/>
      </c>
      <c r="J238" s="76" t="str">
        <v/>
      </c>
      <c r="K238" s="76" t="str">
        <v/>
      </c>
      <c r="L238" s="75" t="str">
        <v/>
      </c>
      <c r="M238" s="49" t="str">
        <v/>
      </c>
      <c r="N238" s="76" t="str">
        <v/>
      </c>
      <c r="O238" s="49" t="str">
        <v/>
      </c>
      <c r="P238" s="77" t="str">
        <v>XT37</v>
      </c>
      <c r="Q238" s="53" t="str">
        <v>ВВГнг(А)-LS (3х2,5) L=63-1,03%</v>
      </c>
      <c r="R238" s="54" t="str">
        <v>R.1.016A.1</v>
      </c>
      <c r="S238" s="55" t="str">
        <v>Розеточная группа Первый этаж Пом. №016A</v>
      </c>
      <c r="T238" s="56">
        <v>0.48</v>
      </c>
      <c r="U238" s="56">
        <v>2.19</v>
      </c>
      <c r="V238" s="42" t="str">
        <v>L2</v>
      </c>
      <c r="W238" s="57" t="str">
        <v>ok</v>
      </c>
      <c r="X238" s="58" t="str">
        <v/>
      </c>
      <c r="Y238" s="75" t="str">
        <v/>
      </c>
      <c r="Z238" s="59">
        <v>2.19</v>
      </c>
      <c r="AA238" s="61">
        <v>6</v>
      </c>
      <c r="AB238" s="61">
        <v>25</v>
      </c>
      <c r="AC238" s="61" t="str">
        <v/>
      </c>
      <c r="AD238" s="62" t="str">
        <v>QFD37 → XT37</v>
      </c>
      <c r="AE238" s="62" t="str">
        <v/>
      </c>
      <c r="AF238" s="34">
        <v>37</v>
      </c>
      <c r="AG238" s="34" t="str">
        <v>QFD37</v>
      </c>
      <c r="AH238" s="34" t="str">
        <v/>
      </c>
      <c r="AI238" s="34" t="str">
        <v/>
      </c>
      <c r="AJ238" s="34" t="str">
        <v>QFD37</v>
      </c>
      <c r="AK238" s="34">
        <v>1</v>
      </c>
      <c r="AL238" s="34" t="str">
        <v>R</v>
      </c>
      <c r="AM238" s="34">
        <v>30</v>
      </c>
      <c r="AN238" s="34">
        <v>0</v>
      </c>
      <c r="AO238" s="34">
        <v>16</v>
      </c>
      <c r="AP238" s="34">
        <v>25</v>
      </c>
      <c r="AQ238" s="34">
        <v>16</v>
      </c>
      <c r="AR238" s="34">
        <v>1</v>
      </c>
      <c r="AS238" s="34">
        <v>1</v>
      </c>
      <c r="AT238" s="34" t="str">
        <v>2P</v>
      </c>
      <c r="AU238" s="34">
        <v>16</v>
      </c>
      <c r="AV238" s="34" t="str">
        <v/>
      </c>
      <c r="AW238" s="34" t="str">
        <v/>
      </c>
      <c r="AX238" s="34" t="str">
        <v/>
      </c>
      <c r="AY238" s="34">
        <v>1</v>
      </c>
      <c r="AZ238" s="34" t="str">
        <v/>
      </c>
      <c r="BA238" s="34">
        <v>0</v>
      </c>
      <c r="BB238" s="34">
        <v>16</v>
      </c>
      <c r="BD238" s="34">
        <v>1</v>
      </c>
      <c r="BE238" s="34">
        <v>0</v>
      </c>
      <c r="BF238" s="34">
        <v>1</v>
      </c>
      <c r="BG238" s="34" t="str">
        <v/>
      </c>
      <c r="BH238" s="34" t="str">
        <v/>
      </c>
      <c r="BI238" s="34" t="str">
        <v/>
      </c>
      <c r="BJ238" s="34" t="str">
        <v/>
      </c>
      <c r="BK238" s="34" t="str">
        <v>SOCKET</v>
      </c>
      <c r="BL238" s="34">
        <v>1</v>
      </c>
      <c r="BM238" s="34" t="str">
        <v/>
      </c>
      <c r="BN238" s="34" t="str">
        <v/>
      </c>
      <c r="BO238" s="34" t="str">
        <v/>
      </c>
      <c r="BP238" s="34" t="str">
        <v/>
      </c>
      <c r="BQ238" s="34" t="str">
        <v>3х2,5</v>
      </c>
      <c r="BR238" s="34" t="str">
        <v/>
      </c>
      <c r="BS238" s="34" t="str">
        <v/>
      </c>
      <c r="BT238" s="34" t="str">
        <v/>
      </c>
      <c r="BU238" s="34">
        <v>0</v>
      </c>
      <c r="BV238" s="34">
        <v>259</v>
      </c>
      <c r="BW238" s="34">
        <v>1</v>
      </c>
      <c r="BX238" s="34">
        <v>0</v>
      </c>
      <c r="BY238" s="34" t="str">
        <v>Розетка</v>
      </c>
      <c r="BZ238">
        <v>10</v>
      </c>
      <c r="CA238" t="str">
        <v>линии</v>
      </c>
    </row>
    <row r="239" spans="1:79" x14ac:dyDescent="0.3">
      <c r="A239" s="39" t="str">
        <v>ЩР-1</v>
      </c>
      <c r="B239" s="42">
        <v>50</v>
      </c>
      <c r="C239" s="42">
        <v>3</v>
      </c>
      <c r="D239" s="75" t="str">
        <v/>
      </c>
      <c r="E239" s="75" t="str">
        <v>авто</v>
      </c>
      <c r="F239" s="76" t="str">
        <v/>
      </c>
      <c r="G239" s="47" t="str">
        <v>QFD38</v>
      </c>
      <c r="H239" s="47" t="str">
        <v>2P С16А 30мА</v>
      </c>
      <c r="I239" s="75" t="str">
        <v/>
      </c>
      <c r="J239" s="76" t="str">
        <v/>
      </c>
      <c r="K239" s="76" t="str">
        <v/>
      </c>
      <c r="L239" s="75" t="str">
        <v/>
      </c>
      <c r="M239" s="49" t="str">
        <v/>
      </c>
      <c r="N239" s="76" t="str">
        <v/>
      </c>
      <c r="O239" s="49" t="str">
        <v/>
      </c>
      <c r="P239" s="77" t="str">
        <v>XT38</v>
      </c>
      <c r="Q239" s="53" t="str">
        <v>ВВГнг(А)-LS (3х2,5) L=59-0,48%</v>
      </c>
      <c r="R239" s="54" t="str">
        <v>R.1.017A.1</v>
      </c>
      <c r="S239" s="55" t="str">
        <v>Розеточная группа Первый этаж Пом. №017A</v>
      </c>
      <c r="T239" s="56">
        <v>0.24</v>
      </c>
      <c r="U239" s="56">
        <v>1.1000000000000001</v>
      </c>
      <c r="V239" s="42" t="str">
        <v>L1</v>
      </c>
      <c r="W239" s="57" t="str">
        <v>ok</v>
      </c>
      <c r="X239" s="58" t="str">
        <v/>
      </c>
      <c r="Y239" s="75" t="str">
        <v/>
      </c>
      <c r="Z239" s="59">
        <v>1.1000000000000001</v>
      </c>
      <c r="AA239" s="61">
        <v>6</v>
      </c>
      <c r="AB239" s="61">
        <v>25</v>
      </c>
      <c r="AC239" s="61" t="str">
        <v/>
      </c>
      <c r="AD239" s="62" t="str">
        <v>QFD38 → XT38</v>
      </c>
      <c r="AE239" s="62" t="str">
        <v/>
      </c>
      <c r="AF239" s="34">
        <v>38</v>
      </c>
      <c r="AG239" s="34" t="str">
        <v>QFD38</v>
      </c>
      <c r="AH239" s="34" t="str">
        <v/>
      </c>
      <c r="AI239" s="34" t="str">
        <v/>
      </c>
      <c r="AJ239" s="34" t="str">
        <v>QFD38</v>
      </c>
      <c r="AK239" s="34">
        <v>1</v>
      </c>
      <c r="AL239" s="34" t="str">
        <v>R</v>
      </c>
      <c r="AM239" s="34">
        <v>30</v>
      </c>
      <c r="AN239" s="34">
        <v>0</v>
      </c>
      <c r="AO239" s="34">
        <v>16</v>
      </c>
      <c r="AP239" s="34">
        <v>25</v>
      </c>
      <c r="AQ239" s="34">
        <v>16</v>
      </c>
      <c r="AR239" s="34">
        <v>1</v>
      </c>
      <c r="AS239" s="34">
        <v>1</v>
      </c>
      <c r="AT239" s="34" t="str">
        <v>2P</v>
      </c>
      <c r="AU239" s="34">
        <v>16</v>
      </c>
      <c r="AV239" s="34" t="str">
        <v/>
      </c>
      <c r="AW239" s="34" t="str">
        <v/>
      </c>
      <c r="AX239" s="34" t="str">
        <v/>
      </c>
      <c r="AY239" s="34">
        <v>1</v>
      </c>
      <c r="AZ239" s="34" t="str">
        <v/>
      </c>
      <c r="BA239" s="34">
        <v>0</v>
      </c>
      <c r="BB239" s="34">
        <v>16</v>
      </c>
      <c r="BD239" s="34">
        <v>1</v>
      </c>
      <c r="BE239" s="34">
        <v>0</v>
      </c>
      <c r="BF239" s="34">
        <v>1</v>
      </c>
      <c r="BG239" s="34" t="str">
        <v/>
      </c>
      <c r="BH239" s="34" t="str">
        <v/>
      </c>
      <c r="BI239" s="34" t="str">
        <v/>
      </c>
      <c r="BJ239" s="34" t="str">
        <v/>
      </c>
      <c r="BK239" s="34" t="str">
        <v>SOCKET</v>
      </c>
      <c r="BL239" s="34">
        <v>1</v>
      </c>
      <c r="BM239" s="34" t="str">
        <v/>
      </c>
      <c r="BN239" s="34" t="str">
        <v/>
      </c>
      <c r="BO239" s="34" t="str">
        <v/>
      </c>
      <c r="BP239" s="34" t="str">
        <v/>
      </c>
      <c r="BQ239" s="34" t="str">
        <v>3х2,5</v>
      </c>
      <c r="BR239" s="34" t="str">
        <v/>
      </c>
      <c r="BS239" s="34" t="str">
        <v/>
      </c>
      <c r="BT239" s="34" t="str">
        <v/>
      </c>
      <c r="BU239" s="34">
        <v>0</v>
      </c>
      <c r="BV239" s="34">
        <v>260</v>
      </c>
      <c r="BW239" s="34">
        <v>1</v>
      </c>
      <c r="BX239" s="34">
        <v>0</v>
      </c>
      <c r="BY239" s="34" t="str">
        <v>Розетка</v>
      </c>
      <c r="BZ239">
        <v>10</v>
      </c>
      <c r="CA239" t="str">
        <v>линии</v>
      </c>
    </row>
    <row r="240" spans="1:79" x14ac:dyDescent="0.3">
      <c r="A240" s="39" t="str">
        <v>ЩР-1</v>
      </c>
      <c r="B240" s="42">
        <v>53</v>
      </c>
      <c r="C240" s="42">
        <v>4</v>
      </c>
      <c r="D240" s="75" t="str">
        <v/>
      </c>
      <c r="E240" s="75" t="str">
        <v>авто</v>
      </c>
      <c r="F240" s="76" t="str">
        <v/>
      </c>
      <c r="G240" s="47" t="str">
        <v>QFD39</v>
      </c>
      <c r="H240" s="47" t="str">
        <v>2P С16А 30мА</v>
      </c>
      <c r="I240" s="75" t="str">
        <v/>
      </c>
      <c r="J240" s="76" t="str">
        <v/>
      </c>
      <c r="K240" s="76" t="str">
        <v/>
      </c>
      <c r="L240" s="75" t="str">
        <v/>
      </c>
      <c r="M240" s="49" t="str">
        <v/>
      </c>
      <c r="N240" s="76" t="str">
        <v/>
      </c>
      <c r="O240" s="49" t="str">
        <v/>
      </c>
      <c r="P240" s="77" t="str">
        <v>XT39</v>
      </c>
      <c r="Q240" s="53" t="str">
        <v>ВВГнг(А)-LS (3х2,5) L=57-0,47%</v>
      </c>
      <c r="R240" s="54" t="str">
        <v>R.1.017A.2</v>
      </c>
      <c r="S240" s="55" t="str">
        <v>Розеточная группа Первый этаж Пом. №017A</v>
      </c>
      <c r="T240" s="56">
        <v>0.24</v>
      </c>
      <c r="U240" s="56">
        <v>1.1000000000000001</v>
      </c>
      <c r="V240" s="42" t="str">
        <v>L1</v>
      </c>
      <c r="W240" s="57" t="str">
        <v>ok</v>
      </c>
      <c r="X240" s="58" t="str">
        <v/>
      </c>
      <c r="Y240" s="75" t="str">
        <v/>
      </c>
      <c r="Z240" s="59">
        <v>1.1000000000000001</v>
      </c>
      <c r="AA240" s="61">
        <v>6</v>
      </c>
      <c r="AB240" s="61">
        <v>25</v>
      </c>
      <c r="AC240" s="61" t="str">
        <v/>
      </c>
      <c r="AD240" s="62" t="str">
        <v>QFD39 → XT39</v>
      </c>
      <c r="AE240" s="62" t="str">
        <v/>
      </c>
      <c r="AF240" s="34">
        <v>39</v>
      </c>
      <c r="AG240" s="34" t="str">
        <v>QFD39</v>
      </c>
      <c r="AH240" s="34" t="str">
        <v/>
      </c>
      <c r="AI240" s="34" t="str">
        <v/>
      </c>
      <c r="AJ240" s="34" t="str">
        <v>QFD39</v>
      </c>
      <c r="AK240" s="34">
        <v>1</v>
      </c>
      <c r="AL240" s="34" t="str">
        <v>R</v>
      </c>
      <c r="AM240" s="34">
        <v>30</v>
      </c>
      <c r="AN240" s="34">
        <v>0</v>
      </c>
      <c r="AO240" s="34">
        <v>16</v>
      </c>
      <c r="AP240" s="34">
        <v>25</v>
      </c>
      <c r="AQ240" s="34">
        <v>16</v>
      </c>
      <c r="AR240" s="34">
        <v>1</v>
      </c>
      <c r="AS240" s="34">
        <v>1</v>
      </c>
      <c r="AT240" s="34" t="str">
        <v>2P</v>
      </c>
      <c r="AU240" s="34">
        <v>16</v>
      </c>
      <c r="AV240" s="34" t="str">
        <v/>
      </c>
      <c r="AW240" s="34" t="str">
        <v/>
      </c>
      <c r="AX240" s="34" t="str">
        <v/>
      </c>
      <c r="AY240" s="34">
        <v>1</v>
      </c>
      <c r="AZ240" s="34" t="str">
        <v/>
      </c>
      <c r="BA240" s="34">
        <v>0</v>
      </c>
      <c r="BB240" s="34">
        <v>16</v>
      </c>
      <c r="BD240" s="34">
        <v>1</v>
      </c>
      <c r="BE240" s="34">
        <v>0</v>
      </c>
      <c r="BF240" s="34">
        <v>1</v>
      </c>
      <c r="BG240" s="34" t="str">
        <v/>
      </c>
      <c r="BH240" s="34" t="str">
        <v/>
      </c>
      <c r="BI240" s="34" t="str">
        <v/>
      </c>
      <c r="BJ240" s="34" t="str">
        <v/>
      </c>
      <c r="BK240" s="34" t="str">
        <v>SOCKET</v>
      </c>
      <c r="BL240" s="34">
        <v>1</v>
      </c>
      <c r="BM240" s="34" t="str">
        <v/>
      </c>
      <c r="BN240" s="34" t="str">
        <v/>
      </c>
      <c r="BO240" s="34" t="str">
        <v/>
      </c>
      <c r="BP240" s="34" t="str">
        <v/>
      </c>
      <c r="BQ240" s="34" t="str">
        <v>3х2,5</v>
      </c>
      <c r="BR240" s="34" t="str">
        <v/>
      </c>
      <c r="BS240" s="34" t="str">
        <v/>
      </c>
      <c r="BT240" s="34" t="str">
        <v/>
      </c>
      <c r="BU240" s="34">
        <v>0</v>
      </c>
      <c r="BV240" s="34">
        <v>261</v>
      </c>
      <c r="BW240" s="34">
        <v>1</v>
      </c>
      <c r="BX240" s="34">
        <v>0</v>
      </c>
      <c r="BY240" s="34" t="str">
        <v>Розетка</v>
      </c>
      <c r="BZ240">
        <v>10</v>
      </c>
      <c r="CA240" t="str">
        <v>линии</v>
      </c>
    </row>
    <row r="241" spans="1:79" x14ac:dyDescent="0.3">
      <c r="A241" s="39" t="str">
        <v>ЩР-1</v>
      </c>
      <c r="B241" s="42">
        <v>54</v>
      </c>
      <c r="C241" s="42">
        <v>4</v>
      </c>
      <c r="D241" s="75" t="str">
        <v/>
      </c>
      <c r="E241" s="75" t="str">
        <v>авто</v>
      </c>
      <c r="F241" s="76" t="str">
        <v/>
      </c>
      <c r="G241" s="47" t="str">
        <v>QFD40</v>
      </c>
      <c r="H241" s="47" t="str">
        <v>2P С16А 30мА</v>
      </c>
      <c r="I241" s="75" t="str">
        <v/>
      </c>
      <c r="J241" s="76" t="str">
        <v/>
      </c>
      <c r="K241" s="76" t="str">
        <v/>
      </c>
      <c r="L241" s="75" t="str">
        <v/>
      </c>
      <c r="M241" s="49" t="str">
        <v/>
      </c>
      <c r="N241" s="76" t="str">
        <v/>
      </c>
      <c r="O241" s="49" t="str">
        <v/>
      </c>
      <c r="P241" s="77" t="str">
        <v>XT40</v>
      </c>
      <c r="Q241" s="53" t="str">
        <v>ВВГнг(А)-LS (3х2,5) L=42-0,18%</v>
      </c>
      <c r="R241" s="54" t="str">
        <v>R.1.018A.1</v>
      </c>
      <c r="S241" s="55" t="str">
        <v>Розеточная группа Первый этаж Пом. №018A</v>
      </c>
      <c r="T241" s="56">
        <v>0.12</v>
      </c>
      <c r="U241" s="56">
        <v>0.55000000000000004</v>
      </c>
      <c r="V241" s="42" t="str">
        <v>L2</v>
      </c>
      <c r="W241" s="57" t="str">
        <v>ok</v>
      </c>
      <c r="X241" s="58" t="str">
        <v/>
      </c>
      <c r="Y241" s="75" t="str">
        <v/>
      </c>
      <c r="Z241" s="59">
        <v>0.55000000000000004</v>
      </c>
      <c r="AA241" s="61">
        <v>6</v>
      </c>
      <c r="AB241" s="61">
        <v>25</v>
      </c>
      <c r="AC241" s="61" t="str">
        <v/>
      </c>
      <c r="AD241" s="62" t="str">
        <v>QFD40 → XT40</v>
      </c>
      <c r="AE241" s="62" t="str">
        <v/>
      </c>
      <c r="AF241" s="34">
        <v>40</v>
      </c>
      <c r="AG241" s="34" t="str">
        <v>QFD40</v>
      </c>
      <c r="AH241" s="34" t="str">
        <v/>
      </c>
      <c r="AI241" s="34" t="str">
        <v/>
      </c>
      <c r="AJ241" s="34" t="str">
        <v>QFD40</v>
      </c>
      <c r="AK241" s="34">
        <v>1</v>
      </c>
      <c r="AL241" s="34" t="str">
        <v>R</v>
      </c>
      <c r="AM241" s="34">
        <v>30</v>
      </c>
      <c r="AN241" s="34">
        <v>0</v>
      </c>
      <c r="AO241" s="34">
        <v>16</v>
      </c>
      <c r="AP241" s="34">
        <v>25</v>
      </c>
      <c r="AQ241" s="34">
        <v>16</v>
      </c>
      <c r="AR241" s="34">
        <v>1</v>
      </c>
      <c r="AS241" s="34">
        <v>1</v>
      </c>
      <c r="AT241" s="34" t="str">
        <v>2P</v>
      </c>
      <c r="AU241" s="34">
        <v>16</v>
      </c>
      <c r="AV241" s="34" t="str">
        <v/>
      </c>
      <c r="AW241" s="34" t="str">
        <v/>
      </c>
      <c r="AX241" s="34" t="str">
        <v/>
      </c>
      <c r="AY241" s="34">
        <v>1</v>
      </c>
      <c r="AZ241" s="34" t="str">
        <v/>
      </c>
      <c r="BA241" s="34">
        <v>0</v>
      </c>
      <c r="BB241" s="34">
        <v>16</v>
      </c>
      <c r="BD241" s="34">
        <v>1</v>
      </c>
      <c r="BE241" s="34">
        <v>0</v>
      </c>
      <c r="BF241" s="34">
        <v>1</v>
      </c>
      <c r="BG241" s="34" t="str">
        <v/>
      </c>
      <c r="BH241" s="34" t="str">
        <v/>
      </c>
      <c r="BI241" s="34" t="str">
        <v/>
      </c>
      <c r="BJ241" s="34" t="str">
        <v/>
      </c>
      <c r="BK241" s="34" t="str">
        <v>SOCKET</v>
      </c>
      <c r="BL241" s="34">
        <v>1</v>
      </c>
      <c r="BM241" s="34" t="str">
        <v/>
      </c>
      <c r="BN241" s="34" t="str">
        <v/>
      </c>
      <c r="BO241" s="34" t="str">
        <v/>
      </c>
      <c r="BP241" s="34" t="str">
        <v/>
      </c>
      <c r="BQ241" s="34" t="str">
        <v>3х2,5</v>
      </c>
      <c r="BR241" s="34" t="str">
        <v/>
      </c>
      <c r="BS241" s="34" t="str">
        <v/>
      </c>
      <c r="BT241" s="34" t="str">
        <v/>
      </c>
      <c r="BU241" s="34">
        <v>0</v>
      </c>
      <c r="BV241" s="34">
        <v>262</v>
      </c>
      <c r="BW241" s="34">
        <v>1</v>
      </c>
      <c r="BX241" s="34">
        <v>0</v>
      </c>
      <c r="BY241" s="34" t="str">
        <v>Розетка</v>
      </c>
      <c r="BZ241">
        <v>10</v>
      </c>
      <c r="CA241" t="str">
        <v>линии</v>
      </c>
    </row>
    <row r="242" spans="1:79" x14ac:dyDescent="0.3">
      <c r="A242" s="39" t="str">
        <v>ЩР-1</v>
      </c>
      <c r="B242" s="42">
        <v>55</v>
      </c>
      <c r="C242" s="42">
        <v>4</v>
      </c>
      <c r="D242" s="75" t="str">
        <v/>
      </c>
      <c r="E242" s="75" t="str">
        <v>авто</v>
      </c>
      <c r="F242" s="76" t="str">
        <v/>
      </c>
      <c r="G242" s="47" t="str">
        <v>QFD41</v>
      </c>
      <c r="H242" s="47" t="str">
        <v>2P С16А 30мА</v>
      </c>
      <c r="I242" s="75" t="str">
        <v/>
      </c>
      <c r="J242" s="76" t="str">
        <v/>
      </c>
      <c r="K242" s="76" t="str">
        <v/>
      </c>
      <c r="L242" s="75" t="str">
        <v/>
      </c>
      <c r="M242" s="49" t="str">
        <v/>
      </c>
      <c r="N242" s="76" t="str">
        <v/>
      </c>
      <c r="O242" s="49" t="str">
        <v/>
      </c>
      <c r="P242" s="77" t="str">
        <v>XT41</v>
      </c>
      <c r="Q242" s="53" t="str">
        <v>ВВГнг(А)-LS (3х2,5) L=40-0,05%</v>
      </c>
      <c r="R242" s="54" t="str">
        <v>R.1.019A.1</v>
      </c>
      <c r="S242" s="55" t="str">
        <v>Розеточная группа Первый этаж Пом. №019A Полотенцесушитель</v>
      </c>
      <c r="T242" s="56">
        <v>0.03</v>
      </c>
      <c r="U242" s="56">
        <v>0.14000000000000001</v>
      </c>
      <c r="V242" s="42" t="str">
        <v>L3</v>
      </c>
      <c r="W242" s="57" t="str">
        <v>ok</v>
      </c>
      <c r="X242" s="58" t="str">
        <v/>
      </c>
      <c r="Y242" s="75" t="str">
        <v/>
      </c>
      <c r="Z242" s="59">
        <v>0.14000000000000001</v>
      </c>
      <c r="AA242" s="61">
        <v>6</v>
      </c>
      <c r="AB242" s="61">
        <v>25</v>
      </c>
      <c r="AC242" s="61" t="str">
        <v/>
      </c>
      <c r="AD242" s="62" t="str">
        <v>QFD41 → XT41</v>
      </c>
      <c r="AE242" s="62" t="str">
        <v/>
      </c>
      <c r="AF242" s="34">
        <v>41</v>
      </c>
      <c r="AG242" s="34" t="str">
        <v>QFD41</v>
      </c>
      <c r="AH242" s="34" t="str">
        <v/>
      </c>
      <c r="AI242" s="34" t="str">
        <v/>
      </c>
      <c r="AJ242" s="34" t="str">
        <v>QFD41</v>
      </c>
      <c r="AK242" s="34">
        <v>1</v>
      </c>
      <c r="AL242" s="34" t="str">
        <v>R</v>
      </c>
      <c r="AM242" s="34">
        <v>30</v>
      </c>
      <c r="AN242" s="34">
        <v>0</v>
      </c>
      <c r="AO242" s="34">
        <v>16</v>
      </c>
      <c r="AP242" s="34">
        <v>25</v>
      </c>
      <c r="AQ242" s="34">
        <v>16</v>
      </c>
      <c r="AR242" s="34">
        <v>1</v>
      </c>
      <c r="AS242" s="34">
        <v>1</v>
      </c>
      <c r="AT242" s="34" t="str">
        <v>2P</v>
      </c>
      <c r="AU242" s="34">
        <v>16</v>
      </c>
      <c r="AV242" s="34" t="str">
        <v/>
      </c>
      <c r="AW242" s="34" t="str">
        <v/>
      </c>
      <c r="AX242" s="34" t="str">
        <v/>
      </c>
      <c r="AY242" s="34">
        <v>1</v>
      </c>
      <c r="AZ242" s="34" t="str">
        <v/>
      </c>
      <c r="BA242" s="34">
        <v>0</v>
      </c>
      <c r="BB242" s="34">
        <v>16</v>
      </c>
      <c r="BD242" s="34">
        <v>1</v>
      </c>
      <c r="BE242" s="34">
        <v>0</v>
      </c>
      <c r="BF242" s="34">
        <v>1</v>
      </c>
      <c r="BG242" s="34" t="str">
        <v/>
      </c>
      <c r="BH242" s="34" t="str">
        <v/>
      </c>
      <c r="BI242" s="34" t="str">
        <v/>
      </c>
      <c r="BJ242" s="34" t="str">
        <v/>
      </c>
      <c r="BK242" s="34" t="str">
        <v>SOCKET</v>
      </c>
      <c r="BL242" s="34">
        <v>1</v>
      </c>
      <c r="BM242" s="34" t="str">
        <v/>
      </c>
      <c r="BN242" s="34" t="str">
        <v/>
      </c>
      <c r="BO242" s="34" t="str">
        <v/>
      </c>
      <c r="BP242" s="34" t="str">
        <v/>
      </c>
      <c r="BQ242" s="34" t="str">
        <v>3х2,5</v>
      </c>
      <c r="BR242" s="34" t="str">
        <v/>
      </c>
      <c r="BS242" s="34" t="str">
        <v/>
      </c>
      <c r="BT242" s="34" t="str">
        <v/>
      </c>
      <c r="BU242" s="34">
        <v>0</v>
      </c>
      <c r="BV242" s="34">
        <v>263</v>
      </c>
      <c r="BW242" s="34">
        <v>1</v>
      </c>
      <c r="BX242" s="34">
        <v>0</v>
      </c>
      <c r="BY242" s="34" t="str">
        <v>Розетка</v>
      </c>
      <c r="BZ242">
        <v>10</v>
      </c>
      <c r="CA242" t="str">
        <v>линии</v>
      </c>
    </row>
    <row r="243" spans="1:79" x14ac:dyDescent="0.3">
      <c r="A243" s="39" t="str">
        <v>ЩР-1</v>
      </c>
      <c r="B243" s="42">
        <v>56</v>
      </c>
      <c r="C243" s="42">
        <v>4</v>
      </c>
      <c r="D243" s="75" t="str">
        <v/>
      </c>
      <c r="E243" s="75" t="str">
        <v>авто</v>
      </c>
      <c r="F243" s="76" t="str">
        <v/>
      </c>
      <c r="G243" s="47" t="str">
        <v>QFD42</v>
      </c>
      <c r="H243" s="47" t="str">
        <v>2P С16А 30мА</v>
      </c>
      <c r="I243" s="75" t="str">
        <v/>
      </c>
      <c r="J243" s="76" t="str">
        <v/>
      </c>
      <c r="K243" s="76" t="str">
        <v/>
      </c>
      <c r="L243" s="75" t="str">
        <v/>
      </c>
      <c r="M243" s="49" t="str">
        <v/>
      </c>
      <c r="N243" s="76" t="str">
        <v/>
      </c>
      <c r="O243" s="49" t="str">
        <v/>
      </c>
      <c r="P243" s="77" t="str">
        <v>XT42</v>
      </c>
      <c r="Q243" s="53" t="str">
        <v>ВВГнг(А)-LS (3х2,5) L=54-0,22%</v>
      </c>
      <c r="R243" s="54" t="str">
        <v>R.1.020A.2</v>
      </c>
      <c r="S243" s="55" t="str">
        <v>Розеточная группа Первый этаж Пом. №020A</v>
      </c>
      <c r="T243" s="56">
        <v>0.12</v>
      </c>
      <c r="U243" s="56">
        <v>0.55000000000000004</v>
      </c>
      <c r="V243" s="42" t="str">
        <v>L1</v>
      </c>
      <c r="W243" s="57" t="str">
        <v>ok</v>
      </c>
      <c r="X243" s="58" t="str">
        <v/>
      </c>
      <c r="Y243" s="75" t="str">
        <v/>
      </c>
      <c r="Z243" s="59">
        <v>0.55000000000000004</v>
      </c>
      <c r="AA243" s="61">
        <v>6</v>
      </c>
      <c r="AB243" s="61">
        <v>25</v>
      </c>
      <c r="AC243" s="61" t="str">
        <v/>
      </c>
      <c r="AD243" s="62" t="str">
        <v>QFD42 → XT42</v>
      </c>
      <c r="AE243" s="62" t="str">
        <v/>
      </c>
      <c r="AF243" s="34">
        <v>42</v>
      </c>
      <c r="AG243" s="34" t="str">
        <v>QFD42</v>
      </c>
      <c r="AH243" s="34" t="str">
        <v/>
      </c>
      <c r="AI243" s="34" t="str">
        <v/>
      </c>
      <c r="AJ243" s="34" t="str">
        <v>QFD42</v>
      </c>
      <c r="AK243" s="34">
        <v>1</v>
      </c>
      <c r="AL243" s="34" t="str">
        <v>R</v>
      </c>
      <c r="AM243" s="34">
        <v>30</v>
      </c>
      <c r="AN243" s="34">
        <v>0</v>
      </c>
      <c r="AO243" s="34">
        <v>16</v>
      </c>
      <c r="AP243" s="34">
        <v>25</v>
      </c>
      <c r="AQ243" s="34">
        <v>16</v>
      </c>
      <c r="AR243" s="34">
        <v>1</v>
      </c>
      <c r="AS243" s="34">
        <v>1</v>
      </c>
      <c r="AT243" s="34" t="str">
        <v>2P</v>
      </c>
      <c r="AU243" s="34">
        <v>16</v>
      </c>
      <c r="AV243" s="34" t="str">
        <v/>
      </c>
      <c r="AW243" s="34" t="str">
        <v/>
      </c>
      <c r="AX243" s="34" t="str">
        <v/>
      </c>
      <c r="AY243" s="34">
        <v>1</v>
      </c>
      <c r="AZ243" s="34" t="str">
        <v/>
      </c>
      <c r="BA243" s="34">
        <v>0</v>
      </c>
      <c r="BB243" s="34">
        <v>16</v>
      </c>
      <c r="BD243" s="34">
        <v>1</v>
      </c>
      <c r="BE243" s="34">
        <v>0</v>
      </c>
      <c r="BF243" s="34">
        <v>1</v>
      </c>
      <c r="BG243" s="34" t="str">
        <v/>
      </c>
      <c r="BH243" s="34" t="str">
        <v/>
      </c>
      <c r="BI243" s="34" t="str">
        <v/>
      </c>
      <c r="BJ243" s="34" t="str">
        <v/>
      </c>
      <c r="BK243" s="34" t="str">
        <v>SOCKET</v>
      </c>
      <c r="BL243" s="34">
        <v>1</v>
      </c>
      <c r="BM243" s="34" t="str">
        <v/>
      </c>
      <c r="BN243" s="34" t="str">
        <v/>
      </c>
      <c r="BO243" s="34" t="str">
        <v/>
      </c>
      <c r="BP243" s="34" t="str">
        <v/>
      </c>
      <c r="BQ243" s="34" t="str">
        <v>3х2,5</v>
      </c>
      <c r="BR243" s="34" t="str">
        <v/>
      </c>
      <c r="BS243" s="34" t="str">
        <v/>
      </c>
      <c r="BT243" s="34" t="str">
        <v/>
      </c>
      <c r="BU243" s="34">
        <v>0</v>
      </c>
      <c r="BV243" s="34">
        <v>264</v>
      </c>
      <c r="BW243" s="34">
        <v>1</v>
      </c>
      <c r="BX243" s="34">
        <v>0</v>
      </c>
      <c r="BY243" s="34" t="str">
        <v>Розетка</v>
      </c>
      <c r="BZ243">
        <v>10</v>
      </c>
      <c r="CA243" t="str">
        <v>линии</v>
      </c>
    </row>
    <row r="244" spans="1:79" x14ac:dyDescent="0.3">
      <c r="A244" s="39" t="str">
        <v>ЩР-1</v>
      </c>
      <c r="B244" s="42">
        <v>57</v>
      </c>
      <c r="C244" s="42">
        <v>4</v>
      </c>
      <c r="D244" s="75" t="str">
        <v/>
      </c>
      <c r="E244" s="75" t="str">
        <v>авто</v>
      </c>
      <c r="F244" s="76" t="str">
        <v/>
      </c>
      <c r="G244" s="47" t="str">
        <v>QFD43</v>
      </c>
      <c r="H244" s="47" t="str">
        <v>2P С16А 30мА</v>
      </c>
      <c r="I244" s="75" t="str">
        <v/>
      </c>
      <c r="J244" s="76" t="str">
        <v/>
      </c>
      <c r="K244" s="76" t="str">
        <v/>
      </c>
      <c r="L244" s="75" t="str">
        <v/>
      </c>
      <c r="M244" s="49" t="str">
        <v/>
      </c>
      <c r="N244" s="76" t="str">
        <v/>
      </c>
      <c r="O244" s="49" t="str">
        <v/>
      </c>
      <c r="P244" s="77" t="str">
        <v>XT43</v>
      </c>
      <c r="Q244" s="53" t="str">
        <v>ВВГнг(А)-LS (3х2,5) L=39-1,99%</v>
      </c>
      <c r="R244" s="54" t="str">
        <v>R.1.021A.1</v>
      </c>
      <c r="S244" s="55" t="str">
        <v>Розеточная группа Первый этаж Пом. №021A Кофемашина</v>
      </c>
      <c r="T244" s="56">
        <v>1.5</v>
      </c>
      <c r="U244" s="56">
        <v>6.84</v>
      </c>
      <c r="V244" s="42" t="str">
        <v>L2</v>
      </c>
      <c r="W244" s="57" t="str">
        <v>ok</v>
      </c>
      <c r="X244" s="58" t="str">
        <v/>
      </c>
      <c r="Y244" s="75" t="str">
        <v/>
      </c>
      <c r="Z244" s="59">
        <v>6.84</v>
      </c>
      <c r="AA244" s="61">
        <v>10</v>
      </c>
      <c r="AB244" s="61">
        <v>25</v>
      </c>
      <c r="AC244" s="61" t="str">
        <v/>
      </c>
      <c r="AD244" s="62" t="str">
        <v>QFD43 → XT43</v>
      </c>
      <c r="AE244" s="62" t="str">
        <v/>
      </c>
      <c r="AF244" s="34">
        <v>43</v>
      </c>
      <c r="AG244" s="34" t="str">
        <v>QFD43</v>
      </c>
      <c r="AH244" s="34" t="str">
        <v/>
      </c>
      <c r="AI244" s="34" t="str">
        <v/>
      </c>
      <c r="AJ244" s="34" t="str">
        <v>QFD43</v>
      </c>
      <c r="AK244" s="34">
        <v>1</v>
      </c>
      <c r="AL244" s="34" t="str">
        <v>R</v>
      </c>
      <c r="AM244" s="34">
        <v>30</v>
      </c>
      <c r="AN244" s="34">
        <v>0</v>
      </c>
      <c r="AO244" s="34">
        <v>16</v>
      </c>
      <c r="AP244" s="34">
        <v>25</v>
      </c>
      <c r="AQ244" s="34">
        <v>16</v>
      </c>
      <c r="AR244" s="34">
        <v>1</v>
      </c>
      <c r="AS244" s="34">
        <v>1</v>
      </c>
      <c r="AT244" s="34" t="str">
        <v>2P</v>
      </c>
      <c r="AU244" s="34">
        <v>16</v>
      </c>
      <c r="AV244" s="34" t="str">
        <v/>
      </c>
      <c r="AW244" s="34" t="str">
        <v/>
      </c>
      <c r="AX244" s="34" t="str">
        <v/>
      </c>
      <c r="AY244" s="34">
        <v>1</v>
      </c>
      <c r="AZ244" s="34" t="str">
        <v/>
      </c>
      <c r="BA244" s="34">
        <v>0</v>
      </c>
      <c r="BB244" s="34">
        <v>16</v>
      </c>
      <c r="BD244" s="34">
        <v>1</v>
      </c>
      <c r="BE244" s="34">
        <v>0</v>
      </c>
      <c r="BF244" s="34">
        <v>1</v>
      </c>
      <c r="BG244" s="34" t="str">
        <v/>
      </c>
      <c r="BH244" s="34" t="str">
        <v/>
      </c>
      <c r="BI244" s="34" t="str">
        <v/>
      </c>
      <c r="BJ244" s="34" t="str">
        <v/>
      </c>
      <c r="BK244" s="34" t="str">
        <v>SOCKET</v>
      </c>
      <c r="BL244" s="34">
        <v>1</v>
      </c>
      <c r="BM244" s="34" t="str">
        <v/>
      </c>
      <c r="BN244" s="34" t="str">
        <v/>
      </c>
      <c r="BO244" s="34" t="str">
        <v/>
      </c>
      <c r="BP244" s="34" t="str">
        <v/>
      </c>
      <c r="BQ244" s="34" t="str">
        <v>3х2,5</v>
      </c>
      <c r="BR244" s="34" t="str">
        <v/>
      </c>
      <c r="BS244" s="34" t="str">
        <v/>
      </c>
      <c r="BT244" s="34" t="str">
        <v/>
      </c>
      <c r="BU244" s="34">
        <v>0</v>
      </c>
      <c r="BV244" s="34">
        <v>265</v>
      </c>
      <c r="BW244" s="34">
        <v>1</v>
      </c>
      <c r="BX244" s="34">
        <v>0</v>
      </c>
      <c r="BY244" s="34" t="str">
        <v>Розетка</v>
      </c>
      <c r="BZ244">
        <v>10</v>
      </c>
      <c r="CA244" t="str">
        <v>линии</v>
      </c>
    </row>
    <row r="245" spans="1:79" x14ac:dyDescent="0.3">
      <c r="A245" s="39" t="str">
        <v>ЩР-1</v>
      </c>
      <c r="B245" s="42">
        <v>58</v>
      </c>
      <c r="C245" s="42">
        <v>4</v>
      </c>
      <c r="D245" s="75" t="str">
        <v/>
      </c>
      <c r="E245" s="75" t="str">
        <v>авто</v>
      </c>
      <c r="F245" s="76" t="str">
        <v/>
      </c>
      <c r="G245" s="47" t="str">
        <v>QFD44</v>
      </c>
      <c r="H245" s="47" t="str">
        <v>2P С16А 30мА</v>
      </c>
      <c r="I245" s="75" t="str">
        <v/>
      </c>
      <c r="J245" s="76" t="str">
        <v/>
      </c>
      <c r="K245" s="76" t="str">
        <v/>
      </c>
      <c r="L245" s="75" t="str">
        <v/>
      </c>
      <c r="M245" s="49" t="str">
        <v/>
      </c>
      <c r="N245" s="76" t="str">
        <v/>
      </c>
      <c r="O245" s="49" t="str">
        <v/>
      </c>
      <c r="P245" s="77" t="str">
        <v>XT44</v>
      </c>
      <c r="Q245" s="53" t="str">
        <v>ВВГнг(А)-LS (3х2,5) L=42-2,85%</v>
      </c>
      <c r="R245" s="54" t="str">
        <v>R.1.021A.10</v>
      </c>
      <c r="S245" s="55" t="str">
        <v>Розеточная группа Первый этаж Пом. №021A ПММ</v>
      </c>
      <c r="T245" s="56">
        <v>2</v>
      </c>
      <c r="U245" s="56">
        <v>9.1199999999999992</v>
      </c>
      <c r="V245" s="42" t="str">
        <v>L3</v>
      </c>
      <c r="W245" s="57" t="str">
        <v>ok</v>
      </c>
      <c r="X245" s="58" t="str">
        <v/>
      </c>
      <c r="Y245" s="75" t="str">
        <v/>
      </c>
      <c r="Z245" s="59">
        <v>9.1199999999999992</v>
      </c>
      <c r="AA245" s="61">
        <v>16</v>
      </c>
      <c r="AB245" s="61">
        <v>25</v>
      </c>
      <c r="AC245" s="61" t="str">
        <v/>
      </c>
      <c r="AD245" s="62" t="str">
        <v>QFD44 → XT44</v>
      </c>
      <c r="AE245" s="62" t="str">
        <v>потери 4,1 % &gt; 4 %</v>
      </c>
      <c r="AF245" s="34">
        <v>44</v>
      </c>
      <c r="AG245" s="34" t="str">
        <v>QFD44</v>
      </c>
      <c r="AH245" s="34" t="str">
        <v/>
      </c>
      <c r="AI245" s="34" t="str">
        <v/>
      </c>
      <c r="AJ245" s="34" t="str">
        <v>QFD44</v>
      </c>
      <c r="AK245" s="34">
        <v>1</v>
      </c>
      <c r="AL245" s="34" t="str">
        <v>R</v>
      </c>
      <c r="AM245" s="34">
        <v>30</v>
      </c>
      <c r="AN245" s="34">
        <v>0</v>
      </c>
      <c r="AO245" s="34">
        <v>16</v>
      </c>
      <c r="AP245" s="34">
        <v>25</v>
      </c>
      <c r="AQ245" s="34">
        <v>16</v>
      </c>
      <c r="AR245" s="34">
        <v>1</v>
      </c>
      <c r="AS245" s="34">
        <v>1</v>
      </c>
      <c r="AT245" s="34" t="str">
        <v>2P</v>
      </c>
      <c r="AU245" s="34">
        <v>16</v>
      </c>
      <c r="AV245" s="34" t="str">
        <v/>
      </c>
      <c r="AW245" s="34" t="str">
        <v/>
      </c>
      <c r="AX245" s="34" t="str">
        <v/>
      </c>
      <c r="AY245" s="34">
        <v>1</v>
      </c>
      <c r="AZ245" s="34" t="str">
        <v/>
      </c>
      <c r="BA245" s="34">
        <v>0</v>
      </c>
      <c r="BB245" s="34">
        <v>16</v>
      </c>
      <c r="BD245" s="34">
        <v>1</v>
      </c>
      <c r="BE245" s="34">
        <v>0</v>
      </c>
      <c r="BF245" s="34">
        <v>1</v>
      </c>
      <c r="BG245" s="34" t="str">
        <v/>
      </c>
      <c r="BH245" s="34" t="str">
        <v/>
      </c>
      <c r="BI245" s="34" t="str">
        <v/>
      </c>
      <c r="BJ245" s="34" t="str">
        <v/>
      </c>
      <c r="BK245" s="34" t="str">
        <v>SOCKET</v>
      </c>
      <c r="BL245" s="34">
        <v>1</v>
      </c>
      <c r="BM245" s="34" t="str">
        <v/>
      </c>
      <c r="BN245" s="34" t="str">
        <v/>
      </c>
      <c r="BO245" s="34" t="str">
        <v/>
      </c>
      <c r="BP245" s="34" t="str">
        <v/>
      </c>
      <c r="BQ245" s="34" t="str">
        <v>3х2,5</v>
      </c>
      <c r="BR245" s="34" t="str">
        <v/>
      </c>
      <c r="BS245" s="34" t="str">
        <v/>
      </c>
      <c r="BT245" s="34" t="str">
        <v/>
      </c>
      <c r="BU245" s="34">
        <v>1</v>
      </c>
      <c r="BV245" s="34">
        <v>266</v>
      </c>
      <c r="BW245" s="34">
        <v>1</v>
      </c>
      <c r="BX245" s="34">
        <v>0</v>
      </c>
      <c r="BY245" s="34" t="str">
        <v>Розетка</v>
      </c>
      <c r="BZ245">
        <v>10</v>
      </c>
      <c r="CA245" t="str">
        <v>линии</v>
      </c>
    </row>
    <row r="246" spans="1:79" x14ac:dyDescent="0.3">
      <c r="A246" s="39" t="str">
        <v>ЩР-1</v>
      </c>
      <c r="B246" s="42">
        <v>59</v>
      </c>
      <c r="C246" s="42">
        <v>4</v>
      </c>
      <c r="D246" s="75" t="str">
        <v/>
      </c>
      <c r="E246" s="75" t="str">
        <v>авто</v>
      </c>
      <c r="F246" s="76" t="str">
        <v/>
      </c>
      <c r="G246" s="47" t="str">
        <v>QFD45</v>
      </c>
      <c r="H246" s="47" t="str">
        <v>2P С16А 30мА</v>
      </c>
      <c r="I246" s="75" t="str">
        <v/>
      </c>
      <c r="J246" s="76" t="str">
        <v/>
      </c>
      <c r="K246" s="76" t="str">
        <v/>
      </c>
      <c r="L246" s="75" t="str">
        <v/>
      </c>
      <c r="M246" s="49" t="str">
        <v/>
      </c>
      <c r="N246" s="76" t="str">
        <v/>
      </c>
      <c r="O246" s="49" t="str">
        <v/>
      </c>
      <c r="P246" s="77" t="str">
        <v>XT45</v>
      </c>
      <c r="Q246" s="53" t="str">
        <v>ВВГнг(А)-LS (3х2,5) L=6-0,04%</v>
      </c>
      <c r="R246" s="54" t="str">
        <v>R.1.021A.11</v>
      </c>
      <c r="S246" s="55" t="str">
        <v>Розеточная группа Первый этаж Пом. №021A</v>
      </c>
      <c r="T246" s="56">
        <v>0.18</v>
      </c>
      <c r="U246" s="56">
        <v>0.83</v>
      </c>
      <c r="V246" s="42" t="str">
        <v>L1</v>
      </c>
      <c r="W246" s="57" t="str">
        <v>ok</v>
      </c>
      <c r="X246" s="58" t="str">
        <v/>
      </c>
      <c r="Y246" s="75" t="str">
        <v/>
      </c>
      <c r="Z246" s="59">
        <v>0.83</v>
      </c>
      <c r="AA246" s="61">
        <v>6</v>
      </c>
      <c r="AB246" s="61">
        <v>25</v>
      </c>
      <c r="AC246" s="61" t="str">
        <v/>
      </c>
      <c r="AD246" s="62" t="str">
        <v>QFD45 → XT45</v>
      </c>
      <c r="AE246" s="62" t="str">
        <v/>
      </c>
      <c r="AF246" s="34">
        <v>45</v>
      </c>
      <c r="AG246" s="34" t="str">
        <v>QFD45</v>
      </c>
      <c r="AH246" s="34" t="str">
        <v/>
      </c>
      <c r="AI246" s="34" t="str">
        <v/>
      </c>
      <c r="AJ246" s="34" t="str">
        <v>QFD45</v>
      </c>
      <c r="AK246" s="34">
        <v>1</v>
      </c>
      <c r="AL246" s="34" t="str">
        <v>R</v>
      </c>
      <c r="AM246" s="34">
        <v>30</v>
      </c>
      <c r="AN246" s="34">
        <v>0</v>
      </c>
      <c r="AO246" s="34">
        <v>16</v>
      </c>
      <c r="AP246" s="34">
        <v>25</v>
      </c>
      <c r="AQ246" s="34">
        <v>16</v>
      </c>
      <c r="AR246" s="34">
        <v>1</v>
      </c>
      <c r="AS246" s="34">
        <v>1</v>
      </c>
      <c r="AT246" s="34" t="str">
        <v>2P</v>
      </c>
      <c r="AU246" s="34">
        <v>16</v>
      </c>
      <c r="AV246" s="34" t="str">
        <v/>
      </c>
      <c r="AW246" s="34" t="str">
        <v/>
      </c>
      <c r="AX246" s="34" t="str">
        <v/>
      </c>
      <c r="AY246" s="34">
        <v>1</v>
      </c>
      <c r="AZ246" s="34" t="str">
        <v/>
      </c>
      <c r="BA246" s="34">
        <v>0</v>
      </c>
      <c r="BB246" s="34">
        <v>16</v>
      </c>
      <c r="BD246" s="34">
        <v>1</v>
      </c>
      <c r="BE246" s="34">
        <v>0</v>
      </c>
      <c r="BF246" s="34">
        <v>1</v>
      </c>
      <c r="BG246" s="34" t="str">
        <v/>
      </c>
      <c r="BH246" s="34" t="str">
        <v/>
      </c>
      <c r="BI246" s="34" t="str">
        <v/>
      </c>
      <c r="BJ246" s="34" t="str">
        <v/>
      </c>
      <c r="BK246" s="34" t="str">
        <v>SOCKET</v>
      </c>
      <c r="BL246" s="34">
        <v>1</v>
      </c>
      <c r="BM246" s="34" t="str">
        <v/>
      </c>
      <c r="BN246" s="34" t="str">
        <v/>
      </c>
      <c r="BO246" s="34" t="str">
        <v/>
      </c>
      <c r="BP246" s="34" t="str">
        <v/>
      </c>
      <c r="BQ246" s="34" t="str">
        <v>3х2,5</v>
      </c>
      <c r="BR246" s="34" t="str">
        <v/>
      </c>
      <c r="BS246" s="34" t="str">
        <v/>
      </c>
      <c r="BT246" s="34" t="str">
        <v/>
      </c>
      <c r="BU246" s="34">
        <v>0</v>
      </c>
      <c r="BV246" s="34">
        <v>267</v>
      </c>
      <c r="BW246" s="34">
        <v>1</v>
      </c>
      <c r="BX246" s="34">
        <v>0</v>
      </c>
      <c r="BY246" s="34" t="str">
        <v>Розетка</v>
      </c>
      <c r="BZ246">
        <v>10</v>
      </c>
      <c r="CA246" t="str">
        <v>линии</v>
      </c>
    </row>
    <row r="247" spans="1:79" x14ac:dyDescent="0.3">
      <c r="A247" s="39" t="str">
        <v>ЩР-1</v>
      </c>
      <c r="B247" s="42">
        <v>60</v>
      </c>
      <c r="C247" s="42">
        <v>4</v>
      </c>
      <c r="D247" s="75" t="str">
        <v/>
      </c>
      <c r="E247" s="75" t="str">
        <v>авто</v>
      </c>
      <c r="F247" s="76" t="str">
        <v/>
      </c>
      <c r="G247" s="47" t="str">
        <v>QFD46</v>
      </c>
      <c r="H247" s="47" t="str">
        <v>2P С20А 30мА</v>
      </c>
      <c r="I247" s="75" t="str">
        <v/>
      </c>
      <c r="J247" s="76" t="str">
        <v/>
      </c>
      <c r="K247" s="76" t="str">
        <v/>
      </c>
      <c r="L247" s="75" t="str">
        <v/>
      </c>
      <c r="M247" s="49" t="str">
        <v/>
      </c>
      <c r="N247" s="76" t="str">
        <v/>
      </c>
      <c r="O247" s="49" t="str">
        <v/>
      </c>
      <c r="P247" s="77" t="str">
        <v>XT46</v>
      </c>
      <c r="Q247" s="53" t="str">
        <v>ВВГнг(А)-LS (3х4) L=39-3,07%</v>
      </c>
      <c r="R247" s="54" t="str">
        <v>R.1.021A.2</v>
      </c>
      <c r="S247" s="55" t="str">
        <v>Розеточная группа Первый этаж Пом. №021A Духовой шкаф</v>
      </c>
      <c r="T247" s="56">
        <v>3.7</v>
      </c>
      <c r="U247" s="56">
        <v>16.87</v>
      </c>
      <c r="V247" s="42" t="str">
        <v>L2</v>
      </c>
      <c r="W247" s="57" t="str">
        <v>ok</v>
      </c>
      <c r="X247" s="58" t="str">
        <v/>
      </c>
      <c r="Y247" s="75" t="str">
        <v/>
      </c>
      <c r="Z247" s="59">
        <v>16.87</v>
      </c>
      <c r="AA247" s="61">
        <v>20</v>
      </c>
      <c r="AB247" s="61">
        <v>32</v>
      </c>
      <c r="AC247" s="61" t="str">
        <v/>
      </c>
      <c r="AD247" s="62" t="str">
        <v>QFD46 → XT46</v>
      </c>
      <c r="AE247" s="62" t="str">
        <v>потери 4,3 % &gt; 4 %</v>
      </c>
      <c r="AF247" s="34">
        <v>46</v>
      </c>
      <c r="AG247" s="34" t="str">
        <v>QFD46</v>
      </c>
      <c r="AH247" s="34" t="str">
        <v/>
      </c>
      <c r="AI247" s="34" t="str">
        <v/>
      </c>
      <c r="AJ247" s="34" t="str">
        <v>QFD46</v>
      </c>
      <c r="AK247" s="34">
        <v>1</v>
      </c>
      <c r="AL247" s="34" t="str">
        <v>R</v>
      </c>
      <c r="AM247" s="34">
        <v>30</v>
      </c>
      <c r="AN247" s="34">
        <v>0</v>
      </c>
      <c r="AO247" s="34">
        <v>20</v>
      </c>
      <c r="AP247" s="34">
        <v>32</v>
      </c>
      <c r="AQ247" s="34">
        <v>20</v>
      </c>
      <c r="AR247" s="34">
        <v>1</v>
      </c>
      <c r="AS247" s="34">
        <v>1</v>
      </c>
      <c r="AT247" s="34" t="str">
        <v>2P</v>
      </c>
      <c r="AU247" s="34">
        <v>20</v>
      </c>
      <c r="AV247" s="34" t="str">
        <v/>
      </c>
      <c r="AW247" s="34" t="str">
        <v/>
      </c>
      <c r="AX247" s="34" t="str">
        <v/>
      </c>
      <c r="AY247" s="34">
        <v>1</v>
      </c>
      <c r="AZ247" s="34" t="str">
        <v/>
      </c>
      <c r="BA247" s="34">
        <v>0</v>
      </c>
      <c r="BB247" s="34">
        <v>16</v>
      </c>
      <c r="BD247" s="34">
        <v>1</v>
      </c>
      <c r="BE247" s="34">
        <v>0</v>
      </c>
      <c r="BF247" s="34">
        <v>1</v>
      </c>
      <c r="BG247" s="34" t="str">
        <v/>
      </c>
      <c r="BH247" s="34" t="str">
        <v/>
      </c>
      <c r="BI247" s="34" t="str">
        <v/>
      </c>
      <c r="BJ247" s="34" t="str">
        <v/>
      </c>
      <c r="BK247" s="34" t="str">
        <v>SOCKET</v>
      </c>
      <c r="BL247" s="34">
        <v>1</v>
      </c>
      <c r="BM247" s="34" t="str">
        <v/>
      </c>
      <c r="BN247" s="34" t="str">
        <v/>
      </c>
      <c r="BO247" s="34" t="str">
        <v/>
      </c>
      <c r="BP247" s="34" t="str">
        <v/>
      </c>
      <c r="BQ247" s="34" t="str">
        <v>3х4</v>
      </c>
      <c r="BR247" s="34" t="str">
        <v/>
      </c>
      <c r="BS247" s="34" t="str">
        <v/>
      </c>
      <c r="BT247" s="34" t="str">
        <v/>
      </c>
      <c r="BU247" s="34">
        <v>1</v>
      </c>
      <c r="BV247" s="34">
        <v>268</v>
      </c>
      <c r="BW247" s="34">
        <v>1</v>
      </c>
      <c r="BX247" s="34">
        <v>0</v>
      </c>
      <c r="BY247" s="34" t="str">
        <v>Розетка</v>
      </c>
      <c r="BZ247">
        <v>10</v>
      </c>
      <c r="CA247" t="str">
        <v>линии</v>
      </c>
    </row>
    <row r="248" spans="1:79" x14ac:dyDescent="0.3">
      <c r="A248" s="39" t="str">
        <v>ЩР-1</v>
      </c>
      <c r="B248" s="42">
        <v>61</v>
      </c>
      <c r="C248" s="42">
        <v>4</v>
      </c>
      <c r="D248" s="75" t="str">
        <v/>
      </c>
      <c r="E248" s="75" t="str">
        <v>авто</v>
      </c>
      <c r="F248" s="76" t="str">
        <v/>
      </c>
      <c r="G248" s="47" t="str">
        <v>QFD47</v>
      </c>
      <c r="H248" s="47" t="str">
        <v>2P С16А 30мА</v>
      </c>
      <c r="I248" s="75" t="str">
        <v/>
      </c>
      <c r="J248" s="76" t="str">
        <v/>
      </c>
      <c r="K248" s="76" t="str">
        <v/>
      </c>
      <c r="L248" s="75" t="str">
        <v/>
      </c>
      <c r="M248" s="49" t="str">
        <v/>
      </c>
      <c r="N248" s="76" t="str">
        <v/>
      </c>
      <c r="O248" s="49" t="str">
        <v/>
      </c>
      <c r="P248" s="77" t="str">
        <v>XT47</v>
      </c>
      <c r="Q248" s="53" t="str">
        <v>ВВГнг(А)-LS (3х2,5) L=39-2,12%</v>
      </c>
      <c r="R248" s="54" t="str">
        <v>R.1.021A.3</v>
      </c>
      <c r="S248" s="55" t="str">
        <v>Розеточная группа Первый этаж Пом. №021A Микроволновая печь</v>
      </c>
      <c r="T248" s="56">
        <v>1.6</v>
      </c>
      <c r="U248" s="56">
        <v>7.3</v>
      </c>
      <c r="V248" s="42" t="str">
        <v>L3</v>
      </c>
      <c r="W248" s="57" t="str">
        <v>ok</v>
      </c>
      <c r="X248" s="58" t="str">
        <v/>
      </c>
      <c r="Y248" s="75" t="str">
        <v/>
      </c>
      <c r="Z248" s="59">
        <v>7.3</v>
      </c>
      <c r="AA248" s="61">
        <v>10</v>
      </c>
      <c r="AB248" s="61">
        <v>25</v>
      </c>
      <c r="AC248" s="61" t="str">
        <v/>
      </c>
      <c r="AD248" s="62" t="str">
        <v>QFD47 → XT47</v>
      </c>
      <c r="AE248" s="62" t="str">
        <v/>
      </c>
      <c r="AF248" s="34">
        <v>47</v>
      </c>
      <c r="AG248" s="34" t="str">
        <v>QFD47</v>
      </c>
      <c r="AH248" s="34" t="str">
        <v/>
      </c>
      <c r="AI248" s="34" t="str">
        <v/>
      </c>
      <c r="AJ248" s="34" t="str">
        <v>QFD47</v>
      </c>
      <c r="AK248" s="34">
        <v>1</v>
      </c>
      <c r="AL248" s="34" t="str">
        <v>R</v>
      </c>
      <c r="AM248" s="34">
        <v>30</v>
      </c>
      <c r="AN248" s="34">
        <v>0</v>
      </c>
      <c r="AO248" s="34">
        <v>16</v>
      </c>
      <c r="AP248" s="34">
        <v>25</v>
      </c>
      <c r="AQ248" s="34">
        <v>16</v>
      </c>
      <c r="AR248" s="34">
        <v>1</v>
      </c>
      <c r="AS248" s="34">
        <v>1</v>
      </c>
      <c r="AT248" s="34" t="str">
        <v>2P</v>
      </c>
      <c r="AU248" s="34">
        <v>16</v>
      </c>
      <c r="AV248" s="34" t="str">
        <v/>
      </c>
      <c r="AW248" s="34" t="str">
        <v/>
      </c>
      <c r="AX248" s="34" t="str">
        <v/>
      </c>
      <c r="AY248" s="34">
        <v>1</v>
      </c>
      <c r="AZ248" s="34" t="str">
        <v/>
      </c>
      <c r="BA248" s="34">
        <v>0</v>
      </c>
      <c r="BB248" s="34">
        <v>16</v>
      </c>
      <c r="BD248" s="34">
        <v>1</v>
      </c>
      <c r="BE248" s="34">
        <v>0</v>
      </c>
      <c r="BF248" s="34">
        <v>1</v>
      </c>
      <c r="BG248" s="34" t="str">
        <v/>
      </c>
      <c r="BH248" s="34" t="str">
        <v/>
      </c>
      <c r="BI248" s="34" t="str">
        <v/>
      </c>
      <c r="BJ248" s="34" t="str">
        <v/>
      </c>
      <c r="BK248" s="34" t="str">
        <v>SOCKET</v>
      </c>
      <c r="BL248" s="34">
        <v>1</v>
      </c>
      <c r="BM248" s="34" t="str">
        <v/>
      </c>
      <c r="BN248" s="34" t="str">
        <v/>
      </c>
      <c r="BO248" s="34" t="str">
        <v/>
      </c>
      <c r="BP248" s="34" t="str">
        <v/>
      </c>
      <c r="BQ248" s="34" t="str">
        <v>3х2,5</v>
      </c>
      <c r="BR248" s="34" t="str">
        <v/>
      </c>
      <c r="BS248" s="34" t="str">
        <v/>
      </c>
      <c r="BT248" s="34" t="str">
        <v/>
      </c>
      <c r="BU248" s="34">
        <v>0</v>
      </c>
      <c r="BV248" s="34">
        <v>269</v>
      </c>
      <c r="BW248" s="34">
        <v>1</v>
      </c>
      <c r="BX248" s="34">
        <v>0</v>
      </c>
      <c r="BY248" s="34" t="str">
        <v>Розетка</v>
      </c>
      <c r="BZ248">
        <v>10</v>
      </c>
      <c r="CA248" t="str">
        <v>линии</v>
      </c>
    </row>
    <row r="249" spans="1:79" x14ac:dyDescent="0.3">
      <c r="A249" s="39" t="str">
        <v>ЩР-1</v>
      </c>
      <c r="B249" s="42">
        <v>62</v>
      </c>
      <c r="C249" s="42">
        <v>4</v>
      </c>
      <c r="D249" s="75" t="str">
        <v/>
      </c>
      <c r="E249" s="75" t="str">
        <v>авто</v>
      </c>
      <c r="F249" s="76" t="str">
        <v/>
      </c>
      <c r="G249" s="47" t="str">
        <v>QFD48</v>
      </c>
      <c r="H249" s="47" t="str">
        <v>2P С16А 30мА</v>
      </c>
      <c r="I249" s="75" t="str">
        <v/>
      </c>
      <c r="J249" s="76" t="str">
        <v/>
      </c>
      <c r="K249" s="76" t="str">
        <v/>
      </c>
      <c r="L249" s="75" t="str">
        <v/>
      </c>
      <c r="M249" s="49" t="str">
        <v/>
      </c>
      <c r="N249" s="76" t="str">
        <v/>
      </c>
      <c r="O249" s="49" t="str">
        <v/>
      </c>
      <c r="P249" s="77" t="str">
        <v>XT48</v>
      </c>
      <c r="Q249" s="53" t="str">
        <v>ВВГнг(А)-LS (3х2,5) L=42-0,89%</v>
      </c>
      <c r="R249" s="54" t="str">
        <v>R.1.021A.4</v>
      </c>
      <c r="S249" s="55" t="str">
        <v>Розеточная группа Первый этаж Пом. №021A Холодильник, морозильная камера</v>
      </c>
      <c r="T249" s="56">
        <v>0.62</v>
      </c>
      <c r="U249" s="56">
        <v>2.8299999999999996</v>
      </c>
      <c r="V249" s="42" t="str">
        <v>L1</v>
      </c>
      <c r="W249" s="57" t="str">
        <v>ok</v>
      </c>
      <c r="X249" s="58" t="str">
        <v/>
      </c>
      <c r="Y249" s="75" t="str">
        <v/>
      </c>
      <c r="Z249" s="59">
        <v>2.8299999999999996</v>
      </c>
      <c r="AA249" s="61">
        <v>6</v>
      </c>
      <c r="AB249" s="61">
        <v>25</v>
      </c>
      <c r="AC249" s="61" t="str">
        <v/>
      </c>
      <c r="AD249" s="62" t="str">
        <v>QFD48 → XT48</v>
      </c>
      <c r="AE249" s="62" t="str">
        <v/>
      </c>
      <c r="AF249" s="34">
        <v>48</v>
      </c>
      <c r="AG249" s="34" t="str">
        <v>QFD48</v>
      </c>
      <c r="AH249" s="34" t="str">
        <v/>
      </c>
      <c r="AI249" s="34" t="str">
        <v/>
      </c>
      <c r="AJ249" s="34" t="str">
        <v>QFD48</v>
      </c>
      <c r="AK249" s="34">
        <v>1</v>
      </c>
      <c r="AL249" s="34" t="str">
        <v>R</v>
      </c>
      <c r="AM249" s="34">
        <v>30</v>
      </c>
      <c r="AN249" s="34">
        <v>0</v>
      </c>
      <c r="AO249" s="34">
        <v>16</v>
      </c>
      <c r="AP249" s="34">
        <v>25</v>
      </c>
      <c r="AQ249" s="34">
        <v>16</v>
      </c>
      <c r="AR249" s="34">
        <v>1</v>
      </c>
      <c r="AS249" s="34">
        <v>1</v>
      </c>
      <c r="AT249" s="34" t="str">
        <v>2P</v>
      </c>
      <c r="AU249" s="34">
        <v>16</v>
      </c>
      <c r="AV249" s="34" t="str">
        <v/>
      </c>
      <c r="AW249" s="34" t="str">
        <v/>
      </c>
      <c r="AX249" s="34" t="str">
        <v/>
      </c>
      <c r="AY249" s="34">
        <v>1</v>
      </c>
      <c r="AZ249" s="34" t="str">
        <v/>
      </c>
      <c r="BA249" s="34">
        <v>0</v>
      </c>
      <c r="BB249" s="34">
        <v>16</v>
      </c>
      <c r="BD249" s="34">
        <v>1</v>
      </c>
      <c r="BE249" s="34">
        <v>0</v>
      </c>
      <c r="BF249" s="34">
        <v>1</v>
      </c>
      <c r="BG249" s="34" t="str">
        <v/>
      </c>
      <c r="BH249" s="34" t="str">
        <v/>
      </c>
      <c r="BI249" s="34" t="str">
        <v/>
      </c>
      <c r="BJ249" s="34" t="str">
        <v/>
      </c>
      <c r="BK249" s="34" t="str">
        <v>SOCKET</v>
      </c>
      <c r="BL249" s="34">
        <v>1</v>
      </c>
      <c r="BM249" s="34" t="str">
        <v/>
      </c>
      <c r="BN249" s="34" t="str">
        <v/>
      </c>
      <c r="BO249" s="34" t="str">
        <v/>
      </c>
      <c r="BP249" s="34" t="str">
        <v/>
      </c>
      <c r="BQ249" s="34" t="str">
        <v>3х2,5</v>
      </c>
      <c r="BR249" s="34" t="str">
        <v/>
      </c>
      <c r="BS249" s="34" t="str">
        <v/>
      </c>
      <c r="BT249" s="34" t="str">
        <v/>
      </c>
      <c r="BU249" s="34">
        <v>0</v>
      </c>
      <c r="BV249" s="34">
        <v>270</v>
      </c>
      <c r="BW249" s="34">
        <v>1</v>
      </c>
      <c r="BX249" s="34">
        <v>0</v>
      </c>
      <c r="BY249" s="34" t="str">
        <v>Розетка</v>
      </c>
      <c r="BZ249">
        <v>10</v>
      </c>
      <c r="CA249" t="str">
        <v>линии</v>
      </c>
    </row>
    <row r="250" spans="1:79" x14ac:dyDescent="0.3">
      <c r="A250" s="39" t="str">
        <v>ЩР-1</v>
      </c>
      <c r="B250" s="42">
        <v>63</v>
      </c>
      <c r="C250" s="42">
        <v>4</v>
      </c>
      <c r="D250" s="75" t="str">
        <v/>
      </c>
      <c r="E250" s="75" t="str">
        <v>авто</v>
      </c>
      <c r="F250" s="76" t="str">
        <v/>
      </c>
      <c r="G250" s="47" t="str">
        <v>QFD49</v>
      </c>
      <c r="H250" s="47" t="str">
        <v>2P С16А 30мА</v>
      </c>
      <c r="I250" s="75" t="str">
        <v/>
      </c>
      <c r="J250" s="76" t="str">
        <v/>
      </c>
      <c r="K250" s="76" t="str">
        <v/>
      </c>
      <c r="L250" s="75" t="str">
        <v/>
      </c>
      <c r="M250" s="49" t="str">
        <v/>
      </c>
      <c r="N250" s="76" t="str">
        <v/>
      </c>
      <c r="O250" s="49" t="str">
        <v/>
      </c>
      <c r="P250" s="77" t="str">
        <v>XT49</v>
      </c>
      <c r="Q250" s="53" t="str">
        <v>ВВГнг(А)-LS (3х2,5) L=42-0,13%</v>
      </c>
      <c r="R250" s="54" t="str">
        <v>R.1.021A.6</v>
      </c>
      <c r="S250" s="55" t="str">
        <v>Розеточная группа Первый этаж Пом. №021A Вывод для вытяжки</v>
      </c>
      <c r="T250" s="56">
        <v>0.09</v>
      </c>
      <c r="U250" s="56">
        <v>0.42</v>
      </c>
      <c r="V250" s="42" t="str">
        <v>L2</v>
      </c>
      <c r="W250" s="57" t="str">
        <v>ok</v>
      </c>
      <c r="X250" s="58" t="str">
        <v/>
      </c>
      <c r="Y250" s="75" t="str">
        <v/>
      </c>
      <c r="Z250" s="59">
        <v>0.42</v>
      </c>
      <c r="AA250" s="61">
        <v>6</v>
      </c>
      <c r="AB250" s="61">
        <v>25</v>
      </c>
      <c r="AC250" s="61" t="str">
        <v/>
      </c>
      <c r="AD250" s="62" t="str">
        <v>QFD49 → XT49</v>
      </c>
      <c r="AE250" s="62" t="str">
        <v/>
      </c>
      <c r="AF250" s="34">
        <v>49</v>
      </c>
      <c r="AG250" s="34" t="str">
        <v>QFD49</v>
      </c>
      <c r="AH250" s="34" t="str">
        <v/>
      </c>
      <c r="AI250" s="34" t="str">
        <v/>
      </c>
      <c r="AJ250" s="34" t="str">
        <v>QFD49</v>
      </c>
      <c r="AK250" s="34">
        <v>1</v>
      </c>
      <c r="AL250" s="34" t="str">
        <v>R</v>
      </c>
      <c r="AM250" s="34">
        <v>30</v>
      </c>
      <c r="AN250" s="34">
        <v>0</v>
      </c>
      <c r="AO250" s="34">
        <v>16</v>
      </c>
      <c r="AP250" s="34">
        <v>25</v>
      </c>
      <c r="AQ250" s="34">
        <v>16</v>
      </c>
      <c r="AR250" s="34">
        <v>1</v>
      </c>
      <c r="AS250" s="34">
        <v>1</v>
      </c>
      <c r="AT250" s="34" t="str">
        <v>2P</v>
      </c>
      <c r="AU250" s="34">
        <v>16</v>
      </c>
      <c r="AV250" s="34" t="str">
        <v/>
      </c>
      <c r="AW250" s="34" t="str">
        <v/>
      </c>
      <c r="AX250" s="34" t="str">
        <v/>
      </c>
      <c r="AY250" s="34">
        <v>1</v>
      </c>
      <c r="AZ250" s="34" t="str">
        <v/>
      </c>
      <c r="BA250" s="34">
        <v>0</v>
      </c>
      <c r="BB250" s="34">
        <v>16</v>
      </c>
      <c r="BD250" s="34">
        <v>1</v>
      </c>
      <c r="BE250" s="34">
        <v>0</v>
      </c>
      <c r="BF250" s="34">
        <v>1</v>
      </c>
      <c r="BG250" s="34" t="str">
        <v/>
      </c>
      <c r="BH250" s="34" t="str">
        <v/>
      </c>
      <c r="BI250" s="34" t="str">
        <v/>
      </c>
      <c r="BJ250" s="34" t="str">
        <v/>
      </c>
      <c r="BK250" s="34" t="str">
        <v>SOCKET</v>
      </c>
      <c r="BL250" s="34">
        <v>1</v>
      </c>
      <c r="BM250" s="34" t="str">
        <v/>
      </c>
      <c r="BN250" s="34" t="str">
        <v/>
      </c>
      <c r="BO250" s="34" t="str">
        <v/>
      </c>
      <c r="BP250" s="34" t="str">
        <v/>
      </c>
      <c r="BQ250" s="34" t="str">
        <v>3х2,5</v>
      </c>
      <c r="BR250" s="34" t="str">
        <v/>
      </c>
      <c r="BS250" s="34" t="str">
        <v/>
      </c>
      <c r="BT250" s="34" t="str">
        <v/>
      </c>
      <c r="BU250" s="34">
        <v>0</v>
      </c>
      <c r="BV250" s="34">
        <v>271</v>
      </c>
      <c r="BW250" s="34">
        <v>1</v>
      </c>
      <c r="BX250" s="34">
        <v>0</v>
      </c>
      <c r="BY250" s="34" t="str">
        <v>Розетка</v>
      </c>
      <c r="BZ250">
        <v>10</v>
      </c>
      <c r="CA250" t="str">
        <v>линии</v>
      </c>
    </row>
    <row r="251" spans="1:79" x14ac:dyDescent="0.3">
      <c r="A251" s="39" t="str">
        <v>ЩР-1</v>
      </c>
      <c r="B251" s="42">
        <v>64</v>
      </c>
      <c r="C251" s="42">
        <v>4</v>
      </c>
      <c r="D251" s="75" t="str">
        <v/>
      </c>
      <c r="E251" s="75" t="str">
        <v>авто</v>
      </c>
      <c r="F251" s="76" t="str">
        <v/>
      </c>
      <c r="G251" s="47" t="str">
        <v>QFD50</v>
      </c>
      <c r="H251" s="47" t="str">
        <v>4P С16А 30мА</v>
      </c>
      <c r="I251" s="75" t="str">
        <v/>
      </c>
      <c r="J251" s="76" t="str">
        <v/>
      </c>
      <c r="K251" s="76" t="str">
        <v/>
      </c>
      <c r="L251" s="75" t="str">
        <v/>
      </c>
      <c r="M251" s="49" t="str">
        <v/>
      </c>
      <c r="N251" s="76" t="str">
        <v/>
      </c>
      <c r="O251" s="49" t="str">
        <v/>
      </c>
      <c r="P251" s="77" t="str">
        <v>XT50</v>
      </c>
      <c r="Q251" s="53" t="str">
        <v>ВВГнг(А)-LS (5х4) L=42-1,1%</v>
      </c>
      <c r="R251" s="54" t="str">
        <v>R.1.021A.7</v>
      </c>
      <c r="S251" s="55" t="str">
        <v>Розеточная группа Первый этаж Пом. №021A Вывод на варочную панель</v>
      </c>
      <c r="T251" s="56">
        <v>7.36</v>
      </c>
      <c r="U251" s="56">
        <v>11.19</v>
      </c>
      <c r="V251" s="42" t="str">
        <v>L1,L2,L3</v>
      </c>
      <c r="W251" s="57" t="str">
        <v>ok</v>
      </c>
      <c r="X251" s="58" t="str">
        <v/>
      </c>
      <c r="Y251" s="75" t="str">
        <v/>
      </c>
      <c r="Z251" s="59">
        <v>11.19</v>
      </c>
      <c r="AA251" s="61">
        <v>16</v>
      </c>
      <c r="AB251" s="61">
        <v>32</v>
      </c>
      <c r="AC251" s="61" t="str">
        <v/>
      </c>
      <c r="AD251" s="62" t="str">
        <v>QFD50 → XT50</v>
      </c>
      <c r="AE251" s="62" t="str">
        <v/>
      </c>
      <c r="AF251" s="34">
        <v>50</v>
      </c>
      <c r="AG251" s="34" t="str">
        <v>QFD50</v>
      </c>
      <c r="AH251" s="34" t="str">
        <v/>
      </c>
      <c r="AI251" s="34" t="str">
        <v/>
      </c>
      <c r="AJ251" s="34" t="str">
        <v>QFD50</v>
      </c>
      <c r="AK251" s="34">
        <v>3</v>
      </c>
      <c r="AL251" s="34" t="str">
        <v>R</v>
      </c>
      <c r="AM251" s="34">
        <v>30</v>
      </c>
      <c r="AN251" s="34">
        <v>0</v>
      </c>
      <c r="AO251" s="34">
        <v>16</v>
      </c>
      <c r="AP251" s="34">
        <v>32</v>
      </c>
      <c r="AQ251" s="34">
        <v>16</v>
      </c>
      <c r="AR251" s="34">
        <v>3</v>
      </c>
      <c r="AS251" s="34">
        <v>1</v>
      </c>
      <c r="AT251" s="34" t="str">
        <v>4P</v>
      </c>
      <c r="AU251" s="34">
        <v>16</v>
      </c>
      <c r="AV251" s="34" t="str">
        <v/>
      </c>
      <c r="AW251" s="34" t="str">
        <v/>
      </c>
      <c r="AX251" s="34" t="str">
        <v/>
      </c>
      <c r="AY251" s="34">
        <v>1</v>
      </c>
      <c r="AZ251" s="34" t="str">
        <v/>
      </c>
      <c r="BA251" s="34">
        <v>0</v>
      </c>
      <c r="BB251" s="34">
        <v>16</v>
      </c>
      <c r="BD251" s="34">
        <v>1</v>
      </c>
      <c r="BE251" s="34">
        <v>0</v>
      </c>
      <c r="BF251" s="34">
        <v>1</v>
      </c>
      <c r="BG251" s="34" t="str">
        <v/>
      </c>
      <c r="BH251" s="34" t="str">
        <v/>
      </c>
      <c r="BI251" s="34" t="str">
        <v/>
      </c>
      <c r="BJ251" s="34" t="str">
        <v/>
      </c>
      <c r="BK251" s="34" t="str">
        <v>SOCKET</v>
      </c>
      <c r="BL251" s="34">
        <v>1</v>
      </c>
      <c r="BM251" s="34">
        <v>12</v>
      </c>
      <c r="BN251" s="34" t="str">
        <v/>
      </c>
      <c r="BO251" s="34" t="str">
        <v/>
      </c>
      <c r="BP251" s="34" t="str">
        <v/>
      </c>
      <c r="BQ251" s="34" t="str">
        <v>5х4</v>
      </c>
      <c r="BR251" s="34" t="str">
        <v/>
      </c>
      <c r="BS251" s="34" t="str">
        <v/>
      </c>
      <c r="BT251" s="34" t="str">
        <v/>
      </c>
      <c r="BU251" s="34">
        <v>0</v>
      </c>
      <c r="BV251" s="34">
        <v>272</v>
      </c>
      <c r="BW251" s="34">
        <v>1</v>
      </c>
      <c r="BX251" s="34">
        <v>2</v>
      </c>
      <c r="BY251" s="34" t="str">
        <v>Розетка</v>
      </c>
      <c r="BZ251">
        <v>10</v>
      </c>
      <c r="CA251" t="str">
        <v>линии</v>
      </c>
    </row>
    <row r="252" spans="1:79" x14ac:dyDescent="0.3">
      <c r="A252" s="39" t="str">
        <v>ЩР-1</v>
      </c>
      <c r="B252" s="42">
        <v>65</v>
      </c>
      <c r="C252" s="42">
        <v>4</v>
      </c>
      <c r="D252" s="75" t="str">
        <v/>
      </c>
      <c r="E252" s="75" t="str">
        <v>авто</v>
      </c>
      <c r="F252" s="76" t="str">
        <v/>
      </c>
      <c r="G252" s="47" t="str">
        <v>QFD51</v>
      </c>
      <c r="H252" s="47" t="str">
        <v>2P С16А 30мА</v>
      </c>
      <c r="I252" s="75" t="str">
        <v/>
      </c>
      <c r="J252" s="76" t="str">
        <v/>
      </c>
      <c r="K252" s="76" t="str">
        <v/>
      </c>
      <c r="L252" s="75" t="str">
        <v/>
      </c>
      <c r="M252" s="49" t="str">
        <v/>
      </c>
      <c r="N252" s="76" t="str">
        <v/>
      </c>
      <c r="O252" s="49" t="str">
        <v/>
      </c>
      <c r="P252" s="77" t="str">
        <v>XT51</v>
      </c>
      <c r="Q252" s="53" t="str">
        <v>ВВГнг(А)-LS (3х2,5) L=63-0,39%</v>
      </c>
      <c r="R252" s="54" t="str">
        <v>R.1.021A.8</v>
      </c>
      <c r="S252" s="55" t="str">
        <v>Розеточная группа Первый этаж Пом. №021A</v>
      </c>
      <c r="T252" s="56">
        <v>0.18</v>
      </c>
      <c r="U252" s="56">
        <v>0.83</v>
      </c>
      <c r="V252" s="42" t="str">
        <v>L3</v>
      </c>
      <c r="W252" s="57" t="str">
        <v>ok</v>
      </c>
      <c r="X252" s="58" t="str">
        <v/>
      </c>
      <c r="Y252" s="75" t="str">
        <v/>
      </c>
      <c r="Z252" s="59">
        <v>0.83</v>
      </c>
      <c r="AA252" s="61">
        <v>6</v>
      </c>
      <c r="AB252" s="61">
        <v>25</v>
      </c>
      <c r="AC252" s="61" t="str">
        <v/>
      </c>
      <c r="AD252" s="62" t="str">
        <v>QFD51 → XT51</v>
      </c>
      <c r="AE252" s="62" t="str">
        <v/>
      </c>
      <c r="AF252" s="34">
        <v>51</v>
      </c>
      <c r="AG252" s="34" t="str">
        <v>QFD51</v>
      </c>
      <c r="AH252" s="34" t="str">
        <v/>
      </c>
      <c r="AI252" s="34" t="str">
        <v/>
      </c>
      <c r="AJ252" s="34" t="str">
        <v>QFD51</v>
      </c>
      <c r="AK252" s="34">
        <v>1</v>
      </c>
      <c r="AL252" s="34" t="str">
        <v>R</v>
      </c>
      <c r="AM252" s="34">
        <v>30</v>
      </c>
      <c r="AN252" s="34">
        <v>0</v>
      </c>
      <c r="AO252" s="34">
        <v>16</v>
      </c>
      <c r="AP252" s="34">
        <v>25</v>
      </c>
      <c r="AQ252" s="34">
        <v>16</v>
      </c>
      <c r="AR252" s="34">
        <v>1</v>
      </c>
      <c r="AS252" s="34">
        <v>1</v>
      </c>
      <c r="AT252" s="34" t="str">
        <v>2P</v>
      </c>
      <c r="AU252" s="34">
        <v>16</v>
      </c>
      <c r="AV252" s="34" t="str">
        <v/>
      </c>
      <c r="AW252" s="34" t="str">
        <v/>
      </c>
      <c r="AX252" s="34" t="str">
        <v/>
      </c>
      <c r="AY252" s="34">
        <v>1</v>
      </c>
      <c r="AZ252" s="34" t="str">
        <v/>
      </c>
      <c r="BA252" s="34">
        <v>0</v>
      </c>
      <c r="BB252" s="34">
        <v>16</v>
      </c>
      <c r="BD252" s="34">
        <v>1</v>
      </c>
      <c r="BE252" s="34">
        <v>0</v>
      </c>
      <c r="BF252" s="34">
        <v>1</v>
      </c>
      <c r="BG252" s="34" t="str">
        <v/>
      </c>
      <c r="BH252" s="34" t="str">
        <v/>
      </c>
      <c r="BI252" s="34" t="str">
        <v/>
      </c>
      <c r="BJ252" s="34" t="str">
        <v/>
      </c>
      <c r="BK252" s="34" t="str">
        <v>SOCKET</v>
      </c>
      <c r="BL252" s="34">
        <v>1</v>
      </c>
      <c r="BM252" s="34" t="str">
        <v/>
      </c>
      <c r="BN252" s="34" t="str">
        <v/>
      </c>
      <c r="BO252" s="34" t="str">
        <v/>
      </c>
      <c r="BP252" s="34" t="str">
        <v/>
      </c>
      <c r="BQ252" s="34" t="str">
        <v>3х2,5</v>
      </c>
      <c r="BR252" s="34" t="str">
        <v/>
      </c>
      <c r="BS252" s="34" t="str">
        <v/>
      </c>
      <c r="BT252" s="34" t="str">
        <v/>
      </c>
      <c r="BU252" s="34">
        <v>0</v>
      </c>
      <c r="BV252" s="34">
        <v>273</v>
      </c>
      <c r="BW252" s="34">
        <v>1</v>
      </c>
      <c r="BX252" s="34">
        <v>0</v>
      </c>
      <c r="BY252" s="34" t="str">
        <v>Розетка</v>
      </c>
      <c r="BZ252">
        <v>10</v>
      </c>
      <c r="CA252" t="str">
        <v>линии</v>
      </c>
    </row>
    <row r="253" spans="1:79" x14ac:dyDescent="0.3">
      <c r="A253" s="39" t="str">
        <v>ЩР-1</v>
      </c>
      <c r="B253" s="42">
        <v>66</v>
      </c>
      <c r="C253" s="42">
        <v>4</v>
      </c>
      <c r="D253" s="75" t="str">
        <v/>
      </c>
      <c r="E253" s="75" t="str">
        <v>авто</v>
      </c>
      <c r="F253" s="76" t="str">
        <v/>
      </c>
      <c r="G253" s="47" t="str">
        <v>QFD52</v>
      </c>
      <c r="H253" s="47" t="str">
        <v>2P С16А 30мА</v>
      </c>
      <c r="I253" s="75" t="str">
        <v/>
      </c>
      <c r="J253" s="76" t="str">
        <v/>
      </c>
      <c r="K253" s="76" t="str">
        <v/>
      </c>
      <c r="L253" s="75" t="str">
        <v/>
      </c>
      <c r="M253" s="49" t="str">
        <v/>
      </c>
      <c r="N253" s="76" t="str">
        <v/>
      </c>
      <c r="O253" s="49" t="str">
        <v/>
      </c>
      <c r="P253" s="77" t="str">
        <v>XT52</v>
      </c>
      <c r="Q253" s="53" t="str">
        <v>ВВГнг(А)-LS (3х2,5) L=40-0,95%</v>
      </c>
      <c r="R253" s="54" t="str">
        <v>R.1.021A.9</v>
      </c>
      <c r="S253" s="55" t="str">
        <v>Розеточная группа Первый этаж Пом. №021A Подогреватель пищи и посуды</v>
      </c>
      <c r="T253" s="56">
        <v>0.7</v>
      </c>
      <c r="U253" s="56">
        <v>3.1999999999999997</v>
      </c>
      <c r="V253" s="42" t="str">
        <v>L1</v>
      </c>
      <c r="W253" s="57" t="str">
        <v>ok</v>
      </c>
      <c r="X253" s="58" t="str">
        <v/>
      </c>
      <c r="Y253" s="75" t="str">
        <v/>
      </c>
      <c r="Z253" s="59">
        <v>3.1999999999999997</v>
      </c>
      <c r="AA253" s="61">
        <v>6</v>
      </c>
      <c r="AB253" s="61">
        <v>25</v>
      </c>
      <c r="AC253" s="61" t="str">
        <v/>
      </c>
      <c r="AD253" s="62" t="str">
        <v>QFD52 → XT52</v>
      </c>
      <c r="AE253" s="62" t="str">
        <v/>
      </c>
      <c r="AF253" s="34">
        <v>52</v>
      </c>
      <c r="AG253" s="34" t="str">
        <v>QFD52</v>
      </c>
      <c r="AH253" s="34" t="str">
        <v/>
      </c>
      <c r="AI253" s="34" t="str">
        <v/>
      </c>
      <c r="AJ253" s="34" t="str">
        <v>QFD52</v>
      </c>
      <c r="AK253" s="34">
        <v>1</v>
      </c>
      <c r="AL253" s="34" t="str">
        <v>R</v>
      </c>
      <c r="AM253" s="34">
        <v>30</v>
      </c>
      <c r="AN253" s="34">
        <v>0</v>
      </c>
      <c r="AO253" s="34">
        <v>16</v>
      </c>
      <c r="AP253" s="34">
        <v>25</v>
      </c>
      <c r="AQ253" s="34">
        <v>16</v>
      </c>
      <c r="AR253" s="34">
        <v>1</v>
      </c>
      <c r="AS253" s="34">
        <v>1</v>
      </c>
      <c r="AT253" s="34" t="str">
        <v>2P</v>
      </c>
      <c r="AU253" s="34">
        <v>16</v>
      </c>
      <c r="AV253" s="34" t="str">
        <v/>
      </c>
      <c r="AW253" s="34" t="str">
        <v/>
      </c>
      <c r="AX253" s="34" t="str">
        <v/>
      </c>
      <c r="AY253" s="34">
        <v>1</v>
      </c>
      <c r="AZ253" s="34" t="str">
        <v/>
      </c>
      <c r="BA253" s="34">
        <v>0</v>
      </c>
      <c r="BB253" s="34">
        <v>16</v>
      </c>
      <c r="BD253" s="34">
        <v>1</v>
      </c>
      <c r="BE253" s="34">
        <v>0</v>
      </c>
      <c r="BF253" s="34">
        <v>1</v>
      </c>
      <c r="BG253" s="34" t="str">
        <v/>
      </c>
      <c r="BH253" s="34" t="str">
        <v/>
      </c>
      <c r="BI253" s="34" t="str">
        <v/>
      </c>
      <c r="BJ253" s="34" t="str">
        <v/>
      </c>
      <c r="BK253" s="34" t="str">
        <v>SOCKET</v>
      </c>
      <c r="BL253" s="34">
        <v>1</v>
      </c>
      <c r="BM253" s="34" t="str">
        <v/>
      </c>
      <c r="BN253" s="34" t="str">
        <v/>
      </c>
      <c r="BO253" s="34" t="str">
        <v/>
      </c>
      <c r="BP253" s="34" t="str">
        <v/>
      </c>
      <c r="BQ253" s="34" t="str">
        <v>3х2,5</v>
      </c>
      <c r="BR253" s="34" t="str">
        <v/>
      </c>
      <c r="BS253" s="34" t="str">
        <v/>
      </c>
      <c r="BT253" s="34" t="str">
        <v/>
      </c>
      <c r="BU253" s="34">
        <v>0</v>
      </c>
      <c r="BV253" s="34">
        <v>274</v>
      </c>
      <c r="BW253" s="34">
        <v>1</v>
      </c>
      <c r="BX253" s="34">
        <v>0</v>
      </c>
      <c r="BY253" s="34" t="str">
        <v>Розетка</v>
      </c>
      <c r="BZ253">
        <v>10</v>
      </c>
      <c r="CA253" t="str">
        <v>линии</v>
      </c>
    </row>
    <row r="254" spans="1:79" x14ac:dyDescent="0.3">
      <c r="A254" s="39" t="str">
        <v>ЩР-1</v>
      </c>
      <c r="B254" s="42">
        <v>67</v>
      </c>
      <c r="C254" s="42">
        <v>4</v>
      </c>
      <c r="D254" s="75" t="str">
        <v/>
      </c>
      <c r="E254" s="75" t="str">
        <v>авто</v>
      </c>
      <c r="F254" s="76" t="str">
        <v/>
      </c>
      <c r="G254" s="47" t="str">
        <v>QFD53</v>
      </c>
      <c r="H254" s="47" t="str">
        <v>2P С16А 30мА</v>
      </c>
      <c r="I254" s="75" t="str">
        <v/>
      </c>
      <c r="J254" s="76" t="str">
        <v/>
      </c>
      <c r="K254" s="76" t="str">
        <v/>
      </c>
      <c r="L254" s="75" t="str">
        <v/>
      </c>
      <c r="M254" s="49" t="str">
        <v/>
      </c>
      <c r="N254" s="76" t="str">
        <v/>
      </c>
      <c r="O254" s="49" t="str">
        <v/>
      </c>
      <c r="P254" s="77" t="str">
        <v>XT53</v>
      </c>
      <c r="Q254" s="53" t="str">
        <v>ВВГнг(А)-LS (3х2,5) L=9-0,08%</v>
      </c>
      <c r="R254" s="54" t="str">
        <v>R.1.002Б.9</v>
      </c>
      <c r="S254" s="55" t="str">
        <v>Розеточная группа Первый этаж Пом. №002Б Холодильник</v>
      </c>
      <c r="T254" s="56">
        <v>0.23</v>
      </c>
      <c r="U254" s="56">
        <v>1.05</v>
      </c>
      <c r="V254" s="42" t="str">
        <v>L2</v>
      </c>
      <c r="W254" s="57" t="str">
        <v>ok</v>
      </c>
      <c r="X254" s="58" t="str">
        <v/>
      </c>
      <c r="Y254" s="75" t="str">
        <v/>
      </c>
      <c r="Z254" s="59">
        <v>1.05</v>
      </c>
      <c r="AA254" s="61">
        <v>6</v>
      </c>
      <c r="AB254" s="61">
        <v>25</v>
      </c>
      <c r="AC254" s="61" t="str">
        <v/>
      </c>
      <c r="AD254" s="62" t="str">
        <v>QFD53 → XT53</v>
      </c>
      <c r="AE254" s="62" t="str">
        <v/>
      </c>
      <c r="AF254" s="34">
        <v>53</v>
      </c>
      <c r="AG254" s="34" t="str">
        <v>QFD53</v>
      </c>
      <c r="AH254" s="34" t="str">
        <v/>
      </c>
      <c r="AI254" s="34" t="str">
        <v/>
      </c>
      <c r="AJ254" s="34" t="str">
        <v>QFD53</v>
      </c>
      <c r="AK254" s="34">
        <v>1</v>
      </c>
      <c r="AL254" s="34" t="str">
        <v>R</v>
      </c>
      <c r="AM254" s="34">
        <v>30</v>
      </c>
      <c r="AN254" s="34">
        <v>0</v>
      </c>
      <c r="AO254" s="34">
        <v>16</v>
      </c>
      <c r="AP254" s="34">
        <v>25</v>
      </c>
      <c r="AQ254" s="34">
        <v>16</v>
      </c>
      <c r="AR254" s="34">
        <v>1</v>
      </c>
      <c r="AS254" s="34">
        <v>1</v>
      </c>
      <c r="AT254" s="34" t="str">
        <v>2P</v>
      </c>
      <c r="AU254" s="34">
        <v>16</v>
      </c>
      <c r="AV254" s="34" t="str">
        <v/>
      </c>
      <c r="AW254" s="34" t="str">
        <v/>
      </c>
      <c r="AX254" s="34" t="str">
        <v/>
      </c>
      <c r="AY254" s="34">
        <v>1</v>
      </c>
      <c r="AZ254" s="34" t="str">
        <v/>
      </c>
      <c r="BA254" s="34">
        <v>0</v>
      </c>
      <c r="BB254" s="34">
        <v>16</v>
      </c>
      <c r="BD254" s="34">
        <v>1</v>
      </c>
      <c r="BE254" s="34">
        <v>0</v>
      </c>
      <c r="BF254" s="34">
        <v>1</v>
      </c>
      <c r="BG254" s="34" t="str">
        <v/>
      </c>
      <c r="BH254" s="34" t="str">
        <v/>
      </c>
      <c r="BI254" s="34" t="str">
        <v/>
      </c>
      <c r="BJ254" s="34" t="str">
        <v/>
      </c>
      <c r="BK254" s="34" t="str">
        <v>SOCKET</v>
      </c>
      <c r="BL254" s="34">
        <v>1</v>
      </c>
      <c r="BM254" s="34" t="str">
        <v/>
      </c>
      <c r="BN254" s="34" t="str">
        <v/>
      </c>
      <c r="BO254" s="34" t="str">
        <v/>
      </c>
      <c r="BP254" s="34" t="str">
        <v/>
      </c>
      <c r="BQ254" s="34" t="str">
        <v>3х2,5</v>
      </c>
      <c r="BR254" s="34" t="str">
        <v/>
      </c>
      <c r="BS254" s="34" t="str">
        <v/>
      </c>
      <c r="BT254" s="34" t="str">
        <v/>
      </c>
      <c r="BU254" s="34">
        <v>0</v>
      </c>
      <c r="BV254" s="34">
        <v>275</v>
      </c>
      <c r="BW254" s="34">
        <v>1</v>
      </c>
      <c r="BX254" s="34">
        <v>0</v>
      </c>
      <c r="BY254" s="34" t="str">
        <v>Розетка</v>
      </c>
      <c r="BZ254">
        <v>10</v>
      </c>
      <c r="CA254" t="str">
        <v>линии</v>
      </c>
    </row>
    <row r="255" spans="1:79" x14ac:dyDescent="0.3">
      <c r="A255" s="39" t="str">
        <v>ЩР-1</v>
      </c>
      <c r="B255" s="42">
        <v>70</v>
      </c>
      <c r="C255" s="42">
        <v>5</v>
      </c>
      <c r="D255" s="75" t="str">
        <v/>
      </c>
      <c r="E255" s="75" t="str">
        <v>авто</v>
      </c>
      <c r="F255" s="76" t="str">
        <v/>
      </c>
      <c r="G255" s="47" t="str">
        <v>QFD54</v>
      </c>
      <c r="H255" s="47" t="str">
        <v>2P С16А 30мА</v>
      </c>
      <c r="I255" s="75" t="str">
        <v/>
      </c>
      <c r="J255" s="76" t="str">
        <v/>
      </c>
      <c r="K255" s="76" t="str">
        <v/>
      </c>
      <c r="L255" s="75" t="str">
        <v/>
      </c>
      <c r="M255" s="49" t="str">
        <v/>
      </c>
      <c r="N255" s="76" t="str">
        <v/>
      </c>
      <c r="O255" s="49" t="str">
        <v/>
      </c>
      <c r="P255" s="77" t="str">
        <v>XT54</v>
      </c>
      <c r="Q255" s="53" t="str">
        <v>ВВГнг(А)-LS (3х2,5) L=9-0,04%</v>
      </c>
      <c r="R255" s="54" t="str">
        <v>R.1.002Б.10</v>
      </c>
      <c r="S255" s="55" t="str">
        <v>Розеточная группа Первый этаж Пом. №002Б</v>
      </c>
      <c r="T255" s="56">
        <v>0.12</v>
      </c>
      <c r="U255" s="56">
        <v>0.55000000000000004</v>
      </c>
      <c r="V255" s="42" t="str">
        <v>L2</v>
      </c>
      <c r="W255" s="57" t="str">
        <v>ok</v>
      </c>
      <c r="X255" s="58" t="str">
        <v/>
      </c>
      <c r="Y255" s="75" t="str">
        <v/>
      </c>
      <c r="Z255" s="59">
        <v>0.55000000000000004</v>
      </c>
      <c r="AA255" s="61">
        <v>6</v>
      </c>
      <c r="AB255" s="61">
        <v>25</v>
      </c>
      <c r="AC255" s="61" t="str">
        <v/>
      </c>
      <c r="AD255" s="62" t="str">
        <v>QFD54 → XT54</v>
      </c>
      <c r="AE255" s="62" t="str">
        <v/>
      </c>
      <c r="AF255" s="34">
        <v>54</v>
      </c>
      <c r="AG255" s="34" t="str">
        <v>QFD54</v>
      </c>
      <c r="AH255" s="34" t="str">
        <v/>
      </c>
      <c r="AI255" s="34" t="str">
        <v/>
      </c>
      <c r="AJ255" s="34" t="str">
        <v>QFD54</v>
      </c>
      <c r="AK255" s="34">
        <v>1</v>
      </c>
      <c r="AL255" s="34" t="str">
        <v>R</v>
      </c>
      <c r="AM255" s="34">
        <v>30</v>
      </c>
      <c r="AN255" s="34">
        <v>0</v>
      </c>
      <c r="AO255" s="34">
        <v>16</v>
      </c>
      <c r="AP255" s="34">
        <v>25</v>
      </c>
      <c r="AQ255" s="34">
        <v>16</v>
      </c>
      <c r="AR255" s="34">
        <v>1</v>
      </c>
      <c r="AS255" s="34">
        <v>1</v>
      </c>
      <c r="AT255" s="34" t="str">
        <v>2P</v>
      </c>
      <c r="AU255" s="34">
        <v>16</v>
      </c>
      <c r="AV255" s="34" t="str">
        <v/>
      </c>
      <c r="AW255" s="34" t="str">
        <v/>
      </c>
      <c r="AX255" s="34" t="str">
        <v/>
      </c>
      <c r="AY255" s="34">
        <v>1</v>
      </c>
      <c r="AZ255" s="34" t="str">
        <v/>
      </c>
      <c r="BA255" s="34">
        <v>0</v>
      </c>
      <c r="BB255" s="34">
        <v>16</v>
      </c>
      <c r="BD255" s="34">
        <v>1</v>
      </c>
      <c r="BE255" s="34">
        <v>0</v>
      </c>
      <c r="BF255" s="34">
        <v>1</v>
      </c>
      <c r="BG255" s="34" t="str">
        <v/>
      </c>
      <c r="BH255" s="34" t="str">
        <v/>
      </c>
      <c r="BI255" s="34" t="str">
        <v/>
      </c>
      <c r="BJ255" s="34" t="str">
        <v/>
      </c>
      <c r="BK255" s="34" t="str">
        <v>SOCKET</v>
      </c>
      <c r="BL255" s="34">
        <v>1</v>
      </c>
      <c r="BM255" s="34" t="str">
        <v/>
      </c>
      <c r="BN255" s="34" t="str">
        <v/>
      </c>
      <c r="BO255" s="34" t="str">
        <v/>
      </c>
      <c r="BP255" s="34" t="str">
        <v/>
      </c>
      <c r="BQ255" s="34" t="str">
        <v>3х2,5</v>
      </c>
      <c r="BR255" s="34" t="str">
        <v/>
      </c>
      <c r="BS255" s="34" t="str">
        <v/>
      </c>
      <c r="BT255" s="34" t="str">
        <v/>
      </c>
      <c r="BU255" s="34">
        <v>0</v>
      </c>
      <c r="BV255" s="34">
        <v>276</v>
      </c>
      <c r="BW255" s="34">
        <v>1</v>
      </c>
      <c r="BX255" s="34">
        <v>0</v>
      </c>
      <c r="BY255" s="34" t="str">
        <v>Розетка</v>
      </c>
      <c r="BZ255">
        <v>10</v>
      </c>
      <c r="CA255" t="str">
        <v>линии</v>
      </c>
    </row>
    <row r="256" spans="1:79" x14ac:dyDescent="0.3">
      <c r="A256" s="39" t="str">
        <v>ЩР-1</v>
      </c>
      <c r="B256" s="42">
        <v>71</v>
      </c>
      <c r="C256" s="42">
        <v>5</v>
      </c>
      <c r="D256" s="75" t="str">
        <v/>
      </c>
      <c r="E256" s="75" t="str">
        <v>авто</v>
      </c>
      <c r="F256" s="76" t="str">
        <v/>
      </c>
      <c r="G256" s="47" t="str">
        <v>QFD55</v>
      </c>
      <c r="H256" s="47" t="str">
        <v>2P С16А 30мА</v>
      </c>
      <c r="I256" s="75" t="str">
        <v/>
      </c>
      <c r="J256" s="76" t="str">
        <v/>
      </c>
      <c r="K256" s="76" t="str">
        <v/>
      </c>
      <c r="L256" s="75" t="str">
        <v/>
      </c>
      <c r="M256" s="49" t="str">
        <v/>
      </c>
      <c r="N256" s="76" t="str">
        <v/>
      </c>
      <c r="O256" s="49" t="str">
        <v/>
      </c>
      <c r="P256" s="77" t="str">
        <v>XT55</v>
      </c>
      <c r="Q256" s="53" t="str">
        <v>ВВГнг(А)-LS (3х2,5) L=42-0,26%</v>
      </c>
      <c r="R256" s="54" t="str">
        <v>R.1.021A.5</v>
      </c>
      <c r="S256" s="55" t="str">
        <v>Розеточная группа Первый этаж Пом. №021A</v>
      </c>
      <c r="T256" s="56">
        <v>0.18</v>
      </c>
      <c r="U256" s="56">
        <v>0.83</v>
      </c>
      <c r="V256" s="42" t="str">
        <v>L3</v>
      </c>
      <c r="W256" s="57" t="str">
        <v>ok</v>
      </c>
      <c r="X256" s="58" t="str">
        <v/>
      </c>
      <c r="Y256" s="75" t="str">
        <v/>
      </c>
      <c r="Z256" s="59">
        <v>0.83</v>
      </c>
      <c r="AA256" s="61">
        <v>6</v>
      </c>
      <c r="AB256" s="61">
        <v>25</v>
      </c>
      <c r="AC256" s="61" t="str">
        <v/>
      </c>
      <c r="AD256" s="62" t="str">
        <v>QFD55 → XT55</v>
      </c>
      <c r="AE256" s="62" t="str">
        <v/>
      </c>
      <c r="AF256" s="34">
        <v>55</v>
      </c>
      <c r="AG256" s="34" t="str">
        <v>QFD55</v>
      </c>
      <c r="AH256" s="34" t="str">
        <v/>
      </c>
      <c r="AI256" s="34" t="str">
        <v/>
      </c>
      <c r="AJ256" s="34" t="str">
        <v>QFD55</v>
      </c>
      <c r="AK256" s="34">
        <v>1</v>
      </c>
      <c r="AL256" s="34" t="str">
        <v>R</v>
      </c>
      <c r="AM256" s="34">
        <v>30</v>
      </c>
      <c r="AN256" s="34">
        <v>0</v>
      </c>
      <c r="AO256" s="34">
        <v>16</v>
      </c>
      <c r="AP256" s="34">
        <v>25</v>
      </c>
      <c r="AQ256" s="34">
        <v>16</v>
      </c>
      <c r="AR256" s="34">
        <v>1</v>
      </c>
      <c r="AS256" s="34">
        <v>1</v>
      </c>
      <c r="AT256" s="34" t="str">
        <v>2P</v>
      </c>
      <c r="AU256" s="34">
        <v>16</v>
      </c>
      <c r="AV256" s="34" t="str">
        <v/>
      </c>
      <c r="AW256" s="34" t="str">
        <v/>
      </c>
      <c r="AX256" s="34" t="str">
        <v/>
      </c>
      <c r="AY256" s="34">
        <v>1</v>
      </c>
      <c r="AZ256" s="34" t="str">
        <v/>
      </c>
      <c r="BA256" s="34">
        <v>0</v>
      </c>
      <c r="BB256" s="34">
        <v>16</v>
      </c>
      <c r="BD256" s="34">
        <v>1</v>
      </c>
      <c r="BE256" s="34">
        <v>0</v>
      </c>
      <c r="BF256" s="34">
        <v>1</v>
      </c>
      <c r="BG256" s="34" t="str">
        <v/>
      </c>
      <c r="BH256" s="34" t="str">
        <v/>
      </c>
      <c r="BI256" s="34" t="str">
        <v/>
      </c>
      <c r="BJ256" s="34" t="str">
        <v/>
      </c>
      <c r="BK256" s="34" t="str">
        <v>SOCKET</v>
      </c>
      <c r="BL256" s="34">
        <v>1</v>
      </c>
      <c r="BM256" s="34" t="str">
        <v/>
      </c>
      <c r="BN256" s="34" t="str">
        <v/>
      </c>
      <c r="BO256" s="34" t="str">
        <v/>
      </c>
      <c r="BP256" s="34" t="str">
        <v/>
      </c>
      <c r="BQ256" s="34" t="str">
        <v>3х2,5</v>
      </c>
      <c r="BR256" s="34" t="str">
        <v/>
      </c>
      <c r="BS256" s="34" t="str">
        <v/>
      </c>
      <c r="BT256" s="34" t="str">
        <v/>
      </c>
      <c r="BU256" s="34">
        <v>0</v>
      </c>
      <c r="BV256" s="34">
        <v>277</v>
      </c>
      <c r="BW256" s="34">
        <v>1</v>
      </c>
      <c r="BX256" s="34">
        <v>0</v>
      </c>
      <c r="BY256" s="34" t="str">
        <v>Розетка</v>
      </c>
      <c r="BZ256">
        <v>10</v>
      </c>
      <c r="CA256" t="str">
        <v>линии</v>
      </c>
    </row>
    <row r="257" spans="1:79" x14ac:dyDescent="0.3">
      <c r="A257" s="39" t="str">
        <v>ЩР-1</v>
      </c>
      <c r="B257" s="42">
        <v>72</v>
      </c>
      <c r="C257" s="42">
        <v>5</v>
      </c>
      <c r="D257" s="75" t="str">
        <v/>
      </c>
      <c r="E257" s="75" t="str">
        <v>авто</v>
      </c>
      <c r="F257" s="76" t="str">
        <v/>
      </c>
      <c r="G257" s="47" t="str">
        <v>QFD56</v>
      </c>
      <c r="H257" s="47" t="str">
        <v>2P С16А 30мА</v>
      </c>
      <c r="I257" s="75" t="str">
        <v/>
      </c>
      <c r="J257" s="76" t="str">
        <v/>
      </c>
      <c r="K257" s="76" t="str">
        <v/>
      </c>
      <c r="L257" s="75" t="str">
        <v/>
      </c>
      <c r="M257" s="49" t="str">
        <v/>
      </c>
      <c r="N257" s="76" t="str">
        <v/>
      </c>
      <c r="O257" s="49" t="str">
        <v/>
      </c>
      <c r="P257" s="77" t="str">
        <v>XT56</v>
      </c>
      <c r="Q257" s="53" t="str">
        <v>ВВГнг(А)-LS (3х2,5) L=50-0%</v>
      </c>
      <c r="R257" s="54" t="str">
        <v>R.1.020A.1</v>
      </c>
      <c r="S257" s="55" t="str">
        <v>Розеточная группа Первый этаж Пом. №020A Холодильник, морозильная камера</v>
      </c>
      <c r="T257" s="56">
        <v>0</v>
      </c>
      <c r="U257" s="56">
        <v>0</v>
      </c>
      <c r="V257" s="42" t="str">
        <v>L1</v>
      </c>
      <c r="W257" s="57" t="str">
        <v>ok</v>
      </c>
      <c r="X257" s="58" t="str">
        <v/>
      </c>
      <c r="Y257" s="75" t="str">
        <v/>
      </c>
      <c r="Z257" s="59">
        <v>0</v>
      </c>
      <c r="AA257" s="61">
        <v>6</v>
      </c>
      <c r="AB257" s="61">
        <v>25</v>
      </c>
      <c r="AC257" s="61" t="str">
        <v/>
      </c>
      <c r="AD257" s="62" t="str">
        <v>QFD56 → XT56</v>
      </c>
      <c r="AE257" s="62" t="str">
        <v>нет мощности</v>
      </c>
      <c r="AF257" s="34">
        <v>56</v>
      </c>
      <c r="AG257" s="34" t="str">
        <v>QFD56</v>
      </c>
      <c r="AH257" s="34" t="str">
        <v/>
      </c>
      <c r="AI257" s="34" t="str">
        <v/>
      </c>
      <c r="AJ257" s="34" t="str">
        <v>QFD56</v>
      </c>
      <c r="AK257" s="34">
        <v>1</v>
      </c>
      <c r="AL257" s="34" t="str">
        <v>R</v>
      </c>
      <c r="AM257" s="34">
        <v>30</v>
      </c>
      <c r="AN257" s="34">
        <v>0</v>
      </c>
      <c r="AO257" s="34">
        <v>16</v>
      </c>
      <c r="AP257" s="34">
        <v>25</v>
      </c>
      <c r="AQ257" s="34">
        <v>16</v>
      </c>
      <c r="AR257" s="34">
        <v>1</v>
      </c>
      <c r="AS257" s="34">
        <v>1</v>
      </c>
      <c r="AT257" s="34" t="str">
        <v>2P</v>
      </c>
      <c r="AU257" s="34">
        <v>16</v>
      </c>
      <c r="AV257" s="34" t="str">
        <v/>
      </c>
      <c r="AW257" s="34" t="str">
        <v/>
      </c>
      <c r="AX257" s="34" t="str">
        <v/>
      </c>
      <c r="AY257" s="34">
        <v>1</v>
      </c>
      <c r="AZ257" s="34" t="str">
        <v/>
      </c>
      <c r="BA257" s="34">
        <v>0</v>
      </c>
      <c r="BB257" s="34">
        <v>16</v>
      </c>
      <c r="BD257" s="34">
        <v>1</v>
      </c>
      <c r="BE257" s="34">
        <v>0</v>
      </c>
      <c r="BF257" s="34">
        <v>1</v>
      </c>
      <c r="BG257" s="34" t="str">
        <v/>
      </c>
      <c r="BH257" s="34" t="str">
        <v/>
      </c>
      <c r="BI257" s="34" t="str">
        <v/>
      </c>
      <c r="BJ257" s="34" t="str">
        <v/>
      </c>
      <c r="BK257" s="34" t="str">
        <v>SOCKET</v>
      </c>
      <c r="BL257" s="34">
        <v>1</v>
      </c>
      <c r="BM257" s="34" t="str">
        <v/>
      </c>
      <c r="BN257" s="34" t="str">
        <v/>
      </c>
      <c r="BO257" s="34" t="str">
        <v/>
      </c>
      <c r="BP257" s="34" t="str">
        <v/>
      </c>
      <c r="BQ257" s="34" t="str">
        <v>3х2,5</v>
      </c>
      <c r="BR257" s="34" t="str">
        <v/>
      </c>
      <c r="BS257" s="34" t="str">
        <v/>
      </c>
      <c r="BT257" s="34" t="str">
        <v/>
      </c>
      <c r="BU257" s="34">
        <v>1</v>
      </c>
      <c r="BV257" s="34">
        <v>278</v>
      </c>
      <c r="BW257" s="34">
        <v>1</v>
      </c>
      <c r="BX257" s="34">
        <v>0</v>
      </c>
      <c r="BY257" s="34" t="str">
        <v>Розетка</v>
      </c>
      <c r="BZ257">
        <v>10</v>
      </c>
      <c r="CA257" t="str">
        <v>линии</v>
      </c>
    </row>
    <row r="258" spans="1:79" x14ac:dyDescent="0.3">
      <c r="A258" s="39" t="str">
        <v>ЩР-1</v>
      </c>
      <c r="B258" s="42">
        <v>73</v>
      </c>
      <c r="C258" s="42">
        <v>5</v>
      </c>
      <c r="D258" s="75" t="str">
        <v/>
      </c>
      <c r="E258" s="75" t="str">
        <v>авто</v>
      </c>
      <c r="F258" s="76" t="str">
        <v/>
      </c>
      <c r="G258" s="47" t="str">
        <v>QFD57</v>
      </c>
      <c r="H258" s="47" t="str">
        <v>2P С16А 30мА</v>
      </c>
      <c r="I258" s="75" t="str">
        <v/>
      </c>
      <c r="J258" s="76" t="str">
        <v/>
      </c>
      <c r="K258" s="76" t="str">
        <v/>
      </c>
      <c r="L258" s="75" t="str">
        <v/>
      </c>
      <c r="M258" s="49" t="str">
        <v/>
      </c>
      <c r="N258" s="76" t="str">
        <v/>
      </c>
      <c r="O258" s="49" t="str">
        <v/>
      </c>
      <c r="P258" s="77" t="str">
        <v>XT57</v>
      </c>
      <c r="Q258" s="53" t="str">
        <v>ВВГнг(А)-LS (3х2,5) L=66-0,41%</v>
      </c>
      <c r="R258" s="54" t="str">
        <v>R.1.022A.1</v>
      </c>
      <c r="S258" s="55" t="str">
        <v>Розеточная группа Первый этаж Пом. №022A</v>
      </c>
      <c r="T258" s="56">
        <v>0.18</v>
      </c>
      <c r="U258" s="56">
        <v>0.83</v>
      </c>
      <c r="V258" s="42" t="str">
        <v>L2</v>
      </c>
      <c r="W258" s="57" t="str">
        <v>ok</v>
      </c>
      <c r="X258" s="58" t="str">
        <v/>
      </c>
      <c r="Y258" s="75" t="str">
        <v/>
      </c>
      <c r="Z258" s="59">
        <v>0.83</v>
      </c>
      <c r="AA258" s="61">
        <v>6</v>
      </c>
      <c r="AB258" s="61">
        <v>25</v>
      </c>
      <c r="AC258" s="61" t="str">
        <v/>
      </c>
      <c r="AD258" s="62" t="str">
        <v>QFD57 → XT57</v>
      </c>
      <c r="AE258" s="62" t="str">
        <v/>
      </c>
      <c r="AF258" s="34">
        <v>57</v>
      </c>
      <c r="AG258" s="34" t="str">
        <v>QFD57</v>
      </c>
      <c r="AH258" s="34" t="str">
        <v/>
      </c>
      <c r="AI258" s="34" t="str">
        <v/>
      </c>
      <c r="AJ258" s="34" t="str">
        <v>QFD57</v>
      </c>
      <c r="AK258" s="34">
        <v>1</v>
      </c>
      <c r="AL258" s="34" t="str">
        <v>R</v>
      </c>
      <c r="AM258" s="34">
        <v>30</v>
      </c>
      <c r="AN258" s="34">
        <v>0</v>
      </c>
      <c r="AO258" s="34">
        <v>16</v>
      </c>
      <c r="AP258" s="34">
        <v>25</v>
      </c>
      <c r="AQ258" s="34">
        <v>16</v>
      </c>
      <c r="AR258" s="34">
        <v>1</v>
      </c>
      <c r="AS258" s="34">
        <v>1</v>
      </c>
      <c r="AT258" s="34" t="str">
        <v>2P</v>
      </c>
      <c r="AU258" s="34">
        <v>16</v>
      </c>
      <c r="AV258" s="34" t="str">
        <v/>
      </c>
      <c r="AW258" s="34" t="str">
        <v/>
      </c>
      <c r="AX258" s="34" t="str">
        <v/>
      </c>
      <c r="AY258" s="34">
        <v>1</v>
      </c>
      <c r="AZ258" s="34" t="str">
        <v/>
      </c>
      <c r="BA258" s="34">
        <v>0</v>
      </c>
      <c r="BB258" s="34">
        <v>16</v>
      </c>
      <c r="BD258" s="34">
        <v>1</v>
      </c>
      <c r="BE258" s="34">
        <v>0</v>
      </c>
      <c r="BF258" s="34">
        <v>1</v>
      </c>
      <c r="BG258" s="34" t="str">
        <v/>
      </c>
      <c r="BH258" s="34" t="str">
        <v/>
      </c>
      <c r="BI258" s="34" t="str">
        <v/>
      </c>
      <c r="BJ258" s="34" t="str">
        <v/>
      </c>
      <c r="BK258" s="34" t="str">
        <v>SOCKET</v>
      </c>
      <c r="BL258" s="34">
        <v>1</v>
      </c>
      <c r="BM258" s="34" t="str">
        <v/>
      </c>
      <c r="BN258" s="34" t="str">
        <v/>
      </c>
      <c r="BO258" s="34" t="str">
        <v/>
      </c>
      <c r="BP258" s="34" t="str">
        <v/>
      </c>
      <c r="BQ258" s="34" t="str">
        <v>3х2,5</v>
      </c>
      <c r="BR258" s="34" t="str">
        <v/>
      </c>
      <c r="BS258" s="34" t="str">
        <v/>
      </c>
      <c r="BT258" s="34" t="str">
        <v/>
      </c>
      <c r="BU258" s="34">
        <v>0</v>
      </c>
      <c r="BV258" s="34">
        <v>279</v>
      </c>
      <c r="BW258" s="34">
        <v>1</v>
      </c>
      <c r="BX258" s="34">
        <v>0</v>
      </c>
      <c r="BY258" s="34" t="str">
        <v>Розетка</v>
      </c>
      <c r="BZ258">
        <v>10</v>
      </c>
      <c r="CA258" t="str">
        <v>линии</v>
      </c>
    </row>
    <row r="259" spans="1:79" x14ac:dyDescent="0.3">
      <c r="A259" s="39" t="str">
        <v>ЩР-1</v>
      </c>
      <c r="B259" s="42">
        <v>75</v>
      </c>
      <c r="C259" s="42">
        <v>5</v>
      </c>
      <c r="D259" s="75" t="str">
        <v/>
      </c>
      <c r="E259" s="75" t="str">
        <v>авто</v>
      </c>
      <c r="F259" s="76" t="str">
        <v/>
      </c>
      <c r="G259" s="47" t="str">
        <v>QF58</v>
      </c>
      <c r="H259" s="47" t="str">
        <v>1P С6А</v>
      </c>
      <c r="I259" s="75" t="str">
        <v/>
      </c>
      <c r="J259" s="76" t="str">
        <v/>
      </c>
      <c r="K259" s="76" t="str">
        <v/>
      </c>
      <c r="L259" s="75" t="str">
        <v/>
      </c>
      <c r="M259" s="49" t="str">
        <v/>
      </c>
      <c r="N259" s="76" t="str">
        <v/>
      </c>
      <c r="O259" s="49" t="str">
        <v/>
      </c>
      <c r="P259" s="77" t="str">
        <v>XT58</v>
      </c>
      <c r="Q259" s="53" t="str">
        <v>ВВГнг(А)-LS (3х2,5) L=11-0,19%</v>
      </c>
      <c r="R259" s="54" t="str">
        <v>ЩКД.1</v>
      </c>
      <c r="S259" s="55" t="str">
        <v>Щит контроля доступа ЩКД-1 Первый этаж Пом. №002Б</v>
      </c>
      <c r="T259" s="56">
        <v>0.5</v>
      </c>
      <c r="U259" s="56">
        <v>2.2799999999999998</v>
      </c>
      <c r="V259" s="42" t="str">
        <v>L1</v>
      </c>
      <c r="W259" s="57" t="str">
        <v>ok</v>
      </c>
      <c r="X259" s="58" t="str">
        <v/>
      </c>
      <c r="Y259" s="75" t="str">
        <v/>
      </c>
      <c r="Z259" s="59">
        <v>2.2799999999999998</v>
      </c>
      <c r="AA259" s="61">
        <v>6</v>
      </c>
      <c r="AB259" s="61">
        <v>25</v>
      </c>
      <c r="AC259" s="61" t="str">
        <v/>
      </c>
      <c r="AD259" s="62" t="str">
        <v>QF58 → XT58</v>
      </c>
      <c r="AE259" s="62" t="str">
        <v/>
      </c>
      <c r="AF259" s="34">
        <v>58</v>
      </c>
      <c r="AG259" s="34" t="str">
        <v>QF58</v>
      </c>
      <c r="AH259" s="34" t="str">
        <v/>
      </c>
      <c r="AI259" s="34" t="str">
        <v/>
      </c>
      <c r="AJ259" s="34" t="str">
        <v>QF58</v>
      </c>
      <c r="AK259" s="34">
        <v>1</v>
      </c>
      <c r="AL259" s="34" t="str">
        <v>ЩКД</v>
      </c>
      <c r="AM259" s="34">
        <v>0</v>
      </c>
      <c r="AN259" s="34">
        <v>0</v>
      </c>
      <c r="AO259" s="34">
        <v>6</v>
      </c>
      <c r="AP259" s="34">
        <v>25</v>
      </c>
      <c r="AQ259" s="34">
        <v>6</v>
      </c>
      <c r="AR259" s="34">
        <v>1</v>
      </c>
      <c r="AS259" s="34">
        <v>0</v>
      </c>
      <c r="AT259" s="34" t="str">
        <v>1P</v>
      </c>
      <c r="AU259" s="34">
        <v>6</v>
      </c>
      <c r="AV259" s="34" t="str">
        <v/>
      </c>
      <c r="AW259" s="34" t="str">
        <v/>
      </c>
      <c r="AX259" s="34" t="str">
        <v/>
      </c>
      <c r="AY259" s="34">
        <v>1</v>
      </c>
      <c r="AZ259" s="34" t="str">
        <v/>
      </c>
      <c r="BA259" s="34">
        <v>0</v>
      </c>
      <c r="BB259" s="34">
        <v>0</v>
      </c>
      <c r="BD259" s="34">
        <v>1</v>
      </c>
      <c r="BE259" s="34">
        <v>0</v>
      </c>
      <c r="BF259" s="34">
        <v>0</v>
      </c>
      <c r="BG259" s="34" t="str">
        <v/>
      </c>
      <c r="BH259" s="34" t="str">
        <v/>
      </c>
      <c r="BI259" s="34" t="str">
        <v/>
      </c>
      <c r="BJ259" s="34" t="str">
        <v/>
      </c>
      <c r="BK259" s="34" t="str">
        <v>BOX</v>
      </c>
      <c r="BL259" s="34">
        <v>1</v>
      </c>
      <c r="BM259" s="34" t="str">
        <v/>
      </c>
      <c r="BN259" s="34" t="str">
        <v/>
      </c>
      <c r="BO259" s="34" t="str">
        <v/>
      </c>
      <c r="BP259" s="34" t="str">
        <v/>
      </c>
      <c r="BQ259" s="34" t="str">
        <v>3х2,5</v>
      </c>
      <c r="BR259" s="34" t="str">
        <v/>
      </c>
      <c r="BS259" s="34" t="str">
        <v/>
      </c>
      <c r="BT259" s="34" t="str">
        <v/>
      </c>
      <c r="BU259" s="34">
        <v>0</v>
      </c>
      <c r="BV259" s="34">
        <v>280</v>
      </c>
      <c r="BW259" s="34">
        <v>1</v>
      </c>
      <c r="BX259" s="34">
        <v>0</v>
      </c>
      <c r="BY259" s="34">
        <v>0</v>
      </c>
      <c r="BZ259">
        <v>10</v>
      </c>
      <c r="CA259" t="str">
        <v>линии</v>
      </c>
    </row>
    <row r="260" spans="1:79" x14ac:dyDescent="0.3">
      <c r="A260" s="39" t="str">
        <v>ЩР-2</v>
      </c>
      <c r="B260" s="42">
        <v>2</v>
      </c>
      <c r="C260" s="42">
        <v>1</v>
      </c>
      <c r="D260" s="75" t="str">
        <v/>
      </c>
      <c r="E260" s="75" t="str">
        <v/>
      </c>
      <c r="F260" s="76" t="str">
        <v/>
      </c>
      <c r="G260" s="47" t="str">
        <v/>
      </c>
      <c r="H260" s="47" t="str">
        <v/>
      </c>
      <c r="I260" s="75" t="str">
        <v/>
      </c>
      <c r="J260" s="76" t="str">
        <v/>
      </c>
      <c r="K260" s="76" t="str">
        <v/>
      </c>
      <c r="L260" s="75" t="str">
        <v/>
      </c>
      <c r="M260" s="49" t="str">
        <v/>
      </c>
      <c r="N260" s="76" t="str">
        <v/>
      </c>
      <c r="O260" s="49" t="str">
        <v/>
      </c>
      <c r="P260" s="77" t="str">
        <v/>
      </c>
      <c r="Q260" s="53" t="str">
        <v/>
      </c>
      <c r="R260" s="54" t="str">
        <v>Ввод.1</v>
      </c>
      <c r="S260" s="55" t="str">
        <v>Ввод</v>
      </c>
      <c r="T260" s="56">
        <v>0</v>
      </c>
      <c r="U260" s="56" t="str">
        <v/>
      </c>
      <c r="V260" s="42" t="str">
        <v>L2</v>
      </c>
      <c r="W260" s="57" t="str">
        <v/>
      </c>
      <c r="X260" s="58" t="str">
        <v/>
      </c>
      <c r="Y260" s="75" t="str">
        <v>вручную</v>
      </c>
      <c r="Z260" s="59" t="str">
        <v/>
      </c>
      <c r="AA260" s="61" t="str">
        <v/>
      </c>
      <c r="AB260" s="61">
        <v>32</v>
      </c>
      <c r="AC260" s="61" t="str">
        <v/>
      </c>
      <c r="AD260" s="62" t="str">
        <v/>
      </c>
      <c r="AE260" s="62" t="str">
        <v/>
      </c>
      <c r="AF260" s="34" t="str">
        <v/>
      </c>
      <c r="AG260" s="34" t="str">
        <v/>
      </c>
      <c r="AH260" s="34" t="str">
        <v/>
      </c>
      <c r="AI260" s="34" t="str">
        <v/>
      </c>
      <c r="AJ260" s="34" t="str">
        <v/>
      </c>
      <c r="AK260" s="34">
        <v>4</v>
      </c>
      <c r="AL260" s="34" t="str">
        <v>Ввод</v>
      </c>
      <c r="AM260" s="34">
        <v>0</v>
      </c>
      <c r="AN260" s="34">
        <v>0</v>
      </c>
      <c r="AO260" s="34" t="str">
        <v/>
      </c>
      <c r="AP260" s="34" t="str">
        <v/>
      </c>
      <c r="AQ260" s="34" t="str">
        <v/>
      </c>
      <c r="AR260" s="34" t="str">
        <v/>
      </c>
      <c r="AS260" s="34" t="str">
        <v/>
      </c>
      <c r="AT260" s="34" t="str">
        <v/>
      </c>
      <c r="AU260" s="34" t="str">
        <v/>
      </c>
      <c r="AV260" s="34" t="str">
        <v/>
      </c>
      <c r="AW260" s="34" t="str">
        <v/>
      </c>
      <c r="AX260" s="34" t="str">
        <v/>
      </c>
      <c r="AY260" s="34">
        <v>0</v>
      </c>
      <c r="AZ260" s="34" t="str">
        <v/>
      </c>
      <c r="BA260" s="34">
        <v>0</v>
      </c>
      <c r="BB260" s="34">
        <v>16</v>
      </c>
      <c r="BD260" s="34">
        <v>0</v>
      </c>
      <c r="BE260" s="34">
        <v>0</v>
      </c>
      <c r="BF260" s="34">
        <v>0</v>
      </c>
      <c r="BG260" s="34" t="str">
        <v/>
      </c>
      <c r="BH260" s="34" t="str">
        <v/>
      </c>
      <c r="BI260" s="34" t="str">
        <v/>
      </c>
      <c r="BJ260" s="34" t="str">
        <v/>
      </c>
      <c r="BK260" s="34" t="str">
        <v>BOX</v>
      </c>
      <c r="BL260" s="34">
        <v>1</v>
      </c>
      <c r="BM260" s="34" t="str">
        <v/>
      </c>
      <c r="BN260" s="34" t="str">
        <v/>
      </c>
      <c r="BO260" s="34" t="str">
        <v/>
      </c>
      <c r="BP260" s="34" t="str">
        <v/>
      </c>
      <c r="BQ260" s="34" t="str">
        <v/>
      </c>
      <c r="BR260" s="34" t="str">
        <v/>
      </c>
      <c r="BS260" s="34" t="str">
        <v/>
      </c>
      <c r="BT260" s="34" t="str">
        <v/>
      </c>
      <c r="BU260" s="34">
        <v>0</v>
      </c>
      <c r="BV260" s="34">
        <v>281</v>
      </c>
      <c r="BW260" s="34">
        <v>0</v>
      </c>
      <c r="BX260" s="34">
        <v>0</v>
      </c>
      <c r="BY260" s="34">
        <v>0</v>
      </c>
      <c r="BZ260">
        <v>11</v>
      </c>
      <c r="CA260" t="str">
        <v>вводной узел</v>
      </c>
    </row>
    <row r="261" spans="1:79" x14ac:dyDescent="0.3">
      <c r="A261" s="39" t="str">
        <v>ЩР-2</v>
      </c>
      <c r="B261" s="42">
        <v>9</v>
      </c>
      <c r="C261" s="42">
        <v>1</v>
      </c>
      <c r="D261" s="75" t="str">
        <v/>
      </c>
      <c r="E261" s="75" t="str">
        <v>авто</v>
      </c>
      <c r="F261" s="76" t="str">
        <v/>
      </c>
      <c r="G261" s="47" t="str">
        <v>QFD1</v>
      </c>
      <c r="H261" s="47" t="str">
        <v>2P С16А 30мА</v>
      </c>
      <c r="I261" s="75" t="str">
        <v/>
      </c>
      <c r="J261" s="76" t="str">
        <v/>
      </c>
      <c r="K261" s="76" t="str">
        <v/>
      </c>
      <c r="L261" s="75" t="str">
        <v/>
      </c>
      <c r="M261" s="49" t="str">
        <v/>
      </c>
      <c r="N261" s="76" t="str">
        <v/>
      </c>
      <c r="O261" s="49" t="str">
        <v/>
      </c>
      <c r="P261" s="77" t="str">
        <v>XT1</v>
      </c>
      <c r="Q261" s="53" t="str">
        <v>ВВГнг(А)-LS (3х2,5) L=54-0,33%</v>
      </c>
      <c r="R261" s="54" t="str">
        <v>R.2.002А.1</v>
      </c>
      <c r="S261" s="55" t="str">
        <v>Розеточная группа Второй этаж Пом. №002А</v>
      </c>
      <c r="T261" s="56">
        <v>0.18</v>
      </c>
      <c r="U261" s="56">
        <v>0.83</v>
      </c>
      <c r="V261" s="42" t="str">
        <v>L3</v>
      </c>
      <c r="W261" s="57" t="str">
        <v>ok</v>
      </c>
      <c r="X261" s="58" t="str">
        <v/>
      </c>
      <c r="Y261" s="75" t="str">
        <v/>
      </c>
      <c r="Z261" s="59">
        <v>0.83</v>
      </c>
      <c r="AA261" s="61">
        <v>6</v>
      </c>
      <c r="AB261" s="61">
        <v>25</v>
      </c>
      <c r="AC261" s="61" t="str">
        <v/>
      </c>
      <c r="AD261" s="62" t="str">
        <v>QFD1 → XT1</v>
      </c>
      <c r="AE261" s="62" t="str">
        <v/>
      </c>
      <c r="AF261" s="34">
        <v>1</v>
      </c>
      <c r="AG261" s="34" t="str">
        <v>QFD1</v>
      </c>
      <c r="AH261" s="34" t="str">
        <v/>
      </c>
      <c r="AI261" s="34" t="str">
        <v/>
      </c>
      <c r="AJ261" s="34" t="str">
        <v>QFD1</v>
      </c>
      <c r="AK261" s="34">
        <v>1</v>
      </c>
      <c r="AL261" s="34" t="str">
        <v>R</v>
      </c>
      <c r="AM261" s="34">
        <v>30</v>
      </c>
      <c r="AN261" s="34">
        <v>0</v>
      </c>
      <c r="AO261" s="34">
        <v>16</v>
      </c>
      <c r="AP261" s="34">
        <v>25</v>
      </c>
      <c r="AQ261" s="34">
        <v>16</v>
      </c>
      <c r="AR261" s="34">
        <v>1</v>
      </c>
      <c r="AS261" s="34">
        <v>1</v>
      </c>
      <c r="AT261" s="34" t="str">
        <v>2P</v>
      </c>
      <c r="AU261" s="34">
        <v>16</v>
      </c>
      <c r="AV261" s="34" t="str">
        <v/>
      </c>
      <c r="AW261" s="34" t="str">
        <v/>
      </c>
      <c r="AX261" s="34" t="str">
        <v/>
      </c>
      <c r="AY261" s="34">
        <v>1</v>
      </c>
      <c r="AZ261" s="34" t="str">
        <v/>
      </c>
      <c r="BA261" s="34">
        <v>0</v>
      </c>
      <c r="BB261" s="34">
        <v>16</v>
      </c>
      <c r="BD261" s="34">
        <v>1</v>
      </c>
      <c r="BE261" s="34">
        <v>0</v>
      </c>
      <c r="BF261" s="34">
        <v>1</v>
      </c>
      <c r="BG261" s="34" t="str">
        <v/>
      </c>
      <c r="BH261" s="34" t="str">
        <v/>
      </c>
      <c r="BI261" s="34" t="str">
        <v/>
      </c>
      <c r="BJ261" s="34" t="str">
        <v/>
      </c>
      <c r="BK261" s="34" t="str">
        <v>SOCKET</v>
      </c>
      <c r="BL261" s="34">
        <v>1</v>
      </c>
      <c r="BM261" s="34" t="str">
        <v/>
      </c>
      <c r="BN261" s="34" t="str">
        <v/>
      </c>
      <c r="BO261" s="34" t="str">
        <v/>
      </c>
      <c r="BP261" s="34" t="str">
        <v/>
      </c>
      <c r="BQ261" s="34" t="str">
        <v>3х2,5</v>
      </c>
      <c r="BR261" s="34" t="str">
        <v/>
      </c>
      <c r="BS261" s="34" t="str">
        <v/>
      </c>
      <c r="BT261" s="34" t="str">
        <v/>
      </c>
      <c r="BU261" s="34">
        <v>0</v>
      </c>
      <c r="BV261" s="34">
        <v>282</v>
      </c>
      <c r="BW261" s="34">
        <v>1</v>
      </c>
      <c r="BX261" s="34">
        <v>0</v>
      </c>
      <c r="BY261" s="34" t="str">
        <v>Розетка</v>
      </c>
      <c r="BZ261">
        <v>11</v>
      </c>
      <c r="CA261" t="str">
        <v>линии</v>
      </c>
    </row>
    <row r="262" spans="1:79" x14ac:dyDescent="0.3">
      <c r="A262" s="39" t="str">
        <v>ЩР-2</v>
      </c>
      <c r="B262" s="42">
        <v>10</v>
      </c>
      <c r="C262" s="42">
        <v>1</v>
      </c>
      <c r="D262" s="75" t="str">
        <v/>
      </c>
      <c r="E262" s="75" t="str">
        <v>авто</v>
      </c>
      <c r="F262" s="76" t="str">
        <v/>
      </c>
      <c r="G262" s="47" t="str">
        <v>QFD2</v>
      </c>
      <c r="H262" s="47" t="str">
        <v>2P С16А 30мА</v>
      </c>
      <c r="I262" s="75" t="str">
        <v/>
      </c>
      <c r="J262" s="76" t="str">
        <v/>
      </c>
      <c r="K262" s="76" t="str">
        <v/>
      </c>
      <c r="L262" s="75" t="str">
        <v/>
      </c>
      <c r="M262" s="49" t="str">
        <v/>
      </c>
      <c r="N262" s="76" t="str">
        <v/>
      </c>
      <c r="O262" s="49" t="str">
        <v/>
      </c>
      <c r="P262" s="77" t="str">
        <v>XT2</v>
      </c>
      <c r="Q262" s="53" t="str">
        <v>ВВГнг(А)-LS (3х2,5) L=62-0,38%</v>
      </c>
      <c r="R262" s="54" t="str">
        <v>R.2.003А.1</v>
      </c>
      <c r="S262" s="55" t="str">
        <v>Розеточная группа Второй этаж Пом. №003А</v>
      </c>
      <c r="T262" s="56">
        <v>0.18</v>
      </c>
      <c r="U262" s="56">
        <v>0.83</v>
      </c>
      <c r="V262" s="42" t="str">
        <v>L1</v>
      </c>
      <c r="W262" s="57" t="str">
        <v>ok</v>
      </c>
      <c r="X262" s="58" t="str">
        <v/>
      </c>
      <c r="Y262" s="75" t="str">
        <v/>
      </c>
      <c r="Z262" s="59">
        <v>0.83</v>
      </c>
      <c r="AA262" s="61">
        <v>6</v>
      </c>
      <c r="AB262" s="61">
        <v>25</v>
      </c>
      <c r="AC262" s="61" t="str">
        <v/>
      </c>
      <c r="AD262" s="62" t="str">
        <v>QFD2 → XT2</v>
      </c>
      <c r="AE262" s="62" t="str">
        <v/>
      </c>
      <c r="AF262" s="34">
        <v>2</v>
      </c>
      <c r="AG262" s="34" t="str">
        <v>QFD2</v>
      </c>
      <c r="AH262" s="34" t="str">
        <v/>
      </c>
      <c r="AI262" s="34" t="str">
        <v/>
      </c>
      <c r="AJ262" s="34" t="str">
        <v>QFD2</v>
      </c>
      <c r="AK262" s="34">
        <v>1</v>
      </c>
      <c r="AL262" s="34" t="str">
        <v>R</v>
      </c>
      <c r="AM262" s="34">
        <v>30</v>
      </c>
      <c r="AN262" s="34">
        <v>0</v>
      </c>
      <c r="AO262" s="34">
        <v>16</v>
      </c>
      <c r="AP262" s="34">
        <v>25</v>
      </c>
      <c r="AQ262" s="34">
        <v>16</v>
      </c>
      <c r="AR262" s="34">
        <v>1</v>
      </c>
      <c r="AS262" s="34">
        <v>1</v>
      </c>
      <c r="AT262" s="34" t="str">
        <v>2P</v>
      </c>
      <c r="AU262" s="34">
        <v>16</v>
      </c>
      <c r="AV262" s="34" t="str">
        <v/>
      </c>
      <c r="AW262" s="34" t="str">
        <v/>
      </c>
      <c r="AX262" s="34" t="str">
        <v/>
      </c>
      <c r="AY262" s="34">
        <v>1</v>
      </c>
      <c r="AZ262" s="34" t="str">
        <v/>
      </c>
      <c r="BA262" s="34">
        <v>0</v>
      </c>
      <c r="BB262" s="34">
        <v>16</v>
      </c>
      <c r="BD262" s="34">
        <v>1</v>
      </c>
      <c r="BE262" s="34">
        <v>0</v>
      </c>
      <c r="BF262" s="34">
        <v>1</v>
      </c>
      <c r="BG262" s="34" t="str">
        <v/>
      </c>
      <c r="BH262" s="34" t="str">
        <v/>
      </c>
      <c r="BI262" s="34" t="str">
        <v/>
      </c>
      <c r="BJ262" s="34" t="str">
        <v/>
      </c>
      <c r="BK262" s="34" t="str">
        <v>SOCKET</v>
      </c>
      <c r="BL262" s="34">
        <v>1</v>
      </c>
      <c r="BM262" s="34" t="str">
        <v/>
      </c>
      <c r="BN262" s="34" t="str">
        <v/>
      </c>
      <c r="BO262" s="34" t="str">
        <v/>
      </c>
      <c r="BP262" s="34" t="str">
        <v/>
      </c>
      <c r="BQ262" s="34" t="str">
        <v>3х2,5</v>
      </c>
      <c r="BR262" s="34" t="str">
        <v/>
      </c>
      <c r="BS262" s="34" t="str">
        <v/>
      </c>
      <c r="BT262" s="34" t="str">
        <v/>
      </c>
      <c r="BU262" s="34">
        <v>0</v>
      </c>
      <c r="BV262" s="34">
        <v>283</v>
      </c>
      <c r="BW262" s="34">
        <v>1</v>
      </c>
      <c r="BX262" s="34">
        <v>0</v>
      </c>
      <c r="BY262" s="34" t="str">
        <v>Розетка</v>
      </c>
      <c r="BZ262">
        <v>11</v>
      </c>
      <c r="CA262" t="str">
        <v>линии</v>
      </c>
    </row>
    <row r="263" spans="1:79" x14ac:dyDescent="0.3">
      <c r="A263" s="39" t="str">
        <v>ЩР-2</v>
      </c>
      <c r="B263" s="42">
        <v>11</v>
      </c>
      <c r="C263" s="42">
        <v>1</v>
      </c>
      <c r="D263" s="75" t="str">
        <v/>
      </c>
      <c r="E263" s="75" t="str">
        <v>авто</v>
      </c>
      <c r="F263" s="76" t="str">
        <v/>
      </c>
      <c r="G263" s="47" t="str">
        <v>QFD3</v>
      </c>
      <c r="H263" s="47" t="str">
        <v>2P С16А 30мА</v>
      </c>
      <c r="I263" s="75" t="str">
        <v/>
      </c>
      <c r="J263" s="76" t="str">
        <v/>
      </c>
      <c r="K263" s="76" t="str">
        <v/>
      </c>
      <c r="L263" s="75" t="str">
        <v/>
      </c>
      <c r="M263" s="49" t="str">
        <v/>
      </c>
      <c r="N263" s="76" t="str">
        <v/>
      </c>
      <c r="O263" s="49" t="str">
        <v/>
      </c>
      <c r="P263" s="77" t="str">
        <v>XT3</v>
      </c>
      <c r="Q263" s="53" t="str">
        <v>ВВГнг(А)-LS (3х2,5) L=57-0,58%</v>
      </c>
      <c r="R263" s="54" t="str">
        <v>R.2.005А.1</v>
      </c>
      <c r="S263" s="55" t="str">
        <v>Розеточная группа Второй этаж Пом. №005А</v>
      </c>
      <c r="T263" s="56">
        <v>0.3</v>
      </c>
      <c r="U263" s="56">
        <v>1.37</v>
      </c>
      <c r="V263" s="42" t="str">
        <v>L2</v>
      </c>
      <c r="W263" s="57" t="str">
        <v>ok</v>
      </c>
      <c r="X263" s="58" t="str">
        <v/>
      </c>
      <c r="Y263" s="75" t="str">
        <v/>
      </c>
      <c r="Z263" s="59">
        <v>1.37</v>
      </c>
      <c r="AA263" s="61">
        <v>6</v>
      </c>
      <c r="AB263" s="61">
        <v>25</v>
      </c>
      <c r="AC263" s="61" t="str">
        <v/>
      </c>
      <c r="AD263" s="62" t="str">
        <v>QFD3 → XT3</v>
      </c>
      <c r="AE263" s="62" t="str">
        <v/>
      </c>
      <c r="AF263" s="34">
        <v>3</v>
      </c>
      <c r="AG263" s="34" t="str">
        <v>QFD3</v>
      </c>
      <c r="AH263" s="34" t="str">
        <v/>
      </c>
      <c r="AI263" s="34" t="str">
        <v/>
      </c>
      <c r="AJ263" s="34" t="str">
        <v>QFD3</v>
      </c>
      <c r="AK263" s="34">
        <v>1</v>
      </c>
      <c r="AL263" s="34" t="str">
        <v>R</v>
      </c>
      <c r="AM263" s="34">
        <v>30</v>
      </c>
      <c r="AN263" s="34">
        <v>0</v>
      </c>
      <c r="AO263" s="34">
        <v>16</v>
      </c>
      <c r="AP263" s="34">
        <v>25</v>
      </c>
      <c r="AQ263" s="34">
        <v>16</v>
      </c>
      <c r="AR263" s="34">
        <v>1</v>
      </c>
      <c r="AS263" s="34">
        <v>1</v>
      </c>
      <c r="AT263" s="34" t="str">
        <v>2P</v>
      </c>
      <c r="AU263" s="34">
        <v>16</v>
      </c>
      <c r="AV263" s="34" t="str">
        <v/>
      </c>
      <c r="AW263" s="34" t="str">
        <v/>
      </c>
      <c r="AX263" s="34" t="str">
        <v/>
      </c>
      <c r="AY263" s="34">
        <v>1</v>
      </c>
      <c r="AZ263" s="34" t="str">
        <v/>
      </c>
      <c r="BA263" s="34">
        <v>0</v>
      </c>
      <c r="BB263" s="34">
        <v>16</v>
      </c>
      <c r="BD263" s="34">
        <v>1</v>
      </c>
      <c r="BE263" s="34">
        <v>0</v>
      </c>
      <c r="BF263" s="34">
        <v>1</v>
      </c>
      <c r="BG263" s="34" t="str">
        <v/>
      </c>
      <c r="BH263" s="34" t="str">
        <v/>
      </c>
      <c r="BI263" s="34" t="str">
        <v/>
      </c>
      <c r="BJ263" s="34" t="str">
        <v/>
      </c>
      <c r="BK263" s="34" t="str">
        <v>SOCKET</v>
      </c>
      <c r="BL263" s="34">
        <v>1</v>
      </c>
      <c r="BM263" s="34" t="str">
        <v/>
      </c>
      <c r="BN263" s="34" t="str">
        <v/>
      </c>
      <c r="BO263" s="34" t="str">
        <v/>
      </c>
      <c r="BP263" s="34" t="str">
        <v/>
      </c>
      <c r="BQ263" s="34" t="str">
        <v>3х2,5</v>
      </c>
      <c r="BR263" s="34" t="str">
        <v/>
      </c>
      <c r="BS263" s="34" t="str">
        <v/>
      </c>
      <c r="BT263" s="34" t="str">
        <v/>
      </c>
      <c r="BU263" s="34">
        <v>0</v>
      </c>
      <c r="BV263" s="34">
        <v>284</v>
      </c>
      <c r="BW263" s="34">
        <v>1</v>
      </c>
      <c r="BX263" s="34">
        <v>0</v>
      </c>
      <c r="BY263" s="34" t="str">
        <v>Розетка</v>
      </c>
      <c r="BZ263">
        <v>11</v>
      </c>
      <c r="CA263" t="str">
        <v>линии</v>
      </c>
    </row>
    <row r="264" spans="1:79" x14ac:dyDescent="0.3">
      <c r="A264" s="39" t="str">
        <v>ЩР-2</v>
      </c>
      <c r="B264" s="42">
        <v>12</v>
      </c>
      <c r="C264" s="42">
        <v>1</v>
      </c>
      <c r="D264" s="75" t="str">
        <v/>
      </c>
      <c r="E264" s="75" t="str">
        <v>авто</v>
      </c>
      <c r="F264" s="76" t="str">
        <v/>
      </c>
      <c r="G264" s="47" t="str">
        <v>QFD4</v>
      </c>
      <c r="H264" s="47" t="str">
        <v>2P С16А 30мА</v>
      </c>
      <c r="I264" s="75" t="str">
        <v/>
      </c>
      <c r="J264" s="76" t="str">
        <v/>
      </c>
      <c r="K264" s="76" t="str">
        <v/>
      </c>
      <c r="L264" s="75" t="str">
        <v/>
      </c>
      <c r="M264" s="49" t="str">
        <v/>
      </c>
      <c r="N264" s="76" t="str">
        <v/>
      </c>
      <c r="O264" s="49" t="str">
        <v/>
      </c>
      <c r="P264" s="77" t="str">
        <v>XT4</v>
      </c>
      <c r="Q264" s="53" t="str">
        <v>ВВГнг(А)-LS (3х2,5) L=43-0,35%</v>
      </c>
      <c r="R264" s="54" t="str">
        <v>R.2.005А.2</v>
      </c>
      <c r="S264" s="55" t="str">
        <v>Розеточная группа Второй этаж Пом. №005А</v>
      </c>
      <c r="T264" s="56">
        <v>0.24</v>
      </c>
      <c r="U264" s="56">
        <v>1.1000000000000001</v>
      </c>
      <c r="V264" s="42" t="str">
        <v>L3</v>
      </c>
      <c r="W264" s="57" t="str">
        <v>ok</v>
      </c>
      <c r="X264" s="58" t="str">
        <v/>
      </c>
      <c r="Y264" s="75" t="str">
        <v/>
      </c>
      <c r="Z264" s="59">
        <v>1.1000000000000001</v>
      </c>
      <c r="AA264" s="61">
        <v>6</v>
      </c>
      <c r="AB264" s="61">
        <v>25</v>
      </c>
      <c r="AC264" s="61" t="str">
        <v/>
      </c>
      <c r="AD264" s="62" t="str">
        <v>QFD4 → XT4</v>
      </c>
      <c r="AE264" s="62" t="str">
        <v/>
      </c>
      <c r="AF264" s="34">
        <v>4</v>
      </c>
      <c r="AG264" s="34" t="str">
        <v>QFD4</v>
      </c>
      <c r="AH264" s="34" t="str">
        <v/>
      </c>
      <c r="AI264" s="34" t="str">
        <v/>
      </c>
      <c r="AJ264" s="34" t="str">
        <v>QFD4</v>
      </c>
      <c r="AK264" s="34">
        <v>1</v>
      </c>
      <c r="AL264" s="34" t="str">
        <v>R</v>
      </c>
      <c r="AM264" s="34">
        <v>30</v>
      </c>
      <c r="AN264" s="34">
        <v>0</v>
      </c>
      <c r="AO264" s="34">
        <v>16</v>
      </c>
      <c r="AP264" s="34">
        <v>25</v>
      </c>
      <c r="AQ264" s="34">
        <v>16</v>
      </c>
      <c r="AR264" s="34">
        <v>1</v>
      </c>
      <c r="AS264" s="34">
        <v>1</v>
      </c>
      <c r="AT264" s="34" t="str">
        <v>2P</v>
      </c>
      <c r="AU264" s="34">
        <v>16</v>
      </c>
      <c r="AV264" s="34" t="str">
        <v/>
      </c>
      <c r="AW264" s="34" t="str">
        <v/>
      </c>
      <c r="AX264" s="34" t="str">
        <v/>
      </c>
      <c r="AY264" s="34">
        <v>1</v>
      </c>
      <c r="AZ264" s="34" t="str">
        <v/>
      </c>
      <c r="BA264" s="34">
        <v>0</v>
      </c>
      <c r="BB264" s="34">
        <v>16</v>
      </c>
      <c r="BD264" s="34">
        <v>1</v>
      </c>
      <c r="BE264" s="34">
        <v>0</v>
      </c>
      <c r="BF264" s="34">
        <v>1</v>
      </c>
      <c r="BG264" s="34" t="str">
        <v/>
      </c>
      <c r="BH264" s="34" t="str">
        <v/>
      </c>
      <c r="BI264" s="34" t="str">
        <v/>
      </c>
      <c r="BJ264" s="34" t="str">
        <v/>
      </c>
      <c r="BK264" s="34" t="str">
        <v>SOCKET</v>
      </c>
      <c r="BL264" s="34">
        <v>1</v>
      </c>
      <c r="BM264" s="34" t="str">
        <v/>
      </c>
      <c r="BN264" s="34" t="str">
        <v/>
      </c>
      <c r="BO264" s="34" t="str">
        <v/>
      </c>
      <c r="BP264" s="34" t="str">
        <v/>
      </c>
      <c r="BQ264" s="34" t="str">
        <v>3х2,5</v>
      </c>
      <c r="BR264" s="34" t="str">
        <v/>
      </c>
      <c r="BS264" s="34" t="str">
        <v/>
      </c>
      <c r="BT264" s="34" t="str">
        <v/>
      </c>
      <c r="BU264" s="34">
        <v>0</v>
      </c>
      <c r="BV264" s="34">
        <v>285</v>
      </c>
      <c r="BW264" s="34">
        <v>1</v>
      </c>
      <c r="BX264" s="34">
        <v>0</v>
      </c>
      <c r="BY264" s="34" t="str">
        <v>Розетка</v>
      </c>
      <c r="BZ264">
        <v>11</v>
      </c>
      <c r="CA264" t="str">
        <v>линии</v>
      </c>
    </row>
    <row r="265" spans="1:79" x14ac:dyDescent="0.3">
      <c r="A265" s="39" t="str">
        <v>ЩР-2</v>
      </c>
      <c r="B265" s="42">
        <v>13</v>
      </c>
      <c r="C265" s="42">
        <v>1</v>
      </c>
      <c r="D265" s="75" t="str">
        <v/>
      </c>
      <c r="E265" s="75" t="str">
        <v>авто</v>
      </c>
      <c r="F265" s="76" t="str">
        <v/>
      </c>
      <c r="G265" s="47" t="str">
        <v>QFD5</v>
      </c>
      <c r="H265" s="47" t="str">
        <v>2P С16А 30мА</v>
      </c>
      <c r="I265" s="75" t="str">
        <v/>
      </c>
      <c r="J265" s="76" t="str">
        <v/>
      </c>
      <c r="K265" s="76" t="str">
        <v/>
      </c>
      <c r="L265" s="75" t="str">
        <v/>
      </c>
      <c r="M265" s="49" t="str">
        <v/>
      </c>
      <c r="N265" s="76" t="str">
        <v/>
      </c>
      <c r="O265" s="49" t="str">
        <v/>
      </c>
      <c r="P265" s="77" t="str">
        <v>XT5</v>
      </c>
      <c r="Q265" s="53" t="str">
        <v>ВВГнг(А)-LS (3х2,5) L=49-0,1%</v>
      </c>
      <c r="R265" s="54" t="str">
        <v>R.2.006А.1</v>
      </c>
      <c r="S265" s="55" t="str">
        <v>Розеточная группа Второй этаж Пом. №006А</v>
      </c>
      <c r="T265" s="56">
        <v>0.06</v>
      </c>
      <c r="U265" s="56">
        <v>0.28000000000000003</v>
      </c>
      <c r="V265" s="42" t="str">
        <v>L1</v>
      </c>
      <c r="W265" s="57" t="str">
        <v>ok</v>
      </c>
      <c r="X265" s="58" t="str">
        <v/>
      </c>
      <c r="Y265" s="75" t="str">
        <v/>
      </c>
      <c r="Z265" s="59">
        <v>0.28000000000000003</v>
      </c>
      <c r="AA265" s="61">
        <v>6</v>
      </c>
      <c r="AB265" s="61">
        <v>25</v>
      </c>
      <c r="AC265" s="61" t="str">
        <v/>
      </c>
      <c r="AD265" s="62" t="str">
        <v>QFD5 → XT5</v>
      </c>
      <c r="AE265" s="62" t="str">
        <v/>
      </c>
      <c r="AF265" s="34">
        <v>5</v>
      </c>
      <c r="AG265" s="34" t="str">
        <v>QFD5</v>
      </c>
      <c r="AH265" s="34" t="str">
        <v/>
      </c>
      <c r="AI265" s="34" t="str">
        <v/>
      </c>
      <c r="AJ265" s="34" t="str">
        <v>QFD5</v>
      </c>
      <c r="AK265" s="34">
        <v>1</v>
      </c>
      <c r="AL265" s="34" t="str">
        <v>R</v>
      </c>
      <c r="AM265" s="34">
        <v>30</v>
      </c>
      <c r="AN265" s="34">
        <v>0</v>
      </c>
      <c r="AO265" s="34">
        <v>16</v>
      </c>
      <c r="AP265" s="34">
        <v>25</v>
      </c>
      <c r="AQ265" s="34">
        <v>16</v>
      </c>
      <c r="AR265" s="34">
        <v>1</v>
      </c>
      <c r="AS265" s="34">
        <v>1</v>
      </c>
      <c r="AT265" s="34" t="str">
        <v>2P</v>
      </c>
      <c r="AU265" s="34">
        <v>16</v>
      </c>
      <c r="AV265" s="34" t="str">
        <v/>
      </c>
      <c r="AW265" s="34" t="str">
        <v/>
      </c>
      <c r="AX265" s="34" t="str">
        <v/>
      </c>
      <c r="AY265" s="34">
        <v>1</v>
      </c>
      <c r="AZ265" s="34" t="str">
        <v/>
      </c>
      <c r="BA265" s="34">
        <v>0</v>
      </c>
      <c r="BB265" s="34">
        <v>16</v>
      </c>
      <c r="BD265" s="34">
        <v>1</v>
      </c>
      <c r="BE265" s="34">
        <v>0</v>
      </c>
      <c r="BF265" s="34">
        <v>1</v>
      </c>
      <c r="BG265" s="34" t="str">
        <v/>
      </c>
      <c r="BH265" s="34" t="str">
        <v/>
      </c>
      <c r="BI265" s="34" t="str">
        <v/>
      </c>
      <c r="BJ265" s="34" t="str">
        <v/>
      </c>
      <c r="BK265" s="34" t="str">
        <v>SOCKET</v>
      </c>
      <c r="BL265" s="34">
        <v>1</v>
      </c>
      <c r="BM265" s="34" t="str">
        <v/>
      </c>
      <c r="BN265" s="34" t="str">
        <v/>
      </c>
      <c r="BO265" s="34" t="str">
        <v/>
      </c>
      <c r="BP265" s="34" t="str">
        <v/>
      </c>
      <c r="BQ265" s="34" t="str">
        <v>3х2,5</v>
      </c>
      <c r="BR265" s="34" t="str">
        <v/>
      </c>
      <c r="BS265" s="34" t="str">
        <v/>
      </c>
      <c r="BT265" s="34" t="str">
        <v/>
      </c>
      <c r="BU265" s="34">
        <v>0</v>
      </c>
      <c r="BV265" s="34">
        <v>286</v>
      </c>
      <c r="BW265" s="34">
        <v>1</v>
      </c>
      <c r="BX265" s="34">
        <v>0</v>
      </c>
      <c r="BY265" s="34" t="str">
        <v>Розетка</v>
      </c>
      <c r="BZ265">
        <v>11</v>
      </c>
      <c r="CA265" t="str">
        <v>линии</v>
      </c>
    </row>
    <row r="266" spans="1:79" x14ac:dyDescent="0.3">
      <c r="A266" s="39" t="str">
        <v>ЩР-2</v>
      </c>
      <c r="B266" s="42">
        <v>14</v>
      </c>
      <c r="C266" s="42">
        <v>1</v>
      </c>
      <c r="D266" s="75" t="str">
        <v/>
      </c>
      <c r="E266" s="75" t="str">
        <v>авто</v>
      </c>
      <c r="F266" s="76" t="str">
        <v/>
      </c>
      <c r="G266" s="47" t="str">
        <v>QFD6</v>
      </c>
      <c r="H266" s="47" t="str">
        <v>2P С16А 30мА</v>
      </c>
      <c r="I266" s="75" t="str">
        <v/>
      </c>
      <c r="J266" s="76" t="str">
        <v/>
      </c>
      <c r="K266" s="76" t="str">
        <v/>
      </c>
      <c r="L266" s="75" t="str">
        <v/>
      </c>
      <c r="M266" s="49" t="str">
        <v/>
      </c>
      <c r="N266" s="76" t="str">
        <v/>
      </c>
      <c r="O266" s="49" t="str">
        <v/>
      </c>
      <c r="P266" s="77" t="str">
        <v>XT6</v>
      </c>
      <c r="Q266" s="53" t="str">
        <v>ВВГнг(А)-LS (3х2,5) L=58-0,71%</v>
      </c>
      <c r="R266" s="54" t="str">
        <v>R.2.009А.1</v>
      </c>
      <c r="S266" s="55" t="str">
        <v>Розеточная группа Второй этаж Пом. №009А</v>
      </c>
      <c r="T266" s="56">
        <v>0.36</v>
      </c>
      <c r="U266" s="56">
        <v>1.65</v>
      </c>
      <c r="V266" s="42" t="str">
        <v>L3</v>
      </c>
      <c r="W266" s="57" t="str">
        <v>ok</v>
      </c>
      <c r="X266" s="58" t="str">
        <v/>
      </c>
      <c r="Y266" s="75" t="str">
        <v/>
      </c>
      <c r="Z266" s="59">
        <v>1.65</v>
      </c>
      <c r="AA266" s="61">
        <v>6</v>
      </c>
      <c r="AB266" s="61">
        <v>25</v>
      </c>
      <c r="AC266" s="61" t="str">
        <v/>
      </c>
      <c r="AD266" s="62" t="str">
        <v>QFD6 → XT6</v>
      </c>
      <c r="AE266" s="62" t="str">
        <v/>
      </c>
      <c r="AF266" s="34">
        <v>6</v>
      </c>
      <c r="AG266" s="34" t="str">
        <v>QFD6</v>
      </c>
      <c r="AH266" s="34" t="str">
        <v/>
      </c>
      <c r="AI266" s="34" t="str">
        <v/>
      </c>
      <c r="AJ266" s="34" t="str">
        <v>QFD6</v>
      </c>
      <c r="AK266" s="34">
        <v>1</v>
      </c>
      <c r="AL266" s="34" t="str">
        <v>R</v>
      </c>
      <c r="AM266" s="34">
        <v>30</v>
      </c>
      <c r="AN266" s="34">
        <v>0</v>
      </c>
      <c r="AO266" s="34">
        <v>16</v>
      </c>
      <c r="AP266" s="34">
        <v>25</v>
      </c>
      <c r="AQ266" s="34">
        <v>16</v>
      </c>
      <c r="AR266" s="34">
        <v>1</v>
      </c>
      <c r="AS266" s="34">
        <v>1</v>
      </c>
      <c r="AT266" s="34" t="str">
        <v>2P</v>
      </c>
      <c r="AU266" s="34">
        <v>16</v>
      </c>
      <c r="AV266" s="34" t="str">
        <v/>
      </c>
      <c r="AW266" s="34" t="str">
        <v/>
      </c>
      <c r="AX266" s="34" t="str">
        <v/>
      </c>
      <c r="AY266" s="34">
        <v>1</v>
      </c>
      <c r="AZ266" s="34" t="str">
        <v/>
      </c>
      <c r="BA266" s="34">
        <v>0</v>
      </c>
      <c r="BB266" s="34">
        <v>16</v>
      </c>
      <c r="BD266" s="34">
        <v>1</v>
      </c>
      <c r="BE266" s="34">
        <v>0</v>
      </c>
      <c r="BF266" s="34">
        <v>1</v>
      </c>
      <c r="BG266" s="34" t="str">
        <v/>
      </c>
      <c r="BH266" s="34" t="str">
        <v/>
      </c>
      <c r="BI266" s="34" t="str">
        <v/>
      </c>
      <c r="BJ266" s="34" t="str">
        <v/>
      </c>
      <c r="BK266" s="34" t="str">
        <v>SOCKET</v>
      </c>
      <c r="BL266" s="34">
        <v>1</v>
      </c>
      <c r="BM266" s="34" t="str">
        <v/>
      </c>
      <c r="BN266" s="34" t="str">
        <v/>
      </c>
      <c r="BO266" s="34" t="str">
        <v/>
      </c>
      <c r="BP266" s="34" t="str">
        <v/>
      </c>
      <c r="BQ266" s="34" t="str">
        <v>3х2,5</v>
      </c>
      <c r="BR266" s="34" t="str">
        <v/>
      </c>
      <c r="BS266" s="34" t="str">
        <v/>
      </c>
      <c r="BT266" s="34" t="str">
        <v/>
      </c>
      <c r="BU266" s="34">
        <v>0</v>
      </c>
      <c r="BV266" s="34">
        <v>287</v>
      </c>
      <c r="BW266" s="34">
        <v>1</v>
      </c>
      <c r="BX266" s="34">
        <v>0</v>
      </c>
      <c r="BY266" s="34" t="str">
        <v>Розетка</v>
      </c>
      <c r="BZ266">
        <v>11</v>
      </c>
      <c r="CA266" t="str">
        <v>линии</v>
      </c>
    </row>
    <row r="267" spans="1:79" x14ac:dyDescent="0.3">
      <c r="A267" s="39" t="str">
        <v>ЩР-2</v>
      </c>
      <c r="B267" s="42">
        <v>15</v>
      </c>
      <c r="C267" s="42">
        <v>1</v>
      </c>
      <c r="D267" s="75" t="str">
        <v/>
      </c>
      <c r="E267" s="75" t="str">
        <v>авто</v>
      </c>
      <c r="F267" s="76" t="str">
        <v/>
      </c>
      <c r="G267" s="47" t="str">
        <v>QFD7</v>
      </c>
      <c r="H267" s="47" t="str">
        <v>2P С16А 30мА</v>
      </c>
      <c r="I267" s="75" t="str">
        <v/>
      </c>
      <c r="J267" s="76" t="str">
        <v/>
      </c>
      <c r="K267" s="76" t="str">
        <v/>
      </c>
      <c r="L267" s="75" t="str">
        <v/>
      </c>
      <c r="M267" s="49" t="str">
        <v/>
      </c>
      <c r="N267" s="76" t="str">
        <v/>
      </c>
      <c r="O267" s="49" t="str">
        <v/>
      </c>
      <c r="P267" s="77" t="str">
        <v>XT7</v>
      </c>
      <c r="Q267" s="53" t="str">
        <v>ВВГнг(А)-LS (3х2,5) L=38-0,31%</v>
      </c>
      <c r="R267" s="54" t="str">
        <v>R.2.009А.2</v>
      </c>
      <c r="S267" s="55" t="str">
        <v>Розеточная группа Второй этаж Пом. №009А</v>
      </c>
      <c r="T267" s="56">
        <v>0.24</v>
      </c>
      <c r="U267" s="56">
        <v>1.1000000000000001</v>
      </c>
      <c r="V267" s="42" t="str">
        <v>L2</v>
      </c>
      <c r="W267" s="57" t="str">
        <v>ok</v>
      </c>
      <c r="X267" s="58" t="str">
        <v/>
      </c>
      <c r="Y267" s="75" t="str">
        <v/>
      </c>
      <c r="Z267" s="59">
        <v>1.1000000000000001</v>
      </c>
      <c r="AA267" s="61">
        <v>6</v>
      </c>
      <c r="AB267" s="61">
        <v>25</v>
      </c>
      <c r="AC267" s="61" t="str">
        <v/>
      </c>
      <c r="AD267" s="62" t="str">
        <v>QFD7 → XT7</v>
      </c>
      <c r="AE267" s="62" t="str">
        <v/>
      </c>
      <c r="AF267" s="34">
        <v>7</v>
      </c>
      <c r="AG267" s="34" t="str">
        <v>QFD7</v>
      </c>
      <c r="AH267" s="34" t="str">
        <v/>
      </c>
      <c r="AI267" s="34" t="str">
        <v/>
      </c>
      <c r="AJ267" s="34" t="str">
        <v>QFD7</v>
      </c>
      <c r="AK267" s="34">
        <v>1</v>
      </c>
      <c r="AL267" s="34" t="str">
        <v>R</v>
      </c>
      <c r="AM267" s="34">
        <v>30</v>
      </c>
      <c r="AN267" s="34">
        <v>0</v>
      </c>
      <c r="AO267" s="34">
        <v>16</v>
      </c>
      <c r="AP267" s="34">
        <v>25</v>
      </c>
      <c r="AQ267" s="34">
        <v>16</v>
      </c>
      <c r="AR267" s="34">
        <v>1</v>
      </c>
      <c r="AS267" s="34">
        <v>1</v>
      </c>
      <c r="AT267" s="34" t="str">
        <v>2P</v>
      </c>
      <c r="AU267" s="34">
        <v>16</v>
      </c>
      <c r="AV267" s="34" t="str">
        <v/>
      </c>
      <c r="AW267" s="34" t="str">
        <v/>
      </c>
      <c r="AX267" s="34" t="str">
        <v/>
      </c>
      <c r="AY267" s="34">
        <v>1</v>
      </c>
      <c r="AZ267" s="34" t="str">
        <v/>
      </c>
      <c r="BA267" s="34">
        <v>0</v>
      </c>
      <c r="BB267" s="34">
        <v>16</v>
      </c>
      <c r="BD267" s="34">
        <v>1</v>
      </c>
      <c r="BE267" s="34">
        <v>0</v>
      </c>
      <c r="BF267" s="34">
        <v>1</v>
      </c>
      <c r="BG267" s="34" t="str">
        <v/>
      </c>
      <c r="BH267" s="34" t="str">
        <v/>
      </c>
      <c r="BI267" s="34" t="str">
        <v/>
      </c>
      <c r="BJ267" s="34" t="str">
        <v/>
      </c>
      <c r="BK267" s="34" t="str">
        <v>SOCKET</v>
      </c>
      <c r="BL267" s="34">
        <v>1</v>
      </c>
      <c r="BM267" s="34" t="str">
        <v/>
      </c>
      <c r="BN267" s="34" t="str">
        <v/>
      </c>
      <c r="BO267" s="34" t="str">
        <v/>
      </c>
      <c r="BP267" s="34" t="str">
        <v/>
      </c>
      <c r="BQ267" s="34" t="str">
        <v>3х2,5</v>
      </c>
      <c r="BR267" s="34" t="str">
        <v/>
      </c>
      <c r="BS267" s="34" t="str">
        <v/>
      </c>
      <c r="BT267" s="34" t="str">
        <v/>
      </c>
      <c r="BU267" s="34">
        <v>0</v>
      </c>
      <c r="BV267" s="34">
        <v>288</v>
      </c>
      <c r="BW267" s="34">
        <v>1</v>
      </c>
      <c r="BX267" s="34">
        <v>0</v>
      </c>
      <c r="BY267" s="34" t="str">
        <v>Розетка</v>
      </c>
      <c r="BZ267">
        <v>11</v>
      </c>
      <c r="CA267" t="str">
        <v>линии</v>
      </c>
    </row>
    <row r="268" spans="1:79" x14ac:dyDescent="0.3">
      <c r="A268" s="39" t="str">
        <v>ЩР-2</v>
      </c>
      <c r="B268" s="42">
        <v>16</v>
      </c>
      <c r="C268" s="42">
        <v>1</v>
      </c>
      <c r="D268" s="75" t="str">
        <v/>
      </c>
      <c r="E268" s="75" t="str">
        <v>авто</v>
      </c>
      <c r="F268" s="76" t="str">
        <v/>
      </c>
      <c r="G268" s="47" t="str">
        <v>QFD8</v>
      </c>
      <c r="H268" s="47" t="str">
        <v>2P С16А 30мА</v>
      </c>
      <c r="I268" s="75" t="str">
        <v/>
      </c>
      <c r="J268" s="76" t="str">
        <v/>
      </c>
      <c r="K268" s="76" t="str">
        <v/>
      </c>
      <c r="L268" s="75" t="str">
        <v/>
      </c>
      <c r="M268" s="49" t="str">
        <v/>
      </c>
      <c r="N268" s="76" t="str">
        <v/>
      </c>
      <c r="O268" s="49" t="str">
        <v/>
      </c>
      <c r="P268" s="77" t="str">
        <v>XT8</v>
      </c>
      <c r="Q268" s="53" t="str">
        <v>ВВГнг(А)-LS (3х2,5) L=35-0,08%</v>
      </c>
      <c r="R268" s="54" t="str">
        <v>R.2.010А.1</v>
      </c>
      <c r="S268" s="55" t="str">
        <v>Розеточная группа Второй этаж Пом. №010А</v>
      </c>
      <c r="T268" s="56">
        <v>0.06</v>
      </c>
      <c r="U268" s="56">
        <v>0.28000000000000003</v>
      </c>
      <c r="V268" s="42" t="str">
        <v>L2</v>
      </c>
      <c r="W268" s="57" t="str">
        <v>ok</v>
      </c>
      <c r="X268" s="58" t="str">
        <v/>
      </c>
      <c r="Y268" s="75" t="str">
        <v/>
      </c>
      <c r="Z268" s="59">
        <v>0.28000000000000003</v>
      </c>
      <c r="AA268" s="61">
        <v>6</v>
      </c>
      <c r="AB268" s="61">
        <v>25</v>
      </c>
      <c r="AC268" s="61" t="str">
        <v/>
      </c>
      <c r="AD268" s="62" t="str">
        <v>QFD8 → XT8</v>
      </c>
      <c r="AE268" s="62" t="str">
        <v/>
      </c>
      <c r="AF268" s="34">
        <v>8</v>
      </c>
      <c r="AG268" s="34" t="str">
        <v>QFD8</v>
      </c>
      <c r="AH268" s="34" t="str">
        <v/>
      </c>
      <c r="AI268" s="34" t="str">
        <v/>
      </c>
      <c r="AJ268" s="34" t="str">
        <v>QFD8</v>
      </c>
      <c r="AK268" s="34">
        <v>1</v>
      </c>
      <c r="AL268" s="34" t="str">
        <v>R</v>
      </c>
      <c r="AM268" s="34">
        <v>30</v>
      </c>
      <c r="AN268" s="34">
        <v>0</v>
      </c>
      <c r="AO268" s="34">
        <v>16</v>
      </c>
      <c r="AP268" s="34">
        <v>25</v>
      </c>
      <c r="AQ268" s="34">
        <v>16</v>
      </c>
      <c r="AR268" s="34">
        <v>1</v>
      </c>
      <c r="AS268" s="34">
        <v>1</v>
      </c>
      <c r="AT268" s="34" t="str">
        <v>2P</v>
      </c>
      <c r="AU268" s="34">
        <v>16</v>
      </c>
      <c r="AV268" s="34" t="str">
        <v/>
      </c>
      <c r="AW268" s="34" t="str">
        <v/>
      </c>
      <c r="AX268" s="34" t="str">
        <v/>
      </c>
      <c r="AY268" s="34">
        <v>1</v>
      </c>
      <c r="AZ268" s="34" t="str">
        <v/>
      </c>
      <c r="BA268" s="34">
        <v>0</v>
      </c>
      <c r="BB268" s="34">
        <v>16</v>
      </c>
      <c r="BD268" s="34">
        <v>1</v>
      </c>
      <c r="BE268" s="34">
        <v>0</v>
      </c>
      <c r="BF268" s="34">
        <v>1</v>
      </c>
      <c r="BG268" s="34" t="str">
        <v/>
      </c>
      <c r="BH268" s="34" t="str">
        <v/>
      </c>
      <c r="BI268" s="34" t="str">
        <v/>
      </c>
      <c r="BJ268" s="34" t="str">
        <v/>
      </c>
      <c r="BK268" s="34" t="str">
        <v>SOCKET</v>
      </c>
      <c r="BL268" s="34">
        <v>1</v>
      </c>
      <c r="BM268" s="34" t="str">
        <v/>
      </c>
      <c r="BN268" s="34" t="str">
        <v/>
      </c>
      <c r="BO268" s="34" t="str">
        <v/>
      </c>
      <c r="BP268" s="34" t="str">
        <v/>
      </c>
      <c r="BQ268" s="34" t="str">
        <v>3х2,5</v>
      </c>
      <c r="BR268" s="34" t="str">
        <v/>
      </c>
      <c r="BS268" s="34" t="str">
        <v/>
      </c>
      <c r="BT268" s="34" t="str">
        <v/>
      </c>
      <c r="BU268" s="34">
        <v>0</v>
      </c>
      <c r="BV268" s="34">
        <v>289</v>
      </c>
      <c r="BW268" s="34">
        <v>1</v>
      </c>
      <c r="BX268" s="34">
        <v>0</v>
      </c>
      <c r="BY268" s="34" t="str">
        <v>Розетка</v>
      </c>
      <c r="BZ268">
        <v>11</v>
      </c>
      <c r="CA268" t="str">
        <v>линии</v>
      </c>
    </row>
    <row r="269" spans="1:79" x14ac:dyDescent="0.3">
      <c r="A269" s="39" t="str">
        <v>ЩР-2</v>
      </c>
      <c r="B269" s="42">
        <v>19</v>
      </c>
      <c r="C269" s="42">
        <v>2</v>
      </c>
      <c r="D269" s="75" t="str">
        <v/>
      </c>
      <c r="E269" s="75" t="str">
        <v>авто</v>
      </c>
      <c r="F269" s="76" t="str">
        <v/>
      </c>
      <c r="G269" s="47" t="str">
        <v>QFD9</v>
      </c>
      <c r="H269" s="47" t="str">
        <v>2P С16А 30мА</v>
      </c>
      <c r="I269" s="75" t="str">
        <v/>
      </c>
      <c r="J269" s="76" t="str">
        <v/>
      </c>
      <c r="K269" s="76" t="str">
        <v/>
      </c>
      <c r="L269" s="75" t="str">
        <v/>
      </c>
      <c r="M269" s="49" t="str">
        <v/>
      </c>
      <c r="N269" s="76" t="str">
        <v/>
      </c>
      <c r="O269" s="49" t="str">
        <v/>
      </c>
      <c r="P269" s="77" t="str">
        <v/>
      </c>
      <c r="Q269" s="53" t="str">
        <v>ВВГнг(А)-LS (3х2,5) L=39-0,08%</v>
      </c>
      <c r="R269" s="54" t="str">
        <v>R.2.002Г.1</v>
      </c>
      <c r="S269" s="55" t="str">
        <v>Розеточная группа Второй этаж Пом. №002Г</v>
      </c>
      <c r="T269" s="56">
        <v>0.06</v>
      </c>
      <c r="U269" s="56">
        <v>0.28000000000000003</v>
      </c>
      <c r="V269" s="42" t="str">
        <v>L1</v>
      </c>
      <c r="W269" s="57" t="str">
        <v>ok</v>
      </c>
      <c r="X269" s="58" t="str">
        <v/>
      </c>
      <c r="Y269" s="75" t="str">
        <v/>
      </c>
      <c r="Z269" s="59">
        <v>0.28000000000000003</v>
      </c>
      <c r="AA269" s="61">
        <v>6</v>
      </c>
      <c r="AB269" s="61">
        <v>25</v>
      </c>
      <c r="AC269" s="61" t="str">
        <v/>
      </c>
      <c r="AD269" s="62" t="str">
        <v>QFD9</v>
      </c>
      <c r="AE269" s="62" t="str">
        <v/>
      </c>
      <c r="AF269" s="34">
        <v>9</v>
      </c>
      <c r="AG269" s="34" t="str">
        <v>QFD9</v>
      </c>
      <c r="AH269" s="34" t="str">
        <v/>
      </c>
      <c r="AI269" s="34" t="str">
        <v/>
      </c>
      <c r="AJ269" s="34" t="str">
        <v>QFD9</v>
      </c>
      <c r="AK269" s="34">
        <v>1</v>
      </c>
      <c r="AL269" s="34" t="str">
        <v>R</v>
      </c>
      <c r="AM269" s="34">
        <v>30</v>
      </c>
      <c r="AN269" s="34">
        <v>0</v>
      </c>
      <c r="AO269" s="34">
        <v>16</v>
      </c>
      <c r="AP269" s="34">
        <v>25</v>
      </c>
      <c r="AQ269" s="34">
        <v>16</v>
      </c>
      <c r="AR269" s="34">
        <v>1</v>
      </c>
      <c r="AS269" s="34">
        <v>1</v>
      </c>
      <c r="AT269" s="34" t="str">
        <v>2P</v>
      </c>
      <c r="AU269" s="34">
        <v>16</v>
      </c>
      <c r="AV269" s="34" t="str">
        <v/>
      </c>
      <c r="AW269" s="34" t="str">
        <v/>
      </c>
      <c r="AX269" s="34" t="str">
        <v/>
      </c>
      <c r="AY269" s="34">
        <v>1</v>
      </c>
      <c r="AZ269" s="34" t="str">
        <v/>
      </c>
      <c r="BA269" s="34">
        <v>0</v>
      </c>
      <c r="BB269" s="34">
        <v>16</v>
      </c>
      <c r="BD269" s="34">
        <v>1</v>
      </c>
      <c r="BE269" s="34">
        <v>0</v>
      </c>
      <c r="BF269" s="34">
        <v>1</v>
      </c>
      <c r="BG269" s="34" t="str">
        <v/>
      </c>
      <c r="BH269" s="34" t="str">
        <v/>
      </c>
      <c r="BI269" s="34" t="str">
        <v/>
      </c>
      <c r="BJ269" s="34" t="str">
        <v/>
      </c>
      <c r="BK269" s="34" t="str">
        <v>SOCKET</v>
      </c>
      <c r="BL269" s="34">
        <v>1</v>
      </c>
      <c r="BM269" s="34" t="str">
        <v/>
      </c>
      <c r="BN269" s="34" t="str">
        <v/>
      </c>
      <c r="BO269" s="34" t="str">
        <v/>
      </c>
      <c r="BP269" s="34" t="str">
        <v/>
      </c>
      <c r="BQ269" s="34" t="str">
        <v>3х2,5</v>
      </c>
      <c r="BR269" s="34" t="str">
        <v/>
      </c>
      <c r="BS269" s="34" t="str">
        <v/>
      </c>
      <c r="BT269" s="34" t="str">
        <v/>
      </c>
      <c r="BU269" s="34">
        <v>0</v>
      </c>
      <c r="BV269" s="34">
        <v>290</v>
      </c>
      <c r="BW269" s="34">
        <v>1</v>
      </c>
      <c r="BX269" s="34">
        <v>0</v>
      </c>
      <c r="BY269" s="34" t="str">
        <v>Розетка</v>
      </c>
      <c r="BZ269">
        <v>11</v>
      </c>
      <c r="CA269" t="str">
        <v>линии</v>
      </c>
    </row>
    <row r="270" spans="1:79" x14ac:dyDescent="0.3">
      <c r="A270" s="39" t="str">
        <v>ЩР-2</v>
      </c>
      <c r="B270" s="42">
        <v>20</v>
      </c>
      <c r="C270" s="42">
        <v>2</v>
      </c>
      <c r="D270" s="75" t="str">
        <v/>
      </c>
      <c r="E270" s="75" t="str">
        <v>авто</v>
      </c>
      <c r="F270" s="76" t="str">
        <v/>
      </c>
      <c r="G270" s="47" t="str">
        <v>QFD10</v>
      </c>
      <c r="H270" s="47" t="str">
        <v>2P С16А 30мА</v>
      </c>
      <c r="I270" s="75" t="str">
        <v/>
      </c>
      <c r="J270" s="76" t="str">
        <v/>
      </c>
      <c r="K270" s="76" t="str">
        <v/>
      </c>
      <c r="L270" s="75" t="str">
        <v/>
      </c>
      <c r="M270" s="49" t="str">
        <v/>
      </c>
      <c r="N270" s="76" t="str">
        <v/>
      </c>
      <c r="O270" s="49" t="str">
        <v/>
      </c>
      <c r="P270" s="77" t="str">
        <v>XT10</v>
      </c>
      <c r="Q270" s="53" t="str">
        <v>ВВГнг(А)-LS (3х2,5) L=38-0,16%</v>
      </c>
      <c r="R270" s="54" t="str">
        <v>R.2.013А.1</v>
      </c>
      <c r="S270" s="55" t="str">
        <v>Розеточная группа Второй этаж Пом. №013А</v>
      </c>
      <c r="T270" s="56">
        <v>0.12</v>
      </c>
      <c r="U270" s="56">
        <v>0.55000000000000004</v>
      </c>
      <c r="V270" s="42" t="str">
        <v>L3</v>
      </c>
      <c r="W270" s="57" t="str">
        <v>ok</v>
      </c>
      <c r="X270" s="58" t="str">
        <v/>
      </c>
      <c r="Y270" s="75" t="str">
        <v/>
      </c>
      <c r="Z270" s="59">
        <v>0.55000000000000004</v>
      </c>
      <c r="AA270" s="61">
        <v>6</v>
      </c>
      <c r="AB270" s="61">
        <v>25</v>
      </c>
      <c r="AC270" s="61" t="str">
        <v/>
      </c>
      <c r="AD270" s="62" t="str">
        <v>QFD10 → XT10</v>
      </c>
      <c r="AE270" s="62" t="str">
        <v/>
      </c>
      <c r="AF270" s="34">
        <v>10</v>
      </c>
      <c r="AG270" s="34" t="str">
        <v>QFD10</v>
      </c>
      <c r="AH270" s="34" t="str">
        <v/>
      </c>
      <c r="AI270" s="34" t="str">
        <v/>
      </c>
      <c r="AJ270" s="34" t="str">
        <v>QFD10</v>
      </c>
      <c r="AK270" s="34">
        <v>1</v>
      </c>
      <c r="AL270" s="34" t="str">
        <v>R</v>
      </c>
      <c r="AM270" s="34">
        <v>30</v>
      </c>
      <c r="AN270" s="34">
        <v>0</v>
      </c>
      <c r="AO270" s="34">
        <v>16</v>
      </c>
      <c r="AP270" s="34">
        <v>25</v>
      </c>
      <c r="AQ270" s="34">
        <v>16</v>
      </c>
      <c r="AR270" s="34">
        <v>1</v>
      </c>
      <c r="AS270" s="34">
        <v>1</v>
      </c>
      <c r="AT270" s="34" t="str">
        <v>2P</v>
      </c>
      <c r="AU270" s="34">
        <v>16</v>
      </c>
      <c r="AV270" s="34" t="str">
        <v/>
      </c>
      <c r="AW270" s="34" t="str">
        <v/>
      </c>
      <c r="AX270" s="34" t="str">
        <v/>
      </c>
      <c r="AY270" s="34">
        <v>1</v>
      </c>
      <c r="AZ270" s="34" t="str">
        <v/>
      </c>
      <c r="BA270" s="34">
        <v>0</v>
      </c>
      <c r="BB270" s="34">
        <v>16</v>
      </c>
      <c r="BD270" s="34">
        <v>1</v>
      </c>
      <c r="BE270" s="34">
        <v>0</v>
      </c>
      <c r="BF270" s="34">
        <v>1</v>
      </c>
      <c r="BG270" s="34" t="str">
        <v/>
      </c>
      <c r="BH270" s="34" t="str">
        <v/>
      </c>
      <c r="BI270" s="34" t="str">
        <v/>
      </c>
      <c r="BJ270" s="34" t="str">
        <v/>
      </c>
      <c r="BK270" s="34" t="str">
        <v>SOCKET</v>
      </c>
      <c r="BL270" s="34">
        <v>1</v>
      </c>
      <c r="BM270" s="34" t="str">
        <v/>
      </c>
      <c r="BN270" s="34" t="str">
        <v/>
      </c>
      <c r="BO270" s="34" t="str">
        <v/>
      </c>
      <c r="BP270" s="34" t="str">
        <v/>
      </c>
      <c r="BQ270" s="34" t="str">
        <v>3х2,5</v>
      </c>
      <c r="BR270" s="34" t="str">
        <v/>
      </c>
      <c r="BS270" s="34" t="str">
        <v/>
      </c>
      <c r="BT270" s="34" t="str">
        <v/>
      </c>
      <c r="BU270" s="34">
        <v>0</v>
      </c>
      <c r="BV270" s="34">
        <v>291</v>
      </c>
      <c r="BW270" s="34">
        <v>1</v>
      </c>
      <c r="BX270" s="34">
        <v>0</v>
      </c>
      <c r="BY270" s="34" t="str">
        <v>Розетка</v>
      </c>
      <c r="BZ270">
        <v>11</v>
      </c>
      <c r="CA270" t="str">
        <v>линии</v>
      </c>
    </row>
    <row r="271" spans="1:79" x14ac:dyDescent="0.3">
      <c r="A271" s="39" t="str">
        <v>ЩР-2</v>
      </c>
      <c r="B271" s="42">
        <v>21</v>
      </c>
      <c r="C271" s="42">
        <v>2</v>
      </c>
      <c r="D271" s="75" t="str">
        <v/>
      </c>
      <c r="E271" s="75" t="str">
        <v>авто</v>
      </c>
      <c r="F271" s="76" t="str">
        <v/>
      </c>
      <c r="G271" s="47" t="str">
        <v>QFD11</v>
      </c>
      <c r="H271" s="47" t="str">
        <v>2P С16А 30мА</v>
      </c>
      <c r="I271" s="75" t="str">
        <v/>
      </c>
      <c r="J271" s="76" t="str">
        <v/>
      </c>
      <c r="K271" s="76" t="str">
        <v/>
      </c>
      <c r="L271" s="75" t="str">
        <v/>
      </c>
      <c r="M271" s="49" t="str">
        <v/>
      </c>
      <c r="N271" s="76" t="str">
        <v/>
      </c>
      <c r="O271" s="49" t="str">
        <v/>
      </c>
      <c r="P271" s="77" t="str">
        <v/>
      </c>
      <c r="Q271" s="53" t="str">
        <v>ВВГнг(А)-LS (3х2,5) L=65-1,19%</v>
      </c>
      <c r="R271" s="54" t="str">
        <v>R.2.014А.1</v>
      </c>
      <c r="S271" s="55" t="str">
        <v>Розеточная группа Второй этаж Пом. №013А, 012А</v>
      </c>
      <c r="T271" s="56">
        <v>0.54</v>
      </c>
      <c r="U271" s="56">
        <v>2.4699999999999998</v>
      </c>
      <c r="V271" s="42" t="str">
        <v>L3</v>
      </c>
      <c r="W271" s="57" t="str">
        <v>ok</v>
      </c>
      <c r="X271" s="58" t="str">
        <v/>
      </c>
      <c r="Y271" s="75" t="str">
        <v/>
      </c>
      <c r="Z271" s="59">
        <v>2.4699999999999998</v>
      </c>
      <c r="AA271" s="61">
        <v>6</v>
      </c>
      <c r="AB271" s="61">
        <v>25</v>
      </c>
      <c r="AC271" s="61" t="str">
        <v/>
      </c>
      <c r="AD271" s="62" t="str">
        <v>QFD11</v>
      </c>
      <c r="AE271" s="62" t="str">
        <v/>
      </c>
      <c r="AF271" s="34">
        <v>11</v>
      </c>
      <c r="AG271" s="34" t="str">
        <v>QFD11</v>
      </c>
      <c r="AH271" s="34" t="str">
        <v/>
      </c>
      <c r="AI271" s="34" t="str">
        <v/>
      </c>
      <c r="AJ271" s="34" t="str">
        <v>QFD11</v>
      </c>
      <c r="AK271" s="34">
        <v>1</v>
      </c>
      <c r="AL271" s="34" t="str">
        <v>R</v>
      </c>
      <c r="AM271" s="34">
        <v>30</v>
      </c>
      <c r="AN271" s="34">
        <v>0</v>
      </c>
      <c r="AO271" s="34">
        <v>16</v>
      </c>
      <c r="AP271" s="34">
        <v>25</v>
      </c>
      <c r="AQ271" s="34">
        <v>16</v>
      </c>
      <c r="AR271" s="34">
        <v>1</v>
      </c>
      <c r="AS271" s="34">
        <v>1</v>
      </c>
      <c r="AT271" s="34" t="str">
        <v>2P</v>
      </c>
      <c r="AU271" s="34">
        <v>16</v>
      </c>
      <c r="AV271" s="34" t="str">
        <v/>
      </c>
      <c r="AW271" s="34" t="str">
        <v/>
      </c>
      <c r="AX271" s="34" t="str">
        <v/>
      </c>
      <c r="AY271" s="34">
        <v>1</v>
      </c>
      <c r="AZ271" s="34" t="str">
        <v/>
      </c>
      <c r="BA271" s="34">
        <v>0</v>
      </c>
      <c r="BB271" s="34">
        <v>16</v>
      </c>
      <c r="BD271" s="34">
        <v>1</v>
      </c>
      <c r="BE271" s="34">
        <v>0</v>
      </c>
      <c r="BF271" s="34">
        <v>1</v>
      </c>
      <c r="BG271" s="34" t="str">
        <v/>
      </c>
      <c r="BH271" s="34" t="str">
        <v/>
      </c>
      <c r="BI271" s="34" t="str">
        <v/>
      </c>
      <c r="BJ271" s="34" t="str">
        <v/>
      </c>
      <c r="BK271" s="34" t="str">
        <v>SOCKET</v>
      </c>
      <c r="BL271" s="34">
        <v>1</v>
      </c>
      <c r="BM271" s="34" t="str">
        <v/>
      </c>
      <c r="BN271" s="34" t="str">
        <v/>
      </c>
      <c r="BO271" s="34" t="str">
        <v/>
      </c>
      <c r="BP271" s="34" t="str">
        <v/>
      </c>
      <c r="BQ271" s="34" t="str">
        <v>3х2,5</v>
      </c>
      <c r="BR271" s="34" t="str">
        <v/>
      </c>
      <c r="BS271" s="34" t="str">
        <v/>
      </c>
      <c r="BT271" s="34" t="str">
        <v/>
      </c>
      <c r="BU271" s="34">
        <v>0</v>
      </c>
      <c r="BV271" s="34">
        <v>292</v>
      </c>
      <c r="BW271" s="34">
        <v>1</v>
      </c>
      <c r="BX271" s="34">
        <v>0</v>
      </c>
      <c r="BY271" s="34" t="str">
        <v>Розетка</v>
      </c>
      <c r="BZ271">
        <v>11</v>
      </c>
      <c r="CA271" t="str">
        <v>линии</v>
      </c>
    </row>
    <row r="272" spans="1:79" x14ac:dyDescent="0.3">
      <c r="A272" s="39" t="str">
        <v>ЩР-2</v>
      </c>
      <c r="B272" s="42">
        <v>22</v>
      </c>
      <c r="C272" s="42">
        <v>2</v>
      </c>
      <c r="D272" s="75" t="str">
        <v/>
      </c>
      <c r="E272" s="75" t="str">
        <v>авто</v>
      </c>
      <c r="F272" s="76" t="str">
        <v/>
      </c>
      <c r="G272" s="47" t="str">
        <v>QFD12</v>
      </c>
      <c r="H272" s="47" t="str">
        <v>2P С16А 30мА</v>
      </c>
      <c r="I272" s="75" t="str">
        <v/>
      </c>
      <c r="J272" s="76" t="str">
        <v/>
      </c>
      <c r="K272" s="76" t="str">
        <v/>
      </c>
      <c r="L272" s="75" t="str">
        <v/>
      </c>
      <c r="M272" s="49" t="str">
        <v/>
      </c>
      <c r="N272" s="76" t="str">
        <v/>
      </c>
      <c r="O272" s="49" t="str">
        <v/>
      </c>
      <c r="P272" s="77" t="str">
        <v/>
      </c>
      <c r="Q272" s="53" t="str">
        <v>ВВГнг(А)-LS (3х2,5) L=50-0,31%</v>
      </c>
      <c r="R272" s="54" t="str">
        <v>R.2.014А.2</v>
      </c>
      <c r="S272" s="55" t="str">
        <v>Розеточная группа Второй этаж Пом. №014А</v>
      </c>
      <c r="T272" s="56">
        <v>0.18</v>
      </c>
      <c r="U272" s="56">
        <v>0.83</v>
      </c>
      <c r="V272" s="42" t="str">
        <v>L2</v>
      </c>
      <c r="W272" s="57" t="str">
        <v>ok</v>
      </c>
      <c r="X272" s="58" t="str">
        <v/>
      </c>
      <c r="Y272" s="75" t="str">
        <v/>
      </c>
      <c r="Z272" s="59">
        <v>0.83</v>
      </c>
      <c r="AA272" s="61">
        <v>6</v>
      </c>
      <c r="AB272" s="61">
        <v>25</v>
      </c>
      <c r="AC272" s="61" t="str">
        <v/>
      </c>
      <c r="AD272" s="62" t="str">
        <v>QFD12</v>
      </c>
      <c r="AE272" s="62" t="str">
        <v/>
      </c>
      <c r="AF272" s="34">
        <v>12</v>
      </c>
      <c r="AG272" s="34" t="str">
        <v>QFD12</v>
      </c>
      <c r="AH272" s="34" t="str">
        <v/>
      </c>
      <c r="AI272" s="34" t="str">
        <v/>
      </c>
      <c r="AJ272" s="34" t="str">
        <v>QFD12</v>
      </c>
      <c r="AK272" s="34">
        <v>1</v>
      </c>
      <c r="AL272" s="34" t="str">
        <v>R</v>
      </c>
      <c r="AM272" s="34">
        <v>30</v>
      </c>
      <c r="AN272" s="34">
        <v>0</v>
      </c>
      <c r="AO272" s="34">
        <v>16</v>
      </c>
      <c r="AP272" s="34">
        <v>25</v>
      </c>
      <c r="AQ272" s="34">
        <v>16</v>
      </c>
      <c r="AR272" s="34">
        <v>1</v>
      </c>
      <c r="AS272" s="34">
        <v>1</v>
      </c>
      <c r="AT272" s="34" t="str">
        <v>2P</v>
      </c>
      <c r="AU272" s="34">
        <v>16</v>
      </c>
      <c r="AV272" s="34" t="str">
        <v/>
      </c>
      <c r="AW272" s="34" t="str">
        <v/>
      </c>
      <c r="AX272" s="34" t="str">
        <v/>
      </c>
      <c r="AY272" s="34">
        <v>1</v>
      </c>
      <c r="AZ272" s="34" t="str">
        <v/>
      </c>
      <c r="BA272" s="34">
        <v>0</v>
      </c>
      <c r="BB272" s="34">
        <v>16</v>
      </c>
      <c r="BD272" s="34">
        <v>1</v>
      </c>
      <c r="BE272" s="34">
        <v>0</v>
      </c>
      <c r="BF272" s="34">
        <v>1</v>
      </c>
      <c r="BG272" s="34" t="str">
        <v/>
      </c>
      <c r="BH272" s="34" t="str">
        <v/>
      </c>
      <c r="BI272" s="34" t="str">
        <v/>
      </c>
      <c r="BJ272" s="34" t="str">
        <v/>
      </c>
      <c r="BK272" s="34" t="str">
        <v>SOCKET</v>
      </c>
      <c r="BL272" s="34">
        <v>1</v>
      </c>
      <c r="BM272" s="34" t="str">
        <v/>
      </c>
      <c r="BN272" s="34" t="str">
        <v/>
      </c>
      <c r="BO272" s="34" t="str">
        <v/>
      </c>
      <c r="BP272" s="34" t="str">
        <v/>
      </c>
      <c r="BQ272" s="34" t="str">
        <v>3х2,5</v>
      </c>
      <c r="BR272" s="34" t="str">
        <v/>
      </c>
      <c r="BS272" s="34" t="str">
        <v/>
      </c>
      <c r="BT272" s="34" t="str">
        <v/>
      </c>
      <c r="BU272" s="34">
        <v>0</v>
      </c>
      <c r="BV272" s="34">
        <v>293</v>
      </c>
      <c r="BW272" s="34">
        <v>1</v>
      </c>
      <c r="BX272" s="34">
        <v>0</v>
      </c>
      <c r="BY272" s="34" t="str">
        <v>Розетка</v>
      </c>
      <c r="BZ272">
        <v>11</v>
      </c>
      <c r="CA272" t="str">
        <v>линии</v>
      </c>
    </row>
    <row r="273" spans="1:79" x14ac:dyDescent="0.3">
      <c r="A273" s="39" t="str">
        <v>ЩР-2</v>
      </c>
      <c r="B273" s="42">
        <v>23</v>
      </c>
      <c r="C273" s="42">
        <v>2</v>
      </c>
      <c r="D273" s="75" t="str">
        <v/>
      </c>
      <c r="E273" s="75" t="str">
        <v>авто</v>
      </c>
      <c r="F273" s="76" t="str">
        <v/>
      </c>
      <c r="G273" s="47" t="str">
        <v>QFD13</v>
      </c>
      <c r="H273" s="47" t="str">
        <v>2P С16А 30мА</v>
      </c>
      <c r="I273" s="75" t="str">
        <v/>
      </c>
      <c r="J273" s="76" t="str">
        <v/>
      </c>
      <c r="K273" s="76" t="str">
        <v/>
      </c>
      <c r="L273" s="75" t="str">
        <v/>
      </c>
      <c r="M273" s="49" t="str">
        <v/>
      </c>
      <c r="N273" s="76" t="str">
        <v/>
      </c>
      <c r="O273" s="49" t="str">
        <v/>
      </c>
      <c r="P273" s="77" t="str">
        <v/>
      </c>
      <c r="Q273" s="53" t="str">
        <v>ВВГнг(А)-LS (3х2,5) L=39-0,16%</v>
      </c>
      <c r="R273" s="54" t="str">
        <v>R.2.015А.1</v>
      </c>
      <c r="S273" s="55" t="str">
        <v>Розеточная группа Второй этаж Пом. №015А</v>
      </c>
      <c r="T273" s="56">
        <v>0.12</v>
      </c>
      <c r="U273" s="56">
        <v>0.55000000000000004</v>
      </c>
      <c r="V273" s="42" t="str">
        <v>L3</v>
      </c>
      <c r="W273" s="57" t="str">
        <v>ok</v>
      </c>
      <c r="X273" s="58" t="str">
        <v/>
      </c>
      <c r="Y273" s="75" t="str">
        <v/>
      </c>
      <c r="Z273" s="59">
        <v>0.55000000000000004</v>
      </c>
      <c r="AA273" s="61">
        <v>6</v>
      </c>
      <c r="AB273" s="61">
        <v>25</v>
      </c>
      <c r="AC273" s="61" t="str">
        <v/>
      </c>
      <c r="AD273" s="62" t="str">
        <v>QFD13</v>
      </c>
      <c r="AE273" s="62" t="str">
        <v/>
      </c>
      <c r="AF273" s="34">
        <v>13</v>
      </c>
      <c r="AG273" s="34" t="str">
        <v>QFD13</v>
      </c>
      <c r="AH273" s="34" t="str">
        <v/>
      </c>
      <c r="AI273" s="34" t="str">
        <v/>
      </c>
      <c r="AJ273" s="34" t="str">
        <v>QFD13</v>
      </c>
      <c r="AK273" s="34">
        <v>1</v>
      </c>
      <c r="AL273" s="34" t="str">
        <v>R</v>
      </c>
      <c r="AM273" s="34">
        <v>30</v>
      </c>
      <c r="AN273" s="34">
        <v>0</v>
      </c>
      <c r="AO273" s="34">
        <v>16</v>
      </c>
      <c r="AP273" s="34">
        <v>25</v>
      </c>
      <c r="AQ273" s="34">
        <v>16</v>
      </c>
      <c r="AR273" s="34">
        <v>1</v>
      </c>
      <c r="AS273" s="34">
        <v>1</v>
      </c>
      <c r="AT273" s="34" t="str">
        <v>2P</v>
      </c>
      <c r="AU273" s="34">
        <v>16</v>
      </c>
      <c r="AV273" s="34" t="str">
        <v/>
      </c>
      <c r="AW273" s="34" t="str">
        <v/>
      </c>
      <c r="AX273" s="34" t="str">
        <v/>
      </c>
      <c r="AY273" s="34">
        <v>1</v>
      </c>
      <c r="AZ273" s="34" t="str">
        <v/>
      </c>
      <c r="BA273" s="34">
        <v>0</v>
      </c>
      <c r="BB273" s="34">
        <v>16</v>
      </c>
      <c r="BD273" s="34">
        <v>1</v>
      </c>
      <c r="BE273" s="34">
        <v>0</v>
      </c>
      <c r="BF273" s="34">
        <v>1</v>
      </c>
      <c r="BG273" s="34" t="str">
        <v/>
      </c>
      <c r="BH273" s="34" t="str">
        <v/>
      </c>
      <c r="BI273" s="34" t="str">
        <v/>
      </c>
      <c r="BJ273" s="34" t="str">
        <v/>
      </c>
      <c r="BK273" s="34" t="str">
        <v>SOCKET</v>
      </c>
      <c r="BL273" s="34">
        <v>1</v>
      </c>
      <c r="BM273" s="34" t="str">
        <v/>
      </c>
      <c r="BN273" s="34" t="str">
        <v/>
      </c>
      <c r="BO273" s="34" t="str">
        <v/>
      </c>
      <c r="BP273" s="34" t="str">
        <v/>
      </c>
      <c r="BQ273" s="34" t="str">
        <v>3х2,5</v>
      </c>
      <c r="BR273" s="34" t="str">
        <v/>
      </c>
      <c r="BS273" s="34" t="str">
        <v/>
      </c>
      <c r="BT273" s="34" t="str">
        <v/>
      </c>
      <c r="BU273" s="34">
        <v>0</v>
      </c>
      <c r="BV273" s="34">
        <v>294</v>
      </c>
      <c r="BW273" s="34">
        <v>1</v>
      </c>
      <c r="BX273" s="34">
        <v>0</v>
      </c>
      <c r="BY273" s="34" t="str">
        <v>Розетка</v>
      </c>
      <c r="BZ273">
        <v>11</v>
      </c>
      <c r="CA273" t="str">
        <v>линии</v>
      </c>
    </row>
    <row r="274" spans="1:79" x14ac:dyDescent="0.3">
      <c r="A274" s="39" t="str">
        <v>ЩР-2</v>
      </c>
      <c r="B274" s="42">
        <v>24</v>
      </c>
      <c r="C274" s="42">
        <v>2</v>
      </c>
      <c r="D274" s="75" t="str">
        <v/>
      </c>
      <c r="E274" s="75" t="str">
        <v>авто</v>
      </c>
      <c r="F274" s="76" t="str">
        <v/>
      </c>
      <c r="G274" s="47" t="str">
        <v>QFD14</v>
      </c>
      <c r="H274" s="47" t="str">
        <v>2P С16А 30мА</v>
      </c>
      <c r="I274" s="75" t="str">
        <v/>
      </c>
      <c r="J274" s="76" t="str">
        <v/>
      </c>
      <c r="K274" s="76" t="str">
        <v/>
      </c>
      <c r="L274" s="75" t="str">
        <v/>
      </c>
      <c r="M274" s="49" t="str">
        <v/>
      </c>
      <c r="N274" s="76" t="str">
        <v/>
      </c>
      <c r="O274" s="49" t="str">
        <v/>
      </c>
      <c r="P274" s="77" t="str">
        <v/>
      </c>
      <c r="Q274" s="53" t="str">
        <v>ВВГнг(А)-LS (3х2,5) L=34-0,07%</v>
      </c>
      <c r="R274" s="54" t="str">
        <v>R.2.016А.1</v>
      </c>
      <c r="S274" s="55" t="str">
        <v>Розеточная группа Второй этаж Пом. №016А</v>
      </c>
      <c r="T274" s="56">
        <v>0.06</v>
      </c>
      <c r="U274" s="56">
        <v>0.28000000000000003</v>
      </c>
      <c r="V274" s="42" t="str">
        <v>L2</v>
      </c>
      <c r="W274" s="57" t="str">
        <v>ok</v>
      </c>
      <c r="X274" s="58" t="str">
        <v/>
      </c>
      <c r="Y274" s="75" t="str">
        <v/>
      </c>
      <c r="Z274" s="59">
        <v>0.28000000000000003</v>
      </c>
      <c r="AA274" s="61">
        <v>6</v>
      </c>
      <c r="AB274" s="61">
        <v>25</v>
      </c>
      <c r="AC274" s="61" t="str">
        <v/>
      </c>
      <c r="AD274" s="62" t="str">
        <v>QFD14</v>
      </c>
      <c r="AE274" s="62" t="str">
        <v/>
      </c>
      <c r="AF274" s="34">
        <v>14</v>
      </c>
      <c r="AG274" s="34" t="str">
        <v>QFD14</v>
      </c>
      <c r="AH274" s="34" t="str">
        <v/>
      </c>
      <c r="AI274" s="34" t="str">
        <v/>
      </c>
      <c r="AJ274" s="34" t="str">
        <v>QFD14</v>
      </c>
      <c r="AK274" s="34">
        <v>1</v>
      </c>
      <c r="AL274" s="34" t="str">
        <v>R</v>
      </c>
      <c r="AM274" s="34">
        <v>30</v>
      </c>
      <c r="AN274" s="34">
        <v>0</v>
      </c>
      <c r="AO274" s="34">
        <v>16</v>
      </c>
      <c r="AP274" s="34">
        <v>25</v>
      </c>
      <c r="AQ274" s="34">
        <v>16</v>
      </c>
      <c r="AR274" s="34">
        <v>1</v>
      </c>
      <c r="AS274" s="34">
        <v>1</v>
      </c>
      <c r="AT274" s="34" t="str">
        <v>2P</v>
      </c>
      <c r="AU274" s="34">
        <v>16</v>
      </c>
      <c r="AV274" s="34" t="str">
        <v/>
      </c>
      <c r="AW274" s="34" t="str">
        <v/>
      </c>
      <c r="AX274" s="34" t="str">
        <v/>
      </c>
      <c r="AY274" s="34">
        <v>1</v>
      </c>
      <c r="AZ274" s="34" t="str">
        <v/>
      </c>
      <c r="BA274" s="34">
        <v>0</v>
      </c>
      <c r="BB274" s="34">
        <v>16</v>
      </c>
      <c r="BD274" s="34">
        <v>1</v>
      </c>
      <c r="BE274" s="34">
        <v>0</v>
      </c>
      <c r="BF274" s="34">
        <v>1</v>
      </c>
      <c r="BG274" s="34" t="str">
        <v/>
      </c>
      <c r="BH274" s="34" t="str">
        <v/>
      </c>
      <c r="BI274" s="34" t="str">
        <v/>
      </c>
      <c r="BJ274" s="34" t="str">
        <v/>
      </c>
      <c r="BK274" s="34" t="str">
        <v>SOCKET</v>
      </c>
      <c r="BL274" s="34">
        <v>1</v>
      </c>
      <c r="BM274" s="34" t="str">
        <v/>
      </c>
      <c r="BN274" s="34" t="str">
        <v/>
      </c>
      <c r="BO274" s="34" t="str">
        <v/>
      </c>
      <c r="BP274" s="34" t="str">
        <v/>
      </c>
      <c r="BQ274" s="34" t="str">
        <v>3х2,5</v>
      </c>
      <c r="BR274" s="34" t="str">
        <v/>
      </c>
      <c r="BS274" s="34" t="str">
        <v/>
      </c>
      <c r="BT274" s="34" t="str">
        <v/>
      </c>
      <c r="BU274" s="34">
        <v>0</v>
      </c>
      <c r="BV274" s="34">
        <v>295</v>
      </c>
      <c r="BW274" s="34">
        <v>1</v>
      </c>
      <c r="BX274" s="34">
        <v>0</v>
      </c>
      <c r="BY274" s="34" t="str">
        <v>Розетка</v>
      </c>
      <c r="BZ274">
        <v>11</v>
      </c>
      <c r="CA274" t="str">
        <v>линии</v>
      </c>
    </row>
    <row r="275" spans="1:79" x14ac:dyDescent="0.3">
      <c r="A275" s="39" t="str">
        <v>ЩР-2</v>
      </c>
      <c r="B275" s="42">
        <v>25</v>
      </c>
      <c r="C275" s="42">
        <v>2</v>
      </c>
      <c r="D275" s="75" t="str">
        <v/>
      </c>
      <c r="E275" s="75" t="str">
        <v>авто</v>
      </c>
      <c r="F275" s="76" t="str">
        <v/>
      </c>
      <c r="G275" s="47" t="str">
        <v>QFD15</v>
      </c>
      <c r="H275" s="47" t="str">
        <v>2P С16А 30мА</v>
      </c>
      <c r="I275" s="75" t="str">
        <v/>
      </c>
      <c r="J275" s="76" t="str">
        <v/>
      </c>
      <c r="K275" s="76" t="str">
        <v/>
      </c>
      <c r="L275" s="75" t="str">
        <v/>
      </c>
      <c r="M275" s="49" t="str">
        <v/>
      </c>
      <c r="N275" s="76" t="str">
        <v/>
      </c>
      <c r="O275" s="49" t="str">
        <v/>
      </c>
      <c r="P275" s="77" t="str">
        <v/>
      </c>
      <c r="Q275" s="53" t="str">
        <v>ВВГнг(А)-LS (3х2,5) L=54-0,77%</v>
      </c>
      <c r="R275" s="54" t="str">
        <v>R.2.017А.1</v>
      </c>
      <c r="S275" s="55" t="str">
        <v>Розеточная группа Второй этаж Пом. №017А</v>
      </c>
      <c r="T275" s="56">
        <v>0.42</v>
      </c>
      <c r="U275" s="56">
        <v>1.92</v>
      </c>
      <c r="V275" s="42" t="str">
        <v>L2</v>
      </c>
      <c r="W275" s="57" t="str">
        <v>ok</v>
      </c>
      <c r="X275" s="58" t="str">
        <v/>
      </c>
      <c r="Y275" s="75" t="str">
        <v/>
      </c>
      <c r="Z275" s="59">
        <v>1.92</v>
      </c>
      <c r="AA275" s="61">
        <v>6</v>
      </c>
      <c r="AB275" s="61">
        <v>25</v>
      </c>
      <c r="AC275" s="61" t="str">
        <v/>
      </c>
      <c r="AD275" s="62" t="str">
        <v>QFD15</v>
      </c>
      <c r="AE275" s="62" t="str">
        <v/>
      </c>
      <c r="AF275" s="34">
        <v>15</v>
      </c>
      <c r="AG275" s="34" t="str">
        <v>QFD15</v>
      </c>
      <c r="AH275" s="34" t="str">
        <v/>
      </c>
      <c r="AI275" s="34" t="str">
        <v/>
      </c>
      <c r="AJ275" s="34" t="str">
        <v>QFD15</v>
      </c>
      <c r="AK275" s="34">
        <v>1</v>
      </c>
      <c r="AL275" s="34" t="str">
        <v>R</v>
      </c>
      <c r="AM275" s="34">
        <v>30</v>
      </c>
      <c r="AN275" s="34">
        <v>0</v>
      </c>
      <c r="AO275" s="34">
        <v>16</v>
      </c>
      <c r="AP275" s="34">
        <v>25</v>
      </c>
      <c r="AQ275" s="34">
        <v>16</v>
      </c>
      <c r="AR275" s="34">
        <v>1</v>
      </c>
      <c r="AS275" s="34">
        <v>1</v>
      </c>
      <c r="AT275" s="34" t="str">
        <v>2P</v>
      </c>
      <c r="AU275" s="34">
        <v>16</v>
      </c>
      <c r="AV275" s="34" t="str">
        <v/>
      </c>
      <c r="AW275" s="34" t="str">
        <v/>
      </c>
      <c r="AX275" s="34" t="str">
        <v/>
      </c>
      <c r="AY275" s="34">
        <v>1</v>
      </c>
      <c r="AZ275" s="34" t="str">
        <v/>
      </c>
      <c r="BA275" s="34">
        <v>0</v>
      </c>
      <c r="BB275" s="34">
        <v>16</v>
      </c>
      <c r="BD275" s="34">
        <v>1</v>
      </c>
      <c r="BE275" s="34">
        <v>0</v>
      </c>
      <c r="BF275" s="34">
        <v>1</v>
      </c>
      <c r="BG275" s="34" t="str">
        <v/>
      </c>
      <c r="BH275" s="34" t="str">
        <v/>
      </c>
      <c r="BI275" s="34" t="str">
        <v/>
      </c>
      <c r="BJ275" s="34" t="str">
        <v/>
      </c>
      <c r="BK275" s="34" t="str">
        <v>SOCKET</v>
      </c>
      <c r="BL275" s="34">
        <v>1</v>
      </c>
      <c r="BM275" s="34" t="str">
        <v/>
      </c>
      <c r="BN275" s="34" t="str">
        <v/>
      </c>
      <c r="BO275" s="34" t="str">
        <v/>
      </c>
      <c r="BP275" s="34" t="str">
        <v/>
      </c>
      <c r="BQ275" s="34" t="str">
        <v>3х2,5</v>
      </c>
      <c r="BR275" s="34" t="str">
        <v/>
      </c>
      <c r="BS275" s="34" t="str">
        <v/>
      </c>
      <c r="BT275" s="34" t="str">
        <v/>
      </c>
      <c r="BU275" s="34">
        <v>0</v>
      </c>
      <c r="BV275" s="34">
        <v>296</v>
      </c>
      <c r="BW275" s="34">
        <v>1</v>
      </c>
      <c r="BX275" s="34">
        <v>0</v>
      </c>
      <c r="BY275" s="34" t="str">
        <v>Розетка</v>
      </c>
      <c r="BZ275">
        <v>11</v>
      </c>
      <c r="CA275" t="str">
        <v>линии</v>
      </c>
    </row>
    <row r="276" spans="1:79" x14ac:dyDescent="0.3">
      <c r="A276" s="39" t="str">
        <v>ЩР-2</v>
      </c>
      <c r="B276" s="42">
        <v>26</v>
      </c>
      <c r="C276" s="42">
        <v>2</v>
      </c>
      <c r="D276" s="75" t="str">
        <v/>
      </c>
      <c r="E276" s="75" t="str">
        <v>авто</v>
      </c>
      <c r="F276" s="76" t="str">
        <v/>
      </c>
      <c r="G276" s="47" t="str">
        <v>QFD16</v>
      </c>
      <c r="H276" s="47" t="str">
        <v>2P С16А 30мА</v>
      </c>
      <c r="I276" s="75" t="str">
        <v/>
      </c>
      <c r="J276" s="76" t="str">
        <v/>
      </c>
      <c r="K276" s="76" t="str">
        <v/>
      </c>
      <c r="L276" s="75" t="str">
        <v/>
      </c>
      <c r="M276" s="49" t="str">
        <v/>
      </c>
      <c r="N276" s="76" t="str">
        <v/>
      </c>
      <c r="O276" s="49" t="str">
        <v/>
      </c>
      <c r="P276" s="77" t="str">
        <v/>
      </c>
      <c r="Q276" s="53" t="str">
        <v>ВВГнг(А)-LS (3х2,5) L=55-0,45%</v>
      </c>
      <c r="R276" s="54" t="str">
        <v>R.2.019А.1</v>
      </c>
      <c r="S276" s="55" t="str">
        <v>Розеточная группа Второй этаж Пом. №019А</v>
      </c>
      <c r="T276" s="56">
        <v>0.24</v>
      </c>
      <c r="U276" s="56">
        <v>1.1000000000000001</v>
      </c>
      <c r="V276" s="42" t="str">
        <v>L3</v>
      </c>
      <c r="W276" s="57" t="str">
        <v>ok</v>
      </c>
      <c r="X276" s="58" t="str">
        <v/>
      </c>
      <c r="Y276" s="75" t="str">
        <v/>
      </c>
      <c r="Z276" s="59">
        <v>1.1000000000000001</v>
      </c>
      <c r="AA276" s="61">
        <v>6</v>
      </c>
      <c r="AB276" s="61">
        <v>25</v>
      </c>
      <c r="AC276" s="61" t="str">
        <v/>
      </c>
      <c r="AD276" s="62" t="str">
        <v>QFD16</v>
      </c>
      <c r="AE276" s="62" t="str">
        <v/>
      </c>
      <c r="AF276" s="34">
        <v>16</v>
      </c>
      <c r="AG276" s="34" t="str">
        <v>QFD16</v>
      </c>
      <c r="AH276" s="34" t="str">
        <v/>
      </c>
      <c r="AI276" s="34" t="str">
        <v/>
      </c>
      <c r="AJ276" s="34" t="str">
        <v>QFD16</v>
      </c>
      <c r="AK276" s="34">
        <v>1</v>
      </c>
      <c r="AL276" s="34" t="str">
        <v>R</v>
      </c>
      <c r="AM276" s="34">
        <v>30</v>
      </c>
      <c r="AN276" s="34">
        <v>0</v>
      </c>
      <c r="AO276" s="34">
        <v>16</v>
      </c>
      <c r="AP276" s="34">
        <v>25</v>
      </c>
      <c r="AQ276" s="34">
        <v>16</v>
      </c>
      <c r="AR276" s="34">
        <v>1</v>
      </c>
      <c r="AS276" s="34">
        <v>1</v>
      </c>
      <c r="AT276" s="34" t="str">
        <v>2P</v>
      </c>
      <c r="AU276" s="34">
        <v>16</v>
      </c>
      <c r="AV276" s="34" t="str">
        <v/>
      </c>
      <c r="AW276" s="34" t="str">
        <v/>
      </c>
      <c r="AX276" s="34" t="str">
        <v/>
      </c>
      <c r="AY276" s="34">
        <v>1</v>
      </c>
      <c r="AZ276" s="34" t="str">
        <v/>
      </c>
      <c r="BA276" s="34">
        <v>0</v>
      </c>
      <c r="BB276" s="34">
        <v>16</v>
      </c>
      <c r="BD276" s="34">
        <v>1</v>
      </c>
      <c r="BE276" s="34">
        <v>0</v>
      </c>
      <c r="BF276" s="34">
        <v>1</v>
      </c>
      <c r="BG276" s="34" t="str">
        <v/>
      </c>
      <c r="BH276" s="34" t="str">
        <v/>
      </c>
      <c r="BI276" s="34" t="str">
        <v/>
      </c>
      <c r="BJ276" s="34" t="str">
        <v/>
      </c>
      <c r="BK276" s="34" t="str">
        <v>SOCKET</v>
      </c>
      <c r="BL276" s="34">
        <v>1</v>
      </c>
      <c r="BM276" s="34" t="str">
        <v/>
      </c>
      <c r="BN276" s="34" t="str">
        <v/>
      </c>
      <c r="BO276" s="34" t="str">
        <v/>
      </c>
      <c r="BP276" s="34" t="str">
        <v/>
      </c>
      <c r="BQ276" s="34" t="str">
        <v>3х2,5</v>
      </c>
      <c r="BR276" s="34" t="str">
        <v/>
      </c>
      <c r="BS276" s="34" t="str">
        <v/>
      </c>
      <c r="BT276" s="34" t="str">
        <v/>
      </c>
      <c r="BU276" s="34">
        <v>0</v>
      </c>
      <c r="BV276" s="34">
        <v>297</v>
      </c>
      <c r="BW276" s="34">
        <v>1</v>
      </c>
      <c r="BX276" s="34">
        <v>0</v>
      </c>
      <c r="BY276" s="34" t="str">
        <v>Розетка</v>
      </c>
      <c r="BZ276">
        <v>11</v>
      </c>
      <c r="CA276" t="str">
        <v>линии</v>
      </c>
    </row>
    <row r="277" spans="1:79" x14ac:dyDescent="0.3">
      <c r="A277" s="39" t="str">
        <v>ЩР-2</v>
      </c>
      <c r="B277" s="42">
        <v>27</v>
      </c>
      <c r="C277" s="42">
        <v>2</v>
      </c>
      <c r="D277" s="75" t="str">
        <v/>
      </c>
      <c r="E277" s="75" t="str">
        <v>авто</v>
      </c>
      <c r="F277" s="76" t="str">
        <v/>
      </c>
      <c r="G277" s="47" t="str">
        <v>QFD17</v>
      </c>
      <c r="H277" s="47" t="str">
        <v>2P С16А 30мА</v>
      </c>
      <c r="I277" s="75" t="str">
        <v/>
      </c>
      <c r="J277" s="76" t="str">
        <v/>
      </c>
      <c r="K277" s="76" t="str">
        <v/>
      </c>
      <c r="L277" s="75" t="str">
        <v/>
      </c>
      <c r="M277" s="49" t="str">
        <v/>
      </c>
      <c r="N277" s="76" t="str">
        <v/>
      </c>
      <c r="O277" s="49" t="str">
        <v/>
      </c>
      <c r="P277" s="77" t="str">
        <v/>
      </c>
      <c r="Q277" s="53" t="str">
        <v>ВВГнг(А)-LS (3х2,5) L=88-1,97%</v>
      </c>
      <c r="R277" s="54" t="str">
        <v>R.2.019А.2</v>
      </c>
      <c r="S277" s="55" t="str">
        <v>Розеточная группа Второй этаж Пом. №019А</v>
      </c>
      <c r="T277" s="56">
        <v>0.65999999999999992</v>
      </c>
      <c r="U277" s="56">
        <v>3.01</v>
      </c>
      <c r="V277" s="42" t="str">
        <v>L3</v>
      </c>
      <c r="W277" s="57" t="str">
        <v>ok</v>
      </c>
      <c r="X277" s="58" t="str">
        <v/>
      </c>
      <c r="Y277" s="75" t="str">
        <v/>
      </c>
      <c r="Z277" s="59">
        <v>3.01</v>
      </c>
      <c r="AA277" s="61">
        <v>6</v>
      </c>
      <c r="AB277" s="61">
        <v>25</v>
      </c>
      <c r="AC277" s="61" t="str">
        <v/>
      </c>
      <c r="AD277" s="62" t="str">
        <v>QFD17</v>
      </c>
      <c r="AE277" s="62" t="str">
        <v/>
      </c>
      <c r="AF277" s="34">
        <v>17</v>
      </c>
      <c r="AG277" s="34" t="str">
        <v>QFD17</v>
      </c>
      <c r="AH277" s="34" t="str">
        <v/>
      </c>
      <c r="AI277" s="34" t="str">
        <v/>
      </c>
      <c r="AJ277" s="34" t="str">
        <v>QFD17</v>
      </c>
      <c r="AK277" s="34">
        <v>1</v>
      </c>
      <c r="AL277" s="34" t="str">
        <v>R</v>
      </c>
      <c r="AM277" s="34">
        <v>30</v>
      </c>
      <c r="AN277" s="34">
        <v>0</v>
      </c>
      <c r="AO277" s="34">
        <v>16</v>
      </c>
      <c r="AP277" s="34">
        <v>25</v>
      </c>
      <c r="AQ277" s="34">
        <v>16</v>
      </c>
      <c r="AR277" s="34">
        <v>1</v>
      </c>
      <c r="AS277" s="34">
        <v>1</v>
      </c>
      <c r="AT277" s="34" t="str">
        <v>2P</v>
      </c>
      <c r="AU277" s="34">
        <v>16</v>
      </c>
      <c r="AV277" s="34" t="str">
        <v/>
      </c>
      <c r="AW277" s="34" t="str">
        <v/>
      </c>
      <c r="AX277" s="34" t="str">
        <v/>
      </c>
      <c r="AY277" s="34">
        <v>1</v>
      </c>
      <c r="AZ277" s="34" t="str">
        <v/>
      </c>
      <c r="BA277" s="34">
        <v>0</v>
      </c>
      <c r="BB277" s="34">
        <v>16</v>
      </c>
      <c r="BD277" s="34">
        <v>1</v>
      </c>
      <c r="BE277" s="34">
        <v>0</v>
      </c>
      <c r="BF277" s="34">
        <v>1</v>
      </c>
      <c r="BG277" s="34" t="str">
        <v/>
      </c>
      <c r="BH277" s="34" t="str">
        <v/>
      </c>
      <c r="BI277" s="34" t="str">
        <v/>
      </c>
      <c r="BJ277" s="34" t="str">
        <v/>
      </c>
      <c r="BK277" s="34" t="str">
        <v>SOCKET</v>
      </c>
      <c r="BL277" s="34">
        <v>1</v>
      </c>
      <c r="BM277" s="34" t="str">
        <v/>
      </c>
      <c r="BN277" s="34" t="str">
        <v/>
      </c>
      <c r="BO277" s="34" t="str">
        <v/>
      </c>
      <c r="BP277" s="34" t="str">
        <v/>
      </c>
      <c r="BQ277" s="34" t="str">
        <v>3х2,5</v>
      </c>
      <c r="BR277" s="34" t="str">
        <v/>
      </c>
      <c r="BS277" s="34" t="str">
        <v/>
      </c>
      <c r="BT277" s="34" t="str">
        <v/>
      </c>
      <c r="BU277" s="34">
        <v>0</v>
      </c>
      <c r="BV277" s="34">
        <v>298</v>
      </c>
      <c r="BW277" s="34">
        <v>1</v>
      </c>
      <c r="BX277" s="34">
        <v>0</v>
      </c>
      <c r="BY277" s="34" t="str">
        <v>Розетка</v>
      </c>
      <c r="BZ277">
        <v>11</v>
      </c>
      <c r="CA277" t="str">
        <v>линии</v>
      </c>
    </row>
    <row r="278" spans="1:79" x14ac:dyDescent="0.3">
      <c r="A278" s="39" t="str">
        <v>ЩР-2</v>
      </c>
      <c r="B278" s="42">
        <v>28</v>
      </c>
      <c r="C278" s="42">
        <v>2</v>
      </c>
      <c r="D278" s="75" t="str">
        <v/>
      </c>
      <c r="E278" s="75" t="str">
        <v>авто</v>
      </c>
      <c r="F278" s="76" t="str">
        <v/>
      </c>
      <c r="G278" s="47" t="str">
        <v>QFD18</v>
      </c>
      <c r="H278" s="47" t="str">
        <v>2P С16А 30мА</v>
      </c>
      <c r="I278" s="75" t="str">
        <v/>
      </c>
      <c r="J278" s="76" t="str">
        <v/>
      </c>
      <c r="K278" s="76" t="str">
        <v/>
      </c>
      <c r="L278" s="75" t="str">
        <v/>
      </c>
      <c r="M278" s="49" t="str">
        <v/>
      </c>
      <c r="N278" s="76" t="str">
        <v/>
      </c>
      <c r="O278" s="49" t="str">
        <v/>
      </c>
      <c r="P278" s="77" t="str">
        <v/>
      </c>
      <c r="Q278" s="53" t="str">
        <v>ВВГнг(А)-LS (3х2,5) L=63-0,39%</v>
      </c>
      <c r="R278" s="54" t="str">
        <v>R.2.020А.1</v>
      </c>
      <c r="S278" s="55" t="str">
        <v>Розеточная группа Второй этаж Пом. №020А</v>
      </c>
      <c r="T278" s="56">
        <v>0.18</v>
      </c>
      <c r="U278" s="56">
        <v>0.83</v>
      </c>
      <c r="V278" s="42" t="str">
        <v>L3</v>
      </c>
      <c r="W278" s="57" t="str">
        <v>ok</v>
      </c>
      <c r="X278" s="58" t="str">
        <v/>
      </c>
      <c r="Y278" s="75" t="str">
        <v/>
      </c>
      <c r="Z278" s="59">
        <v>0.83</v>
      </c>
      <c r="AA278" s="61">
        <v>6</v>
      </c>
      <c r="AB278" s="61">
        <v>25</v>
      </c>
      <c r="AC278" s="61" t="str">
        <v/>
      </c>
      <c r="AD278" s="62" t="str">
        <v>QFD18</v>
      </c>
      <c r="AE278" s="62" t="str">
        <v/>
      </c>
      <c r="AF278" s="34">
        <v>18</v>
      </c>
      <c r="AG278" s="34" t="str">
        <v>QFD18</v>
      </c>
      <c r="AH278" s="34" t="str">
        <v/>
      </c>
      <c r="AI278" s="34" t="str">
        <v/>
      </c>
      <c r="AJ278" s="34" t="str">
        <v>QFD18</v>
      </c>
      <c r="AK278" s="34">
        <v>1</v>
      </c>
      <c r="AL278" s="34" t="str">
        <v>R</v>
      </c>
      <c r="AM278" s="34">
        <v>30</v>
      </c>
      <c r="AN278" s="34">
        <v>0</v>
      </c>
      <c r="AO278" s="34">
        <v>16</v>
      </c>
      <c r="AP278" s="34">
        <v>25</v>
      </c>
      <c r="AQ278" s="34">
        <v>16</v>
      </c>
      <c r="AR278" s="34">
        <v>1</v>
      </c>
      <c r="AS278" s="34">
        <v>1</v>
      </c>
      <c r="AT278" s="34" t="str">
        <v>2P</v>
      </c>
      <c r="AU278" s="34">
        <v>16</v>
      </c>
      <c r="AV278" s="34" t="str">
        <v/>
      </c>
      <c r="AW278" s="34" t="str">
        <v/>
      </c>
      <c r="AX278" s="34" t="str">
        <v/>
      </c>
      <c r="AY278" s="34">
        <v>1</v>
      </c>
      <c r="AZ278" s="34" t="str">
        <v/>
      </c>
      <c r="BA278" s="34">
        <v>0</v>
      </c>
      <c r="BB278" s="34">
        <v>16</v>
      </c>
      <c r="BD278" s="34">
        <v>1</v>
      </c>
      <c r="BE278" s="34">
        <v>0</v>
      </c>
      <c r="BF278" s="34">
        <v>1</v>
      </c>
      <c r="BG278" s="34" t="str">
        <v/>
      </c>
      <c r="BH278" s="34" t="str">
        <v/>
      </c>
      <c r="BI278" s="34" t="str">
        <v/>
      </c>
      <c r="BJ278" s="34" t="str">
        <v/>
      </c>
      <c r="BK278" s="34" t="str">
        <v>SOCKET</v>
      </c>
      <c r="BL278" s="34">
        <v>1</v>
      </c>
      <c r="BM278" s="34" t="str">
        <v/>
      </c>
      <c r="BN278" s="34" t="str">
        <v/>
      </c>
      <c r="BO278" s="34" t="str">
        <v/>
      </c>
      <c r="BP278" s="34" t="str">
        <v/>
      </c>
      <c r="BQ278" s="34" t="str">
        <v>3х2,5</v>
      </c>
      <c r="BR278" s="34" t="str">
        <v/>
      </c>
      <c r="BS278" s="34" t="str">
        <v/>
      </c>
      <c r="BT278" s="34" t="str">
        <v/>
      </c>
      <c r="BU278" s="34">
        <v>0</v>
      </c>
      <c r="BV278" s="34">
        <v>299</v>
      </c>
      <c r="BW278" s="34">
        <v>1</v>
      </c>
      <c r="BX278" s="34">
        <v>0</v>
      </c>
      <c r="BY278" s="34" t="str">
        <v>Розетка</v>
      </c>
      <c r="BZ278">
        <v>11</v>
      </c>
      <c r="CA278" t="str">
        <v>линии</v>
      </c>
    </row>
    <row r="279" spans="1:79" x14ac:dyDescent="0.3">
      <c r="A279" s="39" t="str">
        <v>ЩР-2</v>
      </c>
      <c r="B279" s="42">
        <v>29</v>
      </c>
      <c r="C279" s="42">
        <v>2</v>
      </c>
      <c r="D279" s="75" t="str">
        <v/>
      </c>
      <c r="E279" s="75" t="str">
        <v>авто</v>
      </c>
      <c r="F279" s="76" t="str">
        <v/>
      </c>
      <c r="G279" s="47" t="str">
        <v>QFD19</v>
      </c>
      <c r="H279" s="47" t="str">
        <v>2P С16А 30мА</v>
      </c>
      <c r="I279" s="75" t="str">
        <v/>
      </c>
      <c r="J279" s="76" t="str">
        <v/>
      </c>
      <c r="K279" s="76" t="str">
        <v/>
      </c>
      <c r="L279" s="75" t="str">
        <v/>
      </c>
      <c r="M279" s="49" t="str">
        <v/>
      </c>
      <c r="N279" s="76" t="str">
        <v/>
      </c>
      <c r="O279" s="49" t="str">
        <v/>
      </c>
      <c r="P279" s="77" t="str">
        <v/>
      </c>
      <c r="Q279" s="53" t="str">
        <v>ВВГнг(А)-LS (3х2,5) L=44-0,36%</v>
      </c>
      <c r="R279" s="54" t="str">
        <v>R.2.022Б.1</v>
      </c>
      <c r="S279" s="55" t="str">
        <v>Розеточная группа Второй этаж Пом. №022Б</v>
      </c>
      <c r="T279" s="56">
        <v>0.24</v>
      </c>
      <c r="U279" s="56">
        <v>1.1000000000000001</v>
      </c>
      <c r="V279" s="42" t="str">
        <v>L2</v>
      </c>
      <c r="W279" s="57" t="str">
        <v>ok</v>
      </c>
      <c r="X279" s="58" t="str">
        <v/>
      </c>
      <c r="Y279" s="75" t="str">
        <v/>
      </c>
      <c r="Z279" s="59">
        <v>1.1000000000000001</v>
      </c>
      <c r="AA279" s="61">
        <v>6</v>
      </c>
      <c r="AB279" s="61">
        <v>25</v>
      </c>
      <c r="AC279" s="61" t="str">
        <v/>
      </c>
      <c r="AD279" s="62" t="str">
        <v>QFD19</v>
      </c>
      <c r="AE279" s="62" t="str">
        <v/>
      </c>
      <c r="AF279" s="34">
        <v>19</v>
      </c>
      <c r="AG279" s="34" t="str">
        <v>QFD19</v>
      </c>
      <c r="AH279" s="34" t="str">
        <v/>
      </c>
      <c r="AI279" s="34" t="str">
        <v/>
      </c>
      <c r="AJ279" s="34" t="str">
        <v>QFD19</v>
      </c>
      <c r="AK279" s="34">
        <v>1</v>
      </c>
      <c r="AL279" s="34" t="str">
        <v>R</v>
      </c>
      <c r="AM279" s="34">
        <v>30</v>
      </c>
      <c r="AN279" s="34">
        <v>0</v>
      </c>
      <c r="AO279" s="34">
        <v>16</v>
      </c>
      <c r="AP279" s="34">
        <v>25</v>
      </c>
      <c r="AQ279" s="34">
        <v>16</v>
      </c>
      <c r="AR279" s="34">
        <v>1</v>
      </c>
      <c r="AS279" s="34">
        <v>1</v>
      </c>
      <c r="AT279" s="34" t="str">
        <v>2P</v>
      </c>
      <c r="AU279" s="34">
        <v>16</v>
      </c>
      <c r="AV279" s="34" t="str">
        <v/>
      </c>
      <c r="AW279" s="34" t="str">
        <v/>
      </c>
      <c r="AX279" s="34" t="str">
        <v/>
      </c>
      <c r="AY279" s="34">
        <v>1</v>
      </c>
      <c r="AZ279" s="34" t="str">
        <v/>
      </c>
      <c r="BA279" s="34">
        <v>0</v>
      </c>
      <c r="BB279" s="34">
        <v>16</v>
      </c>
      <c r="BD279" s="34">
        <v>1</v>
      </c>
      <c r="BE279" s="34">
        <v>0</v>
      </c>
      <c r="BF279" s="34">
        <v>1</v>
      </c>
      <c r="BG279" s="34" t="str">
        <v/>
      </c>
      <c r="BH279" s="34" t="str">
        <v/>
      </c>
      <c r="BI279" s="34" t="str">
        <v/>
      </c>
      <c r="BJ279" s="34" t="str">
        <v/>
      </c>
      <c r="BK279" s="34" t="str">
        <v>SOCKET</v>
      </c>
      <c r="BL279" s="34">
        <v>1</v>
      </c>
      <c r="BM279" s="34" t="str">
        <v/>
      </c>
      <c r="BN279" s="34" t="str">
        <v/>
      </c>
      <c r="BO279" s="34" t="str">
        <v/>
      </c>
      <c r="BP279" s="34" t="str">
        <v/>
      </c>
      <c r="BQ279" s="34" t="str">
        <v>3х2,5</v>
      </c>
      <c r="BR279" s="34" t="str">
        <v/>
      </c>
      <c r="BS279" s="34" t="str">
        <v/>
      </c>
      <c r="BT279" s="34" t="str">
        <v/>
      </c>
      <c r="BU279" s="34">
        <v>0</v>
      </c>
      <c r="BV279" s="34">
        <v>300</v>
      </c>
      <c r="BW279" s="34">
        <v>1</v>
      </c>
      <c r="BX279" s="34">
        <v>0</v>
      </c>
      <c r="BY279" s="34" t="str">
        <v>Розетка</v>
      </c>
      <c r="BZ279">
        <v>11</v>
      </c>
      <c r="CA279" t="str">
        <v>линии</v>
      </c>
    </row>
    <row r="280" spans="1:79" x14ac:dyDescent="0.3">
      <c r="A280" s="39" t="str">
        <v>ЩР-2</v>
      </c>
      <c r="B280" s="42">
        <v>30</v>
      </c>
      <c r="C280" s="42">
        <v>2</v>
      </c>
      <c r="D280" s="75" t="str">
        <v/>
      </c>
      <c r="E280" s="75" t="str">
        <v>авто</v>
      </c>
      <c r="F280" s="76" t="str">
        <v/>
      </c>
      <c r="G280" s="47" t="str">
        <v>QFD20</v>
      </c>
      <c r="H280" s="47" t="str">
        <v>2P С16А 30мА</v>
      </c>
      <c r="I280" s="75" t="str">
        <v/>
      </c>
      <c r="J280" s="76" t="str">
        <v/>
      </c>
      <c r="K280" s="76" t="str">
        <v/>
      </c>
      <c r="L280" s="75" t="str">
        <v/>
      </c>
      <c r="M280" s="49" t="str">
        <v/>
      </c>
      <c r="N280" s="76" t="str">
        <v/>
      </c>
      <c r="O280" s="49" t="str">
        <v/>
      </c>
      <c r="P280" s="77" t="str">
        <v/>
      </c>
      <c r="Q280" s="53" t="str">
        <v>ВВГнг(А)-LS (3х2,5) L=87-0,54%</v>
      </c>
      <c r="R280" s="54" t="str">
        <v>R.2.001.1</v>
      </c>
      <c r="S280" s="55" t="str">
        <v>Розеточная группа Второй этаж Пом. №001</v>
      </c>
      <c r="T280" s="56">
        <v>0.18</v>
      </c>
      <c r="U280" s="56">
        <v>0.83</v>
      </c>
      <c r="V280" s="42" t="str">
        <v>L1</v>
      </c>
      <c r="W280" s="57" t="str">
        <v>ok</v>
      </c>
      <c r="X280" s="58" t="str">
        <v/>
      </c>
      <c r="Y280" s="75" t="str">
        <v/>
      </c>
      <c r="Z280" s="59">
        <v>0.83</v>
      </c>
      <c r="AA280" s="61">
        <v>6</v>
      </c>
      <c r="AB280" s="61">
        <v>25</v>
      </c>
      <c r="AC280" s="61" t="str">
        <v/>
      </c>
      <c r="AD280" s="62" t="str">
        <v>QFD20</v>
      </c>
      <c r="AE280" s="62" t="str">
        <v/>
      </c>
      <c r="AF280" s="34">
        <v>20</v>
      </c>
      <c r="AG280" s="34" t="str">
        <v>QFD20</v>
      </c>
      <c r="AH280" s="34" t="str">
        <v/>
      </c>
      <c r="AI280" s="34" t="str">
        <v/>
      </c>
      <c r="AJ280" s="34" t="str">
        <v>QFD20</v>
      </c>
      <c r="AK280" s="34">
        <v>1</v>
      </c>
      <c r="AL280" s="34" t="str">
        <v>R</v>
      </c>
      <c r="AM280" s="34">
        <v>30</v>
      </c>
      <c r="AN280" s="34">
        <v>0</v>
      </c>
      <c r="AO280" s="34">
        <v>16</v>
      </c>
      <c r="AP280" s="34">
        <v>25</v>
      </c>
      <c r="AQ280" s="34">
        <v>16</v>
      </c>
      <c r="AR280" s="34">
        <v>1</v>
      </c>
      <c r="AS280" s="34">
        <v>1</v>
      </c>
      <c r="AT280" s="34" t="str">
        <v>2P</v>
      </c>
      <c r="AU280" s="34">
        <v>16</v>
      </c>
      <c r="AV280" s="34" t="str">
        <v/>
      </c>
      <c r="AW280" s="34" t="str">
        <v/>
      </c>
      <c r="AX280" s="34" t="str">
        <v/>
      </c>
      <c r="AY280" s="34">
        <v>1</v>
      </c>
      <c r="AZ280" s="34" t="str">
        <v/>
      </c>
      <c r="BA280" s="34">
        <v>0</v>
      </c>
      <c r="BB280" s="34">
        <v>16</v>
      </c>
      <c r="BD280" s="34">
        <v>1</v>
      </c>
      <c r="BE280" s="34">
        <v>0</v>
      </c>
      <c r="BF280" s="34">
        <v>1</v>
      </c>
      <c r="BG280" s="34" t="str">
        <v/>
      </c>
      <c r="BH280" s="34" t="str">
        <v/>
      </c>
      <c r="BI280" s="34" t="str">
        <v/>
      </c>
      <c r="BJ280" s="34" t="str">
        <v/>
      </c>
      <c r="BK280" s="34" t="str">
        <v>SOCKET</v>
      </c>
      <c r="BL280" s="34">
        <v>1</v>
      </c>
      <c r="BM280" s="34" t="str">
        <v/>
      </c>
      <c r="BN280" s="34" t="str">
        <v/>
      </c>
      <c r="BO280" s="34" t="str">
        <v/>
      </c>
      <c r="BP280" s="34" t="str">
        <v/>
      </c>
      <c r="BQ280" s="34" t="str">
        <v>3х2,5</v>
      </c>
      <c r="BR280" s="34" t="str">
        <v/>
      </c>
      <c r="BS280" s="34" t="str">
        <v/>
      </c>
      <c r="BT280" s="34" t="str">
        <v/>
      </c>
      <c r="BU280" s="34">
        <v>0</v>
      </c>
      <c r="BV280" s="34">
        <v>301</v>
      </c>
      <c r="BW280" s="34">
        <v>1</v>
      </c>
      <c r="BX280" s="34">
        <v>0</v>
      </c>
      <c r="BY280" s="34" t="str">
        <v>Розетка</v>
      </c>
      <c r="BZ280">
        <v>11</v>
      </c>
      <c r="CA280" t="str">
        <v>линии</v>
      </c>
    </row>
    <row r="281" spans="1:79" x14ac:dyDescent="0.3">
      <c r="A281" s="39" t="str">
        <v>ЩР-2</v>
      </c>
      <c r="B281" s="42">
        <v>31</v>
      </c>
      <c r="C281" s="42">
        <v>2</v>
      </c>
      <c r="D281" s="75" t="str">
        <v/>
      </c>
      <c r="E281" s="75" t="str">
        <v>авто</v>
      </c>
      <c r="F281" s="76" t="str">
        <v/>
      </c>
      <c r="G281" s="47" t="str">
        <v>QFD21</v>
      </c>
      <c r="H281" s="47" t="str">
        <v>2P С16А 30мА</v>
      </c>
      <c r="I281" s="75" t="str">
        <v/>
      </c>
      <c r="J281" s="76" t="str">
        <v/>
      </c>
      <c r="K281" s="76" t="str">
        <v/>
      </c>
      <c r="L281" s="75" t="str">
        <v/>
      </c>
      <c r="M281" s="49" t="str">
        <v/>
      </c>
      <c r="N281" s="76" t="str">
        <v/>
      </c>
      <c r="O281" s="49" t="str">
        <v/>
      </c>
      <c r="P281" s="77" t="str">
        <v/>
      </c>
      <c r="Q281" s="53" t="str">
        <v>ВВГнг(А)-LS (3х2,5) L=47-0,2%</v>
      </c>
      <c r="R281" s="54" t="str">
        <v>R.2.003Г.1</v>
      </c>
      <c r="S281" s="55" t="str">
        <v>Розеточная группа Второй этаж Пом. №003Г</v>
      </c>
      <c r="T281" s="56">
        <v>0.12</v>
      </c>
      <c r="U281" s="56">
        <v>0.55000000000000004</v>
      </c>
      <c r="V281" s="42" t="str">
        <v>L1</v>
      </c>
      <c r="W281" s="57" t="str">
        <v>ok</v>
      </c>
      <c r="X281" s="58" t="str">
        <v/>
      </c>
      <c r="Y281" s="75" t="str">
        <v/>
      </c>
      <c r="Z281" s="59">
        <v>0.55000000000000004</v>
      </c>
      <c r="AA281" s="61">
        <v>6</v>
      </c>
      <c r="AB281" s="61">
        <v>25</v>
      </c>
      <c r="AC281" s="61" t="str">
        <v/>
      </c>
      <c r="AD281" s="62" t="str">
        <v>QFD21</v>
      </c>
      <c r="AE281" s="62" t="str">
        <v/>
      </c>
      <c r="AF281" s="34">
        <v>21</v>
      </c>
      <c r="AG281" s="34" t="str">
        <v>QFD21</v>
      </c>
      <c r="AH281" s="34" t="str">
        <v/>
      </c>
      <c r="AI281" s="34" t="str">
        <v/>
      </c>
      <c r="AJ281" s="34" t="str">
        <v>QFD21</v>
      </c>
      <c r="AK281" s="34">
        <v>1</v>
      </c>
      <c r="AL281" s="34" t="str">
        <v>R</v>
      </c>
      <c r="AM281" s="34">
        <v>30</v>
      </c>
      <c r="AN281" s="34">
        <v>0</v>
      </c>
      <c r="AO281" s="34">
        <v>16</v>
      </c>
      <c r="AP281" s="34">
        <v>25</v>
      </c>
      <c r="AQ281" s="34">
        <v>16</v>
      </c>
      <c r="AR281" s="34">
        <v>1</v>
      </c>
      <c r="AS281" s="34">
        <v>1</v>
      </c>
      <c r="AT281" s="34" t="str">
        <v>2P</v>
      </c>
      <c r="AU281" s="34">
        <v>16</v>
      </c>
      <c r="AV281" s="34" t="str">
        <v/>
      </c>
      <c r="AW281" s="34" t="str">
        <v/>
      </c>
      <c r="AX281" s="34" t="str">
        <v/>
      </c>
      <c r="AY281" s="34">
        <v>1</v>
      </c>
      <c r="AZ281" s="34" t="str">
        <v/>
      </c>
      <c r="BA281" s="34">
        <v>0</v>
      </c>
      <c r="BB281" s="34">
        <v>16</v>
      </c>
      <c r="BD281" s="34">
        <v>1</v>
      </c>
      <c r="BE281" s="34">
        <v>0</v>
      </c>
      <c r="BF281" s="34">
        <v>1</v>
      </c>
      <c r="BG281" s="34" t="str">
        <v/>
      </c>
      <c r="BH281" s="34" t="str">
        <v/>
      </c>
      <c r="BI281" s="34" t="str">
        <v/>
      </c>
      <c r="BJ281" s="34" t="str">
        <v/>
      </c>
      <c r="BK281" s="34" t="str">
        <v>SOCKET</v>
      </c>
      <c r="BL281" s="34">
        <v>1</v>
      </c>
      <c r="BM281" s="34" t="str">
        <v/>
      </c>
      <c r="BN281" s="34" t="str">
        <v/>
      </c>
      <c r="BO281" s="34" t="str">
        <v/>
      </c>
      <c r="BP281" s="34" t="str">
        <v/>
      </c>
      <c r="BQ281" s="34" t="str">
        <v>3х2,5</v>
      </c>
      <c r="BR281" s="34" t="str">
        <v/>
      </c>
      <c r="BS281" s="34" t="str">
        <v/>
      </c>
      <c r="BT281" s="34" t="str">
        <v/>
      </c>
      <c r="BU281" s="34">
        <v>0</v>
      </c>
      <c r="BV281" s="34">
        <v>302</v>
      </c>
      <c r="BW281" s="34">
        <v>1</v>
      </c>
      <c r="BX281" s="34">
        <v>0</v>
      </c>
      <c r="BY281" s="34" t="str">
        <v>Розетка</v>
      </c>
      <c r="BZ281">
        <v>11</v>
      </c>
      <c r="CA281" t="str">
        <v>линии</v>
      </c>
    </row>
    <row r="282" spans="1:79" x14ac:dyDescent="0.3">
      <c r="A282" s="39" t="str">
        <v>ЩР-2</v>
      </c>
      <c r="B282" s="42">
        <v>32</v>
      </c>
      <c r="C282" s="42">
        <v>2</v>
      </c>
      <c r="D282" s="75" t="str">
        <v/>
      </c>
      <c r="E282" s="75" t="str">
        <v>авто</v>
      </c>
      <c r="F282" s="76" t="str">
        <v/>
      </c>
      <c r="G282" s="47" t="str">
        <v>QFD22</v>
      </c>
      <c r="H282" s="47" t="str">
        <v>2P С16А 30мА</v>
      </c>
      <c r="I282" s="75" t="str">
        <v/>
      </c>
      <c r="J282" s="76" t="str">
        <v/>
      </c>
      <c r="K282" s="76" t="str">
        <v/>
      </c>
      <c r="L282" s="75" t="str">
        <v/>
      </c>
      <c r="M282" s="49" t="str">
        <v/>
      </c>
      <c r="N282" s="76" t="str">
        <v/>
      </c>
      <c r="O282" s="49" t="str">
        <v/>
      </c>
      <c r="P282" s="77" t="str">
        <v/>
      </c>
      <c r="Q282" s="53" t="str">
        <v>ВВГнг(А)-LS (3х2,5) L=40-0,17%</v>
      </c>
      <c r="R282" s="54" t="str">
        <v>R.2.005А.3</v>
      </c>
      <c r="S282" s="55" t="str">
        <v>Розеточная группа Второй этаж Пом. №005А</v>
      </c>
      <c r="T282" s="56">
        <v>0.12</v>
      </c>
      <c r="U282" s="56">
        <v>0.55000000000000004</v>
      </c>
      <c r="V282" s="42" t="str">
        <v>L2</v>
      </c>
      <c r="W282" s="57" t="str">
        <v>ok</v>
      </c>
      <c r="X282" s="58" t="str">
        <v/>
      </c>
      <c r="Y282" s="75" t="str">
        <v/>
      </c>
      <c r="Z282" s="59">
        <v>0.55000000000000004</v>
      </c>
      <c r="AA282" s="61">
        <v>6</v>
      </c>
      <c r="AB282" s="61">
        <v>25</v>
      </c>
      <c r="AC282" s="61" t="str">
        <v/>
      </c>
      <c r="AD282" s="62" t="str">
        <v>QFD22</v>
      </c>
      <c r="AE282" s="62" t="str">
        <v/>
      </c>
      <c r="AF282" s="34">
        <v>22</v>
      </c>
      <c r="AG282" s="34" t="str">
        <v>QFD22</v>
      </c>
      <c r="AH282" s="34" t="str">
        <v/>
      </c>
      <c r="AI282" s="34" t="str">
        <v/>
      </c>
      <c r="AJ282" s="34" t="str">
        <v>QFD22</v>
      </c>
      <c r="AK282" s="34">
        <v>1</v>
      </c>
      <c r="AL282" s="34" t="str">
        <v>R</v>
      </c>
      <c r="AM282" s="34">
        <v>30</v>
      </c>
      <c r="AN282" s="34">
        <v>0</v>
      </c>
      <c r="AO282" s="34">
        <v>16</v>
      </c>
      <c r="AP282" s="34">
        <v>25</v>
      </c>
      <c r="AQ282" s="34">
        <v>16</v>
      </c>
      <c r="AR282" s="34">
        <v>1</v>
      </c>
      <c r="AS282" s="34">
        <v>1</v>
      </c>
      <c r="AT282" s="34" t="str">
        <v>2P</v>
      </c>
      <c r="AU282" s="34">
        <v>16</v>
      </c>
      <c r="AV282" s="34" t="str">
        <v/>
      </c>
      <c r="AW282" s="34" t="str">
        <v/>
      </c>
      <c r="AX282" s="34" t="str">
        <v/>
      </c>
      <c r="AY282" s="34">
        <v>1</v>
      </c>
      <c r="AZ282" s="34" t="str">
        <v/>
      </c>
      <c r="BA282" s="34">
        <v>0</v>
      </c>
      <c r="BB282" s="34">
        <v>16</v>
      </c>
      <c r="BD282" s="34">
        <v>1</v>
      </c>
      <c r="BE282" s="34">
        <v>0</v>
      </c>
      <c r="BF282" s="34">
        <v>1</v>
      </c>
      <c r="BG282" s="34" t="str">
        <v/>
      </c>
      <c r="BH282" s="34" t="str">
        <v/>
      </c>
      <c r="BI282" s="34" t="str">
        <v/>
      </c>
      <c r="BJ282" s="34" t="str">
        <v/>
      </c>
      <c r="BK282" s="34" t="str">
        <v>SOCKET</v>
      </c>
      <c r="BL282" s="34">
        <v>1</v>
      </c>
      <c r="BM282" s="34" t="str">
        <v/>
      </c>
      <c r="BN282" s="34" t="str">
        <v/>
      </c>
      <c r="BO282" s="34" t="str">
        <v/>
      </c>
      <c r="BP282" s="34" t="str">
        <v/>
      </c>
      <c r="BQ282" s="34" t="str">
        <v>3х2,5</v>
      </c>
      <c r="BR282" s="34" t="str">
        <v/>
      </c>
      <c r="BS282" s="34" t="str">
        <v/>
      </c>
      <c r="BT282" s="34" t="str">
        <v/>
      </c>
      <c r="BU282" s="34">
        <v>0</v>
      </c>
      <c r="BV282" s="34">
        <v>303</v>
      </c>
      <c r="BW282" s="34">
        <v>1</v>
      </c>
      <c r="BX282" s="34">
        <v>0</v>
      </c>
      <c r="BY282" s="34" t="str">
        <v>Розетка</v>
      </c>
      <c r="BZ282">
        <v>11</v>
      </c>
      <c r="CA282" t="str">
        <v>линии</v>
      </c>
    </row>
    <row r="283" spans="1:79" x14ac:dyDescent="0.3">
      <c r="A283" s="39" t="str">
        <v>ЩР-2</v>
      </c>
      <c r="B283" s="42">
        <v>33</v>
      </c>
      <c r="C283" s="42">
        <v>2</v>
      </c>
      <c r="D283" s="75" t="str">
        <v/>
      </c>
      <c r="E283" s="75" t="str">
        <v>авто</v>
      </c>
      <c r="F283" s="76" t="str">
        <v/>
      </c>
      <c r="G283" s="47" t="str">
        <v>QFD23</v>
      </c>
      <c r="H283" s="47" t="str">
        <v>2P С16А 30мА</v>
      </c>
      <c r="I283" s="75" t="str">
        <v/>
      </c>
      <c r="J283" s="76" t="str">
        <v/>
      </c>
      <c r="K283" s="76" t="str">
        <v/>
      </c>
      <c r="L283" s="75" t="str">
        <v/>
      </c>
      <c r="M283" s="49" t="str">
        <v/>
      </c>
      <c r="N283" s="76" t="str">
        <v/>
      </c>
      <c r="O283" s="49" t="str">
        <v/>
      </c>
      <c r="P283" s="77" t="str">
        <v/>
      </c>
      <c r="Q283" s="53" t="str">
        <v>ВВГнг(А)-LS (3х2,5) L=35-0,08%</v>
      </c>
      <c r="R283" s="54" t="str">
        <v>R.2.009А.3</v>
      </c>
      <c r="S283" s="55" t="str">
        <v>Розеточная группа Второй этаж Пом. №009А</v>
      </c>
      <c r="T283" s="56">
        <v>0.06</v>
      </c>
      <c r="U283" s="56">
        <v>0.28000000000000003</v>
      </c>
      <c r="V283" s="42" t="str">
        <v>L3</v>
      </c>
      <c r="W283" s="57" t="str">
        <v>ok</v>
      </c>
      <c r="X283" s="58" t="str">
        <v/>
      </c>
      <c r="Y283" s="75" t="str">
        <v/>
      </c>
      <c r="Z283" s="59">
        <v>0.28000000000000003</v>
      </c>
      <c r="AA283" s="61">
        <v>6</v>
      </c>
      <c r="AB283" s="61">
        <v>25</v>
      </c>
      <c r="AC283" s="61" t="str">
        <v/>
      </c>
      <c r="AD283" s="62" t="str">
        <v>QFD23</v>
      </c>
      <c r="AE283" s="62" t="str">
        <v/>
      </c>
      <c r="AF283" s="34">
        <v>23</v>
      </c>
      <c r="AG283" s="34" t="str">
        <v>QFD23</v>
      </c>
      <c r="AH283" s="34" t="str">
        <v/>
      </c>
      <c r="AI283" s="34" t="str">
        <v/>
      </c>
      <c r="AJ283" s="34" t="str">
        <v>QFD23</v>
      </c>
      <c r="AK283" s="34">
        <v>1</v>
      </c>
      <c r="AL283" s="34" t="str">
        <v>R</v>
      </c>
      <c r="AM283" s="34">
        <v>30</v>
      </c>
      <c r="AN283" s="34">
        <v>0</v>
      </c>
      <c r="AO283" s="34">
        <v>16</v>
      </c>
      <c r="AP283" s="34">
        <v>25</v>
      </c>
      <c r="AQ283" s="34">
        <v>16</v>
      </c>
      <c r="AR283" s="34">
        <v>1</v>
      </c>
      <c r="AS283" s="34">
        <v>1</v>
      </c>
      <c r="AT283" s="34" t="str">
        <v>2P</v>
      </c>
      <c r="AU283" s="34">
        <v>16</v>
      </c>
      <c r="AV283" s="34" t="str">
        <v/>
      </c>
      <c r="AW283" s="34" t="str">
        <v/>
      </c>
      <c r="AX283" s="34" t="str">
        <v/>
      </c>
      <c r="AY283" s="34">
        <v>1</v>
      </c>
      <c r="AZ283" s="34" t="str">
        <v/>
      </c>
      <c r="BA283" s="34">
        <v>0</v>
      </c>
      <c r="BB283" s="34">
        <v>16</v>
      </c>
      <c r="BD283" s="34">
        <v>1</v>
      </c>
      <c r="BE283" s="34">
        <v>0</v>
      </c>
      <c r="BF283" s="34">
        <v>1</v>
      </c>
      <c r="BG283" s="34" t="str">
        <v/>
      </c>
      <c r="BH283" s="34" t="str">
        <v/>
      </c>
      <c r="BI283" s="34" t="str">
        <v/>
      </c>
      <c r="BJ283" s="34" t="str">
        <v/>
      </c>
      <c r="BK283" s="34" t="str">
        <v>SOCKET</v>
      </c>
      <c r="BL283" s="34">
        <v>1</v>
      </c>
      <c r="BM283" s="34" t="str">
        <v/>
      </c>
      <c r="BN283" s="34" t="str">
        <v/>
      </c>
      <c r="BO283" s="34" t="str">
        <v/>
      </c>
      <c r="BP283" s="34" t="str">
        <v/>
      </c>
      <c r="BQ283" s="34" t="str">
        <v>3х2,5</v>
      </c>
      <c r="BR283" s="34" t="str">
        <v/>
      </c>
      <c r="BS283" s="34" t="str">
        <v/>
      </c>
      <c r="BT283" s="34" t="str">
        <v/>
      </c>
      <c r="BU283" s="34">
        <v>0</v>
      </c>
      <c r="BV283" s="34">
        <v>304</v>
      </c>
      <c r="BW283" s="34">
        <v>1</v>
      </c>
      <c r="BX283" s="34">
        <v>0</v>
      </c>
      <c r="BY283" s="34" t="str">
        <v>Розетка</v>
      </c>
      <c r="BZ283">
        <v>11</v>
      </c>
      <c r="CA283" t="str">
        <v>линии</v>
      </c>
    </row>
    <row r="284" spans="1:79" x14ac:dyDescent="0.3">
      <c r="A284" s="39" t="str">
        <v>ЩР-2</v>
      </c>
      <c r="B284" s="42">
        <v>36</v>
      </c>
      <c r="C284" s="42">
        <v>3</v>
      </c>
      <c r="D284" s="75" t="str">
        <v/>
      </c>
      <c r="E284" s="75" t="str">
        <v>авто</v>
      </c>
      <c r="F284" s="76" t="str">
        <v/>
      </c>
      <c r="G284" s="47" t="str">
        <v>QFD24</v>
      </c>
      <c r="H284" s="47" t="str">
        <v>2P С16А 30мА</v>
      </c>
      <c r="I284" s="75" t="str">
        <v/>
      </c>
      <c r="J284" s="76" t="str">
        <v/>
      </c>
      <c r="K284" s="76" t="str">
        <v/>
      </c>
      <c r="L284" s="75" t="str">
        <v/>
      </c>
      <c r="M284" s="49" t="str">
        <v/>
      </c>
      <c r="N284" s="76" t="str">
        <v/>
      </c>
      <c r="O284" s="49" t="str">
        <v/>
      </c>
      <c r="P284" s="77" t="str">
        <v>XT24</v>
      </c>
      <c r="Q284" s="53" t="str">
        <v>ВВГнг(А)-LS (3х2,5) L=59-0,24%</v>
      </c>
      <c r="R284" s="54" t="str">
        <v>R.2.020А.2</v>
      </c>
      <c r="S284" s="55" t="str">
        <v>Розеточная группа Второй этаж Пом. №020А</v>
      </c>
      <c r="T284" s="56">
        <v>0.12</v>
      </c>
      <c r="U284" s="56">
        <v>0.55000000000000004</v>
      </c>
      <c r="V284" s="42" t="str">
        <v>L3</v>
      </c>
      <c r="W284" s="57" t="str">
        <v>ok</v>
      </c>
      <c r="X284" s="58" t="str">
        <v/>
      </c>
      <c r="Y284" s="75" t="str">
        <v/>
      </c>
      <c r="Z284" s="59">
        <v>0.55000000000000004</v>
      </c>
      <c r="AA284" s="61">
        <v>6</v>
      </c>
      <c r="AB284" s="61">
        <v>25</v>
      </c>
      <c r="AC284" s="61" t="str">
        <v/>
      </c>
      <c r="AD284" s="62" t="str">
        <v>QFD24 → XT24</v>
      </c>
      <c r="AE284" s="62" t="str">
        <v/>
      </c>
      <c r="AF284" s="34">
        <v>24</v>
      </c>
      <c r="AG284" s="34" t="str">
        <v>QFD24</v>
      </c>
      <c r="AH284" s="34" t="str">
        <v/>
      </c>
      <c r="AI284" s="34" t="str">
        <v/>
      </c>
      <c r="AJ284" s="34" t="str">
        <v>QFD24</v>
      </c>
      <c r="AK284" s="34">
        <v>1</v>
      </c>
      <c r="AL284" s="34" t="str">
        <v>R</v>
      </c>
      <c r="AM284" s="34">
        <v>30</v>
      </c>
      <c r="AN284" s="34">
        <v>0</v>
      </c>
      <c r="AO284" s="34">
        <v>16</v>
      </c>
      <c r="AP284" s="34">
        <v>25</v>
      </c>
      <c r="AQ284" s="34">
        <v>16</v>
      </c>
      <c r="AR284" s="34">
        <v>1</v>
      </c>
      <c r="AS284" s="34">
        <v>1</v>
      </c>
      <c r="AT284" s="34" t="str">
        <v>2P</v>
      </c>
      <c r="AU284" s="34">
        <v>16</v>
      </c>
      <c r="AV284" s="34" t="str">
        <v/>
      </c>
      <c r="AW284" s="34" t="str">
        <v/>
      </c>
      <c r="AX284" s="34" t="str">
        <v/>
      </c>
      <c r="AY284" s="34">
        <v>1</v>
      </c>
      <c r="AZ284" s="34" t="str">
        <v/>
      </c>
      <c r="BA284" s="34">
        <v>0</v>
      </c>
      <c r="BB284" s="34">
        <v>16</v>
      </c>
      <c r="BD284" s="34">
        <v>1</v>
      </c>
      <c r="BE284" s="34">
        <v>0</v>
      </c>
      <c r="BF284" s="34">
        <v>1</v>
      </c>
      <c r="BG284" s="34" t="str">
        <v/>
      </c>
      <c r="BH284" s="34" t="str">
        <v/>
      </c>
      <c r="BI284" s="34" t="str">
        <v/>
      </c>
      <c r="BJ284" s="34" t="str">
        <v/>
      </c>
      <c r="BK284" s="34" t="str">
        <v>SOCKET</v>
      </c>
      <c r="BL284" s="34">
        <v>1</v>
      </c>
      <c r="BM284" s="34" t="str">
        <v/>
      </c>
      <c r="BN284" s="34" t="str">
        <v/>
      </c>
      <c r="BO284" s="34" t="str">
        <v/>
      </c>
      <c r="BP284" s="34" t="str">
        <v/>
      </c>
      <c r="BQ284" s="34" t="str">
        <v>3х2,5</v>
      </c>
      <c r="BR284" s="34" t="str">
        <v/>
      </c>
      <c r="BS284" s="34" t="str">
        <v/>
      </c>
      <c r="BT284" s="34" t="str">
        <v/>
      </c>
      <c r="BU284" s="34">
        <v>0</v>
      </c>
      <c r="BV284" s="34">
        <v>305</v>
      </c>
      <c r="BW284" s="34">
        <v>1</v>
      </c>
      <c r="BX284" s="34">
        <v>0</v>
      </c>
      <c r="BY284" s="34" t="str">
        <v>Розетка</v>
      </c>
      <c r="BZ284">
        <v>11</v>
      </c>
      <c r="CA284" t="str">
        <v>линии</v>
      </c>
    </row>
    <row r="285" spans="1:79" x14ac:dyDescent="0.3">
      <c r="A285" s="39" t="str">
        <v>ЩР-2</v>
      </c>
      <c r="B285" s="42">
        <v>37</v>
      </c>
      <c r="C285" s="42">
        <v>3</v>
      </c>
      <c r="D285" s="75" t="str">
        <v/>
      </c>
      <c r="E285" s="75" t="str">
        <v>авто</v>
      </c>
      <c r="F285" s="76" t="str">
        <v/>
      </c>
      <c r="G285" s="47" t="str">
        <v>QFD25</v>
      </c>
      <c r="H285" s="47" t="str">
        <v>2P С16А 30мА</v>
      </c>
      <c r="I285" s="75" t="str">
        <v/>
      </c>
      <c r="J285" s="76" t="str">
        <v/>
      </c>
      <c r="K285" s="76" t="str">
        <v/>
      </c>
      <c r="L285" s="75" t="str">
        <v/>
      </c>
      <c r="M285" s="49" t="str">
        <v/>
      </c>
      <c r="N285" s="76" t="str">
        <v/>
      </c>
      <c r="O285" s="49" t="str">
        <v/>
      </c>
      <c r="P285" s="77" t="str">
        <v>XT25</v>
      </c>
      <c r="Q285" s="53" t="str">
        <v>ВВГнг(А)-LS (3х2,5) L=22-0,05%</v>
      </c>
      <c r="R285" s="54" t="str">
        <v>R.3.001T.1</v>
      </c>
      <c r="S285" s="55" t="str">
        <v>Розеточная группа Третий этаж Пом. №001T</v>
      </c>
      <c r="T285" s="56">
        <v>0.06</v>
      </c>
      <c r="U285" s="56">
        <v>0.28000000000000003</v>
      </c>
      <c r="V285" s="42" t="str">
        <v>L1</v>
      </c>
      <c r="W285" s="57" t="str">
        <v>ok</v>
      </c>
      <c r="X285" s="58" t="str">
        <v/>
      </c>
      <c r="Y285" s="75" t="str">
        <v/>
      </c>
      <c r="Z285" s="59">
        <v>0.28000000000000003</v>
      </c>
      <c r="AA285" s="61">
        <v>6</v>
      </c>
      <c r="AB285" s="61">
        <v>25</v>
      </c>
      <c r="AC285" s="61" t="str">
        <v/>
      </c>
      <c r="AD285" s="62" t="str">
        <v>QFD25 → XT25</v>
      </c>
      <c r="AE285" s="62" t="str">
        <v/>
      </c>
      <c r="AF285" s="34">
        <v>25</v>
      </c>
      <c r="AG285" s="34" t="str">
        <v>QFD25</v>
      </c>
      <c r="AH285" s="34" t="str">
        <v/>
      </c>
      <c r="AI285" s="34" t="str">
        <v/>
      </c>
      <c r="AJ285" s="34" t="str">
        <v>QFD25</v>
      </c>
      <c r="AK285" s="34">
        <v>1</v>
      </c>
      <c r="AL285" s="34" t="str">
        <v>R</v>
      </c>
      <c r="AM285" s="34">
        <v>30</v>
      </c>
      <c r="AN285" s="34">
        <v>0</v>
      </c>
      <c r="AO285" s="34">
        <v>16</v>
      </c>
      <c r="AP285" s="34">
        <v>25</v>
      </c>
      <c r="AQ285" s="34">
        <v>16</v>
      </c>
      <c r="AR285" s="34">
        <v>1</v>
      </c>
      <c r="AS285" s="34">
        <v>1</v>
      </c>
      <c r="AT285" s="34" t="str">
        <v>2P</v>
      </c>
      <c r="AU285" s="34">
        <v>16</v>
      </c>
      <c r="AV285" s="34" t="str">
        <v/>
      </c>
      <c r="AW285" s="34" t="str">
        <v/>
      </c>
      <c r="AX285" s="34" t="str">
        <v/>
      </c>
      <c r="AY285" s="34">
        <v>1</v>
      </c>
      <c r="AZ285" s="34" t="str">
        <v/>
      </c>
      <c r="BA285" s="34">
        <v>0</v>
      </c>
      <c r="BB285" s="34">
        <v>16</v>
      </c>
      <c r="BD285" s="34">
        <v>1</v>
      </c>
      <c r="BE285" s="34">
        <v>0</v>
      </c>
      <c r="BF285" s="34">
        <v>1</v>
      </c>
      <c r="BG285" s="34" t="str">
        <v/>
      </c>
      <c r="BH285" s="34" t="str">
        <v/>
      </c>
      <c r="BI285" s="34" t="str">
        <v/>
      </c>
      <c r="BJ285" s="34" t="str">
        <v/>
      </c>
      <c r="BK285" s="34" t="str">
        <v>SOCKET</v>
      </c>
      <c r="BL285" s="34">
        <v>1</v>
      </c>
      <c r="BM285" s="34" t="str">
        <v/>
      </c>
      <c r="BN285" s="34" t="str">
        <v/>
      </c>
      <c r="BO285" s="34" t="str">
        <v/>
      </c>
      <c r="BP285" s="34" t="str">
        <v/>
      </c>
      <c r="BQ285" s="34" t="str">
        <v>3х2,5</v>
      </c>
      <c r="BR285" s="34" t="str">
        <v/>
      </c>
      <c r="BS285" s="34" t="str">
        <v/>
      </c>
      <c r="BT285" s="34" t="str">
        <v/>
      </c>
      <c r="BU285" s="34">
        <v>0</v>
      </c>
      <c r="BV285" s="34">
        <v>306</v>
      </c>
      <c r="BW285" s="34">
        <v>1</v>
      </c>
      <c r="BX285" s="34">
        <v>0</v>
      </c>
      <c r="BY285" s="34" t="str">
        <v>Розетка</v>
      </c>
      <c r="BZ285">
        <v>11</v>
      </c>
      <c r="CA285" t="str">
        <v>линии</v>
      </c>
    </row>
    <row r="286" spans="1:79" x14ac:dyDescent="0.3">
      <c r="A286" s="39" t="str">
        <v>ЩР-2</v>
      </c>
      <c r="B286" s="42">
        <v>38</v>
      </c>
      <c r="C286" s="42">
        <v>3</v>
      </c>
      <c r="D286" s="75" t="str">
        <v/>
      </c>
      <c r="E286" s="75" t="str">
        <v>авто</v>
      </c>
      <c r="F286" s="76" t="str">
        <v/>
      </c>
      <c r="G286" s="47" t="str">
        <v>QFD26</v>
      </c>
      <c r="H286" s="47" t="str">
        <v>2P С16А 30мА</v>
      </c>
      <c r="I286" s="75" t="str">
        <v/>
      </c>
      <c r="J286" s="76" t="str">
        <v/>
      </c>
      <c r="K286" s="76" t="str">
        <v/>
      </c>
      <c r="L286" s="75" t="str">
        <v/>
      </c>
      <c r="M286" s="49" t="str">
        <v/>
      </c>
      <c r="N286" s="76" t="str">
        <v/>
      </c>
      <c r="O286" s="49" t="str">
        <v/>
      </c>
      <c r="P286" s="77" t="str">
        <v/>
      </c>
      <c r="Q286" s="53" t="str">
        <v>ВВГнг(А)-LS (3х2,5) L=41-0,25%</v>
      </c>
      <c r="R286" s="54" t="str">
        <v>R.3.001Б.1</v>
      </c>
      <c r="S286" s="55" t="str">
        <v>Розеточная группа Третий этаж Пом. №001Б</v>
      </c>
      <c r="T286" s="56">
        <v>0.18</v>
      </c>
      <c r="U286" s="56">
        <v>0.83</v>
      </c>
      <c r="V286" s="42" t="str">
        <v>L2</v>
      </c>
      <c r="W286" s="57" t="str">
        <v>ok</v>
      </c>
      <c r="X286" s="58" t="str">
        <v/>
      </c>
      <c r="Y286" s="75" t="str">
        <v/>
      </c>
      <c r="Z286" s="59">
        <v>0.83</v>
      </c>
      <c r="AA286" s="61">
        <v>6</v>
      </c>
      <c r="AB286" s="61">
        <v>25</v>
      </c>
      <c r="AC286" s="61" t="str">
        <v/>
      </c>
      <c r="AD286" s="62" t="str">
        <v>QFD26</v>
      </c>
      <c r="AE286" s="62" t="str">
        <v/>
      </c>
      <c r="AF286" s="34">
        <v>26</v>
      </c>
      <c r="AG286" s="34" t="str">
        <v>QFD26</v>
      </c>
      <c r="AH286" s="34" t="str">
        <v/>
      </c>
      <c r="AI286" s="34" t="str">
        <v/>
      </c>
      <c r="AJ286" s="34" t="str">
        <v>QFD26</v>
      </c>
      <c r="AK286" s="34">
        <v>1</v>
      </c>
      <c r="AL286" s="34" t="str">
        <v>R</v>
      </c>
      <c r="AM286" s="34">
        <v>30</v>
      </c>
      <c r="AN286" s="34">
        <v>0</v>
      </c>
      <c r="AO286" s="34">
        <v>16</v>
      </c>
      <c r="AP286" s="34">
        <v>25</v>
      </c>
      <c r="AQ286" s="34">
        <v>16</v>
      </c>
      <c r="AR286" s="34">
        <v>1</v>
      </c>
      <c r="AS286" s="34">
        <v>1</v>
      </c>
      <c r="AT286" s="34" t="str">
        <v>2P</v>
      </c>
      <c r="AU286" s="34">
        <v>16</v>
      </c>
      <c r="AV286" s="34" t="str">
        <v/>
      </c>
      <c r="AW286" s="34" t="str">
        <v/>
      </c>
      <c r="AX286" s="34" t="str">
        <v/>
      </c>
      <c r="AY286" s="34">
        <v>1</v>
      </c>
      <c r="AZ286" s="34" t="str">
        <v/>
      </c>
      <c r="BA286" s="34">
        <v>0</v>
      </c>
      <c r="BB286" s="34">
        <v>16</v>
      </c>
      <c r="BD286" s="34">
        <v>1</v>
      </c>
      <c r="BE286" s="34">
        <v>0</v>
      </c>
      <c r="BF286" s="34">
        <v>1</v>
      </c>
      <c r="BG286" s="34" t="str">
        <v/>
      </c>
      <c r="BH286" s="34" t="str">
        <v/>
      </c>
      <c r="BI286" s="34" t="str">
        <v/>
      </c>
      <c r="BJ286" s="34" t="str">
        <v/>
      </c>
      <c r="BK286" s="34" t="str">
        <v>SOCKET</v>
      </c>
      <c r="BL286" s="34">
        <v>1</v>
      </c>
      <c r="BM286" s="34" t="str">
        <v/>
      </c>
      <c r="BN286" s="34" t="str">
        <v/>
      </c>
      <c r="BO286" s="34" t="str">
        <v/>
      </c>
      <c r="BP286" s="34" t="str">
        <v/>
      </c>
      <c r="BQ286" s="34" t="str">
        <v>3х2,5</v>
      </c>
      <c r="BR286" s="34" t="str">
        <v/>
      </c>
      <c r="BS286" s="34" t="str">
        <v/>
      </c>
      <c r="BT286" s="34" t="str">
        <v/>
      </c>
      <c r="BU286" s="34">
        <v>0</v>
      </c>
      <c r="BV286" s="34">
        <v>307</v>
      </c>
      <c r="BW286" s="34">
        <v>1</v>
      </c>
      <c r="BX286" s="34">
        <v>0</v>
      </c>
      <c r="BY286" s="34" t="str">
        <v>Розетка</v>
      </c>
      <c r="BZ286">
        <v>11</v>
      </c>
      <c r="CA286" t="str">
        <v>линии</v>
      </c>
    </row>
    <row r="287" spans="1:79" x14ac:dyDescent="0.3">
      <c r="A287" s="39" t="str">
        <v>ЩР-2</v>
      </c>
      <c r="B287" s="42">
        <v>40</v>
      </c>
      <c r="C287" s="42">
        <v>3</v>
      </c>
      <c r="D287" s="75" t="str">
        <v/>
      </c>
      <c r="E287" s="75" t="str">
        <v>авто</v>
      </c>
      <c r="F287" s="76" t="str">
        <v/>
      </c>
      <c r="G287" s="47" t="str">
        <v>QF27</v>
      </c>
      <c r="H287" s="47" t="str">
        <v>1P С16А</v>
      </c>
      <c r="I287" s="75" t="str">
        <v/>
      </c>
      <c r="J287" s="76" t="str">
        <v/>
      </c>
      <c r="K287" s="76" t="str">
        <v/>
      </c>
      <c r="L287" s="75" t="str">
        <v/>
      </c>
      <c r="M287" s="49" t="str">
        <v/>
      </c>
      <c r="N287" s="76" t="str">
        <v/>
      </c>
      <c r="O287" s="49" t="str">
        <v/>
      </c>
      <c r="P287" s="77" t="str">
        <v/>
      </c>
      <c r="Q287" s="53" t="str">
        <v>ВВГнг(А)-LS (3х2,5) L=38-1,94%</v>
      </c>
      <c r="R287" s="54" t="str">
        <v>ШТК-2</v>
      </c>
      <c r="S287" s="55" t="str">
        <v>Шкаф телекоммуникационный ШТК-2  Тех. Этаж Пом №004T</v>
      </c>
      <c r="T287" s="56">
        <v>1.5</v>
      </c>
      <c r="U287" s="56">
        <v>6.84</v>
      </c>
      <c r="V287" s="42" t="str">
        <v>L2</v>
      </c>
      <c r="W287" s="57" t="str">
        <v>ok</v>
      </c>
      <c r="X287" s="58" t="str">
        <v/>
      </c>
      <c r="Y287" s="75" t="str">
        <v/>
      </c>
      <c r="Z287" s="59">
        <v>6.84</v>
      </c>
      <c r="AA287" s="61">
        <v>10</v>
      </c>
      <c r="AB287" s="61">
        <v>25</v>
      </c>
      <c r="AC287" s="61" t="str">
        <v/>
      </c>
      <c r="AD287" s="62" t="str">
        <v>QF27</v>
      </c>
      <c r="AE287" s="62" t="str">
        <v/>
      </c>
      <c r="AF287" s="34">
        <v>27</v>
      </c>
      <c r="AG287" s="34" t="str">
        <v>QF27</v>
      </c>
      <c r="AH287" s="34" t="str">
        <v/>
      </c>
      <c r="AI287" s="34" t="str">
        <v/>
      </c>
      <c r="AJ287" s="34" t="str">
        <v>QF27</v>
      </c>
      <c r="AK287" s="34">
        <v>1</v>
      </c>
      <c r="AL287" s="34" t="str">
        <v>ШТК-2</v>
      </c>
      <c r="AM287" s="34">
        <v>0</v>
      </c>
      <c r="AN287" s="34">
        <v>0</v>
      </c>
      <c r="AO287" s="34">
        <v>16</v>
      </c>
      <c r="AP287" s="34">
        <v>25</v>
      </c>
      <c r="AQ287" s="34">
        <v>16</v>
      </c>
      <c r="AR287" s="34">
        <v>1</v>
      </c>
      <c r="AS287" s="34">
        <v>0</v>
      </c>
      <c r="AT287" s="34" t="str">
        <v>1P</v>
      </c>
      <c r="AU287" s="34">
        <v>16</v>
      </c>
      <c r="AV287" s="34" t="str">
        <v/>
      </c>
      <c r="AW287" s="34" t="str">
        <v/>
      </c>
      <c r="AX287" s="34" t="str">
        <v/>
      </c>
      <c r="AY287" s="34">
        <v>1</v>
      </c>
      <c r="AZ287" s="34" t="str">
        <v/>
      </c>
      <c r="BA287" s="34">
        <v>0</v>
      </c>
      <c r="BB287" s="34">
        <v>16</v>
      </c>
      <c r="BD287" s="34">
        <v>1</v>
      </c>
      <c r="BE287" s="34">
        <v>0</v>
      </c>
      <c r="BF287" s="34">
        <v>0</v>
      </c>
      <c r="BG287" s="34" t="str">
        <v/>
      </c>
      <c r="BH287" s="34" t="str">
        <v/>
      </c>
      <c r="BI287" s="34" t="str">
        <v/>
      </c>
      <c r="BJ287" s="34" t="str">
        <v/>
      </c>
      <c r="BK287" s="34" t="str">
        <v>BOX</v>
      </c>
      <c r="BL287" s="34">
        <v>1</v>
      </c>
      <c r="BM287" s="34" t="str">
        <v/>
      </c>
      <c r="BN287" s="34" t="str">
        <v/>
      </c>
      <c r="BO287" s="34" t="str">
        <v/>
      </c>
      <c r="BP287" s="34" t="str">
        <v/>
      </c>
      <c r="BQ287" s="34" t="str">
        <v>3х2,5</v>
      </c>
      <c r="BR287" s="34" t="str">
        <v/>
      </c>
      <c r="BS287" s="34" t="str">
        <v/>
      </c>
      <c r="BT287" s="34" t="str">
        <v/>
      </c>
      <c r="BU287" s="34">
        <v>0</v>
      </c>
      <c r="BV287" s="34">
        <v>308</v>
      </c>
      <c r="BW287" s="34">
        <v>1</v>
      </c>
      <c r="BX287" s="34">
        <v>0</v>
      </c>
      <c r="BY287" s="34" t="str">
        <v/>
      </c>
      <c r="BZ287">
        <v>11</v>
      </c>
      <c r="CA287" t="str">
        <v>линии</v>
      </c>
    </row>
    <row r="288" spans="1:79" x14ac:dyDescent="0.3">
      <c r="A288" s="39" t="str">
        <v>ЩР-2</v>
      </c>
      <c r="B288" s="42">
        <v>41</v>
      </c>
      <c r="C288" s="42">
        <v>3</v>
      </c>
      <c r="D288" s="75" t="str">
        <v/>
      </c>
      <c r="E288" s="75" t="str">
        <v>авто</v>
      </c>
      <c r="F288" s="76" t="str">
        <v/>
      </c>
      <c r="G288" s="47" t="str">
        <v>QF28</v>
      </c>
      <c r="H288" s="47" t="str">
        <v>1P С16А</v>
      </c>
      <c r="I288" s="75" t="str">
        <v/>
      </c>
      <c r="J288" s="76" t="str">
        <v/>
      </c>
      <c r="K288" s="76" t="str">
        <v/>
      </c>
      <c r="L288" s="75" t="str">
        <v/>
      </c>
      <c r="M288" s="49" t="str">
        <v/>
      </c>
      <c r="N288" s="76" t="str">
        <v/>
      </c>
      <c r="O288" s="49" t="str">
        <v/>
      </c>
      <c r="P288" s="77" t="str">
        <v/>
      </c>
      <c r="Q288" s="53" t="str">
        <v>ВВГнг(А)-LS (3х2,5) L=39-3,57%</v>
      </c>
      <c r="R288" s="54" t="str">
        <v>ШТК-ЛВС.3</v>
      </c>
      <c r="S288" s="55" t="str">
        <v>Шкаф телекоммуникационный ШТК-2  Тех. Этаж Пом №004T</v>
      </c>
      <c r="T288" s="56">
        <v>2.7</v>
      </c>
      <c r="U288" s="56">
        <v>12.31</v>
      </c>
      <c r="V288" s="42" t="str">
        <v>L1</v>
      </c>
      <c r="W288" s="57" t="str">
        <v>ok</v>
      </c>
      <c r="X288" s="58" t="str">
        <v/>
      </c>
      <c r="Y288" s="75" t="str">
        <v/>
      </c>
      <c r="Z288" s="59">
        <v>12.31</v>
      </c>
      <c r="AA288" s="61">
        <v>16</v>
      </c>
      <c r="AB288" s="61">
        <v>25</v>
      </c>
      <c r="AC288" s="61" t="str">
        <v/>
      </c>
      <c r="AD288" s="62" t="str">
        <v>QF28</v>
      </c>
      <c r="AE288" s="62" t="str">
        <v>потери 5,4 % &gt; 4 %</v>
      </c>
      <c r="AF288" s="34">
        <v>28</v>
      </c>
      <c r="AG288" s="34" t="str">
        <v>QF28</v>
      </c>
      <c r="AH288" s="34" t="str">
        <v/>
      </c>
      <c r="AI288" s="34" t="str">
        <v/>
      </c>
      <c r="AJ288" s="34" t="str">
        <v>QF28</v>
      </c>
      <c r="AK288" s="34">
        <v>1</v>
      </c>
      <c r="AL288" s="34" t="str">
        <v>ШТК-ЛВС</v>
      </c>
      <c r="AM288" s="34">
        <v>0</v>
      </c>
      <c r="AN288" s="34">
        <v>0</v>
      </c>
      <c r="AO288" s="34">
        <v>16</v>
      </c>
      <c r="AP288" s="34">
        <v>25</v>
      </c>
      <c r="AQ288" s="34">
        <v>16</v>
      </c>
      <c r="AR288" s="34">
        <v>1</v>
      </c>
      <c r="AS288" s="34">
        <v>0</v>
      </c>
      <c r="AT288" s="34" t="str">
        <v>1P</v>
      </c>
      <c r="AU288" s="34">
        <v>16</v>
      </c>
      <c r="AV288" s="34" t="str">
        <v/>
      </c>
      <c r="AW288" s="34" t="str">
        <v/>
      </c>
      <c r="AX288" s="34" t="str">
        <v/>
      </c>
      <c r="AY288" s="34">
        <v>1</v>
      </c>
      <c r="AZ288" s="34" t="str">
        <v/>
      </c>
      <c r="BA288" s="34">
        <v>0</v>
      </c>
      <c r="BB288" s="34">
        <v>16</v>
      </c>
      <c r="BD288" s="34">
        <v>1</v>
      </c>
      <c r="BE288" s="34">
        <v>0</v>
      </c>
      <c r="BF288" s="34">
        <v>0</v>
      </c>
      <c r="BG288" s="34" t="str">
        <v/>
      </c>
      <c r="BH288" s="34" t="str">
        <v/>
      </c>
      <c r="BI288" s="34" t="str">
        <v/>
      </c>
      <c r="BJ288" s="34" t="str">
        <v/>
      </c>
      <c r="BK288" s="34" t="str">
        <v>BOX</v>
      </c>
      <c r="BL288" s="34">
        <v>1</v>
      </c>
      <c r="BM288" s="34" t="str">
        <v/>
      </c>
      <c r="BN288" s="34" t="str">
        <v/>
      </c>
      <c r="BO288" s="34" t="str">
        <v/>
      </c>
      <c r="BP288" s="34" t="str">
        <v/>
      </c>
      <c r="BQ288" s="34" t="str">
        <v>3х2,5</v>
      </c>
      <c r="BR288" s="34" t="str">
        <v/>
      </c>
      <c r="BS288" s="34" t="str">
        <v/>
      </c>
      <c r="BT288" s="34" t="str">
        <v/>
      </c>
      <c r="BU288" s="34">
        <v>1</v>
      </c>
      <c r="BV288" s="34">
        <v>309</v>
      </c>
      <c r="BW288" s="34">
        <v>1</v>
      </c>
      <c r="BX288" s="34">
        <v>0</v>
      </c>
      <c r="BY288" s="34">
        <v>0</v>
      </c>
      <c r="BZ288">
        <v>11</v>
      </c>
      <c r="CA288" t="str">
        <v>линии</v>
      </c>
    </row>
    <row r="289" spans="1:79" x14ac:dyDescent="0.3">
      <c r="A289" s="39" t="str">
        <v>ЩР-2</v>
      </c>
      <c r="B289" s="42">
        <v>43</v>
      </c>
      <c r="C289" s="42">
        <v>3</v>
      </c>
      <c r="D289" s="75" t="str">
        <v/>
      </c>
      <c r="E289" s="75" t="str">
        <v>авто</v>
      </c>
      <c r="F289" s="76" t="str">
        <v/>
      </c>
      <c r="G289" s="47" t="str">
        <v>QF29</v>
      </c>
      <c r="H289" s="47" t="str">
        <v>1P С16А</v>
      </c>
      <c r="I289" s="75" t="str">
        <v/>
      </c>
      <c r="J289" s="76" t="str">
        <v/>
      </c>
      <c r="K289" s="76" t="str">
        <v/>
      </c>
      <c r="L289" s="75" t="str">
        <v/>
      </c>
      <c r="M289" s="49" t="str">
        <v/>
      </c>
      <c r="N289" s="76" t="str">
        <v/>
      </c>
      <c r="O289" s="49" t="str">
        <v/>
      </c>
      <c r="P289" s="77" t="str">
        <v/>
      </c>
      <c r="Q289" s="53" t="str">
        <v>ВВГнг(А)-LS (3х2,5) L=8-0,14%</v>
      </c>
      <c r="R289" s="54" t="str">
        <v>ШКД.3</v>
      </c>
      <c r="S289" s="55" t="str">
        <v>Щит контроля доступа ЩКД-2  Тех. Этаж Пом №001T</v>
      </c>
      <c r="T289" s="56">
        <v>0.5</v>
      </c>
      <c r="U289" s="56">
        <v>2.2799999999999998</v>
      </c>
      <c r="V289" s="42" t="str">
        <v>L3</v>
      </c>
      <c r="W289" s="57" t="str">
        <v>ok</v>
      </c>
      <c r="X289" s="58" t="str">
        <v/>
      </c>
      <c r="Y289" s="75" t="str">
        <v/>
      </c>
      <c r="Z289" s="59">
        <v>2.2799999999999998</v>
      </c>
      <c r="AA289" s="61">
        <v>6</v>
      </c>
      <c r="AB289" s="61">
        <v>25</v>
      </c>
      <c r="AC289" s="61" t="str">
        <v/>
      </c>
      <c r="AD289" s="62" t="str">
        <v>QF29</v>
      </c>
      <c r="AE289" s="62" t="str">
        <v/>
      </c>
      <c r="AF289" s="34">
        <v>29</v>
      </c>
      <c r="AG289" s="34" t="str">
        <v>QF29</v>
      </c>
      <c r="AH289" s="34" t="str">
        <v/>
      </c>
      <c r="AI289" s="34" t="str">
        <v/>
      </c>
      <c r="AJ289" s="34" t="str">
        <v>QF29</v>
      </c>
      <c r="AK289" s="34">
        <v>1</v>
      </c>
      <c r="AL289" s="34" t="str">
        <v>ШКД</v>
      </c>
      <c r="AM289" s="34">
        <v>0</v>
      </c>
      <c r="AN289" s="34">
        <v>0</v>
      </c>
      <c r="AO289" s="34">
        <v>16</v>
      </c>
      <c r="AP289" s="34">
        <v>25</v>
      </c>
      <c r="AQ289" s="34">
        <v>16</v>
      </c>
      <c r="AR289" s="34">
        <v>1</v>
      </c>
      <c r="AS289" s="34">
        <v>0</v>
      </c>
      <c r="AT289" s="34" t="str">
        <v>1P</v>
      </c>
      <c r="AU289" s="34">
        <v>16</v>
      </c>
      <c r="AV289" s="34" t="str">
        <v/>
      </c>
      <c r="AW289" s="34" t="str">
        <v/>
      </c>
      <c r="AX289" s="34" t="str">
        <v/>
      </c>
      <c r="AY289" s="34">
        <v>1</v>
      </c>
      <c r="AZ289" s="34" t="str">
        <v/>
      </c>
      <c r="BA289" s="34">
        <v>0</v>
      </c>
      <c r="BB289" s="34">
        <v>16</v>
      </c>
      <c r="BD289" s="34">
        <v>1</v>
      </c>
      <c r="BE289" s="34">
        <v>0</v>
      </c>
      <c r="BF289" s="34">
        <v>0</v>
      </c>
      <c r="BG289" s="34" t="str">
        <v/>
      </c>
      <c r="BH289" s="34" t="str">
        <v/>
      </c>
      <c r="BI289" s="34" t="str">
        <v/>
      </c>
      <c r="BJ289" s="34" t="str">
        <v/>
      </c>
      <c r="BK289" s="34" t="str">
        <v>BOX</v>
      </c>
      <c r="BL289" s="34">
        <v>1</v>
      </c>
      <c r="BM289" s="34" t="str">
        <v/>
      </c>
      <c r="BN289" s="34" t="str">
        <v/>
      </c>
      <c r="BO289" s="34" t="str">
        <v/>
      </c>
      <c r="BP289" s="34" t="str">
        <v/>
      </c>
      <c r="BQ289" s="34" t="str">
        <v>3х2,5</v>
      </c>
      <c r="BR289" s="34" t="str">
        <v/>
      </c>
      <c r="BS289" s="34" t="str">
        <v/>
      </c>
      <c r="BT289" s="34" t="str">
        <v/>
      </c>
      <c r="BU289" s="34">
        <v>0</v>
      </c>
      <c r="BV289" s="34">
        <v>310</v>
      </c>
      <c r="BW289" s="34">
        <v>1</v>
      </c>
      <c r="BX289" s="34">
        <v>0</v>
      </c>
      <c r="BY289" s="34" t="str">
        <v/>
      </c>
      <c r="BZ289">
        <v>11</v>
      </c>
      <c r="CA289" t="str">
        <v>линии</v>
      </c>
    </row>
    <row r="290" spans="1:79" x14ac:dyDescent="0.3">
      <c r="A290" s="39" t="str">
        <v>ЩС-Б</v>
      </c>
      <c r="B290" s="42">
        <v>2</v>
      </c>
      <c r="C290" s="42">
        <v>1</v>
      </c>
      <c r="D290" s="75" t="str">
        <v/>
      </c>
      <c r="E290" s="75" t="str">
        <v/>
      </c>
      <c r="F290" s="76" t="str">
        <v/>
      </c>
      <c r="G290" s="47" t="str">
        <v/>
      </c>
      <c r="H290" s="47" t="str">
        <v/>
      </c>
      <c r="I290" s="75" t="str">
        <v/>
      </c>
      <c r="J290" s="76" t="str">
        <v/>
      </c>
      <c r="K290" s="76" t="str">
        <v/>
      </c>
      <c r="L290" s="75" t="str">
        <v/>
      </c>
      <c r="M290" s="49" t="str">
        <v/>
      </c>
      <c r="N290" s="76" t="str">
        <v/>
      </c>
      <c r="O290" s="49" t="str">
        <v/>
      </c>
      <c r="P290" s="77" t="str">
        <v/>
      </c>
      <c r="Q290" s="53" t="str">
        <v/>
      </c>
      <c r="R290" s="54" t="str">
        <v>Ввод.1</v>
      </c>
      <c r="S290" s="55" t="str">
        <v>Вводной кабель Шлейф №1</v>
      </c>
      <c r="T290" s="56">
        <v>0</v>
      </c>
      <c r="U290" s="56">
        <v>0</v>
      </c>
      <c r="V290" s="42" t="str">
        <v>L1,L2,L3</v>
      </c>
      <c r="W290" s="57" t="str">
        <v/>
      </c>
      <c r="X290" s="58" t="str">
        <v/>
      </c>
      <c r="Y290" s="75" t="str">
        <v>вручную</v>
      </c>
      <c r="Z290" s="59" t="str">
        <v/>
      </c>
      <c r="AA290" s="61" t="str">
        <v/>
      </c>
      <c r="AB290" s="61">
        <v>50</v>
      </c>
      <c r="AC290" s="61" t="str">
        <v/>
      </c>
      <c r="AD290" s="62" t="str">
        <v/>
      </c>
      <c r="AE290" s="62" t="str">
        <v/>
      </c>
      <c r="AF290" s="34" t="str">
        <v/>
      </c>
      <c r="AG290" s="34" t="str">
        <v/>
      </c>
      <c r="AH290" s="34" t="str">
        <v/>
      </c>
      <c r="AI290" s="34" t="str">
        <v/>
      </c>
      <c r="AJ290" s="34" t="str">
        <v/>
      </c>
      <c r="AK290" s="34">
        <v>3</v>
      </c>
      <c r="AL290" s="34" t="str">
        <v>Ввод</v>
      </c>
      <c r="AM290" s="34">
        <v>0</v>
      </c>
      <c r="AN290" s="34">
        <v>0</v>
      </c>
      <c r="AO290" s="34" t="str">
        <v/>
      </c>
      <c r="AP290" s="34" t="str">
        <v/>
      </c>
      <c r="AQ290" s="34" t="str">
        <v/>
      </c>
      <c r="AR290" s="34" t="str">
        <v/>
      </c>
      <c r="AS290" s="34" t="str">
        <v/>
      </c>
      <c r="AT290" s="34" t="str">
        <v/>
      </c>
      <c r="AU290" s="34" t="str">
        <v/>
      </c>
      <c r="AV290" s="34" t="str">
        <v/>
      </c>
      <c r="AW290" s="34" t="str">
        <v/>
      </c>
      <c r="AX290" s="34" t="str">
        <v/>
      </c>
      <c r="AY290" s="34">
        <v>0</v>
      </c>
      <c r="AZ290" s="34" t="str">
        <v/>
      </c>
      <c r="BA290" s="34">
        <v>0</v>
      </c>
      <c r="BB290" s="34">
        <v>40</v>
      </c>
      <c r="BD290" s="34">
        <v>0</v>
      </c>
      <c r="BE290" s="34">
        <v>0</v>
      </c>
      <c r="BF290" s="34">
        <v>0</v>
      </c>
      <c r="BG290" s="34" t="str">
        <v/>
      </c>
      <c r="BH290" s="34" t="str">
        <v/>
      </c>
      <c r="BI290" s="34" t="str">
        <v/>
      </c>
      <c r="BJ290" s="34" t="str">
        <v/>
      </c>
      <c r="BK290" s="34" t="str">
        <v>BOX</v>
      </c>
      <c r="BL290" s="34">
        <v>1</v>
      </c>
      <c r="BM290" s="34" t="str">
        <v/>
      </c>
      <c r="BN290" s="34" t="str">
        <v/>
      </c>
      <c r="BO290" s="34" t="str">
        <v/>
      </c>
      <c r="BP290" s="34" t="str">
        <v/>
      </c>
      <c r="BQ290" s="34" t="str">
        <v/>
      </c>
      <c r="BR290" s="34" t="str">
        <v/>
      </c>
      <c r="BS290" s="34" t="str">
        <v/>
      </c>
      <c r="BT290" s="34" t="str">
        <v/>
      </c>
      <c r="BU290" s="34">
        <v>0</v>
      </c>
      <c r="BV290" s="34">
        <v>311</v>
      </c>
      <c r="BW290" s="34">
        <v>0</v>
      </c>
      <c r="BX290" s="34">
        <v>0</v>
      </c>
      <c r="BY290" s="34">
        <v>0</v>
      </c>
      <c r="BZ290">
        <v>12</v>
      </c>
      <c r="CA290" t="str">
        <v>вводной узел</v>
      </c>
    </row>
    <row r="291" spans="1:79" x14ac:dyDescent="0.3">
      <c r="A291" s="39" t="str">
        <v>ЩС-Б</v>
      </c>
      <c r="B291" s="42">
        <v>12</v>
      </c>
      <c r="C291" s="42">
        <v>1</v>
      </c>
      <c r="D291" s="75" t="str">
        <v/>
      </c>
      <c r="E291" s="75" t="str">
        <v>авто</v>
      </c>
      <c r="F291" s="76" t="str">
        <v/>
      </c>
      <c r="G291" s="47" t="str">
        <v>QF1</v>
      </c>
      <c r="H291" s="47" t="str">
        <v>3P С25А</v>
      </c>
      <c r="I291" s="75" t="str">
        <v/>
      </c>
      <c r="J291" s="76" t="str">
        <v/>
      </c>
      <c r="K291" s="76" t="str">
        <v/>
      </c>
      <c r="L291" s="75" t="str">
        <v/>
      </c>
      <c r="M291" s="49" t="str">
        <v/>
      </c>
      <c r="N291" s="76" t="str">
        <v/>
      </c>
      <c r="O291" s="49" t="str">
        <v/>
      </c>
      <c r="P291" s="77" t="str">
        <v>XT1</v>
      </c>
      <c r="Q291" s="53" t="str">
        <v>ВВГнг(А)-LS (5х4) L=21-0,93%</v>
      </c>
      <c r="R291" s="54" t="str">
        <v>Э.1</v>
      </c>
      <c r="S291" s="55" t="str">
        <v>Управляющий электрощит бассейна Подвальный этаж Пом. 002Тб</v>
      </c>
      <c r="T291" s="56">
        <v>12.45</v>
      </c>
      <c r="U291" s="56">
        <v>18.920000000000002</v>
      </c>
      <c r="V291" s="42" t="str">
        <v>L1,L2,L3</v>
      </c>
      <c r="W291" s="57" t="str">
        <v>ok</v>
      </c>
      <c r="X291" s="58" t="str">
        <v/>
      </c>
      <c r="Y291" s="75" t="str">
        <v/>
      </c>
      <c r="Z291" s="59">
        <v>18.920000000000002</v>
      </c>
      <c r="AA291" s="61">
        <v>25</v>
      </c>
      <c r="AB291" s="61">
        <v>32</v>
      </c>
      <c r="AC291" s="61" t="str">
        <v/>
      </c>
      <c r="AD291" s="62" t="str">
        <v>QF1 → XT1</v>
      </c>
      <c r="AE291" s="62" t="str">
        <v/>
      </c>
      <c r="AF291" s="34">
        <v>1</v>
      </c>
      <c r="AG291" s="34" t="str">
        <v>QF1</v>
      </c>
      <c r="AH291" s="34" t="str">
        <v/>
      </c>
      <c r="AI291" s="34" t="str">
        <v/>
      </c>
      <c r="AJ291" s="34" t="str">
        <v>QF1</v>
      </c>
      <c r="AK291" s="34">
        <v>3</v>
      </c>
      <c r="AL291" s="34" t="str">
        <v>Э</v>
      </c>
      <c r="AM291" s="34">
        <v>0</v>
      </c>
      <c r="AN291" s="34">
        <v>0</v>
      </c>
      <c r="AO291" s="34">
        <v>25</v>
      </c>
      <c r="AP291" s="34">
        <v>32</v>
      </c>
      <c r="AQ291" s="34">
        <v>25</v>
      </c>
      <c r="AR291" s="34">
        <v>3</v>
      </c>
      <c r="AS291" s="34">
        <v>0</v>
      </c>
      <c r="AT291" s="34" t="str">
        <v>3P</v>
      </c>
      <c r="AU291" s="34">
        <v>25</v>
      </c>
      <c r="AV291" s="34" t="str">
        <v/>
      </c>
      <c r="AW291" s="34" t="str">
        <v/>
      </c>
      <c r="AX291" s="34" t="str">
        <v/>
      </c>
      <c r="AY291" s="34">
        <v>1</v>
      </c>
      <c r="AZ291" s="34" t="str">
        <v/>
      </c>
      <c r="BA291" s="34">
        <v>0</v>
      </c>
      <c r="BB291" s="34">
        <v>20</v>
      </c>
      <c r="BD291" s="34">
        <v>1</v>
      </c>
      <c r="BE291" s="34">
        <v>0</v>
      </c>
      <c r="BF291" s="34">
        <v>0</v>
      </c>
      <c r="BG291" s="34" t="str">
        <v/>
      </c>
      <c r="BH291" s="34" t="str">
        <v/>
      </c>
      <c r="BI291" s="34" t="str">
        <v/>
      </c>
      <c r="BJ291" s="34" t="str">
        <v/>
      </c>
      <c r="BK291" s="34" t="str">
        <v>BOX</v>
      </c>
      <c r="BL291" s="34">
        <v>1</v>
      </c>
      <c r="BM291" s="34" t="str">
        <v/>
      </c>
      <c r="BN291" s="34" t="str">
        <v/>
      </c>
      <c r="BO291" s="34" t="str">
        <v/>
      </c>
      <c r="BP291" s="34" t="str">
        <v/>
      </c>
      <c r="BQ291" s="34" t="str">
        <v>5х4</v>
      </c>
      <c r="BR291" s="34" t="str">
        <v/>
      </c>
      <c r="BS291" s="34" t="str">
        <v/>
      </c>
      <c r="BT291" s="34" t="str">
        <v/>
      </c>
      <c r="BU291" s="34">
        <v>0</v>
      </c>
      <c r="BV291" s="34">
        <v>312</v>
      </c>
      <c r="BW291" s="34">
        <v>1</v>
      </c>
      <c r="BX291" s="34">
        <v>2</v>
      </c>
      <c r="BY291" s="34">
        <v>0</v>
      </c>
      <c r="BZ291">
        <v>12</v>
      </c>
      <c r="CA291" t="str">
        <v>линии</v>
      </c>
    </row>
    <row r="292" spans="1:79" x14ac:dyDescent="0.3">
      <c r="A292" s="39" t="str">
        <v>ЩС-Б</v>
      </c>
      <c r="B292" s="42">
        <v>13</v>
      </c>
      <c r="C292" s="42">
        <v>1</v>
      </c>
      <c r="D292" s="75" t="str">
        <v/>
      </c>
      <c r="E292" s="75" t="str">
        <v>авто</v>
      </c>
      <c r="F292" s="76" t="str">
        <v/>
      </c>
      <c r="G292" s="47" t="str">
        <v>QF2</v>
      </c>
      <c r="H292" s="47" t="str">
        <v>3P С16А</v>
      </c>
      <c r="I292" s="75" t="str">
        <v/>
      </c>
      <c r="J292" s="76" t="str">
        <v/>
      </c>
      <c r="K292" s="76" t="str">
        <v/>
      </c>
      <c r="L292" s="75" t="str">
        <v/>
      </c>
      <c r="M292" s="49" t="str">
        <v/>
      </c>
      <c r="N292" s="76" t="str">
        <v/>
      </c>
      <c r="O292" s="49" t="str">
        <v/>
      </c>
      <c r="P292" s="77" t="str">
        <v>XT2</v>
      </c>
      <c r="Q292" s="53" t="str">
        <v>ВВГнг(А)-LS (5х2,5) L=40-1,06%</v>
      </c>
      <c r="R292" s="54" t="str">
        <v>Э.2</v>
      </c>
      <c r="S292" s="55" t="str">
        <v>Горячая купель Подвальный этаж Пом. 002Тб</v>
      </c>
      <c r="T292" s="56">
        <v>4.6500000000000004</v>
      </c>
      <c r="U292" s="56">
        <v>7.0699999999999994</v>
      </c>
      <c r="V292" s="42" t="str">
        <v>L1,L2,L3</v>
      </c>
      <c r="W292" s="57" t="str">
        <v>ok</v>
      </c>
      <c r="X292" s="58" t="str">
        <v/>
      </c>
      <c r="Y292" s="75" t="str">
        <v/>
      </c>
      <c r="Z292" s="59">
        <v>7.0699999999999994</v>
      </c>
      <c r="AA292" s="61">
        <v>10</v>
      </c>
      <c r="AB292" s="61">
        <v>20</v>
      </c>
      <c r="AC292" s="61" t="str">
        <v/>
      </c>
      <c r="AD292" s="62" t="str">
        <v>QF2 → XT2</v>
      </c>
      <c r="AE292" s="62" t="str">
        <v/>
      </c>
      <c r="AF292" s="34">
        <v>2</v>
      </c>
      <c r="AG292" s="34" t="str">
        <v>QF2</v>
      </c>
      <c r="AH292" s="34" t="str">
        <v/>
      </c>
      <c r="AI292" s="34" t="str">
        <v/>
      </c>
      <c r="AJ292" s="34" t="str">
        <v>QF2</v>
      </c>
      <c r="AK292" s="34">
        <v>3</v>
      </c>
      <c r="AL292" s="34" t="str">
        <v>Э</v>
      </c>
      <c r="AM292" s="34">
        <v>0</v>
      </c>
      <c r="AN292" s="34">
        <v>0</v>
      </c>
      <c r="AO292" s="34">
        <v>16</v>
      </c>
      <c r="AP292" s="34">
        <v>20</v>
      </c>
      <c r="AQ292" s="34">
        <v>16</v>
      </c>
      <c r="AR292" s="34">
        <v>3</v>
      </c>
      <c r="AS292" s="34">
        <v>0</v>
      </c>
      <c r="AT292" s="34" t="str">
        <v>3P</v>
      </c>
      <c r="AU292" s="34">
        <v>16</v>
      </c>
      <c r="AV292" s="34" t="str">
        <v/>
      </c>
      <c r="AW292" s="34" t="str">
        <v/>
      </c>
      <c r="AX292" s="34" t="str">
        <v/>
      </c>
      <c r="AY292" s="34">
        <v>1</v>
      </c>
      <c r="AZ292" s="34" t="str">
        <v/>
      </c>
      <c r="BA292" s="34">
        <v>0</v>
      </c>
      <c r="BB292" s="34">
        <v>16</v>
      </c>
      <c r="BD292" s="34">
        <v>1</v>
      </c>
      <c r="BE292" s="34">
        <v>0</v>
      </c>
      <c r="BF292" s="34">
        <v>0</v>
      </c>
      <c r="BG292" s="34" t="str">
        <v/>
      </c>
      <c r="BH292" s="34" t="str">
        <v/>
      </c>
      <c r="BI292" s="34" t="str">
        <v/>
      </c>
      <c r="BJ292" s="34" t="str">
        <v/>
      </c>
      <c r="BK292" s="34" t="str">
        <v>BOX</v>
      </c>
      <c r="BL292" s="34">
        <v>1</v>
      </c>
      <c r="BM292" s="34" t="str">
        <v/>
      </c>
      <c r="BN292" s="34" t="str">
        <v/>
      </c>
      <c r="BO292" s="34" t="str">
        <v/>
      </c>
      <c r="BP292" s="34" t="str">
        <v/>
      </c>
      <c r="BQ292" s="34" t="str">
        <v>5х2,5</v>
      </c>
      <c r="BR292" s="34" t="str">
        <v/>
      </c>
      <c r="BS292" s="34" t="str">
        <v/>
      </c>
      <c r="BT292" s="34" t="str">
        <v/>
      </c>
      <c r="BU292" s="34">
        <v>0</v>
      </c>
      <c r="BV292" s="34">
        <v>313</v>
      </c>
      <c r="BW292" s="34">
        <v>1</v>
      </c>
      <c r="BX292" s="34">
        <v>2</v>
      </c>
      <c r="BY292" s="34">
        <v>0</v>
      </c>
      <c r="BZ292">
        <v>12</v>
      </c>
      <c r="CA292" t="str">
        <v>линии</v>
      </c>
    </row>
    <row r="293" spans="1:79" x14ac:dyDescent="0.3">
      <c r="A293" s="39" t="str">
        <v>ЩС-Б</v>
      </c>
      <c r="B293" s="42">
        <v>14</v>
      </c>
      <c r="C293" s="42">
        <v>1</v>
      </c>
      <c r="D293" s="75" t="str">
        <v/>
      </c>
      <c r="E293" s="75" t="str">
        <v>авто</v>
      </c>
      <c r="F293" s="76" t="str">
        <v/>
      </c>
      <c r="G293" s="47" t="str">
        <v>QF3</v>
      </c>
      <c r="H293" s="47" t="str">
        <v>3P С16А</v>
      </c>
      <c r="I293" s="75" t="str">
        <v/>
      </c>
      <c r="J293" s="76" t="str">
        <v/>
      </c>
      <c r="K293" s="76" t="str">
        <v/>
      </c>
      <c r="L293" s="75" t="str">
        <v/>
      </c>
      <c r="M293" s="49" t="str">
        <v/>
      </c>
      <c r="N293" s="76" t="str">
        <v/>
      </c>
      <c r="O293" s="49" t="str">
        <v/>
      </c>
      <c r="P293" s="77" t="str">
        <v>XT3</v>
      </c>
      <c r="Q293" s="53" t="str">
        <v>ВВГнг(А)-LS (5х2,5) L=30-1,34%</v>
      </c>
      <c r="R293" s="54" t="str">
        <v>Э.3</v>
      </c>
      <c r="S293" s="55" t="str">
        <v>Холодная купель Подвальный этаж Пом. 002Тб</v>
      </c>
      <c r="T293" s="56">
        <v>7.89</v>
      </c>
      <c r="U293" s="56">
        <v>11.99</v>
      </c>
      <c r="V293" s="42" t="str">
        <v>L1,L2,L3</v>
      </c>
      <c r="W293" s="57" t="str">
        <v>ok</v>
      </c>
      <c r="X293" s="58" t="str">
        <v/>
      </c>
      <c r="Y293" s="75" t="str">
        <v/>
      </c>
      <c r="Z293" s="59">
        <v>11.99</v>
      </c>
      <c r="AA293" s="61">
        <v>16</v>
      </c>
      <c r="AB293" s="61">
        <v>20</v>
      </c>
      <c r="AC293" s="61" t="str">
        <v/>
      </c>
      <c r="AD293" s="62" t="str">
        <v>QF3 → XT3</v>
      </c>
      <c r="AE293" s="62" t="str">
        <v/>
      </c>
      <c r="AF293" s="34">
        <v>3</v>
      </c>
      <c r="AG293" s="34" t="str">
        <v>QF3</v>
      </c>
      <c r="AH293" s="34" t="str">
        <v/>
      </c>
      <c r="AI293" s="34" t="str">
        <v/>
      </c>
      <c r="AJ293" s="34" t="str">
        <v>QF3</v>
      </c>
      <c r="AK293" s="34">
        <v>3</v>
      </c>
      <c r="AL293" s="34" t="str">
        <v>Э</v>
      </c>
      <c r="AM293" s="34">
        <v>0</v>
      </c>
      <c r="AN293" s="34">
        <v>0</v>
      </c>
      <c r="AO293" s="34">
        <v>16</v>
      </c>
      <c r="AP293" s="34">
        <v>20</v>
      </c>
      <c r="AQ293" s="34">
        <v>16</v>
      </c>
      <c r="AR293" s="34">
        <v>3</v>
      </c>
      <c r="AS293" s="34">
        <v>0</v>
      </c>
      <c r="AT293" s="34" t="str">
        <v>3P</v>
      </c>
      <c r="AU293" s="34">
        <v>16</v>
      </c>
      <c r="AV293" s="34" t="str">
        <v/>
      </c>
      <c r="AW293" s="34" t="str">
        <v/>
      </c>
      <c r="AX293" s="34" t="str">
        <v/>
      </c>
      <c r="AY293" s="34">
        <v>1</v>
      </c>
      <c r="AZ293" s="34" t="str">
        <v/>
      </c>
      <c r="BA293" s="34">
        <v>0</v>
      </c>
      <c r="BB293" s="34">
        <v>16</v>
      </c>
      <c r="BD293" s="34">
        <v>1</v>
      </c>
      <c r="BE293" s="34">
        <v>0</v>
      </c>
      <c r="BF293" s="34">
        <v>0</v>
      </c>
      <c r="BG293" s="34" t="str">
        <v/>
      </c>
      <c r="BH293" s="34" t="str">
        <v/>
      </c>
      <c r="BI293" s="34" t="str">
        <v/>
      </c>
      <c r="BJ293" s="34" t="str">
        <v/>
      </c>
      <c r="BK293" s="34" t="str">
        <v>BOX</v>
      </c>
      <c r="BL293" s="34">
        <v>1</v>
      </c>
      <c r="BM293" s="34" t="str">
        <v/>
      </c>
      <c r="BN293" s="34" t="str">
        <v/>
      </c>
      <c r="BO293" s="34" t="str">
        <v/>
      </c>
      <c r="BP293" s="34" t="str">
        <v/>
      </c>
      <c r="BQ293" s="34" t="str">
        <v>5х2,5</v>
      </c>
      <c r="BR293" s="34" t="str">
        <v/>
      </c>
      <c r="BS293" s="34" t="str">
        <v/>
      </c>
      <c r="BT293" s="34" t="str">
        <v/>
      </c>
      <c r="BU293" s="34">
        <v>0</v>
      </c>
      <c r="BV293" s="34">
        <v>314</v>
      </c>
      <c r="BW293" s="34">
        <v>1</v>
      </c>
      <c r="BX293" s="34">
        <v>2</v>
      </c>
      <c r="BY293" s="34">
        <v>0</v>
      </c>
      <c r="BZ293">
        <v>12</v>
      </c>
      <c r="CA293" t="str">
        <v>линии</v>
      </c>
    </row>
    <row r="294" spans="1:79" x14ac:dyDescent="0.3">
      <c r="A294" s="39" t="str">
        <v>ЩС-ВК.001</v>
      </c>
      <c r="B294" s="42">
        <v>2</v>
      </c>
      <c r="C294" s="42">
        <v>1</v>
      </c>
      <c r="D294" s="75" t="str">
        <v/>
      </c>
      <c r="E294" s="75" t="str">
        <v/>
      </c>
      <c r="F294" s="76" t="str">
        <v/>
      </c>
      <c r="G294" s="47" t="str">
        <v/>
      </c>
      <c r="H294" s="47" t="str">
        <v/>
      </c>
      <c r="I294" s="75" t="str">
        <v/>
      </c>
      <c r="J294" s="76" t="str">
        <v/>
      </c>
      <c r="K294" s="76" t="str">
        <v/>
      </c>
      <c r="L294" s="75" t="str">
        <v/>
      </c>
      <c r="M294" s="49" t="str">
        <v/>
      </c>
      <c r="N294" s="76" t="str">
        <v/>
      </c>
      <c r="O294" s="49" t="str">
        <v/>
      </c>
      <c r="P294" s="77" t="str">
        <v/>
      </c>
      <c r="Q294" s="53" t="str">
        <v/>
      </c>
      <c r="R294" s="54" t="str">
        <v>Ввод.1</v>
      </c>
      <c r="S294" s="55" t="str">
        <v>Вводной кабель Шлейф №1</v>
      </c>
      <c r="T294" s="56">
        <v>0</v>
      </c>
      <c r="U294" s="56">
        <v>0</v>
      </c>
      <c r="V294" s="42" t="str">
        <v>L2</v>
      </c>
      <c r="W294" s="57" t="str">
        <v/>
      </c>
      <c r="X294" s="58" t="str">
        <v/>
      </c>
      <c r="Y294" s="75" t="str">
        <v>вручную</v>
      </c>
      <c r="Z294" s="59" t="str">
        <v/>
      </c>
      <c r="AA294" s="61" t="str">
        <v/>
      </c>
      <c r="AB294" s="61">
        <v>32</v>
      </c>
      <c r="AC294" s="61" t="str">
        <v/>
      </c>
      <c r="AD294" s="62" t="str">
        <v/>
      </c>
      <c r="AE294" s="62" t="str">
        <v/>
      </c>
      <c r="AF294" s="34" t="str">
        <v/>
      </c>
      <c r="AG294" s="34" t="str">
        <v/>
      </c>
      <c r="AH294" s="34" t="str">
        <v/>
      </c>
      <c r="AI294" s="34" t="str">
        <v/>
      </c>
      <c r="AJ294" s="34" t="str">
        <v/>
      </c>
      <c r="AK294" s="34">
        <v>1</v>
      </c>
      <c r="AL294" s="34" t="str">
        <v>Ввод</v>
      </c>
      <c r="AM294" s="34">
        <v>0</v>
      </c>
      <c r="AN294" s="34">
        <v>0</v>
      </c>
      <c r="AO294" s="34" t="str">
        <v/>
      </c>
      <c r="AP294" s="34" t="str">
        <v/>
      </c>
      <c r="AQ294" s="34" t="str">
        <v/>
      </c>
      <c r="AR294" s="34" t="str">
        <v/>
      </c>
      <c r="AS294" s="34" t="str">
        <v/>
      </c>
      <c r="AT294" s="34" t="str">
        <v/>
      </c>
      <c r="AU294" s="34" t="str">
        <v/>
      </c>
      <c r="AV294" s="34" t="str">
        <v/>
      </c>
      <c r="AW294" s="34" t="str">
        <v/>
      </c>
      <c r="AX294" s="34" t="str">
        <v/>
      </c>
      <c r="AY294" s="34">
        <v>0</v>
      </c>
      <c r="AZ294" s="34" t="str">
        <v/>
      </c>
      <c r="BA294" s="34">
        <v>0</v>
      </c>
      <c r="BB294" s="34">
        <v>20</v>
      </c>
      <c r="BD294" s="34">
        <v>0</v>
      </c>
      <c r="BE294" s="34">
        <v>0</v>
      </c>
      <c r="BF294" s="34">
        <v>0</v>
      </c>
      <c r="BG294" s="34" t="str">
        <v/>
      </c>
      <c r="BH294" s="34" t="str">
        <v/>
      </c>
      <c r="BI294" s="34" t="str">
        <v/>
      </c>
      <c r="BJ294" s="34" t="str">
        <v/>
      </c>
      <c r="BK294" s="34" t="str">
        <v>BOX</v>
      </c>
      <c r="BL294" s="34">
        <v>1</v>
      </c>
      <c r="BM294" s="34" t="str">
        <v/>
      </c>
      <c r="BN294" s="34" t="str">
        <v/>
      </c>
      <c r="BO294" s="34" t="str">
        <v/>
      </c>
      <c r="BP294" s="34" t="str">
        <v/>
      </c>
      <c r="BQ294" s="34" t="str">
        <v/>
      </c>
      <c r="BR294" s="34" t="str">
        <v/>
      </c>
      <c r="BS294" s="34" t="str">
        <v/>
      </c>
      <c r="BT294" s="34" t="str">
        <v/>
      </c>
      <c r="BU294" s="34">
        <v>0</v>
      </c>
      <c r="BV294" s="34">
        <v>315</v>
      </c>
      <c r="BW294" s="34">
        <v>0</v>
      </c>
      <c r="BX294" s="34">
        <v>0</v>
      </c>
      <c r="BY294" s="34">
        <v>0</v>
      </c>
      <c r="BZ294">
        <v>13</v>
      </c>
      <c r="CA294" t="str">
        <v>вводной узел</v>
      </c>
    </row>
    <row r="295" spans="1:79" x14ac:dyDescent="0.3">
      <c r="A295" s="39" t="str">
        <v>ЩС-ВК.001</v>
      </c>
      <c r="B295" s="42">
        <v>10</v>
      </c>
      <c r="C295" s="42">
        <v>1</v>
      </c>
      <c r="D295" s="75" t="str">
        <v/>
      </c>
      <c r="E295" s="75" t="str">
        <v>авто</v>
      </c>
      <c r="F295" s="76" t="str">
        <v/>
      </c>
      <c r="G295" s="47" t="str">
        <v>QF1</v>
      </c>
      <c r="H295" s="47" t="str">
        <v>1P С16А</v>
      </c>
      <c r="I295" s="75" t="str">
        <v/>
      </c>
      <c r="J295" s="76" t="str">
        <v/>
      </c>
      <c r="K295" s="76" t="str">
        <v/>
      </c>
      <c r="L295" s="75" t="str">
        <v/>
      </c>
      <c r="M295" s="49" t="str">
        <v/>
      </c>
      <c r="N295" s="76" t="str">
        <v/>
      </c>
      <c r="O295" s="49" t="str">
        <v/>
      </c>
      <c r="P295" s="77" t="str">
        <v>XT1</v>
      </c>
      <c r="Q295" s="53" t="str">
        <v>ВВГнг(А)-LS (3х2,5) L=21-0,43%</v>
      </c>
      <c r="R295" s="54" t="str">
        <v>НВК.00.003Т.2</v>
      </c>
      <c r="S295" s="55" t="str">
        <v>Насос дренажный Подвальный этаж Пом. №003Т</v>
      </c>
      <c r="T295" s="56">
        <v>0.6</v>
      </c>
      <c r="U295" s="56">
        <v>2.7399999999999998</v>
      </c>
      <c r="V295" s="42" t="str">
        <v>L1</v>
      </c>
      <c r="W295" s="57" t="str">
        <v>ok</v>
      </c>
      <c r="X295" s="58" t="str">
        <v/>
      </c>
      <c r="Y295" s="75" t="str">
        <v/>
      </c>
      <c r="Z295" s="59">
        <v>2.7399999999999998</v>
      </c>
      <c r="AA295" s="61">
        <v>6</v>
      </c>
      <c r="AB295" s="61">
        <v>25</v>
      </c>
      <c r="AC295" s="61" t="str">
        <v/>
      </c>
      <c r="AD295" s="62" t="str">
        <v>QF1 → XT1</v>
      </c>
      <c r="AE295" s="62" t="str">
        <v/>
      </c>
      <c r="AF295" s="34">
        <v>1</v>
      </c>
      <c r="AG295" s="34" t="str">
        <v>QF1</v>
      </c>
      <c r="AH295" s="34" t="str">
        <v/>
      </c>
      <c r="AI295" s="34" t="str">
        <v/>
      </c>
      <c r="AJ295" s="34" t="str">
        <v>QF1</v>
      </c>
      <c r="AK295" s="34">
        <v>1</v>
      </c>
      <c r="AL295" s="34" t="str">
        <v>НВК</v>
      </c>
      <c r="AM295" s="34">
        <v>0</v>
      </c>
      <c r="AN295" s="34">
        <v>0</v>
      </c>
      <c r="AO295" s="34">
        <v>16</v>
      </c>
      <c r="AP295" s="34">
        <v>25</v>
      </c>
      <c r="AQ295" s="34">
        <v>16</v>
      </c>
      <c r="AR295" s="34">
        <v>1</v>
      </c>
      <c r="AS295" s="34">
        <v>0</v>
      </c>
      <c r="AT295" s="34" t="str">
        <v>1P</v>
      </c>
      <c r="AU295" s="34">
        <v>16</v>
      </c>
      <c r="AV295" s="34" t="str">
        <v/>
      </c>
      <c r="AW295" s="34" t="str">
        <v/>
      </c>
      <c r="AX295" s="34" t="str">
        <v/>
      </c>
      <c r="AY295" s="34">
        <v>1</v>
      </c>
      <c r="AZ295" s="34" t="str">
        <v/>
      </c>
      <c r="BA295" s="34">
        <v>0</v>
      </c>
      <c r="BB295" s="34">
        <v>16</v>
      </c>
      <c r="BD295" s="34">
        <v>1</v>
      </c>
      <c r="BE295" s="34">
        <v>0</v>
      </c>
      <c r="BF295" s="34">
        <v>0</v>
      </c>
      <c r="BG295" s="34" t="str">
        <v/>
      </c>
      <c r="BH295" s="34" t="str">
        <v/>
      </c>
      <c r="BI295" s="34" t="str">
        <v/>
      </c>
      <c r="BJ295" s="34" t="str">
        <v/>
      </c>
      <c r="BK295" s="34" t="str">
        <v>BOX</v>
      </c>
      <c r="BL295" s="34">
        <v>1</v>
      </c>
      <c r="BM295" s="34" t="str">
        <v/>
      </c>
      <c r="BN295" s="34" t="str">
        <v/>
      </c>
      <c r="BO295" s="34" t="str">
        <v/>
      </c>
      <c r="BP295" s="34" t="str">
        <v/>
      </c>
      <c r="BQ295" s="34" t="str">
        <v>3х2,5</v>
      </c>
      <c r="BR295" s="34" t="str">
        <v/>
      </c>
      <c r="BS295" s="34" t="str">
        <v/>
      </c>
      <c r="BT295" s="34" t="str">
        <v/>
      </c>
      <c r="BU295" s="34">
        <v>0</v>
      </c>
      <c r="BV295" s="34">
        <v>316</v>
      </c>
      <c r="BW295" s="34">
        <v>1</v>
      </c>
      <c r="BX295" s="34">
        <v>0</v>
      </c>
      <c r="BY295" s="34">
        <v>0</v>
      </c>
      <c r="BZ295">
        <v>13</v>
      </c>
      <c r="CA295" t="str">
        <v>линии</v>
      </c>
    </row>
    <row r="296" spans="1:79" x14ac:dyDescent="0.3">
      <c r="A296" s="39" t="str">
        <v>ЩС-ВК.001</v>
      </c>
      <c r="B296" s="42">
        <v>11</v>
      </c>
      <c r="C296" s="42">
        <v>1</v>
      </c>
      <c r="D296" s="75" t="str">
        <v/>
      </c>
      <c r="E296" s="75" t="str">
        <v>авто</v>
      </c>
      <c r="F296" s="76" t="str">
        <v/>
      </c>
      <c r="G296" s="47" t="str">
        <v>QF2</v>
      </c>
      <c r="H296" s="47" t="str">
        <v>1P С16А</v>
      </c>
      <c r="I296" s="75" t="str">
        <v/>
      </c>
      <c r="J296" s="76" t="str">
        <v/>
      </c>
      <c r="K296" s="76" t="str">
        <v/>
      </c>
      <c r="L296" s="75" t="str">
        <v/>
      </c>
      <c r="M296" s="49" t="str">
        <v/>
      </c>
      <c r="N296" s="76" t="str">
        <v/>
      </c>
      <c r="O296" s="49" t="str">
        <v/>
      </c>
      <c r="P296" s="77" t="str">
        <v>XT2</v>
      </c>
      <c r="Q296" s="53" t="str">
        <v>ВВГнг(А)-LS (3х2,5) L=21-0,43%</v>
      </c>
      <c r="R296" s="54" t="str">
        <v>НВК.00.003Т.1</v>
      </c>
      <c r="S296" s="55" t="str">
        <v>Насос дренажный Подвальный этаж Пом. №003Т</v>
      </c>
      <c r="T296" s="56">
        <v>0.6</v>
      </c>
      <c r="U296" s="56">
        <v>2.7399999999999998</v>
      </c>
      <c r="V296" s="42" t="str">
        <v>L1</v>
      </c>
      <c r="W296" s="57" t="str">
        <v>ok</v>
      </c>
      <c r="X296" s="58" t="str">
        <v/>
      </c>
      <c r="Y296" s="75" t="str">
        <v/>
      </c>
      <c r="Z296" s="59">
        <v>2.7399999999999998</v>
      </c>
      <c r="AA296" s="61">
        <v>6</v>
      </c>
      <c r="AB296" s="61">
        <v>25</v>
      </c>
      <c r="AC296" s="61" t="str">
        <v/>
      </c>
      <c r="AD296" s="62" t="str">
        <v>QF2 → XT2</v>
      </c>
      <c r="AE296" s="62" t="str">
        <v/>
      </c>
      <c r="AF296" s="34">
        <v>2</v>
      </c>
      <c r="AG296" s="34" t="str">
        <v>QF2</v>
      </c>
      <c r="AH296" s="34" t="str">
        <v/>
      </c>
      <c r="AI296" s="34" t="str">
        <v/>
      </c>
      <c r="AJ296" s="34" t="str">
        <v>QF2</v>
      </c>
      <c r="AK296" s="34">
        <v>1</v>
      </c>
      <c r="AL296" s="34" t="str">
        <v>НВК</v>
      </c>
      <c r="AM296" s="34">
        <v>0</v>
      </c>
      <c r="AN296" s="34">
        <v>0</v>
      </c>
      <c r="AO296" s="34">
        <v>16</v>
      </c>
      <c r="AP296" s="34">
        <v>25</v>
      </c>
      <c r="AQ296" s="34">
        <v>16</v>
      </c>
      <c r="AR296" s="34">
        <v>1</v>
      </c>
      <c r="AS296" s="34">
        <v>0</v>
      </c>
      <c r="AT296" s="34" t="str">
        <v>1P</v>
      </c>
      <c r="AU296" s="34">
        <v>16</v>
      </c>
      <c r="AV296" s="34" t="str">
        <v/>
      </c>
      <c r="AW296" s="34" t="str">
        <v/>
      </c>
      <c r="AX296" s="34" t="str">
        <v/>
      </c>
      <c r="AY296" s="34">
        <v>1</v>
      </c>
      <c r="AZ296" s="34" t="str">
        <v/>
      </c>
      <c r="BA296" s="34">
        <v>0</v>
      </c>
      <c r="BB296" s="34">
        <v>16</v>
      </c>
      <c r="BD296" s="34">
        <v>1</v>
      </c>
      <c r="BE296" s="34">
        <v>0</v>
      </c>
      <c r="BF296" s="34">
        <v>0</v>
      </c>
      <c r="BG296" s="34" t="str">
        <v/>
      </c>
      <c r="BH296" s="34" t="str">
        <v/>
      </c>
      <c r="BI296" s="34" t="str">
        <v/>
      </c>
      <c r="BJ296" s="34" t="str">
        <v/>
      </c>
      <c r="BK296" s="34" t="str">
        <v>BOX</v>
      </c>
      <c r="BL296" s="34">
        <v>1</v>
      </c>
      <c r="BM296" s="34" t="str">
        <v/>
      </c>
      <c r="BN296" s="34" t="str">
        <v/>
      </c>
      <c r="BO296" s="34" t="str">
        <v/>
      </c>
      <c r="BP296" s="34" t="str">
        <v/>
      </c>
      <c r="BQ296" s="34" t="str">
        <v>3х2,5</v>
      </c>
      <c r="BR296" s="34" t="str">
        <v/>
      </c>
      <c r="BS296" s="34" t="str">
        <v/>
      </c>
      <c r="BT296" s="34" t="str">
        <v/>
      </c>
      <c r="BU296" s="34">
        <v>0</v>
      </c>
      <c r="BV296" s="34">
        <v>317</v>
      </c>
      <c r="BW296" s="34">
        <v>1</v>
      </c>
      <c r="BX296" s="34">
        <v>0</v>
      </c>
      <c r="BY296" s="34">
        <v>0</v>
      </c>
      <c r="BZ296">
        <v>13</v>
      </c>
      <c r="CA296" t="str">
        <v>линии</v>
      </c>
    </row>
    <row r="297" spans="1:79" x14ac:dyDescent="0.3">
      <c r="A297" s="39" t="str">
        <v>ЩС-ВК.001</v>
      </c>
      <c r="B297" s="42">
        <v>12</v>
      </c>
      <c r="C297" s="42">
        <v>1</v>
      </c>
      <c r="D297" s="75" t="str">
        <v/>
      </c>
      <c r="E297" s="75" t="str">
        <v>авто</v>
      </c>
      <c r="F297" s="76" t="str">
        <v/>
      </c>
      <c r="G297" s="47" t="str">
        <v>QF3</v>
      </c>
      <c r="H297" s="47" t="str">
        <v>1P С16А</v>
      </c>
      <c r="I297" s="75" t="str">
        <v/>
      </c>
      <c r="J297" s="76" t="str">
        <v/>
      </c>
      <c r="K297" s="76" t="str">
        <v/>
      </c>
      <c r="L297" s="75" t="str">
        <v/>
      </c>
      <c r="M297" s="49" t="str">
        <v/>
      </c>
      <c r="N297" s="76" t="str">
        <v/>
      </c>
      <c r="O297" s="49" t="str">
        <v/>
      </c>
      <c r="P297" s="77" t="str">
        <v>XT3</v>
      </c>
      <c r="Q297" s="53" t="str">
        <v>ВВГнг(А)-LS (3х2,5) L=22-0,45%</v>
      </c>
      <c r="R297" s="54" t="str">
        <v>НВК.00.005Т.4</v>
      </c>
      <c r="S297" s="55" t="str">
        <v>Насос дренажный Подвальный этаж Пом. №005Т</v>
      </c>
      <c r="T297" s="56">
        <v>0.6</v>
      </c>
      <c r="U297" s="56">
        <v>2.7399999999999998</v>
      </c>
      <c r="V297" s="42" t="str">
        <v>L1</v>
      </c>
      <c r="W297" s="57" t="str">
        <v>ok</v>
      </c>
      <c r="X297" s="58" t="str">
        <v/>
      </c>
      <c r="Y297" s="75" t="str">
        <v/>
      </c>
      <c r="Z297" s="59">
        <v>2.7399999999999998</v>
      </c>
      <c r="AA297" s="61">
        <v>6</v>
      </c>
      <c r="AB297" s="61">
        <v>25</v>
      </c>
      <c r="AC297" s="61" t="str">
        <v/>
      </c>
      <c r="AD297" s="62" t="str">
        <v>QF3 → XT3</v>
      </c>
      <c r="AE297" s="62" t="str">
        <v/>
      </c>
      <c r="AF297" s="34">
        <v>3</v>
      </c>
      <c r="AG297" s="34" t="str">
        <v>QF3</v>
      </c>
      <c r="AH297" s="34" t="str">
        <v/>
      </c>
      <c r="AI297" s="34" t="str">
        <v/>
      </c>
      <c r="AJ297" s="34" t="str">
        <v>QF3</v>
      </c>
      <c r="AK297" s="34">
        <v>1</v>
      </c>
      <c r="AL297" s="34" t="str">
        <v>НВК</v>
      </c>
      <c r="AM297" s="34">
        <v>0</v>
      </c>
      <c r="AN297" s="34">
        <v>0</v>
      </c>
      <c r="AO297" s="34">
        <v>16</v>
      </c>
      <c r="AP297" s="34">
        <v>25</v>
      </c>
      <c r="AQ297" s="34">
        <v>16</v>
      </c>
      <c r="AR297" s="34">
        <v>1</v>
      </c>
      <c r="AS297" s="34">
        <v>0</v>
      </c>
      <c r="AT297" s="34" t="str">
        <v>1P</v>
      </c>
      <c r="AU297" s="34">
        <v>16</v>
      </c>
      <c r="AV297" s="34" t="str">
        <v/>
      </c>
      <c r="AW297" s="34" t="str">
        <v/>
      </c>
      <c r="AX297" s="34" t="str">
        <v/>
      </c>
      <c r="AY297" s="34">
        <v>1</v>
      </c>
      <c r="AZ297" s="34" t="str">
        <v/>
      </c>
      <c r="BA297" s="34">
        <v>0</v>
      </c>
      <c r="BB297" s="34">
        <v>16</v>
      </c>
      <c r="BD297" s="34">
        <v>1</v>
      </c>
      <c r="BE297" s="34">
        <v>0</v>
      </c>
      <c r="BF297" s="34">
        <v>0</v>
      </c>
      <c r="BG297" s="34" t="str">
        <v/>
      </c>
      <c r="BH297" s="34" t="str">
        <v/>
      </c>
      <c r="BI297" s="34" t="str">
        <v/>
      </c>
      <c r="BJ297" s="34" t="str">
        <v/>
      </c>
      <c r="BK297" s="34" t="str">
        <v>BOX</v>
      </c>
      <c r="BL297" s="34">
        <v>1</v>
      </c>
      <c r="BM297" s="34" t="str">
        <v/>
      </c>
      <c r="BN297" s="34" t="str">
        <v/>
      </c>
      <c r="BO297" s="34" t="str">
        <v/>
      </c>
      <c r="BP297" s="34" t="str">
        <v/>
      </c>
      <c r="BQ297" s="34" t="str">
        <v>3х2,5</v>
      </c>
      <c r="BR297" s="34" t="str">
        <v/>
      </c>
      <c r="BS297" s="34" t="str">
        <v/>
      </c>
      <c r="BT297" s="34" t="str">
        <v/>
      </c>
      <c r="BU297" s="34">
        <v>0</v>
      </c>
      <c r="BV297" s="34">
        <v>318</v>
      </c>
      <c r="BW297" s="34">
        <v>1</v>
      </c>
      <c r="BX297" s="34">
        <v>0</v>
      </c>
      <c r="BY297" s="34">
        <v>0</v>
      </c>
      <c r="BZ297">
        <v>13</v>
      </c>
      <c r="CA297" t="str">
        <v>линии</v>
      </c>
    </row>
    <row r="298" spans="1:79" x14ac:dyDescent="0.3">
      <c r="A298" s="39" t="str">
        <v>ЩС-ВК.001</v>
      </c>
      <c r="B298" s="42">
        <v>13</v>
      </c>
      <c r="C298" s="42">
        <v>1</v>
      </c>
      <c r="D298" s="75" t="str">
        <v/>
      </c>
      <c r="E298" s="75" t="str">
        <v>авто</v>
      </c>
      <c r="F298" s="76" t="str">
        <v/>
      </c>
      <c r="G298" s="47" t="str">
        <v>QF4</v>
      </c>
      <c r="H298" s="47" t="str">
        <v>1P С16А</v>
      </c>
      <c r="I298" s="75" t="str">
        <v/>
      </c>
      <c r="J298" s="76" t="str">
        <v/>
      </c>
      <c r="K298" s="76" t="str">
        <v/>
      </c>
      <c r="L298" s="75" t="str">
        <v/>
      </c>
      <c r="M298" s="49" t="str">
        <v/>
      </c>
      <c r="N298" s="76" t="str">
        <v/>
      </c>
      <c r="O298" s="49" t="str">
        <v/>
      </c>
      <c r="P298" s="77" t="str">
        <v>XT4</v>
      </c>
      <c r="Q298" s="53" t="str">
        <v>ВВГнг(А)-LS (3х2,5) L=22-0,45%</v>
      </c>
      <c r="R298" s="54" t="str">
        <v>НВК.00.005Т.3</v>
      </c>
      <c r="S298" s="55" t="str">
        <v>Насос дренажный Подвальный этаж Пом. №005Т</v>
      </c>
      <c r="T298" s="56">
        <v>0.6</v>
      </c>
      <c r="U298" s="56">
        <v>2.7399999999999998</v>
      </c>
      <c r="V298" s="42" t="str">
        <v>L1</v>
      </c>
      <c r="W298" s="57" t="str">
        <v>ok</v>
      </c>
      <c r="X298" s="58" t="str">
        <v/>
      </c>
      <c r="Y298" s="75" t="str">
        <v/>
      </c>
      <c r="Z298" s="59">
        <v>2.7399999999999998</v>
      </c>
      <c r="AA298" s="61">
        <v>6</v>
      </c>
      <c r="AB298" s="61">
        <v>25</v>
      </c>
      <c r="AC298" s="61" t="str">
        <v/>
      </c>
      <c r="AD298" s="62" t="str">
        <v>QF4 → XT4</v>
      </c>
      <c r="AE298" s="62" t="str">
        <v/>
      </c>
      <c r="AF298" s="34">
        <v>4</v>
      </c>
      <c r="AG298" s="34" t="str">
        <v>QF4</v>
      </c>
      <c r="AH298" s="34" t="str">
        <v/>
      </c>
      <c r="AI298" s="34" t="str">
        <v/>
      </c>
      <c r="AJ298" s="34" t="str">
        <v>QF4</v>
      </c>
      <c r="AK298" s="34">
        <v>1</v>
      </c>
      <c r="AL298" s="34" t="str">
        <v>НВК</v>
      </c>
      <c r="AM298" s="34">
        <v>0</v>
      </c>
      <c r="AN298" s="34">
        <v>0</v>
      </c>
      <c r="AO298" s="34">
        <v>16</v>
      </c>
      <c r="AP298" s="34">
        <v>25</v>
      </c>
      <c r="AQ298" s="34">
        <v>16</v>
      </c>
      <c r="AR298" s="34">
        <v>1</v>
      </c>
      <c r="AS298" s="34">
        <v>0</v>
      </c>
      <c r="AT298" s="34" t="str">
        <v>1P</v>
      </c>
      <c r="AU298" s="34">
        <v>16</v>
      </c>
      <c r="AV298" s="34" t="str">
        <v/>
      </c>
      <c r="AW298" s="34" t="str">
        <v/>
      </c>
      <c r="AX298" s="34" t="str">
        <v/>
      </c>
      <c r="AY298" s="34">
        <v>1</v>
      </c>
      <c r="AZ298" s="34" t="str">
        <v/>
      </c>
      <c r="BA298" s="34">
        <v>0</v>
      </c>
      <c r="BB298" s="34">
        <v>16</v>
      </c>
      <c r="BD298" s="34">
        <v>1</v>
      </c>
      <c r="BE298" s="34">
        <v>0</v>
      </c>
      <c r="BF298" s="34">
        <v>0</v>
      </c>
      <c r="BG298" s="34" t="str">
        <v/>
      </c>
      <c r="BH298" s="34" t="str">
        <v/>
      </c>
      <c r="BI298" s="34" t="str">
        <v/>
      </c>
      <c r="BJ298" s="34" t="str">
        <v/>
      </c>
      <c r="BK298" s="34" t="str">
        <v>BOX</v>
      </c>
      <c r="BL298" s="34">
        <v>1</v>
      </c>
      <c r="BM298" s="34" t="str">
        <v/>
      </c>
      <c r="BN298" s="34" t="str">
        <v/>
      </c>
      <c r="BO298" s="34" t="str">
        <v/>
      </c>
      <c r="BP298" s="34" t="str">
        <v/>
      </c>
      <c r="BQ298" s="34" t="str">
        <v>3х2,5</v>
      </c>
      <c r="BR298" s="34" t="str">
        <v/>
      </c>
      <c r="BS298" s="34" t="str">
        <v/>
      </c>
      <c r="BT298" s="34" t="str">
        <v/>
      </c>
      <c r="BU298" s="34">
        <v>0</v>
      </c>
      <c r="BV298" s="34">
        <v>319</v>
      </c>
      <c r="BW298" s="34">
        <v>1</v>
      </c>
      <c r="BX298" s="34">
        <v>0</v>
      </c>
      <c r="BY298" s="34">
        <v>0</v>
      </c>
      <c r="BZ298">
        <v>13</v>
      </c>
      <c r="CA298" t="str">
        <v>линии</v>
      </c>
    </row>
    <row r="299" spans="1:79" x14ac:dyDescent="0.3">
      <c r="A299" s="39" t="str">
        <v>ЩС-ВК.001</v>
      </c>
      <c r="B299" s="42">
        <v>14</v>
      </c>
      <c r="C299" s="42">
        <v>1</v>
      </c>
      <c r="D299" s="75" t="str">
        <v/>
      </c>
      <c r="E299" s="75" t="str">
        <v>авто</v>
      </c>
      <c r="F299" s="76" t="str">
        <v/>
      </c>
      <c r="G299" s="47" t="str">
        <v>QF5</v>
      </c>
      <c r="H299" s="47" t="str">
        <v>1P С16А</v>
      </c>
      <c r="I299" s="75" t="str">
        <v/>
      </c>
      <c r="J299" s="76" t="str">
        <v/>
      </c>
      <c r="K299" s="76" t="str">
        <v/>
      </c>
      <c r="L299" s="75" t="str">
        <v/>
      </c>
      <c r="M299" s="49" t="str">
        <v/>
      </c>
      <c r="N299" s="76" t="str">
        <v/>
      </c>
      <c r="O299" s="49" t="str">
        <v/>
      </c>
      <c r="P299" s="77" t="str">
        <v>XT5</v>
      </c>
      <c r="Q299" s="53" t="str">
        <v>ВВГнг(А)-LS (3х2,5) L=14-0,29%</v>
      </c>
      <c r="R299" s="54" t="str">
        <v>НВК.00.005Т.1</v>
      </c>
      <c r="S299" s="55" t="str">
        <v>Насос дренажный Подвальный этаж Пом. №005Т</v>
      </c>
      <c r="T299" s="56">
        <v>0.6</v>
      </c>
      <c r="U299" s="56">
        <v>2.7399999999999998</v>
      </c>
      <c r="V299" s="42" t="str">
        <v>L1</v>
      </c>
      <c r="W299" s="57" t="str">
        <v>ok</v>
      </c>
      <c r="X299" s="58" t="str">
        <v/>
      </c>
      <c r="Y299" s="75" t="str">
        <v/>
      </c>
      <c r="Z299" s="59">
        <v>2.7399999999999998</v>
      </c>
      <c r="AA299" s="61">
        <v>6</v>
      </c>
      <c r="AB299" s="61">
        <v>25</v>
      </c>
      <c r="AC299" s="61" t="str">
        <v/>
      </c>
      <c r="AD299" s="62" t="str">
        <v>QF5 → XT5</v>
      </c>
      <c r="AE299" s="62" t="str">
        <v/>
      </c>
      <c r="AF299" s="34">
        <v>5</v>
      </c>
      <c r="AG299" s="34" t="str">
        <v>QF5</v>
      </c>
      <c r="AH299" s="34" t="str">
        <v/>
      </c>
      <c r="AI299" s="34" t="str">
        <v/>
      </c>
      <c r="AJ299" s="34" t="str">
        <v>QF5</v>
      </c>
      <c r="AK299" s="34">
        <v>1</v>
      </c>
      <c r="AL299" s="34" t="str">
        <v>НВК</v>
      </c>
      <c r="AM299" s="34">
        <v>0</v>
      </c>
      <c r="AN299" s="34">
        <v>0</v>
      </c>
      <c r="AO299" s="34">
        <v>16</v>
      </c>
      <c r="AP299" s="34">
        <v>25</v>
      </c>
      <c r="AQ299" s="34">
        <v>16</v>
      </c>
      <c r="AR299" s="34">
        <v>1</v>
      </c>
      <c r="AS299" s="34">
        <v>0</v>
      </c>
      <c r="AT299" s="34" t="str">
        <v>1P</v>
      </c>
      <c r="AU299" s="34">
        <v>16</v>
      </c>
      <c r="AV299" s="34" t="str">
        <v/>
      </c>
      <c r="AW299" s="34" t="str">
        <v/>
      </c>
      <c r="AX299" s="34" t="str">
        <v/>
      </c>
      <c r="AY299" s="34">
        <v>1</v>
      </c>
      <c r="AZ299" s="34" t="str">
        <v/>
      </c>
      <c r="BA299" s="34">
        <v>0</v>
      </c>
      <c r="BB299" s="34">
        <v>16</v>
      </c>
      <c r="BD299" s="34">
        <v>1</v>
      </c>
      <c r="BE299" s="34">
        <v>0</v>
      </c>
      <c r="BF299" s="34">
        <v>0</v>
      </c>
      <c r="BG299" s="34" t="str">
        <v/>
      </c>
      <c r="BH299" s="34" t="str">
        <v/>
      </c>
      <c r="BI299" s="34" t="str">
        <v/>
      </c>
      <c r="BJ299" s="34" t="str">
        <v/>
      </c>
      <c r="BK299" s="34" t="str">
        <v>BOX</v>
      </c>
      <c r="BL299" s="34">
        <v>1</v>
      </c>
      <c r="BM299" s="34" t="str">
        <v/>
      </c>
      <c r="BN299" s="34" t="str">
        <v/>
      </c>
      <c r="BO299" s="34" t="str">
        <v/>
      </c>
      <c r="BP299" s="34" t="str">
        <v/>
      </c>
      <c r="BQ299" s="34" t="str">
        <v>3х2,5</v>
      </c>
      <c r="BR299" s="34" t="str">
        <v/>
      </c>
      <c r="BS299" s="34" t="str">
        <v/>
      </c>
      <c r="BT299" s="34" t="str">
        <v/>
      </c>
      <c r="BU299" s="34">
        <v>0</v>
      </c>
      <c r="BV299" s="34">
        <v>320</v>
      </c>
      <c r="BW299" s="34">
        <v>1</v>
      </c>
      <c r="BX299" s="34">
        <v>0</v>
      </c>
      <c r="BY299" s="34">
        <v>0</v>
      </c>
      <c r="BZ299">
        <v>13</v>
      </c>
      <c r="CA299" t="str">
        <v>линии</v>
      </c>
    </row>
    <row r="300" spans="1:79" x14ac:dyDescent="0.3">
      <c r="A300" s="39" t="str">
        <v>ЩС-ВК.001</v>
      </c>
      <c r="B300" s="42">
        <v>15</v>
      </c>
      <c r="C300" s="42">
        <v>1</v>
      </c>
      <c r="D300" s="75" t="str">
        <v/>
      </c>
      <c r="E300" s="75" t="str">
        <v>авто</v>
      </c>
      <c r="F300" s="76" t="str">
        <v/>
      </c>
      <c r="G300" s="47" t="str">
        <v>QF6</v>
      </c>
      <c r="H300" s="47" t="str">
        <v>1P С16А</v>
      </c>
      <c r="I300" s="75" t="str">
        <v/>
      </c>
      <c r="J300" s="76" t="str">
        <v/>
      </c>
      <c r="K300" s="76" t="str">
        <v/>
      </c>
      <c r="L300" s="75" t="str">
        <v/>
      </c>
      <c r="M300" s="49" t="str">
        <v/>
      </c>
      <c r="N300" s="76" t="str">
        <v/>
      </c>
      <c r="O300" s="49" t="str">
        <v/>
      </c>
      <c r="P300" s="77" t="str">
        <v>XT6</v>
      </c>
      <c r="Q300" s="53" t="str">
        <v>ВВГнг(А)-LS (3х2,5) L=14-0,29%</v>
      </c>
      <c r="R300" s="54" t="str">
        <v>НВК.00.005Т.2</v>
      </c>
      <c r="S300" s="55" t="str">
        <v>Насос дренажный Подвальный этаж Пом. №005Т</v>
      </c>
      <c r="T300" s="56">
        <v>0.6</v>
      </c>
      <c r="U300" s="56">
        <v>2.7399999999999998</v>
      </c>
      <c r="V300" s="42" t="str">
        <v>L1</v>
      </c>
      <c r="W300" s="57" t="str">
        <v>ok</v>
      </c>
      <c r="X300" s="58" t="str">
        <v/>
      </c>
      <c r="Y300" s="75" t="str">
        <v/>
      </c>
      <c r="Z300" s="59">
        <v>2.7399999999999998</v>
      </c>
      <c r="AA300" s="61">
        <v>6</v>
      </c>
      <c r="AB300" s="61">
        <v>25</v>
      </c>
      <c r="AC300" s="61" t="str">
        <v/>
      </c>
      <c r="AD300" s="62" t="str">
        <v>QF6 → XT6</v>
      </c>
      <c r="AE300" s="62" t="str">
        <v/>
      </c>
      <c r="AF300" s="34">
        <v>6</v>
      </c>
      <c r="AG300" s="34" t="str">
        <v>QF6</v>
      </c>
      <c r="AH300" s="34" t="str">
        <v/>
      </c>
      <c r="AI300" s="34" t="str">
        <v/>
      </c>
      <c r="AJ300" s="34" t="str">
        <v>QF6</v>
      </c>
      <c r="AK300" s="34">
        <v>1</v>
      </c>
      <c r="AL300" s="34" t="str">
        <v>НВК</v>
      </c>
      <c r="AM300" s="34">
        <v>0</v>
      </c>
      <c r="AN300" s="34">
        <v>0</v>
      </c>
      <c r="AO300" s="34">
        <v>16</v>
      </c>
      <c r="AP300" s="34">
        <v>25</v>
      </c>
      <c r="AQ300" s="34">
        <v>16</v>
      </c>
      <c r="AR300" s="34">
        <v>1</v>
      </c>
      <c r="AS300" s="34">
        <v>0</v>
      </c>
      <c r="AT300" s="34" t="str">
        <v>1P</v>
      </c>
      <c r="AU300" s="34">
        <v>16</v>
      </c>
      <c r="AV300" s="34" t="str">
        <v/>
      </c>
      <c r="AW300" s="34" t="str">
        <v/>
      </c>
      <c r="AX300" s="34" t="str">
        <v/>
      </c>
      <c r="AY300" s="34">
        <v>1</v>
      </c>
      <c r="AZ300" s="34" t="str">
        <v/>
      </c>
      <c r="BA300" s="34">
        <v>0</v>
      </c>
      <c r="BB300" s="34">
        <v>16</v>
      </c>
      <c r="BD300" s="34">
        <v>1</v>
      </c>
      <c r="BE300" s="34">
        <v>0</v>
      </c>
      <c r="BF300" s="34">
        <v>0</v>
      </c>
      <c r="BG300" s="34" t="str">
        <v/>
      </c>
      <c r="BH300" s="34" t="str">
        <v/>
      </c>
      <c r="BI300" s="34" t="str">
        <v/>
      </c>
      <c r="BJ300" s="34" t="str">
        <v/>
      </c>
      <c r="BK300" s="34" t="str">
        <v>BOX</v>
      </c>
      <c r="BL300" s="34">
        <v>1</v>
      </c>
      <c r="BM300" s="34" t="str">
        <v/>
      </c>
      <c r="BN300" s="34" t="str">
        <v/>
      </c>
      <c r="BO300" s="34" t="str">
        <v/>
      </c>
      <c r="BP300" s="34" t="str">
        <v/>
      </c>
      <c r="BQ300" s="34" t="str">
        <v>3х2,5</v>
      </c>
      <c r="BR300" s="34" t="str">
        <v/>
      </c>
      <c r="BS300" s="34" t="str">
        <v/>
      </c>
      <c r="BT300" s="34" t="str">
        <v/>
      </c>
      <c r="BU300" s="34">
        <v>0</v>
      </c>
      <c r="BV300" s="34">
        <v>321</v>
      </c>
      <c r="BW300" s="34">
        <v>1</v>
      </c>
      <c r="BX300" s="34">
        <v>0</v>
      </c>
      <c r="BY300" s="34">
        <v>0</v>
      </c>
      <c r="BZ300">
        <v>13</v>
      </c>
      <c r="CA300" t="str">
        <v>линии</v>
      </c>
    </row>
    <row r="301" spans="1:79" x14ac:dyDescent="0.3">
      <c r="A301" s="39" t="str">
        <v>ЩС-ВК.001</v>
      </c>
      <c r="B301" s="42">
        <v>16</v>
      </c>
      <c r="C301" s="42">
        <v>1</v>
      </c>
      <c r="D301" s="75" t="str">
        <v/>
      </c>
      <c r="E301" s="75" t="str">
        <v>авто</v>
      </c>
      <c r="F301" s="76" t="str">
        <v/>
      </c>
      <c r="G301" s="47" t="str">
        <v>QF7</v>
      </c>
      <c r="H301" s="47" t="str">
        <v>1P С16А</v>
      </c>
      <c r="I301" s="75" t="str">
        <v/>
      </c>
      <c r="J301" s="76" t="str">
        <v/>
      </c>
      <c r="K301" s="76" t="str">
        <v/>
      </c>
      <c r="L301" s="75" t="str">
        <v/>
      </c>
      <c r="M301" s="49" t="str">
        <v/>
      </c>
      <c r="N301" s="76" t="str">
        <v/>
      </c>
      <c r="O301" s="49" t="str">
        <v/>
      </c>
      <c r="P301" s="77" t="str">
        <v>XT7</v>
      </c>
      <c r="Q301" s="53" t="str">
        <v>ВВГнг(А)-LS (3х2,5) L=22-0,15%</v>
      </c>
      <c r="R301" s="54" t="str">
        <v>НВК.00.002Т.1</v>
      </c>
      <c r="S301" s="55" t="str">
        <v>циркуляционный насос Подвальный этаж Пом. №002Т</v>
      </c>
      <c r="T301" s="56">
        <v>0.2</v>
      </c>
      <c r="U301" s="56">
        <v>0.92</v>
      </c>
      <c r="V301" s="42" t="str">
        <v>L1</v>
      </c>
      <c r="W301" s="57" t="str">
        <v>ok</v>
      </c>
      <c r="X301" s="58" t="str">
        <v/>
      </c>
      <c r="Y301" s="75" t="str">
        <v/>
      </c>
      <c r="Z301" s="59">
        <v>0.92</v>
      </c>
      <c r="AA301" s="61">
        <v>6</v>
      </c>
      <c r="AB301" s="61">
        <v>25</v>
      </c>
      <c r="AC301" s="61" t="str">
        <v/>
      </c>
      <c r="AD301" s="62" t="str">
        <v>QF7 → XT7</v>
      </c>
      <c r="AE301" s="62" t="str">
        <v/>
      </c>
      <c r="AF301" s="34">
        <v>7</v>
      </c>
      <c r="AG301" s="34" t="str">
        <v>QF7</v>
      </c>
      <c r="AH301" s="34" t="str">
        <v/>
      </c>
      <c r="AI301" s="34" t="str">
        <v/>
      </c>
      <c r="AJ301" s="34" t="str">
        <v>QF7</v>
      </c>
      <c r="AK301" s="34">
        <v>1</v>
      </c>
      <c r="AL301" s="34" t="str">
        <v>НВК</v>
      </c>
      <c r="AM301" s="34">
        <v>0</v>
      </c>
      <c r="AN301" s="34">
        <v>0</v>
      </c>
      <c r="AO301" s="34">
        <v>16</v>
      </c>
      <c r="AP301" s="34">
        <v>25</v>
      </c>
      <c r="AQ301" s="34">
        <v>16</v>
      </c>
      <c r="AR301" s="34">
        <v>1</v>
      </c>
      <c r="AS301" s="34">
        <v>0</v>
      </c>
      <c r="AT301" s="34" t="str">
        <v>1P</v>
      </c>
      <c r="AU301" s="34">
        <v>16</v>
      </c>
      <c r="AV301" s="34" t="str">
        <v/>
      </c>
      <c r="AW301" s="34" t="str">
        <v/>
      </c>
      <c r="AX301" s="34" t="str">
        <v/>
      </c>
      <c r="AY301" s="34">
        <v>1</v>
      </c>
      <c r="AZ301" s="34" t="str">
        <v/>
      </c>
      <c r="BA301" s="34">
        <v>0</v>
      </c>
      <c r="BB301" s="34">
        <v>16</v>
      </c>
      <c r="BD301" s="34">
        <v>1</v>
      </c>
      <c r="BE301" s="34">
        <v>0</v>
      </c>
      <c r="BF301" s="34">
        <v>0</v>
      </c>
      <c r="BG301" s="34" t="str">
        <v/>
      </c>
      <c r="BH301" s="34" t="str">
        <v/>
      </c>
      <c r="BI301" s="34" t="str">
        <v/>
      </c>
      <c r="BJ301" s="34" t="str">
        <v/>
      </c>
      <c r="BK301" s="34" t="str">
        <v>BOX</v>
      </c>
      <c r="BL301" s="34">
        <v>1</v>
      </c>
      <c r="BM301" s="34" t="str">
        <v/>
      </c>
      <c r="BN301" s="34" t="str">
        <v/>
      </c>
      <c r="BO301" s="34" t="str">
        <v/>
      </c>
      <c r="BP301" s="34" t="str">
        <v/>
      </c>
      <c r="BQ301" s="34" t="str">
        <v>3х2,5</v>
      </c>
      <c r="BR301" s="34" t="str">
        <v/>
      </c>
      <c r="BS301" s="34" t="str">
        <v/>
      </c>
      <c r="BT301" s="34" t="str">
        <v/>
      </c>
      <c r="BU301" s="34">
        <v>0</v>
      </c>
      <c r="BV301" s="34">
        <v>322</v>
      </c>
      <c r="BW301" s="34">
        <v>1</v>
      </c>
      <c r="BX301" s="34">
        <v>0</v>
      </c>
      <c r="BY301" s="34">
        <v>0</v>
      </c>
      <c r="BZ301">
        <v>13</v>
      </c>
      <c r="CA301" t="str">
        <v>линии</v>
      </c>
    </row>
    <row r="302" spans="1:79" x14ac:dyDescent="0.3">
      <c r="A302" s="39" t="str">
        <v>ЩС-ВК.002</v>
      </c>
      <c r="B302" s="42">
        <v>2</v>
      </c>
      <c r="C302" s="42">
        <v>1</v>
      </c>
      <c r="D302" s="75" t="str">
        <v/>
      </c>
      <c r="E302" s="75" t="str">
        <v/>
      </c>
      <c r="F302" s="76" t="str">
        <v/>
      </c>
      <c r="G302" s="47" t="str">
        <v/>
      </c>
      <c r="H302" s="47" t="str">
        <v/>
      </c>
      <c r="I302" s="75" t="str">
        <v/>
      </c>
      <c r="J302" s="76" t="str">
        <v/>
      </c>
      <c r="K302" s="76" t="str">
        <v/>
      </c>
      <c r="L302" s="75" t="str">
        <v/>
      </c>
      <c r="M302" s="49" t="str">
        <v/>
      </c>
      <c r="N302" s="76" t="str">
        <v/>
      </c>
      <c r="O302" s="49" t="str">
        <v/>
      </c>
      <c r="P302" s="77" t="str">
        <v/>
      </c>
      <c r="Q302" s="53" t="str">
        <v/>
      </c>
      <c r="R302" s="54" t="str">
        <v>Ввод.1</v>
      </c>
      <c r="S302" s="55" t="str">
        <v>Вводной кабель Шлейф №1</v>
      </c>
      <c r="T302" s="56">
        <v>0</v>
      </c>
      <c r="U302" s="56">
        <v>0</v>
      </c>
      <c r="V302" s="42" t="str">
        <v>L2</v>
      </c>
      <c r="W302" s="57" t="str">
        <v/>
      </c>
      <c r="X302" s="58" t="str">
        <v/>
      </c>
      <c r="Y302" s="75" t="str">
        <v>вручную</v>
      </c>
      <c r="Z302" s="59" t="str">
        <v/>
      </c>
      <c r="AA302" s="61" t="str">
        <v/>
      </c>
      <c r="AB302" s="61">
        <v>32</v>
      </c>
      <c r="AC302" s="61" t="str">
        <v/>
      </c>
      <c r="AD302" s="62" t="str">
        <v/>
      </c>
      <c r="AE302" s="62" t="str">
        <v/>
      </c>
      <c r="AF302" s="34" t="str">
        <v/>
      </c>
      <c r="AG302" s="34" t="str">
        <v/>
      </c>
      <c r="AH302" s="34" t="str">
        <v/>
      </c>
      <c r="AI302" s="34" t="str">
        <v/>
      </c>
      <c r="AJ302" s="34" t="str">
        <v/>
      </c>
      <c r="AK302" s="34">
        <v>1</v>
      </c>
      <c r="AL302" s="34" t="str">
        <v>Ввод</v>
      </c>
      <c r="AM302" s="34">
        <v>0</v>
      </c>
      <c r="AN302" s="34">
        <v>0</v>
      </c>
      <c r="AO302" s="34" t="str">
        <v/>
      </c>
      <c r="AP302" s="34" t="str">
        <v/>
      </c>
      <c r="AQ302" s="34" t="str">
        <v/>
      </c>
      <c r="AR302" s="34" t="str">
        <v/>
      </c>
      <c r="AS302" s="34" t="str">
        <v/>
      </c>
      <c r="AT302" s="34" t="str">
        <v/>
      </c>
      <c r="AU302" s="34" t="str">
        <v/>
      </c>
      <c r="AV302" s="34" t="str">
        <v/>
      </c>
      <c r="AW302" s="34" t="str">
        <v/>
      </c>
      <c r="AX302" s="34" t="str">
        <v/>
      </c>
      <c r="AY302" s="34">
        <v>0</v>
      </c>
      <c r="AZ302" s="34" t="str">
        <v/>
      </c>
      <c r="BA302" s="34">
        <v>0</v>
      </c>
      <c r="BB302" s="34">
        <v>20</v>
      </c>
      <c r="BD302" s="34">
        <v>0</v>
      </c>
      <c r="BE302" s="34">
        <v>0</v>
      </c>
      <c r="BF302" s="34">
        <v>0</v>
      </c>
      <c r="BG302" s="34" t="str">
        <v/>
      </c>
      <c r="BH302" s="34" t="str">
        <v/>
      </c>
      <c r="BI302" s="34" t="str">
        <v/>
      </c>
      <c r="BJ302" s="34" t="str">
        <v/>
      </c>
      <c r="BK302" s="34" t="str">
        <v>BOX</v>
      </c>
      <c r="BL302" s="34">
        <v>1</v>
      </c>
      <c r="BM302" s="34" t="str">
        <v/>
      </c>
      <c r="BN302" s="34" t="str">
        <v/>
      </c>
      <c r="BO302" s="34" t="str">
        <v/>
      </c>
      <c r="BP302" s="34" t="str">
        <v/>
      </c>
      <c r="BQ302" s="34" t="str">
        <v/>
      </c>
      <c r="BR302" s="34" t="str">
        <v/>
      </c>
      <c r="BS302" s="34" t="str">
        <v/>
      </c>
      <c r="BT302" s="34" t="str">
        <v/>
      </c>
      <c r="BU302" s="34">
        <v>0</v>
      </c>
      <c r="BV302" s="34">
        <v>323</v>
      </c>
      <c r="BW302" s="34">
        <v>0</v>
      </c>
      <c r="BX302" s="34">
        <v>0</v>
      </c>
      <c r="BY302" s="34">
        <v>0</v>
      </c>
      <c r="BZ302">
        <v>14</v>
      </c>
      <c r="CA302" t="str">
        <v>вводной узел</v>
      </c>
    </row>
    <row r="303" spans="1:79" x14ac:dyDescent="0.3">
      <c r="A303" s="39" t="str">
        <v>ЩС-ВК.002</v>
      </c>
      <c r="B303" s="42">
        <v>12</v>
      </c>
      <c r="C303" s="42">
        <v>1</v>
      </c>
      <c r="D303" s="75" t="str">
        <v/>
      </c>
      <c r="E303" s="75" t="str">
        <v>авто</v>
      </c>
      <c r="F303" s="76" t="str">
        <v/>
      </c>
      <c r="G303" s="47" t="str">
        <v>QF1</v>
      </c>
      <c r="H303" s="47" t="str">
        <v>1P С16А</v>
      </c>
      <c r="I303" s="75" t="str">
        <v/>
      </c>
      <c r="J303" s="76" t="str">
        <v/>
      </c>
      <c r="K303" s="76" t="str">
        <v/>
      </c>
      <c r="L303" s="75" t="str">
        <v/>
      </c>
      <c r="M303" s="49" t="str">
        <v/>
      </c>
      <c r="N303" s="76" t="str">
        <v/>
      </c>
      <c r="O303" s="49" t="str">
        <v/>
      </c>
      <c r="P303" s="77" t="str">
        <v>XT1</v>
      </c>
      <c r="Q303" s="53" t="str">
        <v>ВВГнг(А)-LS (3х2,5) L=37-0,76%</v>
      </c>
      <c r="R303" s="54" t="str">
        <v>НВК.00.002Тб.3</v>
      </c>
      <c r="S303" s="55" t="str">
        <v>Насос дренажный Подвальный этаж Пом. №002Тб</v>
      </c>
      <c r="T303" s="56">
        <v>0.6</v>
      </c>
      <c r="U303" s="56">
        <v>2.7399999999999998</v>
      </c>
      <c r="V303" s="42" t="str">
        <v>L1</v>
      </c>
      <c r="W303" s="57" t="str">
        <v>ok</v>
      </c>
      <c r="X303" s="58" t="str">
        <v/>
      </c>
      <c r="Y303" s="75" t="str">
        <v/>
      </c>
      <c r="Z303" s="59">
        <v>2.7399999999999998</v>
      </c>
      <c r="AA303" s="61">
        <v>6</v>
      </c>
      <c r="AB303" s="61">
        <v>25</v>
      </c>
      <c r="AC303" s="61" t="str">
        <v/>
      </c>
      <c r="AD303" s="62" t="str">
        <v>QF1 → XT1</v>
      </c>
      <c r="AE303" s="62" t="str">
        <v/>
      </c>
      <c r="AF303" s="34">
        <v>1</v>
      </c>
      <c r="AG303" s="34" t="str">
        <v>QF1</v>
      </c>
      <c r="AH303" s="34" t="str">
        <v/>
      </c>
      <c r="AI303" s="34" t="str">
        <v/>
      </c>
      <c r="AJ303" s="34" t="str">
        <v>QF1</v>
      </c>
      <c r="AK303" s="34">
        <v>1</v>
      </c>
      <c r="AL303" s="34" t="str">
        <v>НВК</v>
      </c>
      <c r="AM303" s="34">
        <v>0</v>
      </c>
      <c r="AN303" s="34">
        <v>0</v>
      </c>
      <c r="AO303" s="34">
        <v>16</v>
      </c>
      <c r="AP303" s="34">
        <v>25</v>
      </c>
      <c r="AQ303" s="34">
        <v>16</v>
      </c>
      <c r="AR303" s="34">
        <v>1</v>
      </c>
      <c r="AS303" s="34">
        <v>0</v>
      </c>
      <c r="AT303" s="34" t="str">
        <v>1P</v>
      </c>
      <c r="AU303" s="34">
        <v>16</v>
      </c>
      <c r="AV303" s="34" t="str">
        <v/>
      </c>
      <c r="AW303" s="34" t="str">
        <v/>
      </c>
      <c r="AX303" s="34" t="str">
        <v/>
      </c>
      <c r="AY303" s="34">
        <v>1</v>
      </c>
      <c r="AZ303" s="34" t="str">
        <v/>
      </c>
      <c r="BA303" s="34">
        <v>0</v>
      </c>
      <c r="BB303" s="34">
        <v>16</v>
      </c>
      <c r="BD303" s="34">
        <v>1</v>
      </c>
      <c r="BE303" s="34">
        <v>0</v>
      </c>
      <c r="BF303" s="34">
        <v>0</v>
      </c>
      <c r="BG303" s="34" t="str">
        <v/>
      </c>
      <c r="BH303" s="34" t="str">
        <v/>
      </c>
      <c r="BI303" s="34" t="str">
        <v/>
      </c>
      <c r="BJ303" s="34" t="str">
        <v/>
      </c>
      <c r="BK303" s="34" t="str">
        <v>BOX</v>
      </c>
      <c r="BL303" s="34">
        <v>1</v>
      </c>
      <c r="BM303" s="34" t="str">
        <v/>
      </c>
      <c r="BN303" s="34" t="str">
        <v/>
      </c>
      <c r="BO303" s="34" t="str">
        <v/>
      </c>
      <c r="BP303" s="34" t="str">
        <v/>
      </c>
      <c r="BQ303" s="34" t="str">
        <v>3х2,5</v>
      </c>
      <c r="BR303" s="34" t="str">
        <v/>
      </c>
      <c r="BS303" s="34" t="str">
        <v/>
      </c>
      <c r="BT303" s="34" t="str">
        <v/>
      </c>
      <c r="BU303" s="34">
        <v>0</v>
      </c>
      <c r="BV303" s="34">
        <v>324</v>
      </c>
      <c r="BW303" s="34">
        <v>1</v>
      </c>
      <c r="BX303" s="34">
        <v>0</v>
      </c>
      <c r="BY303" s="34">
        <v>0</v>
      </c>
      <c r="BZ303">
        <v>14</v>
      </c>
      <c r="CA303" t="str">
        <v>линии</v>
      </c>
    </row>
    <row r="304" spans="1:79" x14ac:dyDescent="0.3">
      <c r="A304" s="39" t="str">
        <v>ЩС-ВК.002</v>
      </c>
      <c r="B304" s="42">
        <v>13</v>
      </c>
      <c r="C304" s="42">
        <v>1</v>
      </c>
      <c r="D304" s="75" t="str">
        <v/>
      </c>
      <c r="E304" s="75" t="str">
        <v>авто</v>
      </c>
      <c r="F304" s="76" t="str">
        <v/>
      </c>
      <c r="G304" s="47" t="str">
        <v>QF2</v>
      </c>
      <c r="H304" s="47" t="str">
        <v>1P С16А</v>
      </c>
      <c r="I304" s="75" t="str">
        <v/>
      </c>
      <c r="J304" s="76" t="str">
        <v/>
      </c>
      <c r="K304" s="76" t="str">
        <v/>
      </c>
      <c r="L304" s="75" t="str">
        <v/>
      </c>
      <c r="M304" s="49" t="str">
        <v/>
      </c>
      <c r="N304" s="76" t="str">
        <v/>
      </c>
      <c r="O304" s="49" t="str">
        <v/>
      </c>
      <c r="P304" s="77" t="str">
        <v>XT2</v>
      </c>
      <c r="Q304" s="53" t="str">
        <v>ВВГнг(А)-LS (3х2,5) L=36-0,74%</v>
      </c>
      <c r="R304" s="54" t="str">
        <v>НВК.00.002Тб.4</v>
      </c>
      <c r="S304" s="55" t="str">
        <v>Насос дренажный Подвальный этаж Пом. №002Тб</v>
      </c>
      <c r="T304" s="56">
        <v>0.6</v>
      </c>
      <c r="U304" s="56">
        <v>2.7399999999999998</v>
      </c>
      <c r="V304" s="42" t="str">
        <v>L1</v>
      </c>
      <c r="W304" s="57" t="str">
        <v>ok</v>
      </c>
      <c r="X304" s="58" t="str">
        <v/>
      </c>
      <c r="Y304" s="75" t="str">
        <v/>
      </c>
      <c r="Z304" s="59">
        <v>2.7399999999999998</v>
      </c>
      <c r="AA304" s="61">
        <v>6</v>
      </c>
      <c r="AB304" s="61">
        <v>25</v>
      </c>
      <c r="AC304" s="61" t="str">
        <v/>
      </c>
      <c r="AD304" s="62" t="str">
        <v>QF2 → XT2</v>
      </c>
      <c r="AE304" s="62" t="str">
        <v/>
      </c>
      <c r="AF304" s="34">
        <v>2</v>
      </c>
      <c r="AG304" s="34" t="str">
        <v>QF2</v>
      </c>
      <c r="AH304" s="34" t="str">
        <v/>
      </c>
      <c r="AI304" s="34" t="str">
        <v/>
      </c>
      <c r="AJ304" s="34" t="str">
        <v>QF2</v>
      </c>
      <c r="AK304" s="34">
        <v>1</v>
      </c>
      <c r="AL304" s="34" t="str">
        <v>НВК</v>
      </c>
      <c r="AM304" s="34">
        <v>0</v>
      </c>
      <c r="AN304" s="34">
        <v>0</v>
      </c>
      <c r="AO304" s="34">
        <v>16</v>
      </c>
      <c r="AP304" s="34">
        <v>25</v>
      </c>
      <c r="AQ304" s="34">
        <v>16</v>
      </c>
      <c r="AR304" s="34">
        <v>1</v>
      </c>
      <c r="AS304" s="34">
        <v>0</v>
      </c>
      <c r="AT304" s="34" t="str">
        <v>1P</v>
      </c>
      <c r="AU304" s="34">
        <v>16</v>
      </c>
      <c r="AV304" s="34" t="str">
        <v/>
      </c>
      <c r="AW304" s="34" t="str">
        <v/>
      </c>
      <c r="AX304" s="34" t="str">
        <v/>
      </c>
      <c r="AY304" s="34">
        <v>1</v>
      </c>
      <c r="AZ304" s="34" t="str">
        <v/>
      </c>
      <c r="BA304" s="34">
        <v>0</v>
      </c>
      <c r="BB304" s="34">
        <v>16</v>
      </c>
      <c r="BD304" s="34">
        <v>1</v>
      </c>
      <c r="BE304" s="34">
        <v>0</v>
      </c>
      <c r="BF304" s="34">
        <v>0</v>
      </c>
      <c r="BG304" s="34" t="str">
        <v/>
      </c>
      <c r="BH304" s="34" t="str">
        <v/>
      </c>
      <c r="BI304" s="34" t="str">
        <v/>
      </c>
      <c r="BJ304" s="34" t="str">
        <v/>
      </c>
      <c r="BK304" s="34" t="str">
        <v>BOX</v>
      </c>
      <c r="BL304" s="34">
        <v>1</v>
      </c>
      <c r="BM304" s="34" t="str">
        <v/>
      </c>
      <c r="BN304" s="34" t="str">
        <v/>
      </c>
      <c r="BO304" s="34" t="str">
        <v/>
      </c>
      <c r="BP304" s="34" t="str">
        <v/>
      </c>
      <c r="BQ304" s="34" t="str">
        <v>3х2,5</v>
      </c>
      <c r="BR304" s="34" t="str">
        <v/>
      </c>
      <c r="BS304" s="34" t="str">
        <v/>
      </c>
      <c r="BT304" s="34" t="str">
        <v/>
      </c>
      <c r="BU304" s="34">
        <v>0</v>
      </c>
      <c r="BV304" s="34">
        <v>325</v>
      </c>
      <c r="BW304" s="34">
        <v>1</v>
      </c>
      <c r="BX304" s="34">
        <v>0</v>
      </c>
      <c r="BY304" s="34">
        <v>0</v>
      </c>
      <c r="BZ304">
        <v>14</v>
      </c>
      <c r="CA304" t="str">
        <v>линии</v>
      </c>
    </row>
    <row r="305" spans="1:79" x14ac:dyDescent="0.3">
      <c r="A305" s="39" t="str">
        <v>ЩС-ВК.002</v>
      </c>
      <c r="B305" s="42">
        <v>14</v>
      </c>
      <c r="C305" s="42">
        <v>1</v>
      </c>
      <c r="D305" s="75" t="str">
        <v/>
      </c>
      <c r="E305" s="75" t="str">
        <v>авто</v>
      </c>
      <c r="F305" s="76" t="str">
        <v/>
      </c>
      <c r="G305" s="47" t="str">
        <v>QF3</v>
      </c>
      <c r="H305" s="47" t="str">
        <v>1P С16А</v>
      </c>
      <c r="I305" s="75" t="str">
        <v/>
      </c>
      <c r="J305" s="76" t="str">
        <v/>
      </c>
      <c r="K305" s="76" t="str">
        <v/>
      </c>
      <c r="L305" s="75" t="str">
        <v/>
      </c>
      <c r="M305" s="49" t="str">
        <v/>
      </c>
      <c r="N305" s="76" t="str">
        <v/>
      </c>
      <c r="O305" s="49" t="str">
        <v/>
      </c>
      <c r="P305" s="77" t="str">
        <v>XT3</v>
      </c>
      <c r="Q305" s="53" t="str">
        <v>ВВГнг(А)-LS (3х2,5) L=13-0,27%</v>
      </c>
      <c r="R305" s="54" t="str">
        <v>НВК.00.002Тб.2</v>
      </c>
      <c r="S305" s="55" t="str">
        <v>Насос дренажный Подвальный этаж Пом. №002Тб</v>
      </c>
      <c r="T305" s="56">
        <v>0.6</v>
      </c>
      <c r="U305" s="56">
        <v>2.7399999999999998</v>
      </c>
      <c r="V305" s="42" t="str">
        <v>L1</v>
      </c>
      <c r="W305" s="57" t="str">
        <v>ok</v>
      </c>
      <c r="X305" s="58" t="str">
        <v/>
      </c>
      <c r="Y305" s="75" t="str">
        <v/>
      </c>
      <c r="Z305" s="59">
        <v>2.7399999999999998</v>
      </c>
      <c r="AA305" s="61">
        <v>6</v>
      </c>
      <c r="AB305" s="61">
        <v>25</v>
      </c>
      <c r="AC305" s="61" t="str">
        <v/>
      </c>
      <c r="AD305" s="62" t="str">
        <v>QF3 → XT3</v>
      </c>
      <c r="AE305" s="62" t="str">
        <v/>
      </c>
      <c r="AF305" s="34">
        <v>3</v>
      </c>
      <c r="AG305" s="34" t="str">
        <v>QF3</v>
      </c>
      <c r="AH305" s="34" t="str">
        <v/>
      </c>
      <c r="AI305" s="34" t="str">
        <v/>
      </c>
      <c r="AJ305" s="34" t="str">
        <v>QF3</v>
      </c>
      <c r="AK305" s="34">
        <v>1</v>
      </c>
      <c r="AL305" s="34" t="str">
        <v>НВК</v>
      </c>
      <c r="AM305" s="34">
        <v>0</v>
      </c>
      <c r="AN305" s="34">
        <v>0</v>
      </c>
      <c r="AO305" s="34">
        <v>16</v>
      </c>
      <c r="AP305" s="34">
        <v>25</v>
      </c>
      <c r="AQ305" s="34">
        <v>16</v>
      </c>
      <c r="AR305" s="34">
        <v>1</v>
      </c>
      <c r="AS305" s="34">
        <v>0</v>
      </c>
      <c r="AT305" s="34" t="str">
        <v>1P</v>
      </c>
      <c r="AU305" s="34">
        <v>16</v>
      </c>
      <c r="AV305" s="34" t="str">
        <v/>
      </c>
      <c r="AW305" s="34" t="str">
        <v/>
      </c>
      <c r="AX305" s="34" t="str">
        <v/>
      </c>
      <c r="AY305" s="34">
        <v>1</v>
      </c>
      <c r="AZ305" s="34" t="str">
        <v/>
      </c>
      <c r="BA305" s="34">
        <v>0</v>
      </c>
      <c r="BB305" s="34">
        <v>16</v>
      </c>
      <c r="BD305" s="34">
        <v>1</v>
      </c>
      <c r="BE305" s="34">
        <v>0</v>
      </c>
      <c r="BF305" s="34">
        <v>0</v>
      </c>
      <c r="BG305" s="34" t="str">
        <v/>
      </c>
      <c r="BH305" s="34" t="str">
        <v/>
      </c>
      <c r="BI305" s="34" t="str">
        <v/>
      </c>
      <c r="BJ305" s="34" t="str">
        <v/>
      </c>
      <c r="BK305" s="34" t="str">
        <v>BOX</v>
      </c>
      <c r="BL305" s="34">
        <v>1</v>
      </c>
      <c r="BM305" s="34" t="str">
        <v/>
      </c>
      <c r="BN305" s="34" t="str">
        <v/>
      </c>
      <c r="BO305" s="34" t="str">
        <v/>
      </c>
      <c r="BP305" s="34" t="str">
        <v/>
      </c>
      <c r="BQ305" s="34" t="str">
        <v>3х2,5</v>
      </c>
      <c r="BR305" s="34" t="str">
        <v/>
      </c>
      <c r="BS305" s="34" t="str">
        <v/>
      </c>
      <c r="BT305" s="34" t="str">
        <v/>
      </c>
      <c r="BU305" s="34">
        <v>0</v>
      </c>
      <c r="BV305" s="34">
        <v>326</v>
      </c>
      <c r="BW305" s="34">
        <v>1</v>
      </c>
      <c r="BX305" s="34">
        <v>0</v>
      </c>
      <c r="BY305" s="34">
        <v>0</v>
      </c>
      <c r="BZ305">
        <v>14</v>
      </c>
      <c r="CA305" t="str">
        <v>линии</v>
      </c>
    </row>
    <row r="306" spans="1:79" x14ac:dyDescent="0.3">
      <c r="A306" s="39" t="str">
        <v>ЩС-ВК.002</v>
      </c>
      <c r="B306" s="42">
        <v>15</v>
      </c>
      <c r="C306" s="42">
        <v>1</v>
      </c>
      <c r="D306" s="75" t="str">
        <v/>
      </c>
      <c r="E306" s="75" t="str">
        <v>авто</v>
      </c>
      <c r="F306" s="76" t="str">
        <v/>
      </c>
      <c r="G306" s="47" t="str">
        <v>QF4</v>
      </c>
      <c r="H306" s="47" t="str">
        <v>1P С16А</v>
      </c>
      <c r="I306" s="75" t="str">
        <v/>
      </c>
      <c r="J306" s="76" t="str">
        <v/>
      </c>
      <c r="K306" s="76" t="str">
        <v/>
      </c>
      <c r="L306" s="75" t="str">
        <v/>
      </c>
      <c r="M306" s="49" t="str">
        <v/>
      </c>
      <c r="N306" s="76" t="str">
        <v/>
      </c>
      <c r="O306" s="49" t="str">
        <v/>
      </c>
      <c r="P306" s="77" t="str">
        <v>XT4</v>
      </c>
      <c r="Q306" s="53" t="str">
        <v>ВВГнг(А)-LS (3х2,5) L=13-0,27%</v>
      </c>
      <c r="R306" s="54" t="str">
        <v>НВК.00.002Тб.1</v>
      </c>
      <c r="S306" s="55" t="str">
        <v>Насос дренажный Подвальный этаж Пом. №002Тб</v>
      </c>
      <c r="T306" s="56">
        <v>0.6</v>
      </c>
      <c r="U306" s="56">
        <v>2.7399999999999998</v>
      </c>
      <c r="V306" s="42" t="str">
        <v>L1</v>
      </c>
      <c r="W306" s="57" t="str">
        <v>ok</v>
      </c>
      <c r="X306" s="58" t="str">
        <v/>
      </c>
      <c r="Y306" s="75" t="str">
        <v/>
      </c>
      <c r="Z306" s="59">
        <v>2.7399999999999998</v>
      </c>
      <c r="AA306" s="61">
        <v>6</v>
      </c>
      <c r="AB306" s="61">
        <v>25</v>
      </c>
      <c r="AC306" s="61" t="str">
        <v/>
      </c>
      <c r="AD306" s="62" t="str">
        <v>QF4 → XT4</v>
      </c>
      <c r="AE306" s="62" t="str">
        <v/>
      </c>
      <c r="AF306" s="34">
        <v>4</v>
      </c>
      <c r="AG306" s="34" t="str">
        <v>QF4</v>
      </c>
      <c r="AH306" s="34" t="str">
        <v/>
      </c>
      <c r="AI306" s="34" t="str">
        <v/>
      </c>
      <c r="AJ306" s="34" t="str">
        <v>QF4</v>
      </c>
      <c r="AK306" s="34">
        <v>1</v>
      </c>
      <c r="AL306" s="34" t="str">
        <v>НВК</v>
      </c>
      <c r="AM306" s="34">
        <v>0</v>
      </c>
      <c r="AN306" s="34">
        <v>0</v>
      </c>
      <c r="AO306" s="34">
        <v>16</v>
      </c>
      <c r="AP306" s="34">
        <v>25</v>
      </c>
      <c r="AQ306" s="34">
        <v>16</v>
      </c>
      <c r="AR306" s="34">
        <v>1</v>
      </c>
      <c r="AS306" s="34">
        <v>0</v>
      </c>
      <c r="AT306" s="34" t="str">
        <v>1P</v>
      </c>
      <c r="AU306" s="34">
        <v>16</v>
      </c>
      <c r="AV306" s="34" t="str">
        <v/>
      </c>
      <c r="AW306" s="34" t="str">
        <v/>
      </c>
      <c r="AX306" s="34" t="str">
        <v/>
      </c>
      <c r="AY306" s="34">
        <v>1</v>
      </c>
      <c r="AZ306" s="34" t="str">
        <v/>
      </c>
      <c r="BA306" s="34">
        <v>0</v>
      </c>
      <c r="BB306" s="34">
        <v>16</v>
      </c>
      <c r="BD306" s="34">
        <v>1</v>
      </c>
      <c r="BE306" s="34">
        <v>0</v>
      </c>
      <c r="BF306" s="34">
        <v>0</v>
      </c>
      <c r="BG306" s="34" t="str">
        <v/>
      </c>
      <c r="BH306" s="34" t="str">
        <v/>
      </c>
      <c r="BI306" s="34" t="str">
        <v/>
      </c>
      <c r="BJ306" s="34" t="str">
        <v/>
      </c>
      <c r="BK306" s="34" t="str">
        <v>BOX</v>
      </c>
      <c r="BL306" s="34">
        <v>1</v>
      </c>
      <c r="BM306" s="34" t="str">
        <v/>
      </c>
      <c r="BN306" s="34" t="str">
        <v/>
      </c>
      <c r="BO306" s="34" t="str">
        <v/>
      </c>
      <c r="BP306" s="34" t="str">
        <v/>
      </c>
      <c r="BQ306" s="34" t="str">
        <v>3х2,5</v>
      </c>
      <c r="BR306" s="34" t="str">
        <v/>
      </c>
      <c r="BS306" s="34" t="str">
        <v/>
      </c>
      <c r="BT306" s="34" t="str">
        <v/>
      </c>
      <c r="BU306" s="34">
        <v>0</v>
      </c>
      <c r="BV306" s="34">
        <v>327</v>
      </c>
      <c r="BW306" s="34">
        <v>1</v>
      </c>
      <c r="BX306" s="34">
        <v>0</v>
      </c>
      <c r="BY306" s="34">
        <v>0</v>
      </c>
      <c r="BZ306">
        <v>14</v>
      </c>
      <c r="CA306" t="str">
        <v>линии</v>
      </c>
    </row>
    <row r="307" spans="1:79" x14ac:dyDescent="0.3">
      <c r="A307" s="39" t="str">
        <v>ЩС-ВК.003</v>
      </c>
      <c r="B307" s="42">
        <v>2</v>
      </c>
      <c r="C307" s="42">
        <v>1</v>
      </c>
      <c r="D307" s="75" t="str">
        <v/>
      </c>
      <c r="E307" s="75" t="str">
        <v/>
      </c>
      <c r="F307" s="76" t="str">
        <v/>
      </c>
      <c r="G307" s="47" t="str">
        <v/>
      </c>
      <c r="H307" s="47" t="str">
        <v/>
      </c>
      <c r="I307" s="75" t="str">
        <v/>
      </c>
      <c r="J307" s="76" t="str">
        <v/>
      </c>
      <c r="K307" s="76" t="str">
        <v/>
      </c>
      <c r="L307" s="75" t="str">
        <v/>
      </c>
      <c r="M307" s="49" t="str">
        <v/>
      </c>
      <c r="N307" s="76" t="str">
        <v/>
      </c>
      <c r="O307" s="49" t="str">
        <v/>
      </c>
      <c r="P307" s="77" t="str">
        <v/>
      </c>
      <c r="Q307" s="53" t="str">
        <v/>
      </c>
      <c r="R307" s="54" t="str">
        <v>Ввод.1</v>
      </c>
      <c r="S307" s="55" t="str">
        <v>Вводной кабель Шлейф №1</v>
      </c>
      <c r="T307" s="56">
        <v>0</v>
      </c>
      <c r="U307" s="56">
        <v>0</v>
      </c>
      <c r="V307" s="42" t="str">
        <v>L1,L2,L3</v>
      </c>
      <c r="W307" s="57" t="str">
        <v/>
      </c>
      <c r="X307" s="58" t="str">
        <v/>
      </c>
      <c r="Y307" s="75" t="str">
        <v>вручную</v>
      </c>
      <c r="Z307" s="59" t="str">
        <v/>
      </c>
      <c r="AA307" s="61" t="str">
        <v/>
      </c>
      <c r="AB307" s="61">
        <v>32</v>
      </c>
      <c r="AC307" s="61" t="str">
        <v/>
      </c>
      <c r="AD307" s="62" t="str">
        <v/>
      </c>
      <c r="AE307" s="62" t="str">
        <v/>
      </c>
      <c r="AF307" s="34" t="str">
        <v/>
      </c>
      <c r="AG307" s="34" t="str">
        <v/>
      </c>
      <c r="AH307" s="34" t="str">
        <v/>
      </c>
      <c r="AI307" s="34" t="str">
        <v/>
      </c>
      <c r="AJ307" s="34" t="str">
        <v/>
      </c>
      <c r="AK307" s="34">
        <v>3</v>
      </c>
      <c r="AL307" s="34" t="str">
        <v>Ввод</v>
      </c>
      <c r="AM307" s="34">
        <v>0</v>
      </c>
      <c r="AN307" s="34">
        <v>0</v>
      </c>
      <c r="AO307" s="34" t="str">
        <v/>
      </c>
      <c r="AP307" s="34" t="str">
        <v/>
      </c>
      <c r="AQ307" s="34" t="str">
        <v/>
      </c>
      <c r="AR307" s="34" t="str">
        <v/>
      </c>
      <c r="AS307" s="34" t="str">
        <v/>
      </c>
      <c r="AT307" s="34" t="str">
        <v/>
      </c>
      <c r="AU307" s="34" t="str">
        <v/>
      </c>
      <c r="AV307" s="34" t="str">
        <v/>
      </c>
      <c r="AW307" s="34" t="str">
        <v/>
      </c>
      <c r="AX307" s="34" t="str">
        <v/>
      </c>
      <c r="AY307" s="34">
        <v>0</v>
      </c>
      <c r="AZ307" s="34" t="str">
        <v/>
      </c>
      <c r="BA307" s="34">
        <v>0</v>
      </c>
      <c r="BB307" s="34">
        <v>20</v>
      </c>
      <c r="BD307" s="34">
        <v>0</v>
      </c>
      <c r="BE307" s="34">
        <v>0</v>
      </c>
      <c r="BF307" s="34">
        <v>0</v>
      </c>
      <c r="BG307" s="34" t="str">
        <v/>
      </c>
      <c r="BH307" s="34" t="str">
        <v/>
      </c>
      <c r="BI307" s="34" t="str">
        <v/>
      </c>
      <c r="BJ307" s="34" t="str">
        <v/>
      </c>
      <c r="BK307" s="34" t="str">
        <v>BOX</v>
      </c>
      <c r="BL307" s="34">
        <v>1</v>
      </c>
      <c r="BM307" s="34" t="str">
        <v/>
      </c>
      <c r="BN307" s="34" t="str">
        <v/>
      </c>
      <c r="BO307" s="34" t="str">
        <v/>
      </c>
      <c r="BP307" s="34" t="str">
        <v/>
      </c>
      <c r="BQ307" s="34" t="str">
        <v/>
      </c>
      <c r="BR307" s="34" t="str">
        <v/>
      </c>
      <c r="BS307" s="34" t="str">
        <v/>
      </c>
      <c r="BT307" s="34" t="str">
        <v/>
      </c>
      <c r="BU307" s="34">
        <v>0</v>
      </c>
      <c r="BV307" s="34">
        <v>328</v>
      </c>
      <c r="BW307" s="34">
        <v>0</v>
      </c>
      <c r="BX307" s="34">
        <v>0</v>
      </c>
      <c r="BY307" s="34">
        <v>0</v>
      </c>
      <c r="BZ307">
        <v>15</v>
      </c>
      <c r="CA307" t="str">
        <v>вводной узел</v>
      </c>
    </row>
    <row r="308" spans="1:79" x14ac:dyDescent="0.3">
      <c r="A308" s="39" t="str">
        <v>ЩС-ВК.003</v>
      </c>
      <c r="B308" s="42">
        <v>12</v>
      </c>
      <c r="C308" s="42">
        <v>1</v>
      </c>
      <c r="D308" s="75" t="str">
        <v/>
      </c>
      <c r="E308" s="75" t="str">
        <v>авто</v>
      </c>
      <c r="F308" s="76" t="str">
        <v/>
      </c>
      <c r="G308" s="47" t="str">
        <v>QF1</v>
      </c>
      <c r="H308" s="47" t="str">
        <v>1P С16А</v>
      </c>
      <c r="I308" s="75" t="str">
        <v/>
      </c>
      <c r="J308" s="76" t="str">
        <v/>
      </c>
      <c r="K308" s="76" t="str">
        <v/>
      </c>
      <c r="L308" s="75" t="str">
        <v/>
      </c>
      <c r="M308" s="49" t="str">
        <v/>
      </c>
      <c r="N308" s="76" t="str">
        <v/>
      </c>
      <c r="O308" s="49" t="str">
        <v/>
      </c>
      <c r="P308" s="77" t="str">
        <v>XT1</v>
      </c>
      <c r="Q308" s="53" t="str">
        <v>ВВГнг(А)-LS (3х2,5) L=16-0,33%</v>
      </c>
      <c r="R308" s="54" t="str">
        <v>НВК.00.006Т.2</v>
      </c>
      <c r="S308" s="55" t="str">
        <v>Насос дренажный Подвальный этаж Пом. №006Т</v>
      </c>
      <c r="T308" s="56">
        <v>0.6</v>
      </c>
      <c r="U308" s="56">
        <v>2.7399999999999998</v>
      </c>
      <c r="V308" s="42" t="str">
        <v>L3</v>
      </c>
      <c r="W308" s="57" t="str">
        <v>ok</v>
      </c>
      <c r="X308" s="58" t="str">
        <v/>
      </c>
      <c r="Y308" s="75" t="str">
        <v/>
      </c>
      <c r="Z308" s="59">
        <v>2.7399999999999998</v>
      </c>
      <c r="AA308" s="61">
        <v>6</v>
      </c>
      <c r="AB308" s="61">
        <v>25</v>
      </c>
      <c r="AC308" s="61" t="str">
        <v/>
      </c>
      <c r="AD308" s="62" t="str">
        <v>QF1 → XT1</v>
      </c>
      <c r="AE308" s="62" t="str">
        <v/>
      </c>
      <c r="AF308" s="34">
        <v>1</v>
      </c>
      <c r="AG308" s="34" t="str">
        <v>QF1</v>
      </c>
      <c r="AH308" s="34" t="str">
        <v/>
      </c>
      <c r="AI308" s="34" t="str">
        <v/>
      </c>
      <c r="AJ308" s="34" t="str">
        <v>QF1</v>
      </c>
      <c r="AK308" s="34">
        <v>1</v>
      </c>
      <c r="AL308" s="34" t="str">
        <v>НВК</v>
      </c>
      <c r="AM308" s="34">
        <v>0</v>
      </c>
      <c r="AN308" s="34">
        <v>0</v>
      </c>
      <c r="AO308" s="34">
        <v>16</v>
      </c>
      <c r="AP308" s="34">
        <v>25</v>
      </c>
      <c r="AQ308" s="34">
        <v>16</v>
      </c>
      <c r="AR308" s="34">
        <v>1</v>
      </c>
      <c r="AS308" s="34">
        <v>0</v>
      </c>
      <c r="AT308" s="34" t="str">
        <v>1P</v>
      </c>
      <c r="AU308" s="34">
        <v>16</v>
      </c>
      <c r="AV308" s="34" t="str">
        <v/>
      </c>
      <c r="AW308" s="34" t="str">
        <v/>
      </c>
      <c r="AX308" s="34" t="str">
        <v/>
      </c>
      <c r="AY308" s="34">
        <v>1</v>
      </c>
      <c r="AZ308" s="34" t="str">
        <v/>
      </c>
      <c r="BA308" s="34">
        <v>0</v>
      </c>
      <c r="BB308" s="34">
        <v>16</v>
      </c>
      <c r="BD308" s="34">
        <v>1</v>
      </c>
      <c r="BE308" s="34">
        <v>0</v>
      </c>
      <c r="BF308" s="34">
        <v>0</v>
      </c>
      <c r="BG308" s="34" t="str">
        <v/>
      </c>
      <c r="BH308" s="34" t="str">
        <v/>
      </c>
      <c r="BI308" s="34" t="str">
        <v/>
      </c>
      <c r="BJ308" s="34" t="str">
        <v/>
      </c>
      <c r="BK308" s="34" t="str">
        <v>BOX</v>
      </c>
      <c r="BL308" s="34">
        <v>1</v>
      </c>
      <c r="BM308" s="34" t="str">
        <v/>
      </c>
      <c r="BN308" s="34" t="str">
        <v/>
      </c>
      <c r="BO308" s="34" t="str">
        <v/>
      </c>
      <c r="BP308" s="34" t="str">
        <v/>
      </c>
      <c r="BQ308" s="34" t="str">
        <v>3х2,5</v>
      </c>
      <c r="BR308" s="34" t="str">
        <v/>
      </c>
      <c r="BS308" s="34" t="str">
        <v/>
      </c>
      <c r="BT308" s="34" t="str">
        <v/>
      </c>
      <c r="BU308" s="34">
        <v>0</v>
      </c>
      <c r="BV308" s="34">
        <v>329</v>
      </c>
      <c r="BW308" s="34">
        <v>1</v>
      </c>
      <c r="BX308" s="34">
        <v>0</v>
      </c>
      <c r="BY308" s="34">
        <v>0</v>
      </c>
      <c r="BZ308">
        <v>15</v>
      </c>
      <c r="CA308" t="str">
        <v>линии</v>
      </c>
    </row>
    <row r="309" spans="1:79" x14ac:dyDescent="0.3">
      <c r="A309" s="39" t="str">
        <v>ЩС-ВК.003</v>
      </c>
      <c r="B309" s="42">
        <v>13</v>
      </c>
      <c r="C309" s="42">
        <v>1</v>
      </c>
      <c r="D309" s="75" t="str">
        <v/>
      </c>
      <c r="E309" s="75" t="str">
        <v>авто</v>
      </c>
      <c r="F309" s="76" t="str">
        <v/>
      </c>
      <c r="G309" s="47" t="str">
        <v>QF2</v>
      </c>
      <c r="H309" s="47" t="str">
        <v>1P С16А</v>
      </c>
      <c r="I309" s="75" t="str">
        <v/>
      </c>
      <c r="J309" s="76" t="str">
        <v/>
      </c>
      <c r="K309" s="76" t="str">
        <v/>
      </c>
      <c r="L309" s="75" t="str">
        <v/>
      </c>
      <c r="M309" s="49" t="str">
        <v/>
      </c>
      <c r="N309" s="76" t="str">
        <v/>
      </c>
      <c r="O309" s="49" t="str">
        <v/>
      </c>
      <c r="P309" s="77" t="str">
        <v>XT2</v>
      </c>
      <c r="Q309" s="53" t="str">
        <v>ВВГнг(А)-LS (3х2,5) L=15-0,31%</v>
      </c>
      <c r="R309" s="54" t="str">
        <v>НВК.00.006Т.1</v>
      </c>
      <c r="S309" s="55" t="str">
        <v>Насос дренажный Подвальный этаж Пом. №006Т</v>
      </c>
      <c r="T309" s="56">
        <v>0.6</v>
      </c>
      <c r="U309" s="56">
        <v>2.7399999999999998</v>
      </c>
      <c r="V309" s="42" t="str">
        <v>L3</v>
      </c>
      <c r="W309" s="57" t="str">
        <v>ok</v>
      </c>
      <c r="X309" s="58" t="str">
        <v/>
      </c>
      <c r="Y309" s="75" t="str">
        <v/>
      </c>
      <c r="Z309" s="59">
        <v>2.7399999999999998</v>
      </c>
      <c r="AA309" s="61">
        <v>6</v>
      </c>
      <c r="AB309" s="61">
        <v>25</v>
      </c>
      <c r="AC309" s="61" t="str">
        <v/>
      </c>
      <c r="AD309" s="62" t="str">
        <v>QF2 → XT2</v>
      </c>
      <c r="AE309" s="62" t="str">
        <v/>
      </c>
      <c r="AF309" s="34">
        <v>2</v>
      </c>
      <c r="AG309" s="34" t="str">
        <v>QF2</v>
      </c>
      <c r="AH309" s="34" t="str">
        <v/>
      </c>
      <c r="AI309" s="34" t="str">
        <v/>
      </c>
      <c r="AJ309" s="34" t="str">
        <v>QF2</v>
      </c>
      <c r="AK309" s="34">
        <v>1</v>
      </c>
      <c r="AL309" s="34" t="str">
        <v>НВК</v>
      </c>
      <c r="AM309" s="34">
        <v>0</v>
      </c>
      <c r="AN309" s="34">
        <v>0</v>
      </c>
      <c r="AO309" s="34">
        <v>16</v>
      </c>
      <c r="AP309" s="34">
        <v>25</v>
      </c>
      <c r="AQ309" s="34">
        <v>16</v>
      </c>
      <c r="AR309" s="34">
        <v>1</v>
      </c>
      <c r="AS309" s="34">
        <v>0</v>
      </c>
      <c r="AT309" s="34" t="str">
        <v>1P</v>
      </c>
      <c r="AU309" s="34">
        <v>16</v>
      </c>
      <c r="AV309" s="34" t="str">
        <v/>
      </c>
      <c r="AW309" s="34" t="str">
        <v/>
      </c>
      <c r="AX309" s="34" t="str">
        <v/>
      </c>
      <c r="AY309" s="34">
        <v>1</v>
      </c>
      <c r="AZ309" s="34" t="str">
        <v/>
      </c>
      <c r="BA309" s="34">
        <v>0</v>
      </c>
      <c r="BB309" s="34">
        <v>16</v>
      </c>
      <c r="BD309" s="34">
        <v>1</v>
      </c>
      <c r="BE309" s="34">
        <v>0</v>
      </c>
      <c r="BF309" s="34">
        <v>0</v>
      </c>
      <c r="BG309" s="34" t="str">
        <v/>
      </c>
      <c r="BH309" s="34" t="str">
        <v/>
      </c>
      <c r="BI309" s="34" t="str">
        <v/>
      </c>
      <c r="BJ309" s="34" t="str">
        <v/>
      </c>
      <c r="BK309" s="34" t="str">
        <v>BOX</v>
      </c>
      <c r="BL309" s="34">
        <v>1</v>
      </c>
      <c r="BM309" s="34" t="str">
        <v/>
      </c>
      <c r="BN309" s="34" t="str">
        <v/>
      </c>
      <c r="BO309" s="34" t="str">
        <v/>
      </c>
      <c r="BP309" s="34" t="str">
        <v/>
      </c>
      <c r="BQ309" s="34" t="str">
        <v>3х2,5</v>
      </c>
      <c r="BR309" s="34" t="str">
        <v/>
      </c>
      <c r="BS309" s="34" t="str">
        <v/>
      </c>
      <c r="BT309" s="34" t="str">
        <v/>
      </c>
      <c r="BU309" s="34">
        <v>0</v>
      </c>
      <c r="BV309" s="34">
        <v>330</v>
      </c>
      <c r="BW309" s="34">
        <v>1</v>
      </c>
      <c r="BX309" s="34">
        <v>0</v>
      </c>
      <c r="BY309" s="34">
        <v>0</v>
      </c>
      <c r="BZ309">
        <v>15</v>
      </c>
      <c r="CA309" t="str">
        <v>линии</v>
      </c>
    </row>
    <row r="310" spans="1:79" x14ac:dyDescent="0.3">
      <c r="A310" s="39" t="str">
        <v>ЩС-ВК.003</v>
      </c>
      <c r="B310" s="42">
        <v>14</v>
      </c>
      <c r="C310" s="42">
        <v>1</v>
      </c>
      <c r="D310" s="75" t="str">
        <v/>
      </c>
      <c r="E310" s="75" t="str">
        <v>авто</v>
      </c>
      <c r="F310" s="76" t="str">
        <v/>
      </c>
      <c r="G310" s="47" t="str">
        <v>QF3</v>
      </c>
      <c r="H310" s="47" t="str">
        <v>1P С16А</v>
      </c>
      <c r="I310" s="75" t="str">
        <v/>
      </c>
      <c r="J310" s="76" t="str">
        <v/>
      </c>
      <c r="K310" s="76" t="str">
        <v/>
      </c>
      <c r="L310" s="75" t="str">
        <v/>
      </c>
      <c r="M310" s="49" t="str">
        <v/>
      </c>
      <c r="N310" s="76" t="str">
        <v/>
      </c>
      <c r="O310" s="49" t="str">
        <v/>
      </c>
      <c r="P310" s="77" t="str">
        <v>XT3</v>
      </c>
      <c r="Q310" s="53" t="str">
        <v>ВВГнг(А)-LS (3х2,5) L=12-1,02%</v>
      </c>
      <c r="R310" s="54" t="str">
        <v>ЖУ.1</v>
      </c>
      <c r="S310" s="55" t="str">
        <v>Жироулавливатель Подвальный этаж Пом. №006Т</v>
      </c>
      <c r="T310" s="56">
        <v>2.5</v>
      </c>
      <c r="U310" s="56">
        <v>11.4</v>
      </c>
      <c r="V310" s="42" t="str">
        <v>L3</v>
      </c>
      <c r="W310" s="57" t="str">
        <v>ok</v>
      </c>
      <c r="X310" s="58" t="str">
        <v/>
      </c>
      <c r="Y310" s="75" t="str">
        <v/>
      </c>
      <c r="Z310" s="59">
        <v>11.4</v>
      </c>
      <c r="AA310" s="61">
        <v>16</v>
      </c>
      <c r="AB310" s="61">
        <v>25</v>
      </c>
      <c r="AC310" s="61" t="str">
        <v/>
      </c>
      <c r="AD310" s="62" t="str">
        <v>QF3 → XT3</v>
      </c>
      <c r="AE310" s="62" t="str">
        <v>потери 4,1 % &gt; 4 %</v>
      </c>
      <c r="AF310" s="34">
        <v>3</v>
      </c>
      <c r="AG310" s="34" t="str">
        <v>QF3</v>
      </c>
      <c r="AH310" s="34" t="str">
        <v/>
      </c>
      <c r="AI310" s="34" t="str">
        <v/>
      </c>
      <c r="AJ310" s="34" t="str">
        <v>QF3</v>
      </c>
      <c r="AK310" s="34">
        <v>1</v>
      </c>
      <c r="AL310" s="34" t="str">
        <v>ЖУ</v>
      </c>
      <c r="AM310" s="34">
        <v>0</v>
      </c>
      <c r="AN310" s="34">
        <v>0</v>
      </c>
      <c r="AO310" s="34">
        <v>16</v>
      </c>
      <c r="AP310" s="34">
        <v>25</v>
      </c>
      <c r="AQ310" s="34">
        <v>16</v>
      </c>
      <c r="AR310" s="34">
        <v>1</v>
      </c>
      <c r="AS310" s="34">
        <v>0</v>
      </c>
      <c r="AT310" s="34" t="str">
        <v>1P</v>
      </c>
      <c r="AU310" s="34">
        <v>16</v>
      </c>
      <c r="AV310" s="34" t="str">
        <v/>
      </c>
      <c r="AW310" s="34" t="str">
        <v/>
      </c>
      <c r="AX310" s="34" t="str">
        <v/>
      </c>
      <c r="AY310" s="34">
        <v>1</v>
      </c>
      <c r="AZ310" s="34" t="str">
        <v/>
      </c>
      <c r="BA310" s="34">
        <v>0</v>
      </c>
      <c r="BB310" s="34">
        <v>16</v>
      </c>
      <c r="BD310" s="34">
        <v>1</v>
      </c>
      <c r="BE310" s="34">
        <v>0</v>
      </c>
      <c r="BF310" s="34">
        <v>0</v>
      </c>
      <c r="BG310" s="34" t="str">
        <v/>
      </c>
      <c r="BH310" s="34" t="str">
        <v/>
      </c>
      <c r="BI310" s="34" t="str">
        <v/>
      </c>
      <c r="BJ310" s="34" t="str">
        <v/>
      </c>
      <c r="BK310" s="34" t="str">
        <v>BOX</v>
      </c>
      <c r="BL310" s="34">
        <v>1</v>
      </c>
      <c r="BM310" s="34" t="str">
        <v/>
      </c>
      <c r="BN310" s="34" t="str">
        <v/>
      </c>
      <c r="BO310" s="34" t="str">
        <v/>
      </c>
      <c r="BP310" s="34" t="str">
        <v/>
      </c>
      <c r="BQ310" s="34" t="str">
        <v>3х2,5</v>
      </c>
      <c r="BR310" s="34" t="str">
        <v/>
      </c>
      <c r="BS310" s="34" t="str">
        <v/>
      </c>
      <c r="BT310" s="34" t="str">
        <v/>
      </c>
      <c r="BU310" s="34">
        <v>1</v>
      </c>
      <c r="BV310" s="34">
        <v>331</v>
      </c>
      <c r="BW310" s="34">
        <v>1</v>
      </c>
      <c r="BX310" s="34">
        <v>0</v>
      </c>
      <c r="BY310" s="34">
        <v>0</v>
      </c>
      <c r="BZ310">
        <v>15</v>
      </c>
      <c r="CA310" t="str">
        <v>линии</v>
      </c>
    </row>
    <row r="311" spans="1:79" x14ac:dyDescent="0.3">
      <c r="A311" s="39" t="str">
        <v>ЩС-ВК.003</v>
      </c>
      <c r="B311" s="42">
        <v>15</v>
      </c>
      <c r="C311" s="42">
        <v>1</v>
      </c>
      <c r="D311" s="75" t="str">
        <v/>
      </c>
      <c r="E311" s="75" t="str">
        <v>авто</v>
      </c>
      <c r="F311" s="76" t="str">
        <v/>
      </c>
      <c r="G311" s="47" t="str">
        <v>QFD4</v>
      </c>
      <c r="H311" s="47" t="str">
        <v>2P С16А 30мА</v>
      </c>
      <c r="I311" s="75" t="str">
        <v/>
      </c>
      <c r="J311" s="76" t="str">
        <v/>
      </c>
      <c r="K311" s="76" t="str">
        <v/>
      </c>
      <c r="L311" s="75" t="str">
        <v/>
      </c>
      <c r="M311" s="49" t="str">
        <v/>
      </c>
      <c r="N311" s="76" t="str">
        <v/>
      </c>
      <c r="O311" s="49" t="str">
        <v/>
      </c>
      <c r="P311" s="77" t="str">
        <v>XT4</v>
      </c>
      <c r="Q311" s="53" t="str">
        <v>ВВГнг(А)-LS (3х2,5) L=31-0,68%</v>
      </c>
      <c r="R311" s="54" t="str">
        <v>R.00.002Б.3</v>
      </c>
      <c r="S311" s="55" t="str">
        <v>Сололифт Подвальный этаж Пом. №002Б</v>
      </c>
      <c r="T311" s="56">
        <v>0.64</v>
      </c>
      <c r="U311" s="56">
        <v>2.92</v>
      </c>
      <c r="V311" s="42" t="str">
        <v>L3</v>
      </c>
      <c r="W311" s="57" t="str">
        <v>ok</v>
      </c>
      <c r="X311" s="58" t="str">
        <v/>
      </c>
      <c r="Y311" s="75" t="str">
        <v/>
      </c>
      <c r="Z311" s="59">
        <v>2.92</v>
      </c>
      <c r="AA311" s="61">
        <v>6</v>
      </c>
      <c r="AB311" s="61">
        <v>25</v>
      </c>
      <c r="AC311" s="61" t="str">
        <v/>
      </c>
      <c r="AD311" s="62" t="str">
        <v>QFD4 → XT4</v>
      </c>
      <c r="AE311" s="62" t="str">
        <v/>
      </c>
      <c r="AF311" s="34">
        <v>4</v>
      </c>
      <c r="AG311" s="34" t="str">
        <v>QFD4</v>
      </c>
      <c r="AH311" s="34" t="str">
        <v/>
      </c>
      <c r="AI311" s="34" t="str">
        <v/>
      </c>
      <c r="AJ311" s="34" t="str">
        <v>QFD4</v>
      </c>
      <c r="AK311" s="34">
        <v>1</v>
      </c>
      <c r="AL311" s="34" t="str">
        <v>R</v>
      </c>
      <c r="AM311" s="34">
        <v>30</v>
      </c>
      <c r="AN311" s="34">
        <v>0</v>
      </c>
      <c r="AO311" s="34">
        <v>16</v>
      </c>
      <c r="AP311" s="34">
        <v>25</v>
      </c>
      <c r="AQ311" s="34">
        <v>16</v>
      </c>
      <c r="AR311" s="34">
        <v>1</v>
      </c>
      <c r="AS311" s="34">
        <v>1</v>
      </c>
      <c r="AT311" s="34" t="str">
        <v>2P</v>
      </c>
      <c r="AU311" s="34">
        <v>16</v>
      </c>
      <c r="AV311" s="34" t="str">
        <v/>
      </c>
      <c r="AW311" s="34" t="str">
        <v/>
      </c>
      <c r="AX311" s="34" t="str">
        <v/>
      </c>
      <c r="AY311" s="34">
        <v>1</v>
      </c>
      <c r="AZ311" s="34" t="str">
        <v/>
      </c>
      <c r="BA311" s="34">
        <v>0</v>
      </c>
      <c r="BB311" s="34">
        <v>16</v>
      </c>
      <c r="BD311" s="34">
        <v>1</v>
      </c>
      <c r="BE311" s="34">
        <v>0</v>
      </c>
      <c r="BF311" s="34">
        <v>1</v>
      </c>
      <c r="BG311" s="34" t="str">
        <v/>
      </c>
      <c r="BH311" s="34" t="str">
        <v/>
      </c>
      <c r="BI311" s="34" t="str">
        <v/>
      </c>
      <c r="BJ311" s="34" t="str">
        <v/>
      </c>
      <c r="BK311" s="34" t="str">
        <v>SOCKET</v>
      </c>
      <c r="BL311" s="34">
        <v>1</v>
      </c>
      <c r="BM311" s="34" t="str">
        <v/>
      </c>
      <c r="BN311" s="34" t="str">
        <v/>
      </c>
      <c r="BO311" s="34" t="str">
        <v/>
      </c>
      <c r="BP311" s="34" t="str">
        <v/>
      </c>
      <c r="BQ311" s="34" t="str">
        <v>3х2,5</v>
      </c>
      <c r="BR311" s="34" t="str">
        <v/>
      </c>
      <c r="BS311" s="34" t="str">
        <v/>
      </c>
      <c r="BT311" s="34" t="str">
        <v/>
      </c>
      <c r="BU311" s="34">
        <v>0</v>
      </c>
      <c r="BV311" s="34">
        <v>332</v>
      </c>
      <c r="BW311" s="34">
        <v>1</v>
      </c>
      <c r="BX311" s="34">
        <v>0</v>
      </c>
      <c r="BY311" s="34" t="str">
        <v>Розетка</v>
      </c>
      <c r="BZ311">
        <v>15</v>
      </c>
      <c r="CA311" t="str">
        <v>линии</v>
      </c>
    </row>
    <row r="312" spans="1:79" x14ac:dyDescent="0.3">
      <c r="A312" s="39" t="str">
        <v>ЩСПЗ-ЖД</v>
      </c>
      <c r="B312" s="42">
        <v>2</v>
      </c>
      <c r="C312" s="42">
        <v>1</v>
      </c>
      <c r="D312" s="75" t="str">
        <v/>
      </c>
      <c r="E312" s="75" t="str">
        <v/>
      </c>
      <c r="F312" s="76" t="str">
        <v/>
      </c>
      <c r="G312" s="47" t="str">
        <v/>
      </c>
      <c r="H312" s="47" t="str">
        <v/>
      </c>
      <c r="I312" s="75" t="str">
        <v/>
      </c>
      <c r="J312" s="76" t="str">
        <v/>
      </c>
      <c r="K312" s="76" t="str">
        <v/>
      </c>
      <c r="L312" s="75" t="str">
        <v/>
      </c>
      <c r="M312" s="49" t="str">
        <v/>
      </c>
      <c r="N312" s="76" t="str">
        <v/>
      </c>
      <c r="O312" s="49" t="str">
        <v/>
      </c>
      <c r="P312" s="77" t="str">
        <v>XT1</v>
      </c>
      <c r="Q312" s="53" t="str">
        <v>ВВГнг(А)-FRLS (5х2,5) L=16-0%</v>
      </c>
      <c r="R312" s="54" t="str">
        <v>Ввод.1</v>
      </c>
      <c r="S312" s="55" t="str">
        <v>Вводной кабель №1</v>
      </c>
      <c r="T312" s="56">
        <v>0</v>
      </c>
      <c r="U312" s="56">
        <v>0</v>
      </c>
      <c r="V312" s="42" t="str">
        <v>L1,L2,L3</v>
      </c>
      <c r="W312" s="57" t="str">
        <v/>
      </c>
      <c r="X312" s="58" t="str">
        <v/>
      </c>
      <c r="Y312" s="75" t="str">
        <v>вручную</v>
      </c>
      <c r="Z312" s="59" t="str">
        <v/>
      </c>
      <c r="AA312" s="61" t="str">
        <v/>
      </c>
      <c r="AB312" s="61">
        <v>20</v>
      </c>
      <c r="AC312" s="61" t="str">
        <v/>
      </c>
      <c r="AD312" s="62" t="str">
        <v>XT1</v>
      </c>
      <c r="AE312" s="62" t="str">
        <v/>
      </c>
      <c r="AF312" s="34" t="str">
        <v/>
      </c>
      <c r="AG312" s="34" t="str">
        <v/>
      </c>
      <c r="AH312" s="34" t="str">
        <v/>
      </c>
      <c r="AI312" s="34" t="str">
        <v/>
      </c>
      <c r="AJ312" s="34" t="str">
        <v/>
      </c>
      <c r="AK312" s="34">
        <v>3</v>
      </c>
      <c r="AL312" s="34" t="str">
        <v>Ввод</v>
      </c>
      <c r="AM312" s="34">
        <v>0</v>
      </c>
      <c r="AN312" s="34">
        <v>0</v>
      </c>
      <c r="AO312" s="34" t="str">
        <v/>
      </c>
      <c r="AP312" s="34" t="str">
        <v/>
      </c>
      <c r="AQ312" s="34" t="str">
        <v/>
      </c>
      <c r="AR312" s="34" t="str">
        <v/>
      </c>
      <c r="AS312" s="34" t="str">
        <v/>
      </c>
      <c r="AT312" s="34" t="str">
        <v/>
      </c>
      <c r="AU312" s="34" t="str">
        <v/>
      </c>
      <c r="AV312" s="34" t="str">
        <v/>
      </c>
      <c r="AW312" s="34" t="str">
        <v/>
      </c>
      <c r="AX312" s="34" t="str">
        <v/>
      </c>
      <c r="AY312" s="34">
        <v>1</v>
      </c>
      <c r="AZ312" s="34" t="str">
        <v/>
      </c>
      <c r="BA312" s="34">
        <v>0</v>
      </c>
      <c r="BB312" s="34">
        <v>16</v>
      </c>
      <c r="BD312" s="34">
        <v>0</v>
      </c>
      <c r="BE312" s="34">
        <v>0</v>
      </c>
      <c r="BF312" s="34">
        <v>0</v>
      </c>
      <c r="BG312" s="34" t="str">
        <v/>
      </c>
      <c r="BH312" s="34" t="str">
        <v/>
      </c>
      <c r="BI312" s="34" t="str">
        <v/>
      </c>
      <c r="BJ312" s="34" t="str">
        <v/>
      </c>
      <c r="BK312" s="34" t="str">
        <v>BOX</v>
      </c>
      <c r="BL312" s="34">
        <v>1</v>
      </c>
      <c r="BM312" s="34" t="str">
        <v/>
      </c>
      <c r="BN312" s="34" t="str">
        <v/>
      </c>
      <c r="BO312" s="34" t="str">
        <v/>
      </c>
      <c r="BP312" s="34" t="str">
        <v/>
      </c>
      <c r="BQ312" s="34" t="str">
        <v>5х2,5</v>
      </c>
      <c r="BR312" s="34" t="str">
        <v/>
      </c>
      <c r="BS312" s="34" t="str">
        <v/>
      </c>
      <c r="BT312" s="34" t="str">
        <v/>
      </c>
      <c r="BU312" s="34">
        <v>0</v>
      </c>
      <c r="BV312" s="34">
        <v>333</v>
      </c>
      <c r="BW312" s="34">
        <v>1</v>
      </c>
      <c r="BX312" s="34">
        <v>2</v>
      </c>
      <c r="BY312" s="34">
        <v>0</v>
      </c>
      <c r="BZ312">
        <v>16</v>
      </c>
      <c r="CA312" t="str">
        <v>вводной узел</v>
      </c>
    </row>
    <row r="313" spans="1:79" x14ac:dyDescent="0.3">
      <c r="A313" s="39" t="str">
        <v>ЩСПЗ-ЖД</v>
      </c>
      <c r="B313" s="42">
        <v>3</v>
      </c>
      <c r="C313" s="42">
        <v>1</v>
      </c>
      <c r="D313" s="75" t="str">
        <v/>
      </c>
      <c r="E313" s="75" t="str">
        <v/>
      </c>
      <c r="F313" s="76" t="str">
        <v/>
      </c>
      <c r="G313" s="47" t="str">
        <v/>
      </c>
      <c r="H313" s="47" t="str">
        <v/>
      </c>
      <c r="I313" s="75" t="str">
        <v/>
      </c>
      <c r="J313" s="76" t="str">
        <v/>
      </c>
      <c r="K313" s="76" t="str">
        <v/>
      </c>
      <c r="L313" s="75" t="str">
        <v/>
      </c>
      <c r="M313" s="49" t="str">
        <v/>
      </c>
      <c r="N313" s="76" t="str">
        <v/>
      </c>
      <c r="O313" s="49" t="str">
        <v/>
      </c>
      <c r="P313" s="77" t="str">
        <v>XT2</v>
      </c>
      <c r="Q313" s="53" t="str">
        <v>ВВГнг(А)-FRLS (5х2,5) L=16-0%</v>
      </c>
      <c r="R313" s="54" t="str">
        <v>Ввод.2</v>
      </c>
      <c r="S313" s="55" t="str">
        <v>Вводной кабель №2</v>
      </c>
      <c r="T313" s="56">
        <v>0</v>
      </c>
      <c r="U313" s="56">
        <v>0</v>
      </c>
      <c r="V313" s="42" t="str">
        <v>L1,L2,L3</v>
      </c>
      <c r="W313" s="57" t="str">
        <v/>
      </c>
      <c r="X313" s="58" t="str">
        <v/>
      </c>
      <c r="Y313" s="75" t="str">
        <v>вручную</v>
      </c>
      <c r="Z313" s="59" t="str">
        <v/>
      </c>
      <c r="AA313" s="61" t="str">
        <v/>
      </c>
      <c r="AB313" s="61">
        <v>20</v>
      </c>
      <c r="AC313" s="61" t="str">
        <v/>
      </c>
      <c r="AD313" s="62" t="str">
        <v>XT2</v>
      </c>
      <c r="AE313" s="62" t="str">
        <v/>
      </c>
      <c r="AF313" s="34" t="str">
        <v/>
      </c>
      <c r="AG313" s="34" t="str">
        <v/>
      </c>
      <c r="AH313" s="34" t="str">
        <v/>
      </c>
      <c r="AI313" s="34" t="str">
        <v/>
      </c>
      <c r="AJ313" s="34" t="str">
        <v/>
      </c>
      <c r="AK313" s="34">
        <v>3</v>
      </c>
      <c r="AL313" s="34" t="str">
        <v>Ввод</v>
      </c>
      <c r="AM313" s="34">
        <v>0</v>
      </c>
      <c r="AN313" s="34">
        <v>0</v>
      </c>
      <c r="AO313" s="34" t="str">
        <v/>
      </c>
      <c r="AP313" s="34" t="str">
        <v/>
      </c>
      <c r="AQ313" s="34" t="str">
        <v/>
      </c>
      <c r="AR313" s="34" t="str">
        <v/>
      </c>
      <c r="AS313" s="34" t="str">
        <v/>
      </c>
      <c r="AT313" s="34" t="str">
        <v/>
      </c>
      <c r="AU313" s="34" t="str">
        <v/>
      </c>
      <c r="AV313" s="34" t="str">
        <v/>
      </c>
      <c r="AW313" s="34" t="str">
        <v/>
      </c>
      <c r="AX313" s="34" t="str">
        <v/>
      </c>
      <c r="AY313" s="34">
        <v>1</v>
      </c>
      <c r="AZ313" s="34" t="str">
        <v/>
      </c>
      <c r="BA313" s="34">
        <v>0</v>
      </c>
      <c r="BB313" s="34">
        <v>16</v>
      </c>
      <c r="BD313" s="34">
        <v>0</v>
      </c>
      <c r="BE313" s="34">
        <v>0</v>
      </c>
      <c r="BF313" s="34">
        <v>0</v>
      </c>
      <c r="BG313" s="34" t="str">
        <v/>
      </c>
      <c r="BH313" s="34" t="str">
        <v/>
      </c>
      <c r="BI313" s="34" t="str">
        <v/>
      </c>
      <c r="BJ313" s="34" t="str">
        <v/>
      </c>
      <c r="BK313" s="34" t="str">
        <v>BOX</v>
      </c>
      <c r="BL313" s="34">
        <v>1</v>
      </c>
      <c r="BM313" s="34" t="str">
        <v/>
      </c>
      <c r="BN313" s="34" t="str">
        <v/>
      </c>
      <c r="BO313" s="34" t="str">
        <v/>
      </c>
      <c r="BP313" s="34" t="str">
        <v/>
      </c>
      <c r="BQ313" s="34" t="str">
        <v>5х2,5</v>
      </c>
      <c r="BR313" s="34" t="str">
        <v/>
      </c>
      <c r="BS313" s="34" t="str">
        <v/>
      </c>
      <c r="BT313" s="34" t="str">
        <v/>
      </c>
      <c r="BU313" s="34">
        <v>0</v>
      </c>
      <c r="BV313" s="34">
        <v>334</v>
      </c>
      <c r="BW313" s="34">
        <v>1</v>
      </c>
      <c r="BX313" s="34">
        <v>2</v>
      </c>
      <c r="BY313" s="34">
        <v>0</v>
      </c>
      <c r="BZ313">
        <v>16</v>
      </c>
      <c r="CA313" t="str">
        <v>вводной узел</v>
      </c>
    </row>
    <row r="314" spans="1:79" x14ac:dyDescent="0.3">
      <c r="A314" s="39" t="str">
        <v>ЩСПЗ-ЖД</v>
      </c>
      <c r="B314" s="42">
        <v>13</v>
      </c>
      <c r="C314" s="42">
        <v>1</v>
      </c>
      <c r="D314" s="75" t="str">
        <v/>
      </c>
      <c r="E314" s="75" t="str">
        <v>авто</v>
      </c>
      <c r="F314" s="76" t="str">
        <v/>
      </c>
      <c r="G314" s="47" t="str">
        <v>QF1</v>
      </c>
      <c r="H314" s="47" t="str">
        <v>1P С16А</v>
      </c>
      <c r="I314" s="75" t="str">
        <v/>
      </c>
      <c r="J314" s="76" t="str">
        <v/>
      </c>
      <c r="K314" s="76" t="str">
        <v/>
      </c>
      <c r="L314" s="75" t="str">
        <v/>
      </c>
      <c r="M314" s="49" t="str">
        <v/>
      </c>
      <c r="N314" s="76" t="str">
        <v/>
      </c>
      <c r="O314" s="49" t="str">
        <v/>
      </c>
      <c r="P314" s="77" t="str">
        <v>XT3</v>
      </c>
      <c r="Q314" s="53" t="str">
        <v>ВВГнг(А)-FRLS (3х2,5) L=46-0,63%</v>
      </c>
      <c r="R314" s="54" t="str">
        <v>FCP1-2</v>
      </c>
      <c r="S314" s="55" t="str">
        <v>шкаф пожарной сигнализации  Подвальный этаж Пом. №007Т</v>
      </c>
      <c r="T314" s="56">
        <v>0.4</v>
      </c>
      <c r="U314" s="56">
        <v>1.83</v>
      </c>
      <c r="V314" s="42" t="str">
        <v>L2</v>
      </c>
      <c r="W314" s="57" t="str">
        <v>ok</v>
      </c>
      <c r="X314" s="58" t="str">
        <v/>
      </c>
      <c r="Y314" s="75" t="str">
        <v/>
      </c>
      <c r="Z314" s="59">
        <v>1.83</v>
      </c>
      <c r="AA314" s="61">
        <v>6</v>
      </c>
      <c r="AB314" s="61">
        <v>25</v>
      </c>
      <c r="AC314" s="61" t="str">
        <v/>
      </c>
      <c r="AD314" s="62" t="str">
        <v>QF1 → XT3</v>
      </c>
      <c r="AE314" s="62" t="str">
        <v/>
      </c>
      <c r="AF314" s="34">
        <v>1</v>
      </c>
      <c r="AG314" s="34" t="str">
        <v>QF1</v>
      </c>
      <c r="AH314" s="34" t="str">
        <v/>
      </c>
      <c r="AI314" s="34" t="str">
        <v/>
      </c>
      <c r="AJ314" s="34" t="str">
        <v>QF1</v>
      </c>
      <c r="AK314" s="34">
        <v>1</v>
      </c>
      <c r="AL314" s="34" t="str">
        <v>FCP1-2</v>
      </c>
      <c r="AM314" s="34">
        <v>0</v>
      </c>
      <c r="AN314" s="34">
        <v>0</v>
      </c>
      <c r="AO314" s="34">
        <v>16</v>
      </c>
      <c r="AP314" s="34">
        <v>25</v>
      </c>
      <c r="AQ314" s="34">
        <v>16</v>
      </c>
      <c r="AR314" s="34">
        <v>1</v>
      </c>
      <c r="AS314" s="34">
        <v>0</v>
      </c>
      <c r="AT314" s="34" t="str">
        <v>1P</v>
      </c>
      <c r="AU314" s="34">
        <v>16</v>
      </c>
      <c r="AV314" s="34" t="str">
        <v/>
      </c>
      <c r="AW314" s="34" t="str">
        <v/>
      </c>
      <c r="AX314" s="34" t="str">
        <v/>
      </c>
      <c r="AY314" s="34">
        <v>1</v>
      </c>
      <c r="AZ314" s="34" t="str">
        <v/>
      </c>
      <c r="BA314" s="34">
        <v>0</v>
      </c>
      <c r="BB314" s="34">
        <v>16</v>
      </c>
      <c r="BD314" s="34">
        <v>1</v>
      </c>
      <c r="BE314" s="34">
        <v>0</v>
      </c>
      <c r="BF314" s="34">
        <v>0</v>
      </c>
      <c r="BG314" s="34" t="str">
        <v/>
      </c>
      <c r="BH314" s="34" t="str">
        <v/>
      </c>
      <c r="BI314" s="34" t="str">
        <v/>
      </c>
      <c r="BJ314" s="34" t="str">
        <v/>
      </c>
      <c r="BK314" s="34" t="str">
        <v>BOX</v>
      </c>
      <c r="BL314" s="34">
        <v>1</v>
      </c>
      <c r="BM314" s="34" t="str">
        <v/>
      </c>
      <c r="BN314" s="34" t="str">
        <v/>
      </c>
      <c r="BO314" s="34" t="str">
        <v/>
      </c>
      <c r="BP314" s="34" t="str">
        <v/>
      </c>
      <c r="BQ314" s="34" t="str">
        <v>3х2,5</v>
      </c>
      <c r="BR314" s="34" t="str">
        <v/>
      </c>
      <c r="BS314" s="34" t="str">
        <v/>
      </c>
      <c r="BT314" s="34" t="str">
        <v/>
      </c>
      <c r="BU314" s="34">
        <v>0</v>
      </c>
      <c r="BV314" s="34">
        <v>335</v>
      </c>
      <c r="BW314" s="34">
        <v>1</v>
      </c>
      <c r="BX314" s="34">
        <v>0</v>
      </c>
      <c r="BY314" s="34" t="str">
        <v/>
      </c>
      <c r="BZ314">
        <v>16</v>
      </c>
      <c r="CA314" t="str">
        <v>линии</v>
      </c>
    </row>
    <row r="315" spans="1:79" x14ac:dyDescent="0.3">
      <c r="A315" s="39" t="str">
        <v>ЩСПЗ-ЖД</v>
      </c>
      <c r="B315" s="42">
        <v>14</v>
      </c>
      <c r="C315" s="42">
        <v>1</v>
      </c>
      <c r="D315" s="75" t="str">
        <v/>
      </c>
      <c r="E315" s="75" t="str">
        <v>авто</v>
      </c>
      <c r="F315" s="76" t="str">
        <v/>
      </c>
      <c r="G315" s="47" t="str">
        <v>QF2</v>
      </c>
      <c r="H315" s="47" t="str">
        <v>1P С16А</v>
      </c>
      <c r="I315" s="75" t="str">
        <v/>
      </c>
      <c r="J315" s="76" t="str">
        <v/>
      </c>
      <c r="K315" s="76" t="str">
        <v/>
      </c>
      <c r="L315" s="75" t="str">
        <v/>
      </c>
      <c r="M315" s="49" t="str">
        <v/>
      </c>
      <c r="N315" s="76" t="str">
        <v/>
      </c>
      <c r="O315" s="49" t="str">
        <v/>
      </c>
      <c r="P315" s="77" t="str">
        <v>XT4</v>
      </c>
      <c r="Q315" s="53" t="str">
        <v>ВВГнг(А)-FRLS (3х2,5) L=31-0,43%</v>
      </c>
      <c r="R315" s="54" t="str">
        <v>ENC1-11</v>
      </c>
      <c r="S315" s="55" t="str">
        <v>шкаф системы оповещения и управления эвакуацией Цокольный этаж Пом. №002Т</v>
      </c>
      <c r="T315" s="56">
        <v>0.4</v>
      </c>
      <c r="U315" s="56">
        <v>1.83</v>
      </c>
      <c r="V315" s="42" t="str">
        <v>L3</v>
      </c>
      <c r="W315" s="57" t="str">
        <v>ok</v>
      </c>
      <c r="X315" s="58" t="str">
        <v/>
      </c>
      <c r="Y315" s="75" t="str">
        <v/>
      </c>
      <c r="Z315" s="59">
        <v>1.83</v>
      </c>
      <c r="AA315" s="61">
        <v>6</v>
      </c>
      <c r="AB315" s="61">
        <v>25</v>
      </c>
      <c r="AC315" s="61" t="str">
        <v/>
      </c>
      <c r="AD315" s="62" t="str">
        <v>QF2 → XT4</v>
      </c>
      <c r="AE315" s="62" t="str">
        <v/>
      </c>
      <c r="AF315" s="34">
        <v>2</v>
      </c>
      <c r="AG315" s="34" t="str">
        <v>QF2</v>
      </c>
      <c r="AH315" s="34" t="str">
        <v/>
      </c>
      <c r="AI315" s="34" t="str">
        <v/>
      </c>
      <c r="AJ315" s="34" t="str">
        <v>QF2</v>
      </c>
      <c r="AK315" s="34">
        <v>1</v>
      </c>
      <c r="AL315" s="34" t="str">
        <v>ENC1-11</v>
      </c>
      <c r="AM315" s="34">
        <v>0</v>
      </c>
      <c r="AN315" s="34">
        <v>0</v>
      </c>
      <c r="AO315" s="34">
        <v>16</v>
      </c>
      <c r="AP315" s="34">
        <v>25</v>
      </c>
      <c r="AQ315" s="34">
        <v>16</v>
      </c>
      <c r="AR315" s="34">
        <v>1</v>
      </c>
      <c r="AS315" s="34">
        <v>0</v>
      </c>
      <c r="AT315" s="34" t="str">
        <v>1P</v>
      </c>
      <c r="AU315" s="34">
        <v>16</v>
      </c>
      <c r="AV315" s="34" t="str">
        <v/>
      </c>
      <c r="AW315" s="34" t="str">
        <v/>
      </c>
      <c r="AX315" s="34" t="str">
        <v/>
      </c>
      <c r="AY315" s="34">
        <v>1</v>
      </c>
      <c r="AZ315" s="34" t="str">
        <v/>
      </c>
      <c r="BA315" s="34">
        <v>0</v>
      </c>
      <c r="BB315" s="34">
        <v>16</v>
      </c>
      <c r="BD315" s="34">
        <v>1</v>
      </c>
      <c r="BE315" s="34">
        <v>0</v>
      </c>
      <c r="BF315" s="34">
        <v>0</v>
      </c>
      <c r="BG315" s="34" t="str">
        <v/>
      </c>
      <c r="BH315" s="34" t="str">
        <v/>
      </c>
      <c r="BI315" s="34" t="str">
        <v/>
      </c>
      <c r="BJ315" s="34" t="str">
        <v/>
      </c>
      <c r="BK315" s="34" t="str">
        <v>BOX</v>
      </c>
      <c r="BL315" s="34">
        <v>1</v>
      </c>
      <c r="BM315" s="34" t="str">
        <v/>
      </c>
      <c r="BN315" s="34" t="str">
        <v/>
      </c>
      <c r="BO315" s="34" t="str">
        <v/>
      </c>
      <c r="BP315" s="34" t="str">
        <v/>
      </c>
      <c r="BQ315" s="34" t="str">
        <v>3х2,5</v>
      </c>
      <c r="BR315" s="34" t="str">
        <v/>
      </c>
      <c r="BS315" s="34" t="str">
        <v/>
      </c>
      <c r="BT315" s="34" t="str">
        <v/>
      </c>
      <c r="BU315" s="34">
        <v>0</v>
      </c>
      <c r="BV315" s="34">
        <v>336</v>
      </c>
      <c r="BW315" s="34">
        <v>1</v>
      </c>
      <c r="BX315" s="34">
        <v>0</v>
      </c>
      <c r="BY315" s="34" t="str">
        <v/>
      </c>
      <c r="BZ315">
        <v>16</v>
      </c>
      <c r="CA315" t="str">
        <v>линии</v>
      </c>
    </row>
    <row r="316" spans="1:79" x14ac:dyDescent="0.3">
      <c r="A316" s="39" t="str">
        <v>ЩСПЗ-ЖД</v>
      </c>
      <c r="B316" s="42">
        <v>15</v>
      </c>
      <c r="C316" s="42">
        <v>1</v>
      </c>
      <c r="D316" s="75" t="str">
        <v/>
      </c>
      <c r="E316" s="75" t="str">
        <v>авто</v>
      </c>
      <c r="F316" s="76" t="str">
        <v/>
      </c>
      <c r="G316" s="47" t="str">
        <v>QF3</v>
      </c>
      <c r="H316" s="47" t="str">
        <v>1P С16А</v>
      </c>
      <c r="I316" s="75" t="str">
        <v/>
      </c>
      <c r="J316" s="76" t="str">
        <v/>
      </c>
      <c r="K316" s="76" t="str">
        <v/>
      </c>
      <c r="L316" s="75" t="str">
        <v/>
      </c>
      <c r="M316" s="49" t="str">
        <v/>
      </c>
      <c r="N316" s="76" t="str">
        <v/>
      </c>
      <c r="O316" s="49" t="str">
        <v/>
      </c>
      <c r="P316" s="77" t="str">
        <v>XT5</v>
      </c>
      <c r="Q316" s="53" t="str">
        <v>ВВГнг(А)-FRLS (3х2,5) L=31-0,43%</v>
      </c>
      <c r="R316" s="54" t="str">
        <v>FCP1-1</v>
      </c>
      <c r="S316" s="55" t="str">
        <v>шкаф пожарной сигнализации Цокольный этаж Пом. №002Т</v>
      </c>
      <c r="T316" s="56">
        <v>0.4</v>
      </c>
      <c r="U316" s="56">
        <v>1.83</v>
      </c>
      <c r="V316" s="42" t="str">
        <v>L1</v>
      </c>
      <c r="W316" s="57" t="str">
        <v>ok</v>
      </c>
      <c r="X316" s="58" t="str">
        <v/>
      </c>
      <c r="Y316" s="75" t="str">
        <v/>
      </c>
      <c r="Z316" s="59">
        <v>1.83</v>
      </c>
      <c r="AA316" s="61">
        <v>6</v>
      </c>
      <c r="AB316" s="61">
        <v>25</v>
      </c>
      <c r="AC316" s="61" t="str">
        <v/>
      </c>
      <c r="AD316" s="62" t="str">
        <v>QF3 → XT5</v>
      </c>
      <c r="AE316" s="62" t="str">
        <v/>
      </c>
      <c r="AF316" s="34">
        <v>3</v>
      </c>
      <c r="AG316" s="34" t="str">
        <v>QF3</v>
      </c>
      <c r="AH316" s="34" t="str">
        <v/>
      </c>
      <c r="AI316" s="34" t="str">
        <v/>
      </c>
      <c r="AJ316" s="34" t="str">
        <v>QF3</v>
      </c>
      <c r="AK316" s="34">
        <v>1</v>
      </c>
      <c r="AL316" s="34" t="str">
        <v>FCP1-1</v>
      </c>
      <c r="AM316" s="34">
        <v>0</v>
      </c>
      <c r="AN316" s="34">
        <v>0</v>
      </c>
      <c r="AO316" s="34">
        <v>16</v>
      </c>
      <c r="AP316" s="34">
        <v>25</v>
      </c>
      <c r="AQ316" s="34">
        <v>16</v>
      </c>
      <c r="AR316" s="34">
        <v>1</v>
      </c>
      <c r="AS316" s="34">
        <v>0</v>
      </c>
      <c r="AT316" s="34" t="str">
        <v>1P</v>
      </c>
      <c r="AU316" s="34">
        <v>16</v>
      </c>
      <c r="AV316" s="34" t="str">
        <v/>
      </c>
      <c r="AW316" s="34" t="str">
        <v/>
      </c>
      <c r="AX316" s="34" t="str">
        <v/>
      </c>
      <c r="AY316" s="34">
        <v>1</v>
      </c>
      <c r="AZ316" s="34" t="str">
        <v/>
      </c>
      <c r="BA316" s="34">
        <v>0</v>
      </c>
      <c r="BB316" s="34">
        <v>16</v>
      </c>
      <c r="BD316" s="34">
        <v>1</v>
      </c>
      <c r="BE316" s="34">
        <v>0</v>
      </c>
      <c r="BF316" s="34">
        <v>0</v>
      </c>
      <c r="BG316" s="34" t="str">
        <v/>
      </c>
      <c r="BH316" s="34" t="str">
        <v/>
      </c>
      <c r="BI316" s="34" t="str">
        <v/>
      </c>
      <c r="BJ316" s="34" t="str">
        <v/>
      </c>
      <c r="BK316" s="34" t="str">
        <v>BOX</v>
      </c>
      <c r="BL316" s="34">
        <v>1</v>
      </c>
      <c r="BM316" s="34" t="str">
        <v/>
      </c>
      <c r="BN316" s="34" t="str">
        <v/>
      </c>
      <c r="BO316" s="34" t="str">
        <v/>
      </c>
      <c r="BP316" s="34" t="str">
        <v/>
      </c>
      <c r="BQ316" s="34" t="str">
        <v>3х2,5</v>
      </c>
      <c r="BR316" s="34" t="str">
        <v/>
      </c>
      <c r="BS316" s="34" t="str">
        <v/>
      </c>
      <c r="BT316" s="34" t="str">
        <v/>
      </c>
      <c r="BU316" s="34">
        <v>0</v>
      </c>
      <c r="BV316" s="34">
        <v>337</v>
      </c>
      <c r="BW316" s="34">
        <v>1</v>
      </c>
      <c r="BX316" s="34">
        <v>0</v>
      </c>
      <c r="BY316" s="34" t="str">
        <v/>
      </c>
      <c r="BZ316">
        <v>16</v>
      </c>
      <c r="CA316" t="str">
        <v>линии</v>
      </c>
    </row>
    <row r="317" spans="1:79" x14ac:dyDescent="0.3">
      <c r="A317" s="39" t="str">
        <v>ЩСПЗ-ЖД</v>
      </c>
      <c r="B317" s="42">
        <v>16</v>
      </c>
      <c r="C317" s="42">
        <v>1</v>
      </c>
      <c r="D317" s="75" t="str">
        <v/>
      </c>
      <c r="E317" s="75" t="str">
        <v>авто</v>
      </c>
      <c r="F317" s="76" t="str">
        <v/>
      </c>
      <c r="G317" s="47" t="str">
        <v>QF4</v>
      </c>
      <c r="H317" s="47" t="str">
        <v>1P С16А</v>
      </c>
      <c r="I317" s="75" t="str">
        <v/>
      </c>
      <c r="J317" s="76" t="str">
        <v/>
      </c>
      <c r="K317" s="76" t="str">
        <v/>
      </c>
      <c r="L317" s="75" t="str">
        <v/>
      </c>
      <c r="M317" s="49" t="str">
        <v/>
      </c>
      <c r="N317" s="76" t="str">
        <v/>
      </c>
      <c r="O317" s="49" t="str">
        <v/>
      </c>
      <c r="P317" s="77" t="str">
        <v>XT6</v>
      </c>
      <c r="Q317" s="53" t="str">
        <v>ВВГнг(А)-FRLS (3х2,5) L=80-1,09%</v>
      </c>
      <c r="R317" s="54" t="str">
        <v>FCP13</v>
      </c>
      <c r="S317" s="55" t="str">
        <v>шкаф пожарной сигнализации Тех. этаж Пом. №004Т</v>
      </c>
      <c r="T317" s="56">
        <v>0.4</v>
      </c>
      <c r="U317" s="56">
        <v>1.83</v>
      </c>
      <c r="V317" s="42" t="str">
        <v>L2</v>
      </c>
      <c r="W317" s="57" t="str">
        <v>ok</v>
      </c>
      <c r="X317" s="58" t="str">
        <v/>
      </c>
      <c r="Y317" s="75" t="str">
        <v/>
      </c>
      <c r="Z317" s="59">
        <v>1.83</v>
      </c>
      <c r="AA317" s="61">
        <v>6</v>
      </c>
      <c r="AB317" s="61">
        <v>25</v>
      </c>
      <c r="AC317" s="61" t="str">
        <v/>
      </c>
      <c r="AD317" s="62" t="str">
        <v>QF4 → XT6</v>
      </c>
      <c r="AE317" s="62" t="str">
        <v/>
      </c>
      <c r="AF317" s="34">
        <v>4</v>
      </c>
      <c r="AG317" s="34" t="str">
        <v>QF4</v>
      </c>
      <c r="AH317" s="34" t="str">
        <v/>
      </c>
      <c r="AI317" s="34" t="str">
        <v/>
      </c>
      <c r="AJ317" s="34" t="str">
        <v>QF4</v>
      </c>
      <c r="AK317" s="34">
        <v>1</v>
      </c>
      <c r="AL317" s="34" t="str">
        <v>FCP13</v>
      </c>
      <c r="AM317" s="34">
        <v>0</v>
      </c>
      <c r="AN317" s="34">
        <v>0</v>
      </c>
      <c r="AO317" s="34">
        <v>16</v>
      </c>
      <c r="AP317" s="34">
        <v>25</v>
      </c>
      <c r="AQ317" s="34">
        <v>16</v>
      </c>
      <c r="AR317" s="34">
        <v>1</v>
      </c>
      <c r="AS317" s="34">
        <v>0</v>
      </c>
      <c r="AT317" s="34" t="str">
        <v>1P</v>
      </c>
      <c r="AU317" s="34">
        <v>16</v>
      </c>
      <c r="AV317" s="34" t="str">
        <v/>
      </c>
      <c r="AW317" s="34" t="str">
        <v/>
      </c>
      <c r="AX317" s="34" t="str">
        <v/>
      </c>
      <c r="AY317" s="34">
        <v>1</v>
      </c>
      <c r="AZ317" s="34" t="str">
        <v/>
      </c>
      <c r="BA317" s="34">
        <v>0</v>
      </c>
      <c r="BB317" s="34">
        <v>16</v>
      </c>
      <c r="BD317" s="34">
        <v>1</v>
      </c>
      <c r="BE317" s="34">
        <v>0</v>
      </c>
      <c r="BF317" s="34">
        <v>0</v>
      </c>
      <c r="BG317" s="34" t="str">
        <v/>
      </c>
      <c r="BH317" s="34" t="str">
        <v/>
      </c>
      <c r="BI317" s="34" t="str">
        <v/>
      </c>
      <c r="BJ317" s="34" t="str">
        <v/>
      </c>
      <c r="BK317" s="34" t="str">
        <v>BOX</v>
      </c>
      <c r="BL317" s="34">
        <v>1</v>
      </c>
      <c r="BM317" s="34" t="str">
        <v/>
      </c>
      <c r="BN317" s="34" t="str">
        <v/>
      </c>
      <c r="BO317" s="34" t="str">
        <v/>
      </c>
      <c r="BP317" s="34" t="str">
        <v/>
      </c>
      <c r="BQ317" s="34" t="str">
        <v>3х2,5</v>
      </c>
      <c r="BR317" s="34" t="str">
        <v/>
      </c>
      <c r="BS317" s="34" t="str">
        <v/>
      </c>
      <c r="BT317" s="34" t="str">
        <v/>
      </c>
      <c r="BU317" s="34">
        <v>0</v>
      </c>
      <c r="BV317" s="34">
        <v>338</v>
      </c>
      <c r="BW317" s="34">
        <v>1</v>
      </c>
      <c r="BX317" s="34">
        <v>0</v>
      </c>
      <c r="BY317" s="34" t="str">
        <v/>
      </c>
      <c r="BZ317">
        <v>16</v>
      </c>
      <c r="CA317" t="str">
        <v>линии</v>
      </c>
    </row>
    <row r="318" spans="1:79" x14ac:dyDescent="0.3">
      <c r="A318" s="39" t="str">
        <v>ЩУОВ</v>
      </c>
      <c r="B318" s="42">
        <v>2</v>
      </c>
      <c r="C318" s="42">
        <v>1</v>
      </c>
      <c r="D318" s="75" t="str">
        <v/>
      </c>
      <c r="E318" s="75" t="str">
        <v/>
      </c>
      <c r="F318" s="76" t="str">
        <v/>
      </c>
      <c r="G318" s="47" t="str">
        <v/>
      </c>
      <c r="H318" s="47" t="str">
        <v/>
      </c>
      <c r="I318" s="75" t="str">
        <v/>
      </c>
      <c r="J318" s="76" t="str">
        <v/>
      </c>
      <c r="K318" s="76" t="str">
        <v/>
      </c>
      <c r="L318" s="75" t="str">
        <v/>
      </c>
      <c r="M318" s="49" t="str">
        <v/>
      </c>
      <c r="N318" s="76" t="str">
        <v/>
      </c>
      <c r="O318" s="49" t="str">
        <v/>
      </c>
      <c r="P318" s="77" t="str">
        <v/>
      </c>
      <c r="Q318" s="53" t="str">
        <v/>
      </c>
      <c r="R318" s="54" t="str">
        <v>Ввод.1</v>
      </c>
      <c r="S318" s="55" t="str">
        <v>Вводной кабель Шлейф №1</v>
      </c>
      <c r="T318" s="56">
        <v>0</v>
      </c>
      <c r="U318" s="56">
        <v>0</v>
      </c>
      <c r="V318" s="42" t="str">
        <v>L1,L2,L3</v>
      </c>
      <c r="W318" s="57" t="str">
        <v/>
      </c>
      <c r="X318" s="58" t="str">
        <v/>
      </c>
      <c r="Y318" s="75" t="str">
        <v>вручную</v>
      </c>
      <c r="Z318" s="59" t="str">
        <v/>
      </c>
      <c r="AA318" s="61" t="str">
        <v/>
      </c>
      <c r="AB318" s="61">
        <v>32</v>
      </c>
      <c r="AC318" s="61" t="str">
        <v/>
      </c>
      <c r="AD318" s="62" t="str">
        <v/>
      </c>
      <c r="AE318" s="62" t="str">
        <v/>
      </c>
      <c r="AF318" s="34" t="str">
        <v/>
      </c>
      <c r="AG318" s="34" t="str">
        <v/>
      </c>
      <c r="AH318" s="34" t="str">
        <v/>
      </c>
      <c r="AI318" s="34" t="str">
        <v/>
      </c>
      <c r="AJ318" s="34" t="str">
        <v/>
      </c>
      <c r="AK318" s="34">
        <v>3</v>
      </c>
      <c r="AL318" s="34" t="str">
        <v>Ввод</v>
      </c>
      <c r="AM318" s="34">
        <v>0</v>
      </c>
      <c r="AN318" s="34">
        <v>0</v>
      </c>
      <c r="AO318" s="34" t="str">
        <v/>
      </c>
      <c r="AP318" s="34" t="str">
        <v/>
      </c>
      <c r="AQ318" s="34" t="str">
        <v/>
      </c>
      <c r="AR318" s="34" t="str">
        <v/>
      </c>
      <c r="AS318" s="34" t="str">
        <v/>
      </c>
      <c r="AT318" s="34" t="str">
        <v/>
      </c>
      <c r="AU318" s="34" t="str">
        <v/>
      </c>
      <c r="AV318" s="34" t="str">
        <v/>
      </c>
      <c r="AW318" s="34" t="str">
        <v/>
      </c>
      <c r="AX318" s="34" t="str">
        <v/>
      </c>
      <c r="AY318" s="34">
        <v>0</v>
      </c>
      <c r="AZ318" s="34" t="str">
        <v/>
      </c>
      <c r="BA318" s="34">
        <v>0</v>
      </c>
      <c r="BB318" s="34">
        <v>32</v>
      </c>
      <c r="BD318" s="34">
        <v>0</v>
      </c>
      <c r="BE318" s="34">
        <v>0</v>
      </c>
      <c r="BF318" s="34">
        <v>0</v>
      </c>
      <c r="BG318" s="34" t="str">
        <v/>
      </c>
      <c r="BH318" s="34" t="str">
        <v/>
      </c>
      <c r="BI318" s="34" t="str">
        <v/>
      </c>
      <c r="BJ318" s="34" t="str">
        <v/>
      </c>
      <c r="BK318" s="34" t="str">
        <v>BOX</v>
      </c>
      <c r="BL318" s="34">
        <v>1</v>
      </c>
      <c r="BM318" s="34" t="str">
        <v/>
      </c>
      <c r="BN318" s="34" t="str">
        <v/>
      </c>
      <c r="BO318" s="34" t="str">
        <v/>
      </c>
      <c r="BP318" s="34" t="str">
        <v/>
      </c>
      <c r="BQ318" s="34" t="str">
        <v/>
      </c>
      <c r="BR318" s="34" t="str">
        <v/>
      </c>
      <c r="BS318" s="34" t="str">
        <v/>
      </c>
      <c r="BT318" s="34" t="str">
        <v/>
      </c>
      <c r="BU318" s="34">
        <v>0</v>
      </c>
      <c r="BV318" s="34">
        <v>339</v>
      </c>
      <c r="BW318" s="34">
        <v>0</v>
      </c>
      <c r="BX318" s="34">
        <v>0</v>
      </c>
      <c r="BY318" s="34">
        <v>0</v>
      </c>
      <c r="BZ318">
        <v>17</v>
      </c>
      <c r="CA318" t="str">
        <v>вводной узел</v>
      </c>
    </row>
    <row r="319" spans="1:79" x14ac:dyDescent="0.3">
      <c r="A319" s="39" t="str">
        <v>ЩУОВ</v>
      </c>
      <c r="B319" s="42">
        <v>11</v>
      </c>
      <c r="C319" s="42">
        <v>1</v>
      </c>
      <c r="D319" s="75" t="str">
        <v/>
      </c>
      <c r="E319" s="75" t="str">
        <v>авто</v>
      </c>
      <c r="F319" s="76" t="str">
        <v/>
      </c>
      <c r="G319" s="47" t="str">
        <v>QF1</v>
      </c>
      <c r="H319" s="47" t="str">
        <v>1P С6А</v>
      </c>
      <c r="I319" s="75" t="str">
        <v/>
      </c>
      <c r="J319" s="76" t="str">
        <v/>
      </c>
      <c r="K319" s="76" t="str">
        <v/>
      </c>
      <c r="L319" s="75" t="str">
        <v/>
      </c>
      <c r="M319" s="49" t="str">
        <v/>
      </c>
      <c r="N319" s="76" t="str">
        <v/>
      </c>
      <c r="O319" s="49" t="str">
        <v/>
      </c>
      <c r="P319" s="77" t="str">
        <v>XT1</v>
      </c>
      <c r="Q319" s="53" t="str">
        <v>МКЭШнг(A)-LS (2х0,75) L=24-0%</v>
      </c>
      <c r="R319" s="54" t="str">
        <v>DW.1</v>
      </c>
      <c r="S319" s="55" t="str">
        <v/>
      </c>
      <c r="T319" s="56">
        <v>0</v>
      </c>
      <c r="U319" s="56">
        <v>0</v>
      </c>
      <c r="V319" s="42" t="str">
        <v>L2</v>
      </c>
      <c r="W319" s="57" t="str">
        <v>ok</v>
      </c>
      <c r="X319" s="58" t="str">
        <v/>
      </c>
      <c r="Y319" s="75" t="str">
        <v/>
      </c>
      <c r="Z319" s="59">
        <v>0</v>
      </c>
      <c r="AA319" s="61">
        <v>6</v>
      </c>
      <c r="AB319" s="61" t="str">
        <v/>
      </c>
      <c r="AC319" s="61" t="str">
        <v/>
      </c>
      <c r="AD319" s="62" t="str">
        <v>QF1 → XT1</v>
      </c>
      <c r="AE319" s="62" t="str">
        <v>нет мощности</v>
      </c>
      <c r="AF319" s="34">
        <v>1</v>
      </c>
      <c r="AG319" s="34" t="str">
        <v>QF1</v>
      </c>
      <c r="AH319" s="34" t="str">
        <v/>
      </c>
      <c r="AI319" s="34" t="str">
        <v/>
      </c>
      <c r="AJ319" s="34" t="str">
        <v>QF1</v>
      </c>
      <c r="AK319" s="34">
        <v>1</v>
      </c>
      <c r="AL319" s="34" t="str">
        <v>DW</v>
      </c>
      <c r="AM319" s="34">
        <v>0</v>
      </c>
      <c r="AN319" s="34">
        <v>0</v>
      </c>
      <c r="AO319" s="34">
        <v>6</v>
      </c>
      <c r="AP319" s="34">
        <v>0</v>
      </c>
      <c r="AQ319" s="34">
        <v>6</v>
      </c>
      <c r="AR319" s="34">
        <v>1</v>
      </c>
      <c r="AS319" s="34">
        <v>0</v>
      </c>
      <c r="AT319" s="34" t="str">
        <v>1P</v>
      </c>
      <c r="AU319" s="34">
        <v>6</v>
      </c>
      <c r="AV319" s="34" t="str">
        <v/>
      </c>
      <c r="AW319" s="34" t="str">
        <v/>
      </c>
      <c r="AX319" s="34" t="str">
        <v/>
      </c>
      <c r="AY319" s="34">
        <v>1</v>
      </c>
      <c r="AZ319" s="34" t="str">
        <v/>
      </c>
      <c r="BA319" s="34">
        <v>0</v>
      </c>
      <c r="BB319" s="34">
        <v>0</v>
      </c>
      <c r="BD319" s="34">
        <v>1</v>
      </c>
      <c r="BE319" s="34">
        <v>0</v>
      </c>
      <c r="BF319" s="34">
        <v>0</v>
      </c>
      <c r="BG319" s="34" t="str">
        <v/>
      </c>
      <c r="BH319" s="34" t="str">
        <v/>
      </c>
      <c r="BI319" s="34" t="str">
        <v/>
      </c>
      <c r="BJ319" s="34" t="str">
        <v/>
      </c>
      <c r="BK319" s="34" t="str">
        <v>BOX</v>
      </c>
      <c r="BL319" s="34">
        <v>1</v>
      </c>
      <c r="BM319" s="34" t="str">
        <v/>
      </c>
      <c r="BN319" s="34" t="str">
        <v/>
      </c>
      <c r="BO319" s="34" t="str">
        <v/>
      </c>
      <c r="BP319" s="34" t="str">
        <v/>
      </c>
      <c r="BQ319" s="34" t="str">
        <v>2х0,75</v>
      </c>
      <c r="BR319" s="34">
        <v>14</v>
      </c>
      <c r="BS319" s="34" t="str">
        <v/>
      </c>
      <c r="BT319" s="34" t="str">
        <v/>
      </c>
      <c r="BU319" s="34">
        <v>1</v>
      </c>
      <c r="BV319" s="34">
        <v>340</v>
      </c>
      <c r="BW319" s="34">
        <v>1</v>
      </c>
      <c r="BX319" s="34">
        <v>0</v>
      </c>
      <c r="BY319" s="34" t="str">
        <v/>
      </c>
      <c r="BZ319">
        <v>17</v>
      </c>
      <c r="CA319" t="str">
        <v>линии</v>
      </c>
    </row>
    <row r="320" spans="1:79" x14ac:dyDescent="0.3">
      <c r="A320" s="39" t="str">
        <v>ЩУОВ</v>
      </c>
      <c r="B320" s="42">
        <v>12</v>
      </c>
      <c r="C320" s="42">
        <v>1</v>
      </c>
      <c r="D320" s="75" t="str">
        <v/>
      </c>
      <c r="E320" s="75" t="str">
        <v>авто</v>
      </c>
      <c r="F320" s="76" t="str">
        <v/>
      </c>
      <c r="G320" s="47" t="str">
        <v>QF2</v>
      </c>
      <c r="H320" s="47" t="str">
        <v>1P С6А</v>
      </c>
      <c r="I320" s="75" t="str">
        <v/>
      </c>
      <c r="J320" s="76" t="str">
        <v/>
      </c>
      <c r="K320" s="76" t="str">
        <v/>
      </c>
      <c r="L320" s="75" t="str">
        <v/>
      </c>
      <c r="M320" s="49" t="str">
        <v/>
      </c>
      <c r="N320" s="76" t="str">
        <v/>
      </c>
      <c r="O320" s="49" t="str">
        <v/>
      </c>
      <c r="P320" s="77" t="str">
        <v>XT2</v>
      </c>
      <c r="Q320" s="53" t="str">
        <v>МКЭШнг(A)-LS (2х0,75) L=19-0%</v>
      </c>
      <c r="R320" s="54" t="str">
        <v>DT.1</v>
      </c>
      <c r="S320" s="55" t="str">
        <v/>
      </c>
      <c r="T320" s="56">
        <v>0</v>
      </c>
      <c r="U320" s="56">
        <v>0</v>
      </c>
      <c r="V320" s="42" t="str">
        <v>L2</v>
      </c>
      <c r="W320" s="57" t="str">
        <v>ok</v>
      </c>
      <c r="X320" s="58" t="str">
        <v/>
      </c>
      <c r="Y320" s="75" t="str">
        <v/>
      </c>
      <c r="Z320" s="59">
        <v>0</v>
      </c>
      <c r="AA320" s="61">
        <v>6</v>
      </c>
      <c r="AB320" s="61" t="str">
        <v/>
      </c>
      <c r="AC320" s="61" t="str">
        <v/>
      </c>
      <c r="AD320" s="62" t="str">
        <v>QF2 → XT2</v>
      </c>
      <c r="AE320" s="62" t="str">
        <v>нет мощности</v>
      </c>
      <c r="AF320" s="34">
        <v>2</v>
      </c>
      <c r="AG320" s="34" t="str">
        <v>QF2</v>
      </c>
      <c r="AH320" s="34" t="str">
        <v/>
      </c>
      <c r="AI320" s="34" t="str">
        <v/>
      </c>
      <c r="AJ320" s="34" t="str">
        <v>QF2</v>
      </c>
      <c r="AK320" s="34">
        <v>1</v>
      </c>
      <c r="AL320" s="34" t="str">
        <v>DT</v>
      </c>
      <c r="AM320" s="34">
        <v>0</v>
      </c>
      <c r="AN320" s="34">
        <v>0</v>
      </c>
      <c r="AO320" s="34">
        <v>6</v>
      </c>
      <c r="AP320" s="34">
        <v>0</v>
      </c>
      <c r="AQ320" s="34">
        <v>6</v>
      </c>
      <c r="AR320" s="34">
        <v>1</v>
      </c>
      <c r="AS320" s="34">
        <v>0</v>
      </c>
      <c r="AT320" s="34" t="str">
        <v>1P</v>
      </c>
      <c r="AU320" s="34">
        <v>6</v>
      </c>
      <c r="AV320" s="34" t="str">
        <v/>
      </c>
      <c r="AW320" s="34" t="str">
        <v/>
      </c>
      <c r="AX320" s="34" t="str">
        <v/>
      </c>
      <c r="AY320" s="34">
        <v>1</v>
      </c>
      <c r="AZ320" s="34" t="str">
        <v/>
      </c>
      <c r="BA320" s="34">
        <v>0</v>
      </c>
      <c r="BB320" s="34">
        <v>0</v>
      </c>
      <c r="BD320" s="34">
        <v>1</v>
      </c>
      <c r="BE320" s="34">
        <v>0</v>
      </c>
      <c r="BF320" s="34">
        <v>0</v>
      </c>
      <c r="BG320" s="34" t="str">
        <v/>
      </c>
      <c r="BH320" s="34" t="str">
        <v/>
      </c>
      <c r="BI320" s="34" t="str">
        <v/>
      </c>
      <c r="BJ320" s="34" t="str">
        <v/>
      </c>
      <c r="BK320" s="34" t="str">
        <v>BOX</v>
      </c>
      <c r="BL320" s="34">
        <v>1</v>
      </c>
      <c r="BM320" s="34" t="str">
        <v/>
      </c>
      <c r="BN320" s="34" t="str">
        <v/>
      </c>
      <c r="BO320" s="34" t="str">
        <v/>
      </c>
      <c r="BP320" s="34" t="str">
        <v/>
      </c>
      <c r="BQ320" s="34" t="str">
        <v>2х0,75</v>
      </c>
      <c r="BR320" s="34" t="str">
        <v/>
      </c>
      <c r="BS320" s="34" t="str">
        <v/>
      </c>
      <c r="BT320" s="34" t="str">
        <v/>
      </c>
      <c r="BU320" s="34">
        <v>1</v>
      </c>
      <c r="BV320" s="34">
        <v>341</v>
      </c>
      <c r="BW320" s="34">
        <v>1</v>
      </c>
      <c r="BX320" s="34">
        <v>0</v>
      </c>
      <c r="BY320" s="34" t="str">
        <v/>
      </c>
      <c r="BZ320">
        <v>17</v>
      </c>
      <c r="CA320" t="str">
        <v>линии</v>
      </c>
    </row>
    <row r="321" spans="1:79" x14ac:dyDescent="0.3">
      <c r="A321" s="39" t="str">
        <v>ЩУОВ</v>
      </c>
      <c r="B321" s="42">
        <v>19</v>
      </c>
      <c r="C321" s="42">
        <v>2</v>
      </c>
      <c r="D321" s="75" t="str">
        <v/>
      </c>
      <c r="E321" s="75" t="str">
        <v>авто</v>
      </c>
      <c r="F321" s="76" t="str">
        <v/>
      </c>
      <c r="G321" s="47" t="str">
        <v>QF3</v>
      </c>
      <c r="H321" s="47" t="str">
        <v>1P С16А</v>
      </c>
      <c r="I321" s="75" t="str">
        <v/>
      </c>
      <c r="J321" s="76" t="str">
        <v/>
      </c>
      <c r="K321" s="76" t="str">
        <v/>
      </c>
      <c r="L321" s="75" t="str">
        <v/>
      </c>
      <c r="M321" s="49" t="str">
        <v/>
      </c>
      <c r="N321" s="76" t="str">
        <v/>
      </c>
      <c r="O321" s="49" t="str">
        <v/>
      </c>
      <c r="P321" s="77" t="str">
        <v/>
      </c>
      <c r="Q321" s="53" t="str">
        <v>ВВГнг(А)-LS (3х4) L=95-4,78%</v>
      </c>
      <c r="R321" s="54" t="str">
        <v>OV.2.002Г.1</v>
      </c>
      <c r="S321" s="55" t="str">
        <v/>
      </c>
      <c r="T321" s="56">
        <v>2.37</v>
      </c>
      <c r="U321" s="56">
        <v>10.81</v>
      </c>
      <c r="V321" s="42" t="str">
        <v>L1</v>
      </c>
      <c r="W321" s="57" t="str">
        <v>ok</v>
      </c>
      <c r="X321" s="58" t="str">
        <v/>
      </c>
      <c r="Y321" s="75" t="str">
        <v/>
      </c>
      <c r="Z321" s="59">
        <v>10.81</v>
      </c>
      <c r="AA321" s="61">
        <v>16</v>
      </c>
      <c r="AB321" s="61">
        <v>32</v>
      </c>
      <c r="AC321" s="61" t="str">
        <v/>
      </c>
      <c r="AD321" s="62" t="str">
        <v>QF3</v>
      </c>
      <c r="AE321" s="62" t="str">
        <v>потери 8,0 % &gt; 4 %</v>
      </c>
      <c r="AF321" s="34">
        <v>3</v>
      </c>
      <c r="AG321" s="34" t="str">
        <v>QF3</v>
      </c>
      <c r="AH321" s="34" t="str">
        <v/>
      </c>
      <c r="AI321" s="34" t="str">
        <v/>
      </c>
      <c r="AJ321" s="34" t="str">
        <v>QF3</v>
      </c>
      <c r="AK321" s="34">
        <v>1</v>
      </c>
      <c r="AL321" s="34" t="str">
        <v>OV</v>
      </c>
      <c r="AM321" s="34">
        <v>0</v>
      </c>
      <c r="AN321" s="34">
        <v>0</v>
      </c>
      <c r="AO321" s="34">
        <v>16</v>
      </c>
      <c r="AP321" s="34">
        <v>32</v>
      </c>
      <c r="AQ321" s="34">
        <v>16</v>
      </c>
      <c r="AR321" s="34">
        <v>1</v>
      </c>
      <c r="AS321" s="34">
        <v>0</v>
      </c>
      <c r="AT321" s="34" t="str">
        <v>1P</v>
      </c>
      <c r="AU321" s="34">
        <v>16</v>
      </c>
      <c r="AV321" s="34" t="str">
        <v/>
      </c>
      <c r="AW321" s="34" t="str">
        <v/>
      </c>
      <c r="AX321" s="34" t="str">
        <v/>
      </c>
      <c r="AY321" s="34">
        <v>1</v>
      </c>
      <c r="AZ321" s="34" t="str">
        <v/>
      </c>
      <c r="BA321" s="34">
        <v>0</v>
      </c>
      <c r="BB321" s="34">
        <v>16</v>
      </c>
      <c r="BD321" s="34">
        <v>1</v>
      </c>
      <c r="BE321" s="34">
        <v>0</v>
      </c>
      <c r="BF321" s="34">
        <v>0</v>
      </c>
      <c r="BG321" s="34" t="str">
        <v/>
      </c>
      <c r="BH321" s="34" t="str">
        <v/>
      </c>
      <c r="BI321" s="34" t="str">
        <v/>
      </c>
      <c r="BJ321" s="34" t="str">
        <v/>
      </c>
      <c r="BK321" s="34" t="str">
        <v>BOX</v>
      </c>
      <c r="BL321" s="34">
        <v>1</v>
      </c>
      <c r="BM321" s="34" t="str">
        <v/>
      </c>
      <c r="BN321" s="34" t="str">
        <v/>
      </c>
      <c r="BO321" s="34" t="str">
        <v/>
      </c>
      <c r="BP321" s="34" t="str">
        <v/>
      </c>
      <c r="BQ321" s="34" t="str">
        <v>3х4</v>
      </c>
      <c r="BR321" s="34" t="str">
        <v/>
      </c>
      <c r="BS321" s="34" t="str">
        <v/>
      </c>
      <c r="BT321" s="34" t="str">
        <v/>
      </c>
      <c r="BU321" s="34">
        <v>1</v>
      </c>
      <c r="BV321" s="34">
        <v>342</v>
      </c>
      <c r="BW321" s="34">
        <v>1</v>
      </c>
      <c r="BX321" s="34">
        <v>0</v>
      </c>
      <c r="BY321" s="34" t="str">
        <v/>
      </c>
      <c r="BZ321">
        <v>17</v>
      </c>
      <c r="CA321" t="str">
        <v>линии</v>
      </c>
    </row>
    <row r="322" spans="1:79" x14ac:dyDescent="0.3">
      <c r="A322" s="39" t="str">
        <v>ЩУОВ</v>
      </c>
      <c r="B322" s="42">
        <v>20</v>
      </c>
      <c r="C322" s="42">
        <v>2</v>
      </c>
      <c r="D322" s="75" t="str">
        <v/>
      </c>
      <c r="E322" s="75" t="str">
        <v>авто</v>
      </c>
      <c r="F322" s="76" t="str">
        <v/>
      </c>
      <c r="G322" s="47" t="str">
        <v>QF4</v>
      </c>
      <c r="H322" s="47" t="str">
        <v>1P С16А</v>
      </c>
      <c r="I322" s="75" t="str">
        <v/>
      </c>
      <c r="J322" s="76" t="str">
        <v/>
      </c>
      <c r="K322" s="76" t="str">
        <v/>
      </c>
      <c r="L322" s="75" t="str">
        <v/>
      </c>
      <c r="M322" s="49" t="str">
        <v/>
      </c>
      <c r="N322" s="76" t="str">
        <v/>
      </c>
      <c r="O322" s="49" t="str">
        <v/>
      </c>
      <c r="P322" s="77" t="str">
        <v>XT4</v>
      </c>
      <c r="Q322" s="53" t="str">
        <v>ВВГнг(А)-LS (3х2,5) L=44-1,44%</v>
      </c>
      <c r="R322" s="54" t="str">
        <v>OV.2.003Г.1</v>
      </c>
      <c r="S322" s="55" t="str">
        <v/>
      </c>
      <c r="T322" s="56">
        <v>0.96</v>
      </c>
      <c r="U322" s="56">
        <v>4.38</v>
      </c>
      <c r="V322" s="42" t="str">
        <v>L2</v>
      </c>
      <c r="W322" s="57" t="str">
        <v>ok</v>
      </c>
      <c r="X322" s="58" t="str">
        <v/>
      </c>
      <c r="Y322" s="75" t="str">
        <v/>
      </c>
      <c r="Z322" s="59">
        <v>4.38</v>
      </c>
      <c r="AA322" s="61">
        <v>6</v>
      </c>
      <c r="AB322" s="61">
        <v>25</v>
      </c>
      <c r="AC322" s="61" t="str">
        <v/>
      </c>
      <c r="AD322" s="62" t="str">
        <v>QF4 → XT4</v>
      </c>
      <c r="AE322" s="62" t="str">
        <v>потери 4,7 % &gt; 4 %</v>
      </c>
      <c r="AF322" s="34">
        <v>4</v>
      </c>
      <c r="AG322" s="34" t="str">
        <v>QF4</v>
      </c>
      <c r="AH322" s="34" t="str">
        <v/>
      </c>
      <c r="AI322" s="34" t="str">
        <v/>
      </c>
      <c r="AJ322" s="34" t="str">
        <v>QF4</v>
      </c>
      <c r="AK322" s="34">
        <v>1</v>
      </c>
      <c r="AL322" s="34" t="str">
        <v>OV</v>
      </c>
      <c r="AM322" s="34">
        <v>0</v>
      </c>
      <c r="AN322" s="34">
        <v>0</v>
      </c>
      <c r="AO322" s="34">
        <v>16</v>
      </c>
      <c r="AP322" s="34">
        <v>25</v>
      </c>
      <c r="AQ322" s="34">
        <v>16</v>
      </c>
      <c r="AR322" s="34">
        <v>1</v>
      </c>
      <c r="AS322" s="34">
        <v>0</v>
      </c>
      <c r="AT322" s="34" t="str">
        <v>1P</v>
      </c>
      <c r="AU322" s="34">
        <v>16</v>
      </c>
      <c r="AV322" s="34" t="str">
        <v/>
      </c>
      <c r="AW322" s="34" t="str">
        <v/>
      </c>
      <c r="AX322" s="34" t="str">
        <v/>
      </c>
      <c r="AY322" s="34">
        <v>1</v>
      </c>
      <c r="AZ322" s="34" t="str">
        <v/>
      </c>
      <c r="BA322" s="34">
        <v>0</v>
      </c>
      <c r="BB322" s="34">
        <v>16</v>
      </c>
      <c r="BD322" s="34">
        <v>1</v>
      </c>
      <c r="BE322" s="34">
        <v>0</v>
      </c>
      <c r="BF322" s="34">
        <v>0</v>
      </c>
      <c r="BG322" s="34" t="str">
        <v/>
      </c>
      <c r="BH322" s="34" t="str">
        <v/>
      </c>
      <c r="BI322" s="34" t="str">
        <v/>
      </c>
      <c r="BJ322" s="34" t="str">
        <v/>
      </c>
      <c r="BK322" s="34" t="str">
        <v>BOX</v>
      </c>
      <c r="BL322" s="34">
        <v>1</v>
      </c>
      <c r="BM322" s="34" t="str">
        <v/>
      </c>
      <c r="BN322" s="34" t="str">
        <v/>
      </c>
      <c r="BO322" s="34" t="str">
        <v/>
      </c>
      <c r="BP322" s="34" t="str">
        <v/>
      </c>
      <c r="BQ322" s="34" t="str">
        <v>3х2,5</v>
      </c>
      <c r="BR322" s="34" t="str">
        <v/>
      </c>
      <c r="BS322" s="34" t="str">
        <v/>
      </c>
      <c r="BT322" s="34" t="str">
        <v/>
      </c>
      <c r="BU322" s="34">
        <v>1</v>
      </c>
      <c r="BV322" s="34">
        <v>343</v>
      </c>
      <c r="BW322" s="34">
        <v>1</v>
      </c>
      <c r="BX322" s="34">
        <v>0</v>
      </c>
      <c r="BY322" s="34" t="str">
        <v/>
      </c>
      <c r="BZ322">
        <v>17</v>
      </c>
      <c r="CA322" t="str">
        <v>линии</v>
      </c>
    </row>
    <row r="323" spans="1:79" x14ac:dyDescent="0.3">
      <c r="A323" s="39" t="str">
        <v>ЩУОВ</v>
      </c>
      <c r="B323" s="42">
        <v>21</v>
      </c>
      <c r="C323" s="42">
        <v>2</v>
      </c>
      <c r="D323" s="75" t="str">
        <v/>
      </c>
      <c r="E323" s="75" t="str">
        <v>авто</v>
      </c>
      <c r="F323" s="76" t="str">
        <v/>
      </c>
      <c r="G323" s="47" t="str">
        <v>QF5</v>
      </c>
      <c r="H323" s="47" t="str">
        <v>1P С16А</v>
      </c>
      <c r="I323" s="75" t="str">
        <v/>
      </c>
      <c r="J323" s="76" t="str">
        <v/>
      </c>
      <c r="K323" s="76" t="str">
        <v/>
      </c>
      <c r="L323" s="75" t="str">
        <v/>
      </c>
      <c r="M323" s="49" t="str">
        <v/>
      </c>
      <c r="N323" s="76" t="str">
        <v/>
      </c>
      <c r="O323" s="49" t="str">
        <v/>
      </c>
      <c r="P323" s="77" t="str">
        <v/>
      </c>
      <c r="Q323" s="53" t="str">
        <v>ВВГнг(А)-LS (3х6) L=97-3,51%</v>
      </c>
      <c r="R323" s="54" t="str">
        <v>OV.2.1.1</v>
      </c>
      <c r="S323" s="55" t="str">
        <v>Обогревл ливнестоков Кровля бассейна</v>
      </c>
      <c r="T323" s="56">
        <v>2.5499999999999998</v>
      </c>
      <c r="U323" s="56">
        <v>11.629999999999999</v>
      </c>
      <c r="V323" s="42" t="str">
        <v>L1</v>
      </c>
      <c r="W323" s="57" t="str">
        <v>ok</v>
      </c>
      <c r="X323" s="58" t="str">
        <v/>
      </c>
      <c r="Y323" s="75" t="str">
        <v/>
      </c>
      <c r="Z323" s="59">
        <v>11.629999999999999</v>
      </c>
      <c r="AA323" s="61">
        <v>16</v>
      </c>
      <c r="AB323" s="61">
        <v>50</v>
      </c>
      <c r="AC323" s="61" t="str">
        <v/>
      </c>
      <c r="AD323" s="62" t="str">
        <v>QF5</v>
      </c>
      <c r="AE323" s="62" t="str">
        <v>потери 6,7 % &gt; 4 %</v>
      </c>
      <c r="AF323" s="34">
        <v>5</v>
      </c>
      <c r="AG323" s="34" t="str">
        <v>QF5</v>
      </c>
      <c r="AH323" s="34" t="str">
        <v/>
      </c>
      <c r="AI323" s="34" t="str">
        <v/>
      </c>
      <c r="AJ323" s="34" t="str">
        <v>QF5</v>
      </c>
      <c r="AK323" s="34">
        <v>1</v>
      </c>
      <c r="AL323" s="34" t="str">
        <v>OV</v>
      </c>
      <c r="AM323" s="34">
        <v>0</v>
      </c>
      <c r="AN323" s="34">
        <v>0</v>
      </c>
      <c r="AO323" s="34">
        <v>16</v>
      </c>
      <c r="AP323" s="34">
        <v>50</v>
      </c>
      <c r="AQ323" s="34">
        <v>16</v>
      </c>
      <c r="AR323" s="34">
        <v>1</v>
      </c>
      <c r="AS323" s="34">
        <v>0</v>
      </c>
      <c r="AT323" s="34" t="str">
        <v>1P</v>
      </c>
      <c r="AU323" s="34">
        <v>16</v>
      </c>
      <c r="AV323" s="34" t="str">
        <v/>
      </c>
      <c r="AW323" s="34" t="str">
        <v/>
      </c>
      <c r="AX323" s="34" t="str">
        <v/>
      </c>
      <c r="AY323" s="34">
        <v>1</v>
      </c>
      <c r="AZ323" s="34" t="str">
        <v/>
      </c>
      <c r="BA323" s="34">
        <v>0</v>
      </c>
      <c r="BB323" s="34">
        <v>16</v>
      </c>
      <c r="BD323" s="34">
        <v>1</v>
      </c>
      <c r="BE323" s="34">
        <v>0</v>
      </c>
      <c r="BF323" s="34">
        <v>0</v>
      </c>
      <c r="BG323" s="34" t="str">
        <v/>
      </c>
      <c r="BH323" s="34" t="str">
        <v/>
      </c>
      <c r="BI323" s="34" t="str">
        <v/>
      </c>
      <c r="BJ323" s="34" t="str">
        <v/>
      </c>
      <c r="BK323" s="34" t="str">
        <v>BOX</v>
      </c>
      <c r="BL323" s="34">
        <v>1</v>
      </c>
      <c r="BM323" s="34" t="str">
        <v/>
      </c>
      <c r="BN323" s="34" t="str">
        <v/>
      </c>
      <c r="BO323" s="34" t="str">
        <v/>
      </c>
      <c r="BP323" s="34" t="str">
        <v/>
      </c>
      <c r="BQ323" s="34" t="str">
        <v>3х6</v>
      </c>
      <c r="BR323" s="34" t="str">
        <v/>
      </c>
      <c r="BS323" s="34" t="str">
        <v/>
      </c>
      <c r="BT323" s="34" t="str">
        <v/>
      </c>
      <c r="BU323" s="34">
        <v>1</v>
      </c>
      <c r="BV323" s="34">
        <v>344</v>
      </c>
      <c r="BW323" s="34">
        <v>1</v>
      </c>
      <c r="BX323" s="34">
        <v>0</v>
      </c>
      <c r="BY323" s="34" t="str">
        <v/>
      </c>
      <c r="BZ323">
        <v>17</v>
      </c>
      <c r="CA323" t="str">
        <v>линии</v>
      </c>
    </row>
    <row r="324" spans="1:79" x14ac:dyDescent="0.3">
      <c r="A324" s="39" t="str">
        <v>ЩУОВ</v>
      </c>
      <c r="B324" s="42">
        <v>22</v>
      </c>
      <c r="C324" s="42">
        <v>2</v>
      </c>
      <c r="D324" s="75" t="str">
        <v/>
      </c>
      <c r="E324" s="75" t="str">
        <v>авто</v>
      </c>
      <c r="F324" s="76" t="str">
        <v/>
      </c>
      <c r="G324" s="47" t="str">
        <v>QF6</v>
      </c>
      <c r="H324" s="47" t="str">
        <v>1P С16А</v>
      </c>
      <c r="I324" s="75" t="str">
        <v/>
      </c>
      <c r="J324" s="76" t="str">
        <v/>
      </c>
      <c r="K324" s="76" t="str">
        <v/>
      </c>
      <c r="L324" s="75" t="str">
        <v/>
      </c>
      <c r="M324" s="49" t="str">
        <v/>
      </c>
      <c r="N324" s="76" t="str">
        <v/>
      </c>
      <c r="O324" s="49" t="str">
        <v/>
      </c>
      <c r="P324" s="77" t="str">
        <v/>
      </c>
      <c r="Q324" s="53" t="str">
        <v>ВВГнг(А)-LS (3х4) L=84-3,64%</v>
      </c>
      <c r="R324" s="54" t="str">
        <v>OV.2.1.2</v>
      </c>
      <c r="S324" s="55" t="str">
        <v>Обогревл ливнестоков Второй этаж</v>
      </c>
      <c r="T324" s="56">
        <v>2.04</v>
      </c>
      <c r="U324" s="56">
        <v>9.2999999999999989</v>
      </c>
      <c r="V324" s="42" t="str">
        <v>L3</v>
      </c>
      <c r="W324" s="57" t="str">
        <v>ok</v>
      </c>
      <c r="X324" s="58" t="str">
        <v/>
      </c>
      <c r="Y324" s="75" t="str">
        <v/>
      </c>
      <c r="Z324" s="59">
        <v>9.2999999999999989</v>
      </c>
      <c r="AA324" s="61">
        <v>16</v>
      </c>
      <c r="AB324" s="61">
        <v>32</v>
      </c>
      <c r="AC324" s="61" t="str">
        <v/>
      </c>
      <c r="AD324" s="62" t="str">
        <v>QF6</v>
      </c>
      <c r="AE324" s="62" t="str">
        <v>потери 6,9 % &gt; 4 %</v>
      </c>
      <c r="AF324" s="34">
        <v>6</v>
      </c>
      <c r="AG324" s="34" t="str">
        <v>QF6</v>
      </c>
      <c r="AH324" s="34" t="str">
        <v/>
      </c>
      <c r="AI324" s="34" t="str">
        <v/>
      </c>
      <c r="AJ324" s="34" t="str">
        <v>QF6</v>
      </c>
      <c r="AK324" s="34">
        <v>1</v>
      </c>
      <c r="AL324" s="34" t="str">
        <v>OV</v>
      </c>
      <c r="AM324" s="34">
        <v>0</v>
      </c>
      <c r="AN324" s="34">
        <v>0</v>
      </c>
      <c r="AO324" s="34">
        <v>16</v>
      </c>
      <c r="AP324" s="34">
        <v>32</v>
      </c>
      <c r="AQ324" s="34">
        <v>16</v>
      </c>
      <c r="AR324" s="34">
        <v>1</v>
      </c>
      <c r="AS324" s="34">
        <v>0</v>
      </c>
      <c r="AT324" s="34" t="str">
        <v>1P</v>
      </c>
      <c r="AU324" s="34">
        <v>16</v>
      </c>
      <c r="AV324" s="34" t="str">
        <v/>
      </c>
      <c r="AW324" s="34" t="str">
        <v/>
      </c>
      <c r="AX324" s="34" t="str">
        <v/>
      </c>
      <c r="AY324" s="34">
        <v>1</v>
      </c>
      <c r="AZ324" s="34" t="str">
        <v/>
      </c>
      <c r="BA324" s="34">
        <v>0</v>
      </c>
      <c r="BB324" s="34">
        <v>16</v>
      </c>
      <c r="BD324" s="34">
        <v>1</v>
      </c>
      <c r="BE324" s="34">
        <v>0</v>
      </c>
      <c r="BF324" s="34">
        <v>0</v>
      </c>
      <c r="BG324" s="34" t="str">
        <v/>
      </c>
      <c r="BH324" s="34" t="str">
        <v/>
      </c>
      <c r="BI324" s="34" t="str">
        <v/>
      </c>
      <c r="BJ324" s="34" t="str">
        <v/>
      </c>
      <c r="BK324" s="34" t="str">
        <v>BOX</v>
      </c>
      <c r="BL324" s="34">
        <v>1</v>
      </c>
      <c r="BM324" s="34" t="str">
        <v/>
      </c>
      <c r="BN324" s="34" t="str">
        <v/>
      </c>
      <c r="BO324" s="34" t="str">
        <v/>
      </c>
      <c r="BP324" s="34" t="str">
        <v/>
      </c>
      <c r="BQ324" s="34" t="str">
        <v>3х4</v>
      </c>
      <c r="BR324" s="34" t="str">
        <v/>
      </c>
      <c r="BS324" s="34" t="str">
        <v/>
      </c>
      <c r="BT324" s="34" t="str">
        <v/>
      </c>
      <c r="BU324" s="34">
        <v>1</v>
      </c>
      <c r="BV324" s="34">
        <v>345</v>
      </c>
      <c r="BW324" s="34">
        <v>1</v>
      </c>
      <c r="BX324" s="34">
        <v>0</v>
      </c>
      <c r="BY324" s="34" t="str">
        <v/>
      </c>
      <c r="BZ324">
        <v>17</v>
      </c>
      <c r="CA324" t="str">
        <v>линии</v>
      </c>
    </row>
    <row r="325" spans="1:79" x14ac:dyDescent="0.3">
      <c r="A325" s="39" t="str">
        <v>ЩУОВ</v>
      </c>
      <c r="B325" s="42">
        <v>23</v>
      </c>
      <c r="C325" s="42">
        <v>2</v>
      </c>
      <c r="D325" s="75" t="str">
        <v/>
      </c>
      <c r="E325" s="75" t="str">
        <v>авто</v>
      </c>
      <c r="F325" s="76" t="str">
        <v/>
      </c>
      <c r="G325" s="47" t="str">
        <v>QF7</v>
      </c>
      <c r="H325" s="47" t="str">
        <v>1P С16А</v>
      </c>
      <c r="I325" s="75" t="str">
        <v/>
      </c>
      <c r="J325" s="76" t="str">
        <v/>
      </c>
      <c r="K325" s="76" t="str">
        <v/>
      </c>
      <c r="L325" s="75" t="str">
        <v/>
      </c>
      <c r="M325" s="49" t="str">
        <v/>
      </c>
      <c r="N325" s="76" t="str">
        <v/>
      </c>
      <c r="O325" s="49" t="str">
        <v/>
      </c>
      <c r="P325" s="77" t="str">
        <v/>
      </c>
      <c r="Q325" s="53" t="str">
        <v>ВВГнг(А)-LS (3х2,5) L=44-0,99%</v>
      </c>
      <c r="R325" s="54" t="str">
        <v>OV.2.1.3</v>
      </c>
      <c r="S325" s="55" t="str">
        <v>Обогревл ливнестоков Второй этаж</v>
      </c>
      <c r="T325" s="56">
        <v>0.66</v>
      </c>
      <c r="U325" s="56">
        <v>3.01</v>
      </c>
      <c r="V325" s="42" t="str">
        <v>L3</v>
      </c>
      <c r="W325" s="57" t="str">
        <v>ok</v>
      </c>
      <c r="X325" s="58" t="str">
        <v/>
      </c>
      <c r="Y325" s="75" t="str">
        <v/>
      </c>
      <c r="Z325" s="59">
        <v>3.01</v>
      </c>
      <c r="AA325" s="61">
        <v>6</v>
      </c>
      <c r="AB325" s="61">
        <v>25</v>
      </c>
      <c r="AC325" s="61" t="str">
        <v/>
      </c>
      <c r="AD325" s="62" t="str">
        <v>QF7</v>
      </c>
      <c r="AE325" s="62" t="str">
        <v>потери 4,2 % &gt; 4 %</v>
      </c>
      <c r="AF325" s="34">
        <v>7</v>
      </c>
      <c r="AG325" s="34" t="str">
        <v>QF7</v>
      </c>
      <c r="AH325" s="34" t="str">
        <v/>
      </c>
      <c r="AI325" s="34" t="str">
        <v/>
      </c>
      <c r="AJ325" s="34" t="str">
        <v>QF7</v>
      </c>
      <c r="AK325" s="34">
        <v>1</v>
      </c>
      <c r="AL325" s="34" t="str">
        <v>OV</v>
      </c>
      <c r="AM325" s="34">
        <v>0</v>
      </c>
      <c r="AN325" s="34">
        <v>0</v>
      </c>
      <c r="AO325" s="34">
        <v>16</v>
      </c>
      <c r="AP325" s="34">
        <v>25</v>
      </c>
      <c r="AQ325" s="34">
        <v>16</v>
      </c>
      <c r="AR325" s="34">
        <v>1</v>
      </c>
      <c r="AS325" s="34">
        <v>0</v>
      </c>
      <c r="AT325" s="34" t="str">
        <v>1P</v>
      </c>
      <c r="AU325" s="34">
        <v>16</v>
      </c>
      <c r="AV325" s="34" t="str">
        <v/>
      </c>
      <c r="AW325" s="34" t="str">
        <v/>
      </c>
      <c r="AX325" s="34" t="str">
        <v/>
      </c>
      <c r="AY325" s="34">
        <v>1</v>
      </c>
      <c r="AZ325" s="34" t="str">
        <v/>
      </c>
      <c r="BA325" s="34">
        <v>0</v>
      </c>
      <c r="BB325" s="34">
        <v>16</v>
      </c>
      <c r="BD325" s="34">
        <v>1</v>
      </c>
      <c r="BE325" s="34">
        <v>0</v>
      </c>
      <c r="BF325" s="34">
        <v>0</v>
      </c>
      <c r="BG325" s="34" t="str">
        <v/>
      </c>
      <c r="BH325" s="34" t="str">
        <v/>
      </c>
      <c r="BI325" s="34" t="str">
        <v/>
      </c>
      <c r="BJ325" s="34" t="str">
        <v/>
      </c>
      <c r="BK325" s="34" t="str">
        <v>BOX</v>
      </c>
      <c r="BL325" s="34">
        <v>1</v>
      </c>
      <c r="BM325" s="34" t="str">
        <v/>
      </c>
      <c r="BN325" s="34" t="str">
        <v/>
      </c>
      <c r="BO325" s="34" t="str">
        <v/>
      </c>
      <c r="BP325" s="34" t="str">
        <v/>
      </c>
      <c r="BQ325" s="34" t="str">
        <v>3х2,5</v>
      </c>
      <c r="BR325" s="34" t="str">
        <v/>
      </c>
      <c r="BS325" s="34" t="str">
        <v/>
      </c>
      <c r="BT325" s="34" t="str">
        <v/>
      </c>
      <c r="BU325" s="34">
        <v>1</v>
      </c>
      <c r="BV325" s="34">
        <v>346</v>
      </c>
      <c r="BW325" s="34">
        <v>1</v>
      </c>
      <c r="BX325" s="34">
        <v>0</v>
      </c>
      <c r="BY325" s="34" t="str">
        <v/>
      </c>
      <c r="BZ325">
        <v>17</v>
      </c>
      <c r="CA325" t="str">
        <v>линии</v>
      </c>
    </row>
    <row r="326" spans="1:79" x14ac:dyDescent="0.3">
      <c r="A326" s="39" t="str">
        <v>ЩУОВ</v>
      </c>
      <c r="B326" s="42">
        <v>24</v>
      </c>
      <c r="C326" s="42">
        <v>2</v>
      </c>
      <c r="D326" s="75" t="str">
        <v/>
      </c>
      <c r="E326" s="75" t="str">
        <v>авто</v>
      </c>
      <c r="F326" s="76" t="str">
        <v/>
      </c>
      <c r="G326" s="47" t="str">
        <v>QF8</v>
      </c>
      <c r="H326" s="47" t="str">
        <v>1P С16А</v>
      </c>
      <c r="I326" s="75" t="str">
        <v/>
      </c>
      <c r="J326" s="76" t="str">
        <v/>
      </c>
      <c r="K326" s="76" t="str">
        <v/>
      </c>
      <c r="L326" s="75" t="str">
        <v/>
      </c>
      <c r="M326" s="49" t="str">
        <v/>
      </c>
      <c r="N326" s="76" t="str">
        <v/>
      </c>
      <c r="O326" s="49" t="str">
        <v/>
      </c>
      <c r="P326" s="77" t="str">
        <v/>
      </c>
      <c r="Q326" s="53" t="str">
        <v>ВВГнг(А)-LS (3х2,5) L=40-2,61%</v>
      </c>
      <c r="R326" s="54" t="str">
        <v>OV.4.1.1</v>
      </c>
      <c r="S326" s="55" t="str">
        <v>Обогревл ливнестоков Кровля</v>
      </c>
      <c r="T326" s="56">
        <v>1.92</v>
      </c>
      <c r="U326" s="56">
        <v>8.76</v>
      </c>
      <c r="V326" s="42" t="str">
        <v>L3</v>
      </c>
      <c r="W326" s="57" t="str">
        <v>ok</v>
      </c>
      <c r="X326" s="58" t="str">
        <v/>
      </c>
      <c r="Y326" s="75" t="str">
        <v/>
      </c>
      <c r="Z326" s="59">
        <v>8.76</v>
      </c>
      <c r="AA326" s="61">
        <v>10</v>
      </c>
      <c r="AB326" s="61">
        <v>25</v>
      </c>
      <c r="AC326" s="61" t="str">
        <v/>
      </c>
      <c r="AD326" s="62" t="str">
        <v>QF8</v>
      </c>
      <c r="AE326" s="62" t="str">
        <v>потери 5,8 % &gt; 4 %</v>
      </c>
      <c r="AF326" s="34">
        <v>8</v>
      </c>
      <c r="AG326" s="34" t="str">
        <v>QF8</v>
      </c>
      <c r="AH326" s="34" t="str">
        <v/>
      </c>
      <c r="AI326" s="34" t="str">
        <v/>
      </c>
      <c r="AJ326" s="34" t="str">
        <v>QF8</v>
      </c>
      <c r="AK326" s="34">
        <v>1</v>
      </c>
      <c r="AL326" s="34" t="str">
        <v>OV</v>
      </c>
      <c r="AM326" s="34">
        <v>0</v>
      </c>
      <c r="AN326" s="34">
        <v>0</v>
      </c>
      <c r="AO326" s="34">
        <v>16</v>
      </c>
      <c r="AP326" s="34">
        <v>25</v>
      </c>
      <c r="AQ326" s="34">
        <v>16</v>
      </c>
      <c r="AR326" s="34">
        <v>1</v>
      </c>
      <c r="AS326" s="34">
        <v>0</v>
      </c>
      <c r="AT326" s="34" t="str">
        <v>1P</v>
      </c>
      <c r="AU326" s="34">
        <v>16</v>
      </c>
      <c r="AV326" s="34" t="str">
        <v/>
      </c>
      <c r="AW326" s="34" t="str">
        <v/>
      </c>
      <c r="AX326" s="34" t="str">
        <v/>
      </c>
      <c r="AY326" s="34">
        <v>1</v>
      </c>
      <c r="AZ326" s="34" t="str">
        <v/>
      </c>
      <c r="BA326" s="34">
        <v>0</v>
      </c>
      <c r="BB326" s="34">
        <v>16</v>
      </c>
      <c r="BD326" s="34">
        <v>1</v>
      </c>
      <c r="BE326" s="34">
        <v>0</v>
      </c>
      <c r="BF326" s="34">
        <v>0</v>
      </c>
      <c r="BG326" s="34" t="str">
        <v/>
      </c>
      <c r="BH326" s="34" t="str">
        <v/>
      </c>
      <c r="BI326" s="34" t="str">
        <v/>
      </c>
      <c r="BJ326" s="34" t="str">
        <v/>
      </c>
      <c r="BK326" s="34" t="str">
        <v>BOX</v>
      </c>
      <c r="BL326" s="34">
        <v>1</v>
      </c>
      <c r="BM326" s="34" t="str">
        <v/>
      </c>
      <c r="BN326" s="34" t="str">
        <v/>
      </c>
      <c r="BO326" s="34" t="str">
        <v/>
      </c>
      <c r="BP326" s="34" t="str">
        <v/>
      </c>
      <c r="BQ326" s="34" t="str">
        <v>3х2,5</v>
      </c>
      <c r="BR326" s="34" t="str">
        <v/>
      </c>
      <c r="BS326" s="34" t="str">
        <v/>
      </c>
      <c r="BT326" s="34" t="str">
        <v/>
      </c>
      <c r="BU326" s="34">
        <v>1</v>
      </c>
      <c r="BV326" s="34">
        <v>347</v>
      </c>
      <c r="BW326" s="34">
        <v>1</v>
      </c>
      <c r="BX326" s="34">
        <v>0</v>
      </c>
      <c r="BY326" s="34" t="str">
        <v/>
      </c>
      <c r="BZ326">
        <v>17</v>
      </c>
      <c r="CA326" t="str">
        <v>линии</v>
      </c>
    </row>
    <row r="327" spans="1:79" x14ac:dyDescent="0.3">
      <c r="A327" s="39" t="str">
        <v>ЩУОВ</v>
      </c>
      <c r="B327" s="42">
        <v>25</v>
      </c>
      <c r="C327" s="42">
        <v>2</v>
      </c>
      <c r="D327" s="75" t="str">
        <v/>
      </c>
      <c r="E327" s="75" t="str">
        <v>авто</v>
      </c>
      <c r="F327" s="76" t="str">
        <v/>
      </c>
      <c r="G327" s="47" t="str">
        <v>QF9</v>
      </c>
      <c r="H327" s="47" t="str">
        <v>1P С16А</v>
      </c>
      <c r="I327" s="75" t="str">
        <v/>
      </c>
      <c r="J327" s="76" t="str">
        <v/>
      </c>
      <c r="K327" s="76" t="str">
        <v/>
      </c>
      <c r="L327" s="75" t="str">
        <v/>
      </c>
      <c r="M327" s="49" t="str">
        <v/>
      </c>
      <c r="N327" s="76" t="str">
        <v/>
      </c>
      <c r="O327" s="49" t="str">
        <v/>
      </c>
      <c r="P327" s="77" t="str">
        <v/>
      </c>
      <c r="Q327" s="53" t="str">
        <v>ВВГнг(А)-LS (3х2,5) L=50-3,1%</v>
      </c>
      <c r="R327" s="54" t="str">
        <v>OV.4.1.2</v>
      </c>
      <c r="S327" s="55" t="str">
        <v>Обогревл ливнестоков Кровля</v>
      </c>
      <c r="T327" s="56">
        <v>1.83</v>
      </c>
      <c r="U327" s="56">
        <v>8.35</v>
      </c>
      <c r="V327" s="42" t="str">
        <v>L1</v>
      </c>
      <c r="W327" s="57" t="str">
        <v>ok</v>
      </c>
      <c r="X327" s="58" t="str">
        <v/>
      </c>
      <c r="Y327" s="75" t="str">
        <v/>
      </c>
      <c r="Z327" s="59">
        <v>8.35</v>
      </c>
      <c r="AA327" s="61">
        <v>10</v>
      </c>
      <c r="AB327" s="61">
        <v>25</v>
      </c>
      <c r="AC327" s="61" t="str">
        <v/>
      </c>
      <c r="AD327" s="62" t="str">
        <v>QF9</v>
      </c>
      <c r="AE327" s="62" t="str">
        <v>потери 6,3 % &gt; 4 %</v>
      </c>
      <c r="AF327" s="34">
        <v>9</v>
      </c>
      <c r="AG327" s="34" t="str">
        <v>QF9</v>
      </c>
      <c r="AH327" s="34" t="str">
        <v/>
      </c>
      <c r="AI327" s="34" t="str">
        <v/>
      </c>
      <c r="AJ327" s="34" t="str">
        <v>QF9</v>
      </c>
      <c r="AK327" s="34">
        <v>1</v>
      </c>
      <c r="AL327" s="34" t="str">
        <v>OV</v>
      </c>
      <c r="AM327" s="34">
        <v>0</v>
      </c>
      <c r="AN327" s="34">
        <v>0</v>
      </c>
      <c r="AO327" s="34">
        <v>16</v>
      </c>
      <c r="AP327" s="34">
        <v>25</v>
      </c>
      <c r="AQ327" s="34">
        <v>16</v>
      </c>
      <c r="AR327" s="34">
        <v>1</v>
      </c>
      <c r="AS327" s="34">
        <v>0</v>
      </c>
      <c r="AT327" s="34" t="str">
        <v>1P</v>
      </c>
      <c r="AU327" s="34">
        <v>16</v>
      </c>
      <c r="AV327" s="34" t="str">
        <v/>
      </c>
      <c r="AW327" s="34" t="str">
        <v/>
      </c>
      <c r="AX327" s="34" t="str">
        <v/>
      </c>
      <c r="AY327" s="34">
        <v>1</v>
      </c>
      <c r="AZ327" s="34" t="str">
        <v/>
      </c>
      <c r="BA327" s="34">
        <v>0</v>
      </c>
      <c r="BB327" s="34">
        <v>16</v>
      </c>
      <c r="BD327" s="34">
        <v>1</v>
      </c>
      <c r="BE327" s="34">
        <v>0</v>
      </c>
      <c r="BF327" s="34">
        <v>0</v>
      </c>
      <c r="BG327" s="34" t="str">
        <v/>
      </c>
      <c r="BH327" s="34" t="str">
        <v/>
      </c>
      <c r="BI327" s="34" t="str">
        <v/>
      </c>
      <c r="BJ327" s="34" t="str">
        <v/>
      </c>
      <c r="BK327" s="34" t="str">
        <v>BOX</v>
      </c>
      <c r="BL327" s="34">
        <v>1</v>
      </c>
      <c r="BM327" s="34" t="str">
        <v/>
      </c>
      <c r="BN327" s="34" t="str">
        <v/>
      </c>
      <c r="BO327" s="34" t="str">
        <v/>
      </c>
      <c r="BP327" s="34" t="str">
        <v/>
      </c>
      <c r="BQ327" s="34" t="str">
        <v>3х2,5</v>
      </c>
      <c r="BR327" s="34" t="str">
        <v/>
      </c>
      <c r="BS327" s="34" t="str">
        <v/>
      </c>
      <c r="BT327" s="34" t="str">
        <v/>
      </c>
      <c r="BU327" s="34">
        <v>1</v>
      </c>
      <c r="BV327" s="34">
        <v>348</v>
      </c>
      <c r="BW327" s="34">
        <v>1</v>
      </c>
      <c r="BX327" s="34">
        <v>0</v>
      </c>
      <c r="BY327" s="34" t="str">
        <v/>
      </c>
      <c r="BZ327">
        <v>17</v>
      </c>
      <c r="CA327" t="str">
        <v>линии</v>
      </c>
    </row>
    <row r="328" spans="1:79" x14ac:dyDescent="0.3">
      <c r="A328" s="39" t="str">
        <v>ЩУОВ</v>
      </c>
      <c r="B328" s="42">
        <v>26</v>
      </c>
      <c r="C328" s="42">
        <v>2</v>
      </c>
      <c r="D328" s="75" t="str">
        <v/>
      </c>
      <c r="E328" s="75" t="str">
        <v>авто</v>
      </c>
      <c r="F328" s="76" t="str">
        <v/>
      </c>
      <c r="G328" s="47" t="str">
        <v>QF10</v>
      </c>
      <c r="H328" s="47" t="str">
        <v>1P С16А</v>
      </c>
      <c r="I328" s="75" t="str">
        <v/>
      </c>
      <c r="J328" s="76" t="str">
        <v/>
      </c>
      <c r="K328" s="76" t="str">
        <v/>
      </c>
      <c r="L328" s="75" t="str">
        <v/>
      </c>
      <c r="M328" s="49" t="str">
        <v/>
      </c>
      <c r="N328" s="76" t="str">
        <v/>
      </c>
      <c r="O328" s="49" t="str">
        <v/>
      </c>
      <c r="P328" s="77" t="str">
        <v/>
      </c>
      <c r="Q328" s="53" t="str">
        <v>ВВГнг(А)-LS (3х4) L=83-3,44%</v>
      </c>
      <c r="R328" s="54" t="str">
        <v>OV.4.1.3</v>
      </c>
      <c r="S328" s="55" t="str">
        <v>Обогревл ливнестоков Кровля</v>
      </c>
      <c r="T328" s="56">
        <v>1.95</v>
      </c>
      <c r="U328" s="56">
        <v>8.89</v>
      </c>
      <c r="V328" s="42" t="str">
        <v>L1</v>
      </c>
      <c r="W328" s="57" t="str">
        <v>ok</v>
      </c>
      <c r="X328" s="58" t="str">
        <v/>
      </c>
      <c r="Y328" s="75" t="str">
        <v/>
      </c>
      <c r="Z328" s="59">
        <v>8.89</v>
      </c>
      <c r="AA328" s="61">
        <v>10</v>
      </c>
      <c r="AB328" s="61">
        <v>32</v>
      </c>
      <c r="AC328" s="61" t="str">
        <v/>
      </c>
      <c r="AD328" s="62" t="str">
        <v>QF10</v>
      </c>
      <c r="AE328" s="62" t="str">
        <v>потери 6,7 % &gt; 4 %</v>
      </c>
      <c r="AF328" s="34">
        <v>10</v>
      </c>
      <c r="AG328" s="34" t="str">
        <v>QF10</v>
      </c>
      <c r="AH328" s="34" t="str">
        <v/>
      </c>
      <c r="AI328" s="34" t="str">
        <v/>
      </c>
      <c r="AJ328" s="34" t="str">
        <v>QF10</v>
      </c>
      <c r="AK328" s="34">
        <v>1</v>
      </c>
      <c r="AL328" s="34" t="str">
        <v>OV</v>
      </c>
      <c r="AM328" s="34">
        <v>0</v>
      </c>
      <c r="AN328" s="34">
        <v>0</v>
      </c>
      <c r="AO328" s="34">
        <v>16</v>
      </c>
      <c r="AP328" s="34">
        <v>32</v>
      </c>
      <c r="AQ328" s="34">
        <v>16</v>
      </c>
      <c r="AR328" s="34">
        <v>1</v>
      </c>
      <c r="AS328" s="34">
        <v>0</v>
      </c>
      <c r="AT328" s="34" t="str">
        <v>1P</v>
      </c>
      <c r="AU328" s="34">
        <v>16</v>
      </c>
      <c r="AV328" s="34" t="str">
        <v/>
      </c>
      <c r="AW328" s="34" t="str">
        <v/>
      </c>
      <c r="AX328" s="34" t="str">
        <v/>
      </c>
      <c r="AY328" s="34">
        <v>1</v>
      </c>
      <c r="AZ328" s="34" t="str">
        <v/>
      </c>
      <c r="BA328" s="34">
        <v>0</v>
      </c>
      <c r="BB328" s="34">
        <v>16</v>
      </c>
      <c r="BD328" s="34">
        <v>1</v>
      </c>
      <c r="BE328" s="34">
        <v>0</v>
      </c>
      <c r="BF328" s="34">
        <v>0</v>
      </c>
      <c r="BG328" s="34" t="str">
        <v/>
      </c>
      <c r="BH328" s="34" t="str">
        <v/>
      </c>
      <c r="BI328" s="34" t="str">
        <v/>
      </c>
      <c r="BJ328" s="34" t="str">
        <v/>
      </c>
      <c r="BK328" s="34" t="str">
        <v>BOX</v>
      </c>
      <c r="BL328" s="34">
        <v>1</v>
      </c>
      <c r="BM328" s="34" t="str">
        <v/>
      </c>
      <c r="BN328" s="34" t="str">
        <v/>
      </c>
      <c r="BO328" s="34" t="str">
        <v/>
      </c>
      <c r="BP328" s="34" t="str">
        <v/>
      </c>
      <c r="BQ328" s="34" t="str">
        <v>3х4</v>
      </c>
      <c r="BR328" s="34" t="str">
        <v/>
      </c>
      <c r="BS328" s="34" t="str">
        <v/>
      </c>
      <c r="BT328" s="34" t="str">
        <v/>
      </c>
      <c r="BU328" s="34">
        <v>1</v>
      </c>
      <c r="BV328" s="34">
        <v>349</v>
      </c>
      <c r="BW328" s="34">
        <v>1</v>
      </c>
      <c r="BX328" s="34">
        <v>0</v>
      </c>
      <c r="BY328" s="34" t="str">
        <v/>
      </c>
      <c r="BZ328">
        <v>17</v>
      </c>
      <c r="CA328" t="str">
        <v>линии</v>
      </c>
    </row>
    <row r="329" spans="1:79" x14ac:dyDescent="0.3">
      <c r="A329" s="39" t="str">
        <v>ЩУОВ</v>
      </c>
      <c r="B329" s="42">
        <v>27</v>
      </c>
      <c r="C329" s="42">
        <v>2</v>
      </c>
      <c r="D329" s="75" t="str">
        <v/>
      </c>
      <c r="E329" s="75" t="str">
        <v>авто</v>
      </c>
      <c r="F329" s="76" t="str">
        <v/>
      </c>
      <c r="G329" s="47" t="str">
        <v>QF11</v>
      </c>
      <c r="H329" s="47" t="str">
        <v>1P С16А</v>
      </c>
      <c r="I329" s="75" t="str">
        <v/>
      </c>
      <c r="J329" s="76" t="str">
        <v/>
      </c>
      <c r="K329" s="76" t="str">
        <v/>
      </c>
      <c r="L329" s="75" t="str">
        <v/>
      </c>
      <c r="M329" s="49" t="str">
        <v/>
      </c>
      <c r="N329" s="76" t="str">
        <v/>
      </c>
      <c r="O329" s="49" t="str">
        <v/>
      </c>
      <c r="P329" s="77" t="str">
        <v/>
      </c>
      <c r="Q329" s="53" t="str">
        <v>ВВГнг(А)-LS (3х2,5) L=66-4,83%</v>
      </c>
      <c r="R329" s="54" t="str">
        <v>OV.4.1.4</v>
      </c>
      <c r="S329" s="55" t="str">
        <v>Обогревл ливнестоков Кровля</v>
      </c>
      <c r="T329" s="56">
        <v>2.16</v>
      </c>
      <c r="U329" s="56">
        <v>9.85</v>
      </c>
      <c r="V329" s="42" t="str">
        <v>L2</v>
      </c>
      <c r="W329" s="57" t="str">
        <v>ok</v>
      </c>
      <c r="X329" s="58" t="str">
        <v/>
      </c>
      <c r="Y329" s="75" t="str">
        <v/>
      </c>
      <c r="Z329" s="59">
        <v>9.85</v>
      </c>
      <c r="AA329" s="61">
        <v>16</v>
      </c>
      <c r="AB329" s="61">
        <v>25</v>
      </c>
      <c r="AC329" s="61" t="str">
        <v/>
      </c>
      <c r="AD329" s="62" t="str">
        <v>QF11</v>
      </c>
      <c r="AE329" s="62" t="str">
        <v>потери 8,0 % &gt; 4 %</v>
      </c>
      <c r="AF329" s="34">
        <v>11</v>
      </c>
      <c r="AG329" s="34" t="str">
        <v>QF11</v>
      </c>
      <c r="AH329" s="34" t="str">
        <v/>
      </c>
      <c r="AI329" s="34" t="str">
        <v/>
      </c>
      <c r="AJ329" s="34" t="str">
        <v>QF11</v>
      </c>
      <c r="AK329" s="34">
        <v>1</v>
      </c>
      <c r="AL329" s="34" t="str">
        <v>OV</v>
      </c>
      <c r="AM329" s="34">
        <v>0</v>
      </c>
      <c r="AN329" s="34">
        <v>0</v>
      </c>
      <c r="AO329" s="34">
        <v>16</v>
      </c>
      <c r="AP329" s="34">
        <v>25</v>
      </c>
      <c r="AQ329" s="34">
        <v>16</v>
      </c>
      <c r="AR329" s="34">
        <v>1</v>
      </c>
      <c r="AS329" s="34">
        <v>0</v>
      </c>
      <c r="AT329" s="34" t="str">
        <v>1P</v>
      </c>
      <c r="AU329" s="34">
        <v>16</v>
      </c>
      <c r="AV329" s="34" t="str">
        <v/>
      </c>
      <c r="AW329" s="34" t="str">
        <v/>
      </c>
      <c r="AX329" s="34" t="str">
        <v/>
      </c>
      <c r="AY329" s="34">
        <v>1</v>
      </c>
      <c r="AZ329" s="34" t="str">
        <v/>
      </c>
      <c r="BA329" s="34">
        <v>0</v>
      </c>
      <c r="BB329" s="34">
        <v>16</v>
      </c>
      <c r="BD329" s="34">
        <v>1</v>
      </c>
      <c r="BE329" s="34">
        <v>0</v>
      </c>
      <c r="BF329" s="34">
        <v>0</v>
      </c>
      <c r="BG329" s="34" t="str">
        <v/>
      </c>
      <c r="BH329" s="34" t="str">
        <v/>
      </c>
      <c r="BI329" s="34" t="str">
        <v/>
      </c>
      <c r="BJ329" s="34" t="str">
        <v/>
      </c>
      <c r="BK329" s="34" t="str">
        <v>BOX</v>
      </c>
      <c r="BL329" s="34">
        <v>1</v>
      </c>
      <c r="BM329" s="34" t="str">
        <v/>
      </c>
      <c r="BN329" s="34" t="str">
        <v/>
      </c>
      <c r="BO329" s="34" t="str">
        <v/>
      </c>
      <c r="BP329" s="34" t="str">
        <v/>
      </c>
      <c r="BQ329" s="34" t="str">
        <v>3х2,5</v>
      </c>
      <c r="BR329" s="34" t="str">
        <v/>
      </c>
      <c r="BS329" s="34" t="str">
        <v/>
      </c>
      <c r="BT329" s="34" t="str">
        <v/>
      </c>
      <c r="BU329" s="34">
        <v>1</v>
      </c>
      <c r="BV329" s="34">
        <v>350</v>
      </c>
      <c r="BW329" s="34">
        <v>1</v>
      </c>
      <c r="BX329" s="34">
        <v>0</v>
      </c>
      <c r="BY329" s="34" t="str">
        <v/>
      </c>
      <c r="BZ329">
        <v>17</v>
      </c>
      <c r="CA329" t="str">
        <v>линии</v>
      </c>
    </row>
    <row r="330" spans="1:79" x14ac:dyDescent="0.3">
      <c r="A330" s="39"/>
      <c r="B330" s="42"/>
      <c r="C330" s="42"/>
      <c r="D330" s="75"/>
      <c r="E330" s="75"/>
      <c r="F330" s="76"/>
      <c r="G330" s="47"/>
      <c r="H330" s="47"/>
      <c r="I330" s="75"/>
      <c r="J330" s="76"/>
      <c r="K330" s="76"/>
      <c r="L330" s="75"/>
      <c r="M330" s="49"/>
      <c r="N330" s="76"/>
      <c r="O330" s="49"/>
      <c r="P330" s="77"/>
      <c r="Q330" s="53"/>
      <c r="R330" s="54"/>
      <c r="S330" s="55"/>
      <c r="T330" s="56"/>
      <c r="U330" s="56"/>
      <c r="V330" s="42"/>
      <c r="W330" s="57"/>
      <c r="X330" s="58"/>
      <c r="Y330" s="75"/>
      <c r="Z330" s="59"/>
      <c r="AA330" s="61"/>
      <c r="AB330" s="61"/>
      <c r="AC330" s="61"/>
      <c r="AD330" s="62"/>
      <c r="AE330" s="62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/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</row>
    <row r="331" spans="1:79" x14ac:dyDescent="0.3">
      <c r="A331" s="39"/>
      <c r="B331" s="42"/>
      <c r="C331" s="42"/>
      <c r="D331" s="75"/>
      <c r="E331" s="75"/>
      <c r="F331" s="76"/>
      <c r="G331" s="47"/>
      <c r="H331" s="47"/>
      <c r="I331" s="75"/>
      <c r="J331" s="76"/>
      <c r="K331" s="76"/>
      <c r="L331" s="75"/>
      <c r="M331" s="49"/>
      <c r="N331" s="76"/>
      <c r="O331" s="49"/>
      <c r="P331" s="77"/>
      <c r="Q331" s="53"/>
      <c r="R331" s="54"/>
      <c r="S331" s="55"/>
      <c r="T331" s="56"/>
      <c r="U331" s="56"/>
      <c r="V331" s="42"/>
      <c r="W331" s="57"/>
      <c r="X331" s="58"/>
      <c r="Y331" s="75"/>
      <c r="Z331" s="59"/>
      <c r="AA331" s="61"/>
      <c r="AB331" s="61"/>
      <c r="AC331" s="61"/>
      <c r="AD331" s="62"/>
      <c r="AE331" s="62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D331" s="34"/>
      <c r="BE331" s="34"/>
      <c r="BF331" s="34"/>
      <c r="BG331" s="34"/>
      <c r="BH331" s="34"/>
      <c r="BI331" s="34"/>
      <c r="BJ331" s="34"/>
      <c r="BK331" s="34"/>
      <c r="BL331" s="34"/>
      <c r="BM331" s="34"/>
      <c r="BN331" s="34"/>
      <c r="BO331" s="34"/>
      <c r="BP331" s="34"/>
      <c r="BQ331" s="34"/>
      <c r="BR331" s="34"/>
      <c r="BS331" s="34"/>
      <c r="BT331" s="34"/>
      <c r="BU331" s="34"/>
      <c r="BV331" s="34"/>
      <c r="BW331" s="34"/>
      <c r="BX331" s="34"/>
      <c r="BY331" s="34"/>
    </row>
    <row r="332" spans="1:79" x14ac:dyDescent="0.3">
      <c r="A332" s="39"/>
      <c r="B332" s="42"/>
      <c r="C332" s="42"/>
      <c r="D332" s="75"/>
      <c r="E332" s="75"/>
      <c r="F332" s="76"/>
      <c r="G332" s="47"/>
      <c r="H332" s="47"/>
      <c r="I332" s="75"/>
      <c r="J332" s="76"/>
      <c r="K332" s="76"/>
      <c r="L332" s="75"/>
      <c r="M332" s="49"/>
      <c r="N332" s="76"/>
      <c r="O332" s="49"/>
      <c r="P332" s="77"/>
      <c r="Q332" s="53"/>
      <c r="R332" s="54"/>
      <c r="S332" s="55"/>
      <c r="T332" s="56"/>
      <c r="U332" s="56"/>
      <c r="V332" s="42"/>
      <c r="W332" s="57"/>
      <c r="X332" s="58"/>
      <c r="Y332" s="75"/>
      <c r="Z332" s="59"/>
      <c r="AA332" s="61"/>
      <c r="AB332" s="61"/>
      <c r="AC332" s="61"/>
      <c r="AD332" s="62"/>
      <c r="AE332" s="62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D332" s="34"/>
      <c r="BE332" s="34"/>
      <c r="BF332" s="34"/>
      <c r="BG332" s="34"/>
      <c r="BH332" s="34"/>
      <c r="BI332" s="34"/>
      <c r="BJ332" s="34"/>
      <c r="BK332" s="34"/>
      <c r="BL332" s="34"/>
      <c r="BM332" s="34"/>
      <c r="BN332" s="34"/>
      <c r="BO332" s="34"/>
      <c r="BP332" s="34"/>
      <c r="BQ332" s="34"/>
      <c r="BR332" s="34"/>
      <c r="BS332" s="34"/>
      <c r="BT332" s="34"/>
      <c r="BU332" s="34"/>
      <c r="BV332" s="34"/>
      <c r="BW332" s="34"/>
      <c r="BX332" s="34"/>
      <c r="BY332" s="34"/>
    </row>
    <row r="333" spans="1:79" x14ac:dyDescent="0.3">
      <c r="A333" s="39"/>
      <c r="B333" s="42"/>
      <c r="C333" s="42"/>
      <c r="D333" s="75"/>
      <c r="E333" s="75"/>
      <c r="F333" s="76"/>
      <c r="G333" s="47"/>
      <c r="H333" s="47"/>
      <c r="I333" s="75"/>
      <c r="J333" s="76"/>
      <c r="K333" s="76"/>
      <c r="L333" s="75"/>
      <c r="M333" s="49"/>
      <c r="N333" s="76"/>
      <c r="O333" s="49"/>
      <c r="P333" s="77"/>
      <c r="Q333" s="53"/>
      <c r="R333" s="54"/>
      <c r="S333" s="55"/>
      <c r="T333" s="56"/>
      <c r="U333" s="56"/>
      <c r="V333" s="42"/>
      <c r="W333" s="57"/>
      <c r="X333" s="58"/>
      <c r="Y333" s="75"/>
      <c r="Z333" s="59"/>
      <c r="AA333" s="61"/>
      <c r="AB333" s="61"/>
      <c r="AC333" s="61"/>
      <c r="AD333" s="62"/>
      <c r="AE333" s="62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D333" s="34"/>
      <c r="BE333" s="34"/>
      <c r="BF333" s="34"/>
      <c r="BG333" s="34"/>
      <c r="BH333" s="34"/>
      <c r="BI333" s="34"/>
      <c r="BJ333" s="34"/>
      <c r="BK333" s="34"/>
      <c r="BL333" s="34"/>
      <c r="BM333" s="34"/>
      <c r="BN333" s="34"/>
      <c r="BO333" s="34"/>
      <c r="BP333" s="34"/>
      <c r="BQ333" s="34"/>
      <c r="BR333" s="34"/>
      <c r="BS333" s="34"/>
      <c r="BT333" s="34"/>
      <c r="BU333" s="34"/>
      <c r="BV333" s="34"/>
      <c r="BW333" s="34"/>
      <c r="BX333" s="34"/>
      <c r="BY333" s="34"/>
    </row>
    <row r="334" spans="1:79" x14ac:dyDescent="0.3">
      <c r="A334" s="39"/>
      <c r="B334" s="42"/>
      <c r="C334" s="42"/>
      <c r="D334" s="75"/>
      <c r="E334" s="75"/>
      <c r="F334" s="76"/>
      <c r="G334" s="47"/>
      <c r="H334" s="47"/>
      <c r="I334" s="75"/>
      <c r="J334" s="76"/>
      <c r="K334" s="76"/>
      <c r="L334" s="75"/>
      <c r="M334" s="49"/>
      <c r="N334" s="76"/>
      <c r="O334" s="49"/>
      <c r="P334" s="77"/>
      <c r="Q334" s="53"/>
      <c r="R334" s="54"/>
      <c r="S334" s="55"/>
      <c r="T334" s="56"/>
      <c r="U334" s="56"/>
      <c r="V334" s="42"/>
      <c r="W334" s="57"/>
      <c r="X334" s="58"/>
      <c r="Y334" s="75"/>
      <c r="Z334" s="59"/>
      <c r="AA334" s="61"/>
      <c r="AB334" s="61"/>
      <c r="AC334" s="61"/>
      <c r="AD334" s="62"/>
      <c r="AE334" s="62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D334" s="34"/>
      <c r="BE334" s="34"/>
      <c r="BF334" s="34"/>
      <c r="BG334" s="34"/>
      <c r="BH334" s="34"/>
      <c r="BI334" s="34"/>
      <c r="BJ334" s="34"/>
      <c r="BK334" s="34"/>
      <c r="BL334" s="34"/>
      <c r="BM334" s="34"/>
      <c r="BN334" s="34"/>
      <c r="BO334" s="34"/>
      <c r="BP334" s="34"/>
      <c r="BQ334" s="34"/>
      <c r="BR334" s="34"/>
      <c r="BS334" s="34"/>
      <c r="BT334" s="34"/>
      <c r="BU334" s="34"/>
      <c r="BV334" s="34"/>
      <c r="BW334" s="34"/>
      <c r="BX334" s="34"/>
      <c r="BY334" s="34"/>
    </row>
    <row r="335" spans="1:79" x14ac:dyDescent="0.3">
      <c r="A335" s="39"/>
      <c r="B335" s="42"/>
      <c r="C335" s="42"/>
      <c r="D335" s="75"/>
      <c r="E335" s="75"/>
      <c r="F335" s="76"/>
      <c r="G335" s="47"/>
      <c r="H335" s="47"/>
      <c r="I335" s="75"/>
      <c r="J335" s="76"/>
      <c r="K335" s="76"/>
      <c r="L335" s="75"/>
      <c r="M335" s="49"/>
      <c r="N335" s="76"/>
      <c r="O335" s="49"/>
      <c r="P335" s="77"/>
      <c r="Q335" s="53"/>
      <c r="R335" s="54"/>
      <c r="S335" s="55"/>
      <c r="T335" s="56"/>
      <c r="U335" s="56"/>
      <c r="V335" s="42"/>
      <c r="W335" s="57"/>
      <c r="X335" s="58"/>
      <c r="Y335" s="75"/>
      <c r="Z335" s="59"/>
      <c r="AA335" s="61"/>
      <c r="AB335" s="61"/>
      <c r="AC335" s="61"/>
      <c r="AD335" s="62"/>
      <c r="AE335" s="62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D335" s="34"/>
      <c r="BE335" s="34"/>
      <c r="BF335" s="34"/>
      <c r="BG335" s="34"/>
      <c r="BH335" s="34"/>
      <c r="BI335" s="34"/>
      <c r="BJ335" s="34"/>
      <c r="BK335" s="34"/>
      <c r="BL335" s="34"/>
      <c r="BM335" s="34"/>
      <c r="BN335" s="34"/>
      <c r="BO335" s="34"/>
      <c r="BP335" s="34"/>
      <c r="BQ335" s="34"/>
      <c r="BR335" s="34"/>
      <c r="BS335" s="34"/>
      <c r="BT335" s="34"/>
      <c r="BU335" s="34"/>
      <c r="BV335" s="34"/>
      <c r="BW335" s="34"/>
      <c r="BX335" s="34"/>
      <c r="BY335" s="34"/>
    </row>
    <row r="336" spans="1:79" x14ac:dyDescent="0.3">
      <c r="A336" s="39"/>
      <c r="B336" s="42"/>
      <c r="C336" s="42"/>
      <c r="D336" s="75"/>
      <c r="E336" s="75"/>
      <c r="F336" s="76"/>
      <c r="G336" s="47"/>
      <c r="H336" s="47"/>
      <c r="I336" s="75"/>
      <c r="J336" s="76"/>
      <c r="K336" s="76"/>
      <c r="L336" s="75"/>
      <c r="M336" s="49"/>
      <c r="N336" s="76"/>
      <c r="O336" s="49"/>
      <c r="P336" s="77"/>
      <c r="Q336" s="53"/>
      <c r="R336" s="54"/>
      <c r="S336" s="55"/>
      <c r="T336" s="56"/>
      <c r="U336" s="56"/>
      <c r="V336" s="42"/>
      <c r="W336" s="57"/>
      <c r="X336" s="58"/>
      <c r="Y336" s="75"/>
      <c r="Z336" s="59"/>
      <c r="AA336" s="61"/>
      <c r="AB336" s="61"/>
      <c r="AC336" s="61"/>
      <c r="AD336" s="62"/>
      <c r="AE336" s="62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D336" s="34"/>
      <c r="BE336" s="34"/>
      <c r="BF336" s="34"/>
      <c r="BG336" s="34"/>
      <c r="BH336" s="34"/>
      <c r="BI336" s="34"/>
      <c r="BJ336" s="34"/>
      <c r="BK336" s="34"/>
      <c r="BL336" s="34"/>
      <c r="BM336" s="34"/>
      <c r="BN336" s="34"/>
      <c r="BO336" s="34"/>
      <c r="BP336" s="34"/>
      <c r="BQ336" s="34"/>
      <c r="BR336" s="34"/>
      <c r="BS336" s="34"/>
      <c r="BT336" s="34"/>
      <c r="BU336" s="34"/>
      <c r="BV336" s="34"/>
      <c r="BW336" s="34"/>
      <c r="BX336" s="34"/>
      <c r="BY336" s="34"/>
    </row>
    <row r="337" spans="1:77" x14ac:dyDescent="0.3">
      <c r="A337" s="39"/>
      <c r="B337" s="42"/>
      <c r="C337" s="42"/>
      <c r="D337" s="75"/>
      <c r="E337" s="75"/>
      <c r="F337" s="76"/>
      <c r="G337" s="47"/>
      <c r="H337" s="47"/>
      <c r="I337" s="75"/>
      <c r="J337" s="76"/>
      <c r="K337" s="76"/>
      <c r="L337" s="75"/>
      <c r="M337" s="49"/>
      <c r="N337" s="76"/>
      <c r="O337" s="49"/>
      <c r="P337" s="77"/>
      <c r="Q337" s="53"/>
      <c r="R337" s="54"/>
      <c r="S337" s="55"/>
      <c r="T337" s="56"/>
      <c r="U337" s="56"/>
      <c r="V337" s="42"/>
      <c r="W337" s="57"/>
      <c r="X337" s="58"/>
      <c r="Y337" s="75"/>
      <c r="Z337" s="59"/>
      <c r="AA337" s="61"/>
      <c r="AB337" s="61"/>
      <c r="AC337" s="61"/>
      <c r="AD337" s="62"/>
      <c r="AE337" s="62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D337" s="34"/>
      <c r="BE337" s="34"/>
      <c r="BF337" s="34"/>
      <c r="BG337" s="34"/>
      <c r="BH337" s="34"/>
      <c r="BI337" s="34"/>
      <c r="BJ337" s="34"/>
      <c r="BK337" s="34"/>
      <c r="BL337" s="34"/>
      <c r="BM337" s="34"/>
      <c r="BN337" s="34"/>
      <c r="BO337" s="34"/>
      <c r="BP337" s="34"/>
      <c r="BQ337" s="34"/>
      <c r="BR337" s="34"/>
      <c r="BS337" s="34"/>
      <c r="BT337" s="34"/>
      <c r="BU337" s="34"/>
      <c r="BV337" s="34"/>
      <c r="BW337" s="34"/>
      <c r="BX337" s="34"/>
      <c r="BY337" s="34"/>
    </row>
    <row r="338" spans="1:77" x14ac:dyDescent="0.3">
      <c r="A338" s="39"/>
      <c r="B338" s="42"/>
      <c r="C338" s="42"/>
      <c r="D338" s="75"/>
      <c r="E338" s="75"/>
      <c r="F338" s="76"/>
      <c r="G338" s="47"/>
      <c r="H338" s="47"/>
      <c r="I338" s="75"/>
      <c r="J338" s="76"/>
      <c r="K338" s="76"/>
      <c r="L338" s="75"/>
      <c r="M338" s="49"/>
      <c r="N338" s="76"/>
      <c r="O338" s="49"/>
      <c r="P338" s="77"/>
      <c r="Q338" s="53"/>
      <c r="R338" s="54"/>
      <c r="S338" s="55"/>
      <c r="T338" s="56"/>
      <c r="U338" s="56"/>
      <c r="V338" s="42"/>
      <c r="W338" s="57"/>
      <c r="X338" s="58"/>
      <c r="Y338" s="75"/>
      <c r="Z338" s="59"/>
      <c r="AA338" s="61"/>
      <c r="AB338" s="61"/>
      <c r="AC338" s="61"/>
      <c r="AD338" s="62"/>
      <c r="AE338" s="62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D338" s="34"/>
      <c r="BE338" s="34"/>
      <c r="BF338" s="34"/>
      <c r="BG338" s="34"/>
      <c r="BH338" s="34"/>
      <c r="BI338" s="34"/>
      <c r="BJ338" s="34"/>
      <c r="BK338" s="34"/>
      <c r="BL338" s="34"/>
      <c r="BM338" s="34"/>
      <c r="BN338" s="34"/>
      <c r="BO338" s="34"/>
      <c r="BP338" s="34"/>
      <c r="BQ338" s="34"/>
      <c r="BR338" s="34"/>
      <c r="BS338" s="34"/>
      <c r="BT338" s="34"/>
      <c r="BU338" s="34"/>
      <c r="BV338" s="34"/>
      <c r="BW338" s="34"/>
      <c r="BX338" s="34"/>
      <c r="BY338" s="34"/>
    </row>
    <row r="339" spans="1:77" x14ac:dyDescent="0.3">
      <c r="A339" s="39"/>
      <c r="B339" s="42"/>
      <c r="C339" s="42"/>
      <c r="D339" s="75"/>
      <c r="E339" s="75"/>
      <c r="F339" s="76"/>
      <c r="G339" s="47"/>
      <c r="H339" s="47"/>
      <c r="I339" s="75"/>
      <c r="J339" s="76"/>
      <c r="K339" s="76"/>
      <c r="L339" s="75"/>
      <c r="M339" s="49"/>
      <c r="N339" s="76"/>
      <c r="O339" s="49"/>
      <c r="P339" s="77"/>
      <c r="Q339" s="53"/>
      <c r="R339" s="54"/>
      <c r="S339" s="55"/>
      <c r="T339" s="56"/>
      <c r="U339" s="56"/>
      <c r="V339" s="42"/>
      <c r="W339" s="57"/>
      <c r="X339" s="58"/>
      <c r="Y339" s="75"/>
      <c r="Z339" s="59"/>
      <c r="AA339" s="61"/>
      <c r="AB339" s="61"/>
      <c r="AC339" s="61"/>
      <c r="AD339" s="62"/>
      <c r="AE339" s="62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D339" s="34"/>
      <c r="BE339" s="34"/>
      <c r="BF339" s="34"/>
      <c r="BG339" s="34"/>
      <c r="BH339" s="34"/>
      <c r="BI339" s="34"/>
      <c r="BJ339" s="34"/>
      <c r="BK339" s="34"/>
      <c r="BL339" s="34"/>
      <c r="BM339" s="34"/>
      <c r="BN339" s="34"/>
      <c r="BO339" s="34"/>
      <c r="BP339" s="34"/>
      <c r="BQ339" s="34"/>
      <c r="BR339" s="34"/>
      <c r="BS339" s="34"/>
      <c r="BT339" s="34"/>
      <c r="BU339" s="34"/>
      <c r="BV339" s="34"/>
      <c r="BW339" s="34"/>
      <c r="BX339" s="34"/>
      <c r="BY339" s="34"/>
    </row>
    <row r="340" spans="1:77" x14ac:dyDescent="0.3">
      <c r="A340" s="39"/>
      <c r="B340" s="42"/>
      <c r="C340" s="42"/>
      <c r="D340" s="75"/>
      <c r="E340" s="75"/>
      <c r="F340" s="76"/>
      <c r="G340" s="47"/>
      <c r="H340" s="47"/>
      <c r="I340" s="75"/>
      <c r="J340" s="76"/>
      <c r="K340" s="76"/>
      <c r="L340" s="75"/>
      <c r="M340" s="49"/>
      <c r="N340" s="76"/>
      <c r="O340" s="49"/>
      <c r="P340" s="77"/>
      <c r="Q340" s="53"/>
      <c r="R340" s="54"/>
      <c r="S340" s="55"/>
      <c r="T340" s="56"/>
      <c r="U340" s="56"/>
      <c r="V340" s="42"/>
      <c r="W340" s="57"/>
      <c r="X340" s="58"/>
      <c r="Y340" s="75"/>
      <c r="Z340" s="59"/>
      <c r="AA340" s="61"/>
      <c r="AB340" s="61"/>
      <c r="AC340" s="61"/>
      <c r="AD340" s="62"/>
      <c r="AE340" s="62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D340" s="34"/>
      <c r="BE340" s="34"/>
      <c r="BF340" s="34"/>
      <c r="BG340" s="34"/>
      <c r="BH340" s="34"/>
      <c r="BI340" s="34"/>
      <c r="BJ340" s="34"/>
      <c r="BK340" s="34"/>
      <c r="BL340" s="34"/>
      <c r="BM340" s="34"/>
      <c r="BN340" s="34"/>
      <c r="BO340" s="34"/>
      <c r="BP340" s="34"/>
      <c r="BQ340" s="34"/>
      <c r="BR340" s="34"/>
      <c r="BS340" s="34"/>
      <c r="BT340" s="34"/>
      <c r="BU340" s="34"/>
      <c r="BV340" s="34"/>
      <c r="BW340" s="34"/>
      <c r="BX340" s="34"/>
      <c r="BY340" s="34"/>
    </row>
    <row r="341" spans="1:77" x14ac:dyDescent="0.3">
      <c r="A341" s="39"/>
      <c r="B341" s="42"/>
      <c r="C341" s="42"/>
      <c r="D341" s="75"/>
      <c r="E341" s="75"/>
      <c r="F341" s="76"/>
      <c r="G341" s="47"/>
      <c r="H341" s="47"/>
      <c r="I341" s="75"/>
      <c r="J341" s="76"/>
      <c r="K341" s="76"/>
      <c r="L341" s="75"/>
      <c r="M341" s="49"/>
      <c r="N341" s="76"/>
      <c r="O341" s="49"/>
      <c r="P341" s="77"/>
      <c r="Q341" s="53"/>
      <c r="R341" s="54"/>
      <c r="S341" s="55"/>
      <c r="T341" s="56"/>
      <c r="U341" s="56"/>
      <c r="V341" s="42"/>
      <c r="W341" s="57"/>
      <c r="X341" s="58"/>
      <c r="Y341" s="75"/>
      <c r="Z341" s="59"/>
      <c r="AA341" s="61"/>
      <c r="AB341" s="61"/>
      <c r="AC341" s="61"/>
      <c r="AD341" s="62"/>
      <c r="AE341" s="62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D341" s="34"/>
      <c r="BE341" s="34"/>
      <c r="BF341" s="34"/>
      <c r="BG341" s="34"/>
      <c r="BH341" s="34"/>
      <c r="BI341" s="34"/>
      <c r="BJ341" s="34"/>
      <c r="BK341" s="34"/>
      <c r="BL341" s="34"/>
      <c r="BM341" s="34"/>
      <c r="BN341" s="34"/>
      <c r="BO341" s="34"/>
      <c r="BP341" s="34"/>
      <c r="BQ341" s="34"/>
      <c r="BR341" s="34"/>
      <c r="BS341" s="34"/>
      <c r="BT341" s="34"/>
      <c r="BU341" s="34"/>
      <c r="BV341" s="34"/>
      <c r="BW341" s="34"/>
      <c r="BX341" s="34"/>
      <c r="BY341" s="34"/>
    </row>
    <row r="342" spans="1:77" x14ac:dyDescent="0.3">
      <c r="A342" s="39"/>
      <c r="B342" s="42"/>
      <c r="C342" s="42"/>
      <c r="D342" s="75"/>
      <c r="E342" s="75"/>
      <c r="F342" s="76"/>
      <c r="G342" s="47"/>
      <c r="H342" s="47"/>
      <c r="I342" s="75"/>
      <c r="J342" s="76"/>
      <c r="K342" s="76"/>
      <c r="L342" s="75"/>
      <c r="M342" s="49"/>
      <c r="N342" s="76"/>
      <c r="O342" s="49"/>
      <c r="P342" s="77"/>
      <c r="Q342" s="53"/>
      <c r="R342" s="54"/>
      <c r="S342" s="55"/>
      <c r="T342" s="56"/>
      <c r="U342" s="56"/>
      <c r="V342" s="42"/>
      <c r="W342" s="57"/>
      <c r="X342" s="58"/>
      <c r="Y342" s="75"/>
      <c r="Z342" s="59"/>
      <c r="AA342" s="61"/>
      <c r="AB342" s="61"/>
      <c r="AC342" s="61"/>
      <c r="AD342" s="62"/>
      <c r="AE342" s="62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D342" s="34"/>
      <c r="BE342" s="34"/>
      <c r="BF342" s="34"/>
      <c r="BG342" s="34"/>
      <c r="BH342" s="34"/>
      <c r="BI342" s="34"/>
      <c r="BJ342" s="34"/>
      <c r="BK342" s="34"/>
      <c r="BL342" s="34"/>
      <c r="BM342" s="34"/>
      <c r="BN342" s="34"/>
      <c r="BO342" s="34"/>
      <c r="BP342" s="34"/>
      <c r="BQ342" s="34"/>
      <c r="BR342" s="34"/>
      <c r="BS342" s="34"/>
      <c r="BT342" s="34"/>
      <c r="BU342" s="34"/>
      <c r="BV342" s="34"/>
      <c r="BW342" s="34"/>
      <c r="BX342" s="34"/>
      <c r="BY342" s="34"/>
    </row>
    <row r="343" spans="1:77" x14ac:dyDescent="0.3">
      <c r="A343" s="39"/>
      <c r="B343" s="42"/>
      <c r="C343" s="42"/>
      <c r="D343" s="75"/>
      <c r="E343" s="75"/>
      <c r="F343" s="76"/>
      <c r="G343" s="47"/>
      <c r="H343" s="47"/>
      <c r="I343" s="75"/>
      <c r="J343" s="76"/>
      <c r="K343" s="76"/>
      <c r="L343" s="75"/>
      <c r="M343" s="49"/>
      <c r="N343" s="76"/>
      <c r="O343" s="49"/>
      <c r="P343" s="77"/>
      <c r="Q343" s="53"/>
      <c r="R343" s="54"/>
      <c r="S343" s="55"/>
      <c r="T343" s="56"/>
      <c r="U343" s="56"/>
      <c r="V343" s="42"/>
      <c r="W343" s="57"/>
      <c r="X343" s="58"/>
      <c r="Y343" s="75"/>
      <c r="Z343" s="59"/>
      <c r="AA343" s="61"/>
      <c r="AB343" s="61"/>
      <c r="AC343" s="61"/>
      <c r="AD343" s="62"/>
      <c r="AE343" s="62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/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</row>
    <row r="344" spans="1:77" x14ac:dyDescent="0.3">
      <c r="A344" s="39"/>
      <c r="B344" s="42"/>
      <c r="C344" s="42"/>
      <c r="D344" s="75"/>
      <c r="E344" s="75"/>
      <c r="F344" s="76"/>
      <c r="G344" s="47"/>
      <c r="H344" s="47"/>
      <c r="I344" s="75"/>
      <c r="J344" s="76"/>
      <c r="K344" s="76"/>
      <c r="L344" s="75"/>
      <c r="M344" s="49"/>
      <c r="N344" s="76"/>
      <c r="O344" s="49"/>
      <c r="P344" s="77"/>
      <c r="Q344" s="53"/>
      <c r="R344" s="54"/>
      <c r="S344" s="55"/>
      <c r="T344" s="56"/>
      <c r="U344" s="56"/>
      <c r="V344" s="42"/>
      <c r="W344" s="57"/>
      <c r="X344" s="58"/>
      <c r="Y344" s="75"/>
      <c r="Z344" s="59"/>
      <c r="AA344" s="61"/>
      <c r="AB344" s="61"/>
      <c r="AC344" s="61"/>
      <c r="AD344" s="62"/>
      <c r="AE344" s="62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/>
      <c r="BP344" s="34"/>
      <c r="BQ344" s="34"/>
      <c r="BR344" s="34"/>
      <c r="BS344" s="34"/>
      <c r="BT344" s="34"/>
      <c r="BU344" s="34"/>
      <c r="BV344" s="34"/>
      <c r="BW344" s="34"/>
      <c r="BX344" s="34"/>
      <c r="BY344" s="34"/>
    </row>
    <row r="345" spans="1:77" x14ac:dyDescent="0.3">
      <c r="A345" s="39"/>
      <c r="B345" s="42"/>
      <c r="C345" s="42"/>
      <c r="D345" s="75"/>
      <c r="E345" s="75"/>
      <c r="F345" s="76"/>
      <c r="G345" s="47"/>
      <c r="H345" s="47"/>
      <c r="I345" s="75"/>
      <c r="J345" s="76"/>
      <c r="K345" s="76"/>
      <c r="L345" s="75"/>
      <c r="M345" s="49"/>
      <c r="N345" s="76"/>
      <c r="O345" s="49"/>
      <c r="P345" s="77"/>
      <c r="Q345" s="53"/>
      <c r="R345" s="54"/>
      <c r="S345" s="55"/>
      <c r="T345" s="56"/>
      <c r="U345" s="56"/>
      <c r="V345" s="42"/>
      <c r="W345" s="57"/>
      <c r="X345" s="58"/>
      <c r="Y345" s="75"/>
      <c r="Z345" s="59"/>
      <c r="AA345" s="61"/>
      <c r="AB345" s="61"/>
      <c r="AC345" s="61"/>
      <c r="AD345" s="62"/>
      <c r="AE345" s="62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/>
      <c r="BP345" s="34"/>
      <c r="BQ345" s="34"/>
      <c r="BR345" s="34"/>
      <c r="BS345" s="34"/>
      <c r="BT345" s="34"/>
      <c r="BU345" s="34"/>
      <c r="BV345" s="34"/>
      <c r="BW345" s="34"/>
      <c r="BX345" s="34"/>
      <c r="BY345" s="34"/>
    </row>
    <row r="346" spans="1:77" x14ac:dyDescent="0.3">
      <c r="A346" s="39"/>
      <c r="B346" s="42"/>
      <c r="C346" s="42"/>
      <c r="D346" s="75"/>
      <c r="E346" s="75"/>
      <c r="F346" s="76"/>
      <c r="G346" s="47"/>
      <c r="H346" s="47"/>
      <c r="I346" s="75"/>
      <c r="J346" s="76"/>
      <c r="K346" s="76"/>
      <c r="L346" s="75"/>
      <c r="M346" s="49"/>
      <c r="N346" s="76"/>
      <c r="O346" s="49"/>
      <c r="P346" s="77"/>
      <c r="Q346" s="53"/>
      <c r="R346" s="54"/>
      <c r="S346" s="55"/>
      <c r="T346" s="56"/>
      <c r="U346" s="56"/>
      <c r="V346" s="42"/>
      <c r="W346" s="57"/>
      <c r="X346" s="58"/>
      <c r="Y346" s="75"/>
      <c r="Z346" s="59"/>
      <c r="AA346" s="61"/>
      <c r="AB346" s="61"/>
      <c r="AC346" s="61"/>
      <c r="AD346" s="62"/>
      <c r="AE346" s="62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/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</row>
    <row r="347" spans="1:77" x14ac:dyDescent="0.3">
      <c r="A347" s="39"/>
      <c r="B347" s="42"/>
      <c r="C347" s="42"/>
      <c r="D347" s="75"/>
      <c r="E347" s="75"/>
      <c r="F347" s="76"/>
      <c r="G347" s="47"/>
      <c r="H347" s="47"/>
      <c r="I347" s="75"/>
      <c r="J347" s="76"/>
      <c r="K347" s="76"/>
      <c r="L347" s="75"/>
      <c r="M347" s="49"/>
      <c r="N347" s="76"/>
      <c r="O347" s="49"/>
      <c r="P347" s="77"/>
      <c r="Q347" s="53"/>
      <c r="R347" s="54"/>
      <c r="S347" s="55"/>
      <c r="T347" s="56"/>
      <c r="U347" s="56"/>
      <c r="V347" s="42"/>
      <c r="W347" s="57"/>
      <c r="X347" s="58"/>
      <c r="Y347" s="75"/>
      <c r="Z347" s="59"/>
      <c r="AA347" s="61"/>
      <c r="AB347" s="61"/>
      <c r="AC347" s="61"/>
      <c r="AD347" s="62"/>
      <c r="AE347" s="62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/>
      <c r="BP347" s="34"/>
      <c r="BQ347" s="34"/>
      <c r="BR347" s="34"/>
      <c r="BS347" s="34"/>
      <c r="BT347" s="34"/>
      <c r="BU347" s="34"/>
      <c r="BV347" s="34"/>
      <c r="BW347" s="34"/>
      <c r="BX347" s="34"/>
      <c r="BY347" s="34"/>
    </row>
    <row r="348" spans="1:77" x14ac:dyDescent="0.3">
      <c r="A348" s="39"/>
      <c r="B348" s="42"/>
      <c r="C348" s="42"/>
      <c r="D348" s="75"/>
      <c r="E348" s="75"/>
      <c r="F348" s="76"/>
      <c r="G348" s="47"/>
      <c r="H348" s="47"/>
      <c r="I348" s="75"/>
      <c r="J348" s="76"/>
      <c r="K348" s="76"/>
      <c r="L348" s="75"/>
      <c r="M348" s="49"/>
      <c r="N348" s="76"/>
      <c r="O348" s="49"/>
      <c r="P348" s="77"/>
      <c r="Q348" s="53"/>
      <c r="R348" s="54"/>
      <c r="S348" s="55"/>
      <c r="T348" s="56"/>
      <c r="U348" s="56"/>
      <c r="V348" s="42"/>
      <c r="W348" s="57"/>
      <c r="X348" s="58"/>
      <c r="Y348" s="75"/>
      <c r="Z348" s="59"/>
      <c r="AA348" s="61"/>
      <c r="AB348" s="61"/>
      <c r="AC348" s="61"/>
      <c r="AD348" s="62"/>
      <c r="AE348" s="62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D348" s="34"/>
      <c r="BE348" s="34"/>
      <c r="BF348" s="34"/>
      <c r="BG348" s="34"/>
      <c r="BH348" s="34"/>
      <c r="BI348" s="34"/>
      <c r="BJ348" s="34"/>
      <c r="BK348" s="34"/>
      <c r="BL348" s="34"/>
      <c r="BM348" s="34"/>
      <c r="BN348" s="34"/>
      <c r="BO348" s="34"/>
      <c r="BP348" s="34"/>
      <c r="BQ348" s="34"/>
      <c r="BR348" s="34"/>
      <c r="BS348" s="34"/>
      <c r="BT348" s="34"/>
      <c r="BU348" s="34"/>
      <c r="BV348" s="34"/>
      <c r="BW348" s="34"/>
      <c r="BX348" s="34"/>
      <c r="BY348" s="34"/>
    </row>
    <row r="349" spans="1:77" x14ac:dyDescent="0.3">
      <c r="A349" s="39"/>
      <c r="B349" s="42"/>
      <c r="C349" s="42"/>
      <c r="D349" s="75"/>
      <c r="E349" s="75"/>
      <c r="F349" s="76"/>
      <c r="G349" s="47"/>
      <c r="H349" s="47"/>
      <c r="I349" s="75"/>
      <c r="J349" s="76"/>
      <c r="K349" s="76"/>
      <c r="L349" s="75"/>
      <c r="M349" s="49"/>
      <c r="N349" s="76"/>
      <c r="O349" s="49"/>
      <c r="P349" s="77"/>
      <c r="Q349" s="53"/>
      <c r="R349" s="54"/>
      <c r="S349" s="55"/>
      <c r="T349" s="56"/>
      <c r="U349" s="56"/>
      <c r="V349" s="42"/>
      <c r="W349" s="57"/>
      <c r="X349" s="58"/>
      <c r="Y349" s="75"/>
      <c r="Z349" s="59"/>
      <c r="AA349" s="61"/>
      <c r="AB349" s="61"/>
      <c r="AC349" s="61"/>
      <c r="AD349" s="62"/>
      <c r="AE349" s="62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D349" s="34"/>
      <c r="BE349" s="34"/>
      <c r="BF349" s="34"/>
      <c r="BG349" s="34"/>
      <c r="BH349" s="34"/>
      <c r="BI349" s="34"/>
      <c r="BJ349" s="34"/>
      <c r="BK349" s="34"/>
      <c r="BL349" s="34"/>
      <c r="BM349" s="34"/>
      <c r="BN349" s="34"/>
      <c r="BO349" s="34"/>
      <c r="BP349" s="34"/>
      <c r="BQ349" s="34"/>
      <c r="BR349" s="34"/>
      <c r="BS349" s="34"/>
      <c r="BT349" s="34"/>
      <c r="BU349" s="34"/>
      <c r="BV349" s="34"/>
      <c r="BW349" s="34"/>
      <c r="BX349" s="34"/>
      <c r="BY349" s="34"/>
    </row>
    <row r="350" spans="1:77" x14ac:dyDescent="0.3">
      <c r="A350" s="39"/>
      <c r="B350" s="42"/>
      <c r="C350" s="42"/>
      <c r="D350" s="75"/>
      <c r="E350" s="75"/>
      <c r="F350" s="76"/>
      <c r="G350" s="47"/>
      <c r="H350" s="47"/>
      <c r="I350" s="75"/>
      <c r="J350" s="76"/>
      <c r="K350" s="76"/>
      <c r="L350" s="75"/>
      <c r="M350" s="49"/>
      <c r="N350" s="76"/>
      <c r="O350" s="49"/>
      <c r="P350" s="77"/>
      <c r="Q350" s="53"/>
      <c r="R350" s="54"/>
      <c r="S350" s="55"/>
      <c r="T350" s="56"/>
      <c r="U350" s="56"/>
      <c r="V350" s="42"/>
      <c r="W350" s="57"/>
      <c r="X350" s="58"/>
      <c r="Y350" s="75"/>
      <c r="Z350" s="59"/>
      <c r="AA350" s="61"/>
      <c r="AB350" s="61"/>
      <c r="AC350" s="61"/>
      <c r="AD350" s="62"/>
      <c r="AE350" s="62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D350" s="34"/>
      <c r="BE350" s="34"/>
      <c r="BF350" s="34"/>
      <c r="BG350" s="34"/>
      <c r="BH350" s="34"/>
      <c r="BI350" s="34"/>
      <c r="BJ350" s="34"/>
      <c r="BK350" s="34"/>
      <c r="BL350" s="34"/>
      <c r="BM350" s="34"/>
      <c r="BN350" s="34"/>
      <c r="BO350" s="34"/>
      <c r="BP350" s="34"/>
      <c r="BQ350" s="34"/>
      <c r="BR350" s="34"/>
      <c r="BS350" s="34"/>
      <c r="BT350" s="34"/>
      <c r="BU350" s="34"/>
      <c r="BV350" s="34"/>
      <c r="BW350" s="34"/>
      <c r="BX350" s="34"/>
      <c r="BY350" s="34"/>
    </row>
    <row r="351" spans="1:77" x14ac:dyDescent="0.3">
      <c r="A351" s="39"/>
      <c r="B351" s="42"/>
      <c r="C351" s="42"/>
      <c r="D351" s="75"/>
      <c r="E351" s="75"/>
      <c r="F351" s="76"/>
      <c r="G351" s="47"/>
      <c r="H351" s="47"/>
      <c r="I351" s="75"/>
      <c r="J351" s="76"/>
      <c r="K351" s="76"/>
      <c r="L351" s="75"/>
      <c r="M351" s="49"/>
      <c r="N351" s="76"/>
      <c r="O351" s="49"/>
      <c r="P351" s="77"/>
      <c r="Q351" s="53"/>
      <c r="R351" s="54"/>
      <c r="S351" s="55"/>
      <c r="T351" s="56"/>
      <c r="U351" s="56"/>
      <c r="V351" s="42"/>
      <c r="W351" s="57"/>
      <c r="X351" s="58"/>
      <c r="Y351" s="75"/>
      <c r="Z351" s="59"/>
      <c r="AA351" s="61"/>
      <c r="AB351" s="61"/>
      <c r="AC351" s="61"/>
      <c r="AD351" s="62"/>
      <c r="AE351" s="62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D351" s="34"/>
      <c r="BE351" s="34"/>
      <c r="BF351" s="34"/>
      <c r="BG351" s="34"/>
      <c r="BH351" s="34"/>
      <c r="BI351" s="34"/>
      <c r="BJ351" s="34"/>
      <c r="BK351" s="34"/>
      <c r="BL351" s="34"/>
      <c r="BM351" s="34"/>
      <c r="BN351" s="34"/>
      <c r="BO351" s="34"/>
      <c r="BP351" s="34"/>
      <c r="BQ351" s="34"/>
      <c r="BR351" s="34"/>
      <c r="BS351" s="34"/>
      <c r="BT351" s="34"/>
      <c r="BU351" s="34"/>
      <c r="BV351" s="34"/>
      <c r="BW351" s="34"/>
      <c r="BX351" s="34"/>
      <c r="BY351" s="34"/>
    </row>
    <row r="352" spans="1:77" x14ac:dyDescent="0.3">
      <c r="A352" s="39"/>
      <c r="B352" s="42"/>
      <c r="C352" s="42"/>
      <c r="D352" s="75"/>
      <c r="E352" s="75"/>
      <c r="F352" s="76"/>
      <c r="G352" s="47"/>
      <c r="H352" s="47"/>
      <c r="I352" s="75"/>
      <c r="J352" s="76"/>
      <c r="K352" s="76"/>
      <c r="L352" s="75"/>
      <c r="M352" s="49"/>
      <c r="N352" s="76"/>
      <c r="O352" s="49"/>
      <c r="P352" s="77"/>
      <c r="Q352" s="53"/>
      <c r="R352" s="54"/>
      <c r="S352" s="55"/>
      <c r="T352" s="56"/>
      <c r="U352" s="56"/>
      <c r="V352" s="42"/>
      <c r="W352" s="57"/>
      <c r="X352" s="58"/>
      <c r="Y352" s="75"/>
      <c r="Z352" s="59"/>
      <c r="AA352" s="61"/>
      <c r="AB352" s="61"/>
      <c r="AC352" s="61"/>
      <c r="AD352" s="62"/>
      <c r="AE352" s="62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4"/>
      <c r="BP352" s="34"/>
      <c r="BQ352" s="34"/>
      <c r="BR352" s="34"/>
      <c r="BS352" s="34"/>
      <c r="BT352" s="34"/>
      <c r="BU352" s="34"/>
      <c r="BV352" s="34"/>
      <c r="BW352" s="34"/>
      <c r="BX352" s="34"/>
      <c r="BY352" s="34"/>
    </row>
    <row r="353" spans="1:77" x14ac:dyDescent="0.3">
      <c r="A353" s="39"/>
      <c r="B353" s="42"/>
      <c r="C353" s="42"/>
      <c r="D353" s="75"/>
      <c r="E353" s="75"/>
      <c r="F353" s="76"/>
      <c r="G353" s="47"/>
      <c r="H353" s="47"/>
      <c r="I353" s="75"/>
      <c r="J353" s="76"/>
      <c r="K353" s="76"/>
      <c r="L353" s="75"/>
      <c r="M353" s="49"/>
      <c r="N353" s="76"/>
      <c r="O353" s="49"/>
      <c r="P353" s="77"/>
      <c r="Q353" s="53"/>
      <c r="R353" s="54"/>
      <c r="S353" s="55"/>
      <c r="T353" s="56"/>
      <c r="U353" s="56"/>
      <c r="V353" s="42"/>
      <c r="W353" s="57"/>
      <c r="X353" s="58"/>
      <c r="Y353" s="75"/>
      <c r="Z353" s="59"/>
      <c r="AA353" s="61"/>
      <c r="AB353" s="61"/>
      <c r="AC353" s="61"/>
      <c r="AD353" s="62"/>
      <c r="AE353" s="62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D353" s="34"/>
      <c r="BE353" s="34"/>
      <c r="BF353" s="34"/>
      <c r="BG353" s="34"/>
      <c r="BH353" s="34"/>
      <c r="BI353" s="34"/>
      <c r="BJ353" s="34"/>
      <c r="BK353" s="34"/>
      <c r="BL353" s="34"/>
      <c r="BM353" s="34"/>
      <c r="BN353" s="34"/>
      <c r="BO353" s="34"/>
      <c r="BP353" s="34"/>
      <c r="BQ353" s="34"/>
      <c r="BR353" s="34"/>
      <c r="BS353" s="34"/>
      <c r="BT353" s="34"/>
      <c r="BU353" s="34"/>
      <c r="BV353" s="34"/>
      <c r="BW353" s="34"/>
      <c r="BX353" s="34"/>
      <c r="BY353" s="34"/>
    </row>
    <row r="354" spans="1:77" x14ac:dyDescent="0.3">
      <c r="A354" s="39"/>
      <c r="B354" s="42"/>
      <c r="C354" s="42"/>
      <c r="D354" s="75"/>
      <c r="E354" s="75"/>
      <c r="F354" s="76"/>
      <c r="G354" s="47"/>
      <c r="H354" s="47"/>
      <c r="I354" s="75"/>
      <c r="J354" s="76"/>
      <c r="K354" s="76"/>
      <c r="L354" s="75"/>
      <c r="M354" s="49"/>
      <c r="N354" s="76"/>
      <c r="O354" s="49"/>
      <c r="P354" s="77"/>
      <c r="Q354" s="53"/>
      <c r="R354" s="54"/>
      <c r="S354" s="55"/>
      <c r="T354" s="56"/>
      <c r="U354" s="56"/>
      <c r="V354" s="42"/>
      <c r="W354" s="57"/>
      <c r="X354" s="58"/>
      <c r="Y354" s="75"/>
      <c r="Z354" s="59"/>
      <c r="AA354" s="61"/>
      <c r="AB354" s="61"/>
      <c r="AC354" s="61"/>
      <c r="AD354" s="62"/>
      <c r="AE354" s="62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D354" s="34"/>
      <c r="BE354" s="34"/>
      <c r="BF354" s="34"/>
      <c r="BG354" s="34"/>
      <c r="BH354" s="34"/>
      <c r="BI354" s="34"/>
      <c r="BJ354" s="34"/>
      <c r="BK354" s="34"/>
      <c r="BL354" s="34"/>
      <c r="BM354" s="34"/>
      <c r="BN354" s="34"/>
      <c r="BO354" s="34"/>
      <c r="BP354" s="34"/>
      <c r="BQ354" s="34"/>
      <c r="BR354" s="34"/>
      <c r="BS354" s="34"/>
      <c r="BT354" s="34"/>
      <c r="BU354" s="34"/>
      <c r="BV354" s="34"/>
      <c r="BW354" s="34"/>
      <c r="BX354" s="34"/>
      <c r="BY354" s="34"/>
    </row>
    <row r="355" spans="1:77" x14ac:dyDescent="0.3">
      <c r="A355" s="39"/>
      <c r="B355" s="42"/>
      <c r="C355" s="42"/>
      <c r="D355" s="75"/>
      <c r="E355" s="75"/>
      <c r="F355" s="76"/>
      <c r="G355" s="47"/>
      <c r="H355" s="47"/>
      <c r="I355" s="75"/>
      <c r="J355" s="76"/>
      <c r="K355" s="76"/>
      <c r="L355" s="75"/>
      <c r="M355" s="49"/>
      <c r="N355" s="76"/>
      <c r="O355" s="49"/>
      <c r="P355" s="77"/>
      <c r="Q355" s="53"/>
      <c r="R355" s="54"/>
      <c r="S355" s="55"/>
      <c r="T355" s="56"/>
      <c r="U355" s="56"/>
      <c r="V355" s="42"/>
      <c r="W355" s="57"/>
      <c r="X355" s="58"/>
      <c r="Y355" s="75"/>
      <c r="Z355" s="59"/>
      <c r="AA355" s="61"/>
      <c r="AB355" s="61"/>
      <c r="AC355" s="61"/>
      <c r="AD355" s="62"/>
      <c r="AE355" s="62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D355" s="34"/>
      <c r="BE355" s="34"/>
      <c r="BF355" s="34"/>
      <c r="BG355" s="34"/>
      <c r="BH355" s="34"/>
      <c r="BI355" s="34"/>
      <c r="BJ355" s="34"/>
      <c r="BK355" s="34"/>
      <c r="BL355" s="34"/>
      <c r="BM355" s="34"/>
      <c r="BN355" s="34"/>
      <c r="BO355" s="34"/>
      <c r="BP355" s="34"/>
      <c r="BQ355" s="34"/>
      <c r="BR355" s="34"/>
      <c r="BS355" s="34"/>
      <c r="BT355" s="34"/>
      <c r="BU355" s="34"/>
      <c r="BV355" s="34"/>
      <c r="BW355" s="34"/>
      <c r="BX355" s="34"/>
      <c r="BY355" s="34"/>
    </row>
    <row r="356" spans="1:77" x14ac:dyDescent="0.3">
      <c r="A356" s="39"/>
      <c r="B356" s="42"/>
      <c r="C356" s="42"/>
      <c r="D356" s="75"/>
      <c r="E356" s="75"/>
      <c r="F356" s="76"/>
      <c r="G356" s="47"/>
      <c r="H356" s="47"/>
      <c r="I356" s="75"/>
      <c r="J356" s="76"/>
      <c r="K356" s="76"/>
      <c r="L356" s="75"/>
      <c r="M356" s="49"/>
      <c r="N356" s="76"/>
      <c r="O356" s="49"/>
      <c r="P356" s="77"/>
      <c r="Q356" s="53"/>
      <c r="R356" s="54"/>
      <c r="S356" s="55"/>
      <c r="T356" s="56"/>
      <c r="U356" s="56"/>
      <c r="V356" s="42"/>
      <c r="W356" s="57"/>
      <c r="X356" s="58"/>
      <c r="Y356" s="75"/>
      <c r="Z356" s="59"/>
      <c r="AA356" s="61"/>
      <c r="AB356" s="61"/>
      <c r="AC356" s="61"/>
      <c r="AD356" s="62"/>
      <c r="AE356" s="62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D356" s="34"/>
      <c r="BE356" s="34"/>
      <c r="BF356" s="34"/>
      <c r="BG356" s="34"/>
      <c r="BH356" s="34"/>
      <c r="BI356" s="34"/>
      <c r="BJ356" s="34"/>
      <c r="BK356" s="34"/>
      <c r="BL356" s="34"/>
      <c r="BM356" s="34"/>
      <c r="BN356" s="34"/>
      <c r="BO356" s="34"/>
      <c r="BP356" s="34"/>
      <c r="BQ356" s="34"/>
      <c r="BR356" s="34"/>
      <c r="BS356" s="34"/>
      <c r="BT356" s="34"/>
      <c r="BU356" s="34"/>
      <c r="BV356" s="34"/>
      <c r="BW356" s="34"/>
      <c r="BX356" s="34"/>
      <c r="BY356" s="34"/>
    </row>
    <row r="357" spans="1:77" x14ac:dyDescent="0.3">
      <c r="A357" s="39"/>
      <c r="B357" s="42"/>
      <c r="C357" s="42"/>
      <c r="D357" s="75"/>
      <c r="E357" s="75"/>
      <c r="F357" s="76"/>
      <c r="G357" s="47"/>
      <c r="H357" s="47"/>
      <c r="I357" s="75"/>
      <c r="J357" s="76"/>
      <c r="K357" s="76"/>
      <c r="L357" s="75"/>
      <c r="M357" s="49"/>
      <c r="N357" s="76"/>
      <c r="O357" s="49"/>
      <c r="P357" s="77"/>
      <c r="Q357" s="53"/>
      <c r="R357" s="54"/>
      <c r="S357" s="55"/>
      <c r="T357" s="56"/>
      <c r="U357" s="56"/>
      <c r="V357" s="42"/>
      <c r="W357" s="57"/>
      <c r="X357" s="58"/>
      <c r="Y357" s="75"/>
      <c r="Z357" s="59"/>
      <c r="AA357" s="61"/>
      <c r="AB357" s="61"/>
      <c r="AC357" s="61"/>
      <c r="AD357" s="62"/>
      <c r="AE357" s="62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D357" s="34"/>
      <c r="BE357" s="34"/>
      <c r="BF357" s="34"/>
      <c r="BG357" s="34"/>
      <c r="BH357" s="34"/>
      <c r="BI357" s="34"/>
      <c r="BJ357" s="34"/>
      <c r="BK357" s="34"/>
      <c r="BL357" s="34"/>
      <c r="BM357" s="34"/>
      <c r="BN357" s="34"/>
      <c r="BO357" s="34"/>
      <c r="BP357" s="34"/>
      <c r="BQ357" s="34"/>
      <c r="BR357" s="34"/>
      <c r="BS357" s="34"/>
      <c r="BT357" s="34"/>
      <c r="BU357" s="34"/>
      <c r="BV357" s="34"/>
      <c r="BW357" s="34"/>
      <c r="BX357" s="34"/>
      <c r="BY357" s="34"/>
    </row>
    <row r="358" spans="1:77" x14ac:dyDescent="0.3">
      <c r="A358" s="39"/>
      <c r="B358" s="42"/>
      <c r="C358" s="42"/>
      <c r="D358" s="75"/>
      <c r="E358" s="75"/>
      <c r="F358" s="76"/>
      <c r="G358" s="47"/>
      <c r="H358" s="47"/>
      <c r="I358" s="75"/>
      <c r="J358" s="76"/>
      <c r="K358" s="76"/>
      <c r="L358" s="75"/>
      <c r="M358" s="49"/>
      <c r="N358" s="76"/>
      <c r="O358" s="49"/>
      <c r="P358" s="77"/>
      <c r="Q358" s="53"/>
      <c r="R358" s="54"/>
      <c r="S358" s="55"/>
      <c r="T358" s="56"/>
      <c r="U358" s="56"/>
      <c r="V358" s="42"/>
      <c r="W358" s="57"/>
      <c r="X358" s="58"/>
      <c r="Y358" s="75"/>
      <c r="Z358" s="59"/>
      <c r="AA358" s="61"/>
      <c r="AB358" s="61"/>
      <c r="AC358" s="61"/>
      <c r="AD358" s="62"/>
      <c r="AE358" s="62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D358" s="34"/>
      <c r="BE358" s="34"/>
      <c r="BF358" s="34"/>
      <c r="BG358" s="34"/>
      <c r="BH358" s="34"/>
      <c r="BI358" s="34"/>
      <c r="BJ358" s="34"/>
      <c r="BK358" s="34"/>
      <c r="BL358" s="34"/>
      <c r="BM358" s="34"/>
      <c r="BN358" s="34"/>
      <c r="BO358" s="34"/>
      <c r="BP358" s="34"/>
      <c r="BQ358" s="34"/>
      <c r="BR358" s="34"/>
      <c r="BS358" s="34"/>
      <c r="BT358" s="34"/>
      <c r="BU358" s="34"/>
      <c r="BV358" s="34"/>
      <c r="BW358" s="34"/>
      <c r="BX358" s="34"/>
      <c r="BY358" s="34"/>
    </row>
    <row r="359" spans="1:77" x14ac:dyDescent="0.3">
      <c r="A359" s="39"/>
      <c r="B359" s="42"/>
      <c r="C359" s="42"/>
      <c r="D359" s="75"/>
      <c r="E359" s="75"/>
      <c r="F359" s="76"/>
      <c r="G359" s="47"/>
      <c r="H359" s="47"/>
      <c r="I359" s="75"/>
      <c r="J359" s="76"/>
      <c r="K359" s="76"/>
      <c r="L359" s="75"/>
      <c r="M359" s="49"/>
      <c r="N359" s="76"/>
      <c r="O359" s="49"/>
      <c r="P359" s="77"/>
      <c r="Q359" s="53"/>
      <c r="R359" s="54"/>
      <c r="S359" s="55"/>
      <c r="T359" s="56"/>
      <c r="U359" s="56"/>
      <c r="V359" s="42"/>
      <c r="W359" s="57"/>
      <c r="X359" s="58"/>
      <c r="Y359" s="75"/>
      <c r="Z359" s="59"/>
      <c r="AA359" s="61"/>
      <c r="AB359" s="61"/>
      <c r="AC359" s="61"/>
      <c r="AD359" s="62"/>
      <c r="AE359" s="62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D359" s="34"/>
      <c r="BE359" s="34"/>
      <c r="BF359" s="34"/>
      <c r="BG359" s="34"/>
      <c r="BH359" s="34"/>
      <c r="BI359" s="34"/>
      <c r="BJ359" s="34"/>
      <c r="BK359" s="34"/>
      <c r="BL359" s="34"/>
      <c r="BM359" s="34"/>
      <c r="BN359" s="34"/>
      <c r="BO359" s="34"/>
      <c r="BP359" s="34"/>
      <c r="BQ359" s="34"/>
      <c r="BR359" s="34"/>
      <c r="BS359" s="34"/>
      <c r="BT359" s="34"/>
      <c r="BU359" s="34"/>
      <c r="BV359" s="34"/>
      <c r="BW359" s="34"/>
      <c r="BX359" s="34"/>
      <c r="BY359" s="34"/>
    </row>
    <row r="360" spans="1:77" x14ac:dyDescent="0.3">
      <c r="A360" s="39"/>
      <c r="B360" s="42"/>
      <c r="C360" s="42"/>
      <c r="D360" s="75"/>
      <c r="E360" s="75"/>
      <c r="F360" s="76"/>
      <c r="G360" s="47"/>
      <c r="H360" s="47"/>
      <c r="I360" s="75"/>
      <c r="J360" s="76"/>
      <c r="K360" s="76"/>
      <c r="L360" s="75"/>
      <c r="M360" s="49"/>
      <c r="N360" s="76"/>
      <c r="O360" s="49"/>
      <c r="P360" s="77"/>
      <c r="Q360" s="53"/>
      <c r="R360" s="54"/>
      <c r="S360" s="55"/>
      <c r="T360" s="56"/>
      <c r="U360" s="56"/>
      <c r="V360" s="42"/>
      <c r="W360" s="57"/>
      <c r="X360" s="58"/>
      <c r="Y360" s="75"/>
      <c r="Z360" s="59"/>
      <c r="AA360" s="61"/>
      <c r="AB360" s="61"/>
      <c r="AC360" s="61"/>
      <c r="AD360" s="62"/>
      <c r="AE360" s="62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D360" s="34"/>
      <c r="BE360" s="34"/>
      <c r="BF360" s="34"/>
      <c r="BG360" s="34"/>
      <c r="BH360" s="34"/>
      <c r="BI360" s="34"/>
      <c r="BJ360" s="34"/>
      <c r="BK360" s="34"/>
      <c r="BL360" s="34"/>
      <c r="BM360" s="34"/>
      <c r="BN360" s="34"/>
      <c r="BO360" s="34"/>
      <c r="BP360" s="34"/>
      <c r="BQ360" s="34"/>
      <c r="BR360" s="34"/>
      <c r="BS360" s="34"/>
      <c r="BT360" s="34"/>
      <c r="BU360" s="34"/>
      <c r="BV360" s="34"/>
      <c r="BW360" s="34"/>
      <c r="BX360" s="34"/>
      <c r="BY360" s="34"/>
    </row>
    <row r="361" spans="1:77" x14ac:dyDescent="0.3">
      <c r="A361" s="39"/>
      <c r="B361" s="42"/>
      <c r="C361" s="42"/>
      <c r="D361" s="75"/>
      <c r="E361" s="75"/>
      <c r="F361" s="76"/>
      <c r="G361" s="47"/>
      <c r="H361" s="47"/>
      <c r="I361" s="75"/>
      <c r="J361" s="76"/>
      <c r="K361" s="76"/>
      <c r="L361" s="75"/>
      <c r="M361" s="49"/>
      <c r="N361" s="76"/>
      <c r="O361" s="49"/>
      <c r="P361" s="77"/>
      <c r="Q361" s="53"/>
      <c r="R361" s="54"/>
      <c r="S361" s="55"/>
      <c r="T361" s="56"/>
      <c r="U361" s="56"/>
      <c r="V361" s="42"/>
      <c r="W361" s="57"/>
      <c r="X361" s="58"/>
      <c r="Y361" s="75"/>
      <c r="Z361" s="59"/>
      <c r="AA361" s="61"/>
      <c r="AB361" s="61"/>
      <c r="AC361" s="61"/>
      <c r="AD361" s="62"/>
      <c r="AE361" s="62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D361" s="34"/>
      <c r="BE361" s="34"/>
      <c r="BF361" s="34"/>
      <c r="BG361" s="34"/>
      <c r="BH361" s="34"/>
      <c r="BI361" s="34"/>
      <c r="BJ361" s="34"/>
      <c r="BK361" s="34"/>
      <c r="BL361" s="34"/>
      <c r="BM361" s="34"/>
      <c r="BN361" s="34"/>
      <c r="BO361" s="34"/>
      <c r="BP361" s="34"/>
      <c r="BQ361" s="34"/>
      <c r="BR361" s="34"/>
      <c r="BS361" s="34"/>
      <c r="BT361" s="34"/>
      <c r="BU361" s="34"/>
      <c r="BV361" s="34"/>
      <c r="BW361" s="34"/>
      <c r="BX361" s="34"/>
      <c r="BY361" s="34"/>
    </row>
    <row r="362" spans="1:77" x14ac:dyDescent="0.3">
      <c r="A362" s="39"/>
      <c r="B362" s="42"/>
      <c r="C362" s="42"/>
      <c r="D362" s="75"/>
      <c r="E362" s="75"/>
      <c r="F362" s="76"/>
      <c r="G362" s="47"/>
      <c r="H362" s="47"/>
      <c r="I362" s="75"/>
      <c r="J362" s="76"/>
      <c r="K362" s="76"/>
      <c r="L362" s="75"/>
      <c r="M362" s="49"/>
      <c r="N362" s="76"/>
      <c r="O362" s="49"/>
      <c r="P362" s="77"/>
      <c r="Q362" s="53"/>
      <c r="R362" s="54"/>
      <c r="S362" s="55"/>
      <c r="T362" s="56"/>
      <c r="U362" s="56"/>
      <c r="V362" s="42"/>
      <c r="W362" s="57"/>
      <c r="X362" s="58"/>
      <c r="Y362" s="75"/>
      <c r="Z362" s="59"/>
      <c r="AA362" s="61"/>
      <c r="AB362" s="61"/>
      <c r="AC362" s="61"/>
      <c r="AD362" s="62"/>
      <c r="AE362" s="62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D362" s="34"/>
      <c r="BE362" s="34"/>
      <c r="BF362" s="34"/>
      <c r="BG362" s="34"/>
      <c r="BH362" s="34"/>
      <c r="BI362" s="34"/>
      <c r="BJ362" s="34"/>
      <c r="BK362" s="34"/>
      <c r="BL362" s="34"/>
      <c r="BM362" s="34"/>
      <c r="BN362" s="34"/>
      <c r="BO362" s="34"/>
      <c r="BP362" s="34"/>
      <c r="BQ362" s="34"/>
      <c r="BR362" s="34"/>
      <c r="BS362" s="34"/>
      <c r="BT362" s="34"/>
      <c r="BU362" s="34"/>
      <c r="BV362" s="34"/>
      <c r="BW362" s="34"/>
      <c r="BX362" s="34"/>
      <c r="BY362" s="34"/>
    </row>
    <row r="363" spans="1:77" x14ac:dyDescent="0.3">
      <c r="A363" s="39"/>
      <c r="B363" s="42"/>
      <c r="C363" s="42"/>
      <c r="D363" s="75"/>
      <c r="E363" s="75"/>
      <c r="F363" s="76"/>
      <c r="G363" s="47"/>
      <c r="H363" s="47"/>
      <c r="I363" s="75"/>
      <c r="J363" s="76"/>
      <c r="K363" s="76"/>
      <c r="L363" s="75"/>
      <c r="M363" s="49"/>
      <c r="N363" s="76"/>
      <c r="O363" s="49"/>
      <c r="P363" s="77"/>
      <c r="Q363" s="53"/>
      <c r="R363" s="54"/>
      <c r="S363" s="55"/>
      <c r="T363" s="56"/>
      <c r="U363" s="56"/>
      <c r="V363" s="42"/>
      <c r="W363" s="57"/>
      <c r="X363" s="58"/>
      <c r="Y363" s="75"/>
      <c r="Z363" s="59"/>
      <c r="AA363" s="61"/>
      <c r="AB363" s="61"/>
      <c r="AC363" s="61"/>
      <c r="AD363" s="62"/>
      <c r="AE363" s="62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D363" s="34"/>
      <c r="BE363" s="34"/>
      <c r="BF363" s="34"/>
      <c r="BG363" s="34"/>
      <c r="BH363" s="34"/>
      <c r="BI363" s="34"/>
      <c r="BJ363" s="34"/>
      <c r="BK363" s="34"/>
      <c r="BL363" s="34"/>
      <c r="BM363" s="34"/>
      <c r="BN363" s="34"/>
      <c r="BO363" s="34"/>
      <c r="BP363" s="34"/>
      <c r="BQ363" s="34"/>
      <c r="BR363" s="34"/>
      <c r="BS363" s="34"/>
      <c r="BT363" s="34"/>
      <c r="BU363" s="34"/>
      <c r="BV363" s="34"/>
      <c r="BW363" s="34"/>
      <c r="BX363" s="34"/>
      <c r="BY363" s="34"/>
    </row>
    <row r="364" spans="1:77" x14ac:dyDescent="0.3">
      <c r="A364" s="39"/>
      <c r="B364" s="42"/>
      <c r="C364" s="42"/>
      <c r="D364" s="75"/>
      <c r="E364" s="75"/>
      <c r="F364" s="76"/>
      <c r="G364" s="47"/>
      <c r="H364" s="47"/>
      <c r="I364" s="75"/>
      <c r="J364" s="76"/>
      <c r="K364" s="76"/>
      <c r="L364" s="75"/>
      <c r="M364" s="49"/>
      <c r="N364" s="76"/>
      <c r="O364" s="49"/>
      <c r="P364" s="77"/>
      <c r="Q364" s="53"/>
      <c r="R364" s="54"/>
      <c r="S364" s="55"/>
      <c r="T364" s="56"/>
      <c r="U364" s="56"/>
      <c r="V364" s="42"/>
      <c r="W364" s="57"/>
      <c r="X364" s="58"/>
      <c r="Y364" s="75"/>
      <c r="Z364" s="59"/>
      <c r="AA364" s="61"/>
      <c r="AB364" s="61"/>
      <c r="AC364" s="61"/>
      <c r="AD364" s="62"/>
      <c r="AE364" s="62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D364" s="34"/>
      <c r="BE364" s="34"/>
      <c r="BF364" s="34"/>
      <c r="BG364" s="34"/>
      <c r="BH364" s="34"/>
      <c r="BI364" s="34"/>
      <c r="BJ364" s="34"/>
      <c r="BK364" s="34"/>
      <c r="BL364" s="34"/>
      <c r="BM364" s="34"/>
      <c r="BN364" s="34"/>
      <c r="BO364" s="34"/>
      <c r="BP364" s="34"/>
      <c r="BQ364" s="34"/>
      <c r="BR364" s="34"/>
      <c r="BS364" s="34"/>
      <c r="BT364" s="34"/>
      <c r="BU364" s="34"/>
      <c r="BV364" s="34"/>
      <c r="BW364" s="34"/>
      <c r="BX364" s="34"/>
      <c r="BY364" s="34"/>
    </row>
    <row r="365" spans="1:77" x14ac:dyDescent="0.3">
      <c r="A365" s="39"/>
      <c r="B365" s="42"/>
      <c r="C365" s="42"/>
      <c r="D365" s="75"/>
      <c r="E365" s="75"/>
      <c r="F365" s="76"/>
      <c r="G365" s="47"/>
      <c r="H365" s="47"/>
      <c r="I365" s="75"/>
      <c r="J365" s="76"/>
      <c r="K365" s="76"/>
      <c r="L365" s="75"/>
      <c r="M365" s="49"/>
      <c r="N365" s="76"/>
      <c r="O365" s="49"/>
      <c r="P365" s="77"/>
      <c r="Q365" s="53"/>
      <c r="R365" s="54"/>
      <c r="S365" s="55"/>
      <c r="T365" s="56"/>
      <c r="U365" s="56"/>
      <c r="V365" s="42"/>
      <c r="W365" s="57"/>
      <c r="X365" s="58"/>
      <c r="Y365" s="75"/>
      <c r="Z365" s="59"/>
      <c r="AA365" s="61"/>
      <c r="AB365" s="61"/>
      <c r="AC365" s="61"/>
      <c r="AD365" s="62"/>
      <c r="AE365" s="62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/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</row>
    <row r="366" spans="1:77" x14ac:dyDescent="0.3">
      <c r="A366" s="39"/>
      <c r="B366" s="42"/>
      <c r="C366" s="42"/>
      <c r="D366" s="75"/>
      <c r="E366" s="75"/>
      <c r="F366" s="76"/>
      <c r="G366" s="47"/>
      <c r="H366" s="47"/>
      <c r="I366" s="75"/>
      <c r="J366" s="76"/>
      <c r="K366" s="76"/>
      <c r="L366" s="75"/>
      <c r="M366" s="49"/>
      <c r="N366" s="76"/>
      <c r="O366" s="49"/>
      <c r="P366" s="77"/>
      <c r="Q366" s="53"/>
      <c r="R366" s="54"/>
      <c r="S366" s="55"/>
      <c r="T366" s="56"/>
      <c r="U366" s="56"/>
      <c r="V366" s="42"/>
      <c r="W366" s="57"/>
      <c r="X366" s="58"/>
      <c r="Y366" s="75"/>
      <c r="Z366" s="59"/>
      <c r="AA366" s="61"/>
      <c r="AB366" s="61"/>
      <c r="AC366" s="61"/>
      <c r="AD366" s="62"/>
      <c r="AE366" s="62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D366" s="34"/>
      <c r="BE366" s="34"/>
      <c r="BF366" s="34"/>
      <c r="BG366" s="34"/>
      <c r="BH366" s="34"/>
      <c r="BI366" s="34"/>
      <c r="BJ366" s="34"/>
      <c r="BK366" s="34"/>
      <c r="BL366" s="34"/>
      <c r="BM366" s="34"/>
      <c r="BN366" s="34"/>
      <c r="BO366" s="34"/>
      <c r="BP366" s="34"/>
      <c r="BQ366" s="34"/>
      <c r="BR366" s="34"/>
      <c r="BS366" s="34"/>
      <c r="BT366" s="34"/>
      <c r="BU366" s="34"/>
      <c r="BV366" s="34"/>
      <c r="BW366" s="34"/>
      <c r="BX366" s="34"/>
      <c r="BY366" s="34"/>
    </row>
    <row r="367" spans="1:77" x14ac:dyDescent="0.3">
      <c r="A367" s="39"/>
      <c r="B367" s="42"/>
      <c r="C367" s="42"/>
      <c r="D367" s="75"/>
      <c r="E367" s="75"/>
      <c r="F367" s="76"/>
      <c r="G367" s="47"/>
      <c r="H367" s="47"/>
      <c r="I367" s="75"/>
      <c r="J367" s="76"/>
      <c r="K367" s="76"/>
      <c r="L367" s="75"/>
      <c r="M367" s="49"/>
      <c r="N367" s="76"/>
      <c r="O367" s="49"/>
      <c r="P367" s="77"/>
      <c r="Q367" s="53"/>
      <c r="R367" s="54"/>
      <c r="S367" s="55"/>
      <c r="T367" s="56"/>
      <c r="U367" s="56"/>
      <c r="V367" s="42"/>
      <c r="W367" s="57"/>
      <c r="X367" s="58"/>
      <c r="Y367" s="75"/>
      <c r="Z367" s="59"/>
      <c r="AA367" s="61"/>
      <c r="AB367" s="61"/>
      <c r="AC367" s="61"/>
      <c r="AD367" s="62"/>
      <c r="AE367" s="62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D367" s="34"/>
      <c r="BE367" s="34"/>
      <c r="BF367" s="34"/>
      <c r="BG367" s="34"/>
      <c r="BH367" s="34"/>
      <c r="BI367" s="34"/>
      <c r="BJ367" s="34"/>
      <c r="BK367" s="34"/>
      <c r="BL367" s="34"/>
      <c r="BM367" s="34"/>
      <c r="BN367" s="34"/>
      <c r="BO367" s="34"/>
      <c r="BP367" s="34"/>
      <c r="BQ367" s="34"/>
      <c r="BR367" s="34"/>
      <c r="BS367" s="34"/>
      <c r="BT367" s="34"/>
      <c r="BU367" s="34"/>
      <c r="BV367" s="34"/>
      <c r="BW367" s="34"/>
      <c r="BX367" s="34"/>
      <c r="BY367" s="34"/>
    </row>
    <row r="368" spans="1:77" x14ac:dyDescent="0.3">
      <c r="A368" s="39"/>
      <c r="B368" s="42"/>
      <c r="C368" s="42"/>
      <c r="D368" s="75"/>
      <c r="E368" s="75"/>
      <c r="F368" s="76"/>
      <c r="G368" s="47"/>
      <c r="H368" s="47"/>
      <c r="I368" s="75"/>
      <c r="J368" s="76"/>
      <c r="K368" s="76"/>
      <c r="L368" s="75"/>
      <c r="M368" s="49"/>
      <c r="N368" s="76"/>
      <c r="O368" s="49"/>
      <c r="P368" s="77"/>
      <c r="Q368" s="53"/>
      <c r="R368" s="54"/>
      <c r="S368" s="55"/>
      <c r="T368" s="56"/>
      <c r="U368" s="56"/>
      <c r="V368" s="42"/>
      <c r="W368" s="57"/>
      <c r="X368" s="58"/>
      <c r="Y368" s="75"/>
      <c r="Z368" s="59"/>
      <c r="AA368" s="61"/>
      <c r="AB368" s="61"/>
      <c r="AC368" s="61"/>
      <c r="AD368" s="62"/>
      <c r="AE368" s="62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/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</row>
    <row r="369" spans="1:77" x14ac:dyDescent="0.3">
      <c r="A369" s="39"/>
      <c r="B369" s="42"/>
      <c r="C369" s="42"/>
      <c r="D369" s="75"/>
      <c r="E369" s="75"/>
      <c r="F369" s="76"/>
      <c r="G369" s="47"/>
      <c r="H369" s="47"/>
      <c r="I369" s="75"/>
      <c r="J369" s="76"/>
      <c r="K369" s="76"/>
      <c r="L369" s="75"/>
      <c r="M369" s="49"/>
      <c r="N369" s="76"/>
      <c r="O369" s="49"/>
      <c r="P369" s="77"/>
      <c r="Q369" s="53"/>
      <c r="R369" s="54"/>
      <c r="S369" s="55"/>
      <c r="T369" s="56"/>
      <c r="U369" s="56"/>
      <c r="V369" s="42"/>
      <c r="W369" s="57"/>
      <c r="X369" s="58"/>
      <c r="Y369" s="75"/>
      <c r="Z369" s="59"/>
      <c r="AA369" s="61"/>
      <c r="AB369" s="61"/>
      <c r="AC369" s="61"/>
      <c r="AD369" s="62"/>
      <c r="AE369" s="62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D369" s="34"/>
      <c r="BE369" s="34"/>
      <c r="BF369" s="34"/>
      <c r="BG369" s="34"/>
      <c r="BH369" s="34"/>
      <c r="BI369" s="34"/>
      <c r="BJ369" s="34"/>
      <c r="BK369" s="34"/>
      <c r="BL369" s="34"/>
      <c r="BM369" s="34"/>
      <c r="BN369" s="34"/>
      <c r="BO369" s="34"/>
      <c r="BP369" s="34"/>
      <c r="BQ369" s="34"/>
      <c r="BR369" s="34"/>
      <c r="BS369" s="34"/>
      <c r="BT369" s="34"/>
      <c r="BU369" s="34"/>
      <c r="BV369" s="34"/>
      <c r="BW369" s="34"/>
      <c r="BX369" s="34"/>
      <c r="BY369" s="34"/>
    </row>
    <row r="370" spans="1:77" x14ac:dyDescent="0.3">
      <c r="A370" s="39"/>
      <c r="B370" s="42"/>
      <c r="C370" s="42"/>
      <c r="D370" s="75"/>
      <c r="E370" s="75"/>
      <c r="F370" s="76"/>
      <c r="G370" s="47"/>
      <c r="H370" s="47"/>
      <c r="I370" s="75"/>
      <c r="J370" s="76"/>
      <c r="K370" s="76"/>
      <c r="L370" s="75"/>
      <c r="M370" s="49"/>
      <c r="N370" s="76"/>
      <c r="O370" s="49"/>
      <c r="P370" s="77"/>
      <c r="Q370" s="53"/>
      <c r="R370" s="54"/>
      <c r="S370" s="55"/>
      <c r="T370" s="56"/>
      <c r="U370" s="56"/>
      <c r="V370" s="42"/>
      <c r="W370" s="57"/>
      <c r="X370" s="58"/>
      <c r="Y370" s="75"/>
      <c r="Z370" s="59"/>
      <c r="AA370" s="61"/>
      <c r="AB370" s="61"/>
      <c r="AC370" s="61"/>
      <c r="AD370" s="62"/>
      <c r="AE370" s="62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D370" s="34"/>
      <c r="BE370" s="34"/>
      <c r="BF370" s="34"/>
      <c r="BG370" s="34"/>
      <c r="BH370" s="34"/>
      <c r="BI370" s="34"/>
      <c r="BJ370" s="34"/>
      <c r="BK370" s="34"/>
      <c r="BL370" s="34"/>
      <c r="BM370" s="34"/>
      <c r="BN370" s="34"/>
      <c r="BO370" s="34"/>
      <c r="BP370" s="34"/>
      <c r="BQ370" s="34"/>
      <c r="BR370" s="34"/>
      <c r="BS370" s="34"/>
      <c r="BT370" s="34"/>
      <c r="BU370" s="34"/>
      <c r="BV370" s="34"/>
      <c r="BW370" s="34"/>
      <c r="BX370" s="34"/>
      <c r="BY370" s="34"/>
    </row>
    <row r="371" spans="1:77" x14ac:dyDescent="0.3">
      <c r="A371" s="39"/>
      <c r="B371" s="42"/>
      <c r="C371" s="42"/>
      <c r="D371" s="75"/>
      <c r="E371" s="75"/>
      <c r="F371" s="76"/>
      <c r="G371" s="47"/>
      <c r="H371" s="47"/>
      <c r="I371" s="75"/>
      <c r="J371" s="76"/>
      <c r="K371" s="76"/>
      <c r="L371" s="75"/>
      <c r="M371" s="49"/>
      <c r="N371" s="76"/>
      <c r="O371" s="49"/>
      <c r="P371" s="77"/>
      <c r="Q371" s="53"/>
      <c r="R371" s="54"/>
      <c r="S371" s="55"/>
      <c r="T371" s="56"/>
      <c r="U371" s="56"/>
      <c r="V371" s="42"/>
      <c r="W371" s="57"/>
      <c r="X371" s="58"/>
      <c r="Y371" s="75"/>
      <c r="Z371" s="59"/>
      <c r="AA371" s="61"/>
      <c r="AB371" s="61"/>
      <c r="AC371" s="61"/>
      <c r="AD371" s="62"/>
      <c r="AE371" s="62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D371" s="34"/>
      <c r="BE371" s="34"/>
      <c r="BF371" s="34"/>
      <c r="BG371" s="34"/>
      <c r="BH371" s="34"/>
      <c r="BI371" s="34"/>
      <c r="BJ371" s="34"/>
      <c r="BK371" s="34"/>
      <c r="BL371" s="34"/>
      <c r="BM371" s="34"/>
      <c r="BN371" s="34"/>
      <c r="BO371" s="34"/>
      <c r="BP371" s="34"/>
      <c r="BQ371" s="34"/>
      <c r="BR371" s="34"/>
      <c r="BS371" s="34"/>
      <c r="BT371" s="34"/>
      <c r="BU371" s="34"/>
      <c r="BV371" s="34"/>
      <c r="BW371" s="34"/>
      <c r="BX371" s="34"/>
      <c r="BY371" s="34"/>
    </row>
    <row r="372" spans="1:77" x14ac:dyDescent="0.3">
      <c r="A372" s="39"/>
      <c r="B372" s="42"/>
      <c r="C372" s="42"/>
      <c r="D372" s="75"/>
      <c r="E372" s="75"/>
      <c r="F372" s="76"/>
      <c r="G372" s="47"/>
      <c r="H372" s="47"/>
      <c r="I372" s="75"/>
      <c r="J372" s="76"/>
      <c r="K372" s="76"/>
      <c r="L372" s="75"/>
      <c r="M372" s="49"/>
      <c r="N372" s="76"/>
      <c r="O372" s="49"/>
      <c r="P372" s="77"/>
      <c r="Q372" s="53"/>
      <c r="R372" s="54"/>
      <c r="S372" s="55"/>
      <c r="T372" s="56"/>
      <c r="U372" s="56"/>
      <c r="V372" s="42"/>
      <c r="W372" s="57"/>
      <c r="X372" s="58"/>
      <c r="Y372" s="75"/>
      <c r="Z372" s="59"/>
      <c r="AA372" s="61"/>
      <c r="AB372" s="61"/>
      <c r="AC372" s="61"/>
      <c r="AD372" s="62"/>
      <c r="AE372" s="62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D372" s="34"/>
      <c r="BE372" s="34"/>
      <c r="BF372" s="34"/>
      <c r="BG372" s="34"/>
      <c r="BH372" s="34"/>
      <c r="BI372" s="34"/>
      <c r="BJ372" s="34"/>
      <c r="BK372" s="34"/>
      <c r="BL372" s="34"/>
      <c r="BM372" s="34"/>
      <c r="BN372" s="34"/>
      <c r="BO372" s="34"/>
      <c r="BP372" s="34"/>
      <c r="BQ372" s="34"/>
      <c r="BR372" s="34"/>
      <c r="BS372" s="34"/>
      <c r="BT372" s="34"/>
      <c r="BU372" s="34"/>
      <c r="BV372" s="34"/>
      <c r="BW372" s="34"/>
      <c r="BX372" s="34"/>
      <c r="BY372" s="34"/>
    </row>
    <row r="373" spans="1:77" x14ac:dyDescent="0.3">
      <c r="A373" s="39"/>
      <c r="B373" s="42"/>
      <c r="C373" s="42"/>
      <c r="D373" s="75"/>
      <c r="E373" s="75"/>
      <c r="F373" s="76"/>
      <c r="G373" s="47"/>
      <c r="H373" s="47"/>
      <c r="I373" s="75"/>
      <c r="J373" s="76"/>
      <c r="K373" s="76"/>
      <c r="L373" s="75"/>
      <c r="M373" s="49"/>
      <c r="N373" s="76"/>
      <c r="O373" s="49"/>
      <c r="P373" s="77"/>
      <c r="Q373" s="53"/>
      <c r="R373" s="54"/>
      <c r="S373" s="55"/>
      <c r="T373" s="56"/>
      <c r="U373" s="56"/>
      <c r="V373" s="42"/>
      <c r="W373" s="57"/>
      <c r="X373" s="58"/>
      <c r="Y373" s="75"/>
      <c r="Z373" s="59"/>
      <c r="AA373" s="61"/>
      <c r="AB373" s="61"/>
      <c r="AC373" s="61"/>
      <c r="AD373" s="62"/>
      <c r="AE373" s="62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D373" s="34"/>
      <c r="BE373" s="34"/>
      <c r="BF373" s="34"/>
      <c r="BG373" s="34"/>
      <c r="BH373" s="34"/>
      <c r="BI373" s="34"/>
      <c r="BJ373" s="34"/>
      <c r="BK373" s="34"/>
      <c r="BL373" s="34"/>
      <c r="BM373" s="34"/>
      <c r="BN373" s="34"/>
      <c r="BO373" s="34"/>
      <c r="BP373" s="34"/>
      <c r="BQ373" s="34"/>
      <c r="BR373" s="34"/>
      <c r="BS373" s="34"/>
      <c r="BT373" s="34"/>
      <c r="BU373" s="34"/>
      <c r="BV373" s="34"/>
      <c r="BW373" s="34"/>
      <c r="BX373" s="34"/>
      <c r="BY373" s="34"/>
    </row>
    <row r="374" spans="1:77" x14ac:dyDescent="0.3">
      <c r="A374" s="39"/>
      <c r="B374" s="42"/>
      <c r="C374" s="42"/>
      <c r="D374" s="75"/>
      <c r="E374" s="75"/>
      <c r="F374" s="76"/>
      <c r="G374" s="47"/>
      <c r="H374" s="47"/>
      <c r="I374" s="75"/>
      <c r="J374" s="76"/>
      <c r="K374" s="76"/>
      <c r="L374" s="75"/>
      <c r="M374" s="49"/>
      <c r="N374" s="76"/>
      <c r="O374" s="49"/>
      <c r="P374" s="77"/>
      <c r="Q374" s="53"/>
      <c r="R374" s="54"/>
      <c r="S374" s="55"/>
      <c r="T374" s="56"/>
      <c r="U374" s="56"/>
      <c r="V374" s="42"/>
      <c r="W374" s="57"/>
      <c r="X374" s="58"/>
      <c r="Y374" s="75"/>
      <c r="Z374" s="59"/>
      <c r="AA374" s="61"/>
      <c r="AB374" s="61"/>
      <c r="AC374" s="61"/>
      <c r="AD374" s="62"/>
      <c r="AE374" s="62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D374" s="34"/>
      <c r="BE374" s="34"/>
      <c r="BF374" s="34"/>
      <c r="BG374" s="34"/>
      <c r="BH374" s="34"/>
      <c r="BI374" s="34"/>
      <c r="BJ374" s="34"/>
      <c r="BK374" s="34"/>
      <c r="BL374" s="34"/>
      <c r="BM374" s="34"/>
      <c r="BN374" s="34"/>
      <c r="BO374" s="34"/>
      <c r="BP374" s="34"/>
      <c r="BQ374" s="34"/>
      <c r="BR374" s="34"/>
      <c r="BS374" s="34"/>
      <c r="BT374" s="34"/>
      <c r="BU374" s="34"/>
      <c r="BV374" s="34"/>
      <c r="BW374" s="34"/>
      <c r="BX374" s="34"/>
      <c r="BY374" s="34"/>
    </row>
    <row r="375" spans="1:77" x14ac:dyDescent="0.3">
      <c r="A375" s="39"/>
      <c r="B375" s="42"/>
      <c r="C375" s="42"/>
      <c r="D375" s="75"/>
      <c r="E375" s="75"/>
      <c r="F375" s="76"/>
      <c r="G375" s="47"/>
      <c r="H375" s="47"/>
      <c r="I375" s="75"/>
      <c r="J375" s="76"/>
      <c r="K375" s="76"/>
      <c r="L375" s="75"/>
      <c r="M375" s="49"/>
      <c r="N375" s="76"/>
      <c r="O375" s="49"/>
      <c r="P375" s="77"/>
      <c r="Q375" s="53"/>
      <c r="R375" s="54"/>
      <c r="S375" s="55"/>
      <c r="T375" s="56"/>
      <c r="U375" s="56"/>
      <c r="V375" s="42"/>
      <c r="W375" s="57"/>
      <c r="X375" s="58"/>
      <c r="Y375" s="75"/>
      <c r="Z375" s="59"/>
      <c r="AA375" s="61"/>
      <c r="AB375" s="61"/>
      <c r="AC375" s="61"/>
      <c r="AD375" s="62"/>
      <c r="AE375" s="62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D375" s="34"/>
      <c r="BE375" s="34"/>
      <c r="BF375" s="34"/>
      <c r="BG375" s="34"/>
      <c r="BH375" s="34"/>
      <c r="BI375" s="34"/>
      <c r="BJ375" s="34"/>
      <c r="BK375" s="34"/>
      <c r="BL375" s="34"/>
      <c r="BM375" s="34"/>
      <c r="BN375" s="34"/>
      <c r="BO375" s="34"/>
      <c r="BP375" s="34"/>
      <c r="BQ375" s="34"/>
      <c r="BR375" s="34"/>
      <c r="BS375" s="34"/>
      <c r="BT375" s="34"/>
      <c r="BU375" s="34"/>
      <c r="BV375" s="34"/>
      <c r="BW375" s="34"/>
      <c r="BX375" s="34"/>
      <c r="BY375" s="34"/>
    </row>
    <row r="376" spans="1:77" x14ac:dyDescent="0.3">
      <c r="A376" s="39"/>
      <c r="B376" s="42"/>
      <c r="C376" s="42"/>
      <c r="D376" s="75"/>
      <c r="E376" s="75"/>
      <c r="F376" s="76"/>
      <c r="G376" s="47"/>
      <c r="H376" s="47"/>
      <c r="I376" s="75"/>
      <c r="J376" s="76"/>
      <c r="K376" s="76"/>
      <c r="L376" s="75"/>
      <c r="M376" s="49"/>
      <c r="N376" s="76"/>
      <c r="O376" s="49"/>
      <c r="P376" s="77"/>
      <c r="Q376" s="53"/>
      <c r="R376" s="54"/>
      <c r="S376" s="55"/>
      <c r="T376" s="56"/>
      <c r="U376" s="56"/>
      <c r="V376" s="42"/>
      <c r="W376" s="57"/>
      <c r="X376" s="58"/>
      <c r="Y376" s="75"/>
      <c r="Z376" s="59"/>
      <c r="AA376" s="61"/>
      <c r="AB376" s="61"/>
      <c r="AC376" s="61"/>
      <c r="AD376" s="62"/>
      <c r="AE376" s="62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D376" s="34"/>
      <c r="BE376" s="34"/>
      <c r="BF376" s="34"/>
      <c r="BG376" s="34"/>
      <c r="BH376" s="34"/>
      <c r="BI376" s="34"/>
      <c r="BJ376" s="34"/>
      <c r="BK376" s="34"/>
      <c r="BL376" s="34"/>
      <c r="BM376" s="34"/>
      <c r="BN376" s="34"/>
      <c r="BO376" s="34"/>
      <c r="BP376" s="34"/>
      <c r="BQ376" s="34"/>
      <c r="BR376" s="34"/>
      <c r="BS376" s="34"/>
      <c r="BT376" s="34"/>
      <c r="BU376" s="34"/>
      <c r="BV376" s="34"/>
      <c r="BW376" s="34"/>
      <c r="BX376" s="34"/>
      <c r="BY376" s="34"/>
    </row>
    <row r="377" spans="1:77" x14ac:dyDescent="0.3">
      <c r="A377" s="39"/>
      <c r="B377" s="42"/>
      <c r="C377" s="42"/>
      <c r="D377" s="75"/>
      <c r="E377" s="75"/>
      <c r="F377" s="76"/>
      <c r="G377" s="47"/>
      <c r="H377" s="47"/>
      <c r="I377" s="75"/>
      <c r="J377" s="76"/>
      <c r="K377" s="76"/>
      <c r="L377" s="75"/>
      <c r="M377" s="49"/>
      <c r="N377" s="76"/>
      <c r="O377" s="49"/>
      <c r="P377" s="77"/>
      <c r="Q377" s="53"/>
      <c r="R377" s="54"/>
      <c r="S377" s="55"/>
      <c r="T377" s="56"/>
      <c r="U377" s="56"/>
      <c r="V377" s="42"/>
      <c r="W377" s="57"/>
      <c r="X377" s="58"/>
      <c r="Y377" s="75"/>
      <c r="Z377" s="59"/>
      <c r="AA377" s="61"/>
      <c r="AB377" s="61"/>
      <c r="AC377" s="61"/>
      <c r="AD377" s="62"/>
      <c r="AE377" s="62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D377" s="34"/>
      <c r="BE377" s="34"/>
      <c r="BF377" s="34"/>
      <c r="BG377" s="34"/>
      <c r="BH377" s="34"/>
      <c r="BI377" s="34"/>
      <c r="BJ377" s="34"/>
      <c r="BK377" s="34"/>
      <c r="BL377" s="34"/>
      <c r="BM377" s="34"/>
      <c r="BN377" s="34"/>
      <c r="BO377" s="34"/>
      <c r="BP377" s="34"/>
      <c r="BQ377" s="34"/>
      <c r="BR377" s="34"/>
      <c r="BS377" s="34"/>
      <c r="BT377" s="34"/>
      <c r="BU377" s="34"/>
      <c r="BV377" s="34"/>
      <c r="BW377" s="34"/>
      <c r="BX377" s="34"/>
      <c r="BY377" s="34"/>
    </row>
    <row r="378" spans="1:77" x14ac:dyDescent="0.3">
      <c r="A378" s="39"/>
      <c r="B378" s="42"/>
      <c r="C378" s="42"/>
      <c r="D378" s="75"/>
      <c r="E378" s="75"/>
      <c r="F378" s="76"/>
      <c r="G378" s="47"/>
      <c r="H378" s="47"/>
      <c r="I378" s="75"/>
      <c r="J378" s="76"/>
      <c r="K378" s="76"/>
      <c r="L378" s="75"/>
      <c r="M378" s="49"/>
      <c r="N378" s="76"/>
      <c r="O378" s="49"/>
      <c r="P378" s="77"/>
      <c r="Q378" s="53"/>
      <c r="R378" s="54"/>
      <c r="S378" s="55"/>
      <c r="T378" s="56"/>
      <c r="U378" s="56"/>
      <c r="V378" s="42"/>
      <c r="W378" s="57"/>
      <c r="X378" s="58"/>
      <c r="Y378" s="75"/>
      <c r="Z378" s="59"/>
      <c r="AA378" s="61"/>
      <c r="AB378" s="61"/>
      <c r="AC378" s="61"/>
      <c r="AD378" s="62"/>
      <c r="AE378" s="62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D378" s="34"/>
      <c r="BE378" s="34"/>
      <c r="BF378" s="34"/>
      <c r="BG378" s="34"/>
      <c r="BH378" s="34"/>
      <c r="BI378" s="34"/>
      <c r="BJ378" s="34"/>
      <c r="BK378" s="34"/>
      <c r="BL378" s="34"/>
      <c r="BM378" s="34"/>
      <c r="BN378" s="34"/>
      <c r="BO378" s="34"/>
      <c r="BP378" s="34"/>
      <c r="BQ378" s="34"/>
      <c r="BR378" s="34"/>
      <c r="BS378" s="34"/>
      <c r="BT378" s="34"/>
      <c r="BU378" s="34"/>
      <c r="BV378" s="34"/>
      <c r="BW378" s="34"/>
      <c r="BX378" s="34"/>
      <c r="BY378" s="34"/>
    </row>
    <row r="379" spans="1:77" x14ac:dyDescent="0.3">
      <c r="A379" s="39"/>
      <c r="B379" s="42"/>
      <c r="C379" s="42"/>
      <c r="D379" s="75"/>
      <c r="E379" s="75"/>
      <c r="F379" s="76"/>
      <c r="G379" s="47"/>
      <c r="H379" s="47"/>
      <c r="I379" s="75"/>
      <c r="J379" s="76"/>
      <c r="K379" s="76"/>
      <c r="L379" s="75"/>
      <c r="M379" s="49"/>
      <c r="N379" s="76"/>
      <c r="O379" s="49"/>
      <c r="P379" s="77"/>
      <c r="Q379" s="53"/>
      <c r="R379" s="54"/>
      <c r="S379" s="55"/>
      <c r="T379" s="56"/>
      <c r="U379" s="56"/>
      <c r="V379" s="42"/>
      <c r="W379" s="57"/>
      <c r="X379" s="58"/>
      <c r="Y379" s="75"/>
      <c r="Z379" s="59"/>
      <c r="AA379" s="61"/>
      <c r="AB379" s="61"/>
      <c r="AC379" s="61"/>
      <c r="AD379" s="62"/>
      <c r="AE379" s="62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D379" s="34"/>
      <c r="BE379" s="34"/>
      <c r="BF379" s="34"/>
      <c r="BG379" s="34"/>
      <c r="BH379" s="34"/>
      <c r="BI379" s="34"/>
      <c r="BJ379" s="34"/>
      <c r="BK379" s="34"/>
      <c r="BL379" s="34"/>
      <c r="BM379" s="34"/>
      <c r="BN379" s="34"/>
      <c r="BO379" s="34"/>
      <c r="BP379" s="34"/>
      <c r="BQ379" s="34"/>
      <c r="BR379" s="34"/>
      <c r="BS379" s="34"/>
      <c r="BT379" s="34"/>
      <c r="BU379" s="34"/>
      <c r="BV379" s="34"/>
      <c r="BW379" s="34"/>
      <c r="BX379" s="34"/>
      <c r="BY379" s="34"/>
    </row>
    <row r="380" spans="1:77" x14ac:dyDescent="0.3">
      <c r="A380" s="39"/>
      <c r="B380" s="42"/>
      <c r="C380" s="42"/>
      <c r="D380" s="75"/>
      <c r="E380" s="75"/>
      <c r="F380" s="76"/>
      <c r="G380" s="47"/>
      <c r="H380" s="47"/>
      <c r="I380" s="75"/>
      <c r="J380" s="76"/>
      <c r="K380" s="76"/>
      <c r="L380" s="75"/>
      <c r="M380" s="49"/>
      <c r="N380" s="76"/>
      <c r="O380" s="49"/>
      <c r="P380" s="77"/>
      <c r="Q380" s="53"/>
      <c r="R380" s="54"/>
      <c r="S380" s="55"/>
      <c r="T380" s="56"/>
      <c r="U380" s="56"/>
      <c r="V380" s="42"/>
      <c r="W380" s="57"/>
      <c r="X380" s="58"/>
      <c r="Y380" s="75"/>
      <c r="Z380" s="59"/>
      <c r="AA380" s="61"/>
      <c r="AB380" s="61"/>
      <c r="AC380" s="61"/>
      <c r="AD380" s="62"/>
      <c r="AE380" s="62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D380" s="34"/>
      <c r="BE380" s="34"/>
      <c r="BF380" s="34"/>
      <c r="BG380" s="34"/>
      <c r="BH380" s="34"/>
      <c r="BI380" s="34"/>
      <c r="BJ380" s="34"/>
      <c r="BK380" s="34"/>
      <c r="BL380" s="34"/>
      <c r="BM380" s="34"/>
      <c r="BN380" s="34"/>
      <c r="BO380" s="34"/>
      <c r="BP380" s="34"/>
      <c r="BQ380" s="34"/>
      <c r="BR380" s="34"/>
      <c r="BS380" s="34"/>
      <c r="BT380" s="34"/>
      <c r="BU380" s="34"/>
      <c r="BV380" s="34"/>
      <c r="BW380" s="34"/>
      <c r="BX380" s="34"/>
      <c r="BY380" s="34"/>
    </row>
    <row r="381" spans="1:77" x14ac:dyDescent="0.3">
      <c r="A381" s="39"/>
      <c r="B381" s="42"/>
      <c r="C381" s="42"/>
      <c r="D381" s="75"/>
      <c r="E381" s="75"/>
      <c r="F381" s="76"/>
      <c r="G381" s="47"/>
      <c r="H381" s="47"/>
      <c r="I381" s="75"/>
      <c r="J381" s="76"/>
      <c r="K381" s="76"/>
      <c r="L381" s="75"/>
      <c r="M381" s="49"/>
      <c r="N381" s="76"/>
      <c r="O381" s="49"/>
      <c r="P381" s="77"/>
      <c r="Q381" s="53"/>
      <c r="R381" s="54"/>
      <c r="S381" s="55"/>
      <c r="T381" s="56"/>
      <c r="U381" s="56"/>
      <c r="V381" s="42"/>
      <c r="W381" s="57"/>
      <c r="X381" s="58"/>
      <c r="Y381" s="75"/>
      <c r="Z381" s="59"/>
      <c r="AA381" s="61"/>
      <c r="AB381" s="61"/>
      <c r="AC381" s="61"/>
      <c r="AD381" s="62"/>
      <c r="AE381" s="62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D381" s="34"/>
      <c r="BE381" s="34"/>
      <c r="BF381" s="34"/>
      <c r="BG381" s="34"/>
      <c r="BH381" s="34"/>
      <c r="BI381" s="34"/>
      <c r="BJ381" s="34"/>
      <c r="BK381" s="34"/>
      <c r="BL381" s="34"/>
      <c r="BM381" s="34"/>
      <c r="BN381" s="34"/>
      <c r="BO381" s="34"/>
      <c r="BP381" s="34"/>
      <c r="BQ381" s="34"/>
      <c r="BR381" s="34"/>
      <c r="BS381" s="34"/>
      <c r="BT381" s="34"/>
      <c r="BU381" s="34"/>
      <c r="BV381" s="34"/>
      <c r="BW381" s="34"/>
      <c r="BX381" s="34"/>
      <c r="BY381" s="34"/>
    </row>
    <row r="382" spans="1:77" x14ac:dyDescent="0.3">
      <c r="A382" s="39"/>
      <c r="B382" s="42"/>
      <c r="C382" s="42"/>
      <c r="D382" s="75"/>
      <c r="E382" s="75"/>
      <c r="F382" s="76"/>
      <c r="G382" s="47"/>
      <c r="H382" s="47"/>
      <c r="I382" s="75"/>
      <c r="J382" s="76"/>
      <c r="K382" s="76"/>
      <c r="L382" s="75"/>
      <c r="M382" s="49"/>
      <c r="N382" s="76"/>
      <c r="O382" s="49"/>
      <c r="P382" s="77"/>
      <c r="Q382" s="53"/>
      <c r="R382" s="54"/>
      <c r="S382" s="55"/>
      <c r="T382" s="56"/>
      <c r="U382" s="56"/>
      <c r="V382" s="42"/>
      <c r="W382" s="57"/>
      <c r="X382" s="58"/>
      <c r="Y382" s="75"/>
      <c r="Z382" s="59"/>
      <c r="AA382" s="61"/>
      <c r="AB382" s="61"/>
      <c r="AC382" s="61"/>
      <c r="AD382" s="62"/>
      <c r="AE382" s="62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D382" s="34"/>
      <c r="BE382" s="34"/>
      <c r="BF382" s="34"/>
      <c r="BG382" s="34"/>
      <c r="BH382" s="34"/>
      <c r="BI382" s="34"/>
      <c r="BJ382" s="34"/>
      <c r="BK382" s="34"/>
      <c r="BL382" s="34"/>
      <c r="BM382" s="34"/>
      <c r="BN382" s="34"/>
      <c r="BO382" s="34"/>
      <c r="BP382" s="34"/>
      <c r="BQ382" s="34"/>
      <c r="BR382" s="34"/>
      <c r="BS382" s="34"/>
      <c r="BT382" s="34"/>
      <c r="BU382" s="34"/>
      <c r="BV382" s="34"/>
      <c r="BW382" s="34"/>
      <c r="BX382" s="34"/>
      <c r="BY382" s="34"/>
    </row>
    <row r="383" spans="1:77" x14ac:dyDescent="0.3">
      <c r="A383" s="39"/>
      <c r="B383" s="42"/>
      <c r="C383" s="42"/>
      <c r="D383" s="75"/>
      <c r="E383" s="75"/>
      <c r="F383" s="76"/>
      <c r="G383" s="47"/>
      <c r="H383" s="47"/>
      <c r="I383" s="75"/>
      <c r="J383" s="76"/>
      <c r="K383" s="76"/>
      <c r="L383" s="75"/>
      <c r="M383" s="49"/>
      <c r="N383" s="76"/>
      <c r="O383" s="49"/>
      <c r="P383" s="77"/>
      <c r="Q383" s="53"/>
      <c r="R383" s="54"/>
      <c r="S383" s="55"/>
      <c r="T383" s="56"/>
      <c r="U383" s="56"/>
      <c r="V383" s="42"/>
      <c r="W383" s="57"/>
      <c r="X383" s="58"/>
      <c r="Y383" s="75"/>
      <c r="Z383" s="59"/>
      <c r="AA383" s="61"/>
      <c r="AB383" s="61"/>
      <c r="AC383" s="61"/>
      <c r="AD383" s="62"/>
      <c r="AE383" s="62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/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</row>
    <row r="384" spans="1:77" x14ac:dyDescent="0.3">
      <c r="A384" s="39"/>
      <c r="B384" s="42"/>
      <c r="C384" s="42"/>
      <c r="D384" s="75"/>
      <c r="E384" s="75"/>
      <c r="F384" s="76"/>
      <c r="G384" s="47"/>
      <c r="H384" s="47"/>
      <c r="I384" s="75"/>
      <c r="J384" s="76"/>
      <c r="K384" s="76"/>
      <c r="L384" s="75"/>
      <c r="M384" s="49"/>
      <c r="N384" s="76"/>
      <c r="O384" s="49"/>
      <c r="P384" s="77"/>
      <c r="Q384" s="53"/>
      <c r="R384" s="54"/>
      <c r="S384" s="55"/>
      <c r="T384" s="56"/>
      <c r="U384" s="56"/>
      <c r="V384" s="42"/>
      <c r="W384" s="57"/>
      <c r="X384" s="58"/>
      <c r="Y384" s="75"/>
      <c r="Z384" s="59"/>
      <c r="AA384" s="61"/>
      <c r="AB384" s="61"/>
      <c r="AC384" s="61"/>
      <c r="AD384" s="62"/>
      <c r="AE384" s="62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/>
      <c r="BP384" s="34"/>
      <c r="BQ384" s="34"/>
      <c r="BR384" s="34"/>
      <c r="BS384" s="34"/>
      <c r="BT384" s="34"/>
      <c r="BU384" s="34"/>
      <c r="BV384" s="34"/>
      <c r="BW384" s="34"/>
      <c r="BX384" s="34"/>
      <c r="BY384" s="34"/>
    </row>
    <row r="385" spans="1:77" x14ac:dyDescent="0.3">
      <c r="A385" s="39"/>
      <c r="B385" s="42"/>
      <c r="C385" s="42"/>
      <c r="D385" s="75"/>
      <c r="E385" s="75"/>
      <c r="F385" s="76"/>
      <c r="G385" s="47"/>
      <c r="H385" s="47"/>
      <c r="I385" s="75"/>
      <c r="J385" s="76"/>
      <c r="K385" s="76"/>
      <c r="L385" s="75"/>
      <c r="M385" s="49"/>
      <c r="N385" s="76"/>
      <c r="O385" s="49"/>
      <c r="P385" s="77"/>
      <c r="Q385" s="53"/>
      <c r="R385" s="54"/>
      <c r="S385" s="55"/>
      <c r="T385" s="56"/>
      <c r="U385" s="56"/>
      <c r="V385" s="42"/>
      <c r="W385" s="57"/>
      <c r="X385" s="58"/>
      <c r="Y385" s="75"/>
      <c r="Z385" s="59"/>
      <c r="AA385" s="61"/>
      <c r="AB385" s="61"/>
      <c r="AC385" s="61"/>
      <c r="AD385" s="62"/>
      <c r="AE385" s="62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/>
      <c r="BP385" s="34"/>
      <c r="BQ385" s="34"/>
      <c r="BR385" s="34"/>
      <c r="BS385" s="34"/>
      <c r="BT385" s="34"/>
      <c r="BU385" s="34"/>
      <c r="BV385" s="34"/>
      <c r="BW385" s="34"/>
      <c r="BX385" s="34"/>
      <c r="BY385" s="34"/>
    </row>
    <row r="386" spans="1:77" x14ac:dyDescent="0.3">
      <c r="A386" s="39"/>
      <c r="B386" s="42"/>
      <c r="C386" s="42"/>
      <c r="D386" s="75"/>
      <c r="E386" s="75"/>
      <c r="F386" s="76"/>
      <c r="G386" s="47"/>
      <c r="H386" s="47"/>
      <c r="I386" s="75"/>
      <c r="J386" s="76"/>
      <c r="K386" s="76"/>
      <c r="L386" s="75"/>
      <c r="M386" s="49"/>
      <c r="N386" s="76"/>
      <c r="O386" s="49"/>
      <c r="P386" s="77"/>
      <c r="Q386" s="53"/>
      <c r="R386" s="54"/>
      <c r="S386" s="55"/>
      <c r="T386" s="56"/>
      <c r="U386" s="56"/>
      <c r="V386" s="42"/>
      <c r="W386" s="57"/>
      <c r="X386" s="58"/>
      <c r="Y386" s="75"/>
      <c r="Z386" s="59"/>
      <c r="AA386" s="61"/>
      <c r="AB386" s="61"/>
      <c r="AC386" s="61"/>
      <c r="AD386" s="62"/>
      <c r="AE386" s="62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/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</row>
    <row r="387" spans="1:77" x14ac:dyDescent="0.3">
      <c r="A387" s="39"/>
      <c r="B387" s="42"/>
      <c r="C387" s="42"/>
      <c r="D387" s="75"/>
      <c r="E387" s="75"/>
      <c r="F387" s="76"/>
      <c r="G387" s="47"/>
      <c r="H387" s="47"/>
      <c r="I387" s="75"/>
      <c r="J387" s="76"/>
      <c r="K387" s="76"/>
      <c r="L387" s="75"/>
      <c r="M387" s="49"/>
      <c r="N387" s="76"/>
      <c r="O387" s="49"/>
      <c r="P387" s="77"/>
      <c r="Q387" s="53"/>
      <c r="R387" s="54"/>
      <c r="S387" s="55"/>
      <c r="T387" s="56"/>
      <c r="U387" s="56"/>
      <c r="V387" s="42"/>
      <c r="W387" s="57"/>
      <c r="X387" s="58"/>
      <c r="Y387" s="75"/>
      <c r="Z387" s="59"/>
      <c r="AA387" s="61"/>
      <c r="AB387" s="61"/>
      <c r="AC387" s="61"/>
      <c r="AD387" s="62"/>
      <c r="AE387" s="62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/>
      <c r="BP387" s="34"/>
      <c r="BQ387" s="34"/>
      <c r="BR387" s="34"/>
      <c r="BS387" s="34"/>
      <c r="BT387" s="34"/>
      <c r="BU387" s="34"/>
      <c r="BV387" s="34"/>
      <c r="BW387" s="34"/>
      <c r="BX387" s="34"/>
      <c r="BY387" s="34"/>
    </row>
    <row r="388" spans="1:77" x14ac:dyDescent="0.3">
      <c r="A388" s="39"/>
      <c r="B388" s="42"/>
      <c r="C388" s="42"/>
      <c r="D388" s="75"/>
      <c r="E388" s="75"/>
      <c r="F388" s="76"/>
      <c r="G388" s="47"/>
      <c r="H388" s="47"/>
      <c r="I388" s="75"/>
      <c r="J388" s="76"/>
      <c r="K388" s="76"/>
      <c r="L388" s="75"/>
      <c r="M388" s="49"/>
      <c r="N388" s="76"/>
      <c r="O388" s="49"/>
      <c r="P388" s="77"/>
      <c r="Q388" s="53"/>
      <c r="R388" s="54"/>
      <c r="S388" s="55"/>
      <c r="T388" s="56"/>
      <c r="U388" s="56"/>
      <c r="V388" s="42"/>
      <c r="W388" s="57"/>
      <c r="X388" s="58"/>
      <c r="Y388" s="75"/>
      <c r="Z388" s="59"/>
      <c r="AA388" s="61"/>
      <c r="AB388" s="61"/>
      <c r="AC388" s="61"/>
      <c r="AD388" s="62"/>
      <c r="AE388" s="62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D388" s="34"/>
      <c r="BE388" s="34"/>
      <c r="BF388" s="34"/>
      <c r="BG388" s="34"/>
      <c r="BH388" s="34"/>
      <c r="BI388" s="34"/>
      <c r="BJ388" s="34"/>
      <c r="BK388" s="34"/>
      <c r="BL388" s="34"/>
      <c r="BM388" s="34"/>
      <c r="BN388" s="34"/>
      <c r="BO388" s="34"/>
      <c r="BP388" s="34"/>
      <c r="BQ388" s="34"/>
      <c r="BR388" s="34"/>
      <c r="BS388" s="34"/>
      <c r="BT388" s="34"/>
      <c r="BU388" s="34"/>
      <c r="BV388" s="34"/>
      <c r="BW388" s="34"/>
      <c r="BX388" s="34"/>
      <c r="BY388" s="34"/>
    </row>
    <row r="389" spans="1:77" x14ac:dyDescent="0.3">
      <c r="A389" s="39"/>
      <c r="B389" s="42"/>
      <c r="C389" s="42"/>
      <c r="D389" s="75"/>
      <c r="E389" s="75"/>
      <c r="F389" s="76"/>
      <c r="G389" s="47"/>
      <c r="H389" s="47"/>
      <c r="I389" s="75"/>
      <c r="J389" s="76"/>
      <c r="K389" s="76"/>
      <c r="L389" s="75"/>
      <c r="M389" s="49"/>
      <c r="N389" s="76"/>
      <c r="O389" s="49"/>
      <c r="P389" s="77"/>
      <c r="Q389" s="53"/>
      <c r="R389" s="54"/>
      <c r="S389" s="55"/>
      <c r="T389" s="56"/>
      <c r="U389" s="56"/>
      <c r="V389" s="42"/>
      <c r="W389" s="57"/>
      <c r="X389" s="58"/>
      <c r="Y389" s="75"/>
      <c r="Z389" s="59"/>
      <c r="AA389" s="61"/>
      <c r="AB389" s="61"/>
      <c r="AC389" s="61"/>
      <c r="AD389" s="62"/>
      <c r="AE389" s="62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D389" s="34"/>
      <c r="BE389" s="34"/>
      <c r="BF389" s="34"/>
      <c r="BG389" s="34"/>
      <c r="BH389" s="34"/>
      <c r="BI389" s="34"/>
      <c r="BJ389" s="34"/>
      <c r="BK389" s="34"/>
      <c r="BL389" s="34"/>
      <c r="BM389" s="34"/>
      <c r="BN389" s="34"/>
      <c r="BO389" s="34"/>
      <c r="BP389" s="34"/>
      <c r="BQ389" s="34"/>
      <c r="BR389" s="34"/>
      <c r="BS389" s="34"/>
      <c r="BT389" s="34"/>
      <c r="BU389" s="34"/>
      <c r="BV389" s="34"/>
      <c r="BW389" s="34"/>
      <c r="BX389" s="34"/>
      <c r="BY389" s="34"/>
    </row>
    <row r="390" spans="1:77" x14ac:dyDescent="0.3">
      <c r="A390" s="39"/>
      <c r="B390" s="42"/>
      <c r="C390" s="42"/>
      <c r="D390" s="75"/>
      <c r="E390" s="75"/>
      <c r="F390" s="76"/>
      <c r="G390" s="47"/>
      <c r="H390" s="47"/>
      <c r="I390" s="75"/>
      <c r="J390" s="76"/>
      <c r="K390" s="76"/>
      <c r="L390" s="75"/>
      <c r="M390" s="49"/>
      <c r="N390" s="76"/>
      <c r="O390" s="49"/>
      <c r="P390" s="77"/>
      <c r="Q390" s="53"/>
      <c r="R390" s="54"/>
      <c r="S390" s="55"/>
      <c r="T390" s="56"/>
      <c r="U390" s="56"/>
      <c r="V390" s="42"/>
      <c r="W390" s="57"/>
      <c r="X390" s="58"/>
      <c r="Y390" s="75"/>
      <c r="Z390" s="59"/>
      <c r="AA390" s="61"/>
      <c r="AB390" s="61"/>
      <c r="AC390" s="61"/>
      <c r="AD390" s="62"/>
      <c r="AE390" s="62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D390" s="34"/>
      <c r="BE390" s="34"/>
      <c r="BF390" s="34"/>
      <c r="BG390" s="34"/>
      <c r="BH390" s="34"/>
      <c r="BI390" s="34"/>
      <c r="BJ390" s="34"/>
      <c r="BK390" s="34"/>
      <c r="BL390" s="34"/>
      <c r="BM390" s="34"/>
      <c r="BN390" s="34"/>
      <c r="BO390" s="34"/>
      <c r="BP390" s="34"/>
      <c r="BQ390" s="34"/>
      <c r="BR390" s="34"/>
      <c r="BS390" s="34"/>
      <c r="BT390" s="34"/>
      <c r="BU390" s="34"/>
      <c r="BV390" s="34"/>
      <c r="BW390" s="34"/>
      <c r="BX390" s="34"/>
      <c r="BY390" s="34"/>
    </row>
    <row r="391" spans="1:77" x14ac:dyDescent="0.3">
      <c r="A391" s="39"/>
      <c r="B391" s="42"/>
      <c r="C391" s="42"/>
      <c r="D391" s="75"/>
      <c r="E391" s="75"/>
      <c r="F391" s="76"/>
      <c r="G391" s="47"/>
      <c r="H391" s="47"/>
      <c r="I391" s="75"/>
      <c r="J391" s="76"/>
      <c r="K391" s="76"/>
      <c r="L391" s="75"/>
      <c r="M391" s="49"/>
      <c r="N391" s="76"/>
      <c r="O391" s="49"/>
      <c r="P391" s="77"/>
      <c r="Q391" s="53"/>
      <c r="R391" s="54"/>
      <c r="S391" s="55"/>
      <c r="T391" s="56"/>
      <c r="U391" s="56"/>
      <c r="V391" s="42"/>
      <c r="W391" s="57"/>
      <c r="X391" s="58"/>
      <c r="Y391" s="75"/>
      <c r="Z391" s="59"/>
      <c r="AA391" s="61"/>
      <c r="AB391" s="61"/>
      <c r="AC391" s="61"/>
      <c r="AD391" s="62"/>
      <c r="AE391" s="62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D391" s="34"/>
      <c r="BE391" s="34"/>
      <c r="BF391" s="34"/>
      <c r="BG391" s="34"/>
      <c r="BH391" s="34"/>
      <c r="BI391" s="34"/>
      <c r="BJ391" s="34"/>
      <c r="BK391" s="34"/>
      <c r="BL391" s="34"/>
      <c r="BM391" s="34"/>
      <c r="BN391" s="34"/>
      <c r="BO391" s="34"/>
      <c r="BP391" s="34"/>
      <c r="BQ391" s="34"/>
      <c r="BR391" s="34"/>
      <c r="BS391" s="34"/>
      <c r="BT391" s="34"/>
      <c r="BU391" s="34"/>
      <c r="BV391" s="34"/>
      <c r="BW391" s="34"/>
      <c r="BX391" s="34"/>
      <c r="BY391" s="34"/>
    </row>
    <row r="392" spans="1:77" x14ac:dyDescent="0.3">
      <c r="A392" s="39"/>
      <c r="B392" s="42"/>
      <c r="C392" s="42"/>
      <c r="D392" s="75"/>
      <c r="E392" s="75"/>
      <c r="F392" s="76"/>
      <c r="G392" s="47"/>
      <c r="H392" s="47"/>
      <c r="I392" s="75"/>
      <c r="J392" s="76"/>
      <c r="K392" s="76"/>
      <c r="L392" s="75"/>
      <c r="M392" s="49"/>
      <c r="N392" s="76"/>
      <c r="O392" s="49"/>
      <c r="P392" s="77"/>
      <c r="Q392" s="53"/>
      <c r="R392" s="54"/>
      <c r="S392" s="55"/>
      <c r="T392" s="56"/>
      <c r="U392" s="56"/>
      <c r="V392" s="42"/>
      <c r="W392" s="57"/>
      <c r="X392" s="58"/>
      <c r="Y392" s="75"/>
      <c r="Z392" s="59"/>
      <c r="AA392" s="61"/>
      <c r="AB392" s="61"/>
      <c r="AC392" s="61"/>
      <c r="AD392" s="62"/>
      <c r="AE392" s="62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4"/>
      <c r="BP392" s="34"/>
      <c r="BQ392" s="34"/>
      <c r="BR392" s="34"/>
      <c r="BS392" s="34"/>
      <c r="BT392" s="34"/>
      <c r="BU392" s="34"/>
      <c r="BV392" s="34"/>
      <c r="BW392" s="34"/>
      <c r="BX392" s="34"/>
      <c r="BY392" s="34"/>
    </row>
    <row r="393" spans="1:77" x14ac:dyDescent="0.3">
      <c r="A393" s="39"/>
      <c r="B393" s="42"/>
      <c r="C393" s="42"/>
      <c r="D393" s="75"/>
      <c r="E393" s="75"/>
      <c r="F393" s="76"/>
      <c r="G393" s="47"/>
      <c r="H393" s="47"/>
      <c r="I393" s="75"/>
      <c r="J393" s="76"/>
      <c r="K393" s="76"/>
      <c r="L393" s="75"/>
      <c r="M393" s="49"/>
      <c r="N393" s="76"/>
      <c r="O393" s="49"/>
      <c r="P393" s="77"/>
      <c r="Q393" s="53"/>
      <c r="R393" s="54"/>
      <c r="S393" s="55"/>
      <c r="T393" s="56"/>
      <c r="U393" s="56"/>
      <c r="V393" s="42"/>
      <c r="W393" s="57"/>
      <c r="X393" s="58"/>
      <c r="Y393" s="75"/>
      <c r="Z393" s="59"/>
      <c r="AA393" s="61"/>
      <c r="AB393" s="61"/>
      <c r="AC393" s="61"/>
      <c r="AD393" s="62"/>
      <c r="AE393" s="62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D393" s="34"/>
      <c r="BE393" s="34"/>
      <c r="BF393" s="34"/>
      <c r="BG393" s="34"/>
      <c r="BH393" s="34"/>
      <c r="BI393" s="34"/>
      <c r="BJ393" s="34"/>
      <c r="BK393" s="34"/>
      <c r="BL393" s="34"/>
      <c r="BM393" s="34"/>
      <c r="BN393" s="34"/>
      <c r="BO393" s="34"/>
      <c r="BP393" s="34"/>
      <c r="BQ393" s="34"/>
      <c r="BR393" s="34"/>
      <c r="BS393" s="34"/>
      <c r="BT393" s="34"/>
      <c r="BU393" s="34"/>
      <c r="BV393" s="34"/>
      <c r="BW393" s="34"/>
      <c r="BX393" s="34"/>
      <c r="BY393" s="34"/>
    </row>
    <row r="394" spans="1:77" x14ac:dyDescent="0.3">
      <c r="A394" s="39"/>
      <c r="B394" s="42"/>
      <c r="C394" s="42"/>
      <c r="D394" s="75"/>
      <c r="E394" s="75"/>
      <c r="F394" s="76"/>
      <c r="G394" s="47"/>
      <c r="H394" s="47"/>
      <c r="I394" s="75"/>
      <c r="J394" s="76"/>
      <c r="K394" s="76"/>
      <c r="L394" s="75"/>
      <c r="M394" s="49"/>
      <c r="N394" s="76"/>
      <c r="O394" s="49"/>
      <c r="P394" s="77"/>
      <c r="Q394" s="53"/>
      <c r="R394" s="54"/>
      <c r="S394" s="55"/>
      <c r="T394" s="56"/>
      <c r="U394" s="56"/>
      <c r="V394" s="42"/>
      <c r="W394" s="57"/>
      <c r="X394" s="58"/>
      <c r="Y394" s="75"/>
      <c r="Z394" s="59"/>
      <c r="AA394" s="61"/>
      <c r="AB394" s="61"/>
      <c r="AC394" s="61"/>
      <c r="AD394" s="62"/>
      <c r="AE394" s="62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D394" s="34"/>
      <c r="BE394" s="34"/>
      <c r="BF394" s="34"/>
      <c r="BG394" s="34"/>
      <c r="BH394" s="34"/>
      <c r="BI394" s="34"/>
      <c r="BJ394" s="34"/>
      <c r="BK394" s="34"/>
      <c r="BL394" s="34"/>
      <c r="BM394" s="34"/>
      <c r="BN394" s="34"/>
      <c r="BO394" s="34"/>
      <c r="BP394" s="34"/>
      <c r="BQ394" s="34"/>
      <c r="BR394" s="34"/>
      <c r="BS394" s="34"/>
      <c r="BT394" s="34"/>
      <c r="BU394" s="34"/>
      <c r="BV394" s="34"/>
      <c r="BW394" s="34"/>
      <c r="BX394" s="34"/>
      <c r="BY394" s="34"/>
    </row>
    <row r="395" spans="1:77" x14ac:dyDescent="0.3">
      <c r="A395" s="39"/>
      <c r="B395" s="42"/>
      <c r="C395" s="42"/>
      <c r="D395" s="75"/>
      <c r="E395" s="75"/>
      <c r="F395" s="76"/>
      <c r="G395" s="47"/>
      <c r="H395" s="47"/>
      <c r="I395" s="75"/>
      <c r="J395" s="76"/>
      <c r="K395" s="76"/>
      <c r="L395" s="75"/>
      <c r="M395" s="49"/>
      <c r="N395" s="76"/>
      <c r="O395" s="49"/>
      <c r="P395" s="77"/>
      <c r="Q395" s="53"/>
      <c r="R395" s="54"/>
      <c r="S395" s="55"/>
      <c r="T395" s="56"/>
      <c r="U395" s="56"/>
      <c r="V395" s="42"/>
      <c r="W395" s="57"/>
      <c r="X395" s="58"/>
      <c r="Y395" s="75"/>
      <c r="Z395" s="59"/>
      <c r="AA395" s="61"/>
      <c r="AB395" s="61"/>
      <c r="AC395" s="61"/>
      <c r="AD395" s="62"/>
      <c r="AE395" s="62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D395" s="34"/>
      <c r="BE395" s="34"/>
      <c r="BF395" s="34"/>
      <c r="BG395" s="34"/>
      <c r="BH395" s="34"/>
      <c r="BI395" s="34"/>
      <c r="BJ395" s="34"/>
      <c r="BK395" s="34"/>
      <c r="BL395" s="34"/>
      <c r="BM395" s="34"/>
      <c r="BN395" s="34"/>
      <c r="BO395" s="34"/>
      <c r="BP395" s="34"/>
      <c r="BQ395" s="34"/>
      <c r="BR395" s="34"/>
      <c r="BS395" s="34"/>
      <c r="BT395" s="34"/>
      <c r="BU395" s="34"/>
      <c r="BV395" s="34"/>
      <c r="BW395" s="34"/>
      <c r="BX395" s="34"/>
      <c r="BY395" s="34"/>
    </row>
    <row r="396" spans="1:77" x14ac:dyDescent="0.3">
      <c r="A396" s="39"/>
      <c r="B396" s="42"/>
      <c r="C396" s="42"/>
      <c r="D396" s="75"/>
      <c r="E396" s="75"/>
      <c r="F396" s="76"/>
      <c r="G396" s="47"/>
      <c r="H396" s="47"/>
      <c r="I396" s="75"/>
      <c r="J396" s="76"/>
      <c r="K396" s="76"/>
      <c r="L396" s="75"/>
      <c r="M396" s="49"/>
      <c r="N396" s="76"/>
      <c r="O396" s="49"/>
      <c r="P396" s="77"/>
      <c r="Q396" s="53"/>
      <c r="R396" s="54"/>
      <c r="S396" s="55"/>
      <c r="T396" s="56"/>
      <c r="U396" s="56"/>
      <c r="V396" s="42"/>
      <c r="W396" s="57"/>
      <c r="X396" s="58"/>
      <c r="Y396" s="75"/>
      <c r="Z396" s="59"/>
      <c r="AA396" s="61"/>
      <c r="AB396" s="61"/>
      <c r="AC396" s="61"/>
      <c r="AD396" s="62"/>
      <c r="AE396" s="62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D396" s="34"/>
      <c r="BE396" s="34"/>
      <c r="BF396" s="34"/>
      <c r="BG396" s="34"/>
      <c r="BH396" s="34"/>
      <c r="BI396" s="34"/>
      <c r="BJ396" s="34"/>
      <c r="BK396" s="34"/>
      <c r="BL396" s="34"/>
      <c r="BM396" s="34"/>
      <c r="BN396" s="34"/>
      <c r="BO396" s="34"/>
      <c r="BP396" s="34"/>
      <c r="BQ396" s="34"/>
      <c r="BR396" s="34"/>
      <c r="BS396" s="34"/>
      <c r="BT396" s="34"/>
      <c r="BU396" s="34"/>
      <c r="BV396" s="34"/>
      <c r="BW396" s="34"/>
      <c r="BX396" s="34"/>
      <c r="BY396" s="34"/>
    </row>
    <row r="397" spans="1:77" x14ac:dyDescent="0.3">
      <c r="A397" s="39"/>
      <c r="B397" s="42"/>
      <c r="C397" s="42"/>
      <c r="D397" s="75"/>
      <c r="E397" s="75"/>
      <c r="F397" s="76"/>
      <c r="G397" s="47"/>
      <c r="H397" s="47"/>
      <c r="I397" s="75"/>
      <c r="J397" s="76"/>
      <c r="K397" s="76"/>
      <c r="L397" s="75"/>
      <c r="M397" s="49"/>
      <c r="N397" s="76"/>
      <c r="O397" s="49"/>
      <c r="P397" s="77"/>
      <c r="Q397" s="53"/>
      <c r="R397" s="54"/>
      <c r="S397" s="55"/>
      <c r="T397" s="56"/>
      <c r="U397" s="56"/>
      <c r="V397" s="42"/>
      <c r="W397" s="57"/>
      <c r="X397" s="58"/>
      <c r="Y397" s="75"/>
      <c r="Z397" s="59"/>
      <c r="AA397" s="61"/>
      <c r="AB397" s="61"/>
      <c r="AC397" s="61"/>
      <c r="AD397" s="62"/>
      <c r="AE397" s="62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D397" s="34"/>
      <c r="BE397" s="34"/>
      <c r="BF397" s="34"/>
      <c r="BG397" s="34"/>
      <c r="BH397" s="34"/>
      <c r="BI397" s="34"/>
      <c r="BJ397" s="34"/>
      <c r="BK397" s="34"/>
      <c r="BL397" s="34"/>
      <c r="BM397" s="34"/>
      <c r="BN397" s="34"/>
      <c r="BO397" s="34"/>
      <c r="BP397" s="34"/>
      <c r="BQ397" s="34"/>
      <c r="BR397" s="34"/>
      <c r="BS397" s="34"/>
      <c r="BT397" s="34"/>
      <c r="BU397" s="34"/>
      <c r="BV397" s="34"/>
      <c r="BW397" s="34"/>
      <c r="BX397" s="34"/>
      <c r="BY397" s="34"/>
    </row>
    <row r="398" spans="1:77" x14ac:dyDescent="0.3">
      <c r="A398" s="39"/>
      <c r="B398" s="42"/>
      <c r="C398" s="42"/>
      <c r="D398" s="75"/>
      <c r="E398" s="75"/>
      <c r="F398" s="76"/>
      <c r="G398" s="47"/>
      <c r="H398" s="47"/>
      <c r="I398" s="75"/>
      <c r="J398" s="76"/>
      <c r="K398" s="76"/>
      <c r="L398" s="75"/>
      <c r="M398" s="49"/>
      <c r="N398" s="76"/>
      <c r="O398" s="49"/>
      <c r="P398" s="77"/>
      <c r="Q398" s="53"/>
      <c r="R398" s="54"/>
      <c r="S398" s="55"/>
      <c r="T398" s="56"/>
      <c r="U398" s="56"/>
      <c r="V398" s="42"/>
      <c r="W398" s="57"/>
      <c r="X398" s="58"/>
      <c r="Y398" s="75"/>
      <c r="Z398" s="59"/>
      <c r="AA398" s="61"/>
      <c r="AB398" s="61"/>
      <c r="AC398" s="61"/>
      <c r="AD398" s="62"/>
      <c r="AE398" s="62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D398" s="34"/>
      <c r="BE398" s="34"/>
      <c r="BF398" s="34"/>
      <c r="BG398" s="34"/>
      <c r="BH398" s="34"/>
      <c r="BI398" s="34"/>
      <c r="BJ398" s="34"/>
      <c r="BK398" s="34"/>
      <c r="BL398" s="34"/>
      <c r="BM398" s="34"/>
      <c r="BN398" s="34"/>
      <c r="BO398" s="34"/>
      <c r="BP398" s="34"/>
      <c r="BQ398" s="34"/>
      <c r="BR398" s="34"/>
      <c r="BS398" s="34"/>
      <c r="BT398" s="34"/>
      <c r="BU398" s="34"/>
      <c r="BV398" s="34"/>
      <c r="BW398" s="34"/>
      <c r="BX398" s="34"/>
      <c r="BY398" s="34"/>
    </row>
    <row r="399" spans="1:77" x14ac:dyDescent="0.3">
      <c r="A399" s="39"/>
      <c r="B399" s="42"/>
      <c r="C399" s="42"/>
      <c r="D399" s="75"/>
      <c r="E399" s="75"/>
      <c r="F399" s="76"/>
      <c r="G399" s="47"/>
      <c r="H399" s="47"/>
      <c r="I399" s="75"/>
      <c r="J399" s="76"/>
      <c r="K399" s="76"/>
      <c r="L399" s="75"/>
      <c r="M399" s="49"/>
      <c r="N399" s="76"/>
      <c r="O399" s="49"/>
      <c r="P399" s="77"/>
      <c r="Q399" s="53"/>
      <c r="R399" s="54"/>
      <c r="S399" s="55"/>
      <c r="T399" s="56"/>
      <c r="U399" s="56"/>
      <c r="V399" s="42"/>
      <c r="W399" s="57"/>
      <c r="X399" s="58"/>
      <c r="Y399" s="75"/>
      <c r="Z399" s="59"/>
      <c r="AA399" s="61"/>
      <c r="AB399" s="61"/>
      <c r="AC399" s="61"/>
      <c r="AD399" s="62"/>
      <c r="AE399" s="62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D399" s="34"/>
      <c r="BE399" s="34"/>
      <c r="BF399" s="34"/>
      <c r="BG399" s="34"/>
      <c r="BH399" s="34"/>
      <c r="BI399" s="34"/>
      <c r="BJ399" s="34"/>
      <c r="BK399" s="34"/>
      <c r="BL399" s="34"/>
      <c r="BM399" s="34"/>
      <c r="BN399" s="34"/>
      <c r="BO399" s="34"/>
      <c r="BP399" s="34"/>
      <c r="BQ399" s="34"/>
      <c r="BR399" s="34"/>
      <c r="BS399" s="34"/>
      <c r="BT399" s="34"/>
      <c r="BU399" s="34"/>
      <c r="BV399" s="34"/>
      <c r="BW399" s="34"/>
      <c r="BX399" s="34"/>
      <c r="BY399" s="34"/>
    </row>
    <row r="400" spans="1:77" x14ac:dyDescent="0.3">
      <c r="A400" s="39"/>
      <c r="B400" s="42"/>
      <c r="C400" s="42"/>
      <c r="D400" s="75"/>
      <c r="E400" s="75"/>
      <c r="F400" s="76"/>
      <c r="G400" s="47"/>
      <c r="H400" s="47"/>
      <c r="I400" s="75"/>
      <c r="J400" s="76"/>
      <c r="K400" s="76"/>
      <c r="L400" s="75"/>
      <c r="M400" s="49"/>
      <c r="N400" s="76"/>
      <c r="O400" s="49"/>
      <c r="P400" s="77"/>
      <c r="Q400" s="53"/>
      <c r="R400" s="54"/>
      <c r="S400" s="55"/>
      <c r="T400" s="56"/>
      <c r="U400" s="56"/>
      <c r="V400" s="42"/>
      <c r="W400" s="57"/>
      <c r="X400" s="58"/>
      <c r="Y400" s="75"/>
      <c r="Z400" s="59"/>
      <c r="AA400" s="61"/>
      <c r="AB400" s="61"/>
      <c r="AC400" s="61"/>
      <c r="AD400" s="62"/>
      <c r="AE400" s="62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D400" s="34"/>
      <c r="BE400" s="34"/>
      <c r="BF400" s="34"/>
      <c r="BG400" s="34"/>
      <c r="BH400" s="34"/>
      <c r="BI400" s="34"/>
      <c r="BJ400" s="34"/>
      <c r="BK400" s="34"/>
      <c r="BL400" s="34"/>
      <c r="BM400" s="34"/>
      <c r="BN400" s="34"/>
      <c r="BO400" s="34"/>
      <c r="BP400" s="34"/>
      <c r="BQ400" s="34"/>
      <c r="BR400" s="34"/>
      <c r="BS400" s="34"/>
      <c r="BT400" s="34"/>
      <c r="BU400" s="34"/>
      <c r="BV400" s="34"/>
      <c r="BW400" s="34"/>
      <c r="BX400" s="34"/>
      <c r="BY400" s="34"/>
    </row>
    <row r="401" spans="1:77" x14ac:dyDescent="0.3">
      <c r="A401" s="39"/>
      <c r="B401" s="42"/>
      <c r="C401" s="42"/>
      <c r="D401" s="75"/>
      <c r="E401" s="75"/>
      <c r="F401" s="76"/>
      <c r="G401" s="47"/>
      <c r="H401" s="47"/>
      <c r="I401" s="75"/>
      <c r="J401" s="76"/>
      <c r="K401" s="76"/>
      <c r="L401" s="75"/>
      <c r="M401" s="49"/>
      <c r="N401" s="76"/>
      <c r="O401" s="49"/>
      <c r="P401" s="77"/>
      <c r="Q401" s="53"/>
      <c r="R401" s="54"/>
      <c r="S401" s="55"/>
      <c r="T401" s="56"/>
      <c r="U401" s="56"/>
      <c r="V401" s="42"/>
      <c r="W401" s="57"/>
      <c r="X401" s="58"/>
      <c r="Y401" s="75"/>
      <c r="Z401" s="59"/>
      <c r="AA401" s="61"/>
      <c r="AB401" s="61"/>
      <c r="AC401" s="61"/>
      <c r="AD401" s="62"/>
      <c r="AE401" s="62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D401" s="34"/>
      <c r="BE401" s="34"/>
      <c r="BF401" s="34"/>
      <c r="BG401" s="34"/>
      <c r="BH401" s="34"/>
      <c r="BI401" s="34"/>
      <c r="BJ401" s="34"/>
      <c r="BK401" s="34"/>
      <c r="BL401" s="34"/>
      <c r="BM401" s="34"/>
      <c r="BN401" s="34"/>
      <c r="BO401" s="34"/>
      <c r="BP401" s="34"/>
      <c r="BQ401" s="34"/>
      <c r="BR401" s="34"/>
      <c r="BS401" s="34"/>
      <c r="BT401" s="34"/>
      <c r="BU401" s="34"/>
      <c r="BV401" s="34"/>
      <c r="BW401" s="34"/>
      <c r="BX401" s="34"/>
      <c r="BY401" s="34"/>
    </row>
    <row r="402" spans="1:77" x14ac:dyDescent="0.3">
      <c r="A402" s="39"/>
      <c r="B402" s="42"/>
      <c r="C402" s="42"/>
      <c r="D402" s="75"/>
      <c r="E402" s="75"/>
      <c r="F402" s="76"/>
      <c r="G402" s="47"/>
      <c r="H402" s="47"/>
      <c r="I402" s="75"/>
      <c r="J402" s="76"/>
      <c r="K402" s="76"/>
      <c r="L402" s="75"/>
      <c r="M402" s="49"/>
      <c r="N402" s="76"/>
      <c r="O402" s="49"/>
      <c r="P402" s="77"/>
      <c r="Q402" s="53"/>
      <c r="R402" s="54"/>
      <c r="S402" s="55"/>
      <c r="T402" s="56"/>
      <c r="U402" s="56"/>
      <c r="V402" s="42"/>
      <c r="W402" s="57"/>
      <c r="X402" s="58"/>
      <c r="Y402" s="75"/>
      <c r="Z402" s="59"/>
      <c r="AA402" s="61"/>
      <c r="AB402" s="61"/>
      <c r="AC402" s="61"/>
      <c r="AD402" s="62"/>
      <c r="AE402" s="62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D402" s="34"/>
      <c r="BE402" s="34"/>
      <c r="BF402" s="34"/>
      <c r="BG402" s="34"/>
      <c r="BH402" s="34"/>
      <c r="BI402" s="34"/>
      <c r="BJ402" s="34"/>
      <c r="BK402" s="34"/>
      <c r="BL402" s="34"/>
      <c r="BM402" s="34"/>
      <c r="BN402" s="34"/>
      <c r="BO402" s="34"/>
      <c r="BP402" s="34"/>
      <c r="BQ402" s="34"/>
      <c r="BR402" s="34"/>
      <c r="BS402" s="34"/>
      <c r="BT402" s="34"/>
      <c r="BU402" s="34"/>
      <c r="BV402" s="34"/>
      <c r="BW402" s="34"/>
      <c r="BX402" s="34"/>
      <c r="BY402" s="34"/>
    </row>
    <row r="403" spans="1:77" x14ac:dyDescent="0.3">
      <c r="A403" s="39"/>
      <c r="B403" s="42"/>
      <c r="C403" s="42"/>
      <c r="D403" s="75"/>
      <c r="E403" s="75"/>
      <c r="F403" s="76"/>
      <c r="G403" s="47"/>
      <c r="H403" s="47"/>
      <c r="I403" s="75"/>
      <c r="J403" s="76"/>
      <c r="K403" s="76"/>
      <c r="L403" s="75"/>
      <c r="M403" s="49"/>
      <c r="N403" s="76"/>
      <c r="O403" s="49"/>
      <c r="P403" s="77"/>
      <c r="Q403" s="53"/>
      <c r="R403" s="54"/>
      <c r="S403" s="55"/>
      <c r="T403" s="56"/>
      <c r="U403" s="56"/>
      <c r="V403" s="42"/>
      <c r="W403" s="57"/>
      <c r="X403" s="58"/>
      <c r="Y403" s="75"/>
      <c r="Z403" s="59"/>
      <c r="AA403" s="61"/>
      <c r="AB403" s="61"/>
      <c r="AC403" s="61"/>
      <c r="AD403" s="62"/>
      <c r="AE403" s="62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/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</row>
    <row r="404" spans="1:77" x14ac:dyDescent="0.3">
      <c r="A404" s="39"/>
      <c r="B404" s="42"/>
      <c r="C404" s="42"/>
      <c r="D404" s="75"/>
      <c r="E404" s="75"/>
      <c r="F404" s="76"/>
      <c r="G404" s="47"/>
      <c r="H404" s="47"/>
      <c r="I404" s="75"/>
      <c r="J404" s="76"/>
      <c r="K404" s="76"/>
      <c r="L404" s="75"/>
      <c r="M404" s="49"/>
      <c r="N404" s="76"/>
      <c r="O404" s="49"/>
      <c r="P404" s="77"/>
      <c r="Q404" s="53"/>
      <c r="R404" s="54"/>
      <c r="S404" s="55"/>
      <c r="T404" s="56"/>
      <c r="U404" s="56"/>
      <c r="V404" s="42"/>
      <c r="W404" s="57"/>
      <c r="X404" s="58"/>
      <c r="Y404" s="75"/>
      <c r="Z404" s="59"/>
      <c r="AA404" s="61"/>
      <c r="AB404" s="61"/>
      <c r="AC404" s="61"/>
      <c r="AD404" s="62"/>
      <c r="AE404" s="62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D404" s="34"/>
      <c r="BE404" s="34"/>
      <c r="BF404" s="34"/>
      <c r="BG404" s="34"/>
      <c r="BH404" s="34"/>
      <c r="BI404" s="34"/>
      <c r="BJ404" s="34"/>
      <c r="BK404" s="34"/>
      <c r="BL404" s="34"/>
      <c r="BM404" s="34"/>
      <c r="BN404" s="34"/>
      <c r="BO404" s="34"/>
      <c r="BP404" s="34"/>
      <c r="BQ404" s="34"/>
      <c r="BR404" s="34"/>
      <c r="BS404" s="34"/>
      <c r="BT404" s="34"/>
      <c r="BU404" s="34"/>
      <c r="BV404" s="34"/>
      <c r="BW404" s="34"/>
      <c r="BX404" s="34"/>
      <c r="BY404" s="34"/>
    </row>
    <row r="405" spans="1:77" x14ac:dyDescent="0.3">
      <c r="A405" s="39"/>
      <c r="B405" s="42"/>
      <c r="C405" s="42"/>
      <c r="D405" s="75"/>
      <c r="E405" s="75"/>
      <c r="F405" s="76"/>
      <c r="G405" s="47"/>
      <c r="H405" s="47"/>
      <c r="I405" s="75"/>
      <c r="J405" s="76"/>
      <c r="K405" s="76"/>
      <c r="L405" s="75"/>
      <c r="M405" s="49"/>
      <c r="N405" s="76"/>
      <c r="O405" s="49"/>
      <c r="P405" s="77"/>
      <c r="Q405" s="53"/>
      <c r="R405" s="54"/>
      <c r="S405" s="55"/>
      <c r="T405" s="56"/>
      <c r="U405" s="56"/>
      <c r="V405" s="42"/>
      <c r="W405" s="57"/>
      <c r="X405" s="58"/>
      <c r="Y405" s="75"/>
      <c r="Z405" s="59"/>
      <c r="AA405" s="61"/>
      <c r="AB405" s="61"/>
      <c r="AC405" s="61"/>
      <c r="AD405" s="62"/>
      <c r="AE405" s="62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D405" s="34"/>
      <c r="BE405" s="34"/>
      <c r="BF405" s="34"/>
      <c r="BG405" s="34"/>
      <c r="BH405" s="34"/>
      <c r="BI405" s="34"/>
      <c r="BJ405" s="34"/>
      <c r="BK405" s="34"/>
      <c r="BL405" s="34"/>
      <c r="BM405" s="34"/>
      <c r="BN405" s="34"/>
      <c r="BO405" s="34"/>
      <c r="BP405" s="34"/>
      <c r="BQ405" s="34"/>
      <c r="BR405" s="34"/>
      <c r="BS405" s="34"/>
      <c r="BT405" s="34"/>
      <c r="BU405" s="34"/>
      <c r="BV405" s="34"/>
      <c r="BW405" s="34"/>
      <c r="BX405" s="34"/>
      <c r="BY405" s="34"/>
    </row>
    <row r="406" spans="1:77" x14ac:dyDescent="0.3">
      <c r="A406" s="39"/>
      <c r="B406" s="42"/>
      <c r="C406" s="42"/>
      <c r="D406" s="75"/>
      <c r="E406" s="75"/>
      <c r="F406" s="76"/>
      <c r="G406" s="47"/>
      <c r="H406" s="47"/>
      <c r="I406" s="75"/>
      <c r="J406" s="76"/>
      <c r="K406" s="76"/>
      <c r="L406" s="75"/>
      <c r="M406" s="49"/>
      <c r="N406" s="76"/>
      <c r="O406" s="49"/>
      <c r="P406" s="77"/>
      <c r="Q406" s="53"/>
      <c r="R406" s="54"/>
      <c r="S406" s="55"/>
      <c r="T406" s="56"/>
      <c r="U406" s="56"/>
      <c r="V406" s="42"/>
      <c r="W406" s="57"/>
      <c r="X406" s="58"/>
      <c r="Y406" s="75"/>
      <c r="Z406" s="59"/>
      <c r="AA406" s="61"/>
      <c r="AB406" s="61"/>
      <c r="AC406" s="61"/>
      <c r="AD406" s="62"/>
      <c r="AE406" s="62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/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</row>
    <row r="407" spans="1:77" x14ac:dyDescent="0.3">
      <c r="A407" s="39"/>
      <c r="B407" s="42"/>
      <c r="C407" s="42"/>
      <c r="D407" s="75"/>
      <c r="E407" s="75"/>
      <c r="F407" s="76"/>
      <c r="G407" s="47"/>
      <c r="H407" s="47"/>
      <c r="I407" s="75"/>
      <c r="J407" s="76"/>
      <c r="K407" s="76"/>
      <c r="L407" s="75"/>
      <c r="M407" s="49"/>
      <c r="N407" s="76"/>
      <c r="O407" s="49"/>
      <c r="P407" s="77"/>
      <c r="Q407" s="53"/>
      <c r="R407" s="54"/>
      <c r="S407" s="55"/>
      <c r="T407" s="56"/>
      <c r="U407" s="56"/>
      <c r="V407" s="42"/>
      <c r="W407" s="57"/>
      <c r="X407" s="58"/>
      <c r="Y407" s="75"/>
      <c r="Z407" s="59"/>
      <c r="AA407" s="61"/>
      <c r="AB407" s="61"/>
      <c r="AC407" s="61"/>
      <c r="AD407" s="62"/>
      <c r="AE407" s="62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D407" s="34"/>
      <c r="BE407" s="34"/>
      <c r="BF407" s="34"/>
      <c r="BG407" s="34"/>
      <c r="BH407" s="34"/>
      <c r="BI407" s="34"/>
      <c r="BJ407" s="34"/>
      <c r="BK407" s="34"/>
      <c r="BL407" s="34"/>
      <c r="BM407" s="34"/>
      <c r="BN407" s="34"/>
      <c r="BO407" s="34"/>
      <c r="BP407" s="34"/>
      <c r="BQ407" s="34"/>
      <c r="BR407" s="34"/>
      <c r="BS407" s="34"/>
      <c r="BT407" s="34"/>
      <c r="BU407" s="34"/>
      <c r="BV407" s="34"/>
      <c r="BW407" s="34"/>
      <c r="BX407" s="34"/>
      <c r="BY407" s="34"/>
    </row>
    <row r="408" spans="1:77" x14ac:dyDescent="0.3">
      <c r="A408" s="39"/>
      <c r="B408" s="42"/>
      <c r="C408" s="42"/>
      <c r="D408" s="75"/>
      <c r="E408" s="75"/>
      <c r="F408" s="76"/>
      <c r="G408" s="47"/>
      <c r="H408" s="47"/>
      <c r="I408" s="75"/>
      <c r="J408" s="76"/>
      <c r="K408" s="76"/>
      <c r="L408" s="75"/>
      <c r="M408" s="49"/>
      <c r="N408" s="76"/>
      <c r="O408" s="49"/>
      <c r="P408" s="77"/>
      <c r="Q408" s="53"/>
      <c r="R408" s="54"/>
      <c r="S408" s="55"/>
      <c r="T408" s="56"/>
      <c r="U408" s="56"/>
      <c r="V408" s="42"/>
      <c r="W408" s="57"/>
      <c r="X408" s="58"/>
      <c r="Y408" s="75"/>
      <c r="Z408" s="59"/>
      <c r="AA408" s="61"/>
      <c r="AB408" s="61"/>
      <c r="AC408" s="61"/>
      <c r="AD408" s="62"/>
      <c r="AE408" s="62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D408" s="34"/>
      <c r="BE408" s="34"/>
      <c r="BF408" s="34"/>
      <c r="BG408" s="34"/>
      <c r="BH408" s="34"/>
      <c r="BI408" s="34"/>
      <c r="BJ408" s="34"/>
      <c r="BK408" s="34"/>
      <c r="BL408" s="34"/>
      <c r="BM408" s="34"/>
      <c r="BN408" s="34"/>
      <c r="BO408" s="34"/>
      <c r="BP408" s="34"/>
      <c r="BQ408" s="34"/>
      <c r="BR408" s="34"/>
      <c r="BS408" s="34"/>
      <c r="BT408" s="34"/>
      <c r="BU408" s="34"/>
      <c r="BV408" s="34"/>
      <c r="BW408" s="34"/>
      <c r="BX408" s="34"/>
      <c r="BY408" s="34"/>
    </row>
    <row r="409" spans="1:77" x14ac:dyDescent="0.3">
      <c r="A409" s="39"/>
      <c r="B409" s="42"/>
      <c r="C409" s="42"/>
      <c r="D409" s="75"/>
      <c r="E409" s="75"/>
      <c r="F409" s="76"/>
      <c r="G409" s="47"/>
      <c r="H409" s="47"/>
      <c r="I409" s="75"/>
      <c r="J409" s="76"/>
      <c r="K409" s="76"/>
      <c r="L409" s="75"/>
      <c r="M409" s="49"/>
      <c r="N409" s="76"/>
      <c r="O409" s="49"/>
      <c r="P409" s="77"/>
      <c r="Q409" s="53"/>
      <c r="R409" s="54"/>
      <c r="S409" s="55"/>
      <c r="T409" s="56"/>
      <c r="U409" s="56"/>
      <c r="V409" s="42"/>
      <c r="W409" s="57"/>
      <c r="X409" s="58"/>
      <c r="Y409" s="75"/>
      <c r="Z409" s="59"/>
      <c r="AA409" s="61"/>
      <c r="AB409" s="61"/>
      <c r="AC409" s="61"/>
      <c r="AD409" s="62"/>
      <c r="AE409" s="62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D409" s="34"/>
      <c r="BE409" s="34"/>
      <c r="BF409" s="34"/>
      <c r="BG409" s="34"/>
      <c r="BH409" s="34"/>
      <c r="BI409" s="34"/>
      <c r="BJ409" s="34"/>
      <c r="BK409" s="34"/>
      <c r="BL409" s="34"/>
      <c r="BM409" s="34"/>
      <c r="BN409" s="34"/>
      <c r="BO409" s="34"/>
      <c r="BP409" s="34"/>
      <c r="BQ409" s="34"/>
      <c r="BR409" s="34"/>
      <c r="BS409" s="34"/>
      <c r="BT409" s="34"/>
      <c r="BU409" s="34"/>
      <c r="BV409" s="34"/>
      <c r="BW409" s="34"/>
      <c r="BX409" s="34"/>
      <c r="BY409" s="34"/>
    </row>
    <row r="410" spans="1:77" x14ac:dyDescent="0.3">
      <c r="A410" s="39"/>
      <c r="B410" s="42"/>
      <c r="C410" s="42"/>
      <c r="D410" s="75"/>
      <c r="E410" s="75"/>
      <c r="F410" s="76"/>
      <c r="G410" s="47"/>
      <c r="H410" s="47"/>
      <c r="I410" s="75"/>
      <c r="J410" s="76"/>
      <c r="K410" s="76"/>
      <c r="L410" s="75"/>
      <c r="M410" s="49"/>
      <c r="N410" s="76"/>
      <c r="O410" s="49"/>
      <c r="P410" s="77"/>
      <c r="Q410" s="53"/>
      <c r="R410" s="54"/>
      <c r="S410" s="55"/>
      <c r="T410" s="56"/>
      <c r="U410" s="56"/>
      <c r="V410" s="42"/>
      <c r="W410" s="57"/>
      <c r="X410" s="58"/>
      <c r="Y410" s="75"/>
      <c r="Z410" s="59"/>
      <c r="AA410" s="61"/>
      <c r="AB410" s="61"/>
      <c r="AC410" s="61"/>
      <c r="AD410" s="62"/>
      <c r="AE410" s="62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D410" s="34"/>
      <c r="BE410" s="34"/>
      <c r="BF410" s="34"/>
      <c r="BG410" s="34"/>
      <c r="BH410" s="34"/>
      <c r="BI410" s="34"/>
      <c r="BJ410" s="34"/>
      <c r="BK410" s="34"/>
      <c r="BL410" s="34"/>
      <c r="BM410" s="34"/>
      <c r="BN410" s="34"/>
      <c r="BO410" s="34"/>
      <c r="BP410" s="34"/>
      <c r="BQ410" s="34"/>
      <c r="BR410" s="34"/>
      <c r="BS410" s="34"/>
      <c r="BT410" s="34"/>
      <c r="BU410" s="34"/>
      <c r="BV410" s="34"/>
      <c r="BW410" s="34"/>
      <c r="BX410" s="34"/>
      <c r="BY410" s="34"/>
    </row>
    <row r="411" spans="1:77" x14ac:dyDescent="0.3">
      <c r="A411" s="39"/>
      <c r="B411" s="42"/>
      <c r="C411" s="42"/>
      <c r="D411" s="75"/>
      <c r="E411" s="75"/>
      <c r="F411" s="76"/>
      <c r="G411" s="47"/>
      <c r="H411" s="47"/>
      <c r="I411" s="75"/>
      <c r="J411" s="76"/>
      <c r="K411" s="76"/>
      <c r="L411" s="75"/>
      <c r="M411" s="49"/>
      <c r="N411" s="76"/>
      <c r="O411" s="49"/>
      <c r="P411" s="77"/>
      <c r="Q411" s="53"/>
      <c r="R411" s="54"/>
      <c r="S411" s="55"/>
      <c r="T411" s="56"/>
      <c r="U411" s="56"/>
      <c r="V411" s="42"/>
      <c r="W411" s="57"/>
      <c r="X411" s="58"/>
      <c r="Y411" s="75"/>
      <c r="Z411" s="59"/>
      <c r="AA411" s="61"/>
      <c r="AB411" s="61"/>
      <c r="AC411" s="61"/>
      <c r="AD411" s="62"/>
      <c r="AE411" s="62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D411" s="34"/>
      <c r="BE411" s="34"/>
      <c r="BF411" s="34"/>
      <c r="BG411" s="34"/>
      <c r="BH411" s="34"/>
      <c r="BI411" s="34"/>
      <c r="BJ411" s="34"/>
      <c r="BK411" s="34"/>
      <c r="BL411" s="34"/>
      <c r="BM411" s="34"/>
      <c r="BN411" s="34"/>
      <c r="BO411" s="34"/>
      <c r="BP411" s="34"/>
      <c r="BQ411" s="34"/>
      <c r="BR411" s="34"/>
      <c r="BS411" s="34"/>
      <c r="BT411" s="34"/>
      <c r="BU411" s="34"/>
      <c r="BV411" s="34"/>
      <c r="BW411" s="34"/>
      <c r="BX411" s="34"/>
      <c r="BY411" s="34"/>
    </row>
    <row r="412" spans="1:77" x14ac:dyDescent="0.3">
      <c r="A412" s="39"/>
      <c r="B412" s="42"/>
      <c r="C412" s="42"/>
      <c r="D412" s="75"/>
      <c r="E412" s="75"/>
      <c r="F412" s="76"/>
      <c r="G412" s="47"/>
      <c r="H412" s="47"/>
      <c r="I412" s="75"/>
      <c r="J412" s="76"/>
      <c r="K412" s="76"/>
      <c r="L412" s="75"/>
      <c r="M412" s="49"/>
      <c r="N412" s="76"/>
      <c r="O412" s="49"/>
      <c r="P412" s="77"/>
      <c r="Q412" s="53"/>
      <c r="R412" s="54"/>
      <c r="S412" s="55"/>
      <c r="T412" s="56"/>
      <c r="U412" s="56"/>
      <c r="V412" s="42"/>
      <c r="W412" s="57"/>
      <c r="X412" s="58"/>
      <c r="Y412" s="75"/>
      <c r="Z412" s="59"/>
      <c r="AA412" s="61"/>
      <c r="AB412" s="61"/>
      <c r="AC412" s="61"/>
      <c r="AD412" s="62"/>
      <c r="AE412" s="62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D412" s="34"/>
      <c r="BE412" s="34"/>
      <c r="BF412" s="34"/>
      <c r="BG412" s="34"/>
      <c r="BH412" s="34"/>
      <c r="BI412" s="34"/>
      <c r="BJ412" s="34"/>
      <c r="BK412" s="34"/>
      <c r="BL412" s="34"/>
      <c r="BM412" s="34"/>
      <c r="BN412" s="34"/>
      <c r="BO412" s="34"/>
      <c r="BP412" s="34"/>
      <c r="BQ412" s="34"/>
      <c r="BR412" s="34"/>
      <c r="BS412" s="34"/>
      <c r="BT412" s="34"/>
      <c r="BU412" s="34"/>
      <c r="BV412" s="34"/>
      <c r="BW412" s="34"/>
      <c r="BX412" s="34"/>
      <c r="BY412" s="34"/>
    </row>
    <row r="413" spans="1:77" x14ac:dyDescent="0.3">
      <c r="A413" s="39"/>
      <c r="B413" s="42"/>
      <c r="C413" s="42"/>
      <c r="D413" s="75"/>
      <c r="E413" s="75"/>
      <c r="F413" s="76"/>
      <c r="G413" s="47"/>
      <c r="H413" s="47"/>
      <c r="I413" s="75"/>
      <c r="J413" s="76"/>
      <c r="K413" s="76"/>
      <c r="L413" s="75"/>
      <c r="M413" s="49"/>
      <c r="N413" s="76"/>
      <c r="O413" s="49"/>
      <c r="P413" s="77"/>
      <c r="Q413" s="53"/>
      <c r="R413" s="54"/>
      <c r="S413" s="55"/>
      <c r="T413" s="56"/>
      <c r="U413" s="56"/>
      <c r="V413" s="42"/>
      <c r="W413" s="57"/>
      <c r="X413" s="58"/>
      <c r="Y413" s="75"/>
      <c r="Z413" s="59"/>
      <c r="AA413" s="61"/>
      <c r="AB413" s="61"/>
      <c r="AC413" s="61"/>
      <c r="AD413" s="62"/>
      <c r="AE413" s="62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D413" s="34"/>
      <c r="BE413" s="34"/>
      <c r="BF413" s="34"/>
      <c r="BG413" s="34"/>
      <c r="BH413" s="34"/>
      <c r="BI413" s="34"/>
      <c r="BJ413" s="34"/>
      <c r="BK413" s="34"/>
      <c r="BL413" s="34"/>
      <c r="BM413" s="34"/>
      <c r="BN413" s="34"/>
      <c r="BO413" s="34"/>
      <c r="BP413" s="34"/>
      <c r="BQ413" s="34"/>
      <c r="BR413" s="34"/>
      <c r="BS413" s="34"/>
      <c r="BT413" s="34"/>
      <c r="BU413" s="34"/>
      <c r="BV413" s="34"/>
      <c r="BW413" s="34"/>
      <c r="BX413" s="34"/>
      <c r="BY413" s="34"/>
    </row>
    <row r="414" spans="1:77" x14ac:dyDescent="0.3">
      <c r="A414" s="39"/>
      <c r="B414" s="42"/>
      <c r="C414" s="42"/>
      <c r="D414" s="75"/>
      <c r="E414" s="75"/>
      <c r="F414" s="76"/>
      <c r="G414" s="47"/>
      <c r="H414" s="47"/>
      <c r="I414" s="75"/>
      <c r="J414" s="76"/>
      <c r="K414" s="76"/>
      <c r="L414" s="75"/>
      <c r="M414" s="49"/>
      <c r="N414" s="76"/>
      <c r="O414" s="49"/>
      <c r="P414" s="77"/>
      <c r="Q414" s="53"/>
      <c r="R414" s="54"/>
      <c r="S414" s="55"/>
      <c r="T414" s="56"/>
      <c r="U414" s="56"/>
      <c r="V414" s="42"/>
      <c r="W414" s="57"/>
      <c r="X414" s="58"/>
      <c r="Y414" s="75"/>
      <c r="Z414" s="59"/>
      <c r="AA414" s="61"/>
      <c r="AB414" s="61"/>
      <c r="AC414" s="61"/>
      <c r="AD414" s="62"/>
      <c r="AE414" s="62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D414" s="34"/>
      <c r="BE414" s="34"/>
      <c r="BF414" s="34"/>
      <c r="BG414" s="34"/>
      <c r="BH414" s="34"/>
      <c r="BI414" s="34"/>
      <c r="BJ414" s="34"/>
      <c r="BK414" s="34"/>
      <c r="BL414" s="34"/>
      <c r="BM414" s="34"/>
      <c r="BN414" s="34"/>
      <c r="BO414" s="34"/>
      <c r="BP414" s="34"/>
      <c r="BQ414" s="34"/>
      <c r="BR414" s="34"/>
      <c r="BS414" s="34"/>
      <c r="BT414" s="34"/>
      <c r="BU414" s="34"/>
      <c r="BV414" s="34"/>
      <c r="BW414" s="34"/>
      <c r="BX414" s="34"/>
      <c r="BY414" s="34"/>
    </row>
    <row r="415" spans="1:77" x14ac:dyDescent="0.3">
      <c r="A415" s="39"/>
      <c r="B415" s="42"/>
      <c r="C415" s="42"/>
      <c r="D415" s="75"/>
      <c r="E415" s="75"/>
      <c r="F415" s="76"/>
      <c r="G415" s="47"/>
      <c r="H415" s="47"/>
      <c r="I415" s="75"/>
      <c r="J415" s="76"/>
      <c r="K415" s="76"/>
      <c r="L415" s="75"/>
      <c r="M415" s="49"/>
      <c r="N415" s="76"/>
      <c r="O415" s="49"/>
      <c r="P415" s="77"/>
      <c r="Q415" s="53"/>
      <c r="R415" s="54"/>
      <c r="S415" s="55"/>
      <c r="T415" s="56"/>
      <c r="U415" s="56"/>
      <c r="V415" s="42"/>
      <c r="W415" s="57"/>
      <c r="X415" s="58"/>
      <c r="Y415" s="75"/>
      <c r="Z415" s="59"/>
      <c r="AA415" s="61"/>
      <c r="AB415" s="61"/>
      <c r="AC415" s="61"/>
      <c r="AD415" s="62"/>
      <c r="AE415" s="62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D415" s="34"/>
      <c r="BE415" s="34"/>
      <c r="BF415" s="34"/>
      <c r="BG415" s="34"/>
      <c r="BH415" s="34"/>
      <c r="BI415" s="34"/>
      <c r="BJ415" s="34"/>
      <c r="BK415" s="34"/>
      <c r="BL415" s="34"/>
      <c r="BM415" s="34"/>
      <c r="BN415" s="34"/>
      <c r="BO415" s="34"/>
      <c r="BP415" s="34"/>
      <c r="BQ415" s="34"/>
      <c r="BR415" s="34"/>
      <c r="BS415" s="34"/>
      <c r="BT415" s="34"/>
      <c r="BU415" s="34"/>
      <c r="BV415" s="34"/>
      <c r="BW415" s="34"/>
      <c r="BX415" s="34"/>
      <c r="BY415" s="34"/>
    </row>
    <row r="416" spans="1:77" x14ac:dyDescent="0.3">
      <c r="A416" s="39"/>
      <c r="B416" s="42"/>
      <c r="C416" s="42"/>
      <c r="D416" s="75"/>
      <c r="E416" s="75"/>
      <c r="F416" s="76"/>
      <c r="G416" s="47"/>
      <c r="H416" s="47"/>
      <c r="I416" s="75"/>
      <c r="J416" s="76"/>
      <c r="K416" s="76"/>
      <c r="L416" s="75"/>
      <c r="M416" s="49"/>
      <c r="N416" s="76"/>
      <c r="O416" s="49"/>
      <c r="P416" s="77"/>
      <c r="Q416" s="53"/>
      <c r="R416" s="54"/>
      <c r="S416" s="55"/>
      <c r="T416" s="56"/>
      <c r="U416" s="56"/>
      <c r="V416" s="42"/>
      <c r="W416" s="57"/>
      <c r="X416" s="58"/>
      <c r="Y416" s="75"/>
      <c r="Z416" s="59"/>
      <c r="AA416" s="61"/>
      <c r="AB416" s="61"/>
      <c r="AC416" s="61"/>
      <c r="AD416" s="62"/>
      <c r="AE416" s="62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D416" s="34"/>
      <c r="BE416" s="34"/>
      <c r="BF416" s="34"/>
      <c r="BG416" s="34"/>
      <c r="BH416" s="34"/>
      <c r="BI416" s="34"/>
      <c r="BJ416" s="34"/>
      <c r="BK416" s="34"/>
      <c r="BL416" s="34"/>
      <c r="BM416" s="34"/>
      <c r="BN416" s="34"/>
      <c r="BO416" s="34"/>
      <c r="BP416" s="34"/>
      <c r="BQ416" s="34"/>
      <c r="BR416" s="34"/>
      <c r="BS416" s="34"/>
      <c r="BT416" s="34"/>
      <c r="BU416" s="34"/>
      <c r="BV416" s="34"/>
      <c r="BW416" s="34"/>
      <c r="BX416" s="34"/>
      <c r="BY416" s="34"/>
    </row>
    <row r="417" spans="1:77" x14ac:dyDescent="0.3">
      <c r="A417" s="39"/>
      <c r="B417" s="42"/>
      <c r="C417" s="42"/>
      <c r="D417" s="75"/>
      <c r="E417" s="75"/>
      <c r="F417" s="76"/>
      <c r="G417" s="47"/>
      <c r="H417" s="47"/>
      <c r="I417" s="75"/>
      <c r="J417" s="76"/>
      <c r="K417" s="76"/>
      <c r="L417" s="75"/>
      <c r="M417" s="49"/>
      <c r="N417" s="76"/>
      <c r="O417" s="49"/>
      <c r="P417" s="77"/>
      <c r="Q417" s="53"/>
      <c r="R417" s="54"/>
      <c r="S417" s="55"/>
      <c r="T417" s="56"/>
      <c r="U417" s="56"/>
      <c r="V417" s="42"/>
      <c r="W417" s="57"/>
      <c r="X417" s="58"/>
      <c r="Y417" s="75"/>
      <c r="Z417" s="59"/>
      <c r="AA417" s="61"/>
      <c r="AB417" s="61"/>
      <c r="AC417" s="61"/>
      <c r="AD417" s="62"/>
      <c r="AE417" s="62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D417" s="34"/>
      <c r="BE417" s="34"/>
      <c r="BF417" s="34"/>
      <c r="BG417" s="34"/>
      <c r="BH417" s="34"/>
      <c r="BI417" s="34"/>
      <c r="BJ417" s="34"/>
      <c r="BK417" s="34"/>
      <c r="BL417" s="34"/>
      <c r="BM417" s="34"/>
      <c r="BN417" s="34"/>
      <c r="BO417" s="34"/>
      <c r="BP417" s="34"/>
      <c r="BQ417" s="34"/>
      <c r="BR417" s="34"/>
      <c r="BS417" s="34"/>
      <c r="BT417" s="34"/>
      <c r="BU417" s="34"/>
      <c r="BV417" s="34"/>
      <c r="BW417" s="34"/>
      <c r="BX417" s="34"/>
      <c r="BY417" s="34"/>
    </row>
    <row r="418" spans="1:77" x14ac:dyDescent="0.3">
      <c r="A418" s="39"/>
      <c r="B418" s="42"/>
      <c r="C418" s="42"/>
      <c r="D418" s="75"/>
      <c r="E418" s="75"/>
      <c r="F418" s="76"/>
      <c r="G418" s="47"/>
      <c r="H418" s="47"/>
      <c r="I418" s="75"/>
      <c r="J418" s="76"/>
      <c r="K418" s="76"/>
      <c r="L418" s="75"/>
      <c r="M418" s="49"/>
      <c r="N418" s="76"/>
      <c r="O418" s="49"/>
      <c r="P418" s="77"/>
      <c r="Q418" s="53"/>
      <c r="R418" s="54"/>
      <c r="S418" s="55"/>
      <c r="T418" s="56"/>
      <c r="U418" s="56"/>
      <c r="V418" s="42"/>
      <c r="W418" s="57"/>
      <c r="X418" s="58"/>
      <c r="Y418" s="75"/>
      <c r="Z418" s="59"/>
      <c r="AA418" s="61"/>
      <c r="AB418" s="61"/>
      <c r="AC418" s="61"/>
      <c r="AD418" s="62"/>
      <c r="AE418" s="62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D418" s="34"/>
      <c r="BE418" s="34"/>
      <c r="BF418" s="34"/>
      <c r="BG418" s="34"/>
      <c r="BH418" s="34"/>
      <c r="BI418" s="34"/>
      <c r="BJ418" s="34"/>
      <c r="BK418" s="34"/>
      <c r="BL418" s="34"/>
      <c r="BM418" s="34"/>
      <c r="BN418" s="34"/>
      <c r="BO418" s="34"/>
      <c r="BP418" s="34"/>
      <c r="BQ418" s="34"/>
      <c r="BR418" s="34"/>
      <c r="BS418" s="34"/>
      <c r="BT418" s="34"/>
      <c r="BU418" s="34"/>
      <c r="BV418" s="34"/>
      <c r="BW418" s="34"/>
      <c r="BX418" s="34"/>
      <c r="BY418" s="34"/>
    </row>
    <row r="419" spans="1:77" x14ac:dyDescent="0.3">
      <c r="A419" s="39"/>
      <c r="B419" s="42"/>
      <c r="C419" s="42"/>
      <c r="D419" s="75"/>
      <c r="E419" s="75"/>
      <c r="F419" s="76"/>
      <c r="G419" s="47"/>
      <c r="H419" s="47"/>
      <c r="I419" s="75"/>
      <c r="J419" s="76"/>
      <c r="K419" s="76"/>
      <c r="L419" s="75"/>
      <c r="M419" s="49"/>
      <c r="N419" s="76"/>
      <c r="O419" s="49"/>
      <c r="P419" s="77"/>
      <c r="Q419" s="53"/>
      <c r="R419" s="54"/>
      <c r="S419" s="55"/>
      <c r="T419" s="56"/>
      <c r="U419" s="56"/>
      <c r="V419" s="42"/>
      <c r="W419" s="57"/>
      <c r="X419" s="58"/>
      <c r="Y419" s="75"/>
      <c r="Z419" s="59"/>
      <c r="AA419" s="61"/>
      <c r="AB419" s="61"/>
      <c r="AC419" s="61"/>
      <c r="AD419" s="62"/>
      <c r="AE419" s="62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D419" s="34"/>
      <c r="BE419" s="34"/>
      <c r="BF419" s="34"/>
      <c r="BG419" s="34"/>
      <c r="BH419" s="34"/>
      <c r="BI419" s="34"/>
      <c r="BJ419" s="34"/>
      <c r="BK419" s="34"/>
      <c r="BL419" s="34"/>
      <c r="BM419" s="34"/>
      <c r="BN419" s="34"/>
      <c r="BO419" s="34"/>
      <c r="BP419" s="34"/>
      <c r="BQ419" s="34"/>
      <c r="BR419" s="34"/>
      <c r="BS419" s="34"/>
      <c r="BT419" s="34"/>
      <c r="BU419" s="34"/>
      <c r="BV419" s="34"/>
      <c r="BW419" s="34"/>
      <c r="BX419" s="34"/>
      <c r="BY419" s="34"/>
    </row>
    <row r="420" spans="1:77" x14ac:dyDescent="0.3">
      <c r="A420" s="39"/>
      <c r="B420" s="42"/>
      <c r="C420" s="42"/>
      <c r="D420" s="75"/>
      <c r="E420" s="75"/>
      <c r="F420" s="76"/>
      <c r="G420" s="47"/>
      <c r="H420" s="47"/>
      <c r="I420" s="75"/>
      <c r="J420" s="76"/>
      <c r="K420" s="76"/>
      <c r="L420" s="75"/>
      <c r="M420" s="49"/>
      <c r="N420" s="76"/>
      <c r="O420" s="49"/>
      <c r="P420" s="77"/>
      <c r="Q420" s="53"/>
      <c r="R420" s="54"/>
      <c r="S420" s="55"/>
      <c r="T420" s="56"/>
      <c r="U420" s="56"/>
      <c r="V420" s="42"/>
      <c r="W420" s="57"/>
      <c r="X420" s="58"/>
      <c r="Y420" s="75"/>
      <c r="Z420" s="59"/>
      <c r="AA420" s="61"/>
      <c r="AB420" s="61"/>
      <c r="AC420" s="61"/>
      <c r="AD420" s="62"/>
      <c r="AE420" s="62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D420" s="34"/>
      <c r="BE420" s="34"/>
      <c r="BF420" s="34"/>
      <c r="BG420" s="34"/>
      <c r="BH420" s="34"/>
      <c r="BI420" s="34"/>
      <c r="BJ420" s="34"/>
      <c r="BK420" s="34"/>
      <c r="BL420" s="34"/>
      <c r="BM420" s="34"/>
      <c r="BN420" s="34"/>
      <c r="BO420" s="34"/>
      <c r="BP420" s="34"/>
      <c r="BQ420" s="34"/>
      <c r="BR420" s="34"/>
      <c r="BS420" s="34"/>
      <c r="BT420" s="34"/>
      <c r="BU420" s="34"/>
      <c r="BV420" s="34"/>
      <c r="BW420" s="34"/>
      <c r="BX420" s="34"/>
      <c r="BY420" s="34"/>
    </row>
    <row r="421" spans="1:77" x14ac:dyDescent="0.3">
      <c r="A421" s="39"/>
      <c r="B421" s="42"/>
      <c r="C421" s="42"/>
      <c r="D421" s="75"/>
      <c r="E421" s="75"/>
      <c r="F421" s="76"/>
      <c r="G421" s="47"/>
      <c r="H421" s="47"/>
      <c r="I421" s="75"/>
      <c r="J421" s="76"/>
      <c r="K421" s="76"/>
      <c r="L421" s="75"/>
      <c r="M421" s="49"/>
      <c r="N421" s="76"/>
      <c r="O421" s="49"/>
      <c r="P421" s="77"/>
      <c r="Q421" s="53"/>
      <c r="R421" s="54"/>
      <c r="S421" s="55"/>
      <c r="T421" s="56"/>
      <c r="U421" s="56"/>
      <c r="V421" s="42"/>
      <c r="W421" s="57"/>
      <c r="X421" s="58"/>
      <c r="Y421" s="75"/>
      <c r="Z421" s="59"/>
      <c r="AA421" s="61"/>
      <c r="AB421" s="61"/>
      <c r="AC421" s="61"/>
      <c r="AD421" s="62"/>
      <c r="AE421" s="62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D421" s="34"/>
      <c r="BE421" s="34"/>
      <c r="BF421" s="34"/>
      <c r="BG421" s="34"/>
      <c r="BH421" s="34"/>
      <c r="BI421" s="34"/>
      <c r="BJ421" s="34"/>
      <c r="BK421" s="34"/>
      <c r="BL421" s="34"/>
      <c r="BM421" s="34"/>
      <c r="BN421" s="34"/>
      <c r="BO421" s="34"/>
      <c r="BP421" s="34"/>
      <c r="BQ421" s="34"/>
      <c r="BR421" s="34"/>
      <c r="BS421" s="34"/>
      <c r="BT421" s="34"/>
      <c r="BU421" s="34"/>
      <c r="BV421" s="34"/>
      <c r="BW421" s="34"/>
      <c r="BX421" s="34"/>
      <c r="BY421" s="34"/>
    </row>
    <row r="422" spans="1:77" x14ac:dyDescent="0.3">
      <c r="A422" s="39"/>
      <c r="B422" s="42"/>
      <c r="C422" s="42"/>
      <c r="D422" s="75"/>
      <c r="E422" s="75"/>
      <c r="F422" s="76"/>
      <c r="G422" s="47"/>
      <c r="H422" s="47"/>
      <c r="I422" s="75"/>
      <c r="J422" s="76"/>
      <c r="K422" s="76"/>
      <c r="L422" s="75"/>
      <c r="M422" s="49"/>
      <c r="N422" s="76"/>
      <c r="O422" s="49"/>
      <c r="P422" s="77"/>
      <c r="Q422" s="53"/>
      <c r="R422" s="54"/>
      <c r="S422" s="55"/>
      <c r="T422" s="56"/>
      <c r="U422" s="56"/>
      <c r="V422" s="42"/>
      <c r="W422" s="57"/>
      <c r="X422" s="58"/>
      <c r="Y422" s="75"/>
      <c r="Z422" s="59"/>
      <c r="AA422" s="61"/>
      <c r="AB422" s="61"/>
      <c r="AC422" s="61"/>
      <c r="AD422" s="62"/>
      <c r="AE422" s="62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D422" s="34"/>
      <c r="BE422" s="34"/>
      <c r="BF422" s="34"/>
      <c r="BG422" s="34"/>
      <c r="BH422" s="34"/>
      <c r="BI422" s="34"/>
      <c r="BJ422" s="34"/>
      <c r="BK422" s="34"/>
      <c r="BL422" s="34"/>
      <c r="BM422" s="34"/>
      <c r="BN422" s="34"/>
      <c r="BO422" s="34"/>
      <c r="BP422" s="34"/>
      <c r="BQ422" s="34"/>
      <c r="BR422" s="34"/>
      <c r="BS422" s="34"/>
      <c r="BT422" s="34"/>
      <c r="BU422" s="34"/>
      <c r="BV422" s="34"/>
      <c r="BW422" s="34"/>
      <c r="BX422" s="34"/>
      <c r="BY422" s="34"/>
    </row>
    <row r="423" spans="1:77" x14ac:dyDescent="0.3">
      <c r="A423" s="39"/>
      <c r="B423" s="42"/>
      <c r="C423" s="42"/>
      <c r="D423" s="75"/>
      <c r="E423" s="75"/>
      <c r="F423" s="76"/>
      <c r="G423" s="47"/>
      <c r="H423" s="47"/>
      <c r="I423" s="75"/>
      <c r="J423" s="76"/>
      <c r="K423" s="76"/>
      <c r="L423" s="75"/>
      <c r="M423" s="49"/>
      <c r="N423" s="76"/>
      <c r="O423" s="49"/>
      <c r="P423" s="77"/>
      <c r="Q423" s="53"/>
      <c r="R423" s="54"/>
      <c r="S423" s="55"/>
      <c r="T423" s="56"/>
      <c r="U423" s="56"/>
      <c r="V423" s="42"/>
      <c r="W423" s="57"/>
      <c r="X423" s="58"/>
      <c r="Y423" s="75"/>
      <c r="Z423" s="59"/>
      <c r="AA423" s="61"/>
      <c r="AB423" s="61"/>
      <c r="AC423" s="61"/>
      <c r="AD423" s="62"/>
      <c r="AE423" s="62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/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</row>
    <row r="424" spans="1:77" x14ac:dyDescent="0.3">
      <c r="A424" s="39"/>
      <c r="B424" s="42"/>
      <c r="C424" s="42"/>
      <c r="D424" s="75"/>
      <c r="E424" s="75"/>
      <c r="F424" s="76"/>
      <c r="G424" s="47"/>
      <c r="H424" s="47"/>
      <c r="I424" s="75"/>
      <c r="J424" s="76"/>
      <c r="K424" s="76"/>
      <c r="L424" s="75"/>
      <c r="M424" s="49"/>
      <c r="N424" s="76"/>
      <c r="O424" s="49"/>
      <c r="P424" s="77"/>
      <c r="Q424" s="53"/>
      <c r="R424" s="54"/>
      <c r="S424" s="55"/>
      <c r="T424" s="56"/>
      <c r="U424" s="56"/>
      <c r="V424" s="42"/>
      <c r="W424" s="57"/>
      <c r="X424" s="58"/>
      <c r="Y424" s="75"/>
      <c r="Z424" s="59"/>
      <c r="AA424" s="61"/>
      <c r="AB424" s="61"/>
      <c r="AC424" s="61"/>
      <c r="AD424" s="62"/>
      <c r="AE424" s="62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/>
      <c r="BP424" s="34"/>
      <c r="BQ424" s="34"/>
      <c r="BR424" s="34"/>
      <c r="BS424" s="34"/>
      <c r="BT424" s="34"/>
      <c r="BU424" s="34"/>
      <c r="BV424" s="34"/>
      <c r="BW424" s="34"/>
      <c r="BX424" s="34"/>
      <c r="BY424" s="34"/>
    </row>
    <row r="425" spans="1:77" x14ac:dyDescent="0.3">
      <c r="A425" s="39"/>
      <c r="B425" s="42"/>
      <c r="C425" s="42"/>
      <c r="D425" s="75"/>
      <c r="E425" s="75"/>
      <c r="F425" s="76"/>
      <c r="G425" s="47"/>
      <c r="H425" s="47"/>
      <c r="I425" s="75"/>
      <c r="J425" s="76"/>
      <c r="K425" s="76"/>
      <c r="L425" s="75"/>
      <c r="M425" s="49"/>
      <c r="N425" s="76"/>
      <c r="O425" s="49"/>
      <c r="P425" s="77"/>
      <c r="Q425" s="53"/>
      <c r="R425" s="54"/>
      <c r="S425" s="55"/>
      <c r="T425" s="56"/>
      <c r="U425" s="56"/>
      <c r="V425" s="42"/>
      <c r="W425" s="57"/>
      <c r="X425" s="58"/>
      <c r="Y425" s="75"/>
      <c r="Z425" s="59"/>
      <c r="AA425" s="61"/>
      <c r="AB425" s="61"/>
      <c r="AC425" s="61"/>
      <c r="AD425" s="62"/>
      <c r="AE425" s="62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/>
      <c r="BB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/>
      <c r="BP425" s="34"/>
      <c r="BQ425" s="34"/>
      <c r="BR425" s="34"/>
      <c r="BS425" s="34"/>
      <c r="BT425" s="34"/>
      <c r="BU425" s="34"/>
      <c r="BV425" s="34"/>
      <c r="BW425" s="34"/>
      <c r="BX425" s="34"/>
      <c r="BY425" s="34"/>
    </row>
    <row r="426" spans="1:77" x14ac:dyDescent="0.3">
      <c r="A426" s="39"/>
      <c r="B426" s="42"/>
      <c r="C426" s="42"/>
      <c r="D426" s="75"/>
      <c r="E426" s="75"/>
      <c r="F426" s="76"/>
      <c r="G426" s="47"/>
      <c r="H426" s="47"/>
      <c r="I426" s="75"/>
      <c r="J426" s="76"/>
      <c r="K426" s="76"/>
      <c r="L426" s="75"/>
      <c r="M426" s="49"/>
      <c r="N426" s="76"/>
      <c r="O426" s="49"/>
      <c r="P426" s="77"/>
      <c r="Q426" s="53"/>
      <c r="R426" s="54"/>
      <c r="S426" s="55"/>
      <c r="T426" s="56"/>
      <c r="U426" s="56"/>
      <c r="V426" s="42"/>
      <c r="W426" s="57"/>
      <c r="X426" s="58"/>
      <c r="Y426" s="75"/>
      <c r="Z426" s="59"/>
      <c r="AA426" s="61"/>
      <c r="AB426" s="61"/>
      <c r="AC426" s="61"/>
      <c r="AD426" s="62"/>
      <c r="AE426" s="62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/>
      <c r="BB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/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</row>
    <row r="427" spans="1:77" x14ac:dyDescent="0.3">
      <c r="A427" s="39"/>
      <c r="B427" s="42"/>
      <c r="C427" s="42"/>
      <c r="D427" s="75"/>
      <c r="E427" s="75"/>
      <c r="F427" s="76"/>
      <c r="G427" s="47"/>
      <c r="H427" s="47"/>
      <c r="I427" s="75"/>
      <c r="J427" s="76"/>
      <c r="K427" s="76"/>
      <c r="L427" s="75"/>
      <c r="M427" s="49"/>
      <c r="N427" s="76"/>
      <c r="O427" s="49"/>
      <c r="P427" s="77"/>
      <c r="Q427" s="53"/>
      <c r="R427" s="54"/>
      <c r="S427" s="55"/>
      <c r="T427" s="56"/>
      <c r="U427" s="56"/>
      <c r="V427" s="42"/>
      <c r="W427" s="57"/>
      <c r="X427" s="58"/>
      <c r="Y427" s="75"/>
      <c r="Z427" s="59"/>
      <c r="AA427" s="61"/>
      <c r="AB427" s="61"/>
      <c r="AC427" s="61"/>
      <c r="AD427" s="62"/>
      <c r="AE427" s="62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/>
      <c r="BB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/>
      <c r="BP427" s="34"/>
      <c r="BQ427" s="34"/>
      <c r="BR427" s="34"/>
      <c r="BS427" s="34"/>
      <c r="BT427" s="34"/>
      <c r="BU427" s="34"/>
      <c r="BV427" s="34"/>
      <c r="BW427" s="34"/>
      <c r="BX427" s="34"/>
      <c r="BY427" s="34"/>
    </row>
    <row r="428" spans="1:77" x14ac:dyDescent="0.3">
      <c r="A428" s="39"/>
      <c r="B428" s="42"/>
      <c r="C428" s="42"/>
      <c r="D428" s="75"/>
      <c r="E428" s="75"/>
      <c r="F428" s="76"/>
      <c r="G428" s="47"/>
      <c r="H428" s="47"/>
      <c r="I428" s="75"/>
      <c r="J428" s="76"/>
      <c r="K428" s="76"/>
      <c r="L428" s="75"/>
      <c r="M428" s="49"/>
      <c r="N428" s="76"/>
      <c r="O428" s="49"/>
      <c r="P428" s="77"/>
      <c r="Q428" s="53"/>
      <c r="R428" s="54"/>
      <c r="S428" s="55"/>
      <c r="T428" s="56"/>
      <c r="U428" s="56"/>
      <c r="V428" s="42"/>
      <c r="W428" s="57"/>
      <c r="X428" s="58"/>
      <c r="Y428" s="75"/>
      <c r="Z428" s="59"/>
      <c r="AA428" s="61"/>
      <c r="AB428" s="61"/>
      <c r="AC428" s="61"/>
      <c r="AD428" s="62"/>
      <c r="AE428" s="62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34"/>
      <c r="BA428" s="34"/>
      <c r="BB428" s="34"/>
      <c r="BD428" s="34"/>
      <c r="BE428" s="34"/>
      <c r="BF428" s="34"/>
      <c r="BG428" s="34"/>
      <c r="BH428" s="34"/>
      <c r="BI428" s="34"/>
      <c r="BJ428" s="34"/>
      <c r="BK428" s="34"/>
      <c r="BL428" s="34"/>
      <c r="BM428" s="34"/>
      <c r="BN428" s="34"/>
      <c r="BO428" s="34"/>
      <c r="BP428" s="34"/>
      <c r="BQ428" s="34"/>
      <c r="BR428" s="34"/>
      <c r="BS428" s="34"/>
      <c r="BT428" s="34"/>
      <c r="BU428" s="34"/>
      <c r="BV428" s="34"/>
      <c r="BW428" s="34"/>
      <c r="BX428" s="34"/>
      <c r="BY428" s="34"/>
    </row>
    <row r="429" spans="1:77" x14ac:dyDescent="0.3">
      <c r="A429" s="39"/>
      <c r="B429" s="42"/>
      <c r="C429" s="42"/>
      <c r="D429" s="75"/>
      <c r="E429" s="75"/>
      <c r="F429" s="76"/>
      <c r="G429" s="47"/>
      <c r="H429" s="47"/>
      <c r="I429" s="75"/>
      <c r="J429" s="76"/>
      <c r="K429" s="76"/>
      <c r="L429" s="75"/>
      <c r="M429" s="49"/>
      <c r="N429" s="76"/>
      <c r="O429" s="49"/>
      <c r="P429" s="77"/>
      <c r="Q429" s="53"/>
      <c r="R429" s="54"/>
      <c r="S429" s="55"/>
      <c r="T429" s="56"/>
      <c r="U429" s="56"/>
      <c r="V429" s="42"/>
      <c r="W429" s="57"/>
      <c r="X429" s="58"/>
      <c r="Y429" s="75"/>
      <c r="Z429" s="59"/>
      <c r="AA429" s="61"/>
      <c r="AB429" s="61"/>
      <c r="AC429" s="61"/>
      <c r="AD429" s="62"/>
      <c r="AE429" s="62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34"/>
      <c r="BA429" s="34"/>
      <c r="BB429" s="34"/>
      <c r="BD429" s="34"/>
      <c r="BE429" s="34"/>
      <c r="BF429" s="34"/>
      <c r="BG429" s="34"/>
      <c r="BH429" s="34"/>
      <c r="BI429" s="34"/>
      <c r="BJ429" s="34"/>
      <c r="BK429" s="34"/>
      <c r="BL429" s="34"/>
      <c r="BM429" s="34"/>
      <c r="BN429" s="34"/>
      <c r="BO429" s="34"/>
      <c r="BP429" s="34"/>
      <c r="BQ429" s="34"/>
      <c r="BR429" s="34"/>
      <c r="BS429" s="34"/>
      <c r="BT429" s="34"/>
      <c r="BU429" s="34"/>
      <c r="BV429" s="34"/>
      <c r="BW429" s="34"/>
      <c r="BX429" s="34"/>
      <c r="BY429" s="34"/>
    </row>
    <row r="430" spans="1:77" x14ac:dyDescent="0.3">
      <c r="A430" s="39"/>
      <c r="B430" s="42"/>
      <c r="C430" s="42"/>
      <c r="D430" s="75"/>
      <c r="E430" s="75"/>
      <c r="F430" s="76"/>
      <c r="G430" s="47"/>
      <c r="H430" s="47"/>
      <c r="I430" s="75"/>
      <c r="J430" s="76"/>
      <c r="K430" s="76"/>
      <c r="L430" s="75"/>
      <c r="M430" s="49"/>
      <c r="N430" s="76"/>
      <c r="O430" s="49"/>
      <c r="P430" s="77"/>
      <c r="Q430" s="53"/>
      <c r="R430" s="54"/>
      <c r="S430" s="55"/>
      <c r="T430" s="56"/>
      <c r="U430" s="56"/>
      <c r="V430" s="42"/>
      <c r="W430" s="57"/>
      <c r="X430" s="58"/>
      <c r="Y430" s="75"/>
      <c r="Z430" s="59"/>
      <c r="AA430" s="61"/>
      <c r="AB430" s="61"/>
      <c r="AC430" s="61"/>
      <c r="AD430" s="62"/>
      <c r="AE430" s="62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  <c r="AZ430" s="34"/>
      <c r="BA430" s="34"/>
      <c r="BB430" s="34"/>
      <c r="BD430" s="34"/>
      <c r="BE430" s="34"/>
      <c r="BF430" s="34"/>
      <c r="BG430" s="34"/>
      <c r="BH430" s="34"/>
      <c r="BI430" s="34"/>
      <c r="BJ430" s="34"/>
      <c r="BK430" s="34"/>
      <c r="BL430" s="34"/>
      <c r="BM430" s="34"/>
      <c r="BN430" s="34"/>
      <c r="BO430" s="34"/>
      <c r="BP430" s="34"/>
      <c r="BQ430" s="34"/>
      <c r="BR430" s="34"/>
      <c r="BS430" s="34"/>
      <c r="BT430" s="34"/>
      <c r="BU430" s="34"/>
      <c r="BV430" s="34"/>
      <c r="BW430" s="34"/>
      <c r="BX430" s="34"/>
      <c r="BY430" s="34"/>
    </row>
    <row r="431" spans="1:77" x14ac:dyDescent="0.3">
      <c r="A431" s="39"/>
      <c r="B431" s="42"/>
      <c r="C431" s="42"/>
      <c r="D431" s="75"/>
      <c r="E431" s="75"/>
      <c r="F431" s="76"/>
      <c r="G431" s="47"/>
      <c r="H431" s="47"/>
      <c r="I431" s="75"/>
      <c r="J431" s="76"/>
      <c r="K431" s="76"/>
      <c r="L431" s="75"/>
      <c r="M431" s="49"/>
      <c r="N431" s="76"/>
      <c r="O431" s="49"/>
      <c r="P431" s="77"/>
      <c r="Q431" s="53"/>
      <c r="R431" s="54"/>
      <c r="S431" s="55"/>
      <c r="T431" s="56"/>
      <c r="U431" s="56"/>
      <c r="V431" s="42"/>
      <c r="W431" s="57"/>
      <c r="X431" s="58"/>
      <c r="Y431" s="75"/>
      <c r="Z431" s="59"/>
      <c r="AA431" s="61"/>
      <c r="AB431" s="61"/>
      <c r="AC431" s="61"/>
      <c r="AD431" s="62"/>
      <c r="AE431" s="62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34"/>
      <c r="BA431" s="34"/>
      <c r="BB431" s="34"/>
      <c r="BD431" s="34"/>
      <c r="BE431" s="34"/>
      <c r="BF431" s="34"/>
      <c r="BG431" s="34"/>
      <c r="BH431" s="34"/>
      <c r="BI431" s="34"/>
      <c r="BJ431" s="34"/>
      <c r="BK431" s="34"/>
      <c r="BL431" s="34"/>
      <c r="BM431" s="34"/>
      <c r="BN431" s="34"/>
      <c r="BO431" s="34"/>
      <c r="BP431" s="34"/>
      <c r="BQ431" s="34"/>
      <c r="BR431" s="34"/>
      <c r="BS431" s="34"/>
      <c r="BT431" s="34"/>
      <c r="BU431" s="34"/>
      <c r="BV431" s="34"/>
      <c r="BW431" s="34"/>
      <c r="BX431" s="34"/>
      <c r="BY431" s="34"/>
    </row>
    <row r="432" spans="1:77" x14ac:dyDescent="0.3">
      <c r="A432" s="39"/>
      <c r="B432" s="42"/>
      <c r="C432" s="42"/>
      <c r="D432" s="75"/>
      <c r="E432" s="75"/>
      <c r="F432" s="76"/>
      <c r="G432" s="47"/>
      <c r="H432" s="47"/>
      <c r="I432" s="75"/>
      <c r="J432" s="76"/>
      <c r="K432" s="76"/>
      <c r="L432" s="75"/>
      <c r="M432" s="49"/>
      <c r="N432" s="76"/>
      <c r="O432" s="49"/>
      <c r="P432" s="77"/>
      <c r="Q432" s="53"/>
      <c r="R432" s="54"/>
      <c r="S432" s="55"/>
      <c r="T432" s="56"/>
      <c r="U432" s="56"/>
      <c r="V432" s="42"/>
      <c r="W432" s="57"/>
      <c r="X432" s="58"/>
      <c r="Y432" s="75"/>
      <c r="Z432" s="59"/>
      <c r="AA432" s="61"/>
      <c r="AB432" s="61"/>
      <c r="AC432" s="61"/>
      <c r="AD432" s="62"/>
      <c r="AE432" s="62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/>
      <c r="BB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4"/>
      <c r="BP432" s="34"/>
      <c r="BQ432" s="34"/>
      <c r="BR432" s="34"/>
      <c r="BS432" s="34"/>
      <c r="BT432" s="34"/>
      <c r="BU432" s="34"/>
      <c r="BV432" s="34"/>
      <c r="BW432" s="34"/>
      <c r="BX432" s="34"/>
      <c r="BY432" s="34"/>
    </row>
    <row r="433" spans="1:77" x14ac:dyDescent="0.3">
      <c r="A433" s="39"/>
      <c r="B433" s="42"/>
      <c r="C433" s="42"/>
      <c r="D433" s="75"/>
      <c r="E433" s="75"/>
      <c r="F433" s="76"/>
      <c r="G433" s="47"/>
      <c r="H433" s="47"/>
      <c r="I433" s="75"/>
      <c r="J433" s="76"/>
      <c r="K433" s="76"/>
      <c r="L433" s="75"/>
      <c r="M433" s="49"/>
      <c r="N433" s="76"/>
      <c r="O433" s="49"/>
      <c r="P433" s="77"/>
      <c r="Q433" s="53"/>
      <c r="R433" s="54"/>
      <c r="S433" s="55"/>
      <c r="T433" s="56"/>
      <c r="U433" s="56"/>
      <c r="V433" s="42"/>
      <c r="W433" s="57"/>
      <c r="X433" s="58"/>
      <c r="Y433" s="75"/>
      <c r="Z433" s="59"/>
      <c r="AA433" s="61"/>
      <c r="AB433" s="61"/>
      <c r="AC433" s="61"/>
      <c r="AD433" s="62"/>
      <c r="AE433" s="62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  <c r="AZ433" s="34"/>
      <c r="BA433" s="34"/>
      <c r="BB433" s="34"/>
      <c r="BD433" s="34"/>
      <c r="BE433" s="34"/>
      <c r="BF433" s="34"/>
      <c r="BG433" s="34"/>
      <c r="BH433" s="34"/>
      <c r="BI433" s="34"/>
      <c r="BJ433" s="34"/>
      <c r="BK433" s="34"/>
      <c r="BL433" s="34"/>
      <c r="BM433" s="34"/>
      <c r="BN433" s="34"/>
      <c r="BO433" s="34"/>
      <c r="BP433" s="34"/>
      <c r="BQ433" s="34"/>
      <c r="BR433" s="34"/>
      <c r="BS433" s="34"/>
      <c r="BT433" s="34"/>
      <c r="BU433" s="34"/>
      <c r="BV433" s="34"/>
      <c r="BW433" s="34"/>
      <c r="BX433" s="34"/>
      <c r="BY433" s="34"/>
    </row>
    <row r="434" spans="1:77" x14ac:dyDescent="0.3">
      <c r="A434" s="39"/>
      <c r="B434" s="42"/>
      <c r="C434" s="42"/>
      <c r="D434" s="75"/>
      <c r="E434" s="75"/>
      <c r="F434" s="76"/>
      <c r="G434" s="47"/>
      <c r="H434" s="47"/>
      <c r="I434" s="75"/>
      <c r="J434" s="76"/>
      <c r="K434" s="76"/>
      <c r="L434" s="75"/>
      <c r="M434" s="49"/>
      <c r="N434" s="76"/>
      <c r="O434" s="49"/>
      <c r="P434" s="77"/>
      <c r="Q434" s="53"/>
      <c r="R434" s="54"/>
      <c r="S434" s="55"/>
      <c r="T434" s="56"/>
      <c r="U434" s="56"/>
      <c r="V434" s="42"/>
      <c r="W434" s="57"/>
      <c r="X434" s="58"/>
      <c r="Y434" s="75"/>
      <c r="Z434" s="59"/>
      <c r="AA434" s="61"/>
      <c r="AB434" s="61"/>
      <c r="AC434" s="61"/>
      <c r="AD434" s="62"/>
      <c r="AE434" s="62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  <c r="AZ434" s="34"/>
      <c r="BA434" s="34"/>
      <c r="BB434" s="34"/>
      <c r="BD434" s="34"/>
      <c r="BE434" s="34"/>
      <c r="BF434" s="34"/>
      <c r="BG434" s="34"/>
      <c r="BH434" s="34"/>
      <c r="BI434" s="34"/>
      <c r="BJ434" s="34"/>
      <c r="BK434" s="34"/>
      <c r="BL434" s="34"/>
      <c r="BM434" s="34"/>
      <c r="BN434" s="34"/>
      <c r="BO434" s="34"/>
      <c r="BP434" s="34"/>
      <c r="BQ434" s="34"/>
      <c r="BR434" s="34"/>
      <c r="BS434" s="34"/>
      <c r="BT434" s="34"/>
      <c r="BU434" s="34"/>
      <c r="BV434" s="34"/>
      <c r="BW434" s="34"/>
      <c r="BX434" s="34"/>
      <c r="BY434" s="34"/>
    </row>
    <row r="435" spans="1:77" x14ac:dyDescent="0.3">
      <c r="A435" s="39"/>
      <c r="B435" s="42"/>
      <c r="C435" s="42"/>
      <c r="D435" s="75"/>
      <c r="E435" s="75"/>
      <c r="F435" s="76"/>
      <c r="G435" s="47"/>
      <c r="H435" s="47"/>
      <c r="I435" s="75"/>
      <c r="J435" s="76"/>
      <c r="K435" s="76"/>
      <c r="L435" s="75"/>
      <c r="M435" s="49"/>
      <c r="N435" s="76"/>
      <c r="O435" s="49"/>
      <c r="P435" s="77"/>
      <c r="Q435" s="53"/>
      <c r="R435" s="54"/>
      <c r="S435" s="55"/>
      <c r="T435" s="56"/>
      <c r="U435" s="56"/>
      <c r="V435" s="42"/>
      <c r="W435" s="57"/>
      <c r="X435" s="58"/>
      <c r="Y435" s="75"/>
      <c r="Z435" s="59"/>
      <c r="AA435" s="61"/>
      <c r="AB435" s="61"/>
      <c r="AC435" s="61"/>
      <c r="AD435" s="62"/>
      <c r="AE435" s="62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  <c r="AZ435" s="34"/>
      <c r="BA435" s="34"/>
      <c r="BB435" s="34"/>
      <c r="BD435" s="34"/>
      <c r="BE435" s="34"/>
      <c r="BF435" s="34"/>
      <c r="BG435" s="34"/>
      <c r="BH435" s="34"/>
      <c r="BI435" s="34"/>
      <c r="BJ435" s="34"/>
      <c r="BK435" s="34"/>
      <c r="BL435" s="34"/>
      <c r="BM435" s="34"/>
      <c r="BN435" s="34"/>
      <c r="BO435" s="34"/>
      <c r="BP435" s="34"/>
      <c r="BQ435" s="34"/>
      <c r="BR435" s="34"/>
      <c r="BS435" s="34"/>
      <c r="BT435" s="34"/>
      <c r="BU435" s="34"/>
      <c r="BV435" s="34"/>
      <c r="BW435" s="34"/>
      <c r="BX435" s="34"/>
      <c r="BY435" s="34"/>
    </row>
    <row r="436" spans="1:77" x14ac:dyDescent="0.3">
      <c r="A436" s="39"/>
      <c r="B436" s="42"/>
      <c r="C436" s="42"/>
      <c r="D436" s="75"/>
      <c r="E436" s="75"/>
      <c r="F436" s="76"/>
      <c r="G436" s="47"/>
      <c r="H436" s="47"/>
      <c r="I436" s="75"/>
      <c r="J436" s="76"/>
      <c r="K436" s="76"/>
      <c r="L436" s="75"/>
      <c r="M436" s="49"/>
      <c r="N436" s="76"/>
      <c r="O436" s="49"/>
      <c r="P436" s="77"/>
      <c r="Q436" s="53"/>
      <c r="R436" s="54"/>
      <c r="S436" s="55"/>
      <c r="T436" s="56"/>
      <c r="U436" s="56"/>
      <c r="V436" s="42"/>
      <c r="W436" s="57"/>
      <c r="X436" s="58"/>
      <c r="Y436" s="75"/>
      <c r="Z436" s="59"/>
      <c r="AA436" s="61"/>
      <c r="AB436" s="61"/>
      <c r="AC436" s="61"/>
      <c r="AD436" s="62"/>
      <c r="AE436" s="62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  <c r="AZ436" s="34"/>
      <c r="BA436" s="34"/>
      <c r="BB436" s="34"/>
      <c r="BD436" s="34"/>
      <c r="BE436" s="34"/>
      <c r="BF436" s="34"/>
      <c r="BG436" s="34"/>
      <c r="BH436" s="34"/>
      <c r="BI436" s="34"/>
      <c r="BJ436" s="34"/>
      <c r="BK436" s="34"/>
      <c r="BL436" s="34"/>
      <c r="BM436" s="34"/>
      <c r="BN436" s="34"/>
      <c r="BO436" s="34"/>
      <c r="BP436" s="34"/>
      <c r="BQ436" s="34"/>
      <c r="BR436" s="34"/>
      <c r="BS436" s="34"/>
      <c r="BT436" s="34"/>
      <c r="BU436" s="34"/>
      <c r="BV436" s="34"/>
      <c r="BW436" s="34"/>
      <c r="BX436" s="34"/>
      <c r="BY436" s="34"/>
    </row>
    <row r="437" spans="1:77" x14ac:dyDescent="0.3">
      <c r="A437" s="39"/>
      <c r="B437" s="42"/>
      <c r="C437" s="42"/>
      <c r="D437" s="75"/>
      <c r="E437" s="75"/>
      <c r="F437" s="76"/>
      <c r="G437" s="47"/>
      <c r="H437" s="47"/>
      <c r="I437" s="75"/>
      <c r="J437" s="76"/>
      <c r="K437" s="76"/>
      <c r="L437" s="75"/>
      <c r="M437" s="49"/>
      <c r="N437" s="76"/>
      <c r="O437" s="49"/>
      <c r="P437" s="77"/>
      <c r="Q437" s="53"/>
      <c r="R437" s="54"/>
      <c r="S437" s="55"/>
      <c r="T437" s="56"/>
      <c r="U437" s="56"/>
      <c r="V437" s="42"/>
      <c r="W437" s="57"/>
      <c r="X437" s="58"/>
      <c r="Y437" s="75"/>
      <c r="Z437" s="59"/>
      <c r="AA437" s="61"/>
      <c r="AB437" s="61"/>
      <c r="AC437" s="61"/>
      <c r="AD437" s="62"/>
      <c r="AE437" s="62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34"/>
      <c r="BA437" s="34"/>
      <c r="BB437" s="34"/>
      <c r="BD437" s="34"/>
      <c r="BE437" s="34"/>
      <c r="BF437" s="34"/>
      <c r="BG437" s="34"/>
      <c r="BH437" s="34"/>
      <c r="BI437" s="34"/>
      <c r="BJ437" s="34"/>
      <c r="BK437" s="34"/>
      <c r="BL437" s="34"/>
      <c r="BM437" s="34"/>
      <c r="BN437" s="34"/>
      <c r="BO437" s="34"/>
      <c r="BP437" s="34"/>
      <c r="BQ437" s="34"/>
      <c r="BR437" s="34"/>
      <c r="BS437" s="34"/>
      <c r="BT437" s="34"/>
      <c r="BU437" s="34"/>
      <c r="BV437" s="34"/>
      <c r="BW437" s="34"/>
      <c r="BX437" s="34"/>
      <c r="BY437" s="34"/>
    </row>
    <row r="438" spans="1:77" x14ac:dyDescent="0.3">
      <c r="A438" s="39"/>
      <c r="B438" s="42"/>
      <c r="C438" s="42"/>
      <c r="D438" s="75"/>
      <c r="E438" s="75"/>
      <c r="F438" s="76"/>
      <c r="G438" s="47"/>
      <c r="H438" s="47"/>
      <c r="I438" s="75"/>
      <c r="J438" s="76"/>
      <c r="K438" s="76"/>
      <c r="L438" s="75"/>
      <c r="M438" s="49"/>
      <c r="N438" s="76"/>
      <c r="O438" s="49"/>
      <c r="P438" s="77"/>
      <c r="Q438" s="53"/>
      <c r="R438" s="54"/>
      <c r="S438" s="55"/>
      <c r="T438" s="56"/>
      <c r="U438" s="56"/>
      <c r="V438" s="42"/>
      <c r="W438" s="57"/>
      <c r="X438" s="58"/>
      <c r="Y438" s="75"/>
      <c r="Z438" s="59"/>
      <c r="AA438" s="61"/>
      <c r="AB438" s="61"/>
      <c r="AC438" s="61"/>
      <c r="AD438" s="62"/>
      <c r="AE438" s="62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34"/>
      <c r="BA438" s="34"/>
      <c r="BB438" s="34"/>
      <c r="BD438" s="34"/>
      <c r="BE438" s="34"/>
      <c r="BF438" s="34"/>
      <c r="BG438" s="34"/>
      <c r="BH438" s="34"/>
      <c r="BI438" s="34"/>
      <c r="BJ438" s="34"/>
      <c r="BK438" s="34"/>
      <c r="BL438" s="34"/>
      <c r="BM438" s="34"/>
      <c r="BN438" s="34"/>
      <c r="BO438" s="34"/>
      <c r="BP438" s="34"/>
      <c r="BQ438" s="34"/>
      <c r="BR438" s="34"/>
      <c r="BS438" s="34"/>
      <c r="BT438" s="34"/>
      <c r="BU438" s="34"/>
      <c r="BV438" s="34"/>
      <c r="BW438" s="34"/>
      <c r="BX438" s="34"/>
      <c r="BY438" s="34"/>
    </row>
    <row r="439" spans="1:77" x14ac:dyDescent="0.3">
      <c r="A439" s="39"/>
      <c r="B439" s="42"/>
      <c r="C439" s="42"/>
      <c r="D439" s="75"/>
      <c r="E439" s="75"/>
      <c r="F439" s="76"/>
      <c r="G439" s="47"/>
      <c r="H439" s="47"/>
      <c r="I439" s="75"/>
      <c r="J439" s="76"/>
      <c r="K439" s="76"/>
      <c r="L439" s="75"/>
      <c r="M439" s="49"/>
      <c r="N439" s="76"/>
      <c r="O439" s="49"/>
      <c r="P439" s="77"/>
      <c r="Q439" s="53"/>
      <c r="R439" s="54"/>
      <c r="S439" s="55"/>
      <c r="T439" s="56"/>
      <c r="U439" s="56"/>
      <c r="V439" s="42"/>
      <c r="W439" s="57"/>
      <c r="X439" s="58"/>
      <c r="Y439" s="75"/>
      <c r="Z439" s="59"/>
      <c r="AA439" s="61"/>
      <c r="AB439" s="61"/>
      <c r="AC439" s="61"/>
      <c r="AD439" s="62"/>
      <c r="AE439" s="62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34"/>
      <c r="BA439" s="34"/>
      <c r="BB439" s="34"/>
      <c r="BD439" s="34"/>
      <c r="BE439" s="34"/>
      <c r="BF439" s="34"/>
      <c r="BG439" s="34"/>
      <c r="BH439" s="34"/>
      <c r="BI439" s="34"/>
      <c r="BJ439" s="34"/>
      <c r="BK439" s="34"/>
      <c r="BL439" s="34"/>
      <c r="BM439" s="34"/>
      <c r="BN439" s="34"/>
      <c r="BO439" s="34"/>
      <c r="BP439" s="34"/>
      <c r="BQ439" s="34"/>
      <c r="BR439" s="34"/>
      <c r="BS439" s="34"/>
      <c r="BT439" s="34"/>
      <c r="BU439" s="34"/>
      <c r="BV439" s="34"/>
      <c r="BW439" s="34"/>
      <c r="BX439" s="34"/>
      <c r="BY439" s="34"/>
    </row>
    <row r="440" spans="1:77" x14ac:dyDescent="0.3">
      <c r="A440" s="39"/>
      <c r="B440" s="42"/>
      <c r="C440" s="42"/>
      <c r="D440" s="75"/>
      <c r="E440" s="75"/>
      <c r="F440" s="76"/>
      <c r="G440" s="47"/>
      <c r="H440" s="47"/>
      <c r="I440" s="75"/>
      <c r="J440" s="76"/>
      <c r="K440" s="76"/>
      <c r="L440" s="75"/>
      <c r="M440" s="49"/>
      <c r="N440" s="76"/>
      <c r="O440" s="49"/>
      <c r="P440" s="77"/>
      <c r="Q440" s="53"/>
      <c r="R440" s="54"/>
      <c r="S440" s="55"/>
      <c r="T440" s="56"/>
      <c r="U440" s="56"/>
      <c r="V440" s="42"/>
      <c r="W440" s="57"/>
      <c r="X440" s="58"/>
      <c r="Y440" s="75"/>
      <c r="Z440" s="59"/>
      <c r="AA440" s="61"/>
      <c r="AB440" s="61"/>
      <c r="AC440" s="61"/>
      <c r="AD440" s="62"/>
      <c r="AE440" s="62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  <c r="AZ440" s="34"/>
      <c r="BA440" s="34"/>
      <c r="BB440" s="34"/>
      <c r="BD440" s="34"/>
      <c r="BE440" s="34"/>
      <c r="BF440" s="34"/>
      <c r="BG440" s="34"/>
      <c r="BH440" s="34"/>
      <c r="BI440" s="34"/>
      <c r="BJ440" s="34"/>
      <c r="BK440" s="34"/>
      <c r="BL440" s="34"/>
      <c r="BM440" s="34"/>
      <c r="BN440" s="34"/>
      <c r="BO440" s="34"/>
      <c r="BP440" s="34"/>
      <c r="BQ440" s="34"/>
      <c r="BR440" s="34"/>
      <c r="BS440" s="34"/>
      <c r="BT440" s="34"/>
      <c r="BU440" s="34"/>
      <c r="BV440" s="34"/>
      <c r="BW440" s="34"/>
      <c r="BX440" s="34"/>
      <c r="BY440" s="34"/>
    </row>
    <row r="441" spans="1:77" x14ac:dyDescent="0.3">
      <c r="A441" s="39"/>
      <c r="B441" s="42"/>
      <c r="C441" s="42"/>
      <c r="D441" s="75"/>
      <c r="E441" s="75"/>
      <c r="F441" s="76"/>
      <c r="G441" s="47"/>
      <c r="H441" s="47"/>
      <c r="I441" s="75"/>
      <c r="J441" s="76"/>
      <c r="K441" s="76"/>
      <c r="L441" s="75"/>
      <c r="M441" s="49"/>
      <c r="N441" s="76"/>
      <c r="O441" s="49"/>
      <c r="P441" s="77"/>
      <c r="Q441" s="53"/>
      <c r="R441" s="54"/>
      <c r="S441" s="55"/>
      <c r="T441" s="56"/>
      <c r="U441" s="56"/>
      <c r="V441" s="42"/>
      <c r="W441" s="57"/>
      <c r="X441" s="58"/>
      <c r="Y441" s="75"/>
      <c r="Z441" s="59"/>
      <c r="AA441" s="61"/>
      <c r="AB441" s="61"/>
      <c r="AC441" s="61"/>
      <c r="AD441" s="62"/>
      <c r="AE441" s="62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/>
      <c r="BB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/>
      <c r="BP441" s="34"/>
      <c r="BQ441" s="34"/>
      <c r="BR441" s="34"/>
      <c r="BS441" s="34"/>
      <c r="BT441" s="34"/>
      <c r="BU441" s="34"/>
      <c r="BV441" s="34"/>
      <c r="BW441" s="34"/>
      <c r="BX441" s="34"/>
      <c r="BY441" s="34"/>
    </row>
    <row r="442" spans="1:77" x14ac:dyDescent="0.3">
      <c r="A442" s="39"/>
      <c r="B442" s="42"/>
      <c r="C442" s="42"/>
      <c r="D442" s="75"/>
      <c r="E442" s="75"/>
      <c r="F442" s="76"/>
      <c r="G442" s="47"/>
      <c r="H442" s="47"/>
      <c r="I442" s="75"/>
      <c r="J442" s="76"/>
      <c r="K442" s="76"/>
      <c r="L442" s="75"/>
      <c r="M442" s="49"/>
      <c r="N442" s="76"/>
      <c r="O442" s="49"/>
      <c r="P442" s="77"/>
      <c r="Q442" s="53"/>
      <c r="R442" s="54"/>
      <c r="S442" s="55"/>
      <c r="T442" s="56"/>
      <c r="U442" s="56"/>
      <c r="V442" s="42"/>
      <c r="W442" s="57"/>
      <c r="X442" s="58"/>
      <c r="Y442" s="75"/>
      <c r="Z442" s="59"/>
      <c r="AA442" s="61"/>
      <c r="AB442" s="61"/>
      <c r="AC442" s="61"/>
      <c r="AD442" s="62"/>
      <c r="AE442" s="62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  <c r="AZ442" s="34"/>
      <c r="BA442" s="34"/>
      <c r="BB442" s="34"/>
      <c r="BD442" s="34"/>
      <c r="BE442" s="34"/>
      <c r="BF442" s="34"/>
      <c r="BG442" s="34"/>
      <c r="BH442" s="34"/>
      <c r="BI442" s="34"/>
      <c r="BJ442" s="34"/>
      <c r="BK442" s="34"/>
      <c r="BL442" s="34"/>
      <c r="BM442" s="34"/>
      <c r="BN442" s="34"/>
      <c r="BO442" s="34"/>
      <c r="BP442" s="34"/>
      <c r="BQ442" s="34"/>
      <c r="BR442" s="34"/>
      <c r="BS442" s="34"/>
      <c r="BT442" s="34"/>
      <c r="BU442" s="34"/>
      <c r="BV442" s="34"/>
      <c r="BW442" s="34"/>
      <c r="BX442" s="34"/>
      <c r="BY442" s="34"/>
    </row>
    <row r="443" spans="1:77" x14ac:dyDescent="0.3">
      <c r="A443" s="39"/>
      <c r="B443" s="42"/>
      <c r="C443" s="42"/>
      <c r="D443" s="75"/>
      <c r="E443" s="75"/>
      <c r="F443" s="76"/>
      <c r="G443" s="47"/>
      <c r="H443" s="47"/>
      <c r="I443" s="75"/>
      <c r="J443" s="76"/>
      <c r="K443" s="76"/>
      <c r="L443" s="75"/>
      <c r="M443" s="49"/>
      <c r="N443" s="76"/>
      <c r="O443" s="49"/>
      <c r="P443" s="77"/>
      <c r="Q443" s="53"/>
      <c r="R443" s="54"/>
      <c r="S443" s="55"/>
      <c r="T443" s="56"/>
      <c r="U443" s="56"/>
      <c r="V443" s="42"/>
      <c r="W443" s="57"/>
      <c r="X443" s="58"/>
      <c r="Y443" s="75"/>
      <c r="Z443" s="59"/>
      <c r="AA443" s="61"/>
      <c r="AB443" s="61"/>
      <c r="AC443" s="61"/>
      <c r="AD443" s="62"/>
      <c r="AE443" s="62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  <c r="AZ443" s="34"/>
      <c r="BA443" s="34"/>
      <c r="BB443" s="34"/>
      <c r="BD443" s="34"/>
      <c r="BE443" s="34"/>
      <c r="BF443" s="34"/>
      <c r="BG443" s="34"/>
      <c r="BH443" s="34"/>
      <c r="BI443" s="34"/>
      <c r="BJ443" s="34"/>
      <c r="BK443" s="34"/>
      <c r="BL443" s="34"/>
      <c r="BM443" s="34"/>
      <c r="BN443" s="34"/>
      <c r="BO443" s="34"/>
      <c r="BP443" s="34"/>
      <c r="BQ443" s="34"/>
      <c r="BR443" s="34"/>
      <c r="BS443" s="34"/>
      <c r="BT443" s="34"/>
      <c r="BU443" s="34"/>
      <c r="BV443" s="34"/>
      <c r="BW443" s="34"/>
      <c r="BX443" s="34"/>
      <c r="BY443" s="34"/>
    </row>
    <row r="444" spans="1:77" x14ac:dyDescent="0.3">
      <c r="A444" s="39"/>
      <c r="B444" s="42"/>
      <c r="C444" s="42"/>
      <c r="D444" s="75"/>
      <c r="E444" s="75"/>
      <c r="F444" s="76"/>
      <c r="G444" s="47"/>
      <c r="H444" s="47"/>
      <c r="I444" s="75"/>
      <c r="J444" s="76"/>
      <c r="K444" s="76"/>
      <c r="L444" s="75"/>
      <c r="M444" s="49"/>
      <c r="N444" s="76"/>
      <c r="O444" s="49"/>
      <c r="P444" s="77"/>
      <c r="Q444" s="53"/>
      <c r="R444" s="54"/>
      <c r="S444" s="55"/>
      <c r="T444" s="56"/>
      <c r="U444" s="56"/>
      <c r="V444" s="42"/>
      <c r="W444" s="57"/>
      <c r="X444" s="58"/>
      <c r="Y444" s="75"/>
      <c r="Z444" s="59"/>
      <c r="AA444" s="61"/>
      <c r="AB444" s="61"/>
      <c r="AC444" s="61"/>
      <c r="AD444" s="62"/>
      <c r="AE444" s="62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/>
      <c r="BB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/>
      <c r="BP444" s="34"/>
      <c r="BQ444" s="34"/>
      <c r="BR444" s="34"/>
      <c r="BS444" s="34"/>
      <c r="BT444" s="34"/>
      <c r="BU444" s="34"/>
      <c r="BV444" s="34"/>
      <c r="BW444" s="34"/>
      <c r="BX444" s="34"/>
      <c r="BY444" s="34"/>
    </row>
    <row r="445" spans="1:77" x14ac:dyDescent="0.3">
      <c r="A445" s="39"/>
      <c r="B445" s="42"/>
      <c r="C445" s="42"/>
      <c r="D445" s="75"/>
      <c r="E445" s="75"/>
      <c r="F445" s="76"/>
      <c r="G445" s="47"/>
      <c r="H445" s="47"/>
      <c r="I445" s="75"/>
      <c r="J445" s="76"/>
      <c r="K445" s="76"/>
      <c r="L445" s="75"/>
      <c r="M445" s="49"/>
      <c r="N445" s="76"/>
      <c r="O445" s="49"/>
      <c r="P445" s="77"/>
      <c r="Q445" s="53"/>
      <c r="R445" s="54"/>
      <c r="S445" s="55"/>
      <c r="T445" s="56"/>
      <c r="U445" s="56"/>
      <c r="V445" s="42"/>
      <c r="W445" s="57"/>
      <c r="X445" s="58"/>
      <c r="Y445" s="75"/>
      <c r="Z445" s="59"/>
      <c r="AA445" s="61"/>
      <c r="AB445" s="61"/>
      <c r="AC445" s="61"/>
      <c r="AD445" s="62"/>
      <c r="AE445" s="62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34"/>
      <c r="BA445" s="34"/>
      <c r="BB445" s="34"/>
      <c r="BD445" s="34"/>
      <c r="BE445" s="34"/>
      <c r="BF445" s="34"/>
      <c r="BG445" s="34"/>
      <c r="BH445" s="34"/>
      <c r="BI445" s="34"/>
      <c r="BJ445" s="34"/>
      <c r="BK445" s="34"/>
      <c r="BL445" s="34"/>
      <c r="BM445" s="34"/>
      <c r="BN445" s="34"/>
      <c r="BO445" s="34"/>
      <c r="BP445" s="34"/>
      <c r="BQ445" s="34"/>
      <c r="BR445" s="34"/>
      <c r="BS445" s="34"/>
      <c r="BT445" s="34"/>
      <c r="BU445" s="34"/>
      <c r="BV445" s="34"/>
      <c r="BW445" s="34"/>
      <c r="BX445" s="34"/>
      <c r="BY445" s="34"/>
    </row>
    <row r="446" spans="1:77" x14ac:dyDescent="0.3">
      <c r="A446" s="39"/>
      <c r="B446" s="42"/>
      <c r="C446" s="42"/>
      <c r="D446" s="75"/>
      <c r="E446" s="75"/>
      <c r="F446" s="76"/>
      <c r="G446" s="47"/>
      <c r="H446" s="47"/>
      <c r="I446" s="75"/>
      <c r="J446" s="76"/>
      <c r="K446" s="76"/>
      <c r="L446" s="75"/>
      <c r="M446" s="49"/>
      <c r="N446" s="76"/>
      <c r="O446" s="49"/>
      <c r="P446" s="77"/>
      <c r="Q446" s="53"/>
      <c r="R446" s="54"/>
      <c r="S446" s="55"/>
      <c r="T446" s="56"/>
      <c r="U446" s="56"/>
      <c r="V446" s="42"/>
      <c r="W446" s="57"/>
      <c r="X446" s="58"/>
      <c r="Y446" s="75"/>
      <c r="Z446" s="59"/>
      <c r="AA446" s="61"/>
      <c r="AB446" s="61"/>
      <c r="AC446" s="61"/>
      <c r="AD446" s="62"/>
      <c r="AE446" s="62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  <c r="AZ446" s="34"/>
      <c r="BA446" s="34"/>
      <c r="BB446" s="34"/>
      <c r="BD446" s="34"/>
      <c r="BE446" s="34"/>
      <c r="BF446" s="34"/>
      <c r="BG446" s="34"/>
      <c r="BH446" s="34"/>
      <c r="BI446" s="34"/>
      <c r="BJ446" s="34"/>
      <c r="BK446" s="34"/>
      <c r="BL446" s="34"/>
      <c r="BM446" s="34"/>
      <c r="BN446" s="34"/>
      <c r="BO446" s="34"/>
      <c r="BP446" s="34"/>
      <c r="BQ446" s="34"/>
      <c r="BR446" s="34"/>
      <c r="BS446" s="34"/>
      <c r="BT446" s="34"/>
      <c r="BU446" s="34"/>
      <c r="BV446" s="34"/>
      <c r="BW446" s="34"/>
      <c r="BX446" s="34"/>
      <c r="BY446" s="34"/>
    </row>
    <row r="447" spans="1:77" x14ac:dyDescent="0.3">
      <c r="A447" s="39"/>
      <c r="B447" s="42"/>
      <c r="C447" s="42"/>
      <c r="D447" s="75"/>
      <c r="E447" s="75"/>
      <c r="F447" s="76"/>
      <c r="G447" s="47"/>
      <c r="H447" s="47"/>
      <c r="I447" s="75"/>
      <c r="J447" s="76"/>
      <c r="K447" s="76"/>
      <c r="L447" s="75"/>
      <c r="M447" s="49"/>
      <c r="N447" s="76"/>
      <c r="O447" s="49"/>
      <c r="P447" s="77"/>
      <c r="Q447" s="53"/>
      <c r="R447" s="54"/>
      <c r="S447" s="55"/>
      <c r="T447" s="56"/>
      <c r="U447" s="56"/>
      <c r="V447" s="42"/>
      <c r="W447" s="57"/>
      <c r="X447" s="58"/>
      <c r="Y447" s="75"/>
      <c r="Z447" s="59"/>
      <c r="AA447" s="61"/>
      <c r="AB447" s="61"/>
      <c r="AC447" s="61"/>
      <c r="AD447" s="62"/>
      <c r="AE447" s="62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  <c r="AZ447" s="34"/>
      <c r="BA447" s="34"/>
      <c r="BB447" s="34"/>
      <c r="BD447" s="34"/>
      <c r="BE447" s="34"/>
      <c r="BF447" s="34"/>
      <c r="BG447" s="34"/>
      <c r="BH447" s="34"/>
      <c r="BI447" s="34"/>
      <c r="BJ447" s="34"/>
      <c r="BK447" s="34"/>
      <c r="BL447" s="34"/>
      <c r="BM447" s="34"/>
      <c r="BN447" s="34"/>
      <c r="BO447" s="34"/>
      <c r="BP447" s="34"/>
      <c r="BQ447" s="34"/>
      <c r="BR447" s="34"/>
      <c r="BS447" s="34"/>
      <c r="BT447" s="34"/>
      <c r="BU447" s="34"/>
      <c r="BV447" s="34"/>
      <c r="BW447" s="34"/>
      <c r="BX447" s="34"/>
      <c r="BY447" s="34"/>
    </row>
    <row r="448" spans="1:77" x14ac:dyDescent="0.3">
      <c r="A448" s="39"/>
      <c r="B448" s="42"/>
      <c r="C448" s="42"/>
      <c r="D448" s="75"/>
      <c r="E448" s="75"/>
      <c r="F448" s="76"/>
      <c r="G448" s="47"/>
      <c r="H448" s="47"/>
      <c r="I448" s="75"/>
      <c r="J448" s="76"/>
      <c r="K448" s="76"/>
      <c r="L448" s="75"/>
      <c r="M448" s="49"/>
      <c r="N448" s="76"/>
      <c r="O448" s="49"/>
      <c r="P448" s="77"/>
      <c r="Q448" s="53"/>
      <c r="R448" s="54"/>
      <c r="S448" s="55"/>
      <c r="T448" s="56"/>
      <c r="U448" s="56"/>
      <c r="V448" s="42"/>
      <c r="W448" s="57"/>
      <c r="X448" s="58"/>
      <c r="Y448" s="75"/>
      <c r="Z448" s="59"/>
      <c r="AA448" s="61"/>
      <c r="AB448" s="61"/>
      <c r="AC448" s="61"/>
      <c r="AD448" s="62"/>
      <c r="AE448" s="62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34"/>
      <c r="BA448" s="34"/>
      <c r="BB448" s="34"/>
      <c r="BD448" s="34"/>
      <c r="BE448" s="34"/>
      <c r="BF448" s="34"/>
      <c r="BG448" s="34"/>
      <c r="BH448" s="34"/>
      <c r="BI448" s="34"/>
      <c r="BJ448" s="34"/>
      <c r="BK448" s="34"/>
      <c r="BL448" s="34"/>
      <c r="BM448" s="34"/>
      <c r="BN448" s="34"/>
      <c r="BO448" s="34"/>
      <c r="BP448" s="34"/>
      <c r="BQ448" s="34"/>
      <c r="BR448" s="34"/>
      <c r="BS448" s="34"/>
      <c r="BT448" s="34"/>
      <c r="BU448" s="34"/>
      <c r="BV448" s="34"/>
      <c r="BW448" s="34"/>
      <c r="BX448" s="34"/>
      <c r="BY448" s="34"/>
    </row>
    <row r="449" spans="1:77" x14ac:dyDescent="0.3">
      <c r="A449" s="39"/>
      <c r="B449" s="42"/>
      <c r="C449" s="42"/>
      <c r="D449" s="75"/>
      <c r="E449" s="75"/>
      <c r="F449" s="76"/>
      <c r="G449" s="47"/>
      <c r="H449" s="47"/>
      <c r="I449" s="75"/>
      <c r="J449" s="76"/>
      <c r="K449" s="76"/>
      <c r="L449" s="75"/>
      <c r="M449" s="49"/>
      <c r="N449" s="76"/>
      <c r="O449" s="49"/>
      <c r="P449" s="77"/>
      <c r="Q449" s="53"/>
      <c r="R449" s="54"/>
      <c r="S449" s="55"/>
      <c r="T449" s="56"/>
      <c r="U449" s="56"/>
      <c r="V449" s="42"/>
      <c r="W449" s="57"/>
      <c r="X449" s="58"/>
      <c r="Y449" s="75"/>
      <c r="Z449" s="59"/>
      <c r="AA449" s="61"/>
      <c r="AB449" s="61"/>
      <c r="AC449" s="61"/>
      <c r="AD449" s="62"/>
      <c r="AE449" s="62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34"/>
      <c r="BA449" s="34"/>
      <c r="BB449" s="34"/>
      <c r="BD449" s="34"/>
      <c r="BE449" s="34"/>
      <c r="BF449" s="34"/>
      <c r="BG449" s="34"/>
      <c r="BH449" s="34"/>
      <c r="BI449" s="34"/>
      <c r="BJ449" s="34"/>
      <c r="BK449" s="34"/>
      <c r="BL449" s="34"/>
      <c r="BM449" s="34"/>
      <c r="BN449" s="34"/>
      <c r="BO449" s="34"/>
      <c r="BP449" s="34"/>
      <c r="BQ449" s="34"/>
      <c r="BR449" s="34"/>
      <c r="BS449" s="34"/>
      <c r="BT449" s="34"/>
      <c r="BU449" s="34"/>
      <c r="BV449" s="34"/>
      <c r="BW449" s="34"/>
      <c r="BX449" s="34"/>
      <c r="BY449" s="34"/>
    </row>
    <row r="450" spans="1:77" x14ac:dyDescent="0.3">
      <c r="A450" s="39"/>
      <c r="B450" s="42"/>
      <c r="C450" s="42"/>
      <c r="D450" s="75"/>
      <c r="E450" s="75"/>
      <c r="F450" s="76"/>
      <c r="G450" s="47"/>
      <c r="H450" s="47"/>
      <c r="I450" s="75"/>
      <c r="J450" s="76"/>
      <c r="K450" s="76"/>
      <c r="L450" s="75"/>
      <c r="M450" s="49"/>
      <c r="N450" s="76"/>
      <c r="O450" s="49"/>
      <c r="P450" s="77"/>
      <c r="Q450" s="53"/>
      <c r="R450" s="54"/>
      <c r="S450" s="55"/>
      <c r="T450" s="56"/>
      <c r="U450" s="56"/>
      <c r="V450" s="42"/>
      <c r="W450" s="57"/>
      <c r="X450" s="58"/>
      <c r="Y450" s="75"/>
      <c r="Z450" s="59"/>
      <c r="AA450" s="61"/>
      <c r="AB450" s="61"/>
      <c r="AC450" s="61"/>
      <c r="AD450" s="62"/>
      <c r="AE450" s="62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  <c r="AZ450" s="34"/>
      <c r="BA450" s="34"/>
      <c r="BB450" s="34"/>
      <c r="BD450" s="34"/>
      <c r="BE450" s="34"/>
      <c r="BF450" s="34"/>
      <c r="BG450" s="34"/>
      <c r="BH450" s="34"/>
      <c r="BI450" s="34"/>
      <c r="BJ450" s="34"/>
      <c r="BK450" s="34"/>
      <c r="BL450" s="34"/>
      <c r="BM450" s="34"/>
      <c r="BN450" s="34"/>
      <c r="BO450" s="34"/>
      <c r="BP450" s="34"/>
      <c r="BQ450" s="34"/>
      <c r="BR450" s="34"/>
      <c r="BS450" s="34"/>
      <c r="BT450" s="34"/>
      <c r="BU450" s="34"/>
      <c r="BV450" s="34"/>
      <c r="BW450" s="34"/>
      <c r="BX450" s="34"/>
      <c r="BY450" s="34"/>
    </row>
    <row r="451" spans="1:77" x14ac:dyDescent="0.3">
      <c r="A451" s="39"/>
      <c r="B451" s="42"/>
      <c r="C451" s="42"/>
      <c r="D451" s="75"/>
      <c r="E451" s="75"/>
      <c r="F451" s="76"/>
      <c r="G451" s="47"/>
      <c r="H451" s="47"/>
      <c r="I451" s="75"/>
      <c r="J451" s="76"/>
      <c r="K451" s="76"/>
      <c r="L451" s="75"/>
      <c r="M451" s="49"/>
      <c r="N451" s="76"/>
      <c r="O451" s="49"/>
      <c r="P451" s="77"/>
      <c r="Q451" s="53"/>
      <c r="R451" s="54"/>
      <c r="S451" s="55"/>
      <c r="T451" s="56"/>
      <c r="U451" s="56"/>
      <c r="V451" s="42"/>
      <c r="W451" s="57"/>
      <c r="X451" s="58"/>
      <c r="Y451" s="75"/>
      <c r="Z451" s="59"/>
      <c r="AA451" s="61"/>
      <c r="AB451" s="61"/>
      <c r="AC451" s="61"/>
      <c r="AD451" s="62"/>
      <c r="AE451" s="62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  <c r="AZ451" s="34"/>
      <c r="BA451" s="34"/>
      <c r="BB451" s="34"/>
      <c r="BD451" s="34"/>
      <c r="BE451" s="34"/>
      <c r="BF451" s="34"/>
      <c r="BG451" s="34"/>
      <c r="BH451" s="34"/>
      <c r="BI451" s="34"/>
      <c r="BJ451" s="34"/>
      <c r="BK451" s="34"/>
      <c r="BL451" s="34"/>
      <c r="BM451" s="34"/>
      <c r="BN451" s="34"/>
      <c r="BO451" s="34"/>
      <c r="BP451" s="34"/>
      <c r="BQ451" s="34"/>
      <c r="BR451" s="34"/>
      <c r="BS451" s="34"/>
      <c r="BT451" s="34"/>
      <c r="BU451" s="34"/>
      <c r="BV451" s="34"/>
      <c r="BW451" s="34"/>
      <c r="BX451" s="34"/>
      <c r="BY451" s="34"/>
    </row>
    <row r="452" spans="1:77" x14ac:dyDescent="0.3">
      <c r="A452" s="39"/>
      <c r="B452" s="42"/>
      <c r="C452" s="42"/>
      <c r="D452" s="75"/>
      <c r="E452" s="75"/>
      <c r="F452" s="76"/>
      <c r="G452" s="47"/>
      <c r="H452" s="47"/>
      <c r="I452" s="75"/>
      <c r="J452" s="76"/>
      <c r="K452" s="76"/>
      <c r="L452" s="75"/>
      <c r="M452" s="49"/>
      <c r="N452" s="76"/>
      <c r="O452" s="49"/>
      <c r="P452" s="77"/>
      <c r="Q452" s="53"/>
      <c r="R452" s="54"/>
      <c r="S452" s="55"/>
      <c r="T452" s="56"/>
      <c r="U452" s="56"/>
      <c r="V452" s="42"/>
      <c r="W452" s="57"/>
      <c r="X452" s="58"/>
      <c r="Y452" s="75"/>
      <c r="Z452" s="59"/>
      <c r="AA452" s="61"/>
      <c r="AB452" s="61"/>
      <c r="AC452" s="61"/>
      <c r="AD452" s="62"/>
      <c r="AE452" s="62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  <c r="AZ452" s="34"/>
      <c r="BA452" s="34"/>
      <c r="BB452" s="34"/>
      <c r="BD452" s="34"/>
      <c r="BE452" s="34"/>
      <c r="BF452" s="34"/>
      <c r="BG452" s="34"/>
      <c r="BH452" s="34"/>
      <c r="BI452" s="34"/>
      <c r="BJ452" s="34"/>
      <c r="BK452" s="34"/>
      <c r="BL452" s="34"/>
      <c r="BM452" s="34"/>
      <c r="BN452" s="34"/>
      <c r="BO452" s="34"/>
      <c r="BP452" s="34"/>
      <c r="BQ452" s="34"/>
      <c r="BR452" s="34"/>
      <c r="BS452" s="34"/>
      <c r="BT452" s="34"/>
      <c r="BU452" s="34"/>
      <c r="BV452" s="34"/>
      <c r="BW452" s="34"/>
      <c r="BX452" s="34"/>
      <c r="BY452" s="34"/>
    </row>
    <row r="453" spans="1:77" x14ac:dyDescent="0.3">
      <c r="A453" s="39"/>
      <c r="B453" s="42"/>
      <c r="C453" s="42"/>
      <c r="D453" s="75"/>
      <c r="E453" s="75"/>
      <c r="F453" s="76"/>
      <c r="G453" s="47"/>
      <c r="H453" s="47"/>
      <c r="I453" s="75"/>
      <c r="J453" s="76"/>
      <c r="K453" s="76"/>
      <c r="L453" s="75"/>
      <c r="M453" s="49"/>
      <c r="N453" s="76"/>
      <c r="O453" s="49"/>
      <c r="P453" s="77"/>
      <c r="Q453" s="53"/>
      <c r="R453" s="54"/>
      <c r="S453" s="55"/>
      <c r="T453" s="56"/>
      <c r="U453" s="56"/>
      <c r="V453" s="42"/>
      <c r="W453" s="57"/>
      <c r="X453" s="58"/>
      <c r="Y453" s="75"/>
      <c r="Z453" s="59"/>
      <c r="AA453" s="61"/>
      <c r="AB453" s="61"/>
      <c r="AC453" s="61"/>
      <c r="AD453" s="62"/>
      <c r="AE453" s="62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34"/>
      <c r="AR453" s="34"/>
      <c r="AS453" s="34"/>
      <c r="AT453" s="34"/>
      <c r="AU453" s="34"/>
      <c r="AV453" s="34"/>
      <c r="AW453" s="34"/>
      <c r="AX453" s="34"/>
      <c r="AY453" s="34"/>
      <c r="AZ453" s="34"/>
      <c r="BA453" s="34"/>
      <c r="BB453" s="34"/>
      <c r="BD453" s="34"/>
      <c r="BE453" s="34"/>
      <c r="BF453" s="34"/>
      <c r="BG453" s="34"/>
      <c r="BH453" s="34"/>
      <c r="BI453" s="34"/>
      <c r="BJ453" s="34"/>
      <c r="BK453" s="34"/>
      <c r="BL453" s="34"/>
      <c r="BM453" s="34"/>
      <c r="BN453" s="34"/>
      <c r="BO453" s="34"/>
      <c r="BP453" s="34"/>
      <c r="BQ453" s="34"/>
      <c r="BR453" s="34"/>
      <c r="BS453" s="34"/>
      <c r="BT453" s="34"/>
      <c r="BU453" s="34"/>
      <c r="BV453" s="34"/>
      <c r="BW453" s="34"/>
      <c r="BX453" s="34"/>
      <c r="BY453" s="34"/>
    </row>
    <row r="454" spans="1:77" x14ac:dyDescent="0.3">
      <c r="A454" s="39"/>
      <c r="B454" s="42"/>
      <c r="C454" s="42"/>
      <c r="D454" s="75"/>
      <c r="E454" s="75"/>
      <c r="F454" s="76"/>
      <c r="G454" s="47"/>
      <c r="H454" s="47"/>
      <c r="I454" s="75"/>
      <c r="J454" s="76"/>
      <c r="K454" s="76"/>
      <c r="L454" s="75"/>
      <c r="M454" s="49"/>
      <c r="N454" s="76"/>
      <c r="O454" s="49"/>
      <c r="P454" s="77"/>
      <c r="Q454" s="53"/>
      <c r="R454" s="54"/>
      <c r="S454" s="55"/>
      <c r="T454" s="56"/>
      <c r="U454" s="56"/>
      <c r="V454" s="42"/>
      <c r="W454" s="57"/>
      <c r="X454" s="58"/>
      <c r="Y454" s="75"/>
      <c r="Z454" s="59"/>
      <c r="AA454" s="61"/>
      <c r="AB454" s="61"/>
      <c r="AC454" s="61"/>
      <c r="AD454" s="62"/>
      <c r="AE454" s="62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34"/>
      <c r="AR454" s="34"/>
      <c r="AS454" s="34"/>
      <c r="AT454" s="34"/>
      <c r="AU454" s="34"/>
      <c r="AV454" s="34"/>
      <c r="AW454" s="34"/>
      <c r="AX454" s="34"/>
      <c r="AY454" s="34"/>
      <c r="AZ454" s="34"/>
      <c r="BA454" s="34"/>
      <c r="BB454" s="34"/>
      <c r="BD454" s="34"/>
      <c r="BE454" s="34"/>
      <c r="BF454" s="34"/>
      <c r="BG454" s="34"/>
      <c r="BH454" s="34"/>
      <c r="BI454" s="34"/>
      <c r="BJ454" s="34"/>
      <c r="BK454" s="34"/>
      <c r="BL454" s="34"/>
      <c r="BM454" s="34"/>
      <c r="BN454" s="34"/>
      <c r="BO454" s="34"/>
      <c r="BP454" s="34"/>
      <c r="BQ454" s="34"/>
      <c r="BR454" s="34"/>
      <c r="BS454" s="34"/>
      <c r="BT454" s="34"/>
      <c r="BU454" s="34"/>
      <c r="BV454" s="34"/>
      <c r="BW454" s="34"/>
      <c r="BX454" s="34"/>
      <c r="BY454" s="34"/>
    </row>
    <row r="455" spans="1:77" x14ac:dyDescent="0.3">
      <c r="A455" s="39"/>
      <c r="B455" s="42"/>
      <c r="C455" s="42"/>
      <c r="D455" s="75"/>
      <c r="E455" s="75"/>
      <c r="F455" s="76"/>
      <c r="G455" s="47"/>
      <c r="H455" s="47"/>
      <c r="I455" s="75"/>
      <c r="J455" s="76"/>
      <c r="K455" s="76"/>
      <c r="L455" s="75"/>
      <c r="M455" s="49"/>
      <c r="N455" s="76"/>
      <c r="O455" s="49"/>
      <c r="P455" s="77"/>
      <c r="Q455" s="53"/>
      <c r="R455" s="54"/>
      <c r="S455" s="55"/>
      <c r="T455" s="56"/>
      <c r="U455" s="56"/>
      <c r="V455" s="42"/>
      <c r="W455" s="57"/>
      <c r="X455" s="58"/>
      <c r="Y455" s="75"/>
      <c r="Z455" s="59"/>
      <c r="AA455" s="61"/>
      <c r="AB455" s="61"/>
      <c r="AC455" s="61"/>
      <c r="AD455" s="62"/>
      <c r="AE455" s="62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  <c r="AZ455" s="34"/>
      <c r="BA455" s="34"/>
      <c r="BB455" s="34"/>
      <c r="BD455" s="34"/>
      <c r="BE455" s="34"/>
      <c r="BF455" s="34"/>
      <c r="BG455" s="34"/>
      <c r="BH455" s="34"/>
      <c r="BI455" s="34"/>
      <c r="BJ455" s="34"/>
      <c r="BK455" s="34"/>
      <c r="BL455" s="34"/>
      <c r="BM455" s="34"/>
      <c r="BN455" s="34"/>
      <c r="BO455" s="34"/>
      <c r="BP455" s="34"/>
      <c r="BQ455" s="34"/>
      <c r="BR455" s="34"/>
      <c r="BS455" s="34"/>
      <c r="BT455" s="34"/>
      <c r="BU455" s="34"/>
      <c r="BV455" s="34"/>
      <c r="BW455" s="34"/>
      <c r="BX455" s="34"/>
      <c r="BY455" s="34"/>
    </row>
    <row r="456" spans="1:77" x14ac:dyDescent="0.3">
      <c r="A456" s="39"/>
      <c r="B456" s="42"/>
      <c r="C456" s="42"/>
      <c r="D456" s="75"/>
      <c r="E456" s="75"/>
      <c r="F456" s="76"/>
      <c r="G456" s="47"/>
      <c r="H456" s="47"/>
      <c r="I456" s="75"/>
      <c r="J456" s="76"/>
      <c r="K456" s="76"/>
      <c r="L456" s="75"/>
      <c r="M456" s="49"/>
      <c r="N456" s="76"/>
      <c r="O456" s="49"/>
      <c r="P456" s="77"/>
      <c r="Q456" s="53"/>
      <c r="R456" s="54"/>
      <c r="S456" s="55"/>
      <c r="T456" s="56"/>
      <c r="U456" s="56"/>
      <c r="V456" s="42"/>
      <c r="W456" s="57"/>
      <c r="X456" s="58"/>
      <c r="Y456" s="75"/>
      <c r="Z456" s="59"/>
      <c r="AA456" s="61"/>
      <c r="AB456" s="61"/>
      <c r="AC456" s="61"/>
      <c r="AD456" s="62"/>
      <c r="AE456" s="62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34"/>
      <c r="BA456" s="34"/>
      <c r="BB456" s="34"/>
      <c r="BD456" s="34"/>
      <c r="BE456" s="34"/>
      <c r="BF456" s="34"/>
      <c r="BG456" s="34"/>
      <c r="BH456" s="34"/>
      <c r="BI456" s="34"/>
      <c r="BJ456" s="34"/>
      <c r="BK456" s="34"/>
      <c r="BL456" s="34"/>
      <c r="BM456" s="34"/>
      <c r="BN456" s="34"/>
      <c r="BO456" s="34"/>
      <c r="BP456" s="34"/>
      <c r="BQ456" s="34"/>
      <c r="BR456" s="34"/>
      <c r="BS456" s="34"/>
      <c r="BT456" s="34"/>
      <c r="BU456" s="34"/>
      <c r="BV456" s="34"/>
      <c r="BW456" s="34"/>
      <c r="BX456" s="34"/>
      <c r="BY456" s="34"/>
    </row>
    <row r="457" spans="1:77" x14ac:dyDescent="0.3">
      <c r="A457" s="39"/>
      <c r="B457" s="42"/>
      <c r="C457" s="42"/>
      <c r="D457" s="75"/>
      <c r="E457" s="75"/>
      <c r="F457" s="76"/>
      <c r="G457" s="47"/>
      <c r="H457" s="47"/>
      <c r="I457" s="75"/>
      <c r="J457" s="76"/>
      <c r="K457" s="76"/>
      <c r="L457" s="75"/>
      <c r="M457" s="49"/>
      <c r="N457" s="76"/>
      <c r="O457" s="49"/>
      <c r="P457" s="77"/>
      <c r="Q457" s="53"/>
      <c r="R457" s="54"/>
      <c r="S457" s="55"/>
      <c r="T457" s="56"/>
      <c r="U457" s="56"/>
      <c r="V457" s="42"/>
      <c r="W457" s="57"/>
      <c r="X457" s="58"/>
      <c r="Y457" s="75"/>
      <c r="Z457" s="59"/>
      <c r="AA457" s="61"/>
      <c r="AB457" s="61"/>
      <c r="AC457" s="61"/>
      <c r="AD457" s="62"/>
      <c r="AE457" s="62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  <c r="AZ457" s="34"/>
      <c r="BA457" s="34"/>
      <c r="BB457" s="34"/>
      <c r="BD457" s="34"/>
      <c r="BE457" s="34"/>
      <c r="BF457" s="34"/>
      <c r="BG457" s="34"/>
      <c r="BH457" s="34"/>
      <c r="BI457" s="34"/>
      <c r="BJ457" s="34"/>
      <c r="BK457" s="34"/>
      <c r="BL457" s="34"/>
      <c r="BM457" s="34"/>
      <c r="BN457" s="34"/>
      <c r="BO457" s="34"/>
      <c r="BP457" s="34"/>
      <c r="BQ457" s="34"/>
      <c r="BR457" s="34"/>
      <c r="BS457" s="34"/>
      <c r="BT457" s="34"/>
      <c r="BU457" s="34"/>
      <c r="BV457" s="34"/>
      <c r="BW457" s="34"/>
      <c r="BX457" s="34"/>
      <c r="BY457" s="34"/>
    </row>
    <row r="458" spans="1:77" x14ac:dyDescent="0.3">
      <c r="A458" s="39"/>
      <c r="B458" s="42"/>
      <c r="C458" s="42"/>
      <c r="D458" s="75"/>
      <c r="E458" s="75"/>
      <c r="F458" s="76"/>
      <c r="G458" s="47"/>
      <c r="H458" s="47"/>
      <c r="I458" s="75"/>
      <c r="J458" s="76"/>
      <c r="K458" s="76"/>
      <c r="L458" s="75"/>
      <c r="M458" s="49"/>
      <c r="N458" s="76"/>
      <c r="O458" s="49"/>
      <c r="P458" s="77"/>
      <c r="Q458" s="53"/>
      <c r="R458" s="54"/>
      <c r="S458" s="55"/>
      <c r="T458" s="56"/>
      <c r="U458" s="56"/>
      <c r="V458" s="42"/>
      <c r="W458" s="57"/>
      <c r="X458" s="58"/>
      <c r="Y458" s="75"/>
      <c r="Z458" s="59"/>
      <c r="AA458" s="61"/>
      <c r="AB458" s="61"/>
      <c r="AC458" s="61"/>
      <c r="AD458" s="62"/>
      <c r="AE458" s="62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  <c r="AZ458" s="34"/>
      <c r="BA458" s="34"/>
      <c r="BB458" s="34"/>
      <c r="BD458" s="34"/>
      <c r="BE458" s="34"/>
      <c r="BF458" s="34"/>
      <c r="BG458" s="34"/>
      <c r="BH458" s="34"/>
      <c r="BI458" s="34"/>
      <c r="BJ458" s="34"/>
      <c r="BK458" s="34"/>
      <c r="BL458" s="34"/>
      <c r="BM458" s="34"/>
      <c r="BN458" s="34"/>
      <c r="BO458" s="34"/>
      <c r="BP458" s="34"/>
      <c r="BQ458" s="34"/>
      <c r="BR458" s="34"/>
      <c r="BS458" s="34"/>
      <c r="BT458" s="34"/>
      <c r="BU458" s="34"/>
      <c r="BV458" s="34"/>
      <c r="BW458" s="34"/>
      <c r="BX458" s="34"/>
      <c r="BY458" s="34"/>
    </row>
    <row r="459" spans="1:77" x14ac:dyDescent="0.3">
      <c r="A459" s="39"/>
      <c r="B459" s="42"/>
      <c r="C459" s="42"/>
      <c r="D459" s="75"/>
      <c r="E459" s="75"/>
      <c r="F459" s="76"/>
      <c r="G459" s="47"/>
      <c r="H459" s="47"/>
      <c r="I459" s="75"/>
      <c r="J459" s="76"/>
      <c r="K459" s="76"/>
      <c r="L459" s="75"/>
      <c r="M459" s="49"/>
      <c r="N459" s="76"/>
      <c r="O459" s="49"/>
      <c r="P459" s="77"/>
      <c r="Q459" s="53"/>
      <c r="R459" s="54"/>
      <c r="S459" s="55"/>
      <c r="T459" s="56"/>
      <c r="U459" s="56"/>
      <c r="V459" s="42"/>
      <c r="W459" s="57"/>
      <c r="X459" s="58"/>
      <c r="Y459" s="75"/>
      <c r="Z459" s="59"/>
      <c r="AA459" s="61"/>
      <c r="AB459" s="61"/>
      <c r="AC459" s="61"/>
      <c r="AD459" s="62"/>
      <c r="AE459" s="62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34"/>
      <c r="BA459" s="34"/>
      <c r="BB459" s="34"/>
      <c r="BD459" s="34"/>
      <c r="BE459" s="34"/>
      <c r="BF459" s="34"/>
      <c r="BG459" s="34"/>
      <c r="BH459" s="34"/>
      <c r="BI459" s="34"/>
      <c r="BJ459" s="34"/>
      <c r="BK459" s="34"/>
      <c r="BL459" s="34"/>
      <c r="BM459" s="34"/>
      <c r="BN459" s="34"/>
      <c r="BO459" s="34"/>
      <c r="BP459" s="34"/>
      <c r="BQ459" s="34"/>
      <c r="BR459" s="34"/>
      <c r="BS459" s="34"/>
      <c r="BT459" s="34"/>
      <c r="BU459" s="34"/>
      <c r="BV459" s="34"/>
      <c r="BW459" s="34"/>
      <c r="BX459" s="34"/>
      <c r="BY459" s="34"/>
    </row>
    <row r="460" spans="1:77" x14ac:dyDescent="0.3">
      <c r="A460" s="39"/>
      <c r="B460" s="42"/>
      <c r="C460" s="42"/>
      <c r="D460" s="75"/>
      <c r="E460" s="75"/>
      <c r="F460" s="76"/>
      <c r="G460" s="47"/>
      <c r="H460" s="47"/>
      <c r="I460" s="75"/>
      <c r="J460" s="76"/>
      <c r="K460" s="76"/>
      <c r="L460" s="75"/>
      <c r="M460" s="49"/>
      <c r="N460" s="76"/>
      <c r="O460" s="49"/>
      <c r="P460" s="77"/>
      <c r="Q460" s="53"/>
      <c r="R460" s="54"/>
      <c r="S460" s="55"/>
      <c r="T460" s="56"/>
      <c r="U460" s="56"/>
      <c r="V460" s="42"/>
      <c r="W460" s="57"/>
      <c r="X460" s="58"/>
      <c r="Y460" s="75"/>
      <c r="Z460" s="59"/>
      <c r="AA460" s="61"/>
      <c r="AB460" s="61"/>
      <c r="AC460" s="61"/>
      <c r="AD460" s="62"/>
      <c r="AE460" s="62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  <c r="AZ460" s="34"/>
      <c r="BA460" s="34"/>
      <c r="BB460" s="34"/>
      <c r="BD460" s="34"/>
      <c r="BE460" s="34"/>
      <c r="BF460" s="34"/>
      <c r="BG460" s="34"/>
      <c r="BH460" s="34"/>
      <c r="BI460" s="34"/>
      <c r="BJ460" s="34"/>
      <c r="BK460" s="34"/>
      <c r="BL460" s="34"/>
      <c r="BM460" s="34"/>
      <c r="BN460" s="34"/>
      <c r="BO460" s="34"/>
      <c r="BP460" s="34"/>
      <c r="BQ460" s="34"/>
      <c r="BR460" s="34"/>
      <c r="BS460" s="34"/>
      <c r="BT460" s="34"/>
      <c r="BU460" s="34"/>
      <c r="BV460" s="34"/>
      <c r="BW460" s="34"/>
      <c r="BX460" s="34"/>
      <c r="BY460" s="34"/>
    </row>
    <row r="461" spans="1:77" x14ac:dyDescent="0.3">
      <c r="A461" s="39"/>
      <c r="B461" s="42"/>
      <c r="C461" s="42"/>
      <c r="D461" s="75"/>
      <c r="E461" s="75"/>
      <c r="F461" s="76"/>
      <c r="G461" s="47"/>
      <c r="H461" s="47"/>
      <c r="I461" s="75"/>
      <c r="J461" s="76"/>
      <c r="K461" s="76"/>
      <c r="L461" s="75"/>
      <c r="M461" s="49"/>
      <c r="N461" s="76"/>
      <c r="O461" s="49"/>
      <c r="P461" s="77"/>
      <c r="Q461" s="53"/>
      <c r="R461" s="54"/>
      <c r="S461" s="55"/>
      <c r="T461" s="56"/>
      <c r="U461" s="56"/>
      <c r="V461" s="42"/>
      <c r="W461" s="57"/>
      <c r="X461" s="58"/>
      <c r="Y461" s="75"/>
      <c r="Z461" s="59"/>
      <c r="AA461" s="61"/>
      <c r="AB461" s="61"/>
      <c r="AC461" s="61"/>
      <c r="AD461" s="62"/>
      <c r="AE461" s="62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  <c r="AZ461" s="34"/>
      <c r="BA461" s="34"/>
      <c r="BB461" s="34"/>
      <c r="BD461" s="34"/>
      <c r="BE461" s="34"/>
      <c r="BF461" s="34"/>
      <c r="BG461" s="34"/>
      <c r="BH461" s="34"/>
      <c r="BI461" s="34"/>
      <c r="BJ461" s="34"/>
      <c r="BK461" s="34"/>
      <c r="BL461" s="34"/>
      <c r="BM461" s="34"/>
      <c r="BN461" s="34"/>
      <c r="BO461" s="34"/>
      <c r="BP461" s="34"/>
      <c r="BQ461" s="34"/>
      <c r="BR461" s="34"/>
      <c r="BS461" s="34"/>
      <c r="BT461" s="34"/>
      <c r="BU461" s="34"/>
      <c r="BV461" s="34"/>
      <c r="BW461" s="34"/>
      <c r="BX461" s="34"/>
      <c r="BY461" s="34"/>
    </row>
    <row r="462" spans="1:77" x14ac:dyDescent="0.3">
      <c r="A462" s="39"/>
      <c r="B462" s="42"/>
      <c r="C462" s="42"/>
      <c r="D462" s="75"/>
      <c r="E462" s="75"/>
      <c r="F462" s="76"/>
      <c r="G462" s="47"/>
      <c r="H462" s="47"/>
      <c r="I462" s="75"/>
      <c r="J462" s="76"/>
      <c r="K462" s="76"/>
      <c r="L462" s="75"/>
      <c r="M462" s="49"/>
      <c r="N462" s="76"/>
      <c r="O462" s="49"/>
      <c r="P462" s="77"/>
      <c r="Q462" s="53"/>
      <c r="R462" s="54"/>
      <c r="S462" s="55"/>
      <c r="T462" s="56"/>
      <c r="U462" s="56"/>
      <c r="V462" s="42"/>
      <c r="W462" s="57"/>
      <c r="X462" s="58"/>
      <c r="Y462" s="75"/>
      <c r="Z462" s="59"/>
      <c r="AA462" s="61"/>
      <c r="AB462" s="61"/>
      <c r="AC462" s="61"/>
      <c r="AD462" s="62"/>
      <c r="AE462" s="62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34"/>
      <c r="BA462" s="34"/>
      <c r="BB462" s="34"/>
      <c r="BD462" s="34"/>
      <c r="BE462" s="34"/>
      <c r="BF462" s="34"/>
      <c r="BG462" s="34"/>
      <c r="BH462" s="34"/>
      <c r="BI462" s="34"/>
      <c r="BJ462" s="34"/>
      <c r="BK462" s="34"/>
      <c r="BL462" s="34"/>
      <c r="BM462" s="34"/>
      <c r="BN462" s="34"/>
      <c r="BO462" s="34"/>
      <c r="BP462" s="34"/>
      <c r="BQ462" s="34"/>
      <c r="BR462" s="34"/>
      <c r="BS462" s="34"/>
      <c r="BT462" s="34"/>
      <c r="BU462" s="34"/>
      <c r="BV462" s="34"/>
      <c r="BW462" s="34"/>
      <c r="BX462" s="34"/>
      <c r="BY462" s="34"/>
    </row>
    <row r="463" spans="1:77" x14ac:dyDescent="0.3">
      <c r="A463" s="39"/>
      <c r="B463" s="42"/>
      <c r="C463" s="42"/>
      <c r="D463" s="75"/>
      <c r="E463" s="75"/>
      <c r="F463" s="76"/>
      <c r="G463" s="47"/>
      <c r="H463" s="47"/>
      <c r="I463" s="75"/>
      <c r="J463" s="76"/>
      <c r="K463" s="76"/>
      <c r="L463" s="75"/>
      <c r="M463" s="49"/>
      <c r="N463" s="76"/>
      <c r="O463" s="49"/>
      <c r="P463" s="77"/>
      <c r="Q463" s="53"/>
      <c r="R463" s="54"/>
      <c r="S463" s="55"/>
      <c r="T463" s="56"/>
      <c r="U463" s="56"/>
      <c r="V463" s="42"/>
      <c r="W463" s="57"/>
      <c r="X463" s="58"/>
      <c r="Y463" s="75"/>
      <c r="Z463" s="59"/>
      <c r="AA463" s="61"/>
      <c r="AB463" s="61"/>
      <c r="AC463" s="61"/>
      <c r="AD463" s="62"/>
      <c r="AE463" s="62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/>
      <c r="BB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/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</row>
    <row r="464" spans="1:77" x14ac:dyDescent="0.3">
      <c r="A464" s="39"/>
      <c r="B464" s="42"/>
      <c r="C464" s="42"/>
      <c r="D464" s="75"/>
      <c r="E464" s="75"/>
      <c r="F464" s="76"/>
      <c r="G464" s="47"/>
      <c r="H464" s="47"/>
      <c r="I464" s="75"/>
      <c r="J464" s="76"/>
      <c r="K464" s="76"/>
      <c r="L464" s="75"/>
      <c r="M464" s="49"/>
      <c r="N464" s="76"/>
      <c r="O464" s="49"/>
      <c r="P464" s="77"/>
      <c r="Q464" s="53"/>
      <c r="R464" s="54"/>
      <c r="S464" s="55"/>
      <c r="T464" s="56"/>
      <c r="U464" s="56"/>
      <c r="V464" s="42"/>
      <c r="W464" s="57"/>
      <c r="X464" s="58"/>
      <c r="Y464" s="75"/>
      <c r="Z464" s="59"/>
      <c r="AA464" s="61"/>
      <c r="AB464" s="61"/>
      <c r="AC464" s="61"/>
      <c r="AD464" s="62"/>
      <c r="AE464" s="62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/>
      <c r="BB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/>
      <c r="BP464" s="34"/>
      <c r="BQ464" s="34"/>
      <c r="BR464" s="34"/>
      <c r="BS464" s="34"/>
      <c r="BT464" s="34"/>
      <c r="BU464" s="34"/>
      <c r="BV464" s="34"/>
      <c r="BW464" s="34"/>
      <c r="BX464" s="34"/>
      <c r="BY464" s="34"/>
    </row>
    <row r="465" spans="1:77" x14ac:dyDescent="0.3">
      <c r="A465" s="39"/>
      <c r="B465" s="42"/>
      <c r="C465" s="42"/>
      <c r="D465" s="75"/>
      <c r="E465" s="75"/>
      <c r="F465" s="76"/>
      <c r="G465" s="47"/>
      <c r="H465" s="47"/>
      <c r="I465" s="75"/>
      <c r="J465" s="76"/>
      <c r="K465" s="76"/>
      <c r="L465" s="75"/>
      <c r="M465" s="49"/>
      <c r="N465" s="76"/>
      <c r="O465" s="49"/>
      <c r="P465" s="77"/>
      <c r="Q465" s="53"/>
      <c r="R465" s="54"/>
      <c r="S465" s="55"/>
      <c r="T465" s="56"/>
      <c r="U465" s="56"/>
      <c r="V465" s="42"/>
      <c r="W465" s="57"/>
      <c r="X465" s="58"/>
      <c r="Y465" s="75"/>
      <c r="Z465" s="59"/>
      <c r="AA465" s="61"/>
      <c r="AB465" s="61"/>
      <c r="AC465" s="61"/>
      <c r="AD465" s="62"/>
      <c r="AE465" s="62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/>
      <c r="BB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/>
      <c r="BP465" s="34"/>
      <c r="BQ465" s="34"/>
      <c r="BR465" s="34"/>
      <c r="BS465" s="34"/>
      <c r="BT465" s="34"/>
      <c r="BU465" s="34"/>
      <c r="BV465" s="34"/>
      <c r="BW465" s="34"/>
      <c r="BX465" s="34"/>
      <c r="BY465" s="34"/>
    </row>
    <row r="466" spans="1:77" x14ac:dyDescent="0.3">
      <c r="A466" s="39"/>
      <c r="B466" s="42"/>
      <c r="C466" s="42"/>
      <c r="D466" s="75"/>
      <c r="E466" s="75"/>
      <c r="F466" s="76"/>
      <c r="G466" s="47"/>
      <c r="H466" s="47"/>
      <c r="I466" s="75"/>
      <c r="J466" s="76"/>
      <c r="K466" s="76"/>
      <c r="L466" s="75"/>
      <c r="M466" s="49"/>
      <c r="N466" s="76"/>
      <c r="O466" s="49"/>
      <c r="P466" s="77"/>
      <c r="Q466" s="53"/>
      <c r="R466" s="54"/>
      <c r="S466" s="55"/>
      <c r="T466" s="56"/>
      <c r="U466" s="56"/>
      <c r="V466" s="42"/>
      <c r="W466" s="57"/>
      <c r="X466" s="58"/>
      <c r="Y466" s="75"/>
      <c r="Z466" s="59"/>
      <c r="AA466" s="61"/>
      <c r="AB466" s="61"/>
      <c r="AC466" s="61"/>
      <c r="AD466" s="62"/>
      <c r="AE466" s="62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/>
      <c r="BB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/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</row>
    <row r="467" spans="1:77" x14ac:dyDescent="0.3">
      <c r="A467" s="39"/>
      <c r="B467" s="42"/>
      <c r="C467" s="42"/>
      <c r="D467" s="75"/>
      <c r="E467" s="75"/>
      <c r="F467" s="76"/>
      <c r="G467" s="47"/>
      <c r="H467" s="47"/>
      <c r="I467" s="75"/>
      <c r="J467" s="76"/>
      <c r="K467" s="76"/>
      <c r="L467" s="75"/>
      <c r="M467" s="49"/>
      <c r="N467" s="76"/>
      <c r="O467" s="49"/>
      <c r="P467" s="77"/>
      <c r="Q467" s="53"/>
      <c r="R467" s="54"/>
      <c r="S467" s="55"/>
      <c r="T467" s="56"/>
      <c r="U467" s="56"/>
      <c r="V467" s="42"/>
      <c r="W467" s="57"/>
      <c r="X467" s="58"/>
      <c r="Y467" s="75"/>
      <c r="Z467" s="59"/>
      <c r="AA467" s="61"/>
      <c r="AB467" s="61"/>
      <c r="AC467" s="61"/>
      <c r="AD467" s="62"/>
      <c r="AE467" s="62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/>
      <c r="BB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/>
      <c r="BP467" s="34"/>
      <c r="BQ467" s="34"/>
      <c r="BR467" s="34"/>
      <c r="BS467" s="34"/>
      <c r="BT467" s="34"/>
      <c r="BU467" s="34"/>
      <c r="BV467" s="34"/>
      <c r="BW467" s="34"/>
      <c r="BX467" s="34"/>
      <c r="BY467" s="34"/>
    </row>
    <row r="468" spans="1:77" x14ac:dyDescent="0.3">
      <c r="A468" s="39"/>
      <c r="B468" s="42"/>
      <c r="C468" s="42"/>
      <c r="D468" s="75"/>
      <c r="E468" s="75"/>
      <c r="F468" s="76"/>
      <c r="G468" s="47"/>
      <c r="H468" s="47"/>
      <c r="I468" s="75"/>
      <c r="J468" s="76"/>
      <c r="K468" s="76"/>
      <c r="L468" s="75"/>
      <c r="M468" s="49"/>
      <c r="N468" s="76"/>
      <c r="O468" s="49"/>
      <c r="P468" s="77"/>
      <c r="Q468" s="53"/>
      <c r="R468" s="54"/>
      <c r="S468" s="55"/>
      <c r="T468" s="56"/>
      <c r="U468" s="56"/>
      <c r="V468" s="42"/>
      <c r="W468" s="57"/>
      <c r="X468" s="58"/>
      <c r="Y468" s="75"/>
      <c r="Z468" s="59"/>
      <c r="AA468" s="61"/>
      <c r="AB468" s="61"/>
      <c r="AC468" s="61"/>
      <c r="AD468" s="62"/>
      <c r="AE468" s="62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34"/>
      <c r="BA468" s="34"/>
      <c r="BB468" s="34"/>
      <c r="BD468" s="34"/>
      <c r="BE468" s="34"/>
      <c r="BF468" s="34"/>
      <c r="BG468" s="34"/>
      <c r="BH468" s="34"/>
      <c r="BI468" s="34"/>
      <c r="BJ468" s="34"/>
      <c r="BK468" s="34"/>
      <c r="BL468" s="34"/>
      <c r="BM468" s="34"/>
      <c r="BN468" s="34"/>
      <c r="BO468" s="34"/>
      <c r="BP468" s="34"/>
      <c r="BQ468" s="34"/>
      <c r="BR468" s="34"/>
      <c r="BS468" s="34"/>
      <c r="BT468" s="34"/>
      <c r="BU468" s="34"/>
      <c r="BV468" s="34"/>
      <c r="BW468" s="34"/>
      <c r="BX468" s="34"/>
      <c r="BY468" s="34"/>
    </row>
    <row r="469" spans="1:77" x14ac:dyDescent="0.3">
      <c r="A469" s="39"/>
      <c r="B469" s="42"/>
      <c r="C469" s="42"/>
      <c r="D469" s="75"/>
      <c r="E469" s="75"/>
      <c r="F469" s="76"/>
      <c r="G469" s="47"/>
      <c r="H469" s="47"/>
      <c r="I469" s="75"/>
      <c r="J469" s="76"/>
      <c r="K469" s="76"/>
      <c r="L469" s="75"/>
      <c r="M469" s="49"/>
      <c r="N469" s="76"/>
      <c r="O469" s="49"/>
      <c r="P469" s="77"/>
      <c r="Q469" s="53"/>
      <c r="R469" s="54"/>
      <c r="S469" s="55"/>
      <c r="T469" s="56"/>
      <c r="U469" s="56"/>
      <c r="V469" s="42"/>
      <c r="W469" s="57"/>
      <c r="X469" s="58"/>
      <c r="Y469" s="75"/>
      <c r="Z469" s="59"/>
      <c r="AA469" s="61"/>
      <c r="AB469" s="61"/>
      <c r="AC469" s="61"/>
      <c r="AD469" s="62"/>
      <c r="AE469" s="62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34"/>
      <c r="AR469" s="34"/>
      <c r="AS469" s="34"/>
      <c r="AT469" s="34"/>
      <c r="AU469" s="34"/>
      <c r="AV469" s="34"/>
      <c r="AW469" s="34"/>
      <c r="AX469" s="34"/>
      <c r="AY469" s="34"/>
      <c r="AZ469" s="34"/>
      <c r="BA469" s="34"/>
      <c r="BB469" s="34"/>
      <c r="BD469" s="34"/>
      <c r="BE469" s="34"/>
      <c r="BF469" s="34"/>
      <c r="BG469" s="34"/>
      <c r="BH469" s="34"/>
      <c r="BI469" s="34"/>
      <c r="BJ469" s="34"/>
      <c r="BK469" s="34"/>
      <c r="BL469" s="34"/>
      <c r="BM469" s="34"/>
      <c r="BN469" s="34"/>
      <c r="BO469" s="34"/>
      <c r="BP469" s="34"/>
      <c r="BQ469" s="34"/>
      <c r="BR469" s="34"/>
      <c r="BS469" s="34"/>
      <c r="BT469" s="34"/>
      <c r="BU469" s="34"/>
      <c r="BV469" s="34"/>
      <c r="BW469" s="34"/>
      <c r="BX469" s="34"/>
      <c r="BY469" s="34"/>
    </row>
    <row r="470" spans="1:77" x14ac:dyDescent="0.3">
      <c r="A470" s="39"/>
      <c r="B470" s="42"/>
      <c r="C470" s="42"/>
      <c r="D470" s="75"/>
      <c r="E470" s="75"/>
      <c r="F470" s="76"/>
      <c r="G470" s="47"/>
      <c r="H470" s="47"/>
      <c r="I470" s="75"/>
      <c r="J470" s="76"/>
      <c r="K470" s="76"/>
      <c r="L470" s="75"/>
      <c r="M470" s="49"/>
      <c r="N470" s="76"/>
      <c r="O470" s="49"/>
      <c r="P470" s="77"/>
      <c r="Q470" s="53"/>
      <c r="R470" s="54"/>
      <c r="S470" s="55"/>
      <c r="T470" s="56"/>
      <c r="U470" s="56"/>
      <c r="V470" s="42"/>
      <c r="W470" s="57"/>
      <c r="X470" s="58"/>
      <c r="Y470" s="75"/>
      <c r="Z470" s="59"/>
      <c r="AA470" s="61"/>
      <c r="AB470" s="61"/>
      <c r="AC470" s="61"/>
      <c r="AD470" s="62"/>
      <c r="AE470" s="62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  <c r="AZ470" s="34"/>
      <c r="BA470" s="34"/>
      <c r="BB470" s="34"/>
      <c r="BD470" s="34"/>
      <c r="BE470" s="34"/>
      <c r="BF470" s="34"/>
      <c r="BG470" s="34"/>
      <c r="BH470" s="34"/>
      <c r="BI470" s="34"/>
      <c r="BJ470" s="34"/>
      <c r="BK470" s="34"/>
      <c r="BL470" s="34"/>
      <c r="BM470" s="34"/>
      <c r="BN470" s="34"/>
      <c r="BO470" s="34"/>
      <c r="BP470" s="34"/>
      <c r="BQ470" s="34"/>
      <c r="BR470" s="34"/>
      <c r="BS470" s="34"/>
      <c r="BT470" s="34"/>
      <c r="BU470" s="34"/>
      <c r="BV470" s="34"/>
      <c r="BW470" s="34"/>
      <c r="BX470" s="34"/>
      <c r="BY470" s="34"/>
    </row>
    <row r="471" spans="1:77" x14ac:dyDescent="0.3">
      <c r="A471" s="39"/>
      <c r="B471" s="42"/>
      <c r="C471" s="42"/>
      <c r="D471" s="75"/>
      <c r="E471" s="75"/>
      <c r="F471" s="76"/>
      <c r="G471" s="47"/>
      <c r="H471" s="47"/>
      <c r="I471" s="75"/>
      <c r="J471" s="76"/>
      <c r="K471" s="76"/>
      <c r="L471" s="75"/>
      <c r="M471" s="49"/>
      <c r="N471" s="76"/>
      <c r="O471" s="49"/>
      <c r="P471" s="77"/>
      <c r="Q471" s="53"/>
      <c r="R471" s="54"/>
      <c r="S471" s="55"/>
      <c r="T471" s="56"/>
      <c r="U471" s="56"/>
      <c r="V471" s="42"/>
      <c r="W471" s="57"/>
      <c r="X471" s="58"/>
      <c r="Y471" s="75"/>
      <c r="Z471" s="59"/>
      <c r="AA471" s="61"/>
      <c r="AB471" s="61"/>
      <c r="AC471" s="61"/>
      <c r="AD471" s="62"/>
      <c r="AE471" s="62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  <c r="AZ471" s="34"/>
      <c r="BA471" s="34"/>
      <c r="BB471" s="34"/>
      <c r="BD471" s="34"/>
      <c r="BE471" s="34"/>
      <c r="BF471" s="34"/>
      <c r="BG471" s="34"/>
      <c r="BH471" s="34"/>
      <c r="BI471" s="34"/>
      <c r="BJ471" s="34"/>
      <c r="BK471" s="34"/>
      <c r="BL471" s="34"/>
      <c r="BM471" s="34"/>
      <c r="BN471" s="34"/>
      <c r="BO471" s="34"/>
      <c r="BP471" s="34"/>
      <c r="BQ471" s="34"/>
      <c r="BR471" s="34"/>
      <c r="BS471" s="34"/>
      <c r="BT471" s="34"/>
      <c r="BU471" s="34"/>
      <c r="BV471" s="34"/>
      <c r="BW471" s="34"/>
      <c r="BX471" s="34"/>
      <c r="BY471" s="34"/>
    </row>
    <row r="472" spans="1:77" x14ac:dyDescent="0.3">
      <c r="A472" s="39"/>
      <c r="B472" s="42"/>
      <c r="C472" s="42"/>
      <c r="D472" s="75"/>
      <c r="E472" s="75"/>
      <c r="F472" s="76"/>
      <c r="G472" s="47"/>
      <c r="H472" s="47"/>
      <c r="I472" s="75"/>
      <c r="J472" s="76"/>
      <c r="K472" s="76"/>
      <c r="L472" s="75"/>
      <c r="M472" s="49"/>
      <c r="N472" s="76"/>
      <c r="O472" s="49"/>
      <c r="P472" s="77"/>
      <c r="Q472" s="53"/>
      <c r="R472" s="54"/>
      <c r="S472" s="55"/>
      <c r="T472" s="56"/>
      <c r="U472" s="56"/>
      <c r="V472" s="42"/>
      <c r="W472" s="57"/>
      <c r="X472" s="58"/>
      <c r="Y472" s="75"/>
      <c r="Z472" s="59"/>
      <c r="AA472" s="61"/>
      <c r="AB472" s="61"/>
      <c r="AC472" s="61"/>
      <c r="AD472" s="62"/>
      <c r="AE472" s="62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/>
      <c r="BB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4"/>
      <c r="BP472" s="34"/>
      <c r="BQ472" s="34"/>
      <c r="BR472" s="34"/>
      <c r="BS472" s="34"/>
      <c r="BT472" s="34"/>
      <c r="BU472" s="34"/>
      <c r="BV472" s="34"/>
      <c r="BW472" s="34"/>
      <c r="BX472" s="34"/>
      <c r="BY472" s="34"/>
    </row>
    <row r="473" spans="1:77" x14ac:dyDescent="0.3">
      <c r="A473" s="39"/>
      <c r="B473" s="42"/>
      <c r="C473" s="42"/>
      <c r="D473" s="75"/>
      <c r="E473" s="75"/>
      <c r="F473" s="76"/>
      <c r="G473" s="47"/>
      <c r="H473" s="47"/>
      <c r="I473" s="75"/>
      <c r="J473" s="76"/>
      <c r="K473" s="76"/>
      <c r="L473" s="75"/>
      <c r="M473" s="49"/>
      <c r="N473" s="76"/>
      <c r="O473" s="49"/>
      <c r="P473" s="77"/>
      <c r="Q473" s="53"/>
      <c r="R473" s="54"/>
      <c r="S473" s="55"/>
      <c r="T473" s="56"/>
      <c r="U473" s="56"/>
      <c r="V473" s="42"/>
      <c r="W473" s="57"/>
      <c r="X473" s="58"/>
      <c r="Y473" s="75"/>
      <c r="Z473" s="59"/>
      <c r="AA473" s="61"/>
      <c r="AB473" s="61"/>
      <c r="AC473" s="61"/>
      <c r="AD473" s="62"/>
      <c r="AE473" s="62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34"/>
      <c r="AR473" s="34"/>
      <c r="AS473" s="34"/>
      <c r="AT473" s="34"/>
      <c r="AU473" s="34"/>
      <c r="AV473" s="34"/>
      <c r="AW473" s="34"/>
      <c r="AX473" s="34"/>
      <c r="AY473" s="34"/>
      <c r="AZ473" s="34"/>
      <c r="BA473" s="34"/>
      <c r="BB473" s="34"/>
      <c r="BD473" s="34"/>
      <c r="BE473" s="34"/>
      <c r="BF473" s="34"/>
      <c r="BG473" s="34"/>
      <c r="BH473" s="34"/>
      <c r="BI473" s="34"/>
      <c r="BJ473" s="34"/>
      <c r="BK473" s="34"/>
      <c r="BL473" s="34"/>
      <c r="BM473" s="34"/>
      <c r="BN473" s="34"/>
      <c r="BO473" s="34"/>
      <c r="BP473" s="34"/>
      <c r="BQ473" s="34"/>
      <c r="BR473" s="34"/>
      <c r="BS473" s="34"/>
      <c r="BT473" s="34"/>
      <c r="BU473" s="34"/>
      <c r="BV473" s="34"/>
      <c r="BW473" s="34"/>
      <c r="BX473" s="34"/>
      <c r="BY473" s="34"/>
    </row>
    <row r="474" spans="1:77" x14ac:dyDescent="0.3">
      <c r="A474" s="39"/>
      <c r="B474" s="42"/>
      <c r="C474" s="42"/>
      <c r="D474" s="75"/>
      <c r="E474" s="75"/>
      <c r="F474" s="76"/>
      <c r="G474" s="47"/>
      <c r="H474" s="47"/>
      <c r="I474" s="75"/>
      <c r="J474" s="76"/>
      <c r="K474" s="76"/>
      <c r="L474" s="75"/>
      <c r="M474" s="49"/>
      <c r="N474" s="76"/>
      <c r="O474" s="49"/>
      <c r="P474" s="77"/>
      <c r="Q474" s="53"/>
      <c r="R474" s="54"/>
      <c r="S474" s="55"/>
      <c r="T474" s="56"/>
      <c r="U474" s="56"/>
      <c r="V474" s="42"/>
      <c r="W474" s="57"/>
      <c r="X474" s="58"/>
      <c r="Y474" s="75"/>
      <c r="Z474" s="59"/>
      <c r="AA474" s="61"/>
      <c r="AB474" s="61"/>
      <c r="AC474" s="61"/>
      <c r="AD474" s="62"/>
      <c r="AE474" s="62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  <c r="AR474" s="34"/>
      <c r="AS474" s="34"/>
      <c r="AT474" s="34"/>
      <c r="AU474" s="34"/>
      <c r="AV474" s="34"/>
      <c r="AW474" s="34"/>
      <c r="AX474" s="34"/>
      <c r="AY474" s="34"/>
      <c r="AZ474" s="34"/>
      <c r="BA474" s="34"/>
      <c r="BB474" s="34"/>
      <c r="BD474" s="34"/>
      <c r="BE474" s="34"/>
      <c r="BF474" s="34"/>
      <c r="BG474" s="34"/>
      <c r="BH474" s="34"/>
      <c r="BI474" s="34"/>
      <c r="BJ474" s="34"/>
      <c r="BK474" s="34"/>
      <c r="BL474" s="34"/>
      <c r="BM474" s="34"/>
      <c r="BN474" s="34"/>
      <c r="BO474" s="34"/>
      <c r="BP474" s="34"/>
      <c r="BQ474" s="34"/>
      <c r="BR474" s="34"/>
      <c r="BS474" s="34"/>
      <c r="BT474" s="34"/>
      <c r="BU474" s="34"/>
      <c r="BV474" s="34"/>
      <c r="BW474" s="34"/>
      <c r="BX474" s="34"/>
      <c r="BY474" s="34"/>
    </row>
    <row r="475" spans="1:77" x14ac:dyDescent="0.3">
      <c r="A475" s="39"/>
      <c r="B475" s="42"/>
      <c r="C475" s="42"/>
      <c r="D475" s="75"/>
      <c r="E475" s="75"/>
      <c r="F475" s="76"/>
      <c r="G475" s="47"/>
      <c r="H475" s="47"/>
      <c r="I475" s="75"/>
      <c r="J475" s="76"/>
      <c r="K475" s="76"/>
      <c r="L475" s="75"/>
      <c r="M475" s="49"/>
      <c r="N475" s="76"/>
      <c r="O475" s="49"/>
      <c r="P475" s="77"/>
      <c r="Q475" s="53"/>
      <c r="R475" s="54"/>
      <c r="S475" s="55"/>
      <c r="T475" s="56"/>
      <c r="U475" s="56"/>
      <c r="V475" s="42"/>
      <c r="W475" s="57"/>
      <c r="X475" s="58"/>
      <c r="Y475" s="75"/>
      <c r="Z475" s="59"/>
      <c r="AA475" s="61"/>
      <c r="AB475" s="61"/>
      <c r="AC475" s="61"/>
      <c r="AD475" s="62"/>
      <c r="AE475" s="62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  <c r="AZ475" s="34"/>
      <c r="BA475" s="34"/>
      <c r="BB475" s="34"/>
      <c r="BD475" s="34"/>
      <c r="BE475" s="34"/>
      <c r="BF475" s="34"/>
      <c r="BG475" s="34"/>
      <c r="BH475" s="34"/>
      <c r="BI475" s="34"/>
      <c r="BJ475" s="34"/>
      <c r="BK475" s="34"/>
      <c r="BL475" s="34"/>
      <c r="BM475" s="34"/>
      <c r="BN475" s="34"/>
      <c r="BO475" s="34"/>
      <c r="BP475" s="34"/>
      <c r="BQ475" s="34"/>
      <c r="BR475" s="34"/>
      <c r="BS475" s="34"/>
      <c r="BT475" s="34"/>
      <c r="BU475" s="34"/>
      <c r="BV475" s="34"/>
      <c r="BW475" s="34"/>
      <c r="BX475" s="34"/>
      <c r="BY475" s="34"/>
    </row>
    <row r="476" spans="1:77" x14ac:dyDescent="0.3">
      <c r="A476" s="39"/>
      <c r="B476" s="42"/>
      <c r="C476" s="42"/>
      <c r="D476" s="75"/>
      <c r="E476" s="75"/>
      <c r="F476" s="76"/>
      <c r="G476" s="47"/>
      <c r="H476" s="47"/>
      <c r="I476" s="75"/>
      <c r="J476" s="76"/>
      <c r="K476" s="76"/>
      <c r="L476" s="75"/>
      <c r="M476" s="49"/>
      <c r="N476" s="76"/>
      <c r="O476" s="49"/>
      <c r="P476" s="77"/>
      <c r="Q476" s="53"/>
      <c r="R476" s="54"/>
      <c r="S476" s="55"/>
      <c r="T476" s="56"/>
      <c r="U476" s="56"/>
      <c r="V476" s="42"/>
      <c r="W476" s="57"/>
      <c r="X476" s="58"/>
      <c r="Y476" s="75"/>
      <c r="Z476" s="59"/>
      <c r="AA476" s="61"/>
      <c r="AB476" s="61"/>
      <c r="AC476" s="61"/>
      <c r="AD476" s="62"/>
      <c r="AE476" s="62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  <c r="AR476" s="34"/>
      <c r="AS476" s="34"/>
      <c r="AT476" s="34"/>
      <c r="AU476" s="34"/>
      <c r="AV476" s="34"/>
      <c r="AW476" s="34"/>
      <c r="AX476" s="34"/>
      <c r="AY476" s="34"/>
      <c r="AZ476" s="34"/>
      <c r="BA476" s="34"/>
      <c r="BB476" s="34"/>
      <c r="BD476" s="34"/>
      <c r="BE476" s="34"/>
      <c r="BF476" s="34"/>
      <c r="BG476" s="34"/>
      <c r="BH476" s="34"/>
      <c r="BI476" s="34"/>
      <c r="BJ476" s="34"/>
      <c r="BK476" s="34"/>
      <c r="BL476" s="34"/>
      <c r="BM476" s="34"/>
      <c r="BN476" s="34"/>
      <c r="BO476" s="34"/>
      <c r="BP476" s="34"/>
      <c r="BQ476" s="34"/>
      <c r="BR476" s="34"/>
      <c r="BS476" s="34"/>
      <c r="BT476" s="34"/>
      <c r="BU476" s="34"/>
      <c r="BV476" s="34"/>
      <c r="BW476" s="34"/>
      <c r="BX476" s="34"/>
      <c r="BY476" s="34"/>
    </row>
    <row r="477" spans="1:77" x14ac:dyDescent="0.3">
      <c r="A477" s="39"/>
      <c r="B477" s="42"/>
      <c r="C477" s="42"/>
      <c r="D477" s="75"/>
      <c r="E477" s="75"/>
      <c r="F477" s="76"/>
      <c r="G477" s="47"/>
      <c r="H477" s="47"/>
      <c r="I477" s="75"/>
      <c r="J477" s="76"/>
      <c r="K477" s="76"/>
      <c r="L477" s="75"/>
      <c r="M477" s="49"/>
      <c r="N477" s="76"/>
      <c r="O477" s="49"/>
      <c r="P477" s="77"/>
      <c r="Q477" s="53"/>
      <c r="R477" s="54"/>
      <c r="S477" s="55"/>
      <c r="T477" s="56"/>
      <c r="U477" s="56"/>
      <c r="V477" s="42"/>
      <c r="W477" s="57"/>
      <c r="X477" s="58"/>
      <c r="Y477" s="75"/>
      <c r="Z477" s="59"/>
      <c r="AA477" s="61"/>
      <c r="AB477" s="61"/>
      <c r="AC477" s="61"/>
      <c r="AD477" s="62"/>
      <c r="AE477" s="62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34"/>
      <c r="AR477" s="34"/>
      <c r="AS477" s="34"/>
      <c r="AT477" s="34"/>
      <c r="AU477" s="34"/>
      <c r="AV477" s="34"/>
      <c r="AW477" s="34"/>
      <c r="AX477" s="34"/>
      <c r="AY477" s="34"/>
      <c r="AZ477" s="34"/>
      <c r="BA477" s="34"/>
      <c r="BB477" s="34"/>
      <c r="BD477" s="34"/>
      <c r="BE477" s="34"/>
      <c r="BF477" s="34"/>
      <c r="BG477" s="34"/>
      <c r="BH477" s="34"/>
      <c r="BI477" s="34"/>
      <c r="BJ477" s="34"/>
      <c r="BK477" s="34"/>
      <c r="BL477" s="34"/>
      <c r="BM477" s="34"/>
      <c r="BN477" s="34"/>
      <c r="BO477" s="34"/>
      <c r="BP477" s="34"/>
      <c r="BQ477" s="34"/>
      <c r="BR477" s="34"/>
      <c r="BS477" s="34"/>
      <c r="BT477" s="34"/>
      <c r="BU477" s="34"/>
      <c r="BV477" s="34"/>
      <c r="BW477" s="34"/>
      <c r="BX477" s="34"/>
      <c r="BY477" s="34"/>
    </row>
    <row r="478" spans="1:77" x14ac:dyDescent="0.3">
      <c r="A478" s="39"/>
      <c r="B478" s="42"/>
      <c r="C478" s="42"/>
      <c r="D478" s="75"/>
      <c r="E478" s="75"/>
      <c r="F478" s="76"/>
      <c r="G478" s="47"/>
      <c r="H478" s="47"/>
      <c r="I478" s="75"/>
      <c r="J478" s="76"/>
      <c r="K478" s="76"/>
      <c r="L478" s="75"/>
      <c r="M478" s="49"/>
      <c r="N478" s="76"/>
      <c r="O478" s="49"/>
      <c r="P478" s="77"/>
      <c r="Q478" s="53"/>
      <c r="R478" s="54"/>
      <c r="S478" s="55"/>
      <c r="T478" s="56"/>
      <c r="U478" s="56"/>
      <c r="V478" s="42"/>
      <c r="W478" s="57"/>
      <c r="X478" s="58"/>
      <c r="Y478" s="75"/>
      <c r="Z478" s="59"/>
      <c r="AA478" s="61"/>
      <c r="AB478" s="61"/>
      <c r="AC478" s="61"/>
      <c r="AD478" s="62"/>
      <c r="AE478" s="62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/>
      <c r="AZ478" s="34"/>
      <c r="BA478" s="34"/>
      <c r="BB478" s="34"/>
      <c r="BD478" s="34"/>
      <c r="BE478" s="34"/>
      <c r="BF478" s="34"/>
      <c r="BG478" s="34"/>
      <c r="BH478" s="34"/>
      <c r="BI478" s="34"/>
      <c r="BJ478" s="34"/>
      <c r="BK478" s="34"/>
      <c r="BL478" s="34"/>
      <c r="BM478" s="34"/>
      <c r="BN478" s="34"/>
      <c r="BO478" s="34"/>
      <c r="BP478" s="34"/>
      <c r="BQ478" s="34"/>
      <c r="BR478" s="34"/>
      <c r="BS478" s="34"/>
      <c r="BT478" s="34"/>
      <c r="BU478" s="34"/>
      <c r="BV478" s="34"/>
      <c r="BW478" s="34"/>
      <c r="BX478" s="34"/>
      <c r="BY478" s="34"/>
    </row>
    <row r="479" spans="1:77" x14ac:dyDescent="0.3">
      <c r="A479" s="39"/>
      <c r="B479" s="42"/>
      <c r="C479" s="42"/>
      <c r="D479" s="75"/>
      <c r="E479" s="75"/>
      <c r="F479" s="76"/>
      <c r="G479" s="47"/>
      <c r="H479" s="47"/>
      <c r="I479" s="75"/>
      <c r="J479" s="76"/>
      <c r="K479" s="76"/>
      <c r="L479" s="75"/>
      <c r="M479" s="49"/>
      <c r="N479" s="76"/>
      <c r="O479" s="49"/>
      <c r="P479" s="77"/>
      <c r="Q479" s="53"/>
      <c r="R479" s="54"/>
      <c r="S479" s="55"/>
      <c r="T479" s="56"/>
      <c r="U479" s="56"/>
      <c r="V479" s="42"/>
      <c r="W479" s="57"/>
      <c r="X479" s="58"/>
      <c r="Y479" s="75"/>
      <c r="Z479" s="59"/>
      <c r="AA479" s="61"/>
      <c r="AB479" s="61"/>
      <c r="AC479" s="61"/>
      <c r="AD479" s="62"/>
      <c r="AE479" s="62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/>
      <c r="BB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/>
      <c r="BP479" s="34"/>
      <c r="BQ479" s="34"/>
      <c r="BR479" s="34"/>
      <c r="BS479" s="34"/>
      <c r="BT479" s="34"/>
      <c r="BU479" s="34"/>
      <c r="BV479" s="34"/>
      <c r="BW479" s="34"/>
      <c r="BX479" s="34"/>
      <c r="BY479" s="34"/>
    </row>
    <row r="480" spans="1:77" x14ac:dyDescent="0.3">
      <c r="A480" s="39"/>
      <c r="B480" s="42"/>
      <c r="C480" s="42"/>
      <c r="D480" s="75"/>
      <c r="E480" s="75"/>
      <c r="F480" s="76"/>
      <c r="G480" s="47"/>
      <c r="H480" s="47"/>
      <c r="I480" s="75"/>
      <c r="J480" s="76"/>
      <c r="K480" s="76"/>
      <c r="L480" s="75"/>
      <c r="M480" s="49"/>
      <c r="N480" s="76"/>
      <c r="O480" s="49"/>
      <c r="P480" s="77"/>
      <c r="Q480" s="53"/>
      <c r="R480" s="54"/>
      <c r="S480" s="55"/>
      <c r="T480" s="56"/>
      <c r="U480" s="56"/>
      <c r="V480" s="42"/>
      <c r="W480" s="57"/>
      <c r="X480" s="58"/>
      <c r="Y480" s="75"/>
      <c r="Z480" s="59"/>
      <c r="AA480" s="61"/>
      <c r="AB480" s="61"/>
      <c r="AC480" s="61"/>
      <c r="AD480" s="62"/>
      <c r="AE480" s="62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34"/>
      <c r="AR480" s="34"/>
      <c r="AS480" s="34"/>
      <c r="AT480" s="34"/>
      <c r="AU480" s="34"/>
      <c r="AV480" s="34"/>
      <c r="AW480" s="34"/>
      <c r="AX480" s="34"/>
      <c r="AY480" s="34"/>
      <c r="AZ480" s="34"/>
      <c r="BA480" s="34"/>
      <c r="BB480" s="34"/>
      <c r="BD480" s="34"/>
      <c r="BE480" s="34"/>
      <c r="BF480" s="34"/>
      <c r="BG480" s="34"/>
      <c r="BH480" s="34"/>
      <c r="BI480" s="34"/>
      <c r="BJ480" s="34"/>
      <c r="BK480" s="34"/>
      <c r="BL480" s="34"/>
      <c r="BM480" s="34"/>
      <c r="BN480" s="34"/>
      <c r="BO480" s="34"/>
      <c r="BP480" s="34"/>
      <c r="BQ480" s="34"/>
      <c r="BR480" s="34"/>
      <c r="BS480" s="34"/>
      <c r="BT480" s="34"/>
      <c r="BU480" s="34"/>
      <c r="BV480" s="34"/>
      <c r="BW480" s="34"/>
      <c r="BX480" s="34"/>
      <c r="BY480" s="34"/>
    </row>
    <row r="481" spans="1:77" x14ac:dyDescent="0.3">
      <c r="A481" s="39"/>
      <c r="B481" s="42"/>
      <c r="C481" s="42"/>
      <c r="D481" s="75"/>
      <c r="E481" s="75"/>
      <c r="F481" s="76"/>
      <c r="G481" s="47"/>
      <c r="H481" s="47"/>
      <c r="I481" s="75"/>
      <c r="J481" s="76"/>
      <c r="K481" s="76"/>
      <c r="L481" s="75"/>
      <c r="M481" s="49"/>
      <c r="N481" s="76"/>
      <c r="O481" s="49"/>
      <c r="P481" s="77"/>
      <c r="Q481" s="53"/>
      <c r="R481" s="54"/>
      <c r="S481" s="55"/>
      <c r="T481" s="56"/>
      <c r="U481" s="56"/>
      <c r="V481" s="42"/>
      <c r="W481" s="57"/>
      <c r="X481" s="58"/>
      <c r="Y481" s="75"/>
      <c r="Z481" s="59"/>
      <c r="AA481" s="61"/>
      <c r="AB481" s="61"/>
      <c r="AC481" s="61"/>
      <c r="AD481" s="62"/>
      <c r="AE481" s="62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34"/>
      <c r="AR481" s="34"/>
      <c r="AS481" s="34"/>
      <c r="AT481" s="34"/>
      <c r="AU481" s="34"/>
      <c r="AV481" s="34"/>
      <c r="AW481" s="34"/>
      <c r="AX481" s="34"/>
      <c r="AY481" s="34"/>
      <c r="AZ481" s="34"/>
      <c r="BA481" s="34"/>
      <c r="BB481" s="34"/>
      <c r="BD481" s="34"/>
      <c r="BE481" s="34"/>
      <c r="BF481" s="34"/>
      <c r="BG481" s="34"/>
      <c r="BH481" s="34"/>
      <c r="BI481" s="34"/>
      <c r="BJ481" s="34"/>
      <c r="BK481" s="34"/>
      <c r="BL481" s="34"/>
      <c r="BM481" s="34"/>
      <c r="BN481" s="34"/>
      <c r="BO481" s="34"/>
      <c r="BP481" s="34"/>
      <c r="BQ481" s="34"/>
      <c r="BR481" s="34"/>
      <c r="BS481" s="34"/>
      <c r="BT481" s="34"/>
      <c r="BU481" s="34"/>
      <c r="BV481" s="34"/>
      <c r="BW481" s="34"/>
      <c r="BX481" s="34"/>
      <c r="BY481" s="34"/>
    </row>
    <row r="482" spans="1:77" x14ac:dyDescent="0.3">
      <c r="A482" s="39"/>
      <c r="B482" s="42"/>
      <c r="C482" s="42"/>
      <c r="D482" s="75"/>
      <c r="E482" s="75"/>
      <c r="F482" s="76"/>
      <c r="G482" s="47"/>
      <c r="H482" s="47"/>
      <c r="I482" s="75"/>
      <c r="J482" s="76"/>
      <c r="K482" s="76"/>
      <c r="L482" s="75"/>
      <c r="M482" s="49"/>
      <c r="N482" s="76"/>
      <c r="O482" s="49"/>
      <c r="P482" s="77"/>
      <c r="Q482" s="53"/>
      <c r="R482" s="54"/>
      <c r="S482" s="55"/>
      <c r="T482" s="56"/>
      <c r="U482" s="56"/>
      <c r="V482" s="42"/>
      <c r="W482" s="57"/>
      <c r="X482" s="58"/>
      <c r="Y482" s="75"/>
      <c r="Z482" s="59"/>
      <c r="AA482" s="61"/>
      <c r="AB482" s="61"/>
      <c r="AC482" s="61"/>
      <c r="AD482" s="62"/>
      <c r="AE482" s="62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/>
      <c r="BB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/>
      <c r="BP482" s="34"/>
      <c r="BQ482" s="34"/>
      <c r="BR482" s="34"/>
      <c r="BS482" s="34"/>
      <c r="BT482" s="34"/>
      <c r="BU482" s="34"/>
      <c r="BV482" s="34"/>
      <c r="BW482" s="34"/>
      <c r="BX482" s="34"/>
      <c r="BY482" s="34"/>
    </row>
    <row r="483" spans="1:77" x14ac:dyDescent="0.3">
      <c r="A483" s="39"/>
      <c r="B483" s="42"/>
      <c r="C483" s="42"/>
      <c r="D483" s="75"/>
      <c r="E483" s="75"/>
      <c r="F483" s="76"/>
      <c r="G483" s="47"/>
      <c r="H483" s="47"/>
      <c r="I483" s="75"/>
      <c r="J483" s="76"/>
      <c r="K483" s="76"/>
      <c r="L483" s="75"/>
      <c r="M483" s="49"/>
      <c r="N483" s="76"/>
      <c r="O483" s="49"/>
      <c r="P483" s="77"/>
      <c r="Q483" s="53"/>
      <c r="R483" s="54"/>
      <c r="S483" s="55"/>
      <c r="T483" s="56"/>
      <c r="U483" s="56"/>
      <c r="V483" s="42"/>
      <c r="W483" s="57"/>
      <c r="X483" s="58"/>
      <c r="Y483" s="75"/>
      <c r="Z483" s="59"/>
      <c r="AA483" s="61"/>
      <c r="AB483" s="61"/>
      <c r="AC483" s="61"/>
      <c r="AD483" s="62"/>
      <c r="AE483" s="62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34"/>
      <c r="AR483" s="34"/>
      <c r="AS483" s="34"/>
      <c r="AT483" s="34"/>
      <c r="AU483" s="34"/>
      <c r="AV483" s="34"/>
      <c r="AW483" s="34"/>
      <c r="AX483" s="34"/>
      <c r="AY483" s="34"/>
      <c r="AZ483" s="34"/>
      <c r="BA483" s="34"/>
      <c r="BB483" s="34"/>
      <c r="BD483" s="34"/>
      <c r="BE483" s="34"/>
      <c r="BF483" s="34"/>
      <c r="BG483" s="34"/>
      <c r="BH483" s="34"/>
      <c r="BI483" s="34"/>
      <c r="BJ483" s="34"/>
      <c r="BK483" s="34"/>
      <c r="BL483" s="34"/>
      <c r="BM483" s="34"/>
      <c r="BN483" s="34"/>
      <c r="BO483" s="34"/>
      <c r="BP483" s="34"/>
      <c r="BQ483" s="34"/>
      <c r="BR483" s="34"/>
      <c r="BS483" s="34"/>
      <c r="BT483" s="34"/>
      <c r="BU483" s="34"/>
      <c r="BV483" s="34"/>
      <c r="BW483" s="34"/>
      <c r="BX483" s="34"/>
      <c r="BY483" s="34"/>
    </row>
    <row r="484" spans="1:77" x14ac:dyDescent="0.3">
      <c r="A484" s="39"/>
      <c r="B484" s="42"/>
      <c r="C484" s="42"/>
      <c r="D484" s="75"/>
      <c r="E484" s="75"/>
      <c r="F484" s="76"/>
      <c r="G484" s="47"/>
      <c r="H484" s="47"/>
      <c r="I484" s="75"/>
      <c r="J484" s="76"/>
      <c r="K484" s="76"/>
      <c r="L484" s="75"/>
      <c r="M484" s="49"/>
      <c r="N484" s="76"/>
      <c r="O484" s="49"/>
      <c r="P484" s="77"/>
      <c r="Q484" s="53"/>
      <c r="R484" s="54"/>
      <c r="S484" s="55"/>
      <c r="T484" s="56"/>
      <c r="U484" s="56"/>
      <c r="V484" s="42"/>
      <c r="W484" s="57"/>
      <c r="X484" s="58"/>
      <c r="Y484" s="75"/>
      <c r="Z484" s="59"/>
      <c r="AA484" s="61"/>
      <c r="AB484" s="61"/>
      <c r="AC484" s="61"/>
      <c r="AD484" s="62"/>
      <c r="AE484" s="62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34"/>
      <c r="AR484" s="34"/>
      <c r="AS484" s="34"/>
      <c r="AT484" s="34"/>
      <c r="AU484" s="34"/>
      <c r="AV484" s="34"/>
      <c r="AW484" s="34"/>
      <c r="AX484" s="34"/>
      <c r="AY484" s="34"/>
      <c r="AZ484" s="34"/>
      <c r="BA484" s="34"/>
      <c r="BB484" s="34"/>
      <c r="BD484" s="34"/>
      <c r="BE484" s="34"/>
      <c r="BF484" s="34"/>
      <c r="BG484" s="34"/>
      <c r="BH484" s="34"/>
      <c r="BI484" s="34"/>
      <c r="BJ484" s="34"/>
      <c r="BK484" s="34"/>
      <c r="BL484" s="34"/>
      <c r="BM484" s="34"/>
      <c r="BN484" s="34"/>
      <c r="BO484" s="34"/>
      <c r="BP484" s="34"/>
      <c r="BQ484" s="34"/>
      <c r="BR484" s="34"/>
      <c r="BS484" s="34"/>
      <c r="BT484" s="34"/>
      <c r="BU484" s="34"/>
      <c r="BV484" s="34"/>
      <c r="BW484" s="34"/>
      <c r="BX484" s="34"/>
      <c r="BY484" s="34"/>
    </row>
    <row r="485" spans="1:77" x14ac:dyDescent="0.3">
      <c r="A485" s="39"/>
      <c r="B485" s="42"/>
      <c r="C485" s="42"/>
      <c r="D485" s="75"/>
      <c r="E485" s="75"/>
      <c r="F485" s="76"/>
      <c r="G485" s="47"/>
      <c r="H485" s="47"/>
      <c r="I485" s="75"/>
      <c r="J485" s="76"/>
      <c r="K485" s="76"/>
      <c r="L485" s="75"/>
      <c r="M485" s="49"/>
      <c r="N485" s="76"/>
      <c r="O485" s="49"/>
      <c r="P485" s="77"/>
      <c r="Q485" s="53"/>
      <c r="R485" s="54"/>
      <c r="S485" s="55"/>
      <c r="T485" s="56"/>
      <c r="U485" s="56"/>
      <c r="V485" s="42"/>
      <c r="W485" s="57"/>
      <c r="X485" s="58"/>
      <c r="Y485" s="75"/>
      <c r="Z485" s="59"/>
      <c r="AA485" s="61"/>
      <c r="AB485" s="61"/>
      <c r="AC485" s="61"/>
      <c r="AD485" s="62"/>
      <c r="AE485" s="62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34"/>
      <c r="AR485" s="34"/>
      <c r="AS485" s="34"/>
      <c r="AT485" s="34"/>
      <c r="AU485" s="34"/>
      <c r="AV485" s="34"/>
      <c r="AW485" s="34"/>
      <c r="AX485" s="34"/>
      <c r="AY485" s="34"/>
      <c r="AZ485" s="34"/>
      <c r="BA485" s="34"/>
      <c r="BB485" s="34"/>
      <c r="BD485" s="34"/>
      <c r="BE485" s="34"/>
      <c r="BF485" s="34"/>
      <c r="BG485" s="34"/>
      <c r="BH485" s="34"/>
      <c r="BI485" s="34"/>
      <c r="BJ485" s="34"/>
      <c r="BK485" s="34"/>
      <c r="BL485" s="34"/>
      <c r="BM485" s="34"/>
      <c r="BN485" s="34"/>
      <c r="BO485" s="34"/>
      <c r="BP485" s="34"/>
      <c r="BQ485" s="34"/>
      <c r="BR485" s="34"/>
      <c r="BS485" s="34"/>
      <c r="BT485" s="34"/>
      <c r="BU485" s="34"/>
      <c r="BV485" s="34"/>
      <c r="BW485" s="34"/>
      <c r="BX485" s="34"/>
      <c r="BY485" s="34"/>
    </row>
    <row r="486" spans="1:77" x14ac:dyDescent="0.3">
      <c r="A486" s="39"/>
      <c r="B486" s="42"/>
      <c r="C486" s="42"/>
      <c r="D486" s="75"/>
      <c r="E486" s="75"/>
      <c r="F486" s="76"/>
      <c r="G486" s="47"/>
      <c r="H486" s="47"/>
      <c r="I486" s="75"/>
      <c r="J486" s="76"/>
      <c r="K486" s="76"/>
      <c r="L486" s="75"/>
      <c r="M486" s="49"/>
      <c r="N486" s="76"/>
      <c r="O486" s="49"/>
      <c r="P486" s="77"/>
      <c r="Q486" s="53"/>
      <c r="R486" s="54"/>
      <c r="S486" s="55"/>
      <c r="T486" s="56"/>
      <c r="U486" s="56"/>
      <c r="V486" s="42"/>
      <c r="W486" s="57"/>
      <c r="X486" s="58"/>
      <c r="Y486" s="75"/>
      <c r="Z486" s="59"/>
      <c r="AA486" s="61"/>
      <c r="AB486" s="61"/>
      <c r="AC486" s="61"/>
      <c r="AD486" s="62"/>
      <c r="AE486" s="62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34"/>
      <c r="AR486" s="34"/>
      <c r="AS486" s="34"/>
      <c r="AT486" s="34"/>
      <c r="AU486" s="34"/>
      <c r="AV486" s="34"/>
      <c r="AW486" s="34"/>
      <c r="AX486" s="34"/>
      <c r="AY486" s="34"/>
      <c r="AZ486" s="34"/>
      <c r="BA486" s="34"/>
      <c r="BB486" s="34"/>
      <c r="BD486" s="34"/>
      <c r="BE486" s="34"/>
      <c r="BF486" s="34"/>
      <c r="BG486" s="34"/>
      <c r="BH486" s="34"/>
      <c r="BI486" s="34"/>
      <c r="BJ486" s="34"/>
      <c r="BK486" s="34"/>
      <c r="BL486" s="34"/>
      <c r="BM486" s="34"/>
      <c r="BN486" s="34"/>
      <c r="BO486" s="34"/>
      <c r="BP486" s="34"/>
      <c r="BQ486" s="34"/>
      <c r="BR486" s="34"/>
      <c r="BS486" s="34"/>
      <c r="BT486" s="34"/>
      <c r="BU486" s="34"/>
      <c r="BV486" s="34"/>
      <c r="BW486" s="34"/>
      <c r="BX486" s="34"/>
      <c r="BY486" s="34"/>
    </row>
    <row r="487" spans="1:77" x14ac:dyDescent="0.3">
      <c r="A487" s="39"/>
      <c r="B487" s="42"/>
      <c r="C487" s="42"/>
      <c r="D487" s="75"/>
      <c r="E487" s="75"/>
      <c r="F487" s="76"/>
      <c r="G487" s="47"/>
      <c r="H487" s="47"/>
      <c r="I487" s="75"/>
      <c r="J487" s="76"/>
      <c r="K487" s="76"/>
      <c r="L487" s="75"/>
      <c r="M487" s="49"/>
      <c r="N487" s="76"/>
      <c r="O487" s="49"/>
      <c r="P487" s="77"/>
      <c r="Q487" s="53"/>
      <c r="R487" s="54"/>
      <c r="S487" s="55"/>
      <c r="T487" s="56"/>
      <c r="U487" s="56"/>
      <c r="V487" s="42"/>
      <c r="W487" s="57"/>
      <c r="X487" s="58"/>
      <c r="Y487" s="75"/>
      <c r="Z487" s="59"/>
      <c r="AA487" s="61"/>
      <c r="AB487" s="61"/>
      <c r="AC487" s="61"/>
      <c r="AD487" s="62"/>
      <c r="AE487" s="62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34"/>
      <c r="AR487" s="34"/>
      <c r="AS487" s="34"/>
      <c r="AT487" s="34"/>
      <c r="AU487" s="34"/>
      <c r="AV487" s="34"/>
      <c r="AW487" s="34"/>
      <c r="AX487" s="34"/>
      <c r="AY487" s="34"/>
      <c r="AZ487" s="34"/>
      <c r="BA487" s="34"/>
      <c r="BB487" s="34"/>
      <c r="BD487" s="34"/>
      <c r="BE487" s="34"/>
      <c r="BF487" s="34"/>
      <c r="BG487" s="34"/>
      <c r="BH487" s="34"/>
      <c r="BI487" s="34"/>
      <c r="BJ487" s="34"/>
      <c r="BK487" s="34"/>
      <c r="BL487" s="34"/>
      <c r="BM487" s="34"/>
      <c r="BN487" s="34"/>
      <c r="BO487" s="34"/>
      <c r="BP487" s="34"/>
      <c r="BQ487" s="34"/>
      <c r="BR487" s="34"/>
      <c r="BS487" s="34"/>
      <c r="BT487" s="34"/>
      <c r="BU487" s="34"/>
      <c r="BV487" s="34"/>
      <c r="BW487" s="34"/>
      <c r="BX487" s="34"/>
      <c r="BY487" s="34"/>
    </row>
    <row r="488" spans="1:77" x14ac:dyDescent="0.3">
      <c r="A488" s="39"/>
      <c r="B488" s="42"/>
      <c r="C488" s="42"/>
      <c r="D488" s="75"/>
      <c r="E488" s="75"/>
      <c r="F488" s="76"/>
      <c r="G488" s="47"/>
      <c r="H488" s="47"/>
      <c r="I488" s="75"/>
      <c r="J488" s="76"/>
      <c r="K488" s="76"/>
      <c r="L488" s="75"/>
      <c r="M488" s="49"/>
      <c r="N488" s="76"/>
      <c r="O488" s="49"/>
      <c r="P488" s="77"/>
      <c r="Q488" s="53"/>
      <c r="R488" s="54"/>
      <c r="S488" s="55"/>
      <c r="T488" s="56"/>
      <c r="U488" s="56"/>
      <c r="V488" s="42"/>
      <c r="W488" s="57"/>
      <c r="X488" s="58"/>
      <c r="Y488" s="75"/>
      <c r="Z488" s="59"/>
      <c r="AA488" s="61"/>
      <c r="AB488" s="61"/>
      <c r="AC488" s="61"/>
      <c r="AD488" s="62"/>
      <c r="AE488" s="62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  <c r="AZ488" s="34"/>
      <c r="BA488" s="34"/>
      <c r="BB488" s="34"/>
      <c r="BD488" s="34"/>
      <c r="BE488" s="34"/>
      <c r="BF488" s="34"/>
      <c r="BG488" s="34"/>
      <c r="BH488" s="34"/>
      <c r="BI488" s="34"/>
      <c r="BJ488" s="34"/>
      <c r="BK488" s="34"/>
      <c r="BL488" s="34"/>
      <c r="BM488" s="34"/>
      <c r="BN488" s="34"/>
      <c r="BO488" s="34"/>
      <c r="BP488" s="34"/>
      <c r="BQ488" s="34"/>
      <c r="BR488" s="34"/>
      <c r="BS488" s="34"/>
      <c r="BT488" s="34"/>
      <c r="BU488" s="34"/>
      <c r="BV488" s="34"/>
      <c r="BW488" s="34"/>
      <c r="BX488" s="34"/>
      <c r="BY488" s="34"/>
    </row>
    <row r="489" spans="1:77" x14ac:dyDescent="0.3">
      <c r="A489" s="39"/>
      <c r="B489" s="42"/>
      <c r="C489" s="42"/>
      <c r="D489" s="75"/>
      <c r="E489" s="75"/>
      <c r="F489" s="76"/>
      <c r="G489" s="47"/>
      <c r="H489" s="47"/>
      <c r="I489" s="75"/>
      <c r="J489" s="76"/>
      <c r="K489" s="76"/>
      <c r="L489" s="75"/>
      <c r="M489" s="49"/>
      <c r="N489" s="76"/>
      <c r="O489" s="49"/>
      <c r="P489" s="77"/>
      <c r="Q489" s="53"/>
      <c r="R489" s="54"/>
      <c r="S489" s="55"/>
      <c r="T489" s="56"/>
      <c r="U489" s="56"/>
      <c r="V489" s="42"/>
      <c r="W489" s="57"/>
      <c r="X489" s="58"/>
      <c r="Y489" s="75"/>
      <c r="Z489" s="59"/>
      <c r="AA489" s="61"/>
      <c r="AB489" s="61"/>
      <c r="AC489" s="61"/>
      <c r="AD489" s="62"/>
      <c r="AE489" s="62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  <c r="AZ489" s="34"/>
      <c r="BA489" s="34"/>
      <c r="BB489" s="34"/>
      <c r="BD489" s="34"/>
      <c r="BE489" s="34"/>
      <c r="BF489" s="34"/>
      <c r="BG489" s="34"/>
      <c r="BH489" s="34"/>
      <c r="BI489" s="34"/>
      <c r="BJ489" s="34"/>
      <c r="BK489" s="34"/>
      <c r="BL489" s="34"/>
      <c r="BM489" s="34"/>
      <c r="BN489" s="34"/>
      <c r="BO489" s="34"/>
      <c r="BP489" s="34"/>
      <c r="BQ489" s="34"/>
      <c r="BR489" s="34"/>
      <c r="BS489" s="34"/>
      <c r="BT489" s="34"/>
      <c r="BU489" s="34"/>
      <c r="BV489" s="34"/>
      <c r="BW489" s="34"/>
      <c r="BX489" s="34"/>
      <c r="BY489" s="34"/>
    </row>
    <row r="490" spans="1:77" x14ac:dyDescent="0.3">
      <c r="A490" s="39"/>
      <c r="B490" s="42"/>
      <c r="C490" s="42"/>
      <c r="D490" s="75"/>
      <c r="E490" s="75"/>
      <c r="F490" s="76"/>
      <c r="G490" s="47"/>
      <c r="H490" s="47"/>
      <c r="I490" s="75"/>
      <c r="J490" s="76"/>
      <c r="K490" s="76"/>
      <c r="L490" s="75"/>
      <c r="M490" s="49"/>
      <c r="N490" s="76"/>
      <c r="O490" s="49"/>
      <c r="P490" s="77"/>
      <c r="Q490" s="53"/>
      <c r="R490" s="54"/>
      <c r="S490" s="55"/>
      <c r="T490" s="56"/>
      <c r="U490" s="56"/>
      <c r="V490" s="42"/>
      <c r="W490" s="57"/>
      <c r="X490" s="58"/>
      <c r="Y490" s="75"/>
      <c r="Z490" s="59"/>
      <c r="AA490" s="61"/>
      <c r="AB490" s="61"/>
      <c r="AC490" s="61"/>
      <c r="AD490" s="62"/>
      <c r="AE490" s="62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  <c r="AR490" s="34"/>
      <c r="AS490" s="34"/>
      <c r="AT490" s="34"/>
      <c r="AU490" s="34"/>
      <c r="AV490" s="34"/>
      <c r="AW490" s="34"/>
      <c r="AX490" s="34"/>
      <c r="AY490" s="34"/>
      <c r="AZ490" s="34"/>
      <c r="BA490" s="34"/>
      <c r="BB490" s="34"/>
      <c r="BD490" s="34"/>
      <c r="BE490" s="34"/>
      <c r="BF490" s="34"/>
      <c r="BG490" s="34"/>
      <c r="BH490" s="34"/>
      <c r="BI490" s="34"/>
      <c r="BJ490" s="34"/>
      <c r="BK490" s="34"/>
      <c r="BL490" s="34"/>
      <c r="BM490" s="34"/>
      <c r="BN490" s="34"/>
      <c r="BO490" s="34"/>
      <c r="BP490" s="34"/>
      <c r="BQ490" s="34"/>
      <c r="BR490" s="34"/>
      <c r="BS490" s="34"/>
      <c r="BT490" s="34"/>
      <c r="BU490" s="34"/>
      <c r="BV490" s="34"/>
      <c r="BW490" s="34"/>
      <c r="BX490" s="34"/>
      <c r="BY490" s="34"/>
    </row>
    <row r="491" spans="1:77" x14ac:dyDescent="0.3">
      <c r="A491" s="39"/>
      <c r="B491" s="42"/>
      <c r="C491" s="42"/>
      <c r="D491" s="75"/>
      <c r="E491" s="75"/>
      <c r="F491" s="76"/>
      <c r="G491" s="47"/>
      <c r="H491" s="47"/>
      <c r="I491" s="75"/>
      <c r="J491" s="76"/>
      <c r="K491" s="76"/>
      <c r="L491" s="75"/>
      <c r="M491" s="49"/>
      <c r="N491" s="76"/>
      <c r="O491" s="49"/>
      <c r="P491" s="77"/>
      <c r="Q491" s="53"/>
      <c r="R491" s="54"/>
      <c r="S491" s="55"/>
      <c r="T491" s="56"/>
      <c r="U491" s="56"/>
      <c r="V491" s="42"/>
      <c r="W491" s="57"/>
      <c r="X491" s="58"/>
      <c r="Y491" s="75"/>
      <c r="Z491" s="59"/>
      <c r="AA491" s="61"/>
      <c r="AB491" s="61"/>
      <c r="AC491" s="61"/>
      <c r="AD491" s="62"/>
      <c r="AE491" s="62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4"/>
      <c r="AY491" s="34"/>
      <c r="AZ491" s="34"/>
      <c r="BA491" s="34"/>
      <c r="BB491" s="34"/>
      <c r="BD491" s="34"/>
      <c r="BE491" s="34"/>
      <c r="BF491" s="34"/>
      <c r="BG491" s="34"/>
      <c r="BH491" s="34"/>
      <c r="BI491" s="34"/>
      <c r="BJ491" s="34"/>
      <c r="BK491" s="34"/>
      <c r="BL491" s="34"/>
      <c r="BM491" s="34"/>
      <c r="BN491" s="34"/>
      <c r="BO491" s="34"/>
      <c r="BP491" s="34"/>
      <c r="BQ491" s="34"/>
      <c r="BR491" s="34"/>
      <c r="BS491" s="34"/>
      <c r="BT491" s="34"/>
      <c r="BU491" s="34"/>
      <c r="BV491" s="34"/>
      <c r="BW491" s="34"/>
      <c r="BX491" s="34"/>
      <c r="BY491" s="34"/>
    </row>
    <row r="492" spans="1:77" x14ac:dyDescent="0.3">
      <c r="A492" s="39"/>
      <c r="B492" s="42"/>
      <c r="C492" s="42"/>
      <c r="D492" s="75"/>
      <c r="E492" s="75"/>
      <c r="F492" s="76"/>
      <c r="G492" s="47"/>
      <c r="H492" s="47"/>
      <c r="I492" s="75"/>
      <c r="J492" s="76"/>
      <c r="K492" s="76"/>
      <c r="L492" s="75"/>
      <c r="M492" s="49"/>
      <c r="N492" s="76"/>
      <c r="O492" s="49"/>
      <c r="P492" s="77"/>
      <c r="Q492" s="53"/>
      <c r="R492" s="54"/>
      <c r="S492" s="55"/>
      <c r="T492" s="56"/>
      <c r="U492" s="56"/>
      <c r="V492" s="42"/>
      <c r="W492" s="57"/>
      <c r="X492" s="58"/>
      <c r="Y492" s="75"/>
      <c r="Z492" s="59"/>
      <c r="AA492" s="61"/>
      <c r="AB492" s="61"/>
      <c r="AC492" s="61"/>
      <c r="AD492" s="62"/>
      <c r="AE492" s="62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  <c r="AZ492" s="34"/>
      <c r="BA492" s="34"/>
      <c r="BB492" s="34"/>
      <c r="BD492" s="34"/>
      <c r="BE492" s="34"/>
      <c r="BF492" s="34"/>
      <c r="BG492" s="34"/>
      <c r="BH492" s="34"/>
      <c r="BI492" s="34"/>
      <c r="BJ492" s="34"/>
      <c r="BK492" s="34"/>
      <c r="BL492" s="34"/>
      <c r="BM492" s="34"/>
      <c r="BN492" s="34"/>
      <c r="BO492" s="34"/>
      <c r="BP492" s="34"/>
      <c r="BQ492" s="34"/>
      <c r="BR492" s="34"/>
      <c r="BS492" s="34"/>
      <c r="BT492" s="34"/>
      <c r="BU492" s="34"/>
      <c r="BV492" s="34"/>
      <c r="BW492" s="34"/>
      <c r="BX492" s="34"/>
      <c r="BY492" s="34"/>
    </row>
    <row r="493" spans="1:77" x14ac:dyDescent="0.3">
      <c r="A493" s="39"/>
      <c r="B493" s="42"/>
      <c r="C493" s="42"/>
      <c r="D493" s="75"/>
      <c r="E493" s="75"/>
      <c r="F493" s="76"/>
      <c r="G493" s="47"/>
      <c r="H493" s="47"/>
      <c r="I493" s="75"/>
      <c r="J493" s="76"/>
      <c r="K493" s="76"/>
      <c r="L493" s="75"/>
      <c r="M493" s="49"/>
      <c r="N493" s="76"/>
      <c r="O493" s="49"/>
      <c r="P493" s="77"/>
      <c r="Q493" s="53"/>
      <c r="R493" s="54"/>
      <c r="S493" s="55"/>
      <c r="T493" s="56"/>
      <c r="U493" s="56"/>
      <c r="V493" s="42"/>
      <c r="W493" s="57"/>
      <c r="X493" s="58"/>
      <c r="Y493" s="75"/>
      <c r="Z493" s="59"/>
      <c r="AA493" s="61"/>
      <c r="AB493" s="61"/>
      <c r="AC493" s="61"/>
      <c r="AD493" s="62"/>
      <c r="AE493" s="62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  <c r="AZ493" s="34"/>
      <c r="BA493" s="34"/>
      <c r="BB493" s="34"/>
      <c r="BD493" s="34"/>
      <c r="BE493" s="34"/>
      <c r="BF493" s="34"/>
      <c r="BG493" s="34"/>
      <c r="BH493" s="34"/>
      <c r="BI493" s="34"/>
      <c r="BJ493" s="34"/>
      <c r="BK493" s="34"/>
      <c r="BL493" s="34"/>
      <c r="BM493" s="34"/>
      <c r="BN493" s="34"/>
      <c r="BO493" s="34"/>
      <c r="BP493" s="34"/>
      <c r="BQ493" s="34"/>
      <c r="BR493" s="34"/>
      <c r="BS493" s="34"/>
      <c r="BT493" s="34"/>
      <c r="BU493" s="34"/>
      <c r="BV493" s="34"/>
      <c r="BW493" s="34"/>
      <c r="BX493" s="34"/>
      <c r="BY493" s="34"/>
    </row>
    <row r="494" spans="1:77" x14ac:dyDescent="0.3">
      <c r="A494" s="39"/>
      <c r="B494" s="42"/>
      <c r="C494" s="42"/>
      <c r="D494" s="75"/>
      <c r="E494" s="75"/>
      <c r="F494" s="76"/>
      <c r="G494" s="47"/>
      <c r="H494" s="47"/>
      <c r="I494" s="75"/>
      <c r="J494" s="76"/>
      <c r="K494" s="76"/>
      <c r="L494" s="75"/>
      <c r="M494" s="49"/>
      <c r="N494" s="76"/>
      <c r="O494" s="49"/>
      <c r="P494" s="77"/>
      <c r="Q494" s="53"/>
      <c r="R494" s="54"/>
      <c r="S494" s="55"/>
      <c r="T494" s="56"/>
      <c r="U494" s="56"/>
      <c r="V494" s="42"/>
      <c r="W494" s="57"/>
      <c r="X494" s="58"/>
      <c r="Y494" s="75"/>
      <c r="Z494" s="59"/>
      <c r="AA494" s="61"/>
      <c r="AB494" s="61"/>
      <c r="AC494" s="61"/>
      <c r="AD494" s="62"/>
      <c r="AE494" s="62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  <c r="AZ494" s="34"/>
      <c r="BA494" s="34"/>
      <c r="BB494" s="34"/>
      <c r="BD494" s="34"/>
      <c r="BE494" s="34"/>
      <c r="BF494" s="34"/>
      <c r="BG494" s="34"/>
      <c r="BH494" s="34"/>
      <c r="BI494" s="34"/>
      <c r="BJ494" s="34"/>
      <c r="BK494" s="34"/>
      <c r="BL494" s="34"/>
      <c r="BM494" s="34"/>
      <c r="BN494" s="34"/>
      <c r="BO494" s="34"/>
      <c r="BP494" s="34"/>
      <c r="BQ494" s="34"/>
      <c r="BR494" s="34"/>
      <c r="BS494" s="34"/>
      <c r="BT494" s="34"/>
      <c r="BU494" s="34"/>
      <c r="BV494" s="34"/>
      <c r="BW494" s="34"/>
      <c r="BX494" s="34"/>
      <c r="BY494" s="34"/>
    </row>
    <row r="495" spans="1:77" x14ac:dyDescent="0.3">
      <c r="A495" s="39"/>
      <c r="B495" s="42"/>
      <c r="C495" s="42"/>
      <c r="D495" s="75"/>
      <c r="E495" s="75"/>
      <c r="F495" s="76"/>
      <c r="G495" s="47"/>
      <c r="H495" s="47"/>
      <c r="I495" s="75"/>
      <c r="J495" s="76"/>
      <c r="K495" s="76"/>
      <c r="L495" s="75"/>
      <c r="M495" s="49"/>
      <c r="N495" s="76"/>
      <c r="O495" s="49"/>
      <c r="P495" s="77"/>
      <c r="Q495" s="53"/>
      <c r="R495" s="54"/>
      <c r="S495" s="55"/>
      <c r="T495" s="56"/>
      <c r="U495" s="56"/>
      <c r="V495" s="42"/>
      <c r="W495" s="57"/>
      <c r="X495" s="58"/>
      <c r="Y495" s="75"/>
      <c r="Z495" s="59"/>
      <c r="AA495" s="61"/>
      <c r="AB495" s="61"/>
      <c r="AC495" s="61"/>
      <c r="AD495" s="62"/>
      <c r="AE495" s="62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  <c r="AZ495" s="34"/>
      <c r="BA495" s="34"/>
      <c r="BB495" s="34"/>
      <c r="BD495" s="34"/>
      <c r="BE495" s="34"/>
      <c r="BF495" s="34"/>
      <c r="BG495" s="34"/>
      <c r="BH495" s="34"/>
      <c r="BI495" s="34"/>
      <c r="BJ495" s="34"/>
      <c r="BK495" s="34"/>
      <c r="BL495" s="34"/>
      <c r="BM495" s="34"/>
      <c r="BN495" s="34"/>
      <c r="BO495" s="34"/>
      <c r="BP495" s="34"/>
      <c r="BQ495" s="34"/>
      <c r="BR495" s="34"/>
      <c r="BS495" s="34"/>
      <c r="BT495" s="34"/>
      <c r="BU495" s="34"/>
      <c r="BV495" s="34"/>
      <c r="BW495" s="34"/>
      <c r="BX495" s="34"/>
      <c r="BY495" s="34"/>
    </row>
    <row r="496" spans="1:77" x14ac:dyDescent="0.3">
      <c r="A496" s="39"/>
      <c r="B496" s="42"/>
      <c r="C496" s="42"/>
      <c r="D496" s="75"/>
      <c r="E496" s="75"/>
      <c r="F496" s="76"/>
      <c r="G496" s="47"/>
      <c r="H496" s="47"/>
      <c r="I496" s="75"/>
      <c r="J496" s="76"/>
      <c r="K496" s="76"/>
      <c r="L496" s="75"/>
      <c r="M496" s="49"/>
      <c r="N496" s="76"/>
      <c r="O496" s="49"/>
      <c r="P496" s="77"/>
      <c r="Q496" s="53"/>
      <c r="R496" s="54"/>
      <c r="S496" s="55"/>
      <c r="T496" s="56"/>
      <c r="U496" s="56"/>
      <c r="V496" s="42"/>
      <c r="W496" s="57"/>
      <c r="X496" s="58"/>
      <c r="Y496" s="75"/>
      <c r="Z496" s="59"/>
      <c r="AA496" s="61"/>
      <c r="AB496" s="61"/>
      <c r="AC496" s="61"/>
      <c r="AD496" s="62"/>
      <c r="AE496" s="62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34"/>
      <c r="BA496" s="34"/>
      <c r="BB496" s="34"/>
      <c r="BD496" s="34"/>
      <c r="BE496" s="34"/>
      <c r="BF496" s="34"/>
      <c r="BG496" s="34"/>
      <c r="BH496" s="34"/>
      <c r="BI496" s="34"/>
      <c r="BJ496" s="34"/>
      <c r="BK496" s="34"/>
      <c r="BL496" s="34"/>
      <c r="BM496" s="34"/>
      <c r="BN496" s="34"/>
      <c r="BO496" s="34"/>
      <c r="BP496" s="34"/>
      <c r="BQ496" s="34"/>
      <c r="BR496" s="34"/>
      <c r="BS496" s="34"/>
      <c r="BT496" s="34"/>
      <c r="BU496" s="34"/>
      <c r="BV496" s="34"/>
      <c r="BW496" s="34"/>
      <c r="BX496" s="34"/>
      <c r="BY496" s="34"/>
    </row>
    <row r="497" spans="1:77" x14ac:dyDescent="0.3">
      <c r="A497" s="39"/>
      <c r="B497" s="42"/>
      <c r="C497" s="42"/>
      <c r="D497" s="75"/>
      <c r="E497" s="75"/>
      <c r="F497" s="76"/>
      <c r="G497" s="47"/>
      <c r="H497" s="47"/>
      <c r="I497" s="75"/>
      <c r="J497" s="76"/>
      <c r="K497" s="76"/>
      <c r="L497" s="75"/>
      <c r="M497" s="49"/>
      <c r="N497" s="76"/>
      <c r="O497" s="49"/>
      <c r="P497" s="77"/>
      <c r="Q497" s="53"/>
      <c r="R497" s="54"/>
      <c r="S497" s="55"/>
      <c r="T497" s="56"/>
      <c r="U497" s="56"/>
      <c r="V497" s="42"/>
      <c r="W497" s="57"/>
      <c r="X497" s="58"/>
      <c r="Y497" s="75"/>
      <c r="Z497" s="59"/>
      <c r="AA497" s="61"/>
      <c r="AB497" s="61"/>
      <c r="AC497" s="61"/>
      <c r="AD497" s="62"/>
      <c r="AE497" s="62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  <c r="AZ497" s="34"/>
      <c r="BA497" s="34"/>
      <c r="BB497" s="34"/>
      <c r="BD497" s="34"/>
      <c r="BE497" s="34"/>
      <c r="BF497" s="34"/>
      <c r="BG497" s="34"/>
      <c r="BH497" s="34"/>
      <c r="BI497" s="34"/>
      <c r="BJ497" s="34"/>
      <c r="BK497" s="34"/>
      <c r="BL497" s="34"/>
      <c r="BM497" s="34"/>
      <c r="BN497" s="34"/>
      <c r="BO497" s="34"/>
      <c r="BP497" s="34"/>
      <c r="BQ497" s="34"/>
      <c r="BR497" s="34"/>
      <c r="BS497" s="34"/>
      <c r="BT497" s="34"/>
      <c r="BU497" s="34"/>
      <c r="BV497" s="34"/>
      <c r="BW497" s="34"/>
      <c r="BX497" s="34"/>
      <c r="BY497" s="34"/>
    </row>
    <row r="498" spans="1:77" x14ac:dyDescent="0.3">
      <c r="A498" s="39"/>
      <c r="B498" s="42"/>
      <c r="C498" s="42"/>
      <c r="D498" s="75"/>
      <c r="E498" s="75"/>
      <c r="F498" s="76"/>
      <c r="G498" s="47"/>
      <c r="H498" s="47"/>
      <c r="I498" s="75"/>
      <c r="J498" s="76"/>
      <c r="K498" s="76"/>
      <c r="L498" s="75"/>
      <c r="M498" s="49"/>
      <c r="N498" s="76"/>
      <c r="O498" s="49"/>
      <c r="P498" s="77"/>
      <c r="Q498" s="53"/>
      <c r="R498" s="54"/>
      <c r="S498" s="55"/>
      <c r="T498" s="56"/>
      <c r="U498" s="56"/>
      <c r="V498" s="42"/>
      <c r="W498" s="57"/>
      <c r="X498" s="58"/>
      <c r="Y498" s="75"/>
      <c r="Z498" s="59"/>
      <c r="AA498" s="61"/>
      <c r="AB498" s="61"/>
      <c r="AC498" s="61"/>
      <c r="AD498" s="62"/>
      <c r="AE498" s="62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  <c r="AZ498" s="34"/>
      <c r="BA498" s="34"/>
      <c r="BB498" s="34"/>
      <c r="BD498" s="34"/>
      <c r="BE498" s="34"/>
      <c r="BF498" s="34"/>
      <c r="BG498" s="34"/>
      <c r="BH498" s="34"/>
      <c r="BI498" s="34"/>
      <c r="BJ498" s="34"/>
      <c r="BK498" s="34"/>
      <c r="BL498" s="34"/>
      <c r="BM498" s="34"/>
      <c r="BN498" s="34"/>
      <c r="BO498" s="34"/>
      <c r="BP498" s="34"/>
      <c r="BQ498" s="34"/>
      <c r="BR498" s="34"/>
      <c r="BS498" s="34"/>
      <c r="BT498" s="34"/>
      <c r="BU498" s="34"/>
      <c r="BV498" s="34"/>
      <c r="BW498" s="34"/>
      <c r="BX498" s="34"/>
      <c r="BY498" s="34"/>
    </row>
    <row r="499" spans="1:77" x14ac:dyDescent="0.3">
      <c r="A499" s="39"/>
      <c r="B499" s="42"/>
      <c r="C499" s="42"/>
      <c r="D499" s="75"/>
      <c r="E499" s="75"/>
      <c r="F499" s="76"/>
      <c r="G499" s="47"/>
      <c r="H499" s="47"/>
      <c r="I499" s="75"/>
      <c r="J499" s="76"/>
      <c r="K499" s="76"/>
      <c r="L499" s="75"/>
      <c r="M499" s="49"/>
      <c r="N499" s="76"/>
      <c r="O499" s="49"/>
      <c r="P499" s="77"/>
      <c r="Q499" s="53"/>
      <c r="R499" s="54"/>
      <c r="S499" s="55"/>
      <c r="T499" s="56"/>
      <c r="U499" s="56"/>
      <c r="V499" s="42"/>
      <c r="W499" s="57"/>
      <c r="X499" s="58"/>
      <c r="Y499" s="75"/>
      <c r="Z499" s="59"/>
      <c r="AA499" s="61"/>
      <c r="AB499" s="61"/>
      <c r="AC499" s="61"/>
      <c r="AD499" s="62"/>
      <c r="AE499" s="62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  <c r="AZ499" s="34"/>
      <c r="BA499" s="34"/>
      <c r="BB499" s="34"/>
      <c r="BD499" s="34"/>
      <c r="BE499" s="34"/>
      <c r="BF499" s="34"/>
      <c r="BG499" s="34"/>
      <c r="BH499" s="34"/>
      <c r="BI499" s="34"/>
      <c r="BJ499" s="34"/>
      <c r="BK499" s="34"/>
      <c r="BL499" s="34"/>
      <c r="BM499" s="34"/>
      <c r="BN499" s="34"/>
      <c r="BO499" s="34"/>
      <c r="BP499" s="34"/>
      <c r="BQ499" s="34"/>
      <c r="BR499" s="34"/>
      <c r="BS499" s="34"/>
      <c r="BT499" s="34"/>
      <c r="BU499" s="34"/>
      <c r="BV499" s="34"/>
      <c r="BW499" s="34"/>
      <c r="BX499" s="34"/>
      <c r="BY499" s="34"/>
    </row>
    <row r="500" spans="1:77" x14ac:dyDescent="0.3">
      <c r="A500" s="39"/>
      <c r="B500" s="42"/>
      <c r="C500" s="42"/>
      <c r="D500" s="75"/>
      <c r="E500" s="75"/>
      <c r="F500" s="76"/>
      <c r="G500" s="47"/>
      <c r="H500" s="47"/>
      <c r="I500" s="75"/>
      <c r="J500" s="76"/>
      <c r="K500" s="76"/>
      <c r="L500" s="75"/>
      <c r="M500" s="49"/>
      <c r="N500" s="76"/>
      <c r="O500" s="49"/>
      <c r="P500" s="77"/>
      <c r="Q500" s="53"/>
      <c r="R500" s="54"/>
      <c r="S500" s="55"/>
      <c r="T500" s="56"/>
      <c r="U500" s="56"/>
      <c r="V500" s="42"/>
      <c r="W500" s="57"/>
      <c r="X500" s="58"/>
      <c r="Y500" s="75"/>
      <c r="Z500" s="59"/>
      <c r="AA500" s="61"/>
      <c r="AB500" s="61"/>
      <c r="AC500" s="61"/>
      <c r="AD500" s="62"/>
      <c r="AE500" s="62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  <c r="AZ500" s="34"/>
      <c r="BA500" s="34"/>
      <c r="BB500" s="34"/>
      <c r="BD500" s="34"/>
      <c r="BE500" s="34"/>
      <c r="BF500" s="34"/>
      <c r="BG500" s="34"/>
      <c r="BH500" s="34"/>
      <c r="BI500" s="34"/>
      <c r="BJ500" s="34"/>
      <c r="BK500" s="34"/>
      <c r="BL500" s="34"/>
      <c r="BM500" s="34"/>
      <c r="BN500" s="34"/>
      <c r="BO500" s="34"/>
      <c r="BP500" s="34"/>
      <c r="BQ500" s="34"/>
      <c r="BR500" s="34"/>
      <c r="BS500" s="34"/>
      <c r="BT500" s="34"/>
      <c r="BU500" s="34"/>
      <c r="BV500" s="34"/>
      <c r="BW500" s="34"/>
      <c r="BX500" s="34"/>
      <c r="BY500" s="34"/>
    </row>
    <row r="501" spans="1:77" x14ac:dyDescent="0.3">
      <c r="A501" s="39"/>
      <c r="B501" s="42"/>
      <c r="C501" s="42"/>
      <c r="D501" s="75"/>
      <c r="E501" s="75"/>
      <c r="F501" s="76"/>
      <c r="G501" s="47"/>
      <c r="H501" s="47"/>
      <c r="I501" s="75"/>
      <c r="J501" s="76"/>
      <c r="K501" s="76"/>
      <c r="L501" s="75"/>
      <c r="M501" s="49"/>
      <c r="N501" s="76"/>
      <c r="O501" s="49"/>
      <c r="P501" s="77"/>
      <c r="Q501" s="53"/>
      <c r="R501" s="54"/>
      <c r="S501" s="55"/>
      <c r="T501" s="56"/>
      <c r="U501" s="56"/>
      <c r="V501" s="42"/>
      <c r="W501" s="57"/>
      <c r="X501" s="58"/>
      <c r="Y501" s="75"/>
      <c r="Z501" s="59"/>
      <c r="AA501" s="61"/>
      <c r="AB501" s="61"/>
      <c r="AC501" s="61"/>
      <c r="AD501" s="62"/>
      <c r="AE501" s="62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  <c r="AQ501" s="34"/>
      <c r="AR501" s="34"/>
      <c r="AS501" s="34"/>
      <c r="AT501" s="34"/>
      <c r="AU501" s="34"/>
      <c r="AV501" s="34"/>
      <c r="AW501" s="34"/>
      <c r="AX501" s="34"/>
      <c r="AY501" s="34"/>
      <c r="AZ501" s="34"/>
      <c r="BA501" s="34"/>
      <c r="BB501" s="34"/>
      <c r="BD501" s="34"/>
      <c r="BE501" s="34"/>
      <c r="BF501" s="34"/>
      <c r="BG501" s="34"/>
      <c r="BH501" s="34"/>
      <c r="BI501" s="34"/>
      <c r="BJ501" s="34"/>
      <c r="BK501" s="34"/>
      <c r="BL501" s="34"/>
      <c r="BM501" s="34"/>
      <c r="BN501" s="34"/>
      <c r="BO501" s="34"/>
      <c r="BP501" s="34"/>
      <c r="BQ501" s="34"/>
      <c r="BR501" s="34"/>
      <c r="BS501" s="34"/>
      <c r="BT501" s="34"/>
      <c r="BU501" s="34"/>
      <c r="BV501" s="34"/>
      <c r="BW501" s="34"/>
      <c r="BX501" s="34"/>
      <c r="BY501" s="34"/>
    </row>
    <row r="502" spans="1:77" x14ac:dyDescent="0.3">
      <c r="A502" s="39"/>
      <c r="B502" s="42"/>
      <c r="C502" s="42"/>
      <c r="D502" s="75"/>
      <c r="E502" s="75"/>
      <c r="F502" s="76"/>
      <c r="G502" s="47"/>
      <c r="H502" s="47"/>
      <c r="I502" s="75"/>
      <c r="J502" s="76"/>
      <c r="K502" s="76"/>
      <c r="L502" s="75"/>
      <c r="M502" s="49"/>
      <c r="N502" s="76"/>
      <c r="O502" s="49"/>
      <c r="P502" s="77"/>
      <c r="Q502" s="53"/>
      <c r="R502" s="54"/>
      <c r="S502" s="55"/>
      <c r="T502" s="56"/>
      <c r="U502" s="56"/>
      <c r="V502" s="42"/>
      <c r="W502" s="57"/>
      <c r="X502" s="58"/>
      <c r="Y502" s="75"/>
      <c r="Z502" s="59"/>
      <c r="AA502" s="61"/>
      <c r="AB502" s="61"/>
      <c r="AC502" s="61"/>
      <c r="AD502" s="62"/>
      <c r="AE502" s="62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  <c r="AQ502" s="34"/>
      <c r="AR502" s="34"/>
      <c r="AS502" s="34"/>
      <c r="AT502" s="34"/>
      <c r="AU502" s="34"/>
      <c r="AV502" s="34"/>
      <c r="AW502" s="34"/>
      <c r="AX502" s="34"/>
      <c r="AY502" s="34"/>
      <c r="AZ502" s="34"/>
      <c r="BA502" s="34"/>
      <c r="BB502" s="34"/>
      <c r="BD502" s="34"/>
      <c r="BE502" s="34"/>
      <c r="BF502" s="34"/>
      <c r="BG502" s="34"/>
      <c r="BH502" s="34"/>
      <c r="BI502" s="34"/>
      <c r="BJ502" s="34"/>
      <c r="BK502" s="34"/>
      <c r="BL502" s="34"/>
      <c r="BM502" s="34"/>
      <c r="BN502" s="34"/>
      <c r="BO502" s="34"/>
      <c r="BP502" s="34"/>
      <c r="BQ502" s="34"/>
      <c r="BR502" s="34"/>
      <c r="BS502" s="34"/>
      <c r="BT502" s="34"/>
      <c r="BU502" s="34"/>
      <c r="BV502" s="34"/>
      <c r="BW502" s="34"/>
      <c r="BX502" s="34"/>
      <c r="BY502" s="34"/>
    </row>
    <row r="503" spans="1:77" x14ac:dyDescent="0.3">
      <c r="A503" s="39"/>
      <c r="B503" s="42"/>
      <c r="C503" s="42"/>
      <c r="D503" s="75"/>
      <c r="E503" s="75"/>
      <c r="F503" s="76"/>
      <c r="G503" s="47"/>
      <c r="H503" s="47"/>
      <c r="I503" s="75"/>
      <c r="J503" s="76"/>
      <c r="K503" s="76"/>
      <c r="L503" s="75"/>
      <c r="M503" s="49"/>
      <c r="N503" s="76"/>
      <c r="O503" s="49"/>
      <c r="P503" s="77"/>
      <c r="Q503" s="53"/>
      <c r="R503" s="54"/>
      <c r="S503" s="55"/>
      <c r="T503" s="56"/>
      <c r="U503" s="56"/>
      <c r="V503" s="42"/>
      <c r="W503" s="57"/>
      <c r="X503" s="58"/>
      <c r="Y503" s="75"/>
      <c r="Z503" s="59"/>
      <c r="AA503" s="61"/>
      <c r="AB503" s="61"/>
      <c r="AC503" s="61"/>
      <c r="AD503" s="62"/>
      <c r="AE503" s="62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/>
      <c r="BB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/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</row>
    <row r="504" spans="1:77" x14ac:dyDescent="0.3">
      <c r="A504" s="39"/>
      <c r="B504" s="42"/>
      <c r="C504" s="42"/>
      <c r="D504" s="75"/>
      <c r="E504" s="75"/>
      <c r="F504" s="76"/>
      <c r="G504" s="47"/>
      <c r="H504" s="47"/>
      <c r="I504" s="75"/>
      <c r="J504" s="76"/>
      <c r="K504" s="76"/>
      <c r="L504" s="75"/>
      <c r="M504" s="49"/>
      <c r="N504" s="76"/>
      <c r="O504" s="49"/>
      <c r="P504" s="77"/>
      <c r="Q504" s="53"/>
      <c r="R504" s="54"/>
      <c r="S504" s="55"/>
      <c r="T504" s="56"/>
      <c r="U504" s="56"/>
      <c r="V504" s="42"/>
      <c r="W504" s="57"/>
      <c r="X504" s="58"/>
      <c r="Y504" s="75"/>
      <c r="Z504" s="59"/>
      <c r="AA504" s="61"/>
      <c r="AB504" s="61"/>
      <c r="AC504" s="61"/>
      <c r="AD504" s="62"/>
      <c r="AE504" s="62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/>
      <c r="BB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34"/>
      <c r="BP504" s="34"/>
      <c r="BQ504" s="34"/>
      <c r="BR504" s="34"/>
      <c r="BS504" s="34"/>
      <c r="BT504" s="34"/>
      <c r="BU504" s="34"/>
      <c r="BV504" s="34"/>
      <c r="BW504" s="34"/>
      <c r="BX504" s="34"/>
      <c r="BY504" s="34"/>
    </row>
    <row r="505" spans="1:77" x14ac:dyDescent="0.3">
      <c r="A505" s="39"/>
      <c r="B505" s="42"/>
      <c r="C505" s="42"/>
      <c r="D505" s="75"/>
      <c r="E505" s="75"/>
      <c r="F505" s="76"/>
      <c r="G505" s="47"/>
      <c r="H505" s="47"/>
      <c r="I505" s="75"/>
      <c r="J505" s="76"/>
      <c r="K505" s="76"/>
      <c r="L505" s="75"/>
      <c r="M505" s="49"/>
      <c r="N505" s="76"/>
      <c r="O505" s="49"/>
      <c r="P505" s="77"/>
      <c r="Q505" s="53"/>
      <c r="R505" s="54"/>
      <c r="S505" s="55"/>
      <c r="T505" s="56"/>
      <c r="U505" s="56"/>
      <c r="V505" s="42"/>
      <c r="W505" s="57"/>
      <c r="X505" s="58"/>
      <c r="Y505" s="75"/>
      <c r="Z505" s="59"/>
      <c r="AA505" s="61"/>
      <c r="AB505" s="61"/>
      <c r="AC505" s="61"/>
      <c r="AD505" s="62"/>
      <c r="AE505" s="62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/>
      <c r="BB505" s="34"/>
      <c r="BD505" s="34"/>
      <c r="BE505" s="34"/>
      <c r="BF505" s="34"/>
      <c r="BG505" s="34"/>
      <c r="BH505" s="34"/>
      <c r="BI505" s="34"/>
      <c r="BJ505" s="34"/>
      <c r="BK505" s="34"/>
      <c r="BL505" s="34"/>
      <c r="BM505" s="34"/>
      <c r="BN505" s="34"/>
      <c r="BO505" s="34"/>
      <c r="BP505" s="34"/>
      <c r="BQ505" s="34"/>
      <c r="BR505" s="34"/>
      <c r="BS505" s="34"/>
      <c r="BT505" s="34"/>
      <c r="BU505" s="34"/>
      <c r="BV505" s="34"/>
      <c r="BW505" s="34"/>
      <c r="BX505" s="34"/>
      <c r="BY505" s="34"/>
    </row>
    <row r="506" spans="1:77" x14ac:dyDescent="0.3">
      <c r="A506" s="39"/>
      <c r="B506" s="42"/>
      <c r="C506" s="42"/>
      <c r="D506" s="75"/>
      <c r="E506" s="75"/>
      <c r="F506" s="76"/>
      <c r="G506" s="47"/>
      <c r="H506" s="47"/>
      <c r="I506" s="75"/>
      <c r="J506" s="76"/>
      <c r="K506" s="76"/>
      <c r="L506" s="75"/>
      <c r="M506" s="49"/>
      <c r="N506" s="76"/>
      <c r="O506" s="49"/>
      <c r="P506" s="77"/>
      <c r="Q506" s="53"/>
      <c r="R506" s="54"/>
      <c r="S506" s="55"/>
      <c r="T506" s="56"/>
      <c r="U506" s="56"/>
      <c r="V506" s="42"/>
      <c r="W506" s="57"/>
      <c r="X506" s="58"/>
      <c r="Y506" s="75"/>
      <c r="Z506" s="59"/>
      <c r="AA506" s="61"/>
      <c r="AB506" s="61"/>
      <c r="AC506" s="61"/>
      <c r="AD506" s="62"/>
      <c r="AE506" s="62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/>
      <c r="BB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/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</row>
    <row r="507" spans="1:77" x14ac:dyDescent="0.3">
      <c r="A507" s="39"/>
      <c r="B507" s="42"/>
      <c r="C507" s="42"/>
      <c r="D507" s="75"/>
      <c r="E507" s="75"/>
      <c r="F507" s="76"/>
      <c r="G507" s="47"/>
      <c r="H507" s="47"/>
      <c r="I507" s="75"/>
      <c r="J507" s="76"/>
      <c r="K507" s="76"/>
      <c r="L507" s="75"/>
      <c r="M507" s="49"/>
      <c r="N507" s="76"/>
      <c r="O507" s="49"/>
      <c r="P507" s="77"/>
      <c r="Q507" s="53"/>
      <c r="R507" s="54"/>
      <c r="S507" s="55"/>
      <c r="T507" s="56"/>
      <c r="U507" s="56"/>
      <c r="V507" s="42"/>
      <c r="W507" s="57"/>
      <c r="X507" s="58"/>
      <c r="Y507" s="75"/>
      <c r="Z507" s="59"/>
      <c r="AA507" s="61"/>
      <c r="AB507" s="61"/>
      <c r="AC507" s="61"/>
      <c r="AD507" s="62"/>
      <c r="AE507" s="62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/>
      <c r="BB507" s="34"/>
      <c r="BD507" s="34"/>
      <c r="BE507" s="34"/>
      <c r="BF507" s="34"/>
      <c r="BG507" s="34"/>
      <c r="BH507" s="34"/>
      <c r="BI507" s="34"/>
      <c r="BJ507" s="34"/>
      <c r="BK507" s="34"/>
      <c r="BL507" s="34"/>
      <c r="BM507" s="34"/>
      <c r="BN507" s="34"/>
      <c r="BO507" s="34"/>
      <c r="BP507" s="34"/>
      <c r="BQ507" s="34"/>
      <c r="BR507" s="34"/>
      <c r="BS507" s="34"/>
      <c r="BT507" s="34"/>
      <c r="BU507" s="34"/>
      <c r="BV507" s="34"/>
      <c r="BW507" s="34"/>
      <c r="BX507" s="34"/>
      <c r="BY507" s="34"/>
    </row>
    <row r="508" spans="1:77" x14ac:dyDescent="0.3">
      <c r="A508" s="39"/>
      <c r="B508" s="42"/>
      <c r="C508" s="42"/>
      <c r="D508" s="75"/>
      <c r="E508" s="75"/>
      <c r="F508" s="76"/>
      <c r="G508" s="47"/>
      <c r="H508" s="47"/>
      <c r="I508" s="75"/>
      <c r="J508" s="76"/>
      <c r="K508" s="76"/>
      <c r="L508" s="75"/>
      <c r="M508" s="49"/>
      <c r="N508" s="76"/>
      <c r="O508" s="49"/>
      <c r="P508" s="77"/>
      <c r="Q508" s="53"/>
      <c r="R508" s="54"/>
      <c r="S508" s="55"/>
      <c r="T508" s="56"/>
      <c r="U508" s="56"/>
      <c r="V508" s="42"/>
      <c r="W508" s="57"/>
      <c r="X508" s="58"/>
      <c r="Y508" s="75"/>
      <c r="Z508" s="59"/>
      <c r="AA508" s="61"/>
      <c r="AB508" s="61"/>
      <c r="AC508" s="61"/>
      <c r="AD508" s="62"/>
      <c r="AE508" s="62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34"/>
      <c r="BA508" s="34"/>
      <c r="BB508" s="34"/>
      <c r="BD508" s="34"/>
      <c r="BE508" s="34"/>
      <c r="BF508" s="34"/>
      <c r="BG508" s="34"/>
      <c r="BH508" s="34"/>
      <c r="BI508" s="34"/>
      <c r="BJ508" s="34"/>
      <c r="BK508" s="34"/>
      <c r="BL508" s="34"/>
      <c r="BM508" s="34"/>
      <c r="BN508" s="34"/>
      <c r="BO508" s="34"/>
      <c r="BP508" s="34"/>
      <c r="BQ508" s="34"/>
      <c r="BR508" s="34"/>
      <c r="BS508" s="34"/>
      <c r="BT508" s="34"/>
      <c r="BU508" s="34"/>
      <c r="BV508" s="34"/>
      <c r="BW508" s="34"/>
      <c r="BX508" s="34"/>
      <c r="BY508" s="34"/>
    </row>
    <row r="509" spans="1:77" x14ac:dyDescent="0.3">
      <c r="A509" s="39"/>
      <c r="B509" s="42"/>
      <c r="C509" s="42"/>
      <c r="D509" s="75"/>
      <c r="E509" s="75"/>
      <c r="F509" s="76"/>
      <c r="G509" s="47"/>
      <c r="H509" s="47"/>
      <c r="I509" s="75"/>
      <c r="J509" s="76"/>
      <c r="K509" s="76"/>
      <c r="L509" s="75"/>
      <c r="M509" s="49"/>
      <c r="N509" s="76"/>
      <c r="O509" s="49"/>
      <c r="P509" s="77"/>
      <c r="Q509" s="53"/>
      <c r="R509" s="54"/>
      <c r="S509" s="55"/>
      <c r="T509" s="56"/>
      <c r="U509" s="56"/>
      <c r="V509" s="42"/>
      <c r="W509" s="57"/>
      <c r="X509" s="58"/>
      <c r="Y509" s="75"/>
      <c r="Z509" s="59"/>
      <c r="AA509" s="61"/>
      <c r="AB509" s="61"/>
      <c r="AC509" s="61"/>
      <c r="AD509" s="62"/>
      <c r="AE509" s="62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  <c r="AQ509" s="34"/>
      <c r="AR509" s="34"/>
      <c r="AS509" s="34"/>
      <c r="AT509" s="34"/>
      <c r="AU509" s="34"/>
      <c r="AV509" s="34"/>
      <c r="AW509" s="34"/>
      <c r="AX509" s="34"/>
      <c r="AY509" s="34"/>
      <c r="AZ509" s="34"/>
      <c r="BA509" s="34"/>
      <c r="BB509" s="34"/>
      <c r="BD509" s="34"/>
      <c r="BE509" s="34"/>
      <c r="BF509" s="34"/>
      <c r="BG509" s="34"/>
      <c r="BH509" s="34"/>
      <c r="BI509" s="34"/>
      <c r="BJ509" s="34"/>
      <c r="BK509" s="34"/>
      <c r="BL509" s="34"/>
      <c r="BM509" s="34"/>
      <c r="BN509" s="34"/>
      <c r="BO509" s="34"/>
      <c r="BP509" s="34"/>
      <c r="BQ509" s="34"/>
      <c r="BR509" s="34"/>
      <c r="BS509" s="34"/>
      <c r="BT509" s="34"/>
      <c r="BU509" s="34"/>
      <c r="BV509" s="34"/>
      <c r="BW509" s="34"/>
      <c r="BX509" s="34"/>
      <c r="BY509" s="34"/>
    </row>
    <row r="510" spans="1:77" x14ac:dyDescent="0.3">
      <c r="A510" s="39"/>
      <c r="B510" s="42"/>
      <c r="C510" s="42"/>
      <c r="D510" s="75"/>
      <c r="E510" s="75"/>
      <c r="F510" s="76"/>
      <c r="G510" s="47"/>
      <c r="H510" s="47"/>
      <c r="I510" s="75"/>
      <c r="J510" s="76"/>
      <c r="K510" s="76"/>
      <c r="L510" s="75"/>
      <c r="M510" s="49"/>
      <c r="N510" s="76"/>
      <c r="O510" s="49"/>
      <c r="P510" s="77"/>
      <c r="Q510" s="53"/>
      <c r="R510" s="54"/>
      <c r="S510" s="55"/>
      <c r="T510" s="56"/>
      <c r="U510" s="56"/>
      <c r="V510" s="42"/>
      <c r="W510" s="57"/>
      <c r="X510" s="58"/>
      <c r="Y510" s="75"/>
      <c r="Z510" s="59"/>
      <c r="AA510" s="61"/>
      <c r="AB510" s="61"/>
      <c r="AC510" s="61"/>
      <c r="AD510" s="62"/>
      <c r="AE510" s="62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  <c r="AQ510" s="34"/>
      <c r="AR510" s="34"/>
      <c r="AS510" s="34"/>
      <c r="AT510" s="34"/>
      <c r="AU510" s="34"/>
      <c r="AV510" s="34"/>
      <c r="AW510" s="34"/>
      <c r="AX510" s="34"/>
      <c r="AY510" s="34"/>
      <c r="AZ510" s="34"/>
      <c r="BA510" s="34"/>
      <c r="BB510" s="34"/>
      <c r="BD510" s="34"/>
      <c r="BE510" s="34"/>
      <c r="BF510" s="34"/>
      <c r="BG510" s="34"/>
      <c r="BH510" s="34"/>
      <c r="BI510" s="34"/>
      <c r="BJ510" s="34"/>
      <c r="BK510" s="34"/>
      <c r="BL510" s="34"/>
      <c r="BM510" s="34"/>
      <c r="BN510" s="34"/>
      <c r="BO510" s="34"/>
      <c r="BP510" s="34"/>
      <c r="BQ510" s="34"/>
      <c r="BR510" s="34"/>
      <c r="BS510" s="34"/>
      <c r="BT510" s="34"/>
      <c r="BU510" s="34"/>
      <c r="BV510" s="34"/>
      <c r="BW510" s="34"/>
      <c r="BX510" s="34"/>
      <c r="BY510" s="34"/>
    </row>
    <row r="511" spans="1:77" x14ac:dyDescent="0.3">
      <c r="A511" s="39"/>
      <c r="B511" s="42"/>
      <c r="C511" s="42"/>
      <c r="D511" s="75"/>
      <c r="E511" s="75"/>
      <c r="F511" s="76"/>
      <c r="G511" s="47"/>
      <c r="H511" s="47"/>
      <c r="I511" s="75"/>
      <c r="J511" s="76"/>
      <c r="K511" s="76"/>
      <c r="L511" s="75"/>
      <c r="M511" s="49"/>
      <c r="N511" s="76"/>
      <c r="O511" s="49"/>
      <c r="P511" s="77"/>
      <c r="Q511" s="53"/>
      <c r="R511" s="54"/>
      <c r="S511" s="55"/>
      <c r="T511" s="56"/>
      <c r="U511" s="56"/>
      <c r="V511" s="42"/>
      <c r="W511" s="57"/>
      <c r="X511" s="58"/>
      <c r="Y511" s="75"/>
      <c r="Z511" s="59"/>
      <c r="AA511" s="61"/>
      <c r="AB511" s="61"/>
      <c r="AC511" s="61"/>
      <c r="AD511" s="62"/>
      <c r="AE511" s="62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  <c r="AQ511" s="34"/>
      <c r="AR511" s="34"/>
      <c r="AS511" s="34"/>
      <c r="AT511" s="34"/>
      <c r="AU511" s="34"/>
      <c r="AV511" s="34"/>
      <c r="AW511" s="34"/>
      <c r="AX511" s="34"/>
      <c r="AY511" s="34"/>
      <c r="AZ511" s="34"/>
      <c r="BA511" s="34"/>
      <c r="BB511" s="34"/>
      <c r="BD511" s="34"/>
      <c r="BE511" s="34"/>
      <c r="BF511" s="34"/>
      <c r="BG511" s="34"/>
      <c r="BH511" s="34"/>
      <c r="BI511" s="34"/>
      <c r="BJ511" s="34"/>
      <c r="BK511" s="34"/>
      <c r="BL511" s="34"/>
      <c r="BM511" s="34"/>
      <c r="BN511" s="34"/>
      <c r="BO511" s="34"/>
      <c r="BP511" s="34"/>
      <c r="BQ511" s="34"/>
      <c r="BR511" s="34"/>
      <c r="BS511" s="34"/>
      <c r="BT511" s="34"/>
      <c r="BU511" s="34"/>
      <c r="BV511" s="34"/>
      <c r="BW511" s="34"/>
      <c r="BX511" s="34"/>
      <c r="BY511" s="34"/>
    </row>
    <row r="512" spans="1:77" x14ac:dyDescent="0.3">
      <c r="A512" s="39"/>
      <c r="B512" s="42"/>
      <c r="C512" s="42"/>
      <c r="D512" s="75"/>
      <c r="E512" s="75"/>
      <c r="F512" s="76"/>
      <c r="G512" s="47"/>
      <c r="H512" s="47"/>
      <c r="I512" s="75"/>
      <c r="J512" s="76"/>
      <c r="K512" s="76"/>
      <c r="L512" s="75"/>
      <c r="M512" s="49"/>
      <c r="N512" s="76"/>
      <c r="O512" s="49"/>
      <c r="P512" s="77"/>
      <c r="Q512" s="53"/>
      <c r="R512" s="54"/>
      <c r="S512" s="55"/>
      <c r="T512" s="56"/>
      <c r="U512" s="56"/>
      <c r="V512" s="42"/>
      <c r="W512" s="57"/>
      <c r="X512" s="58"/>
      <c r="Y512" s="75"/>
      <c r="Z512" s="59"/>
      <c r="AA512" s="61"/>
      <c r="AB512" s="61"/>
      <c r="AC512" s="61"/>
      <c r="AD512" s="62"/>
      <c r="AE512" s="62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/>
      <c r="BB512" s="34"/>
      <c r="BD512" s="34"/>
      <c r="BE512" s="34"/>
      <c r="BF512" s="34"/>
      <c r="BG512" s="34"/>
      <c r="BH512" s="34"/>
      <c r="BI512" s="34"/>
      <c r="BJ512" s="34"/>
      <c r="BK512" s="34"/>
      <c r="BL512" s="34"/>
      <c r="BM512" s="34"/>
      <c r="BN512" s="34"/>
      <c r="BO512" s="34"/>
      <c r="BP512" s="34"/>
      <c r="BQ512" s="34"/>
      <c r="BR512" s="34"/>
      <c r="BS512" s="34"/>
      <c r="BT512" s="34"/>
      <c r="BU512" s="34"/>
      <c r="BV512" s="34"/>
      <c r="BW512" s="34"/>
      <c r="BX512" s="34"/>
      <c r="BY512" s="34"/>
    </row>
    <row r="513" spans="1:77" x14ac:dyDescent="0.3">
      <c r="A513" s="39"/>
      <c r="B513" s="42"/>
      <c r="C513" s="42"/>
      <c r="D513" s="75"/>
      <c r="E513" s="75"/>
      <c r="F513" s="76"/>
      <c r="G513" s="47"/>
      <c r="H513" s="47"/>
      <c r="I513" s="75"/>
      <c r="J513" s="76"/>
      <c r="K513" s="76"/>
      <c r="L513" s="75"/>
      <c r="M513" s="49"/>
      <c r="N513" s="76"/>
      <c r="O513" s="49"/>
      <c r="P513" s="77"/>
      <c r="Q513" s="53"/>
      <c r="R513" s="54"/>
      <c r="S513" s="55"/>
      <c r="T513" s="56"/>
      <c r="U513" s="56"/>
      <c r="V513" s="42"/>
      <c r="W513" s="57"/>
      <c r="X513" s="58"/>
      <c r="Y513" s="75"/>
      <c r="Z513" s="59"/>
      <c r="AA513" s="61"/>
      <c r="AB513" s="61"/>
      <c r="AC513" s="61"/>
      <c r="AD513" s="62"/>
      <c r="AE513" s="62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  <c r="AQ513" s="34"/>
      <c r="AR513" s="34"/>
      <c r="AS513" s="34"/>
      <c r="AT513" s="34"/>
      <c r="AU513" s="34"/>
      <c r="AV513" s="34"/>
      <c r="AW513" s="34"/>
      <c r="AX513" s="34"/>
      <c r="AY513" s="34"/>
      <c r="AZ513" s="34"/>
      <c r="BA513" s="34"/>
      <c r="BB513" s="34"/>
      <c r="BD513" s="34"/>
      <c r="BE513" s="34"/>
      <c r="BF513" s="34"/>
      <c r="BG513" s="34"/>
      <c r="BH513" s="34"/>
      <c r="BI513" s="34"/>
      <c r="BJ513" s="34"/>
      <c r="BK513" s="34"/>
      <c r="BL513" s="34"/>
      <c r="BM513" s="34"/>
      <c r="BN513" s="34"/>
      <c r="BO513" s="34"/>
      <c r="BP513" s="34"/>
      <c r="BQ513" s="34"/>
      <c r="BR513" s="34"/>
      <c r="BS513" s="34"/>
      <c r="BT513" s="34"/>
      <c r="BU513" s="34"/>
      <c r="BV513" s="34"/>
      <c r="BW513" s="34"/>
      <c r="BX513" s="34"/>
      <c r="BY513" s="34"/>
    </row>
    <row r="514" spans="1:77" x14ac:dyDescent="0.3">
      <c r="A514" s="39"/>
      <c r="B514" s="42"/>
      <c r="C514" s="42"/>
      <c r="D514" s="75"/>
      <c r="E514" s="75"/>
      <c r="F514" s="76"/>
      <c r="G514" s="47"/>
      <c r="H514" s="47"/>
      <c r="I514" s="75"/>
      <c r="J514" s="76"/>
      <c r="K514" s="76"/>
      <c r="L514" s="75"/>
      <c r="M514" s="49"/>
      <c r="N514" s="76"/>
      <c r="O514" s="49"/>
      <c r="P514" s="77"/>
      <c r="Q514" s="53"/>
      <c r="R514" s="54"/>
      <c r="S514" s="55"/>
      <c r="T514" s="56"/>
      <c r="U514" s="56"/>
      <c r="V514" s="42"/>
      <c r="W514" s="57"/>
      <c r="X514" s="58"/>
      <c r="Y514" s="75"/>
      <c r="Z514" s="59"/>
      <c r="AA514" s="61"/>
      <c r="AB514" s="61"/>
      <c r="AC514" s="61"/>
      <c r="AD514" s="62"/>
      <c r="AE514" s="62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4"/>
      <c r="AQ514" s="34"/>
      <c r="AR514" s="34"/>
      <c r="AS514" s="34"/>
      <c r="AT514" s="34"/>
      <c r="AU514" s="34"/>
      <c r="AV514" s="34"/>
      <c r="AW514" s="34"/>
      <c r="AX514" s="34"/>
      <c r="AY514" s="34"/>
      <c r="AZ514" s="34"/>
      <c r="BA514" s="34"/>
      <c r="BB514" s="34"/>
      <c r="BD514" s="34"/>
      <c r="BE514" s="34"/>
      <c r="BF514" s="34"/>
      <c r="BG514" s="34"/>
      <c r="BH514" s="34"/>
      <c r="BI514" s="34"/>
      <c r="BJ514" s="34"/>
      <c r="BK514" s="34"/>
      <c r="BL514" s="34"/>
      <c r="BM514" s="34"/>
      <c r="BN514" s="34"/>
      <c r="BO514" s="34"/>
      <c r="BP514" s="34"/>
      <c r="BQ514" s="34"/>
      <c r="BR514" s="34"/>
      <c r="BS514" s="34"/>
      <c r="BT514" s="34"/>
      <c r="BU514" s="34"/>
      <c r="BV514" s="34"/>
      <c r="BW514" s="34"/>
      <c r="BX514" s="34"/>
      <c r="BY514" s="34"/>
    </row>
    <row r="515" spans="1:77" x14ac:dyDescent="0.3">
      <c r="A515" s="39"/>
      <c r="B515" s="42"/>
      <c r="C515" s="42"/>
      <c r="D515" s="75"/>
      <c r="E515" s="75"/>
      <c r="F515" s="76"/>
      <c r="G515" s="47"/>
      <c r="H515" s="47"/>
      <c r="I515" s="75"/>
      <c r="J515" s="76"/>
      <c r="K515" s="76"/>
      <c r="L515" s="75"/>
      <c r="M515" s="49"/>
      <c r="N515" s="76"/>
      <c r="O515" s="49"/>
      <c r="P515" s="77"/>
      <c r="Q515" s="53"/>
      <c r="R515" s="54"/>
      <c r="S515" s="55"/>
      <c r="T515" s="56"/>
      <c r="U515" s="56"/>
      <c r="V515" s="42"/>
      <c r="W515" s="57"/>
      <c r="X515" s="58"/>
      <c r="Y515" s="75"/>
      <c r="Z515" s="59"/>
      <c r="AA515" s="61"/>
      <c r="AB515" s="61"/>
      <c r="AC515" s="61"/>
      <c r="AD515" s="62"/>
      <c r="AE515" s="62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  <c r="AQ515" s="34"/>
      <c r="AR515" s="34"/>
      <c r="AS515" s="34"/>
      <c r="AT515" s="34"/>
      <c r="AU515" s="34"/>
      <c r="AV515" s="34"/>
      <c r="AW515" s="34"/>
      <c r="AX515" s="34"/>
      <c r="AY515" s="34"/>
      <c r="AZ515" s="34"/>
      <c r="BA515" s="34"/>
      <c r="BB515" s="34"/>
      <c r="BD515" s="34"/>
      <c r="BE515" s="34"/>
      <c r="BF515" s="34"/>
      <c r="BG515" s="34"/>
      <c r="BH515" s="34"/>
      <c r="BI515" s="34"/>
      <c r="BJ515" s="34"/>
      <c r="BK515" s="34"/>
      <c r="BL515" s="34"/>
      <c r="BM515" s="34"/>
      <c r="BN515" s="34"/>
      <c r="BO515" s="34"/>
      <c r="BP515" s="34"/>
      <c r="BQ515" s="34"/>
      <c r="BR515" s="34"/>
      <c r="BS515" s="34"/>
      <c r="BT515" s="34"/>
      <c r="BU515" s="34"/>
      <c r="BV515" s="34"/>
      <c r="BW515" s="34"/>
      <c r="BX515" s="34"/>
      <c r="BY515" s="34"/>
    </row>
    <row r="516" spans="1:77" x14ac:dyDescent="0.3">
      <c r="A516" s="39"/>
      <c r="B516" s="42"/>
      <c r="C516" s="42"/>
      <c r="D516" s="75"/>
      <c r="E516" s="75"/>
      <c r="F516" s="76"/>
      <c r="G516" s="47"/>
      <c r="H516" s="47"/>
      <c r="I516" s="75"/>
      <c r="J516" s="76"/>
      <c r="K516" s="76"/>
      <c r="L516" s="75"/>
      <c r="M516" s="49"/>
      <c r="N516" s="76"/>
      <c r="O516" s="49"/>
      <c r="P516" s="77"/>
      <c r="Q516" s="53"/>
      <c r="R516" s="54"/>
      <c r="S516" s="55"/>
      <c r="T516" s="56"/>
      <c r="U516" s="56"/>
      <c r="V516" s="42"/>
      <c r="W516" s="57"/>
      <c r="X516" s="58"/>
      <c r="Y516" s="75"/>
      <c r="Z516" s="59"/>
      <c r="AA516" s="61"/>
      <c r="AB516" s="61"/>
      <c r="AC516" s="61"/>
      <c r="AD516" s="62"/>
      <c r="AE516" s="62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  <c r="AP516" s="34"/>
      <c r="AQ516" s="34"/>
      <c r="AR516" s="34"/>
      <c r="AS516" s="34"/>
      <c r="AT516" s="34"/>
      <c r="AU516" s="34"/>
      <c r="AV516" s="34"/>
      <c r="AW516" s="34"/>
      <c r="AX516" s="34"/>
      <c r="AY516" s="34"/>
      <c r="AZ516" s="34"/>
      <c r="BA516" s="34"/>
      <c r="BB516" s="34"/>
      <c r="BD516" s="34"/>
      <c r="BE516" s="34"/>
      <c r="BF516" s="34"/>
      <c r="BG516" s="34"/>
      <c r="BH516" s="34"/>
      <c r="BI516" s="34"/>
      <c r="BJ516" s="34"/>
      <c r="BK516" s="34"/>
      <c r="BL516" s="34"/>
      <c r="BM516" s="34"/>
      <c r="BN516" s="34"/>
      <c r="BO516" s="34"/>
      <c r="BP516" s="34"/>
      <c r="BQ516" s="34"/>
      <c r="BR516" s="34"/>
      <c r="BS516" s="34"/>
      <c r="BT516" s="34"/>
      <c r="BU516" s="34"/>
      <c r="BV516" s="34"/>
      <c r="BW516" s="34"/>
      <c r="BX516" s="34"/>
      <c r="BY516" s="34"/>
    </row>
    <row r="517" spans="1:77" x14ac:dyDescent="0.3">
      <c r="A517" s="39"/>
      <c r="B517" s="42"/>
      <c r="C517" s="42"/>
      <c r="D517" s="75"/>
      <c r="E517" s="75"/>
      <c r="F517" s="76"/>
      <c r="G517" s="47"/>
      <c r="H517" s="47"/>
      <c r="I517" s="75"/>
      <c r="J517" s="76"/>
      <c r="K517" s="76"/>
      <c r="L517" s="75"/>
      <c r="M517" s="49"/>
      <c r="N517" s="76"/>
      <c r="O517" s="49"/>
      <c r="P517" s="77"/>
      <c r="Q517" s="53"/>
      <c r="R517" s="54"/>
      <c r="S517" s="55"/>
      <c r="T517" s="56"/>
      <c r="U517" s="56"/>
      <c r="V517" s="42"/>
      <c r="W517" s="57"/>
      <c r="X517" s="58"/>
      <c r="Y517" s="75"/>
      <c r="Z517" s="59"/>
      <c r="AA517" s="61"/>
      <c r="AB517" s="61"/>
      <c r="AC517" s="61"/>
      <c r="AD517" s="62"/>
      <c r="AE517" s="62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/>
      <c r="BB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/>
      <c r="BP517" s="34"/>
      <c r="BQ517" s="34"/>
      <c r="BR517" s="34"/>
      <c r="BS517" s="34"/>
      <c r="BT517" s="34"/>
      <c r="BU517" s="34"/>
      <c r="BV517" s="34"/>
      <c r="BW517" s="34"/>
      <c r="BX517" s="34"/>
      <c r="BY517" s="34"/>
    </row>
    <row r="518" spans="1:77" x14ac:dyDescent="0.3">
      <c r="A518" s="39"/>
      <c r="B518" s="42"/>
      <c r="C518" s="42"/>
      <c r="D518" s="75"/>
      <c r="E518" s="75"/>
      <c r="F518" s="76"/>
      <c r="G518" s="47"/>
      <c r="H518" s="47"/>
      <c r="I518" s="75"/>
      <c r="J518" s="76"/>
      <c r="K518" s="76"/>
      <c r="L518" s="75"/>
      <c r="M518" s="49"/>
      <c r="N518" s="76"/>
      <c r="O518" s="49"/>
      <c r="P518" s="77"/>
      <c r="Q518" s="53"/>
      <c r="R518" s="54"/>
      <c r="S518" s="55"/>
      <c r="T518" s="56"/>
      <c r="U518" s="56"/>
      <c r="V518" s="42"/>
      <c r="W518" s="57"/>
      <c r="X518" s="58"/>
      <c r="Y518" s="75"/>
      <c r="Z518" s="59"/>
      <c r="AA518" s="61"/>
      <c r="AB518" s="61"/>
      <c r="AC518" s="61"/>
      <c r="AD518" s="62"/>
      <c r="AE518" s="62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  <c r="AQ518" s="34"/>
      <c r="AR518" s="34"/>
      <c r="AS518" s="34"/>
      <c r="AT518" s="34"/>
      <c r="AU518" s="34"/>
      <c r="AV518" s="34"/>
      <c r="AW518" s="34"/>
      <c r="AX518" s="34"/>
      <c r="AY518" s="34"/>
      <c r="AZ518" s="34"/>
      <c r="BA518" s="34"/>
      <c r="BB518" s="34"/>
      <c r="BD518" s="34"/>
      <c r="BE518" s="34"/>
      <c r="BF518" s="34"/>
      <c r="BG518" s="34"/>
      <c r="BH518" s="34"/>
      <c r="BI518" s="34"/>
      <c r="BJ518" s="34"/>
      <c r="BK518" s="34"/>
      <c r="BL518" s="34"/>
      <c r="BM518" s="34"/>
      <c r="BN518" s="34"/>
      <c r="BO518" s="34"/>
      <c r="BP518" s="34"/>
      <c r="BQ518" s="34"/>
      <c r="BR518" s="34"/>
      <c r="BS518" s="34"/>
      <c r="BT518" s="34"/>
      <c r="BU518" s="34"/>
      <c r="BV518" s="34"/>
      <c r="BW518" s="34"/>
      <c r="BX518" s="34"/>
      <c r="BY518" s="34"/>
    </row>
    <row r="519" spans="1:77" x14ac:dyDescent="0.3">
      <c r="A519" s="39"/>
      <c r="B519" s="42"/>
      <c r="C519" s="42"/>
      <c r="D519" s="75"/>
      <c r="E519" s="75"/>
      <c r="F519" s="76"/>
      <c r="G519" s="47"/>
      <c r="H519" s="47"/>
      <c r="I519" s="75"/>
      <c r="J519" s="76"/>
      <c r="K519" s="76"/>
      <c r="L519" s="75"/>
      <c r="M519" s="49"/>
      <c r="N519" s="76"/>
      <c r="O519" s="49"/>
      <c r="P519" s="77"/>
      <c r="Q519" s="53"/>
      <c r="R519" s="54"/>
      <c r="S519" s="55"/>
      <c r="T519" s="56"/>
      <c r="U519" s="56"/>
      <c r="V519" s="42"/>
      <c r="W519" s="57"/>
      <c r="X519" s="58"/>
      <c r="Y519" s="75"/>
      <c r="Z519" s="59"/>
      <c r="AA519" s="61"/>
      <c r="AB519" s="61"/>
      <c r="AC519" s="61"/>
      <c r="AD519" s="62"/>
      <c r="AE519" s="62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4"/>
      <c r="AQ519" s="34"/>
      <c r="AR519" s="34"/>
      <c r="AS519" s="34"/>
      <c r="AT519" s="34"/>
      <c r="AU519" s="34"/>
      <c r="AV519" s="34"/>
      <c r="AW519" s="34"/>
      <c r="AX519" s="34"/>
      <c r="AY519" s="34"/>
      <c r="AZ519" s="34"/>
      <c r="BA519" s="34"/>
      <c r="BB519" s="34"/>
      <c r="BD519" s="34"/>
      <c r="BE519" s="34"/>
      <c r="BF519" s="34"/>
      <c r="BG519" s="34"/>
      <c r="BH519" s="34"/>
      <c r="BI519" s="34"/>
      <c r="BJ519" s="34"/>
      <c r="BK519" s="34"/>
      <c r="BL519" s="34"/>
      <c r="BM519" s="34"/>
      <c r="BN519" s="34"/>
      <c r="BO519" s="34"/>
      <c r="BP519" s="34"/>
      <c r="BQ519" s="34"/>
      <c r="BR519" s="34"/>
      <c r="BS519" s="34"/>
      <c r="BT519" s="34"/>
      <c r="BU519" s="34"/>
      <c r="BV519" s="34"/>
      <c r="BW519" s="34"/>
      <c r="BX519" s="34"/>
      <c r="BY519" s="34"/>
    </row>
    <row r="520" spans="1:77" x14ac:dyDescent="0.3">
      <c r="A520" s="39"/>
      <c r="B520" s="42"/>
      <c r="C520" s="42"/>
      <c r="D520" s="75"/>
      <c r="E520" s="75"/>
      <c r="F520" s="76"/>
      <c r="G520" s="47"/>
      <c r="H520" s="47"/>
      <c r="I520" s="75"/>
      <c r="J520" s="76"/>
      <c r="K520" s="76"/>
      <c r="L520" s="75"/>
      <c r="M520" s="49"/>
      <c r="N520" s="76"/>
      <c r="O520" s="49"/>
      <c r="P520" s="77"/>
      <c r="Q520" s="53"/>
      <c r="R520" s="54"/>
      <c r="S520" s="55"/>
      <c r="T520" s="56"/>
      <c r="U520" s="56"/>
      <c r="V520" s="42"/>
      <c r="W520" s="57"/>
      <c r="X520" s="58"/>
      <c r="Y520" s="75"/>
      <c r="Z520" s="59"/>
      <c r="AA520" s="61"/>
      <c r="AB520" s="61"/>
      <c r="AC520" s="61"/>
      <c r="AD520" s="62"/>
      <c r="AE520" s="62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/>
      <c r="BB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/>
      <c r="BP520" s="34"/>
      <c r="BQ520" s="34"/>
      <c r="BR520" s="34"/>
      <c r="BS520" s="34"/>
      <c r="BT520" s="34"/>
      <c r="BU520" s="34"/>
      <c r="BV520" s="34"/>
      <c r="BW520" s="34"/>
      <c r="BX520" s="34"/>
      <c r="BY520" s="34"/>
    </row>
    <row r="521" spans="1:77" x14ac:dyDescent="0.3">
      <c r="A521" s="39"/>
      <c r="B521" s="42"/>
      <c r="C521" s="42"/>
      <c r="D521" s="75"/>
      <c r="E521" s="75"/>
      <c r="F521" s="76"/>
      <c r="G521" s="47"/>
      <c r="H521" s="47"/>
      <c r="I521" s="75"/>
      <c r="J521" s="76"/>
      <c r="K521" s="76"/>
      <c r="L521" s="75"/>
      <c r="M521" s="49"/>
      <c r="N521" s="76"/>
      <c r="O521" s="49"/>
      <c r="P521" s="77"/>
      <c r="Q521" s="53"/>
      <c r="R521" s="54"/>
      <c r="S521" s="55"/>
      <c r="T521" s="56"/>
      <c r="U521" s="56"/>
      <c r="V521" s="42"/>
      <c r="W521" s="57"/>
      <c r="X521" s="58"/>
      <c r="Y521" s="75"/>
      <c r="Z521" s="59"/>
      <c r="AA521" s="61"/>
      <c r="AB521" s="61"/>
      <c r="AC521" s="61"/>
      <c r="AD521" s="62"/>
      <c r="AE521" s="62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  <c r="AQ521" s="34"/>
      <c r="AR521" s="34"/>
      <c r="AS521" s="34"/>
      <c r="AT521" s="34"/>
      <c r="AU521" s="34"/>
      <c r="AV521" s="34"/>
      <c r="AW521" s="34"/>
      <c r="AX521" s="34"/>
      <c r="AY521" s="34"/>
      <c r="AZ521" s="34"/>
      <c r="BA521" s="34"/>
      <c r="BB521" s="34"/>
      <c r="BD521" s="34"/>
      <c r="BE521" s="34"/>
      <c r="BF521" s="34"/>
      <c r="BG521" s="34"/>
      <c r="BH521" s="34"/>
      <c r="BI521" s="34"/>
      <c r="BJ521" s="34"/>
      <c r="BK521" s="34"/>
      <c r="BL521" s="34"/>
      <c r="BM521" s="34"/>
      <c r="BN521" s="34"/>
      <c r="BO521" s="34"/>
      <c r="BP521" s="34"/>
      <c r="BQ521" s="34"/>
      <c r="BR521" s="34"/>
      <c r="BS521" s="34"/>
      <c r="BT521" s="34"/>
      <c r="BU521" s="34"/>
      <c r="BV521" s="34"/>
      <c r="BW521" s="34"/>
      <c r="BX521" s="34"/>
      <c r="BY521" s="34"/>
    </row>
    <row r="522" spans="1:77" x14ac:dyDescent="0.3">
      <c r="A522" s="39"/>
      <c r="B522" s="42"/>
      <c r="C522" s="42"/>
      <c r="D522" s="75"/>
      <c r="E522" s="75"/>
      <c r="F522" s="76"/>
      <c r="G522" s="47"/>
      <c r="H522" s="47"/>
      <c r="I522" s="75"/>
      <c r="J522" s="76"/>
      <c r="K522" s="76"/>
      <c r="L522" s="75"/>
      <c r="M522" s="49"/>
      <c r="N522" s="76"/>
      <c r="O522" s="49"/>
      <c r="P522" s="77"/>
      <c r="Q522" s="53"/>
      <c r="R522" s="54"/>
      <c r="S522" s="55"/>
      <c r="T522" s="56"/>
      <c r="U522" s="56"/>
      <c r="V522" s="42"/>
      <c r="W522" s="57"/>
      <c r="X522" s="58"/>
      <c r="Y522" s="75"/>
      <c r="Z522" s="59"/>
      <c r="AA522" s="61"/>
      <c r="AB522" s="61"/>
      <c r="AC522" s="61"/>
      <c r="AD522" s="62"/>
      <c r="AE522" s="62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  <c r="AQ522" s="34"/>
      <c r="AR522" s="34"/>
      <c r="AS522" s="34"/>
      <c r="AT522" s="34"/>
      <c r="AU522" s="34"/>
      <c r="AV522" s="34"/>
      <c r="AW522" s="34"/>
      <c r="AX522" s="34"/>
      <c r="AY522" s="34"/>
      <c r="AZ522" s="34"/>
      <c r="BA522" s="34"/>
      <c r="BB522" s="34"/>
      <c r="BD522" s="34"/>
      <c r="BE522" s="34"/>
      <c r="BF522" s="34"/>
      <c r="BG522" s="34"/>
      <c r="BH522" s="34"/>
      <c r="BI522" s="34"/>
      <c r="BJ522" s="34"/>
      <c r="BK522" s="34"/>
      <c r="BL522" s="34"/>
      <c r="BM522" s="34"/>
      <c r="BN522" s="34"/>
      <c r="BO522" s="34"/>
      <c r="BP522" s="34"/>
      <c r="BQ522" s="34"/>
      <c r="BR522" s="34"/>
      <c r="BS522" s="34"/>
      <c r="BT522" s="34"/>
      <c r="BU522" s="34"/>
      <c r="BV522" s="34"/>
      <c r="BW522" s="34"/>
      <c r="BX522" s="34"/>
      <c r="BY522" s="34"/>
    </row>
    <row r="523" spans="1:77" x14ac:dyDescent="0.3">
      <c r="A523" s="39"/>
      <c r="B523" s="42"/>
      <c r="C523" s="42"/>
      <c r="D523" s="75"/>
      <c r="E523" s="75"/>
      <c r="F523" s="76"/>
      <c r="G523" s="47"/>
      <c r="H523" s="47"/>
      <c r="I523" s="75"/>
      <c r="J523" s="76"/>
      <c r="K523" s="76"/>
      <c r="L523" s="75"/>
      <c r="M523" s="49"/>
      <c r="N523" s="76"/>
      <c r="O523" s="49"/>
      <c r="P523" s="77"/>
      <c r="Q523" s="53"/>
      <c r="R523" s="54"/>
      <c r="S523" s="55"/>
      <c r="T523" s="56"/>
      <c r="U523" s="56"/>
      <c r="V523" s="42"/>
      <c r="W523" s="57"/>
      <c r="X523" s="58"/>
      <c r="Y523" s="75"/>
      <c r="Z523" s="59"/>
      <c r="AA523" s="61"/>
      <c r="AB523" s="61"/>
      <c r="AC523" s="61"/>
      <c r="AD523" s="62"/>
      <c r="AE523" s="62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  <c r="AQ523" s="34"/>
      <c r="AR523" s="34"/>
      <c r="AS523" s="34"/>
      <c r="AT523" s="34"/>
      <c r="AU523" s="34"/>
      <c r="AV523" s="34"/>
      <c r="AW523" s="34"/>
      <c r="AX523" s="34"/>
      <c r="AY523" s="34"/>
      <c r="AZ523" s="34"/>
      <c r="BA523" s="34"/>
      <c r="BB523" s="34"/>
      <c r="BD523" s="34"/>
      <c r="BE523" s="34"/>
      <c r="BF523" s="34"/>
      <c r="BG523" s="34"/>
      <c r="BH523" s="34"/>
      <c r="BI523" s="34"/>
      <c r="BJ523" s="34"/>
      <c r="BK523" s="34"/>
      <c r="BL523" s="34"/>
      <c r="BM523" s="34"/>
      <c r="BN523" s="34"/>
      <c r="BO523" s="34"/>
      <c r="BP523" s="34"/>
      <c r="BQ523" s="34"/>
      <c r="BR523" s="34"/>
      <c r="BS523" s="34"/>
      <c r="BT523" s="34"/>
      <c r="BU523" s="34"/>
      <c r="BV523" s="34"/>
      <c r="BW523" s="34"/>
      <c r="BX523" s="34"/>
      <c r="BY523" s="34"/>
    </row>
    <row r="524" spans="1:77" x14ac:dyDescent="0.3">
      <c r="A524" s="39"/>
      <c r="B524" s="42"/>
      <c r="C524" s="42"/>
      <c r="D524" s="75"/>
      <c r="E524" s="75"/>
      <c r="F524" s="76"/>
      <c r="G524" s="47"/>
      <c r="H524" s="47"/>
      <c r="I524" s="75"/>
      <c r="J524" s="76"/>
      <c r="K524" s="76"/>
      <c r="L524" s="75"/>
      <c r="M524" s="49"/>
      <c r="N524" s="76"/>
      <c r="O524" s="49"/>
      <c r="P524" s="77"/>
      <c r="Q524" s="53"/>
      <c r="R524" s="54"/>
      <c r="S524" s="55"/>
      <c r="T524" s="56"/>
      <c r="U524" s="56"/>
      <c r="V524" s="42"/>
      <c r="W524" s="57"/>
      <c r="X524" s="58"/>
      <c r="Y524" s="75"/>
      <c r="Z524" s="59"/>
      <c r="AA524" s="61"/>
      <c r="AB524" s="61"/>
      <c r="AC524" s="61"/>
      <c r="AD524" s="62"/>
      <c r="AE524" s="62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  <c r="AQ524" s="34"/>
      <c r="AR524" s="34"/>
      <c r="AS524" s="34"/>
      <c r="AT524" s="34"/>
      <c r="AU524" s="34"/>
      <c r="AV524" s="34"/>
      <c r="AW524" s="34"/>
      <c r="AX524" s="34"/>
      <c r="AY524" s="34"/>
      <c r="AZ524" s="34"/>
      <c r="BA524" s="34"/>
      <c r="BB524" s="34"/>
      <c r="BD524" s="34"/>
      <c r="BE524" s="34"/>
      <c r="BF524" s="34"/>
      <c r="BG524" s="34"/>
      <c r="BH524" s="34"/>
      <c r="BI524" s="34"/>
      <c r="BJ524" s="34"/>
      <c r="BK524" s="34"/>
      <c r="BL524" s="34"/>
      <c r="BM524" s="34"/>
      <c r="BN524" s="34"/>
      <c r="BO524" s="34"/>
      <c r="BP524" s="34"/>
      <c r="BQ524" s="34"/>
      <c r="BR524" s="34"/>
      <c r="BS524" s="34"/>
      <c r="BT524" s="34"/>
      <c r="BU524" s="34"/>
      <c r="BV524" s="34"/>
      <c r="BW524" s="34"/>
      <c r="BX524" s="34"/>
      <c r="BY524" s="34"/>
    </row>
    <row r="525" spans="1:77" x14ac:dyDescent="0.3">
      <c r="A525" s="39"/>
      <c r="B525" s="42"/>
      <c r="C525" s="42"/>
      <c r="D525" s="75"/>
      <c r="E525" s="75"/>
      <c r="F525" s="76"/>
      <c r="G525" s="47"/>
      <c r="H525" s="47"/>
      <c r="I525" s="75"/>
      <c r="J525" s="76"/>
      <c r="K525" s="76"/>
      <c r="L525" s="75"/>
      <c r="M525" s="49"/>
      <c r="N525" s="76"/>
      <c r="O525" s="49"/>
      <c r="P525" s="77"/>
      <c r="Q525" s="53"/>
      <c r="R525" s="54"/>
      <c r="S525" s="55"/>
      <c r="T525" s="56"/>
      <c r="U525" s="56"/>
      <c r="V525" s="42"/>
      <c r="W525" s="57"/>
      <c r="X525" s="58"/>
      <c r="Y525" s="75"/>
      <c r="Z525" s="59"/>
      <c r="AA525" s="61"/>
      <c r="AB525" s="61"/>
      <c r="AC525" s="61"/>
      <c r="AD525" s="62"/>
      <c r="AE525" s="62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  <c r="AQ525" s="34"/>
      <c r="AR525" s="34"/>
      <c r="AS525" s="34"/>
      <c r="AT525" s="34"/>
      <c r="AU525" s="34"/>
      <c r="AV525" s="34"/>
      <c r="AW525" s="34"/>
      <c r="AX525" s="34"/>
      <c r="AY525" s="34"/>
      <c r="AZ525" s="34"/>
      <c r="BA525" s="34"/>
      <c r="BB525" s="34"/>
      <c r="BD525" s="34"/>
      <c r="BE525" s="34"/>
      <c r="BF525" s="34"/>
      <c r="BG525" s="34"/>
      <c r="BH525" s="34"/>
      <c r="BI525" s="34"/>
      <c r="BJ525" s="34"/>
      <c r="BK525" s="34"/>
      <c r="BL525" s="34"/>
      <c r="BM525" s="34"/>
      <c r="BN525" s="34"/>
      <c r="BO525" s="34"/>
      <c r="BP525" s="34"/>
      <c r="BQ525" s="34"/>
      <c r="BR525" s="34"/>
      <c r="BS525" s="34"/>
      <c r="BT525" s="34"/>
      <c r="BU525" s="34"/>
      <c r="BV525" s="34"/>
      <c r="BW525" s="34"/>
      <c r="BX525" s="34"/>
      <c r="BY525" s="34"/>
    </row>
    <row r="526" spans="1:77" x14ac:dyDescent="0.3">
      <c r="A526" s="39"/>
      <c r="B526" s="42"/>
      <c r="C526" s="42"/>
      <c r="D526" s="75"/>
      <c r="E526" s="75"/>
      <c r="F526" s="76"/>
      <c r="G526" s="47"/>
      <c r="H526" s="47"/>
      <c r="I526" s="75"/>
      <c r="J526" s="76"/>
      <c r="K526" s="76"/>
      <c r="L526" s="75"/>
      <c r="M526" s="49"/>
      <c r="N526" s="76"/>
      <c r="O526" s="49"/>
      <c r="P526" s="77"/>
      <c r="Q526" s="53"/>
      <c r="R526" s="54"/>
      <c r="S526" s="55"/>
      <c r="T526" s="56"/>
      <c r="U526" s="56"/>
      <c r="V526" s="42"/>
      <c r="W526" s="57"/>
      <c r="X526" s="58"/>
      <c r="Y526" s="75"/>
      <c r="Z526" s="59"/>
      <c r="AA526" s="61"/>
      <c r="AB526" s="61"/>
      <c r="AC526" s="61"/>
      <c r="AD526" s="62"/>
      <c r="AE526" s="62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4"/>
      <c r="AQ526" s="34"/>
      <c r="AR526" s="34"/>
      <c r="AS526" s="34"/>
      <c r="AT526" s="34"/>
      <c r="AU526" s="34"/>
      <c r="AV526" s="34"/>
      <c r="AW526" s="34"/>
      <c r="AX526" s="34"/>
      <c r="AY526" s="34"/>
      <c r="AZ526" s="34"/>
      <c r="BA526" s="34"/>
      <c r="BB526" s="34"/>
      <c r="BD526" s="34"/>
      <c r="BE526" s="34"/>
      <c r="BF526" s="34"/>
      <c r="BG526" s="34"/>
      <c r="BH526" s="34"/>
      <c r="BI526" s="34"/>
      <c r="BJ526" s="34"/>
      <c r="BK526" s="34"/>
      <c r="BL526" s="34"/>
      <c r="BM526" s="34"/>
      <c r="BN526" s="34"/>
      <c r="BO526" s="34"/>
      <c r="BP526" s="34"/>
      <c r="BQ526" s="34"/>
      <c r="BR526" s="34"/>
      <c r="BS526" s="34"/>
      <c r="BT526" s="34"/>
      <c r="BU526" s="34"/>
      <c r="BV526" s="34"/>
      <c r="BW526" s="34"/>
      <c r="BX526" s="34"/>
      <c r="BY526" s="34"/>
    </row>
    <row r="527" spans="1:77" x14ac:dyDescent="0.3">
      <c r="A527" s="39"/>
      <c r="B527" s="42"/>
      <c r="C527" s="42"/>
      <c r="D527" s="75"/>
      <c r="E527" s="75"/>
      <c r="F527" s="76"/>
      <c r="G527" s="47"/>
      <c r="H527" s="47"/>
      <c r="I527" s="75"/>
      <c r="J527" s="76"/>
      <c r="K527" s="76"/>
      <c r="L527" s="75"/>
      <c r="M527" s="49"/>
      <c r="N527" s="76"/>
      <c r="O527" s="49"/>
      <c r="P527" s="77"/>
      <c r="Q527" s="53"/>
      <c r="R527" s="54"/>
      <c r="S527" s="55"/>
      <c r="T527" s="56"/>
      <c r="U527" s="56"/>
      <c r="V527" s="42"/>
      <c r="W527" s="57"/>
      <c r="X527" s="58"/>
      <c r="Y527" s="75"/>
      <c r="Z527" s="59"/>
      <c r="AA527" s="61"/>
      <c r="AB527" s="61"/>
      <c r="AC527" s="61"/>
      <c r="AD527" s="62"/>
      <c r="AE527" s="62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4"/>
      <c r="AQ527" s="34"/>
      <c r="AR527" s="34"/>
      <c r="AS527" s="34"/>
      <c r="AT527" s="34"/>
      <c r="AU527" s="34"/>
      <c r="AV527" s="34"/>
      <c r="AW527" s="34"/>
      <c r="AX527" s="34"/>
      <c r="AY527" s="34"/>
      <c r="AZ527" s="34"/>
      <c r="BA527" s="34"/>
      <c r="BB527" s="34"/>
      <c r="BD527" s="34"/>
      <c r="BE527" s="34"/>
      <c r="BF527" s="34"/>
      <c r="BG527" s="34"/>
      <c r="BH527" s="34"/>
      <c r="BI527" s="34"/>
      <c r="BJ527" s="34"/>
      <c r="BK527" s="34"/>
      <c r="BL527" s="34"/>
      <c r="BM527" s="34"/>
      <c r="BN527" s="34"/>
      <c r="BO527" s="34"/>
      <c r="BP527" s="34"/>
      <c r="BQ527" s="34"/>
      <c r="BR527" s="34"/>
      <c r="BS527" s="34"/>
      <c r="BT527" s="34"/>
      <c r="BU527" s="34"/>
      <c r="BV527" s="34"/>
      <c r="BW527" s="34"/>
      <c r="BX527" s="34"/>
      <c r="BY527" s="34"/>
    </row>
    <row r="528" spans="1:77" x14ac:dyDescent="0.3">
      <c r="A528" s="39"/>
      <c r="B528" s="42"/>
      <c r="C528" s="42"/>
      <c r="D528" s="75"/>
      <c r="E528" s="75"/>
      <c r="F528" s="76"/>
      <c r="G528" s="47"/>
      <c r="H528" s="47"/>
      <c r="I528" s="75"/>
      <c r="J528" s="76"/>
      <c r="K528" s="76"/>
      <c r="L528" s="75"/>
      <c r="M528" s="49"/>
      <c r="N528" s="76"/>
      <c r="O528" s="49"/>
      <c r="P528" s="77"/>
      <c r="Q528" s="53"/>
      <c r="R528" s="54"/>
      <c r="S528" s="55"/>
      <c r="T528" s="56"/>
      <c r="U528" s="56"/>
      <c r="V528" s="42"/>
      <c r="W528" s="57"/>
      <c r="X528" s="58"/>
      <c r="Y528" s="75"/>
      <c r="Z528" s="59"/>
      <c r="AA528" s="61"/>
      <c r="AB528" s="61"/>
      <c r="AC528" s="61"/>
      <c r="AD528" s="62"/>
      <c r="AE528" s="62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  <c r="AQ528" s="34"/>
      <c r="AR528" s="34"/>
      <c r="AS528" s="34"/>
      <c r="AT528" s="34"/>
      <c r="AU528" s="34"/>
      <c r="AV528" s="34"/>
      <c r="AW528" s="34"/>
      <c r="AX528" s="34"/>
      <c r="AY528" s="34"/>
      <c r="AZ528" s="34"/>
      <c r="BA528" s="34"/>
      <c r="BB528" s="34"/>
      <c r="BD528" s="34"/>
      <c r="BE528" s="34"/>
      <c r="BF528" s="34"/>
      <c r="BG528" s="34"/>
      <c r="BH528" s="34"/>
      <c r="BI528" s="34"/>
      <c r="BJ528" s="34"/>
      <c r="BK528" s="34"/>
      <c r="BL528" s="34"/>
      <c r="BM528" s="34"/>
      <c r="BN528" s="34"/>
      <c r="BO528" s="34"/>
      <c r="BP528" s="34"/>
      <c r="BQ528" s="34"/>
      <c r="BR528" s="34"/>
      <c r="BS528" s="34"/>
      <c r="BT528" s="34"/>
      <c r="BU528" s="34"/>
      <c r="BV528" s="34"/>
      <c r="BW528" s="34"/>
      <c r="BX528" s="34"/>
      <c r="BY528" s="34"/>
    </row>
    <row r="529" spans="1:77" x14ac:dyDescent="0.3">
      <c r="A529" s="39"/>
      <c r="B529" s="42"/>
      <c r="C529" s="42"/>
      <c r="D529" s="75"/>
      <c r="E529" s="75"/>
      <c r="F529" s="76"/>
      <c r="G529" s="47"/>
      <c r="H529" s="47"/>
      <c r="I529" s="75"/>
      <c r="J529" s="76"/>
      <c r="K529" s="76"/>
      <c r="L529" s="75"/>
      <c r="M529" s="49"/>
      <c r="N529" s="76"/>
      <c r="O529" s="49"/>
      <c r="P529" s="77"/>
      <c r="Q529" s="53"/>
      <c r="R529" s="54"/>
      <c r="S529" s="55"/>
      <c r="T529" s="56"/>
      <c r="U529" s="56"/>
      <c r="V529" s="42"/>
      <c r="W529" s="57"/>
      <c r="X529" s="58"/>
      <c r="Y529" s="75"/>
      <c r="Z529" s="59"/>
      <c r="AA529" s="61"/>
      <c r="AB529" s="61"/>
      <c r="AC529" s="61"/>
      <c r="AD529" s="62"/>
      <c r="AE529" s="62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4"/>
      <c r="AQ529" s="34"/>
      <c r="AR529" s="34"/>
      <c r="AS529" s="34"/>
      <c r="AT529" s="34"/>
      <c r="AU529" s="34"/>
      <c r="AV529" s="34"/>
      <c r="AW529" s="34"/>
      <c r="AX529" s="34"/>
      <c r="AY529" s="34"/>
      <c r="AZ529" s="34"/>
      <c r="BA529" s="34"/>
      <c r="BB529" s="34"/>
      <c r="BD529" s="34"/>
      <c r="BE529" s="34"/>
      <c r="BF529" s="34"/>
      <c r="BG529" s="34"/>
      <c r="BH529" s="34"/>
      <c r="BI529" s="34"/>
      <c r="BJ529" s="34"/>
      <c r="BK529" s="34"/>
      <c r="BL529" s="34"/>
      <c r="BM529" s="34"/>
      <c r="BN529" s="34"/>
      <c r="BO529" s="34"/>
      <c r="BP529" s="34"/>
      <c r="BQ529" s="34"/>
      <c r="BR529" s="34"/>
      <c r="BS529" s="34"/>
      <c r="BT529" s="34"/>
      <c r="BU529" s="34"/>
      <c r="BV529" s="34"/>
      <c r="BW529" s="34"/>
      <c r="BX529" s="34"/>
      <c r="BY529" s="34"/>
    </row>
    <row r="530" spans="1:77" x14ac:dyDescent="0.3">
      <c r="A530" s="39"/>
      <c r="B530" s="42"/>
      <c r="C530" s="42"/>
      <c r="D530" s="75"/>
      <c r="E530" s="75"/>
      <c r="F530" s="76"/>
      <c r="G530" s="47"/>
      <c r="H530" s="47"/>
      <c r="I530" s="75"/>
      <c r="J530" s="76"/>
      <c r="K530" s="76"/>
      <c r="L530" s="75"/>
      <c r="M530" s="49"/>
      <c r="N530" s="76"/>
      <c r="O530" s="49"/>
      <c r="P530" s="77"/>
      <c r="Q530" s="53"/>
      <c r="R530" s="54"/>
      <c r="S530" s="55"/>
      <c r="T530" s="56"/>
      <c r="U530" s="56"/>
      <c r="V530" s="42"/>
      <c r="W530" s="57"/>
      <c r="X530" s="58"/>
      <c r="Y530" s="75"/>
      <c r="Z530" s="59"/>
      <c r="AA530" s="61"/>
      <c r="AB530" s="61"/>
      <c r="AC530" s="61"/>
      <c r="AD530" s="62"/>
      <c r="AE530" s="62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  <c r="AQ530" s="34"/>
      <c r="AR530" s="34"/>
      <c r="AS530" s="34"/>
      <c r="AT530" s="34"/>
      <c r="AU530" s="34"/>
      <c r="AV530" s="34"/>
      <c r="AW530" s="34"/>
      <c r="AX530" s="34"/>
      <c r="AY530" s="34"/>
      <c r="AZ530" s="34"/>
      <c r="BA530" s="34"/>
      <c r="BB530" s="34"/>
      <c r="BD530" s="34"/>
      <c r="BE530" s="34"/>
      <c r="BF530" s="34"/>
      <c r="BG530" s="34"/>
      <c r="BH530" s="34"/>
      <c r="BI530" s="34"/>
      <c r="BJ530" s="34"/>
      <c r="BK530" s="34"/>
      <c r="BL530" s="34"/>
      <c r="BM530" s="34"/>
      <c r="BN530" s="34"/>
      <c r="BO530" s="34"/>
      <c r="BP530" s="34"/>
      <c r="BQ530" s="34"/>
      <c r="BR530" s="34"/>
      <c r="BS530" s="34"/>
      <c r="BT530" s="34"/>
      <c r="BU530" s="34"/>
      <c r="BV530" s="34"/>
      <c r="BW530" s="34"/>
      <c r="BX530" s="34"/>
      <c r="BY530" s="34"/>
    </row>
    <row r="531" spans="1:77" x14ac:dyDescent="0.3">
      <c r="A531" s="39"/>
      <c r="B531" s="42"/>
      <c r="C531" s="42"/>
      <c r="D531" s="75"/>
      <c r="E531" s="75"/>
      <c r="F531" s="76"/>
      <c r="G531" s="47"/>
      <c r="H531" s="47"/>
      <c r="I531" s="75"/>
      <c r="J531" s="76"/>
      <c r="K531" s="76"/>
      <c r="L531" s="75"/>
      <c r="M531" s="49"/>
      <c r="N531" s="76"/>
      <c r="O531" s="49"/>
      <c r="P531" s="77"/>
      <c r="Q531" s="53"/>
      <c r="R531" s="54"/>
      <c r="S531" s="55"/>
      <c r="T531" s="56"/>
      <c r="U531" s="56"/>
      <c r="V531" s="42"/>
      <c r="W531" s="57"/>
      <c r="X531" s="58"/>
      <c r="Y531" s="75"/>
      <c r="Z531" s="59"/>
      <c r="AA531" s="61"/>
      <c r="AB531" s="61"/>
      <c r="AC531" s="61"/>
      <c r="AD531" s="62"/>
      <c r="AE531" s="62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  <c r="AQ531" s="34"/>
      <c r="AR531" s="34"/>
      <c r="AS531" s="34"/>
      <c r="AT531" s="34"/>
      <c r="AU531" s="34"/>
      <c r="AV531" s="34"/>
      <c r="AW531" s="34"/>
      <c r="AX531" s="34"/>
      <c r="AY531" s="34"/>
      <c r="AZ531" s="34"/>
      <c r="BA531" s="34"/>
      <c r="BB531" s="34"/>
      <c r="BD531" s="34"/>
      <c r="BE531" s="34"/>
      <c r="BF531" s="34"/>
      <c r="BG531" s="34"/>
      <c r="BH531" s="34"/>
      <c r="BI531" s="34"/>
      <c r="BJ531" s="34"/>
      <c r="BK531" s="34"/>
      <c r="BL531" s="34"/>
      <c r="BM531" s="34"/>
      <c r="BN531" s="34"/>
      <c r="BO531" s="34"/>
      <c r="BP531" s="34"/>
      <c r="BQ531" s="34"/>
      <c r="BR531" s="34"/>
      <c r="BS531" s="34"/>
      <c r="BT531" s="34"/>
      <c r="BU531" s="34"/>
      <c r="BV531" s="34"/>
      <c r="BW531" s="34"/>
      <c r="BX531" s="34"/>
      <c r="BY531" s="34"/>
    </row>
    <row r="532" spans="1:77" x14ac:dyDescent="0.3">
      <c r="A532" s="39"/>
      <c r="B532" s="42"/>
      <c r="C532" s="42"/>
      <c r="D532" s="75"/>
      <c r="E532" s="75"/>
      <c r="F532" s="76"/>
      <c r="G532" s="47"/>
      <c r="H532" s="47"/>
      <c r="I532" s="75"/>
      <c r="J532" s="76"/>
      <c r="K532" s="76"/>
      <c r="L532" s="75"/>
      <c r="M532" s="49"/>
      <c r="N532" s="76"/>
      <c r="O532" s="49"/>
      <c r="P532" s="77"/>
      <c r="Q532" s="53"/>
      <c r="R532" s="54"/>
      <c r="S532" s="55"/>
      <c r="T532" s="56"/>
      <c r="U532" s="56"/>
      <c r="V532" s="42"/>
      <c r="W532" s="57"/>
      <c r="X532" s="58"/>
      <c r="Y532" s="75"/>
      <c r="Z532" s="59"/>
      <c r="AA532" s="61"/>
      <c r="AB532" s="61"/>
      <c r="AC532" s="61"/>
      <c r="AD532" s="62"/>
      <c r="AE532" s="62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  <c r="AQ532" s="34"/>
      <c r="AR532" s="34"/>
      <c r="AS532" s="34"/>
      <c r="AT532" s="34"/>
      <c r="AU532" s="34"/>
      <c r="AV532" s="34"/>
      <c r="AW532" s="34"/>
      <c r="AX532" s="34"/>
      <c r="AY532" s="34"/>
      <c r="AZ532" s="34"/>
      <c r="BA532" s="34"/>
      <c r="BB532" s="34"/>
      <c r="BD532" s="34"/>
      <c r="BE532" s="34"/>
      <c r="BF532" s="34"/>
      <c r="BG532" s="34"/>
      <c r="BH532" s="34"/>
      <c r="BI532" s="34"/>
      <c r="BJ532" s="34"/>
      <c r="BK532" s="34"/>
      <c r="BL532" s="34"/>
      <c r="BM532" s="34"/>
      <c r="BN532" s="34"/>
      <c r="BO532" s="34"/>
      <c r="BP532" s="34"/>
      <c r="BQ532" s="34"/>
      <c r="BR532" s="34"/>
      <c r="BS532" s="34"/>
      <c r="BT532" s="34"/>
      <c r="BU532" s="34"/>
      <c r="BV532" s="34"/>
      <c r="BW532" s="34"/>
      <c r="BX532" s="34"/>
      <c r="BY532" s="34"/>
    </row>
    <row r="533" spans="1:77" x14ac:dyDescent="0.3">
      <c r="A533" s="39"/>
      <c r="B533" s="42"/>
      <c r="C533" s="42"/>
      <c r="D533" s="75"/>
      <c r="E533" s="75"/>
      <c r="F533" s="76"/>
      <c r="G533" s="47"/>
      <c r="H533" s="47"/>
      <c r="I533" s="75"/>
      <c r="J533" s="76"/>
      <c r="K533" s="76"/>
      <c r="L533" s="75"/>
      <c r="M533" s="49"/>
      <c r="N533" s="76"/>
      <c r="O533" s="49"/>
      <c r="P533" s="77"/>
      <c r="Q533" s="53"/>
      <c r="R533" s="54"/>
      <c r="S533" s="55"/>
      <c r="T533" s="56"/>
      <c r="U533" s="56"/>
      <c r="V533" s="42"/>
      <c r="W533" s="57"/>
      <c r="X533" s="58"/>
      <c r="Y533" s="75"/>
      <c r="Z533" s="59"/>
      <c r="AA533" s="61"/>
      <c r="AB533" s="61"/>
      <c r="AC533" s="61"/>
      <c r="AD533" s="62"/>
      <c r="AE533" s="62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  <c r="AQ533" s="34"/>
      <c r="AR533" s="34"/>
      <c r="AS533" s="34"/>
      <c r="AT533" s="34"/>
      <c r="AU533" s="34"/>
      <c r="AV533" s="34"/>
      <c r="AW533" s="34"/>
      <c r="AX533" s="34"/>
      <c r="AY533" s="34"/>
      <c r="AZ533" s="34"/>
      <c r="BA533" s="34"/>
      <c r="BB533" s="34"/>
      <c r="BD533" s="34"/>
      <c r="BE533" s="34"/>
      <c r="BF533" s="34"/>
      <c r="BG533" s="34"/>
      <c r="BH533" s="34"/>
      <c r="BI533" s="34"/>
      <c r="BJ533" s="34"/>
      <c r="BK533" s="34"/>
      <c r="BL533" s="34"/>
      <c r="BM533" s="34"/>
      <c r="BN533" s="34"/>
      <c r="BO533" s="34"/>
      <c r="BP533" s="34"/>
      <c r="BQ533" s="34"/>
      <c r="BR533" s="34"/>
      <c r="BS533" s="34"/>
      <c r="BT533" s="34"/>
      <c r="BU533" s="34"/>
      <c r="BV533" s="34"/>
      <c r="BW533" s="34"/>
      <c r="BX533" s="34"/>
      <c r="BY533" s="34"/>
    </row>
    <row r="534" spans="1:77" x14ac:dyDescent="0.3">
      <c r="A534" s="39"/>
      <c r="B534" s="42"/>
      <c r="C534" s="42"/>
      <c r="D534" s="75"/>
      <c r="E534" s="75"/>
      <c r="F534" s="76"/>
      <c r="G534" s="47"/>
      <c r="H534" s="47"/>
      <c r="I534" s="75"/>
      <c r="J534" s="76"/>
      <c r="K534" s="76"/>
      <c r="L534" s="75"/>
      <c r="M534" s="49"/>
      <c r="N534" s="76"/>
      <c r="O534" s="49"/>
      <c r="P534" s="77"/>
      <c r="Q534" s="53"/>
      <c r="R534" s="54"/>
      <c r="S534" s="55"/>
      <c r="T534" s="56"/>
      <c r="U534" s="56"/>
      <c r="V534" s="42"/>
      <c r="W534" s="57"/>
      <c r="X534" s="58"/>
      <c r="Y534" s="75"/>
      <c r="Z534" s="59"/>
      <c r="AA534" s="61"/>
      <c r="AB534" s="61"/>
      <c r="AC534" s="61"/>
      <c r="AD534" s="62"/>
      <c r="AE534" s="62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34"/>
      <c r="AR534" s="34"/>
      <c r="AS534" s="34"/>
      <c r="AT534" s="34"/>
      <c r="AU534" s="34"/>
      <c r="AV534" s="34"/>
      <c r="AW534" s="34"/>
      <c r="AX534" s="34"/>
      <c r="AY534" s="34"/>
      <c r="AZ534" s="34"/>
      <c r="BA534" s="34"/>
      <c r="BB534" s="34"/>
      <c r="BD534" s="34"/>
      <c r="BE534" s="34"/>
      <c r="BF534" s="34"/>
      <c r="BG534" s="34"/>
      <c r="BH534" s="34"/>
      <c r="BI534" s="34"/>
      <c r="BJ534" s="34"/>
      <c r="BK534" s="34"/>
      <c r="BL534" s="34"/>
      <c r="BM534" s="34"/>
      <c r="BN534" s="34"/>
      <c r="BO534" s="34"/>
      <c r="BP534" s="34"/>
      <c r="BQ534" s="34"/>
      <c r="BR534" s="34"/>
      <c r="BS534" s="34"/>
      <c r="BT534" s="34"/>
      <c r="BU534" s="34"/>
      <c r="BV534" s="34"/>
      <c r="BW534" s="34"/>
      <c r="BX534" s="34"/>
      <c r="BY534" s="34"/>
    </row>
    <row r="535" spans="1:77" x14ac:dyDescent="0.3">
      <c r="A535" s="39"/>
      <c r="B535" s="42"/>
      <c r="C535" s="42"/>
      <c r="D535" s="75"/>
      <c r="E535" s="75"/>
      <c r="F535" s="76"/>
      <c r="G535" s="47"/>
      <c r="H535" s="47"/>
      <c r="I535" s="75"/>
      <c r="J535" s="76"/>
      <c r="K535" s="76"/>
      <c r="L535" s="75"/>
      <c r="M535" s="49"/>
      <c r="N535" s="76"/>
      <c r="O535" s="49"/>
      <c r="P535" s="77"/>
      <c r="Q535" s="53"/>
      <c r="R535" s="54"/>
      <c r="S535" s="55"/>
      <c r="T535" s="56"/>
      <c r="U535" s="56"/>
      <c r="V535" s="42"/>
      <c r="W535" s="57"/>
      <c r="X535" s="58"/>
      <c r="Y535" s="75"/>
      <c r="Z535" s="59"/>
      <c r="AA535" s="61"/>
      <c r="AB535" s="61"/>
      <c r="AC535" s="61"/>
      <c r="AD535" s="62"/>
      <c r="AE535" s="62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  <c r="AQ535" s="34"/>
      <c r="AR535" s="34"/>
      <c r="AS535" s="34"/>
      <c r="AT535" s="34"/>
      <c r="AU535" s="34"/>
      <c r="AV535" s="34"/>
      <c r="AW535" s="34"/>
      <c r="AX535" s="34"/>
      <c r="AY535" s="34"/>
      <c r="AZ535" s="34"/>
      <c r="BA535" s="34"/>
      <c r="BB535" s="34"/>
      <c r="BD535" s="34"/>
      <c r="BE535" s="34"/>
      <c r="BF535" s="34"/>
      <c r="BG535" s="34"/>
      <c r="BH535" s="34"/>
      <c r="BI535" s="34"/>
      <c r="BJ535" s="34"/>
      <c r="BK535" s="34"/>
      <c r="BL535" s="34"/>
      <c r="BM535" s="34"/>
      <c r="BN535" s="34"/>
      <c r="BO535" s="34"/>
      <c r="BP535" s="34"/>
      <c r="BQ535" s="34"/>
      <c r="BR535" s="34"/>
      <c r="BS535" s="34"/>
      <c r="BT535" s="34"/>
      <c r="BU535" s="34"/>
      <c r="BV535" s="34"/>
      <c r="BW535" s="34"/>
      <c r="BX535" s="34"/>
      <c r="BY535" s="34"/>
    </row>
    <row r="536" spans="1:77" x14ac:dyDescent="0.3">
      <c r="A536" s="39"/>
      <c r="B536" s="42"/>
      <c r="C536" s="42"/>
      <c r="D536" s="75"/>
      <c r="E536" s="75"/>
      <c r="F536" s="76"/>
      <c r="G536" s="47"/>
      <c r="H536" s="47"/>
      <c r="I536" s="75"/>
      <c r="J536" s="76"/>
      <c r="K536" s="76"/>
      <c r="L536" s="75"/>
      <c r="M536" s="49"/>
      <c r="N536" s="76"/>
      <c r="O536" s="49"/>
      <c r="P536" s="77"/>
      <c r="Q536" s="53"/>
      <c r="R536" s="54"/>
      <c r="S536" s="55"/>
      <c r="T536" s="56"/>
      <c r="U536" s="56"/>
      <c r="V536" s="42"/>
      <c r="W536" s="57"/>
      <c r="X536" s="58"/>
      <c r="Y536" s="75"/>
      <c r="Z536" s="59"/>
      <c r="AA536" s="61"/>
      <c r="AB536" s="61"/>
      <c r="AC536" s="61"/>
      <c r="AD536" s="62"/>
      <c r="AE536" s="62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  <c r="AQ536" s="34"/>
      <c r="AR536" s="34"/>
      <c r="AS536" s="34"/>
      <c r="AT536" s="34"/>
      <c r="AU536" s="34"/>
      <c r="AV536" s="34"/>
      <c r="AW536" s="34"/>
      <c r="AX536" s="34"/>
      <c r="AY536" s="34"/>
      <c r="AZ536" s="34"/>
      <c r="BA536" s="34"/>
      <c r="BB536" s="34"/>
      <c r="BD536" s="34"/>
      <c r="BE536" s="34"/>
      <c r="BF536" s="34"/>
      <c r="BG536" s="34"/>
      <c r="BH536" s="34"/>
      <c r="BI536" s="34"/>
      <c r="BJ536" s="34"/>
      <c r="BK536" s="34"/>
      <c r="BL536" s="34"/>
      <c r="BM536" s="34"/>
      <c r="BN536" s="34"/>
      <c r="BO536" s="34"/>
      <c r="BP536" s="34"/>
      <c r="BQ536" s="34"/>
      <c r="BR536" s="34"/>
      <c r="BS536" s="34"/>
      <c r="BT536" s="34"/>
      <c r="BU536" s="34"/>
      <c r="BV536" s="34"/>
      <c r="BW536" s="34"/>
      <c r="BX536" s="34"/>
      <c r="BY536" s="34"/>
    </row>
    <row r="537" spans="1:77" x14ac:dyDescent="0.3">
      <c r="A537" s="39"/>
      <c r="B537" s="42"/>
      <c r="C537" s="42"/>
      <c r="D537" s="75"/>
      <c r="E537" s="75"/>
      <c r="F537" s="76"/>
      <c r="G537" s="47"/>
      <c r="H537" s="47"/>
      <c r="I537" s="75"/>
      <c r="J537" s="76"/>
      <c r="K537" s="76"/>
      <c r="L537" s="75"/>
      <c r="M537" s="49"/>
      <c r="N537" s="76"/>
      <c r="O537" s="49"/>
      <c r="P537" s="77"/>
      <c r="Q537" s="53"/>
      <c r="R537" s="54"/>
      <c r="S537" s="55"/>
      <c r="T537" s="56"/>
      <c r="U537" s="56"/>
      <c r="V537" s="42"/>
      <c r="W537" s="57"/>
      <c r="X537" s="58"/>
      <c r="Y537" s="75"/>
      <c r="Z537" s="59"/>
      <c r="AA537" s="61"/>
      <c r="AB537" s="61"/>
      <c r="AC537" s="61"/>
      <c r="AD537" s="62"/>
      <c r="AE537" s="62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  <c r="AQ537" s="34"/>
      <c r="AR537" s="34"/>
      <c r="AS537" s="34"/>
      <c r="AT537" s="34"/>
      <c r="AU537" s="34"/>
      <c r="AV537" s="34"/>
      <c r="AW537" s="34"/>
      <c r="AX537" s="34"/>
      <c r="AY537" s="34"/>
      <c r="AZ537" s="34"/>
      <c r="BA537" s="34"/>
      <c r="BB537" s="34"/>
      <c r="BD537" s="34"/>
      <c r="BE537" s="34"/>
      <c r="BF537" s="34"/>
      <c r="BG537" s="34"/>
      <c r="BH537" s="34"/>
      <c r="BI537" s="34"/>
      <c r="BJ537" s="34"/>
      <c r="BK537" s="34"/>
      <c r="BL537" s="34"/>
      <c r="BM537" s="34"/>
      <c r="BN537" s="34"/>
      <c r="BO537" s="34"/>
      <c r="BP537" s="34"/>
      <c r="BQ537" s="34"/>
      <c r="BR537" s="34"/>
      <c r="BS537" s="34"/>
      <c r="BT537" s="34"/>
      <c r="BU537" s="34"/>
      <c r="BV537" s="34"/>
      <c r="BW537" s="34"/>
      <c r="BX537" s="34"/>
      <c r="BY537" s="34"/>
    </row>
    <row r="538" spans="1:77" x14ac:dyDescent="0.3">
      <c r="A538" s="39"/>
      <c r="B538" s="42"/>
      <c r="C538" s="42"/>
      <c r="D538" s="75"/>
      <c r="E538" s="75"/>
      <c r="F538" s="76"/>
      <c r="G538" s="47"/>
      <c r="H538" s="47"/>
      <c r="I538" s="75"/>
      <c r="J538" s="76"/>
      <c r="K538" s="76"/>
      <c r="L538" s="75"/>
      <c r="M538" s="49"/>
      <c r="N538" s="76"/>
      <c r="O538" s="49"/>
      <c r="P538" s="77"/>
      <c r="Q538" s="53"/>
      <c r="R538" s="54"/>
      <c r="S538" s="55"/>
      <c r="T538" s="56"/>
      <c r="U538" s="56"/>
      <c r="V538" s="42"/>
      <c r="W538" s="57"/>
      <c r="X538" s="58"/>
      <c r="Y538" s="75"/>
      <c r="Z538" s="59"/>
      <c r="AA538" s="61"/>
      <c r="AB538" s="61"/>
      <c r="AC538" s="61"/>
      <c r="AD538" s="62"/>
      <c r="AE538" s="62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  <c r="AQ538" s="34"/>
      <c r="AR538" s="34"/>
      <c r="AS538" s="34"/>
      <c r="AT538" s="34"/>
      <c r="AU538" s="34"/>
      <c r="AV538" s="34"/>
      <c r="AW538" s="34"/>
      <c r="AX538" s="34"/>
      <c r="AY538" s="34"/>
      <c r="AZ538" s="34"/>
      <c r="BA538" s="34"/>
      <c r="BB538" s="34"/>
      <c r="BD538" s="34"/>
      <c r="BE538" s="34"/>
      <c r="BF538" s="34"/>
      <c r="BG538" s="34"/>
      <c r="BH538" s="34"/>
      <c r="BI538" s="34"/>
      <c r="BJ538" s="34"/>
      <c r="BK538" s="34"/>
      <c r="BL538" s="34"/>
      <c r="BM538" s="34"/>
      <c r="BN538" s="34"/>
      <c r="BO538" s="34"/>
      <c r="BP538" s="34"/>
      <c r="BQ538" s="34"/>
      <c r="BR538" s="34"/>
      <c r="BS538" s="34"/>
      <c r="BT538" s="34"/>
      <c r="BU538" s="34"/>
      <c r="BV538" s="34"/>
      <c r="BW538" s="34"/>
      <c r="BX538" s="34"/>
      <c r="BY538" s="34"/>
    </row>
    <row r="539" spans="1:77" x14ac:dyDescent="0.3">
      <c r="A539" s="39"/>
      <c r="B539" s="42"/>
      <c r="C539" s="42"/>
      <c r="D539" s="75"/>
      <c r="E539" s="75"/>
      <c r="F539" s="76"/>
      <c r="G539" s="47"/>
      <c r="H539" s="47"/>
      <c r="I539" s="75"/>
      <c r="J539" s="76"/>
      <c r="K539" s="76"/>
      <c r="L539" s="75"/>
      <c r="M539" s="49"/>
      <c r="N539" s="76"/>
      <c r="O539" s="49"/>
      <c r="P539" s="77"/>
      <c r="Q539" s="53"/>
      <c r="R539" s="54"/>
      <c r="S539" s="55"/>
      <c r="T539" s="56"/>
      <c r="U539" s="56"/>
      <c r="V539" s="42"/>
      <c r="W539" s="57"/>
      <c r="X539" s="58"/>
      <c r="Y539" s="75"/>
      <c r="Z539" s="59"/>
      <c r="AA539" s="61"/>
      <c r="AB539" s="61"/>
      <c r="AC539" s="61"/>
      <c r="AD539" s="62"/>
      <c r="AE539" s="62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  <c r="AQ539" s="34"/>
      <c r="AR539" s="34"/>
      <c r="AS539" s="34"/>
      <c r="AT539" s="34"/>
      <c r="AU539" s="34"/>
      <c r="AV539" s="34"/>
      <c r="AW539" s="34"/>
      <c r="AX539" s="34"/>
      <c r="AY539" s="34"/>
      <c r="AZ539" s="34"/>
      <c r="BA539" s="34"/>
      <c r="BB539" s="34"/>
      <c r="BD539" s="34"/>
      <c r="BE539" s="34"/>
      <c r="BF539" s="34"/>
      <c r="BG539" s="34"/>
      <c r="BH539" s="34"/>
      <c r="BI539" s="34"/>
      <c r="BJ539" s="34"/>
      <c r="BK539" s="34"/>
      <c r="BL539" s="34"/>
      <c r="BM539" s="34"/>
      <c r="BN539" s="34"/>
      <c r="BO539" s="34"/>
      <c r="BP539" s="34"/>
      <c r="BQ539" s="34"/>
      <c r="BR539" s="34"/>
      <c r="BS539" s="34"/>
      <c r="BT539" s="34"/>
      <c r="BU539" s="34"/>
      <c r="BV539" s="34"/>
      <c r="BW539" s="34"/>
      <c r="BX539" s="34"/>
      <c r="BY539" s="34"/>
    </row>
    <row r="540" spans="1:77" x14ac:dyDescent="0.3">
      <c r="A540" s="39"/>
      <c r="B540" s="42"/>
      <c r="C540" s="42"/>
      <c r="D540" s="75"/>
      <c r="E540" s="75"/>
      <c r="F540" s="76"/>
      <c r="G540" s="47"/>
      <c r="H540" s="47"/>
      <c r="I540" s="75"/>
      <c r="J540" s="76"/>
      <c r="K540" s="76"/>
      <c r="L540" s="75"/>
      <c r="M540" s="49"/>
      <c r="N540" s="76"/>
      <c r="O540" s="49"/>
      <c r="P540" s="77"/>
      <c r="Q540" s="53"/>
      <c r="R540" s="54"/>
      <c r="S540" s="55"/>
      <c r="T540" s="56"/>
      <c r="U540" s="56"/>
      <c r="V540" s="42"/>
      <c r="W540" s="57"/>
      <c r="X540" s="58"/>
      <c r="Y540" s="75"/>
      <c r="Z540" s="59"/>
      <c r="AA540" s="61"/>
      <c r="AB540" s="61"/>
      <c r="AC540" s="61"/>
      <c r="AD540" s="62"/>
      <c r="AE540" s="62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  <c r="AP540" s="34"/>
      <c r="AQ540" s="34"/>
      <c r="AR540" s="34"/>
      <c r="AS540" s="34"/>
      <c r="AT540" s="34"/>
      <c r="AU540" s="34"/>
      <c r="AV540" s="34"/>
      <c r="AW540" s="34"/>
      <c r="AX540" s="34"/>
      <c r="AY540" s="34"/>
      <c r="AZ540" s="34"/>
      <c r="BA540" s="34"/>
      <c r="BB540" s="34"/>
      <c r="BD540" s="34"/>
      <c r="BE540" s="34"/>
      <c r="BF540" s="34"/>
      <c r="BG540" s="34"/>
      <c r="BH540" s="34"/>
      <c r="BI540" s="34"/>
      <c r="BJ540" s="34"/>
      <c r="BK540" s="34"/>
      <c r="BL540" s="34"/>
      <c r="BM540" s="34"/>
      <c r="BN540" s="34"/>
      <c r="BO540" s="34"/>
      <c r="BP540" s="34"/>
      <c r="BQ540" s="34"/>
      <c r="BR540" s="34"/>
      <c r="BS540" s="34"/>
      <c r="BT540" s="34"/>
      <c r="BU540" s="34"/>
      <c r="BV540" s="34"/>
      <c r="BW540" s="34"/>
      <c r="BX540" s="34"/>
      <c r="BY540" s="34"/>
    </row>
    <row r="541" spans="1:77" x14ac:dyDescent="0.3">
      <c r="A541" s="39"/>
      <c r="B541" s="42"/>
      <c r="C541" s="42"/>
      <c r="D541" s="75"/>
      <c r="E541" s="75"/>
      <c r="F541" s="76"/>
      <c r="G541" s="47"/>
      <c r="H541" s="47"/>
      <c r="I541" s="75"/>
      <c r="J541" s="76"/>
      <c r="K541" s="76"/>
      <c r="L541" s="75"/>
      <c r="M541" s="49"/>
      <c r="N541" s="76"/>
      <c r="O541" s="49"/>
      <c r="P541" s="77"/>
      <c r="Q541" s="53"/>
      <c r="R541" s="54"/>
      <c r="S541" s="55"/>
      <c r="T541" s="56"/>
      <c r="U541" s="56"/>
      <c r="V541" s="42"/>
      <c r="W541" s="57"/>
      <c r="X541" s="58"/>
      <c r="Y541" s="75"/>
      <c r="Z541" s="59"/>
      <c r="AA541" s="61"/>
      <c r="AB541" s="61"/>
      <c r="AC541" s="61"/>
      <c r="AD541" s="62"/>
      <c r="AE541" s="62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  <c r="AQ541" s="34"/>
      <c r="AR541" s="34"/>
      <c r="AS541" s="34"/>
      <c r="AT541" s="34"/>
      <c r="AU541" s="34"/>
      <c r="AV541" s="34"/>
      <c r="AW541" s="34"/>
      <c r="AX541" s="34"/>
      <c r="AY541" s="34"/>
      <c r="AZ541" s="34"/>
      <c r="BA541" s="34"/>
      <c r="BB541" s="34"/>
      <c r="BD541" s="34"/>
      <c r="BE541" s="34"/>
      <c r="BF541" s="34"/>
      <c r="BG541" s="34"/>
      <c r="BH541" s="34"/>
      <c r="BI541" s="34"/>
      <c r="BJ541" s="34"/>
      <c r="BK541" s="34"/>
      <c r="BL541" s="34"/>
      <c r="BM541" s="34"/>
      <c r="BN541" s="34"/>
      <c r="BO541" s="34"/>
      <c r="BP541" s="34"/>
      <c r="BQ541" s="34"/>
      <c r="BR541" s="34"/>
      <c r="BS541" s="34"/>
      <c r="BT541" s="34"/>
      <c r="BU541" s="34"/>
      <c r="BV541" s="34"/>
      <c r="BW541" s="34"/>
      <c r="BX541" s="34"/>
      <c r="BY541" s="34"/>
    </row>
    <row r="542" spans="1:77" x14ac:dyDescent="0.3">
      <c r="A542" s="39"/>
      <c r="B542" s="42"/>
      <c r="C542" s="42"/>
      <c r="D542" s="75"/>
      <c r="E542" s="75"/>
      <c r="F542" s="76"/>
      <c r="G542" s="47"/>
      <c r="H542" s="47"/>
      <c r="I542" s="75"/>
      <c r="J542" s="76"/>
      <c r="K542" s="76"/>
      <c r="L542" s="75"/>
      <c r="M542" s="49"/>
      <c r="N542" s="76"/>
      <c r="O542" s="49"/>
      <c r="P542" s="77"/>
      <c r="Q542" s="53"/>
      <c r="R542" s="54"/>
      <c r="S542" s="55"/>
      <c r="T542" s="56"/>
      <c r="U542" s="56"/>
      <c r="V542" s="42"/>
      <c r="W542" s="57"/>
      <c r="X542" s="58"/>
      <c r="Y542" s="75"/>
      <c r="Z542" s="59"/>
      <c r="AA542" s="61"/>
      <c r="AB542" s="61"/>
      <c r="AC542" s="61"/>
      <c r="AD542" s="62"/>
      <c r="AE542" s="62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  <c r="AQ542" s="34"/>
      <c r="AR542" s="34"/>
      <c r="AS542" s="34"/>
      <c r="AT542" s="34"/>
      <c r="AU542" s="34"/>
      <c r="AV542" s="34"/>
      <c r="AW542" s="34"/>
      <c r="AX542" s="34"/>
      <c r="AY542" s="34"/>
      <c r="AZ542" s="34"/>
      <c r="BA542" s="34"/>
      <c r="BB542" s="34"/>
      <c r="BD542" s="34"/>
      <c r="BE542" s="34"/>
      <c r="BF542" s="34"/>
      <c r="BG542" s="34"/>
      <c r="BH542" s="34"/>
      <c r="BI542" s="34"/>
      <c r="BJ542" s="34"/>
      <c r="BK542" s="34"/>
      <c r="BL542" s="34"/>
      <c r="BM542" s="34"/>
      <c r="BN542" s="34"/>
      <c r="BO542" s="34"/>
      <c r="BP542" s="34"/>
      <c r="BQ542" s="34"/>
      <c r="BR542" s="34"/>
      <c r="BS542" s="34"/>
      <c r="BT542" s="34"/>
      <c r="BU542" s="34"/>
      <c r="BV542" s="34"/>
      <c r="BW542" s="34"/>
      <c r="BX542" s="34"/>
      <c r="BY542" s="34"/>
    </row>
    <row r="543" spans="1:77" x14ac:dyDescent="0.3">
      <c r="A543" s="39"/>
      <c r="B543" s="42"/>
      <c r="C543" s="42"/>
      <c r="D543" s="75"/>
      <c r="E543" s="75"/>
      <c r="F543" s="76"/>
      <c r="G543" s="47"/>
      <c r="H543" s="47"/>
      <c r="I543" s="75"/>
      <c r="J543" s="76"/>
      <c r="K543" s="76"/>
      <c r="L543" s="75"/>
      <c r="M543" s="49"/>
      <c r="N543" s="76"/>
      <c r="O543" s="49"/>
      <c r="P543" s="77"/>
      <c r="Q543" s="53"/>
      <c r="R543" s="54"/>
      <c r="S543" s="55"/>
      <c r="T543" s="56"/>
      <c r="U543" s="56"/>
      <c r="V543" s="42"/>
      <c r="W543" s="57"/>
      <c r="X543" s="58"/>
      <c r="Y543" s="75"/>
      <c r="Z543" s="59"/>
      <c r="AA543" s="61"/>
      <c r="AB543" s="61"/>
      <c r="AC543" s="61"/>
      <c r="AD543" s="62"/>
      <c r="AE543" s="62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/>
      <c r="BB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/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</row>
    <row r="544" spans="1:77" x14ac:dyDescent="0.3">
      <c r="A544" s="39"/>
      <c r="B544" s="42"/>
      <c r="C544" s="42"/>
      <c r="D544" s="75"/>
      <c r="E544" s="75"/>
      <c r="F544" s="76"/>
      <c r="G544" s="47"/>
      <c r="H544" s="47"/>
      <c r="I544" s="75"/>
      <c r="J544" s="76"/>
      <c r="K544" s="76"/>
      <c r="L544" s="75"/>
      <c r="M544" s="49"/>
      <c r="N544" s="76"/>
      <c r="O544" s="49"/>
      <c r="P544" s="77"/>
      <c r="Q544" s="53"/>
      <c r="R544" s="54"/>
      <c r="S544" s="55"/>
      <c r="T544" s="56"/>
      <c r="U544" s="56"/>
      <c r="V544" s="42"/>
      <c r="W544" s="57"/>
      <c r="X544" s="58"/>
      <c r="Y544" s="75"/>
      <c r="Z544" s="59"/>
      <c r="AA544" s="61"/>
      <c r="AB544" s="61"/>
      <c r="AC544" s="61"/>
      <c r="AD544" s="62"/>
      <c r="AE544" s="62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/>
      <c r="BB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34"/>
      <c r="BP544" s="34"/>
      <c r="BQ544" s="34"/>
      <c r="BR544" s="34"/>
      <c r="BS544" s="34"/>
      <c r="BT544" s="34"/>
      <c r="BU544" s="34"/>
      <c r="BV544" s="34"/>
      <c r="BW544" s="34"/>
      <c r="BX544" s="34"/>
      <c r="BY544" s="34"/>
    </row>
    <row r="545" spans="1:77" x14ac:dyDescent="0.3">
      <c r="A545" s="39"/>
      <c r="B545" s="42"/>
      <c r="C545" s="42"/>
      <c r="D545" s="75"/>
      <c r="E545" s="75"/>
      <c r="F545" s="76"/>
      <c r="G545" s="47"/>
      <c r="H545" s="47"/>
      <c r="I545" s="75"/>
      <c r="J545" s="76"/>
      <c r="K545" s="76"/>
      <c r="L545" s="75"/>
      <c r="M545" s="49"/>
      <c r="N545" s="76"/>
      <c r="O545" s="49"/>
      <c r="P545" s="77"/>
      <c r="Q545" s="53"/>
      <c r="R545" s="54"/>
      <c r="S545" s="55"/>
      <c r="T545" s="56"/>
      <c r="U545" s="56"/>
      <c r="V545" s="42"/>
      <c r="W545" s="57"/>
      <c r="X545" s="58"/>
      <c r="Y545" s="75"/>
      <c r="Z545" s="59"/>
      <c r="AA545" s="61"/>
      <c r="AB545" s="61"/>
      <c r="AC545" s="61"/>
      <c r="AD545" s="62"/>
      <c r="AE545" s="62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/>
      <c r="BB545" s="34"/>
      <c r="BD545" s="34"/>
      <c r="BE545" s="34"/>
      <c r="BF545" s="34"/>
      <c r="BG545" s="34"/>
      <c r="BH545" s="34"/>
      <c r="BI545" s="34"/>
      <c r="BJ545" s="34"/>
      <c r="BK545" s="34"/>
      <c r="BL545" s="34"/>
      <c r="BM545" s="34"/>
      <c r="BN545" s="34"/>
      <c r="BO545" s="34"/>
      <c r="BP545" s="34"/>
      <c r="BQ545" s="34"/>
      <c r="BR545" s="34"/>
      <c r="BS545" s="34"/>
      <c r="BT545" s="34"/>
      <c r="BU545" s="34"/>
      <c r="BV545" s="34"/>
      <c r="BW545" s="34"/>
      <c r="BX545" s="34"/>
      <c r="BY545" s="34"/>
    </row>
    <row r="546" spans="1:77" x14ac:dyDescent="0.3">
      <c r="A546" s="39"/>
      <c r="B546" s="42"/>
      <c r="C546" s="42"/>
      <c r="D546" s="75"/>
      <c r="E546" s="75"/>
      <c r="F546" s="76"/>
      <c r="G546" s="47"/>
      <c r="H546" s="47"/>
      <c r="I546" s="75"/>
      <c r="J546" s="76"/>
      <c r="K546" s="76"/>
      <c r="L546" s="75"/>
      <c r="M546" s="49"/>
      <c r="N546" s="76"/>
      <c r="O546" s="49"/>
      <c r="P546" s="77"/>
      <c r="Q546" s="53"/>
      <c r="R546" s="54"/>
      <c r="S546" s="55"/>
      <c r="T546" s="56"/>
      <c r="U546" s="56"/>
      <c r="V546" s="42"/>
      <c r="W546" s="57"/>
      <c r="X546" s="58"/>
      <c r="Y546" s="75"/>
      <c r="Z546" s="59"/>
      <c r="AA546" s="61"/>
      <c r="AB546" s="61"/>
      <c r="AC546" s="61"/>
      <c r="AD546" s="62"/>
      <c r="AE546" s="62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/>
      <c r="BB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/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</row>
    <row r="547" spans="1:77" x14ac:dyDescent="0.3">
      <c r="A547" s="39"/>
      <c r="B547" s="42"/>
      <c r="C547" s="42"/>
      <c r="D547" s="75"/>
      <c r="E547" s="75"/>
      <c r="F547" s="76"/>
      <c r="G547" s="47"/>
      <c r="H547" s="47"/>
      <c r="I547" s="75"/>
      <c r="J547" s="76"/>
      <c r="K547" s="76"/>
      <c r="L547" s="75"/>
      <c r="M547" s="49"/>
      <c r="N547" s="76"/>
      <c r="O547" s="49"/>
      <c r="P547" s="77"/>
      <c r="Q547" s="53"/>
      <c r="R547" s="54"/>
      <c r="S547" s="55"/>
      <c r="T547" s="56"/>
      <c r="U547" s="56"/>
      <c r="V547" s="42"/>
      <c r="W547" s="57"/>
      <c r="X547" s="58"/>
      <c r="Y547" s="75"/>
      <c r="Z547" s="59"/>
      <c r="AA547" s="61"/>
      <c r="AB547" s="61"/>
      <c r="AC547" s="61"/>
      <c r="AD547" s="62"/>
      <c r="AE547" s="62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34"/>
      <c r="BB547" s="34"/>
      <c r="BD547" s="34"/>
      <c r="BE547" s="34"/>
      <c r="BF547" s="34"/>
      <c r="BG547" s="34"/>
      <c r="BH547" s="34"/>
      <c r="BI547" s="34"/>
      <c r="BJ547" s="34"/>
      <c r="BK547" s="34"/>
      <c r="BL547" s="34"/>
      <c r="BM547" s="34"/>
      <c r="BN547" s="34"/>
      <c r="BO547" s="34"/>
      <c r="BP547" s="34"/>
      <c r="BQ547" s="34"/>
      <c r="BR547" s="34"/>
      <c r="BS547" s="34"/>
      <c r="BT547" s="34"/>
      <c r="BU547" s="34"/>
      <c r="BV547" s="34"/>
      <c r="BW547" s="34"/>
      <c r="BX547" s="34"/>
      <c r="BY547" s="34"/>
    </row>
    <row r="548" spans="1:77" x14ac:dyDescent="0.3">
      <c r="A548" s="39"/>
      <c r="B548" s="42"/>
      <c r="C548" s="42"/>
      <c r="D548" s="75"/>
      <c r="E548" s="75"/>
      <c r="F548" s="76"/>
      <c r="G548" s="47"/>
      <c r="H548" s="47"/>
      <c r="I548" s="75"/>
      <c r="J548" s="76"/>
      <c r="K548" s="76"/>
      <c r="L548" s="75"/>
      <c r="M548" s="49"/>
      <c r="N548" s="76"/>
      <c r="O548" s="49"/>
      <c r="P548" s="77"/>
      <c r="Q548" s="53"/>
      <c r="R548" s="54"/>
      <c r="S548" s="55"/>
      <c r="T548" s="56"/>
      <c r="U548" s="56"/>
      <c r="V548" s="42"/>
      <c r="W548" s="57"/>
      <c r="X548" s="58"/>
      <c r="Y548" s="75"/>
      <c r="Z548" s="59"/>
      <c r="AA548" s="61"/>
      <c r="AB548" s="61"/>
      <c r="AC548" s="61"/>
      <c r="AD548" s="62"/>
      <c r="AE548" s="62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  <c r="AZ548" s="34"/>
      <c r="BA548" s="34"/>
      <c r="BB548" s="34"/>
      <c r="BD548" s="34"/>
      <c r="BE548" s="34"/>
      <c r="BF548" s="34"/>
      <c r="BG548" s="34"/>
      <c r="BH548" s="34"/>
      <c r="BI548" s="34"/>
      <c r="BJ548" s="34"/>
      <c r="BK548" s="34"/>
      <c r="BL548" s="34"/>
      <c r="BM548" s="34"/>
      <c r="BN548" s="34"/>
      <c r="BO548" s="34"/>
      <c r="BP548" s="34"/>
      <c r="BQ548" s="34"/>
      <c r="BR548" s="34"/>
      <c r="BS548" s="34"/>
      <c r="BT548" s="34"/>
      <c r="BU548" s="34"/>
      <c r="BV548" s="34"/>
      <c r="BW548" s="34"/>
      <c r="BX548" s="34"/>
      <c r="BY548" s="34"/>
    </row>
    <row r="549" spans="1:77" x14ac:dyDescent="0.3">
      <c r="A549" s="39"/>
      <c r="B549" s="42"/>
      <c r="C549" s="42"/>
      <c r="D549" s="75"/>
      <c r="E549" s="75"/>
      <c r="F549" s="76"/>
      <c r="G549" s="47"/>
      <c r="H549" s="47"/>
      <c r="I549" s="75"/>
      <c r="J549" s="76"/>
      <c r="K549" s="76"/>
      <c r="L549" s="75"/>
      <c r="M549" s="49"/>
      <c r="N549" s="76"/>
      <c r="O549" s="49"/>
      <c r="P549" s="77"/>
      <c r="Q549" s="53"/>
      <c r="R549" s="54"/>
      <c r="S549" s="55"/>
      <c r="T549" s="56"/>
      <c r="U549" s="56"/>
      <c r="V549" s="42"/>
      <c r="W549" s="57"/>
      <c r="X549" s="58"/>
      <c r="Y549" s="75"/>
      <c r="Z549" s="59"/>
      <c r="AA549" s="61"/>
      <c r="AB549" s="61"/>
      <c r="AC549" s="61"/>
      <c r="AD549" s="62"/>
      <c r="AE549" s="62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  <c r="AQ549" s="34"/>
      <c r="AR549" s="34"/>
      <c r="AS549" s="34"/>
      <c r="AT549" s="34"/>
      <c r="AU549" s="34"/>
      <c r="AV549" s="34"/>
      <c r="AW549" s="34"/>
      <c r="AX549" s="34"/>
      <c r="AY549" s="34"/>
      <c r="AZ549" s="34"/>
      <c r="BA549" s="34"/>
      <c r="BB549" s="34"/>
      <c r="BD549" s="34"/>
      <c r="BE549" s="34"/>
      <c r="BF549" s="34"/>
      <c r="BG549" s="34"/>
      <c r="BH549" s="34"/>
      <c r="BI549" s="34"/>
      <c r="BJ549" s="34"/>
      <c r="BK549" s="34"/>
      <c r="BL549" s="34"/>
      <c r="BM549" s="34"/>
      <c r="BN549" s="34"/>
      <c r="BO549" s="34"/>
      <c r="BP549" s="34"/>
      <c r="BQ549" s="34"/>
      <c r="BR549" s="34"/>
      <c r="BS549" s="34"/>
      <c r="BT549" s="34"/>
      <c r="BU549" s="34"/>
      <c r="BV549" s="34"/>
      <c r="BW549" s="34"/>
      <c r="BX549" s="34"/>
      <c r="BY549" s="34"/>
    </row>
    <row r="550" spans="1:77" x14ac:dyDescent="0.3">
      <c r="A550" s="39"/>
      <c r="B550" s="42"/>
      <c r="C550" s="42"/>
      <c r="D550" s="75"/>
      <c r="E550" s="75"/>
      <c r="F550" s="76"/>
      <c r="G550" s="47"/>
      <c r="H550" s="47"/>
      <c r="I550" s="75"/>
      <c r="J550" s="76"/>
      <c r="K550" s="76"/>
      <c r="L550" s="75"/>
      <c r="M550" s="49"/>
      <c r="N550" s="76"/>
      <c r="O550" s="49"/>
      <c r="P550" s="77"/>
      <c r="Q550" s="53"/>
      <c r="R550" s="54"/>
      <c r="S550" s="55"/>
      <c r="T550" s="56"/>
      <c r="U550" s="56"/>
      <c r="V550" s="42"/>
      <c r="W550" s="57"/>
      <c r="X550" s="58"/>
      <c r="Y550" s="75"/>
      <c r="Z550" s="59"/>
      <c r="AA550" s="61"/>
      <c r="AB550" s="61"/>
      <c r="AC550" s="61"/>
      <c r="AD550" s="62"/>
      <c r="AE550" s="62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  <c r="AQ550" s="34"/>
      <c r="AR550" s="34"/>
      <c r="AS550" s="34"/>
      <c r="AT550" s="34"/>
      <c r="AU550" s="34"/>
      <c r="AV550" s="34"/>
      <c r="AW550" s="34"/>
      <c r="AX550" s="34"/>
      <c r="AY550" s="34"/>
      <c r="AZ550" s="34"/>
      <c r="BA550" s="34"/>
      <c r="BB550" s="34"/>
      <c r="BD550" s="34"/>
      <c r="BE550" s="34"/>
      <c r="BF550" s="34"/>
      <c r="BG550" s="34"/>
      <c r="BH550" s="34"/>
      <c r="BI550" s="34"/>
      <c r="BJ550" s="34"/>
      <c r="BK550" s="34"/>
      <c r="BL550" s="34"/>
      <c r="BM550" s="34"/>
      <c r="BN550" s="34"/>
      <c r="BO550" s="34"/>
      <c r="BP550" s="34"/>
      <c r="BQ550" s="34"/>
      <c r="BR550" s="34"/>
      <c r="BS550" s="34"/>
      <c r="BT550" s="34"/>
      <c r="BU550" s="34"/>
      <c r="BV550" s="34"/>
      <c r="BW550" s="34"/>
      <c r="BX550" s="34"/>
      <c r="BY550" s="34"/>
    </row>
    <row r="551" spans="1:77" x14ac:dyDescent="0.3">
      <c r="A551" s="39"/>
      <c r="B551" s="42"/>
      <c r="C551" s="42"/>
      <c r="D551" s="75"/>
      <c r="E551" s="75"/>
      <c r="F551" s="76"/>
      <c r="G551" s="47"/>
      <c r="H551" s="47"/>
      <c r="I551" s="75"/>
      <c r="J551" s="76"/>
      <c r="K551" s="76"/>
      <c r="L551" s="75"/>
      <c r="M551" s="49"/>
      <c r="N551" s="76"/>
      <c r="O551" s="49"/>
      <c r="P551" s="77"/>
      <c r="Q551" s="53"/>
      <c r="R551" s="54"/>
      <c r="S551" s="55"/>
      <c r="T551" s="56"/>
      <c r="U551" s="56"/>
      <c r="V551" s="42"/>
      <c r="W551" s="57"/>
      <c r="X551" s="58"/>
      <c r="Y551" s="75"/>
      <c r="Z551" s="59"/>
      <c r="AA551" s="61"/>
      <c r="AB551" s="61"/>
      <c r="AC551" s="61"/>
      <c r="AD551" s="62"/>
      <c r="AE551" s="62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  <c r="AQ551" s="34"/>
      <c r="AR551" s="34"/>
      <c r="AS551" s="34"/>
      <c r="AT551" s="34"/>
      <c r="AU551" s="34"/>
      <c r="AV551" s="34"/>
      <c r="AW551" s="34"/>
      <c r="AX551" s="34"/>
      <c r="AY551" s="34"/>
      <c r="AZ551" s="34"/>
      <c r="BA551" s="34"/>
      <c r="BB551" s="34"/>
      <c r="BD551" s="34"/>
      <c r="BE551" s="34"/>
      <c r="BF551" s="34"/>
      <c r="BG551" s="34"/>
      <c r="BH551" s="34"/>
      <c r="BI551" s="34"/>
      <c r="BJ551" s="34"/>
      <c r="BK551" s="34"/>
      <c r="BL551" s="34"/>
      <c r="BM551" s="34"/>
      <c r="BN551" s="34"/>
      <c r="BO551" s="34"/>
      <c r="BP551" s="34"/>
      <c r="BQ551" s="34"/>
      <c r="BR551" s="34"/>
      <c r="BS551" s="34"/>
      <c r="BT551" s="34"/>
      <c r="BU551" s="34"/>
      <c r="BV551" s="34"/>
      <c r="BW551" s="34"/>
      <c r="BX551" s="34"/>
      <c r="BY551" s="34"/>
    </row>
    <row r="552" spans="1:77" x14ac:dyDescent="0.3">
      <c r="A552" s="39"/>
      <c r="B552" s="42"/>
      <c r="C552" s="42"/>
      <c r="D552" s="75"/>
      <c r="E552" s="75"/>
      <c r="F552" s="76"/>
      <c r="G552" s="47"/>
      <c r="H552" s="47"/>
      <c r="I552" s="75"/>
      <c r="J552" s="76"/>
      <c r="K552" s="76"/>
      <c r="L552" s="75"/>
      <c r="M552" s="49"/>
      <c r="N552" s="76"/>
      <c r="O552" s="49"/>
      <c r="P552" s="77"/>
      <c r="Q552" s="53"/>
      <c r="R552" s="54"/>
      <c r="S552" s="55"/>
      <c r="T552" s="56"/>
      <c r="U552" s="56"/>
      <c r="V552" s="42"/>
      <c r="W552" s="57"/>
      <c r="X552" s="58"/>
      <c r="Y552" s="75"/>
      <c r="Z552" s="59"/>
      <c r="AA552" s="61"/>
      <c r="AB552" s="61"/>
      <c r="AC552" s="61"/>
      <c r="AD552" s="62"/>
      <c r="AE552" s="62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/>
      <c r="BB552" s="34"/>
      <c r="BD552" s="34"/>
      <c r="BE552" s="34"/>
      <c r="BF552" s="34"/>
      <c r="BG552" s="34"/>
      <c r="BH552" s="34"/>
      <c r="BI552" s="34"/>
      <c r="BJ552" s="34"/>
      <c r="BK552" s="34"/>
      <c r="BL552" s="34"/>
      <c r="BM552" s="34"/>
      <c r="BN552" s="34"/>
      <c r="BO552" s="34"/>
      <c r="BP552" s="34"/>
      <c r="BQ552" s="34"/>
      <c r="BR552" s="34"/>
      <c r="BS552" s="34"/>
      <c r="BT552" s="34"/>
      <c r="BU552" s="34"/>
      <c r="BV552" s="34"/>
      <c r="BW552" s="34"/>
      <c r="BX552" s="34"/>
      <c r="BY552" s="34"/>
    </row>
    <row r="553" spans="1:77" x14ac:dyDescent="0.3">
      <c r="A553" s="39"/>
      <c r="B553" s="42"/>
      <c r="C553" s="42"/>
      <c r="D553" s="75"/>
      <c r="E553" s="75"/>
      <c r="F553" s="76"/>
      <c r="G553" s="47"/>
      <c r="H553" s="47"/>
      <c r="I553" s="75"/>
      <c r="J553" s="76"/>
      <c r="K553" s="76"/>
      <c r="L553" s="75"/>
      <c r="M553" s="49"/>
      <c r="N553" s="76"/>
      <c r="O553" s="49"/>
      <c r="P553" s="77"/>
      <c r="Q553" s="53"/>
      <c r="R553" s="54"/>
      <c r="S553" s="55"/>
      <c r="T553" s="56"/>
      <c r="U553" s="56"/>
      <c r="V553" s="42"/>
      <c r="W553" s="57"/>
      <c r="X553" s="58"/>
      <c r="Y553" s="75"/>
      <c r="Z553" s="59"/>
      <c r="AA553" s="61"/>
      <c r="AB553" s="61"/>
      <c r="AC553" s="61"/>
      <c r="AD553" s="62"/>
      <c r="AE553" s="62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  <c r="AQ553" s="34"/>
      <c r="AR553" s="34"/>
      <c r="AS553" s="34"/>
      <c r="AT553" s="34"/>
      <c r="AU553" s="34"/>
      <c r="AV553" s="34"/>
      <c r="AW553" s="34"/>
      <c r="AX553" s="34"/>
      <c r="AY553" s="34"/>
      <c r="AZ553" s="34"/>
      <c r="BA553" s="34"/>
      <c r="BB553" s="34"/>
      <c r="BD553" s="34"/>
      <c r="BE553" s="34"/>
      <c r="BF553" s="34"/>
      <c r="BG553" s="34"/>
      <c r="BH553" s="34"/>
      <c r="BI553" s="34"/>
      <c r="BJ553" s="34"/>
      <c r="BK553" s="34"/>
      <c r="BL553" s="34"/>
      <c r="BM553" s="34"/>
      <c r="BN553" s="34"/>
      <c r="BO553" s="34"/>
      <c r="BP553" s="34"/>
      <c r="BQ553" s="34"/>
      <c r="BR553" s="34"/>
      <c r="BS553" s="34"/>
      <c r="BT553" s="34"/>
      <c r="BU553" s="34"/>
      <c r="BV553" s="34"/>
      <c r="BW553" s="34"/>
      <c r="BX553" s="34"/>
      <c r="BY553" s="34"/>
    </row>
    <row r="554" spans="1:77" x14ac:dyDescent="0.3">
      <c r="A554" s="39"/>
      <c r="B554" s="42"/>
      <c r="C554" s="42"/>
      <c r="D554" s="75"/>
      <c r="E554" s="75"/>
      <c r="F554" s="76"/>
      <c r="G554" s="47"/>
      <c r="H554" s="47"/>
      <c r="I554" s="75"/>
      <c r="J554" s="76"/>
      <c r="K554" s="76"/>
      <c r="L554" s="75"/>
      <c r="M554" s="49"/>
      <c r="N554" s="76"/>
      <c r="O554" s="49"/>
      <c r="P554" s="77"/>
      <c r="Q554" s="53"/>
      <c r="R554" s="54"/>
      <c r="S554" s="55"/>
      <c r="T554" s="56"/>
      <c r="U554" s="56"/>
      <c r="V554" s="42"/>
      <c r="W554" s="57"/>
      <c r="X554" s="58"/>
      <c r="Y554" s="75"/>
      <c r="Z554" s="59"/>
      <c r="AA554" s="61"/>
      <c r="AB554" s="61"/>
      <c r="AC554" s="61"/>
      <c r="AD554" s="62"/>
      <c r="AE554" s="62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  <c r="AQ554" s="34"/>
      <c r="AR554" s="34"/>
      <c r="AS554" s="34"/>
      <c r="AT554" s="34"/>
      <c r="AU554" s="34"/>
      <c r="AV554" s="34"/>
      <c r="AW554" s="34"/>
      <c r="AX554" s="34"/>
      <c r="AY554" s="34"/>
      <c r="AZ554" s="34"/>
      <c r="BA554" s="34"/>
      <c r="BB554" s="34"/>
      <c r="BD554" s="34"/>
      <c r="BE554" s="34"/>
      <c r="BF554" s="34"/>
      <c r="BG554" s="34"/>
      <c r="BH554" s="34"/>
      <c r="BI554" s="34"/>
      <c r="BJ554" s="34"/>
      <c r="BK554" s="34"/>
      <c r="BL554" s="34"/>
      <c r="BM554" s="34"/>
      <c r="BN554" s="34"/>
      <c r="BO554" s="34"/>
      <c r="BP554" s="34"/>
      <c r="BQ554" s="34"/>
      <c r="BR554" s="34"/>
      <c r="BS554" s="34"/>
      <c r="BT554" s="34"/>
      <c r="BU554" s="34"/>
      <c r="BV554" s="34"/>
      <c r="BW554" s="34"/>
      <c r="BX554" s="34"/>
      <c r="BY554" s="34"/>
    </row>
    <row r="555" spans="1:77" x14ac:dyDescent="0.3">
      <c r="A555" s="39"/>
      <c r="B555" s="42"/>
      <c r="C555" s="42"/>
      <c r="D555" s="75"/>
      <c r="E555" s="75"/>
      <c r="F555" s="76"/>
      <c r="G555" s="47"/>
      <c r="H555" s="47"/>
      <c r="I555" s="75"/>
      <c r="J555" s="76"/>
      <c r="K555" s="76"/>
      <c r="L555" s="75"/>
      <c r="M555" s="49"/>
      <c r="N555" s="76"/>
      <c r="O555" s="49"/>
      <c r="P555" s="77"/>
      <c r="Q555" s="53"/>
      <c r="R555" s="54"/>
      <c r="S555" s="55"/>
      <c r="T555" s="56"/>
      <c r="U555" s="56"/>
      <c r="V555" s="42"/>
      <c r="W555" s="57"/>
      <c r="X555" s="58"/>
      <c r="Y555" s="75"/>
      <c r="Z555" s="59"/>
      <c r="AA555" s="61"/>
      <c r="AB555" s="61"/>
      <c r="AC555" s="61"/>
      <c r="AD555" s="62"/>
      <c r="AE555" s="62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/>
      <c r="BB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  <c r="BN555" s="34"/>
      <c r="BO555" s="34"/>
      <c r="BP555" s="34"/>
      <c r="BQ555" s="34"/>
      <c r="BR555" s="34"/>
      <c r="BS555" s="34"/>
      <c r="BT555" s="34"/>
      <c r="BU555" s="34"/>
      <c r="BV555" s="34"/>
      <c r="BW555" s="34"/>
      <c r="BX555" s="34"/>
      <c r="BY555" s="34"/>
    </row>
    <row r="556" spans="1:77" x14ac:dyDescent="0.3">
      <c r="A556" s="39"/>
      <c r="B556" s="42"/>
      <c r="C556" s="42"/>
      <c r="D556" s="75"/>
      <c r="E556" s="75"/>
      <c r="F556" s="76"/>
      <c r="G556" s="47"/>
      <c r="H556" s="47"/>
      <c r="I556" s="75"/>
      <c r="J556" s="76"/>
      <c r="K556" s="76"/>
      <c r="L556" s="75"/>
      <c r="M556" s="49"/>
      <c r="N556" s="76"/>
      <c r="O556" s="49"/>
      <c r="P556" s="77"/>
      <c r="Q556" s="53"/>
      <c r="R556" s="54"/>
      <c r="S556" s="55"/>
      <c r="T556" s="56"/>
      <c r="U556" s="56"/>
      <c r="V556" s="42"/>
      <c r="W556" s="57"/>
      <c r="X556" s="58"/>
      <c r="Y556" s="75"/>
      <c r="Z556" s="59"/>
      <c r="AA556" s="61"/>
      <c r="AB556" s="61"/>
      <c r="AC556" s="61"/>
      <c r="AD556" s="62"/>
      <c r="AE556" s="62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  <c r="AQ556" s="34"/>
      <c r="AR556" s="34"/>
      <c r="AS556" s="34"/>
      <c r="AT556" s="34"/>
      <c r="AU556" s="34"/>
      <c r="AV556" s="34"/>
      <c r="AW556" s="34"/>
      <c r="AX556" s="34"/>
      <c r="AY556" s="34"/>
      <c r="AZ556" s="34"/>
      <c r="BA556" s="34"/>
      <c r="BB556" s="34"/>
      <c r="BD556" s="34"/>
      <c r="BE556" s="34"/>
      <c r="BF556" s="34"/>
      <c r="BG556" s="34"/>
      <c r="BH556" s="34"/>
      <c r="BI556" s="34"/>
      <c r="BJ556" s="34"/>
      <c r="BK556" s="34"/>
      <c r="BL556" s="34"/>
      <c r="BM556" s="34"/>
      <c r="BN556" s="34"/>
      <c r="BO556" s="34"/>
      <c r="BP556" s="34"/>
      <c r="BQ556" s="34"/>
      <c r="BR556" s="34"/>
      <c r="BS556" s="34"/>
      <c r="BT556" s="34"/>
      <c r="BU556" s="34"/>
      <c r="BV556" s="34"/>
      <c r="BW556" s="34"/>
      <c r="BX556" s="34"/>
      <c r="BY556" s="34"/>
    </row>
    <row r="557" spans="1:77" x14ac:dyDescent="0.3">
      <c r="A557" s="39"/>
      <c r="B557" s="42"/>
      <c r="C557" s="42"/>
      <c r="D557" s="75"/>
      <c r="E557" s="75"/>
      <c r="F557" s="76"/>
      <c r="G557" s="47"/>
      <c r="H557" s="47"/>
      <c r="I557" s="75"/>
      <c r="J557" s="76"/>
      <c r="K557" s="76"/>
      <c r="L557" s="75"/>
      <c r="M557" s="49"/>
      <c r="N557" s="76"/>
      <c r="O557" s="49"/>
      <c r="P557" s="77"/>
      <c r="Q557" s="53"/>
      <c r="R557" s="54"/>
      <c r="S557" s="55"/>
      <c r="T557" s="56"/>
      <c r="U557" s="56"/>
      <c r="V557" s="42"/>
      <c r="W557" s="57"/>
      <c r="X557" s="58"/>
      <c r="Y557" s="75"/>
      <c r="Z557" s="59"/>
      <c r="AA557" s="61"/>
      <c r="AB557" s="61"/>
      <c r="AC557" s="61"/>
      <c r="AD557" s="62"/>
      <c r="AE557" s="62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  <c r="AQ557" s="34"/>
      <c r="AR557" s="34"/>
      <c r="AS557" s="34"/>
      <c r="AT557" s="34"/>
      <c r="AU557" s="34"/>
      <c r="AV557" s="34"/>
      <c r="AW557" s="34"/>
      <c r="AX557" s="34"/>
      <c r="AY557" s="34"/>
      <c r="AZ557" s="34"/>
      <c r="BA557" s="34"/>
      <c r="BB557" s="34"/>
      <c r="BD557" s="34"/>
      <c r="BE557" s="34"/>
      <c r="BF557" s="34"/>
      <c r="BG557" s="34"/>
      <c r="BH557" s="34"/>
      <c r="BI557" s="34"/>
      <c r="BJ557" s="34"/>
      <c r="BK557" s="34"/>
      <c r="BL557" s="34"/>
      <c r="BM557" s="34"/>
      <c r="BN557" s="34"/>
      <c r="BO557" s="34"/>
      <c r="BP557" s="34"/>
      <c r="BQ557" s="34"/>
      <c r="BR557" s="34"/>
      <c r="BS557" s="34"/>
      <c r="BT557" s="34"/>
      <c r="BU557" s="34"/>
      <c r="BV557" s="34"/>
      <c r="BW557" s="34"/>
      <c r="BX557" s="34"/>
      <c r="BY557" s="34"/>
    </row>
    <row r="558" spans="1:77" x14ac:dyDescent="0.3">
      <c r="A558" s="39"/>
      <c r="B558" s="42"/>
      <c r="C558" s="42"/>
      <c r="D558" s="75"/>
      <c r="E558" s="75"/>
      <c r="F558" s="76"/>
      <c r="G558" s="47"/>
      <c r="H558" s="47"/>
      <c r="I558" s="75"/>
      <c r="J558" s="76"/>
      <c r="K558" s="76"/>
      <c r="L558" s="75"/>
      <c r="M558" s="49"/>
      <c r="N558" s="76"/>
      <c r="O558" s="49"/>
      <c r="P558" s="77"/>
      <c r="Q558" s="53"/>
      <c r="R558" s="54"/>
      <c r="S558" s="55"/>
      <c r="T558" s="56"/>
      <c r="U558" s="56"/>
      <c r="V558" s="42"/>
      <c r="W558" s="57"/>
      <c r="X558" s="58"/>
      <c r="Y558" s="75"/>
      <c r="Z558" s="59"/>
      <c r="AA558" s="61"/>
      <c r="AB558" s="61"/>
      <c r="AC558" s="61"/>
      <c r="AD558" s="62"/>
      <c r="AE558" s="62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/>
      <c r="BB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  <c r="BN558" s="34"/>
      <c r="BO558" s="34"/>
      <c r="BP558" s="34"/>
      <c r="BQ558" s="34"/>
      <c r="BR558" s="34"/>
      <c r="BS558" s="34"/>
      <c r="BT558" s="34"/>
      <c r="BU558" s="34"/>
      <c r="BV558" s="34"/>
      <c r="BW558" s="34"/>
      <c r="BX558" s="34"/>
      <c r="BY558" s="34"/>
    </row>
    <row r="559" spans="1:77" x14ac:dyDescent="0.3">
      <c r="A559" s="39"/>
      <c r="B559" s="42"/>
      <c r="C559" s="42"/>
      <c r="D559" s="75"/>
      <c r="E559" s="75"/>
      <c r="F559" s="76"/>
      <c r="G559" s="47"/>
      <c r="H559" s="47"/>
      <c r="I559" s="75"/>
      <c r="J559" s="76"/>
      <c r="K559" s="76"/>
      <c r="L559" s="75"/>
      <c r="M559" s="49"/>
      <c r="N559" s="76"/>
      <c r="O559" s="49"/>
      <c r="P559" s="77"/>
      <c r="Q559" s="53"/>
      <c r="R559" s="54"/>
      <c r="S559" s="55"/>
      <c r="T559" s="56"/>
      <c r="U559" s="56"/>
      <c r="V559" s="42"/>
      <c r="W559" s="57"/>
      <c r="X559" s="58"/>
      <c r="Y559" s="75"/>
      <c r="Z559" s="59"/>
      <c r="AA559" s="61"/>
      <c r="AB559" s="61"/>
      <c r="AC559" s="61"/>
      <c r="AD559" s="62"/>
      <c r="AE559" s="62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34"/>
      <c r="AR559" s="34"/>
      <c r="AS559" s="34"/>
      <c r="AT559" s="34"/>
      <c r="AU559" s="34"/>
      <c r="AV559" s="34"/>
      <c r="AW559" s="34"/>
      <c r="AX559" s="34"/>
      <c r="AY559" s="34"/>
      <c r="AZ559" s="34"/>
      <c r="BA559" s="34"/>
      <c r="BB559" s="34"/>
      <c r="BD559" s="34"/>
      <c r="BE559" s="34"/>
      <c r="BF559" s="34"/>
      <c r="BG559" s="34"/>
      <c r="BH559" s="34"/>
      <c r="BI559" s="34"/>
      <c r="BJ559" s="34"/>
      <c r="BK559" s="34"/>
      <c r="BL559" s="34"/>
      <c r="BM559" s="34"/>
      <c r="BN559" s="34"/>
      <c r="BO559" s="34"/>
      <c r="BP559" s="34"/>
      <c r="BQ559" s="34"/>
      <c r="BR559" s="34"/>
      <c r="BS559" s="34"/>
      <c r="BT559" s="34"/>
      <c r="BU559" s="34"/>
      <c r="BV559" s="34"/>
      <c r="BW559" s="34"/>
      <c r="BX559" s="34"/>
      <c r="BY559" s="34"/>
    </row>
    <row r="560" spans="1:77" x14ac:dyDescent="0.3">
      <c r="A560" s="39"/>
      <c r="B560" s="42"/>
      <c r="C560" s="42"/>
      <c r="D560" s="75"/>
      <c r="E560" s="75"/>
      <c r="F560" s="76"/>
      <c r="G560" s="47"/>
      <c r="H560" s="47"/>
      <c r="I560" s="75"/>
      <c r="J560" s="76"/>
      <c r="K560" s="76"/>
      <c r="L560" s="75"/>
      <c r="M560" s="49"/>
      <c r="N560" s="76"/>
      <c r="O560" s="49"/>
      <c r="P560" s="77"/>
      <c r="Q560" s="53"/>
      <c r="R560" s="54"/>
      <c r="S560" s="55"/>
      <c r="T560" s="56"/>
      <c r="U560" s="56"/>
      <c r="V560" s="42"/>
      <c r="W560" s="57"/>
      <c r="X560" s="58"/>
      <c r="Y560" s="75"/>
      <c r="Z560" s="59"/>
      <c r="AA560" s="61"/>
      <c r="AB560" s="61"/>
      <c r="AC560" s="61"/>
      <c r="AD560" s="62"/>
      <c r="AE560" s="62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  <c r="AQ560" s="34"/>
      <c r="AR560" s="34"/>
      <c r="AS560" s="34"/>
      <c r="AT560" s="34"/>
      <c r="AU560" s="34"/>
      <c r="AV560" s="34"/>
      <c r="AW560" s="34"/>
      <c r="AX560" s="34"/>
      <c r="AY560" s="34"/>
      <c r="AZ560" s="34"/>
      <c r="BA560" s="34"/>
      <c r="BB560" s="34"/>
      <c r="BD560" s="34"/>
      <c r="BE560" s="34"/>
      <c r="BF560" s="34"/>
      <c r="BG560" s="34"/>
      <c r="BH560" s="34"/>
      <c r="BI560" s="34"/>
      <c r="BJ560" s="34"/>
      <c r="BK560" s="34"/>
      <c r="BL560" s="34"/>
      <c r="BM560" s="34"/>
      <c r="BN560" s="34"/>
      <c r="BO560" s="34"/>
      <c r="BP560" s="34"/>
      <c r="BQ560" s="34"/>
      <c r="BR560" s="34"/>
      <c r="BS560" s="34"/>
      <c r="BT560" s="34"/>
      <c r="BU560" s="34"/>
      <c r="BV560" s="34"/>
      <c r="BW560" s="34"/>
      <c r="BX560" s="34"/>
      <c r="BY560" s="34"/>
    </row>
    <row r="561" spans="1:77" x14ac:dyDescent="0.3">
      <c r="A561" s="39"/>
      <c r="B561" s="42"/>
      <c r="C561" s="42"/>
      <c r="D561" s="75"/>
      <c r="E561" s="75"/>
      <c r="F561" s="76"/>
      <c r="G561" s="47"/>
      <c r="H561" s="47"/>
      <c r="I561" s="75"/>
      <c r="J561" s="76"/>
      <c r="K561" s="76"/>
      <c r="L561" s="75"/>
      <c r="M561" s="49"/>
      <c r="N561" s="76"/>
      <c r="O561" s="49"/>
      <c r="P561" s="77"/>
      <c r="Q561" s="53"/>
      <c r="R561" s="54"/>
      <c r="S561" s="55"/>
      <c r="T561" s="56"/>
      <c r="U561" s="56"/>
      <c r="V561" s="42"/>
      <c r="W561" s="57"/>
      <c r="X561" s="58"/>
      <c r="Y561" s="75"/>
      <c r="Z561" s="59"/>
      <c r="AA561" s="61"/>
      <c r="AB561" s="61"/>
      <c r="AC561" s="61"/>
      <c r="AD561" s="62"/>
      <c r="AE561" s="62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  <c r="AQ561" s="34"/>
      <c r="AR561" s="34"/>
      <c r="AS561" s="34"/>
      <c r="AT561" s="34"/>
      <c r="AU561" s="34"/>
      <c r="AV561" s="34"/>
      <c r="AW561" s="34"/>
      <c r="AX561" s="34"/>
      <c r="AY561" s="34"/>
      <c r="AZ561" s="34"/>
      <c r="BA561" s="34"/>
      <c r="BB561" s="34"/>
      <c r="BD561" s="34"/>
      <c r="BE561" s="34"/>
      <c r="BF561" s="34"/>
      <c r="BG561" s="34"/>
      <c r="BH561" s="34"/>
      <c r="BI561" s="34"/>
      <c r="BJ561" s="34"/>
      <c r="BK561" s="34"/>
      <c r="BL561" s="34"/>
      <c r="BM561" s="34"/>
      <c r="BN561" s="34"/>
      <c r="BO561" s="34"/>
      <c r="BP561" s="34"/>
      <c r="BQ561" s="34"/>
      <c r="BR561" s="34"/>
      <c r="BS561" s="34"/>
      <c r="BT561" s="34"/>
      <c r="BU561" s="34"/>
      <c r="BV561" s="34"/>
      <c r="BW561" s="34"/>
      <c r="BX561" s="34"/>
      <c r="BY561" s="34"/>
    </row>
    <row r="562" spans="1:77" x14ac:dyDescent="0.3">
      <c r="A562" s="39"/>
      <c r="B562" s="42"/>
      <c r="C562" s="42"/>
      <c r="D562" s="75"/>
      <c r="E562" s="75"/>
      <c r="F562" s="76"/>
      <c r="G562" s="47"/>
      <c r="H562" s="47"/>
      <c r="I562" s="75"/>
      <c r="J562" s="76"/>
      <c r="K562" s="76"/>
      <c r="L562" s="75"/>
      <c r="M562" s="49"/>
      <c r="N562" s="76"/>
      <c r="O562" s="49"/>
      <c r="P562" s="77"/>
      <c r="Q562" s="53"/>
      <c r="R562" s="54"/>
      <c r="S562" s="55"/>
      <c r="T562" s="56"/>
      <c r="U562" s="56"/>
      <c r="V562" s="42"/>
      <c r="W562" s="57"/>
      <c r="X562" s="58"/>
      <c r="Y562" s="75"/>
      <c r="Z562" s="59"/>
      <c r="AA562" s="61"/>
      <c r="AB562" s="61"/>
      <c r="AC562" s="61"/>
      <c r="AD562" s="62"/>
      <c r="AE562" s="62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  <c r="AQ562" s="34"/>
      <c r="AR562" s="34"/>
      <c r="AS562" s="34"/>
      <c r="AT562" s="34"/>
      <c r="AU562" s="34"/>
      <c r="AV562" s="34"/>
      <c r="AW562" s="34"/>
      <c r="AX562" s="34"/>
      <c r="AY562" s="34"/>
      <c r="AZ562" s="34"/>
      <c r="BA562" s="34"/>
      <c r="BB562" s="34"/>
      <c r="BD562" s="34"/>
      <c r="BE562" s="34"/>
      <c r="BF562" s="34"/>
      <c r="BG562" s="34"/>
      <c r="BH562" s="34"/>
      <c r="BI562" s="34"/>
      <c r="BJ562" s="34"/>
      <c r="BK562" s="34"/>
      <c r="BL562" s="34"/>
      <c r="BM562" s="34"/>
      <c r="BN562" s="34"/>
      <c r="BO562" s="34"/>
      <c r="BP562" s="34"/>
      <c r="BQ562" s="34"/>
      <c r="BR562" s="34"/>
      <c r="BS562" s="34"/>
      <c r="BT562" s="34"/>
      <c r="BU562" s="34"/>
      <c r="BV562" s="34"/>
      <c r="BW562" s="34"/>
      <c r="BX562" s="34"/>
      <c r="BY562" s="34"/>
    </row>
    <row r="563" spans="1:77" x14ac:dyDescent="0.3">
      <c r="A563" s="39"/>
      <c r="B563" s="42"/>
      <c r="C563" s="42"/>
      <c r="D563" s="75"/>
      <c r="E563" s="75"/>
      <c r="F563" s="76"/>
      <c r="G563" s="47"/>
      <c r="H563" s="47"/>
      <c r="I563" s="75"/>
      <c r="J563" s="76"/>
      <c r="K563" s="76"/>
      <c r="L563" s="75"/>
      <c r="M563" s="49"/>
      <c r="N563" s="76"/>
      <c r="O563" s="49"/>
      <c r="P563" s="77"/>
      <c r="Q563" s="53"/>
      <c r="R563" s="54"/>
      <c r="S563" s="55"/>
      <c r="T563" s="56"/>
      <c r="U563" s="56"/>
      <c r="V563" s="42"/>
      <c r="W563" s="57"/>
      <c r="X563" s="58"/>
      <c r="Y563" s="75"/>
      <c r="Z563" s="59"/>
      <c r="AA563" s="61"/>
      <c r="AB563" s="61"/>
      <c r="AC563" s="61"/>
      <c r="AD563" s="62"/>
      <c r="AE563" s="62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  <c r="AQ563" s="34"/>
      <c r="AR563" s="34"/>
      <c r="AS563" s="34"/>
      <c r="AT563" s="34"/>
      <c r="AU563" s="34"/>
      <c r="AV563" s="34"/>
      <c r="AW563" s="34"/>
      <c r="AX563" s="34"/>
      <c r="AY563" s="34"/>
      <c r="AZ563" s="34"/>
      <c r="BA563" s="34"/>
      <c r="BB563" s="34"/>
      <c r="BD563" s="34"/>
      <c r="BE563" s="34"/>
      <c r="BF563" s="34"/>
      <c r="BG563" s="34"/>
      <c r="BH563" s="34"/>
      <c r="BI563" s="34"/>
      <c r="BJ563" s="34"/>
      <c r="BK563" s="34"/>
      <c r="BL563" s="34"/>
      <c r="BM563" s="34"/>
      <c r="BN563" s="34"/>
      <c r="BO563" s="34"/>
      <c r="BP563" s="34"/>
      <c r="BQ563" s="34"/>
      <c r="BR563" s="34"/>
      <c r="BS563" s="34"/>
      <c r="BT563" s="34"/>
      <c r="BU563" s="34"/>
      <c r="BV563" s="34"/>
      <c r="BW563" s="34"/>
      <c r="BX563" s="34"/>
      <c r="BY563" s="34"/>
    </row>
    <row r="564" spans="1:77" x14ac:dyDescent="0.3">
      <c r="A564" s="39"/>
      <c r="B564" s="42"/>
      <c r="C564" s="42"/>
      <c r="D564" s="75"/>
      <c r="E564" s="75"/>
      <c r="F564" s="76"/>
      <c r="G564" s="47"/>
      <c r="H564" s="47"/>
      <c r="I564" s="75"/>
      <c r="J564" s="76"/>
      <c r="K564" s="76"/>
      <c r="L564" s="75"/>
      <c r="M564" s="49"/>
      <c r="N564" s="76"/>
      <c r="O564" s="49"/>
      <c r="P564" s="77"/>
      <c r="Q564" s="53"/>
      <c r="R564" s="54"/>
      <c r="S564" s="55"/>
      <c r="T564" s="56"/>
      <c r="U564" s="56"/>
      <c r="V564" s="42"/>
      <c r="W564" s="57"/>
      <c r="X564" s="58"/>
      <c r="Y564" s="75"/>
      <c r="Z564" s="59"/>
      <c r="AA564" s="61"/>
      <c r="AB564" s="61"/>
      <c r="AC564" s="61"/>
      <c r="AD564" s="62"/>
      <c r="AE564" s="62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  <c r="AQ564" s="34"/>
      <c r="AR564" s="34"/>
      <c r="AS564" s="34"/>
      <c r="AT564" s="34"/>
      <c r="AU564" s="34"/>
      <c r="AV564" s="34"/>
      <c r="AW564" s="34"/>
      <c r="AX564" s="34"/>
      <c r="AY564" s="34"/>
      <c r="AZ564" s="34"/>
      <c r="BA564" s="34"/>
      <c r="BB564" s="34"/>
      <c r="BD564" s="34"/>
      <c r="BE564" s="34"/>
      <c r="BF564" s="34"/>
      <c r="BG564" s="34"/>
      <c r="BH564" s="34"/>
      <c r="BI564" s="34"/>
      <c r="BJ564" s="34"/>
      <c r="BK564" s="34"/>
      <c r="BL564" s="34"/>
      <c r="BM564" s="34"/>
      <c r="BN564" s="34"/>
      <c r="BO564" s="34"/>
      <c r="BP564" s="34"/>
      <c r="BQ564" s="34"/>
      <c r="BR564" s="34"/>
      <c r="BS564" s="34"/>
      <c r="BT564" s="34"/>
      <c r="BU564" s="34"/>
      <c r="BV564" s="34"/>
      <c r="BW564" s="34"/>
      <c r="BX564" s="34"/>
      <c r="BY564" s="34"/>
    </row>
    <row r="565" spans="1:77" x14ac:dyDescent="0.3">
      <c r="A565" s="39"/>
      <c r="B565" s="42"/>
      <c r="C565" s="42"/>
      <c r="D565" s="75"/>
      <c r="E565" s="75"/>
      <c r="F565" s="76"/>
      <c r="G565" s="47"/>
      <c r="H565" s="47"/>
      <c r="I565" s="75"/>
      <c r="J565" s="76"/>
      <c r="K565" s="76"/>
      <c r="L565" s="75"/>
      <c r="M565" s="49"/>
      <c r="N565" s="76"/>
      <c r="O565" s="49"/>
      <c r="P565" s="77"/>
      <c r="Q565" s="53"/>
      <c r="R565" s="54"/>
      <c r="S565" s="55"/>
      <c r="T565" s="56"/>
      <c r="U565" s="56"/>
      <c r="V565" s="42"/>
      <c r="W565" s="57"/>
      <c r="X565" s="58"/>
      <c r="Y565" s="75"/>
      <c r="Z565" s="59"/>
      <c r="AA565" s="61"/>
      <c r="AB565" s="61"/>
      <c r="AC565" s="61"/>
      <c r="AD565" s="62"/>
      <c r="AE565" s="62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34"/>
      <c r="AR565" s="34"/>
      <c r="AS565" s="34"/>
      <c r="AT565" s="34"/>
      <c r="AU565" s="34"/>
      <c r="AV565" s="34"/>
      <c r="AW565" s="34"/>
      <c r="AX565" s="34"/>
      <c r="AY565" s="34"/>
      <c r="AZ565" s="34"/>
      <c r="BA565" s="34"/>
      <c r="BB565" s="34"/>
      <c r="BD565" s="34"/>
      <c r="BE565" s="34"/>
      <c r="BF565" s="34"/>
      <c r="BG565" s="34"/>
      <c r="BH565" s="34"/>
      <c r="BI565" s="34"/>
      <c r="BJ565" s="34"/>
      <c r="BK565" s="34"/>
      <c r="BL565" s="34"/>
      <c r="BM565" s="34"/>
      <c r="BN565" s="34"/>
      <c r="BO565" s="34"/>
      <c r="BP565" s="34"/>
      <c r="BQ565" s="34"/>
      <c r="BR565" s="34"/>
      <c r="BS565" s="34"/>
      <c r="BT565" s="34"/>
      <c r="BU565" s="34"/>
      <c r="BV565" s="34"/>
      <c r="BW565" s="34"/>
      <c r="BX565" s="34"/>
      <c r="BY565" s="34"/>
    </row>
    <row r="566" spans="1:77" x14ac:dyDescent="0.3">
      <c r="A566" s="39"/>
      <c r="B566" s="42"/>
      <c r="C566" s="42"/>
      <c r="D566" s="75"/>
      <c r="E566" s="75"/>
      <c r="F566" s="76"/>
      <c r="G566" s="47"/>
      <c r="H566" s="47"/>
      <c r="I566" s="75"/>
      <c r="J566" s="76"/>
      <c r="K566" s="76"/>
      <c r="L566" s="75"/>
      <c r="M566" s="49"/>
      <c r="N566" s="76"/>
      <c r="O566" s="49"/>
      <c r="P566" s="77"/>
      <c r="Q566" s="53"/>
      <c r="R566" s="54"/>
      <c r="S566" s="55"/>
      <c r="T566" s="56"/>
      <c r="U566" s="56"/>
      <c r="V566" s="42"/>
      <c r="W566" s="57"/>
      <c r="X566" s="58"/>
      <c r="Y566" s="75"/>
      <c r="Z566" s="59"/>
      <c r="AA566" s="61"/>
      <c r="AB566" s="61"/>
      <c r="AC566" s="61"/>
      <c r="AD566" s="62"/>
      <c r="AE566" s="62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  <c r="AQ566" s="34"/>
      <c r="AR566" s="34"/>
      <c r="AS566" s="34"/>
      <c r="AT566" s="34"/>
      <c r="AU566" s="34"/>
      <c r="AV566" s="34"/>
      <c r="AW566" s="34"/>
      <c r="AX566" s="34"/>
      <c r="AY566" s="34"/>
      <c r="AZ566" s="34"/>
      <c r="BA566" s="34"/>
      <c r="BB566" s="34"/>
      <c r="BD566" s="34"/>
      <c r="BE566" s="34"/>
      <c r="BF566" s="34"/>
      <c r="BG566" s="34"/>
      <c r="BH566" s="34"/>
      <c r="BI566" s="34"/>
      <c r="BJ566" s="34"/>
      <c r="BK566" s="34"/>
      <c r="BL566" s="34"/>
      <c r="BM566" s="34"/>
      <c r="BN566" s="34"/>
      <c r="BO566" s="34"/>
      <c r="BP566" s="34"/>
      <c r="BQ566" s="34"/>
      <c r="BR566" s="34"/>
      <c r="BS566" s="34"/>
      <c r="BT566" s="34"/>
      <c r="BU566" s="34"/>
      <c r="BV566" s="34"/>
      <c r="BW566" s="34"/>
      <c r="BX566" s="34"/>
      <c r="BY566" s="34"/>
    </row>
    <row r="567" spans="1:77" x14ac:dyDescent="0.3">
      <c r="A567" s="39"/>
      <c r="B567" s="42"/>
      <c r="C567" s="42"/>
      <c r="D567" s="75"/>
      <c r="E567" s="75"/>
      <c r="F567" s="76"/>
      <c r="G567" s="47"/>
      <c r="H567" s="47"/>
      <c r="I567" s="75"/>
      <c r="J567" s="76"/>
      <c r="K567" s="76"/>
      <c r="L567" s="75"/>
      <c r="M567" s="49"/>
      <c r="N567" s="76"/>
      <c r="O567" s="49"/>
      <c r="P567" s="77"/>
      <c r="Q567" s="53"/>
      <c r="R567" s="54"/>
      <c r="S567" s="55"/>
      <c r="T567" s="56"/>
      <c r="U567" s="56"/>
      <c r="V567" s="42"/>
      <c r="W567" s="57"/>
      <c r="X567" s="58"/>
      <c r="Y567" s="75"/>
      <c r="Z567" s="59"/>
      <c r="AA567" s="61"/>
      <c r="AB567" s="61"/>
      <c r="AC567" s="61"/>
      <c r="AD567" s="62"/>
      <c r="AE567" s="62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  <c r="AQ567" s="34"/>
      <c r="AR567" s="34"/>
      <c r="AS567" s="34"/>
      <c r="AT567" s="34"/>
      <c r="AU567" s="34"/>
      <c r="AV567" s="34"/>
      <c r="AW567" s="34"/>
      <c r="AX567" s="34"/>
      <c r="AY567" s="34"/>
      <c r="AZ567" s="34"/>
      <c r="BA567" s="34"/>
      <c r="BB567" s="34"/>
      <c r="BD567" s="34"/>
      <c r="BE567" s="34"/>
      <c r="BF567" s="34"/>
      <c r="BG567" s="34"/>
      <c r="BH567" s="34"/>
      <c r="BI567" s="34"/>
      <c r="BJ567" s="34"/>
      <c r="BK567" s="34"/>
      <c r="BL567" s="34"/>
      <c r="BM567" s="34"/>
      <c r="BN567" s="34"/>
      <c r="BO567" s="34"/>
      <c r="BP567" s="34"/>
      <c r="BQ567" s="34"/>
      <c r="BR567" s="34"/>
      <c r="BS567" s="34"/>
      <c r="BT567" s="34"/>
      <c r="BU567" s="34"/>
      <c r="BV567" s="34"/>
      <c r="BW567" s="34"/>
      <c r="BX567" s="34"/>
      <c r="BY567" s="34"/>
    </row>
    <row r="568" spans="1:77" x14ac:dyDescent="0.3">
      <c r="A568" s="39"/>
      <c r="B568" s="42"/>
      <c r="C568" s="42"/>
      <c r="D568" s="75"/>
      <c r="E568" s="75"/>
      <c r="F568" s="76"/>
      <c r="G568" s="47"/>
      <c r="H568" s="47"/>
      <c r="I568" s="75"/>
      <c r="J568" s="76"/>
      <c r="K568" s="76"/>
      <c r="L568" s="75"/>
      <c r="M568" s="49"/>
      <c r="N568" s="76"/>
      <c r="O568" s="49"/>
      <c r="P568" s="77"/>
      <c r="Q568" s="53"/>
      <c r="R568" s="54"/>
      <c r="S568" s="55"/>
      <c r="T568" s="56"/>
      <c r="U568" s="56"/>
      <c r="V568" s="42"/>
      <c r="W568" s="57"/>
      <c r="X568" s="58"/>
      <c r="Y568" s="75"/>
      <c r="Z568" s="59"/>
      <c r="AA568" s="61"/>
      <c r="AB568" s="61"/>
      <c r="AC568" s="61"/>
      <c r="AD568" s="62"/>
      <c r="AE568" s="62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  <c r="AQ568" s="34"/>
      <c r="AR568" s="34"/>
      <c r="AS568" s="34"/>
      <c r="AT568" s="34"/>
      <c r="AU568" s="34"/>
      <c r="AV568" s="34"/>
      <c r="AW568" s="34"/>
      <c r="AX568" s="34"/>
      <c r="AY568" s="34"/>
      <c r="AZ568" s="34"/>
      <c r="BA568" s="34"/>
      <c r="BB568" s="34"/>
      <c r="BD568" s="34"/>
      <c r="BE568" s="34"/>
      <c r="BF568" s="34"/>
      <c r="BG568" s="34"/>
      <c r="BH568" s="34"/>
      <c r="BI568" s="34"/>
      <c r="BJ568" s="34"/>
      <c r="BK568" s="34"/>
      <c r="BL568" s="34"/>
      <c r="BM568" s="34"/>
      <c r="BN568" s="34"/>
      <c r="BO568" s="34"/>
      <c r="BP568" s="34"/>
      <c r="BQ568" s="34"/>
      <c r="BR568" s="34"/>
      <c r="BS568" s="34"/>
      <c r="BT568" s="34"/>
      <c r="BU568" s="34"/>
      <c r="BV568" s="34"/>
      <c r="BW568" s="34"/>
      <c r="BX568" s="34"/>
      <c r="BY568" s="34"/>
    </row>
    <row r="569" spans="1:77" x14ac:dyDescent="0.3">
      <c r="A569" s="39"/>
      <c r="B569" s="42"/>
      <c r="C569" s="42"/>
      <c r="D569" s="75"/>
      <c r="E569" s="75"/>
      <c r="F569" s="76"/>
      <c r="G569" s="47"/>
      <c r="H569" s="47"/>
      <c r="I569" s="75"/>
      <c r="J569" s="76"/>
      <c r="K569" s="76"/>
      <c r="L569" s="75"/>
      <c r="M569" s="49"/>
      <c r="N569" s="76"/>
      <c r="O569" s="49"/>
      <c r="P569" s="77"/>
      <c r="Q569" s="53"/>
      <c r="R569" s="54"/>
      <c r="S569" s="55"/>
      <c r="T569" s="56"/>
      <c r="U569" s="56"/>
      <c r="V569" s="42"/>
      <c r="W569" s="57"/>
      <c r="X569" s="58"/>
      <c r="Y569" s="75"/>
      <c r="Z569" s="59"/>
      <c r="AA569" s="61"/>
      <c r="AB569" s="61"/>
      <c r="AC569" s="61"/>
      <c r="AD569" s="62"/>
      <c r="AE569" s="62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  <c r="AQ569" s="34"/>
      <c r="AR569" s="34"/>
      <c r="AS569" s="34"/>
      <c r="AT569" s="34"/>
      <c r="AU569" s="34"/>
      <c r="AV569" s="34"/>
      <c r="AW569" s="34"/>
      <c r="AX569" s="34"/>
      <c r="AY569" s="34"/>
      <c r="AZ569" s="34"/>
      <c r="BA569" s="34"/>
      <c r="BB569" s="34"/>
      <c r="BD569" s="34"/>
      <c r="BE569" s="34"/>
      <c r="BF569" s="34"/>
      <c r="BG569" s="34"/>
      <c r="BH569" s="34"/>
      <c r="BI569" s="34"/>
      <c r="BJ569" s="34"/>
      <c r="BK569" s="34"/>
      <c r="BL569" s="34"/>
      <c r="BM569" s="34"/>
      <c r="BN569" s="34"/>
      <c r="BO569" s="34"/>
      <c r="BP569" s="34"/>
      <c r="BQ569" s="34"/>
      <c r="BR569" s="34"/>
      <c r="BS569" s="34"/>
      <c r="BT569" s="34"/>
      <c r="BU569" s="34"/>
      <c r="BV569" s="34"/>
      <c r="BW569" s="34"/>
      <c r="BX569" s="34"/>
      <c r="BY569" s="34"/>
    </row>
    <row r="570" spans="1:77" x14ac:dyDescent="0.3">
      <c r="A570" s="39"/>
      <c r="B570" s="42"/>
      <c r="C570" s="42"/>
      <c r="D570" s="75"/>
      <c r="E570" s="75"/>
      <c r="F570" s="76"/>
      <c r="G570" s="47"/>
      <c r="H570" s="47"/>
      <c r="I570" s="75"/>
      <c r="J570" s="76"/>
      <c r="K570" s="76"/>
      <c r="L570" s="75"/>
      <c r="M570" s="49"/>
      <c r="N570" s="76"/>
      <c r="O570" s="49"/>
      <c r="P570" s="77"/>
      <c r="Q570" s="53"/>
      <c r="R570" s="54"/>
      <c r="S570" s="55"/>
      <c r="T570" s="56"/>
      <c r="U570" s="56"/>
      <c r="V570" s="42"/>
      <c r="W570" s="57"/>
      <c r="X570" s="58"/>
      <c r="Y570" s="75"/>
      <c r="Z570" s="59"/>
      <c r="AA570" s="61"/>
      <c r="AB570" s="61"/>
      <c r="AC570" s="61"/>
      <c r="AD570" s="62"/>
      <c r="AE570" s="62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4"/>
      <c r="AQ570" s="34"/>
      <c r="AR570" s="34"/>
      <c r="AS570" s="34"/>
      <c r="AT570" s="34"/>
      <c r="AU570" s="34"/>
      <c r="AV570" s="34"/>
      <c r="AW570" s="34"/>
      <c r="AX570" s="34"/>
      <c r="AY570" s="34"/>
      <c r="AZ570" s="34"/>
      <c r="BA570" s="34"/>
      <c r="BB570" s="34"/>
      <c r="BD570" s="34"/>
      <c r="BE570" s="34"/>
      <c r="BF570" s="34"/>
      <c r="BG570" s="34"/>
      <c r="BH570" s="34"/>
      <c r="BI570" s="34"/>
      <c r="BJ570" s="34"/>
      <c r="BK570" s="34"/>
      <c r="BL570" s="34"/>
      <c r="BM570" s="34"/>
      <c r="BN570" s="34"/>
      <c r="BO570" s="34"/>
      <c r="BP570" s="34"/>
      <c r="BQ570" s="34"/>
      <c r="BR570" s="34"/>
      <c r="BS570" s="34"/>
      <c r="BT570" s="34"/>
      <c r="BU570" s="34"/>
      <c r="BV570" s="34"/>
      <c r="BW570" s="34"/>
      <c r="BX570" s="34"/>
      <c r="BY570" s="34"/>
    </row>
    <row r="571" spans="1:77" x14ac:dyDescent="0.3">
      <c r="A571" s="39"/>
      <c r="B571" s="42"/>
      <c r="C571" s="42"/>
      <c r="D571" s="75"/>
      <c r="E571" s="75"/>
      <c r="F571" s="76"/>
      <c r="G571" s="47"/>
      <c r="H571" s="47"/>
      <c r="I571" s="75"/>
      <c r="J571" s="76"/>
      <c r="K571" s="76"/>
      <c r="L571" s="75"/>
      <c r="M571" s="49"/>
      <c r="N571" s="76"/>
      <c r="O571" s="49"/>
      <c r="P571" s="77"/>
      <c r="Q571" s="53"/>
      <c r="R571" s="54"/>
      <c r="S571" s="55"/>
      <c r="T571" s="56"/>
      <c r="U571" s="56"/>
      <c r="V571" s="42"/>
      <c r="W571" s="57"/>
      <c r="X571" s="58"/>
      <c r="Y571" s="75"/>
      <c r="Z571" s="59"/>
      <c r="AA571" s="61"/>
      <c r="AB571" s="61"/>
      <c r="AC571" s="61"/>
      <c r="AD571" s="62"/>
      <c r="AE571" s="62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4"/>
      <c r="AQ571" s="34"/>
      <c r="AR571" s="34"/>
      <c r="AS571" s="34"/>
      <c r="AT571" s="34"/>
      <c r="AU571" s="34"/>
      <c r="AV571" s="34"/>
      <c r="AW571" s="34"/>
      <c r="AX571" s="34"/>
      <c r="AY571" s="34"/>
      <c r="AZ571" s="34"/>
      <c r="BA571" s="34"/>
      <c r="BB571" s="34"/>
      <c r="BD571" s="34"/>
      <c r="BE571" s="34"/>
      <c r="BF571" s="34"/>
      <c r="BG571" s="34"/>
      <c r="BH571" s="34"/>
      <c r="BI571" s="34"/>
      <c r="BJ571" s="34"/>
      <c r="BK571" s="34"/>
      <c r="BL571" s="34"/>
      <c r="BM571" s="34"/>
      <c r="BN571" s="34"/>
      <c r="BO571" s="34"/>
      <c r="BP571" s="34"/>
      <c r="BQ571" s="34"/>
      <c r="BR571" s="34"/>
      <c r="BS571" s="34"/>
      <c r="BT571" s="34"/>
      <c r="BU571" s="34"/>
      <c r="BV571" s="34"/>
      <c r="BW571" s="34"/>
      <c r="BX571" s="34"/>
      <c r="BY571" s="34"/>
    </row>
    <row r="572" spans="1:77" x14ac:dyDescent="0.3">
      <c r="A572" s="39"/>
      <c r="B572" s="42"/>
      <c r="C572" s="42"/>
      <c r="D572" s="75"/>
      <c r="E572" s="75"/>
      <c r="F572" s="76"/>
      <c r="G572" s="47"/>
      <c r="H572" s="47"/>
      <c r="I572" s="75"/>
      <c r="J572" s="76"/>
      <c r="K572" s="76"/>
      <c r="L572" s="75"/>
      <c r="M572" s="49"/>
      <c r="N572" s="76"/>
      <c r="O572" s="49"/>
      <c r="P572" s="77"/>
      <c r="Q572" s="53"/>
      <c r="R572" s="54"/>
      <c r="S572" s="55"/>
      <c r="T572" s="56"/>
      <c r="U572" s="56"/>
      <c r="V572" s="42"/>
      <c r="W572" s="57"/>
      <c r="X572" s="58"/>
      <c r="Y572" s="75"/>
      <c r="Z572" s="59"/>
      <c r="AA572" s="61"/>
      <c r="AB572" s="61"/>
      <c r="AC572" s="61"/>
      <c r="AD572" s="62"/>
      <c r="AE572" s="62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  <c r="AQ572" s="34"/>
      <c r="AR572" s="34"/>
      <c r="AS572" s="34"/>
      <c r="AT572" s="34"/>
      <c r="AU572" s="34"/>
      <c r="AV572" s="34"/>
      <c r="AW572" s="34"/>
      <c r="AX572" s="34"/>
      <c r="AY572" s="34"/>
      <c r="AZ572" s="34"/>
      <c r="BA572" s="34"/>
      <c r="BB572" s="34"/>
      <c r="BD572" s="34"/>
      <c r="BE572" s="34"/>
      <c r="BF572" s="34"/>
      <c r="BG572" s="34"/>
      <c r="BH572" s="34"/>
      <c r="BI572" s="34"/>
      <c r="BJ572" s="34"/>
      <c r="BK572" s="34"/>
      <c r="BL572" s="34"/>
      <c r="BM572" s="34"/>
      <c r="BN572" s="34"/>
      <c r="BO572" s="34"/>
      <c r="BP572" s="34"/>
      <c r="BQ572" s="34"/>
      <c r="BR572" s="34"/>
      <c r="BS572" s="34"/>
      <c r="BT572" s="34"/>
      <c r="BU572" s="34"/>
      <c r="BV572" s="34"/>
      <c r="BW572" s="34"/>
      <c r="BX572" s="34"/>
      <c r="BY572" s="34"/>
    </row>
    <row r="573" spans="1:77" x14ac:dyDescent="0.3">
      <c r="A573" s="39"/>
      <c r="B573" s="42"/>
      <c r="C573" s="42"/>
      <c r="D573" s="75"/>
      <c r="E573" s="75"/>
      <c r="F573" s="76"/>
      <c r="G573" s="47"/>
      <c r="H573" s="47"/>
      <c r="I573" s="75"/>
      <c r="J573" s="76"/>
      <c r="K573" s="76"/>
      <c r="L573" s="75"/>
      <c r="M573" s="49"/>
      <c r="N573" s="76"/>
      <c r="O573" s="49"/>
      <c r="P573" s="77"/>
      <c r="Q573" s="53"/>
      <c r="R573" s="54"/>
      <c r="S573" s="55"/>
      <c r="T573" s="56"/>
      <c r="U573" s="56"/>
      <c r="V573" s="42"/>
      <c r="W573" s="57"/>
      <c r="X573" s="58"/>
      <c r="Y573" s="75"/>
      <c r="Z573" s="59"/>
      <c r="AA573" s="61"/>
      <c r="AB573" s="61"/>
      <c r="AC573" s="61"/>
      <c r="AD573" s="62"/>
      <c r="AE573" s="62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  <c r="AQ573" s="34"/>
      <c r="AR573" s="34"/>
      <c r="AS573" s="34"/>
      <c r="AT573" s="34"/>
      <c r="AU573" s="34"/>
      <c r="AV573" s="34"/>
      <c r="AW573" s="34"/>
      <c r="AX573" s="34"/>
      <c r="AY573" s="34"/>
      <c r="AZ573" s="34"/>
      <c r="BA573" s="34"/>
      <c r="BB573" s="34"/>
      <c r="BD573" s="34"/>
      <c r="BE573" s="34"/>
      <c r="BF573" s="34"/>
      <c r="BG573" s="34"/>
      <c r="BH573" s="34"/>
      <c r="BI573" s="34"/>
      <c r="BJ573" s="34"/>
      <c r="BK573" s="34"/>
      <c r="BL573" s="34"/>
      <c r="BM573" s="34"/>
      <c r="BN573" s="34"/>
      <c r="BO573" s="34"/>
      <c r="BP573" s="34"/>
      <c r="BQ573" s="34"/>
      <c r="BR573" s="34"/>
      <c r="BS573" s="34"/>
      <c r="BT573" s="34"/>
      <c r="BU573" s="34"/>
      <c r="BV573" s="34"/>
      <c r="BW573" s="34"/>
      <c r="BX573" s="34"/>
      <c r="BY573" s="34"/>
    </row>
    <row r="574" spans="1:77" x14ac:dyDescent="0.3">
      <c r="A574" s="39"/>
      <c r="B574" s="42"/>
      <c r="C574" s="42"/>
      <c r="D574" s="75"/>
      <c r="E574" s="75"/>
      <c r="F574" s="76"/>
      <c r="G574" s="47"/>
      <c r="H574" s="47"/>
      <c r="I574" s="75"/>
      <c r="J574" s="76"/>
      <c r="K574" s="76"/>
      <c r="L574" s="75"/>
      <c r="M574" s="49"/>
      <c r="N574" s="76"/>
      <c r="O574" s="49"/>
      <c r="P574" s="77"/>
      <c r="Q574" s="53"/>
      <c r="R574" s="54"/>
      <c r="S574" s="55"/>
      <c r="T574" s="56"/>
      <c r="U574" s="56"/>
      <c r="V574" s="42"/>
      <c r="W574" s="57"/>
      <c r="X574" s="58"/>
      <c r="Y574" s="75"/>
      <c r="Z574" s="59"/>
      <c r="AA574" s="61"/>
      <c r="AB574" s="61"/>
      <c r="AC574" s="61"/>
      <c r="AD574" s="62"/>
      <c r="AE574" s="62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  <c r="AQ574" s="34"/>
      <c r="AR574" s="34"/>
      <c r="AS574" s="34"/>
      <c r="AT574" s="34"/>
      <c r="AU574" s="34"/>
      <c r="AV574" s="34"/>
      <c r="AW574" s="34"/>
      <c r="AX574" s="34"/>
      <c r="AY574" s="34"/>
      <c r="AZ574" s="34"/>
      <c r="BA574" s="34"/>
      <c r="BB574" s="34"/>
      <c r="BD574" s="34"/>
      <c r="BE574" s="34"/>
      <c r="BF574" s="34"/>
      <c r="BG574" s="34"/>
      <c r="BH574" s="34"/>
      <c r="BI574" s="34"/>
      <c r="BJ574" s="34"/>
      <c r="BK574" s="34"/>
      <c r="BL574" s="34"/>
      <c r="BM574" s="34"/>
      <c r="BN574" s="34"/>
      <c r="BO574" s="34"/>
      <c r="BP574" s="34"/>
      <c r="BQ574" s="34"/>
      <c r="BR574" s="34"/>
      <c r="BS574" s="34"/>
      <c r="BT574" s="34"/>
      <c r="BU574" s="34"/>
      <c r="BV574" s="34"/>
      <c r="BW574" s="34"/>
      <c r="BX574" s="34"/>
      <c r="BY574" s="34"/>
    </row>
    <row r="575" spans="1:77" x14ac:dyDescent="0.3">
      <c r="A575" s="39"/>
      <c r="B575" s="42"/>
      <c r="C575" s="42"/>
      <c r="D575" s="75"/>
      <c r="E575" s="75"/>
      <c r="F575" s="76"/>
      <c r="G575" s="47"/>
      <c r="H575" s="47"/>
      <c r="I575" s="75"/>
      <c r="J575" s="76"/>
      <c r="K575" s="76"/>
      <c r="L575" s="75"/>
      <c r="M575" s="49"/>
      <c r="N575" s="76"/>
      <c r="O575" s="49"/>
      <c r="P575" s="77"/>
      <c r="Q575" s="53"/>
      <c r="R575" s="54"/>
      <c r="S575" s="55"/>
      <c r="T575" s="56"/>
      <c r="U575" s="56"/>
      <c r="V575" s="42"/>
      <c r="W575" s="57"/>
      <c r="X575" s="58"/>
      <c r="Y575" s="75"/>
      <c r="Z575" s="59"/>
      <c r="AA575" s="61"/>
      <c r="AB575" s="61"/>
      <c r="AC575" s="61"/>
      <c r="AD575" s="62"/>
      <c r="AE575" s="62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  <c r="AQ575" s="34"/>
      <c r="AR575" s="34"/>
      <c r="AS575" s="34"/>
      <c r="AT575" s="34"/>
      <c r="AU575" s="34"/>
      <c r="AV575" s="34"/>
      <c r="AW575" s="34"/>
      <c r="AX575" s="34"/>
      <c r="AY575" s="34"/>
      <c r="AZ575" s="34"/>
      <c r="BA575" s="34"/>
      <c r="BB575" s="34"/>
      <c r="BD575" s="34"/>
      <c r="BE575" s="34"/>
      <c r="BF575" s="34"/>
      <c r="BG575" s="34"/>
      <c r="BH575" s="34"/>
      <c r="BI575" s="34"/>
      <c r="BJ575" s="34"/>
      <c r="BK575" s="34"/>
      <c r="BL575" s="34"/>
      <c r="BM575" s="34"/>
      <c r="BN575" s="34"/>
      <c r="BO575" s="34"/>
      <c r="BP575" s="34"/>
      <c r="BQ575" s="34"/>
      <c r="BR575" s="34"/>
      <c r="BS575" s="34"/>
      <c r="BT575" s="34"/>
      <c r="BU575" s="34"/>
      <c r="BV575" s="34"/>
      <c r="BW575" s="34"/>
      <c r="BX575" s="34"/>
      <c r="BY575" s="34"/>
    </row>
    <row r="576" spans="1:77" x14ac:dyDescent="0.3">
      <c r="A576" s="39"/>
      <c r="B576" s="42"/>
      <c r="C576" s="42"/>
      <c r="D576" s="75"/>
      <c r="E576" s="75"/>
      <c r="F576" s="76"/>
      <c r="G576" s="47"/>
      <c r="H576" s="47"/>
      <c r="I576" s="75"/>
      <c r="J576" s="76"/>
      <c r="K576" s="76"/>
      <c r="L576" s="75"/>
      <c r="M576" s="49"/>
      <c r="N576" s="76"/>
      <c r="O576" s="49"/>
      <c r="P576" s="77"/>
      <c r="Q576" s="53"/>
      <c r="R576" s="54"/>
      <c r="S576" s="55"/>
      <c r="T576" s="56"/>
      <c r="U576" s="56"/>
      <c r="V576" s="42"/>
      <c r="W576" s="57"/>
      <c r="X576" s="58"/>
      <c r="Y576" s="75"/>
      <c r="Z576" s="59"/>
      <c r="AA576" s="61"/>
      <c r="AB576" s="61"/>
      <c r="AC576" s="61"/>
      <c r="AD576" s="62"/>
      <c r="AE576" s="62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  <c r="AQ576" s="34"/>
      <c r="AR576" s="34"/>
      <c r="AS576" s="34"/>
      <c r="AT576" s="34"/>
      <c r="AU576" s="34"/>
      <c r="AV576" s="34"/>
      <c r="AW576" s="34"/>
      <c r="AX576" s="34"/>
      <c r="AY576" s="34"/>
      <c r="AZ576" s="34"/>
      <c r="BA576" s="34"/>
      <c r="BB576" s="34"/>
      <c r="BD576" s="34"/>
      <c r="BE576" s="34"/>
      <c r="BF576" s="34"/>
      <c r="BG576" s="34"/>
      <c r="BH576" s="34"/>
      <c r="BI576" s="34"/>
      <c r="BJ576" s="34"/>
      <c r="BK576" s="34"/>
      <c r="BL576" s="34"/>
      <c r="BM576" s="34"/>
      <c r="BN576" s="34"/>
      <c r="BO576" s="34"/>
      <c r="BP576" s="34"/>
      <c r="BQ576" s="34"/>
      <c r="BR576" s="34"/>
      <c r="BS576" s="34"/>
      <c r="BT576" s="34"/>
      <c r="BU576" s="34"/>
      <c r="BV576" s="34"/>
      <c r="BW576" s="34"/>
      <c r="BX576" s="34"/>
      <c r="BY576" s="34"/>
    </row>
    <row r="577" spans="1:77" x14ac:dyDescent="0.3">
      <c r="A577" s="39"/>
      <c r="B577" s="42"/>
      <c r="C577" s="42"/>
      <c r="D577" s="75"/>
      <c r="E577" s="75"/>
      <c r="F577" s="76"/>
      <c r="G577" s="47"/>
      <c r="H577" s="47"/>
      <c r="I577" s="75"/>
      <c r="J577" s="76"/>
      <c r="K577" s="76"/>
      <c r="L577" s="75"/>
      <c r="M577" s="49"/>
      <c r="N577" s="76"/>
      <c r="O577" s="49"/>
      <c r="P577" s="77"/>
      <c r="Q577" s="53"/>
      <c r="R577" s="54"/>
      <c r="S577" s="55"/>
      <c r="T577" s="56"/>
      <c r="U577" s="56"/>
      <c r="V577" s="42"/>
      <c r="W577" s="57"/>
      <c r="X577" s="58"/>
      <c r="Y577" s="75"/>
      <c r="Z577" s="59"/>
      <c r="AA577" s="61"/>
      <c r="AB577" s="61"/>
      <c r="AC577" s="61"/>
      <c r="AD577" s="62"/>
      <c r="AE577" s="62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  <c r="AQ577" s="34"/>
      <c r="AR577" s="34"/>
      <c r="AS577" s="34"/>
      <c r="AT577" s="34"/>
      <c r="AU577" s="34"/>
      <c r="AV577" s="34"/>
      <c r="AW577" s="34"/>
      <c r="AX577" s="34"/>
      <c r="AY577" s="34"/>
      <c r="AZ577" s="34"/>
      <c r="BA577" s="34"/>
      <c r="BB577" s="34"/>
      <c r="BD577" s="34"/>
      <c r="BE577" s="34"/>
      <c r="BF577" s="34"/>
      <c r="BG577" s="34"/>
      <c r="BH577" s="34"/>
      <c r="BI577" s="34"/>
      <c r="BJ577" s="34"/>
      <c r="BK577" s="34"/>
      <c r="BL577" s="34"/>
      <c r="BM577" s="34"/>
      <c r="BN577" s="34"/>
      <c r="BO577" s="34"/>
      <c r="BP577" s="34"/>
      <c r="BQ577" s="34"/>
      <c r="BR577" s="34"/>
      <c r="BS577" s="34"/>
      <c r="BT577" s="34"/>
      <c r="BU577" s="34"/>
      <c r="BV577" s="34"/>
      <c r="BW577" s="34"/>
      <c r="BX577" s="34"/>
      <c r="BY577" s="34"/>
    </row>
    <row r="578" spans="1:77" x14ac:dyDescent="0.3">
      <c r="A578" s="39"/>
      <c r="B578" s="42"/>
      <c r="C578" s="42"/>
      <c r="D578" s="75"/>
      <c r="E578" s="75"/>
      <c r="F578" s="76"/>
      <c r="G578" s="47"/>
      <c r="H578" s="47"/>
      <c r="I578" s="75"/>
      <c r="J578" s="76"/>
      <c r="K578" s="76"/>
      <c r="L578" s="75"/>
      <c r="M578" s="49"/>
      <c r="N578" s="76"/>
      <c r="O578" s="49"/>
      <c r="P578" s="77"/>
      <c r="Q578" s="53"/>
      <c r="R578" s="54"/>
      <c r="S578" s="55"/>
      <c r="T578" s="56"/>
      <c r="U578" s="56"/>
      <c r="V578" s="42"/>
      <c r="W578" s="57"/>
      <c r="X578" s="58"/>
      <c r="Y578" s="75"/>
      <c r="Z578" s="59"/>
      <c r="AA578" s="61"/>
      <c r="AB578" s="61"/>
      <c r="AC578" s="61"/>
      <c r="AD578" s="62"/>
      <c r="AE578" s="62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  <c r="AQ578" s="34"/>
      <c r="AR578" s="34"/>
      <c r="AS578" s="34"/>
      <c r="AT578" s="34"/>
      <c r="AU578" s="34"/>
      <c r="AV578" s="34"/>
      <c r="AW578" s="34"/>
      <c r="AX578" s="34"/>
      <c r="AY578" s="34"/>
      <c r="AZ578" s="34"/>
      <c r="BA578" s="34"/>
      <c r="BB578" s="34"/>
      <c r="BD578" s="34"/>
      <c r="BE578" s="34"/>
      <c r="BF578" s="34"/>
      <c r="BG578" s="34"/>
      <c r="BH578" s="34"/>
      <c r="BI578" s="34"/>
      <c r="BJ578" s="34"/>
      <c r="BK578" s="34"/>
      <c r="BL578" s="34"/>
      <c r="BM578" s="34"/>
      <c r="BN578" s="34"/>
      <c r="BO578" s="34"/>
      <c r="BP578" s="34"/>
      <c r="BQ578" s="34"/>
      <c r="BR578" s="34"/>
      <c r="BS578" s="34"/>
      <c r="BT578" s="34"/>
      <c r="BU578" s="34"/>
      <c r="BV578" s="34"/>
      <c r="BW578" s="34"/>
      <c r="BX578" s="34"/>
      <c r="BY578" s="34"/>
    </row>
    <row r="579" spans="1:77" x14ac:dyDescent="0.3">
      <c r="A579" s="39"/>
      <c r="B579" s="42"/>
      <c r="C579" s="42"/>
      <c r="D579" s="75"/>
      <c r="E579" s="75"/>
      <c r="F579" s="76"/>
      <c r="G579" s="47"/>
      <c r="H579" s="47"/>
      <c r="I579" s="75"/>
      <c r="J579" s="76"/>
      <c r="K579" s="76"/>
      <c r="L579" s="75"/>
      <c r="M579" s="49"/>
      <c r="N579" s="76"/>
      <c r="O579" s="49"/>
      <c r="P579" s="77"/>
      <c r="Q579" s="53"/>
      <c r="R579" s="54"/>
      <c r="S579" s="55"/>
      <c r="T579" s="56"/>
      <c r="U579" s="56"/>
      <c r="V579" s="42"/>
      <c r="W579" s="57"/>
      <c r="X579" s="58"/>
      <c r="Y579" s="75"/>
      <c r="Z579" s="59"/>
      <c r="AA579" s="61"/>
      <c r="AB579" s="61"/>
      <c r="AC579" s="61"/>
      <c r="AD579" s="62"/>
      <c r="AE579" s="62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  <c r="AQ579" s="34"/>
      <c r="AR579" s="34"/>
      <c r="AS579" s="34"/>
      <c r="AT579" s="34"/>
      <c r="AU579" s="34"/>
      <c r="AV579" s="34"/>
      <c r="AW579" s="34"/>
      <c r="AX579" s="34"/>
      <c r="AY579" s="34"/>
      <c r="AZ579" s="34"/>
      <c r="BA579" s="34"/>
      <c r="BB579" s="34"/>
      <c r="BD579" s="34"/>
      <c r="BE579" s="34"/>
      <c r="BF579" s="34"/>
      <c r="BG579" s="34"/>
      <c r="BH579" s="34"/>
      <c r="BI579" s="34"/>
      <c r="BJ579" s="34"/>
      <c r="BK579" s="34"/>
      <c r="BL579" s="34"/>
      <c r="BM579" s="34"/>
      <c r="BN579" s="34"/>
      <c r="BO579" s="34"/>
      <c r="BP579" s="34"/>
      <c r="BQ579" s="34"/>
      <c r="BR579" s="34"/>
      <c r="BS579" s="34"/>
      <c r="BT579" s="34"/>
      <c r="BU579" s="34"/>
      <c r="BV579" s="34"/>
      <c r="BW579" s="34"/>
      <c r="BX579" s="34"/>
      <c r="BY579" s="34"/>
    </row>
    <row r="580" spans="1:77" x14ac:dyDescent="0.3">
      <c r="A580" s="39"/>
      <c r="B580" s="42"/>
      <c r="C580" s="42"/>
      <c r="D580" s="75"/>
      <c r="E580" s="75"/>
      <c r="F580" s="76"/>
      <c r="G580" s="47"/>
      <c r="H580" s="47"/>
      <c r="I580" s="75"/>
      <c r="J580" s="76"/>
      <c r="K580" s="76"/>
      <c r="L580" s="75"/>
      <c r="M580" s="49"/>
      <c r="N580" s="76"/>
      <c r="O580" s="49"/>
      <c r="P580" s="77"/>
      <c r="Q580" s="53"/>
      <c r="R580" s="54"/>
      <c r="S580" s="55"/>
      <c r="T580" s="56"/>
      <c r="U580" s="56"/>
      <c r="V580" s="42"/>
      <c r="W580" s="57"/>
      <c r="X580" s="58"/>
      <c r="Y580" s="75"/>
      <c r="Z580" s="59"/>
      <c r="AA580" s="61"/>
      <c r="AB580" s="61"/>
      <c r="AC580" s="61"/>
      <c r="AD580" s="62"/>
      <c r="AE580" s="62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  <c r="AQ580" s="34"/>
      <c r="AR580" s="34"/>
      <c r="AS580" s="34"/>
      <c r="AT580" s="34"/>
      <c r="AU580" s="34"/>
      <c r="AV580" s="34"/>
      <c r="AW580" s="34"/>
      <c r="AX580" s="34"/>
      <c r="AY580" s="34"/>
      <c r="AZ580" s="34"/>
      <c r="BA580" s="34"/>
      <c r="BB580" s="34"/>
      <c r="BD580" s="34"/>
      <c r="BE580" s="34"/>
      <c r="BF580" s="34"/>
      <c r="BG580" s="34"/>
      <c r="BH580" s="34"/>
      <c r="BI580" s="34"/>
      <c r="BJ580" s="34"/>
      <c r="BK580" s="34"/>
      <c r="BL580" s="34"/>
      <c r="BM580" s="34"/>
      <c r="BN580" s="34"/>
      <c r="BO580" s="34"/>
      <c r="BP580" s="34"/>
      <c r="BQ580" s="34"/>
      <c r="BR580" s="34"/>
      <c r="BS580" s="34"/>
      <c r="BT580" s="34"/>
      <c r="BU580" s="34"/>
      <c r="BV580" s="34"/>
      <c r="BW580" s="34"/>
      <c r="BX580" s="34"/>
      <c r="BY580" s="34"/>
    </row>
    <row r="581" spans="1:77" x14ac:dyDescent="0.3">
      <c r="A581" s="39"/>
      <c r="B581" s="42"/>
      <c r="C581" s="42"/>
      <c r="D581" s="75"/>
      <c r="E581" s="75"/>
      <c r="F581" s="76"/>
      <c r="G581" s="47"/>
      <c r="H581" s="47"/>
      <c r="I581" s="75"/>
      <c r="J581" s="76"/>
      <c r="K581" s="76"/>
      <c r="L581" s="75"/>
      <c r="M581" s="49"/>
      <c r="N581" s="76"/>
      <c r="O581" s="49"/>
      <c r="P581" s="77"/>
      <c r="Q581" s="53"/>
      <c r="R581" s="54"/>
      <c r="S581" s="55"/>
      <c r="T581" s="56"/>
      <c r="U581" s="56"/>
      <c r="V581" s="42"/>
      <c r="W581" s="57"/>
      <c r="X581" s="58"/>
      <c r="Y581" s="75"/>
      <c r="Z581" s="59"/>
      <c r="AA581" s="61"/>
      <c r="AB581" s="61"/>
      <c r="AC581" s="61"/>
      <c r="AD581" s="62"/>
      <c r="AE581" s="62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  <c r="AQ581" s="34"/>
      <c r="AR581" s="34"/>
      <c r="AS581" s="34"/>
      <c r="AT581" s="34"/>
      <c r="AU581" s="34"/>
      <c r="AV581" s="34"/>
      <c r="AW581" s="34"/>
      <c r="AX581" s="34"/>
      <c r="AY581" s="34"/>
      <c r="AZ581" s="34"/>
      <c r="BA581" s="34"/>
      <c r="BB581" s="34"/>
      <c r="BD581" s="34"/>
      <c r="BE581" s="34"/>
      <c r="BF581" s="34"/>
      <c r="BG581" s="34"/>
      <c r="BH581" s="34"/>
      <c r="BI581" s="34"/>
      <c r="BJ581" s="34"/>
      <c r="BK581" s="34"/>
      <c r="BL581" s="34"/>
      <c r="BM581" s="34"/>
      <c r="BN581" s="34"/>
      <c r="BO581" s="34"/>
      <c r="BP581" s="34"/>
      <c r="BQ581" s="34"/>
      <c r="BR581" s="34"/>
      <c r="BS581" s="34"/>
      <c r="BT581" s="34"/>
      <c r="BU581" s="34"/>
      <c r="BV581" s="34"/>
      <c r="BW581" s="34"/>
      <c r="BX581" s="34"/>
      <c r="BY581" s="34"/>
    </row>
    <row r="582" spans="1:77" x14ac:dyDescent="0.3">
      <c r="A582" s="39"/>
      <c r="B582" s="42"/>
      <c r="C582" s="42"/>
      <c r="D582" s="75"/>
      <c r="E582" s="75"/>
      <c r="F582" s="76"/>
      <c r="G582" s="47"/>
      <c r="H582" s="47"/>
      <c r="I582" s="75"/>
      <c r="J582" s="76"/>
      <c r="K582" s="76"/>
      <c r="L582" s="75"/>
      <c r="M582" s="49"/>
      <c r="N582" s="76"/>
      <c r="O582" s="49"/>
      <c r="P582" s="77"/>
      <c r="Q582" s="53"/>
      <c r="R582" s="54"/>
      <c r="S582" s="55"/>
      <c r="T582" s="56"/>
      <c r="U582" s="56"/>
      <c r="V582" s="42"/>
      <c r="W582" s="57"/>
      <c r="X582" s="58"/>
      <c r="Y582" s="75"/>
      <c r="Z582" s="59"/>
      <c r="AA582" s="61"/>
      <c r="AB582" s="61"/>
      <c r="AC582" s="61"/>
      <c r="AD582" s="62"/>
      <c r="AE582" s="62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  <c r="AQ582" s="34"/>
      <c r="AR582" s="34"/>
      <c r="AS582" s="34"/>
      <c r="AT582" s="34"/>
      <c r="AU582" s="34"/>
      <c r="AV582" s="34"/>
      <c r="AW582" s="34"/>
      <c r="AX582" s="34"/>
      <c r="AY582" s="34"/>
      <c r="AZ582" s="34"/>
      <c r="BA582" s="34"/>
      <c r="BB582" s="34"/>
      <c r="BD582" s="34"/>
      <c r="BE582" s="34"/>
      <c r="BF582" s="34"/>
      <c r="BG582" s="34"/>
      <c r="BH582" s="34"/>
      <c r="BI582" s="34"/>
      <c r="BJ582" s="34"/>
      <c r="BK582" s="34"/>
      <c r="BL582" s="34"/>
      <c r="BM582" s="34"/>
      <c r="BN582" s="34"/>
      <c r="BO582" s="34"/>
      <c r="BP582" s="34"/>
      <c r="BQ582" s="34"/>
      <c r="BR582" s="34"/>
      <c r="BS582" s="34"/>
      <c r="BT582" s="34"/>
      <c r="BU582" s="34"/>
      <c r="BV582" s="34"/>
      <c r="BW582" s="34"/>
      <c r="BX582" s="34"/>
      <c r="BY582" s="34"/>
    </row>
    <row r="583" spans="1:77" x14ac:dyDescent="0.3">
      <c r="A583" s="39"/>
      <c r="B583" s="42"/>
      <c r="C583" s="42"/>
      <c r="D583" s="75"/>
      <c r="E583" s="75"/>
      <c r="F583" s="76"/>
      <c r="G583" s="47"/>
      <c r="H583" s="47"/>
      <c r="I583" s="75"/>
      <c r="J583" s="76"/>
      <c r="K583" s="76"/>
      <c r="L583" s="75"/>
      <c r="M583" s="49"/>
      <c r="N583" s="76"/>
      <c r="O583" s="49"/>
      <c r="P583" s="77"/>
      <c r="Q583" s="53"/>
      <c r="R583" s="54"/>
      <c r="S583" s="55"/>
      <c r="T583" s="56"/>
      <c r="U583" s="56"/>
      <c r="V583" s="42"/>
      <c r="W583" s="57"/>
      <c r="X583" s="58"/>
      <c r="Y583" s="75"/>
      <c r="Z583" s="59"/>
      <c r="AA583" s="61"/>
      <c r="AB583" s="61"/>
      <c r="AC583" s="61"/>
      <c r="AD583" s="62"/>
      <c r="AE583" s="62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/>
      <c r="BB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/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</row>
    <row r="584" spans="1:77" x14ac:dyDescent="0.3">
      <c r="A584" s="39"/>
      <c r="B584" s="42"/>
      <c r="C584" s="42"/>
      <c r="D584" s="75"/>
      <c r="E584" s="75"/>
      <c r="F584" s="76"/>
      <c r="G584" s="47"/>
      <c r="H584" s="47"/>
      <c r="I584" s="75"/>
      <c r="J584" s="76"/>
      <c r="K584" s="76"/>
      <c r="L584" s="75"/>
      <c r="M584" s="49"/>
      <c r="N584" s="76"/>
      <c r="O584" s="49"/>
      <c r="P584" s="77"/>
      <c r="Q584" s="53"/>
      <c r="R584" s="54"/>
      <c r="S584" s="55"/>
      <c r="T584" s="56"/>
      <c r="U584" s="56"/>
      <c r="V584" s="42"/>
      <c r="W584" s="57"/>
      <c r="X584" s="58"/>
      <c r="Y584" s="75"/>
      <c r="Z584" s="59"/>
      <c r="AA584" s="61"/>
      <c r="AB584" s="61"/>
      <c r="AC584" s="61"/>
      <c r="AD584" s="62"/>
      <c r="AE584" s="62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/>
      <c r="BB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34"/>
      <c r="BP584" s="34"/>
      <c r="BQ584" s="34"/>
      <c r="BR584" s="34"/>
      <c r="BS584" s="34"/>
      <c r="BT584" s="34"/>
      <c r="BU584" s="34"/>
      <c r="BV584" s="34"/>
      <c r="BW584" s="34"/>
      <c r="BX584" s="34"/>
      <c r="BY584" s="34"/>
    </row>
    <row r="585" spans="1:77" x14ac:dyDescent="0.3">
      <c r="A585" s="39"/>
      <c r="B585" s="42"/>
      <c r="C585" s="42"/>
      <c r="D585" s="75"/>
      <c r="E585" s="75"/>
      <c r="F585" s="76"/>
      <c r="G585" s="47"/>
      <c r="H585" s="47"/>
      <c r="I585" s="75"/>
      <c r="J585" s="76"/>
      <c r="K585" s="76"/>
      <c r="L585" s="75"/>
      <c r="M585" s="49"/>
      <c r="N585" s="76"/>
      <c r="O585" s="49"/>
      <c r="P585" s="77"/>
      <c r="Q585" s="53"/>
      <c r="R585" s="54"/>
      <c r="S585" s="55"/>
      <c r="T585" s="56"/>
      <c r="U585" s="56"/>
      <c r="V585" s="42"/>
      <c r="W585" s="57"/>
      <c r="X585" s="58"/>
      <c r="Y585" s="75"/>
      <c r="Z585" s="59"/>
      <c r="AA585" s="61"/>
      <c r="AB585" s="61"/>
      <c r="AC585" s="61"/>
      <c r="AD585" s="62"/>
      <c r="AE585" s="62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34"/>
      <c r="BA585" s="34"/>
      <c r="BB585" s="34"/>
      <c r="BD585" s="34"/>
      <c r="BE585" s="34"/>
      <c r="BF585" s="34"/>
      <c r="BG585" s="34"/>
      <c r="BH585" s="34"/>
      <c r="BI585" s="34"/>
      <c r="BJ585" s="34"/>
      <c r="BK585" s="34"/>
      <c r="BL585" s="34"/>
      <c r="BM585" s="34"/>
      <c r="BN585" s="34"/>
      <c r="BO585" s="34"/>
      <c r="BP585" s="34"/>
      <c r="BQ585" s="34"/>
      <c r="BR585" s="34"/>
      <c r="BS585" s="34"/>
      <c r="BT585" s="34"/>
      <c r="BU585" s="34"/>
      <c r="BV585" s="34"/>
      <c r="BW585" s="34"/>
      <c r="BX585" s="34"/>
      <c r="BY585" s="34"/>
    </row>
    <row r="586" spans="1:77" x14ac:dyDescent="0.3">
      <c r="A586" s="39"/>
      <c r="B586" s="42"/>
      <c r="C586" s="42"/>
      <c r="D586" s="75"/>
      <c r="E586" s="75"/>
      <c r="F586" s="76"/>
      <c r="G586" s="47"/>
      <c r="H586" s="47"/>
      <c r="I586" s="75"/>
      <c r="J586" s="76"/>
      <c r="K586" s="76"/>
      <c r="L586" s="75"/>
      <c r="M586" s="49"/>
      <c r="N586" s="76"/>
      <c r="O586" s="49"/>
      <c r="P586" s="77"/>
      <c r="Q586" s="53"/>
      <c r="R586" s="54"/>
      <c r="S586" s="55"/>
      <c r="T586" s="56"/>
      <c r="U586" s="56"/>
      <c r="V586" s="42"/>
      <c r="W586" s="57"/>
      <c r="X586" s="58"/>
      <c r="Y586" s="75"/>
      <c r="Z586" s="59"/>
      <c r="AA586" s="61"/>
      <c r="AB586" s="61"/>
      <c r="AC586" s="61"/>
      <c r="AD586" s="62"/>
      <c r="AE586" s="62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/>
      <c r="BB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/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</row>
    <row r="587" spans="1:77" x14ac:dyDescent="0.3">
      <c r="A587" s="39"/>
      <c r="B587" s="42"/>
      <c r="C587" s="42"/>
      <c r="D587" s="75"/>
      <c r="E587" s="75"/>
      <c r="F587" s="76"/>
      <c r="G587" s="47"/>
      <c r="H587" s="47"/>
      <c r="I587" s="75"/>
      <c r="J587" s="76"/>
      <c r="K587" s="76"/>
      <c r="L587" s="75"/>
      <c r="M587" s="49"/>
      <c r="N587" s="76"/>
      <c r="O587" s="49"/>
      <c r="P587" s="77"/>
      <c r="Q587" s="53"/>
      <c r="R587" s="54"/>
      <c r="S587" s="55"/>
      <c r="T587" s="56"/>
      <c r="U587" s="56"/>
      <c r="V587" s="42"/>
      <c r="W587" s="57"/>
      <c r="X587" s="58"/>
      <c r="Y587" s="75"/>
      <c r="Z587" s="59"/>
      <c r="AA587" s="61"/>
      <c r="AB587" s="61"/>
      <c r="AC587" s="61"/>
      <c r="AD587" s="62"/>
      <c r="AE587" s="62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34"/>
      <c r="BB587" s="34"/>
      <c r="BD587" s="34"/>
      <c r="BE587" s="34"/>
      <c r="BF587" s="34"/>
      <c r="BG587" s="34"/>
      <c r="BH587" s="34"/>
      <c r="BI587" s="34"/>
      <c r="BJ587" s="34"/>
      <c r="BK587" s="34"/>
      <c r="BL587" s="34"/>
      <c r="BM587" s="34"/>
      <c r="BN587" s="34"/>
      <c r="BO587" s="34"/>
      <c r="BP587" s="34"/>
      <c r="BQ587" s="34"/>
      <c r="BR587" s="34"/>
      <c r="BS587" s="34"/>
      <c r="BT587" s="34"/>
      <c r="BU587" s="34"/>
      <c r="BV587" s="34"/>
      <c r="BW587" s="34"/>
      <c r="BX587" s="34"/>
      <c r="BY587" s="34"/>
    </row>
    <row r="588" spans="1:77" x14ac:dyDescent="0.3">
      <c r="A588" s="39"/>
      <c r="B588" s="42"/>
      <c r="C588" s="42"/>
      <c r="D588" s="75"/>
      <c r="E588" s="75"/>
      <c r="F588" s="76"/>
      <c r="G588" s="47"/>
      <c r="H588" s="47"/>
      <c r="I588" s="75"/>
      <c r="J588" s="76"/>
      <c r="K588" s="76"/>
      <c r="L588" s="75"/>
      <c r="M588" s="49"/>
      <c r="N588" s="76"/>
      <c r="O588" s="49"/>
      <c r="P588" s="77"/>
      <c r="Q588" s="53"/>
      <c r="R588" s="54"/>
      <c r="S588" s="55"/>
      <c r="T588" s="56"/>
      <c r="U588" s="56"/>
      <c r="V588" s="42"/>
      <c r="W588" s="57"/>
      <c r="X588" s="58"/>
      <c r="Y588" s="75"/>
      <c r="Z588" s="59"/>
      <c r="AA588" s="61"/>
      <c r="AB588" s="61"/>
      <c r="AC588" s="61"/>
      <c r="AD588" s="62"/>
      <c r="AE588" s="62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  <c r="AZ588" s="34"/>
      <c r="BA588" s="34"/>
      <c r="BB588" s="34"/>
      <c r="BD588" s="34"/>
      <c r="BE588" s="34"/>
      <c r="BF588" s="34"/>
      <c r="BG588" s="34"/>
      <c r="BH588" s="34"/>
      <c r="BI588" s="34"/>
      <c r="BJ588" s="34"/>
      <c r="BK588" s="34"/>
      <c r="BL588" s="34"/>
      <c r="BM588" s="34"/>
      <c r="BN588" s="34"/>
      <c r="BO588" s="34"/>
      <c r="BP588" s="34"/>
      <c r="BQ588" s="34"/>
      <c r="BR588" s="34"/>
      <c r="BS588" s="34"/>
      <c r="BT588" s="34"/>
      <c r="BU588" s="34"/>
      <c r="BV588" s="34"/>
      <c r="BW588" s="34"/>
      <c r="BX588" s="34"/>
      <c r="BY588" s="34"/>
    </row>
    <row r="589" spans="1:77" x14ac:dyDescent="0.3">
      <c r="A589" s="39"/>
      <c r="B589" s="42"/>
      <c r="C589" s="42"/>
      <c r="D589" s="75"/>
      <c r="E589" s="75"/>
      <c r="F589" s="76"/>
      <c r="G589" s="47"/>
      <c r="H589" s="47"/>
      <c r="I589" s="75"/>
      <c r="J589" s="76"/>
      <c r="K589" s="76"/>
      <c r="L589" s="75"/>
      <c r="M589" s="49"/>
      <c r="N589" s="76"/>
      <c r="O589" s="49"/>
      <c r="P589" s="77"/>
      <c r="Q589" s="53"/>
      <c r="R589" s="54"/>
      <c r="S589" s="55"/>
      <c r="T589" s="56"/>
      <c r="U589" s="56"/>
      <c r="V589" s="42"/>
      <c r="W589" s="57"/>
      <c r="X589" s="58"/>
      <c r="Y589" s="75"/>
      <c r="Z589" s="59"/>
      <c r="AA589" s="61"/>
      <c r="AB589" s="61"/>
      <c r="AC589" s="61"/>
      <c r="AD589" s="62"/>
      <c r="AE589" s="62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  <c r="AQ589" s="34"/>
      <c r="AR589" s="34"/>
      <c r="AS589" s="34"/>
      <c r="AT589" s="34"/>
      <c r="AU589" s="34"/>
      <c r="AV589" s="34"/>
      <c r="AW589" s="34"/>
      <c r="AX589" s="34"/>
      <c r="AY589" s="34"/>
      <c r="AZ589" s="34"/>
      <c r="BA589" s="34"/>
      <c r="BB589" s="34"/>
      <c r="BD589" s="34"/>
      <c r="BE589" s="34"/>
      <c r="BF589" s="34"/>
      <c r="BG589" s="34"/>
      <c r="BH589" s="34"/>
      <c r="BI589" s="34"/>
      <c r="BJ589" s="34"/>
      <c r="BK589" s="34"/>
      <c r="BL589" s="34"/>
      <c r="BM589" s="34"/>
      <c r="BN589" s="34"/>
      <c r="BO589" s="34"/>
      <c r="BP589" s="34"/>
      <c r="BQ589" s="34"/>
      <c r="BR589" s="34"/>
      <c r="BS589" s="34"/>
      <c r="BT589" s="34"/>
      <c r="BU589" s="34"/>
      <c r="BV589" s="34"/>
      <c r="BW589" s="34"/>
      <c r="BX589" s="34"/>
      <c r="BY589" s="34"/>
    </row>
    <row r="590" spans="1:77" x14ac:dyDescent="0.3">
      <c r="A590" s="39"/>
      <c r="B590" s="42"/>
      <c r="C590" s="42"/>
      <c r="D590" s="75"/>
      <c r="E590" s="75"/>
      <c r="F590" s="76"/>
      <c r="G590" s="47"/>
      <c r="H590" s="47"/>
      <c r="I590" s="75"/>
      <c r="J590" s="76"/>
      <c r="K590" s="76"/>
      <c r="L590" s="75"/>
      <c r="M590" s="49"/>
      <c r="N590" s="76"/>
      <c r="O590" s="49"/>
      <c r="P590" s="77"/>
      <c r="Q590" s="53"/>
      <c r="R590" s="54"/>
      <c r="S590" s="55"/>
      <c r="T590" s="56"/>
      <c r="U590" s="56"/>
      <c r="V590" s="42"/>
      <c r="W590" s="57"/>
      <c r="X590" s="58"/>
      <c r="Y590" s="75"/>
      <c r="Z590" s="59"/>
      <c r="AA590" s="61"/>
      <c r="AB590" s="61"/>
      <c r="AC590" s="61"/>
      <c r="AD590" s="62"/>
      <c r="AE590" s="62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  <c r="AQ590" s="34"/>
      <c r="AR590" s="34"/>
      <c r="AS590" s="34"/>
      <c r="AT590" s="34"/>
      <c r="AU590" s="34"/>
      <c r="AV590" s="34"/>
      <c r="AW590" s="34"/>
      <c r="AX590" s="34"/>
      <c r="AY590" s="34"/>
      <c r="AZ590" s="34"/>
      <c r="BA590" s="34"/>
      <c r="BB590" s="34"/>
      <c r="BD590" s="34"/>
      <c r="BE590" s="34"/>
      <c r="BF590" s="34"/>
      <c r="BG590" s="34"/>
      <c r="BH590" s="34"/>
      <c r="BI590" s="34"/>
      <c r="BJ590" s="34"/>
      <c r="BK590" s="34"/>
      <c r="BL590" s="34"/>
      <c r="BM590" s="34"/>
      <c r="BN590" s="34"/>
      <c r="BO590" s="34"/>
      <c r="BP590" s="34"/>
      <c r="BQ590" s="34"/>
      <c r="BR590" s="34"/>
      <c r="BS590" s="34"/>
      <c r="BT590" s="34"/>
      <c r="BU590" s="34"/>
      <c r="BV590" s="34"/>
      <c r="BW590" s="34"/>
      <c r="BX590" s="34"/>
      <c r="BY590" s="34"/>
    </row>
    <row r="591" spans="1:77" x14ac:dyDescent="0.3">
      <c r="A591" s="39"/>
      <c r="B591" s="42"/>
      <c r="C591" s="42"/>
      <c r="D591" s="75"/>
      <c r="E591" s="75"/>
      <c r="F591" s="76"/>
      <c r="G591" s="47"/>
      <c r="H591" s="47"/>
      <c r="I591" s="75"/>
      <c r="J591" s="76"/>
      <c r="K591" s="76"/>
      <c r="L591" s="75"/>
      <c r="M591" s="49"/>
      <c r="N591" s="76"/>
      <c r="O591" s="49"/>
      <c r="P591" s="77"/>
      <c r="Q591" s="53"/>
      <c r="R591" s="54"/>
      <c r="S591" s="55"/>
      <c r="T591" s="56"/>
      <c r="U591" s="56"/>
      <c r="V591" s="42"/>
      <c r="W591" s="57"/>
      <c r="X591" s="58"/>
      <c r="Y591" s="75"/>
      <c r="Z591" s="59"/>
      <c r="AA591" s="61"/>
      <c r="AB591" s="61"/>
      <c r="AC591" s="61"/>
      <c r="AD591" s="62"/>
      <c r="AE591" s="62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4"/>
      <c r="AQ591" s="34"/>
      <c r="AR591" s="34"/>
      <c r="AS591" s="34"/>
      <c r="AT591" s="34"/>
      <c r="AU591" s="34"/>
      <c r="AV591" s="34"/>
      <c r="AW591" s="34"/>
      <c r="AX591" s="34"/>
      <c r="AY591" s="34"/>
      <c r="AZ591" s="34"/>
      <c r="BA591" s="34"/>
      <c r="BB591" s="34"/>
      <c r="BD591" s="34"/>
      <c r="BE591" s="34"/>
      <c r="BF591" s="34"/>
      <c r="BG591" s="34"/>
      <c r="BH591" s="34"/>
      <c r="BI591" s="34"/>
      <c r="BJ591" s="34"/>
      <c r="BK591" s="34"/>
      <c r="BL591" s="34"/>
      <c r="BM591" s="34"/>
      <c r="BN591" s="34"/>
      <c r="BO591" s="34"/>
      <c r="BP591" s="34"/>
      <c r="BQ591" s="34"/>
      <c r="BR591" s="34"/>
      <c r="BS591" s="34"/>
      <c r="BT591" s="34"/>
      <c r="BU591" s="34"/>
      <c r="BV591" s="34"/>
      <c r="BW591" s="34"/>
      <c r="BX591" s="34"/>
      <c r="BY591" s="34"/>
    </row>
    <row r="592" spans="1:77" x14ac:dyDescent="0.3">
      <c r="A592" s="39"/>
      <c r="B592" s="42"/>
      <c r="C592" s="42"/>
      <c r="D592" s="75"/>
      <c r="E592" s="75"/>
      <c r="F592" s="76"/>
      <c r="G592" s="47"/>
      <c r="H592" s="47"/>
      <c r="I592" s="75"/>
      <c r="J592" s="76"/>
      <c r="K592" s="76"/>
      <c r="L592" s="75"/>
      <c r="M592" s="49"/>
      <c r="N592" s="76"/>
      <c r="O592" s="49"/>
      <c r="P592" s="77"/>
      <c r="Q592" s="53"/>
      <c r="R592" s="54"/>
      <c r="S592" s="55"/>
      <c r="T592" s="56"/>
      <c r="U592" s="56"/>
      <c r="V592" s="42"/>
      <c r="W592" s="57"/>
      <c r="X592" s="58"/>
      <c r="Y592" s="75"/>
      <c r="Z592" s="59"/>
      <c r="AA592" s="61"/>
      <c r="AB592" s="61"/>
      <c r="AC592" s="61"/>
      <c r="AD592" s="62"/>
      <c r="AE592" s="62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34"/>
      <c r="BB592" s="34"/>
      <c r="BD592" s="34"/>
      <c r="BE592" s="34"/>
      <c r="BF592" s="34"/>
      <c r="BG592" s="34"/>
      <c r="BH592" s="34"/>
      <c r="BI592" s="34"/>
      <c r="BJ592" s="34"/>
      <c r="BK592" s="34"/>
      <c r="BL592" s="34"/>
      <c r="BM592" s="34"/>
      <c r="BN592" s="34"/>
      <c r="BO592" s="34"/>
      <c r="BP592" s="34"/>
      <c r="BQ592" s="34"/>
      <c r="BR592" s="34"/>
      <c r="BS592" s="34"/>
      <c r="BT592" s="34"/>
      <c r="BU592" s="34"/>
      <c r="BV592" s="34"/>
      <c r="BW592" s="34"/>
      <c r="BX592" s="34"/>
      <c r="BY592" s="34"/>
    </row>
    <row r="593" spans="1:77" x14ac:dyDescent="0.3">
      <c r="A593" s="39"/>
      <c r="B593" s="42"/>
      <c r="C593" s="42"/>
      <c r="D593" s="75"/>
      <c r="E593" s="75"/>
      <c r="F593" s="76"/>
      <c r="G593" s="47"/>
      <c r="H593" s="47"/>
      <c r="I593" s="75"/>
      <c r="J593" s="76"/>
      <c r="K593" s="76"/>
      <c r="L593" s="75"/>
      <c r="M593" s="49"/>
      <c r="N593" s="76"/>
      <c r="O593" s="49"/>
      <c r="P593" s="77"/>
      <c r="Q593" s="53"/>
      <c r="R593" s="54"/>
      <c r="S593" s="55"/>
      <c r="T593" s="56"/>
      <c r="U593" s="56"/>
      <c r="V593" s="42"/>
      <c r="W593" s="57"/>
      <c r="X593" s="58"/>
      <c r="Y593" s="75"/>
      <c r="Z593" s="59"/>
      <c r="AA593" s="61"/>
      <c r="AB593" s="61"/>
      <c r="AC593" s="61"/>
      <c r="AD593" s="62"/>
      <c r="AE593" s="62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/>
      <c r="BB593" s="34"/>
      <c r="BD593" s="34"/>
      <c r="BE593" s="34"/>
      <c r="BF593" s="34"/>
      <c r="BG593" s="34"/>
      <c r="BH593" s="34"/>
      <c r="BI593" s="34"/>
      <c r="BJ593" s="34"/>
      <c r="BK593" s="34"/>
      <c r="BL593" s="34"/>
      <c r="BM593" s="34"/>
      <c r="BN593" s="34"/>
      <c r="BO593" s="34"/>
      <c r="BP593" s="34"/>
      <c r="BQ593" s="34"/>
      <c r="BR593" s="34"/>
      <c r="BS593" s="34"/>
      <c r="BT593" s="34"/>
      <c r="BU593" s="34"/>
      <c r="BV593" s="34"/>
      <c r="BW593" s="34"/>
      <c r="BX593" s="34"/>
      <c r="BY593" s="34"/>
    </row>
    <row r="594" spans="1:77" x14ac:dyDescent="0.3">
      <c r="A594" s="39"/>
      <c r="B594" s="42"/>
      <c r="C594" s="42"/>
      <c r="D594" s="75"/>
      <c r="E594" s="75"/>
      <c r="F594" s="76"/>
      <c r="G594" s="47"/>
      <c r="H594" s="47"/>
      <c r="I594" s="75"/>
      <c r="J594" s="76"/>
      <c r="K594" s="76"/>
      <c r="L594" s="75"/>
      <c r="M594" s="49"/>
      <c r="N594" s="76"/>
      <c r="O594" s="49"/>
      <c r="P594" s="77"/>
      <c r="Q594" s="53"/>
      <c r="R594" s="54"/>
      <c r="S594" s="55"/>
      <c r="T594" s="56"/>
      <c r="U594" s="56"/>
      <c r="V594" s="42"/>
      <c r="W594" s="57"/>
      <c r="X594" s="58"/>
      <c r="Y594" s="75"/>
      <c r="Z594" s="59"/>
      <c r="AA594" s="61"/>
      <c r="AB594" s="61"/>
      <c r="AC594" s="61"/>
      <c r="AD594" s="62"/>
      <c r="AE594" s="62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  <c r="AQ594" s="34"/>
      <c r="AR594" s="34"/>
      <c r="AS594" s="34"/>
      <c r="AT594" s="34"/>
      <c r="AU594" s="34"/>
      <c r="AV594" s="34"/>
      <c r="AW594" s="34"/>
      <c r="AX594" s="34"/>
      <c r="AY594" s="34"/>
      <c r="AZ594" s="34"/>
      <c r="BA594" s="34"/>
      <c r="BB594" s="34"/>
      <c r="BD594" s="34"/>
      <c r="BE594" s="34"/>
      <c r="BF594" s="34"/>
      <c r="BG594" s="34"/>
      <c r="BH594" s="34"/>
      <c r="BI594" s="34"/>
      <c r="BJ594" s="34"/>
      <c r="BK594" s="34"/>
      <c r="BL594" s="34"/>
      <c r="BM594" s="34"/>
      <c r="BN594" s="34"/>
      <c r="BO594" s="34"/>
      <c r="BP594" s="34"/>
      <c r="BQ594" s="34"/>
      <c r="BR594" s="34"/>
      <c r="BS594" s="34"/>
      <c r="BT594" s="34"/>
      <c r="BU594" s="34"/>
      <c r="BV594" s="34"/>
      <c r="BW594" s="34"/>
      <c r="BX594" s="34"/>
      <c r="BY594" s="34"/>
    </row>
    <row r="595" spans="1:77" x14ac:dyDescent="0.3">
      <c r="A595" s="39"/>
      <c r="B595" s="42"/>
      <c r="C595" s="42"/>
      <c r="D595" s="75"/>
      <c r="E595" s="75"/>
      <c r="F595" s="76"/>
      <c r="G595" s="47"/>
      <c r="H595" s="47"/>
      <c r="I595" s="75"/>
      <c r="J595" s="76"/>
      <c r="K595" s="76"/>
      <c r="L595" s="75"/>
      <c r="M595" s="49"/>
      <c r="N595" s="76"/>
      <c r="O595" s="49"/>
      <c r="P595" s="77"/>
      <c r="Q595" s="53"/>
      <c r="R595" s="54"/>
      <c r="S595" s="55"/>
      <c r="T595" s="56"/>
      <c r="U595" s="56"/>
      <c r="V595" s="42"/>
      <c r="W595" s="57"/>
      <c r="X595" s="58"/>
      <c r="Y595" s="75"/>
      <c r="Z595" s="59"/>
      <c r="AA595" s="61"/>
      <c r="AB595" s="61"/>
      <c r="AC595" s="61"/>
      <c r="AD595" s="62"/>
      <c r="AE595" s="62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  <c r="AQ595" s="34"/>
      <c r="AR595" s="34"/>
      <c r="AS595" s="34"/>
      <c r="AT595" s="34"/>
      <c r="AU595" s="34"/>
      <c r="AV595" s="34"/>
      <c r="AW595" s="34"/>
      <c r="AX595" s="34"/>
      <c r="AY595" s="34"/>
      <c r="AZ595" s="34"/>
      <c r="BA595" s="34"/>
      <c r="BB595" s="34"/>
      <c r="BD595" s="34"/>
      <c r="BE595" s="34"/>
      <c r="BF595" s="34"/>
      <c r="BG595" s="34"/>
      <c r="BH595" s="34"/>
      <c r="BI595" s="34"/>
      <c r="BJ595" s="34"/>
      <c r="BK595" s="34"/>
      <c r="BL595" s="34"/>
      <c r="BM595" s="34"/>
      <c r="BN595" s="34"/>
      <c r="BO595" s="34"/>
      <c r="BP595" s="34"/>
      <c r="BQ595" s="34"/>
      <c r="BR595" s="34"/>
      <c r="BS595" s="34"/>
      <c r="BT595" s="34"/>
      <c r="BU595" s="34"/>
      <c r="BV595" s="34"/>
      <c r="BW595" s="34"/>
      <c r="BX595" s="34"/>
      <c r="BY595" s="34"/>
    </row>
    <row r="596" spans="1:77" x14ac:dyDescent="0.3">
      <c r="A596" s="39"/>
      <c r="B596" s="42"/>
      <c r="C596" s="42"/>
      <c r="D596" s="75"/>
      <c r="E596" s="75"/>
      <c r="F596" s="76"/>
      <c r="G596" s="47"/>
      <c r="H596" s="47"/>
      <c r="I596" s="75"/>
      <c r="J596" s="76"/>
      <c r="K596" s="76"/>
      <c r="L596" s="75"/>
      <c r="M596" s="49"/>
      <c r="N596" s="76"/>
      <c r="O596" s="49"/>
      <c r="P596" s="77"/>
      <c r="Q596" s="53"/>
      <c r="R596" s="54"/>
      <c r="S596" s="55"/>
      <c r="T596" s="56"/>
      <c r="U596" s="56"/>
      <c r="V596" s="42"/>
      <c r="W596" s="57"/>
      <c r="X596" s="58"/>
      <c r="Y596" s="75"/>
      <c r="Z596" s="59"/>
      <c r="AA596" s="61"/>
      <c r="AB596" s="61"/>
      <c r="AC596" s="61"/>
      <c r="AD596" s="62"/>
      <c r="AE596" s="62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/>
      <c r="BB596" s="34"/>
      <c r="BD596" s="34"/>
      <c r="BE596" s="34"/>
      <c r="BF596" s="34"/>
      <c r="BG596" s="34"/>
      <c r="BH596" s="34"/>
      <c r="BI596" s="34"/>
      <c r="BJ596" s="34"/>
      <c r="BK596" s="34"/>
      <c r="BL596" s="34"/>
      <c r="BM596" s="34"/>
      <c r="BN596" s="34"/>
      <c r="BO596" s="34"/>
      <c r="BP596" s="34"/>
      <c r="BQ596" s="34"/>
      <c r="BR596" s="34"/>
      <c r="BS596" s="34"/>
      <c r="BT596" s="34"/>
      <c r="BU596" s="34"/>
      <c r="BV596" s="34"/>
      <c r="BW596" s="34"/>
      <c r="BX596" s="34"/>
      <c r="BY596" s="34"/>
    </row>
    <row r="597" spans="1:77" x14ac:dyDescent="0.3">
      <c r="A597" s="39"/>
      <c r="B597" s="42"/>
      <c r="C597" s="42"/>
      <c r="D597" s="75"/>
      <c r="E597" s="75"/>
      <c r="F597" s="76"/>
      <c r="G597" s="47"/>
      <c r="H597" s="47"/>
      <c r="I597" s="75"/>
      <c r="J597" s="76"/>
      <c r="K597" s="76"/>
      <c r="L597" s="75"/>
      <c r="M597" s="49"/>
      <c r="N597" s="76"/>
      <c r="O597" s="49"/>
      <c r="P597" s="77"/>
      <c r="Q597" s="53"/>
      <c r="R597" s="54"/>
      <c r="S597" s="55"/>
      <c r="T597" s="56"/>
      <c r="U597" s="56"/>
      <c r="V597" s="42"/>
      <c r="W597" s="57"/>
      <c r="X597" s="58"/>
      <c r="Y597" s="75"/>
      <c r="Z597" s="59"/>
      <c r="AA597" s="61"/>
      <c r="AB597" s="61"/>
      <c r="AC597" s="61"/>
      <c r="AD597" s="62"/>
      <c r="AE597" s="62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  <c r="AQ597" s="34"/>
      <c r="AR597" s="34"/>
      <c r="AS597" s="34"/>
      <c r="AT597" s="34"/>
      <c r="AU597" s="34"/>
      <c r="AV597" s="34"/>
      <c r="AW597" s="34"/>
      <c r="AX597" s="34"/>
      <c r="AY597" s="34"/>
      <c r="AZ597" s="34"/>
      <c r="BA597" s="34"/>
      <c r="BB597" s="34"/>
      <c r="BD597" s="34"/>
      <c r="BE597" s="34"/>
      <c r="BF597" s="34"/>
      <c r="BG597" s="34"/>
      <c r="BH597" s="34"/>
      <c r="BI597" s="34"/>
      <c r="BJ597" s="34"/>
      <c r="BK597" s="34"/>
      <c r="BL597" s="34"/>
      <c r="BM597" s="34"/>
      <c r="BN597" s="34"/>
      <c r="BO597" s="34"/>
      <c r="BP597" s="34"/>
      <c r="BQ597" s="34"/>
      <c r="BR597" s="34"/>
      <c r="BS597" s="34"/>
      <c r="BT597" s="34"/>
      <c r="BU597" s="34"/>
      <c r="BV597" s="34"/>
      <c r="BW597" s="34"/>
      <c r="BX597" s="34"/>
      <c r="BY597" s="34"/>
    </row>
    <row r="598" spans="1:77" x14ac:dyDescent="0.3">
      <c r="A598" s="39"/>
      <c r="B598" s="42"/>
      <c r="C598" s="42"/>
      <c r="D598" s="75"/>
      <c r="E598" s="75"/>
      <c r="F598" s="76"/>
      <c r="G598" s="47"/>
      <c r="H598" s="47"/>
      <c r="I598" s="75"/>
      <c r="J598" s="76"/>
      <c r="K598" s="76"/>
      <c r="L598" s="75"/>
      <c r="M598" s="49"/>
      <c r="N598" s="76"/>
      <c r="O598" s="49"/>
      <c r="P598" s="77"/>
      <c r="Q598" s="53"/>
      <c r="R598" s="54"/>
      <c r="S598" s="55"/>
      <c r="T598" s="56"/>
      <c r="U598" s="56"/>
      <c r="V598" s="42"/>
      <c r="W598" s="57"/>
      <c r="X598" s="58"/>
      <c r="Y598" s="75"/>
      <c r="Z598" s="59"/>
      <c r="AA598" s="61"/>
      <c r="AB598" s="61"/>
      <c r="AC598" s="61"/>
      <c r="AD598" s="62"/>
      <c r="AE598" s="62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  <c r="AQ598" s="34"/>
      <c r="AR598" s="34"/>
      <c r="AS598" s="34"/>
      <c r="AT598" s="34"/>
      <c r="AU598" s="34"/>
      <c r="AV598" s="34"/>
      <c r="AW598" s="34"/>
      <c r="AX598" s="34"/>
      <c r="AY598" s="34"/>
      <c r="AZ598" s="34"/>
      <c r="BA598" s="34"/>
      <c r="BB598" s="34"/>
      <c r="BD598" s="34"/>
      <c r="BE598" s="34"/>
      <c r="BF598" s="34"/>
      <c r="BG598" s="34"/>
      <c r="BH598" s="34"/>
      <c r="BI598" s="34"/>
      <c r="BJ598" s="34"/>
      <c r="BK598" s="34"/>
      <c r="BL598" s="34"/>
      <c r="BM598" s="34"/>
      <c r="BN598" s="34"/>
      <c r="BO598" s="34"/>
      <c r="BP598" s="34"/>
      <c r="BQ598" s="34"/>
      <c r="BR598" s="34"/>
      <c r="BS598" s="34"/>
      <c r="BT598" s="34"/>
      <c r="BU598" s="34"/>
      <c r="BV598" s="34"/>
      <c r="BW598" s="34"/>
      <c r="BX598" s="34"/>
      <c r="BY598" s="34"/>
    </row>
    <row r="599" spans="1:77" x14ac:dyDescent="0.3">
      <c r="A599" s="39"/>
      <c r="B599" s="42"/>
      <c r="C599" s="42"/>
      <c r="D599" s="75"/>
      <c r="E599" s="75"/>
      <c r="F599" s="76"/>
      <c r="G599" s="47"/>
      <c r="H599" s="47"/>
      <c r="I599" s="75"/>
      <c r="J599" s="76"/>
      <c r="K599" s="76"/>
      <c r="L599" s="75"/>
      <c r="M599" s="49"/>
      <c r="N599" s="76"/>
      <c r="O599" s="49"/>
      <c r="P599" s="77"/>
      <c r="Q599" s="53"/>
      <c r="R599" s="54"/>
      <c r="S599" s="55"/>
      <c r="T599" s="56"/>
      <c r="U599" s="56"/>
      <c r="V599" s="42"/>
      <c r="W599" s="57"/>
      <c r="X599" s="58"/>
      <c r="Y599" s="75"/>
      <c r="Z599" s="59"/>
      <c r="AA599" s="61"/>
      <c r="AB599" s="61"/>
      <c r="AC599" s="61"/>
      <c r="AD599" s="62"/>
      <c r="AE599" s="62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  <c r="AQ599" s="34"/>
      <c r="AR599" s="34"/>
      <c r="AS599" s="34"/>
      <c r="AT599" s="34"/>
      <c r="AU599" s="34"/>
      <c r="AV599" s="34"/>
      <c r="AW599" s="34"/>
      <c r="AX599" s="34"/>
      <c r="AY599" s="34"/>
      <c r="AZ599" s="34"/>
      <c r="BA599" s="34"/>
      <c r="BB599" s="34"/>
      <c r="BD599" s="34"/>
      <c r="BE599" s="34"/>
      <c r="BF599" s="34"/>
      <c r="BG599" s="34"/>
      <c r="BH599" s="34"/>
      <c r="BI599" s="34"/>
      <c r="BJ599" s="34"/>
      <c r="BK599" s="34"/>
      <c r="BL599" s="34"/>
      <c r="BM599" s="34"/>
      <c r="BN599" s="34"/>
      <c r="BO599" s="34"/>
      <c r="BP599" s="34"/>
      <c r="BQ599" s="34"/>
      <c r="BR599" s="34"/>
      <c r="BS599" s="34"/>
      <c r="BT599" s="34"/>
      <c r="BU599" s="34"/>
      <c r="BV599" s="34"/>
      <c r="BW599" s="34"/>
      <c r="BX599" s="34"/>
      <c r="BY599" s="34"/>
    </row>
    <row r="600" spans="1:77" x14ac:dyDescent="0.3">
      <c r="A600" s="39"/>
      <c r="B600" s="42"/>
      <c r="C600" s="42"/>
      <c r="D600" s="75"/>
      <c r="E600" s="75"/>
      <c r="F600" s="76"/>
      <c r="G600" s="47"/>
      <c r="H600" s="47"/>
      <c r="I600" s="75"/>
      <c r="J600" s="76"/>
      <c r="K600" s="76"/>
      <c r="L600" s="75"/>
      <c r="M600" s="49"/>
      <c r="N600" s="76"/>
      <c r="O600" s="49"/>
      <c r="P600" s="77"/>
      <c r="Q600" s="53"/>
      <c r="R600" s="54"/>
      <c r="S600" s="55"/>
      <c r="T600" s="56"/>
      <c r="U600" s="56"/>
      <c r="V600" s="42"/>
      <c r="W600" s="57"/>
      <c r="X600" s="58"/>
      <c r="Y600" s="75"/>
      <c r="Z600" s="59"/>
      <c r="AA600" s="61"/>
      <c r="AB600" s="61"/>
      <c r="AC600" s="61"/>
      <c r="AD600" s="62"/>
      <c r="AE600" s="62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  <c r="AQ600" s="34"/>
      <c r="AR600" s="34"/>
      <c r="AS600" s="34"/>
      <c r="AT600" s="34"/>
      <c r="AU600" s="34"/>
      <c r="AV600" s="34"/>
      <c r="AW600" s="34"/>
      <c r="AX600" s="34"/>
      <c r="AY600" s="34"/>
      <c r="AZ600" s="34"/>
      <c r="BA600" s="34"/>
      <c r="BB600" s="34"/>
      <c r="BD600" s="34"/>
      <c r="BE600" s="34"/>
      <c r="BF600" s="34"/>
      <c r="BG600" s="34"/>
      <c r="BH600" s="34"/>
      <c r="BI600" s="34"/>
      <c r="BJ600" s="34"/>
      <c r="BK600" s="34"/>
      <c r="BL600" s="34"/>
      <c r="BM600" s="34"/>
      <c r="BN600" s="34"/>
      <c r="BO600" s="34"/>
      <c r="BP600" s="34"/>
      <c r="BQ600" s="34"/>
      <c r="BR600" s="34"/>
      <c r="BS600" s="34"/>
      <c r="BT600" s="34"/>
      <c r="BU600" s="34"/>
      <c r="BV600" s="34"/>
      <c r="BW600" s="34"/>
      <c r="BX600" s="34"/>
      <c r="BY600" s="34"/>
    </row>
    <row r="601" spans="1:77" x14ac:dyDescent="0.3">
      <c r="A601" s="39"/>
      <c r="B601" s="42"/>
      <c r="C601" s="42"/>
      <c r="D601" s="75"/>
      <c r="E601" s="75"/>
      <c r="F601" s="76"/>
      <c r="G601" s="47"/>
      <c r="H601" s="47"/>
      <c r="I601" s="75"/>
      <c r="J601" s="76"/>
      <c r="K601" s="76"/>
      <c r="L601" s="75"/>
      <c r="M601" s="49"/>
      <c r="N601" s="76"/>
      <c r="O601" s="49"/>
      <c r="P601" s="77"/>
      <c r="Q601" s="53"/>
      <c r="R601" s="54"/>
      <c r="S601" s="55"/>
      <c r="T601" s="56"/>
      <c r="U601" s="56"/>
      <c r="V601" s="42"/>
      <c r="W601" s="57"/>
      <c r="X601" s="58"/>
      <c r="Y601" s="75"/>
      <c r="Z601" s="59"/>
      <c r="AA601" s="61"/>
      <c r="AB601" s="61"/>
      <c r="AC601" s="61"/>
      <c r="AD601" s="62"/>
      <c r="AE601" s="62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  <c r="AQ601" s="34"/>
      <c r="AR601" s="34"/>
      <c r="AS601" s="34"/>
      <c r="AT601" s="34"/>
      <c r="AU601" s="34"/>
      <c r="AV601" s="34"/>
      <c r="AW601" s="34"/>
      <c r="AX601" s="34"/>
      <c r="AY601" s="34"/>
      <c r="AZ601" s="34"/>
      <c r="BA601" s="34"/>
      <c r="BB601" s="34"/>
      <c r="BD601" s="34"/>
      <c r="BE601" s="34"/>
      <c r="BF601" s="34"/>
      <c r="BG601" s="34"/>
      <c r="BH601" s="34"/>
      <c r="BI601" s="34"/>
      <c r="BJ601" s="34"/>
      <c r="BK601" s="34"/>
      <c r="BL601" s="34"/>
      <c r="BM601" s="34"/>
      <c r="BN601" s="34"/>
      <c r="BO601" s="34"/>
      <c r="BP601" s="34"/>
      <c r="BQ601" s="34"/>
      <c r="BR601" s="34"/>
      <c r="BS601" s="34"/>
      <c r="BT601" s="34"/>
      <c r="BU601" s="34"/>
      <c r="BV601" s="34"/>
      <c r="BW601" s="34"/>
      <c r="BX601" s="34"/>
      <c r="BY601" s="34"/>
    </row>
    <row r="602" spans="1:77" x14ac:dyDescent="0.3">
      <c r="A602" s="39"/>
      <c r="B602" s="42"/>
      <c r="C602" s="42"/>
      <c r="D602" s="75"/>
      <c r="E602" s="75"/>
      <c r="F602" s="76"/>
      <c r="G602" s="47"/>
      <c r="H602" s="47"/>
      <c r="I602" s="75"/>
      <c r="J602" s="76"/>
      <c r="K602" s="76"/>
      <c r="L602" s="75"/>
      <c r="M602" s="49"/>
      <c r="N602" s="76"/>
      <c r="O602" s="49"/>
      <c r="P602" s="77"/>
      <c r="Q602" s="53"/>
      <c r="R602" s="54"/>
      <c r="S602" s="55"/>
      <c r="T602" s="56"/>
      <c r="U602" s="56"/>
      <c r="V602" s="42"/>
      <c r="W602" s="57"/>
      <c r="X602" s="58"/>
      <c r="Y602" s="75"/>
      <c r="Z602" s="59"/>
      <c r="AA602" s="61"/>
      <c r="AB602" s="61"/>
      <c r="AC602" s="61"/>
      <c r="AD602" s="62"/>
      <c r="AE602" s="62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  <c r="AQ602" s="34"/>
      <c r="AR602" s="34"/>
      <c r="AS602" s="34"/>
      <c r="AT602" s="34"/>
      <c r="AU602" s="34"/>
      <c r="AV602" s="34"/>
      <c r="AW602" s="34"/>
      <c r="AX602" s="34"/>
      <c r="AY602" s="34"/>
      <c r="AZ602" s="34"/>
      <c r="BA602" s="34"/>
      <c r="BB602" s="34"/>
      <c r="BD602" s="34"/>
      <c r="BE602" s="34"/>
      <c r="BF602" s="34"/>
      <c r="BG602" s="34"/>
      <c r="BH602" s="34"/>
      <c r="BI602" s="34"/>
      <c r="BJ602" s="34"/>
      <c r="BK602" s="34"/>
      <c r="BL602" s="34"/>
      <c r="BM602" s="34"/>
      <c r="BN602" s="34"/>
      <c r="BO602" s="34"/>
      <c r="BP602" s="34"/>
      <c r="BQ602" s="34"/>
      <c r="BR602" s="34"/>
      <c r="BS602" s="34"/>
      <c r="BT602" s="34"/>
      <c r="BU602" s="34"/>
      <c r="BV602" s="34"/>
      <c r="BW602" s="34"/>
      <c r="BX602" s="34"/>
      <c r="BY602" s="34"/>
    </row>
    <row r="603" spans="1:77" x14ac:dyDescent="0.3">
      <c r="A603" s="39"/>
      <c r="B603" s="42"/>
      <c r="C603" s="42"/>
      <c r="D603" s="75"/>
      <c r="E603" s="75"/>
      <c r="F603" s="76"/>
      <c r="G603" s="47"/>
      <c r="H603" s="47"/>
      <c r="I603" s="75"/>
      <c r="J603" s="76"/>
      <c r="K603" s="76"/>
      <c r="L603" s="75"/>
      <c r="M603" s="49"/>
      <c r="N603" s="76"/>
      <c r="O603" s="49"/>
      <c r="P603" s="77"/>
      <c r="Q603" s="53"/>
      <c r="R603" s="54"/>
      <c r="S603" s="55"/>
      <c r="T603" s="56"/>
      <c r="U603" s="56"/>
      <c r="V603" s="42"/>
      <c r="W603" s="57"/>
      <c r="X603" s="58"/>
      <c r="Y603" s="75"/>
      <c r="Z603" s="59"/>
      <c r="AA603" s="61"/>
      <c r="AB603" s="61"/>
      <c r="AC603" s="61"/>
      <c r="AD603" s="62"/>
      <c r="AE603" s="62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4"/>
      <c r="AQ603" s="34"/>
      <c r="AR603" s="34"/>
      <c r="AS603" s="34"/>
      <c r="AT603" s="34"/>
      <c r="AU603" s="34"/>
      <c r="AV603" s="34"/>
      <c r="AW603" s="34"/>
      <c r="AX603" s="34"/>
      <c r="AY603" s="34"/>
      <c r="AZ603" s="34"/>
      <c r="BA603" s="34"/>
      <c r="BB603" s="34"/>
      <c r="BD603" s="34"/>
      <c r="BE603" s="34"/>
      <c r="BF603" s="34"/>
      <c r="BG603" s="34"/>
      <c r="BH603" s="34"/>
      <c r="BI603" s="34"/>
      <c r="BJ603" s="34"/>
      <c r="BK603" s="34"/>
      <c r="BL603" s="34"/>
      <c r="BM603" s="34"/>
      <c r="BN603" s="34"/>
      <c r="BO603" s="34"/>
      <c r="BP603" s="34"/>
      <c r="BQ603" s="34"/>
      <c r="BR603" s="34"/>
      <c r="BS603" s="34"/>
      <c r="BT603" s="34"/>
      <c r="BU603" s="34"/>
      <c r="BV603" s="34"/>
      <c r="BW603" s="34"/>
      <c r="BX603" s="34"/>
      <c r="BY603" s="34"/>
    </row>
    <row r="604" spans="1:77" x14ac:dyDescent="0.3">
      <c r="A604" s="39"/>
      <c r="B604" s="42"/>
      <c r="C604" s="42"/>
      <c r="D604" s="75"/>
      <c r="E604" s="75"/>
      <c r="F604" s="76"/>
      <c r="G604" s="47"/>
      <c r="H604" s="47"/>
      <c r="I604" s="75"/>
      <c r="J604" s="76"/>
      <c r="K604" s="76"/>
      <c r="L604" s="75"/>
      <c r="M604" s="49"/>
      <c r="N604" s="76"/>
      <c r="O604" s="49"/>
      <c r="P604" s="77"/>
      <c r="Q604" s="53"/>
      <c r="R604" s="54"/>
      <c r="S604" s="55"/>
      <c r="T604" s="56"/>
      <c r="U604" s="56"/>
      <c r="V604" s="42"/>
      <c r="W604" s="57"/>
      <c r="X604" s="58"/>
      <c r="Y604" s="75"/>
      <c r="Z604" s="59"/>
      <c r="AA604" s="61"/>
      <c r="AB604" s="61"/>
      <c r="AC604" s="61"/>
      <c r="AD604" s="62"/>
      <c r="AE604" s="62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  <c r="AQ604" s="34"/>
      <c r="AR604" s="34"/>
      <c r="AS604" s="34"/>
      <c r="AT604" s="34"/>
      <c r="AU604" s="34"/>
      <c r="AV604" s="34"/>
      <c r="AW604" s="34"/>
      <c r="AX604" s="34"/>
      <c r="AY604" s="34"/>
      <c r="AZ604" s="34"/>
      <c r="BA604" s="34"/>
      <c r="BB604" s="34"/>
      <c r="BD604" s="34"/>
      <c r="BE604" s="34"/>
      <c r="BF604" s="34"/>
      <c r="BG604" s="34"/>
      <c r="BH604" s="34"/>
      <c r="BI604" s="34"/>
      <c r="BJ604" s="34"/>
      <c r="BK604" s="34"/>
      <c r="BL604" s="34"/>
      <c r="BM604" s="34"/>
      <c r="BN604" s="34"/>
      <c r="BO604" s="34"/>
      <c r="BP604" s="34"/>
      <c r="BQ604" s="34"/>
      <c r="BR604" s="34"/>
      <c r="BS604" s="34"/>
      <c r="BT604" s="34"/>
      <c r="BU604" s="34"/>
      <c r="BV604" s="34"/>
      <c r="BW604" s="34"/>
      <c r="BX604" s="34"/>
      <c r="BY604" s="34"/>
    </row>
    <row r="605" spans="1:77" x14ac:dyDescent="0.3">
      <c r="A605" s="39"/>
      <c r="B605" s="42"/>
      <c r="C605" s="42"/>
      <c r="D605" s="75"/>
      <c r="E605" s="75"/>
      <c r="F605" s="76"/>
      <c r="G605" s="47"/>
      <c r="H605" s="47"/>
      <c r="I605" s="75"/>
      <c r="J605" s="76"/>
      <c r="K605" s="76"/>
      <c r="L605" s="75"/>
      <c r="M605" s="49"/>
      <c r="N605" s="76"/>
      <c r="O605" s="49"/>
      <c r="P605" s="77"/>
      <c r="Q605" s="53"/>
      <c r="R605" s="54"/>
      <c r="S605" s="55"/>
      <c r="T605" s="56"/>
      <c r="U605" s="56"/>
      <c r="V605" s="42"/>
      <c r="W605" s="57"/>
      <c r="X605" s="58"/>
      <c r="Y605" s="75"/>
      <c r="Z605" s="59"/>
      <c r="AA605" s="61"/>
      <c r="AB605" s="61"/>
      <c r="AC605" s="61"/>
      <c r="AD605" s="62"/>
      <c r="AE605" s="62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4"/>
      <c r="AQ605" s="34"/>
      <c r="AR605" s="34"/>
      <c r="AS605" s="34"/>
      <c r="AT605" s="34"/>
      <c r="AU605" s="34"/>
      <c r="AV605" s="34"/>
      <c r="AW605" s="34"/>
      <c r="AX605" s="34"/>
      <c r="AY605" s="34"/>
      <c r="AZ605" s="34"/>
      <c r="BA605" s="34"/>
      <c r="BB605" s="34"/>
      <c r="BD605" s="34"/>
      <c r="BE605" s="34"/>
      <c r="BF605" s="34"/>
      <c r="BG605" s="34"/>
      <c r="BH605" s="34"/>
      <c r="BI605" s="34"/>
      <c r="BJ605" s="34"/>
      <c r="BK605" s="34"/>
      <c r="BL605" s="34"/>
      <c r="BM605" s="34"/>
      <c r="BN605" s="34"/>
      <c r="BO605" s="34"/>
      <c r="BP605" s="34"/>
      <c r="BQ605" s="34"/>
      <c r="BR605" s="34"/>
      <c r="BS605" s="34"/>
      <c r="BT605" s="34"/>
      <c r="BU605" s="34"/>
      <c r="BV605" s="34"/>
      <c r="BW605" s="34"/>
      <c r="BX605" s="34"/>
      <c r="BY605" s="34"/>
    </row>
    <row r="606" spans="1:77" x14ac:dyDescent="0.3">
      <c r="A606" s="39"/>
      <c r="B606" s="42"/>
      <c r="C606" s="42"/>
      <c r="D606" s="75"/>
      <c r="E606" s="75"/>
      <c r="F606" s="76"/>
      <c r="G606" s="47"/>
      <c r="H606" s="47"/>
      <c r="I606" s="75"/>
      <c r="J606" s="76"/>
      <c r="K606" s="76"/>
      <c r="L606" s="75"/>
      <c r="M606" s="49"/>
      <c r="N606" s="76"/>
      <c r="O606" s="49"/>
      <c r="P606" s="77"/>
      <c r="Q606" s="53"/>
      <c r="R606" s="54"/>
      <c r="S606" s="55"/>
      <c r="T606" s="56"/>
      <c r="U606" s="56"/>
      <c r="V606" s="42"/>
      <c r="W606" s="57"/>
      <c r="X606" s="58"/>
      <c r="Y606" s="75"/>
      <c r="Z606" s="59"/>
      <c r="AA606" s="61"/>
      <c r="AB606" s="61"/>
      <c r="AC606" s="61"/>
      <c r="AD606" s="62"/>
      <c r="AE606" s="62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  <c r="AP606" s="34"/>
      <c r="AQ606" s="34"/>
      <c r="AR606" s="34"/>
      <c r="AS606" s="34"/>
      <c r="AT606" s="34"/>
      <c r="AU606" s="34"/>
      <c r="AV606" s="34"/>
      <c r="AW606" s="34"/>
      <c r="AX606" s="34"/>
      <c r="AY606" s="34"/>
      <c r="AZ606" s="34"/>
      <c r="BA606" s="34"/>
      <c r="BB606" s="34"/>
      <c r="BD606" s="34"/>
      <c r="BE606" s="34"/>
      <c r="BF606" s="34"/>
      <c r="BG606" s="34"/>
      <c r="BH606" s="34"/>
      <c r="BI606" s="34"/>
      <c r="BJ606" s="34"/>
      <c r="BK606" s="34"/>
      <c r="BL606" s="34"/>
      <c r="BM606" s="34"/>
      <c r="BN606" s="34"/>
      <c r="BO606" s="34"/>
      <c r="BP606" s="34"/>
      <c r="BQ606" s="34"/>
      <c r="BR606" s="34"/>
      <c r="BS606" s="34"/>
      <c r="BT606" s="34"/>
      <c r="BU606" s="34"/>
      <c r="BV606" s="34"/>
      <c r="BW606" s="34"/>
      <c r="BX606" s="34"/>
      <c r="BY606" s="34"/>
    </row>
    <row r="607" spans="1:77" x14ac:dyDescent="0.3">
      <c r="A607" s="39"/>
      <c r="B607" s="42"/>
      <c r="C607" s="42"/>
      <c r="D607" s="75"/>
      <c r="E607" s="75"/>
      <c r="F607" s="76"/>
      <c r="G607" s="47"/>
      <c r="H607" s="47"/>
      <c r="I607" s="75"/>
      <c r="J607" s="76"/>
      <c r="K607" s="76"/>
      <c r="L607" s="75"/>
      <c r="M607" s="49"/>
      <c r="N607" s="76"/>
      <c r="O607" s="49"/>
      <c r="P607" s="77"/>
      <c r="Q607" s="53"/>
      <c r="R607" s="54"/>
      <c r="S607" s="55"/>
      <c r="T607" s="56"/>
      <c r="U607" s="56"/>
      <c r="V607" s="42"/>
      <c r="W607" s="57"/>
      <c r="X607" s="58"/>
      <c r="Y607" s="75"/>
      <c r="Z607" s="59"/>
      <c r="AA607" s="61"/>
      <c r="AB607" s="61"/>
      <c r="AC607" s="61"/>
      <c r="AD607" s="62"/>
      <c r="AE607" s="62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  <c r="AQ607" s="34"/>
      <c r="AR607" s="34"/>
      <c r="AS607" s="34"/>
      <c r="AT607" s="34"/>
      <c r="AU607" s="34"/>
      <c r="AV607" s="34"/>
      <c r="AW607" s="34"/>
      <c r="AX607" s="34"/>
      <c r="AY607" s="34"/>
      <c r="AZ607" s="34"/>
      <c r="BA607" s="34"/>
      <c r="BB607" s="34"/>
      <c r="BD607" s="34"/>
      <c r="BE607" s="34"/>
      <c r="BF607" s="34"/>
      <c r="BG607" s="34"/>
      <c r="BH607" s="34"/>
      <c r="BI607" s="34"/>
      <c r="BJ607" s="34"/>
      <c r="BK607" s="34"/>
      <c r="BL607" s="34"/>
      <c r="BM607" s="34"/>
      <c r="BN607" s="34"/>
      <c r="BO607" s="34"/>
      <c r="BP607" s="34"/>
      <c r="BQ607" s="34"/>
      <c r="BR607" s="34"/>
      <c r="BS607" s="34"/>
      <c r="BT607" s="34"/>
      <c r="BU607" s="34"/>
      <c r="BV607" s="34"/>
      <c r="BW607" s="34"/>
      <c r="BX607" s="34"/>
      <c r="BY607" s="34"/>
    </row>
    <row r="608" spans="1:77" x14ac:dyDescent="0.3">
      <c r="A608" s="39"/>
      <c r="B608" s="42"/>
      <c r="C608" s="42"/>
      <c r="D608" s="75"/>
      <c r="E608" s="75"/>
      <c r="F608" s="76"/>
      <c r="G608" s="47"/>
      <c r="H608" s="47"/>
      <c r="I608" s="75"/>
      <c r="J608" s="76"/>
      <c r="K608" s="76"/>
      <c r="L608" s="75"/>
      <c r="M608" s="49"/>
      <c r="N608" s="76"/>
      <c r="O608" s="49"/>
      <c r="P608" s="77"/>
      <c r="Q608" s="53"/>
      <c r="R608" s="54"/>
      <c r="S608" s="55"/>
      <c r="T608" s="56"/>
      <c r="U608" s="56"/>
      <c r="V608" s="42"/>
      <c r="W608" s="57"/>
      <c r="X608" s="58"/>
      <c r="Y608" s="75"/>
      <c r="Z608" s="59"/>
      <c r="AA608" s="61"/>
      <c r="AB608" s="61"/>
      <c r="AC608" s="61"/>
      <c r="AD608" s="62"/>
      <c r="AE608" s="62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  <c r="AQ608" s="34"/>
      <c r="AR608" s="34"/>
      <c r="AS608" s="34"/>
      <c r="AT608" s="34"/>
      <c r="AU608" s="34"/>
      <c r="AV608" s="34"/>
      <c r="AW608" s="34"/>
      <c r="AX608" s="34"/>
      <c r="AY608" s="34"/>
      <c r="AZ608" s="34"/>
      <c r="BA608" s="34"/>
      <c r="BB608" s="34"/>
      <c r="BD608" s="34"/>
      <c r="BE608" s="34"/>
      <c r="BF608" s="34"/>
      <c r="BG608" s="34"/>
      <c r="BH608" s="34"/>
      <c r="BI608" s="34"/>
      <c r="BJ608" s="34"/>
      <c r="BK608" s="34"/>
      <c r="BL608" s="34"/>
      <c r="BM608" s="34"/>
      <c r="BN608" s="34"/>
      <c r="BO608" s="34"/>
      <c r="BP608" s="34"/>
      <c r="BQ608" s="34"/>
      <c r="BR608" s="34"/>
      <c r="BS608" s="34"/>
      <c r="BT608" s="34"/>
      <c r="BU608" s="34"/>
      <c r="BV608" s="34"/>
      <c r="BW608" s="34"/>
      <c r="BX608" s="34"/>
      <c r="BY608" s="34"/>
    </row>
    <row r="609" spans="1:77" x14ac:dyDescent="0.3">
      <c r="A609" s="39"/>
      <c r="B609" s="42"/>
      <c r="C609" s="42"/>
      <c r="D609" s="75"/>
      <c r="E609" s="75"/>
      <c r="F609" s="76"/>
      <c r="G609" s="47"/>
      <c r="H609" s="47"/>
      <c r="I609" s="75"/>
      <c r="J609" s="76"/>
      <c r="K609" s="76"/>
      <c r="L609" s="75"/>
      <c r="M609" s="49"/>
      <c r="N609" s="76"/>
      <c r="O609" s="49"/>
      <c r="P609" s="77"/>
      <c r="Q609" s="53"/>
      <c r="R609" s="54"/>
      <c r="S609" s="55"/>
      <c r="T609" s="56"/>
      <c r="U609" s="56"/>
      <c r="V609" s="42"/>
      <c r="W609" s="57"/>
      <c r="X609" s="58"/>
      <c r="Y609" s="75"/>
      <c r="Z609" s="59"/>
      <c r="AA609" s="61"/>
      <c r="AB609" s="61"/>
      <c r="AC609" s="61"/>
      <c r="AD609" s="62"/>
      <c r="AE609" s="62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  <c r="AQ609" s="34"/>
      <c r="AR609" s="34"/>
      <c r="AS609" s="34"/>
      <c r="AT609" s="34"/>
      <c r="AU609" s="34"/>
      <c r="AV609" s="34"/>
      <c r="AW609" s="34"/>
      <c r="AX609" s="34"/>
      <c r="AY609" s="34"/>
      <c r="AZ609" s="34"/>
      <c r="BA609" s="34"/>
      <c r="BB609" s="34"/>
      <c r="BD609" s="34"/>
      <c r="BE609" s="34"/>
      <c r="BF609" s="34"/>
      <c r="BG609" s="34"/>
      <c r="BH609" s="34"/>
      <c r="BI609" s="34"/>
      <c r="BJ609" s="34"/>
      <c r="BK609" s="34"/>
      <c r="BL609" s="34"/>
      <c r="BM609" s="34"/>
      <c r="BN609" s="34"/>
      <c r="BO609" s="34"/>
      <c r="BP609" s="34"/>
      <c r="BQ609" s="34"/>
      <c r="BR609" s="34"/>
      <c r="BS609" s="34"/>
      <c r="BT609" s="34"/>
      <c r="BU609" s="34"/>
      <c r="BV609" s="34"/>
      <c r="BW609" s="34"/>
      <c r="BX609" s="34"/>
      <c r="BY609" s="34"/>
    </row>
    <row r="610" spans="1:77" x14ac:dyDescent="0.3">
      <c r="A610" s="39"/>
      <c r="B610" s="42"/>
      <c r="C610" s="42"/>
      <c r="D610" s="75"/>
      <c r="E610" s="75"/>
      <c r="F610" s="76"/>
      <c r="G610" s="47"/>
      <c r="H610" s="47"/>
      <c r="I610" s="75"/>
      <c r="J610" s="76"/>
      <c r="K610" s="76"/>
      <c r="L610" s="75"/>
      <c r="M610" s="49"/>
      <c r="N610" s="76"/>
      <c r="O610" s="49"/>
      <c r="P610" s="77"/>
      <c r="Q610" s="53"/>
      <c r="R610" s="54"/>
      <c r="S610" s="55"/>
      <c r="T610" s="56"/>
      <c r="U610" s="56"/>
      <c r="V610" s="42"/>
      <c r="W610" s="57"/>
      <c r="X610" s="58"/>
      <c r="Y610" s="75"/>
      <c r="Z610" s="59"/>
      <c r="AA610" s="61"/>
      <c r="AB610" s="61"/>
      <c r="AC610" s="61"/>
      <c r="AD610" s="62"/>
      <c r="AE610" s="62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  <c r="AQ610" s="34"/>
      <c r="AR610" s="34"/>
      <c r="AS610" s="34"/>
      <c r="AT610" s="34"/>
      <c r="AU610" s="34"/>
      <c r="AV610" s="34"/>
      <c r="AW610" s="34"/>
      <c r="AX610" s="34"/>
      <c r="AY610" s="34"/>
      <c r="AZ610" s="34"/>
      <c r="BA610" s="34"/>
      <c r="BB610" s="34"/>
      <c r="BD610" s="34"/>
      <c r="BE610" s="34"/>
      <c r="BF610" s="34"/>
      <c r="BG610" s="34"/>
      <c r="BH610" s="34"/>
      <c r="BI610" s="34"/>
      <c r="BJ610" s="34"/>
      <c r="BK610" s="34"/>
      <c r="BL610" s="34"/>
      <c r="BM610" s="34"/>
      <c r="BN610" s="34"/>
      <c r="BO610" s="34"/>
      <c r="BP610" s="34"/>
      <c r="BQ610" s="34"/>
      <c r="BR610" s="34"/>
      <c r="BS610" s="34"/>
      <c r="BT610" s="34"/>
      <c r="BU610" s="34"/>
      <c r="BV610" s="34"/>
      <c r="BW610" s="34"/>
      <c r="BX610" s="34"/>
      <c r="BY610" s="34"/>
    </row>
    <row r="611" spans="1:77" x14ac:dyDescent="0.3">
      <c r="A611" s="39"/>
      <c r="B611" s="42"/>
      <c r="C611" s="42"/>
      <c r="D611" s="75"/>
      <c r="E611" s="75"/>
      <c r="F611" s="76"/>
      <c r="G611" s="47"/>
      <c r="H611" s="47"/>
      <c r="I611" s="75"/>
      <c r="J611" s="76"/>
      <c r="K611" s="76"/>
      <c r="L611" s="75"/>
      <c r="M611" s="49"/>
      <c r="N611" s="76"/>
      <c r="O611" s="49"/>
      <c r="P611" s="77"/>
      <c r="Q611" s="53"/>
      <c r="R611" s="54"/>
      <c r="S611" s="55"/>
      <c r="T611" s="56"/>
      <c r="U611" s="56"/>
      <c r="V611" s="42"/>
      <c r="W611" s="57"/>
      <c r="X611" s="58"/>
      <c r="Y611" s="75"/>
      <c r="Z611" s="59"/>
      <c r="AA611" s="61"/>
      <c r="AB611" s="61"/>
      <c r="AC611" s="61"/>
      <c r="AD611" s="62"/>
      <c r="AE611" s="62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  <c r="AQ611" s="34"/>
      <c r="AR611" s="34"/>
      <c r="AS611" s="34"/>
      <c r="AT611" s="34"/>
      <c r="AU611" s="34"/>
      <c r="AV611" s="34"/>
      <c r="AW611" s="34"/>
      <c r="AX611" s="34"/>
      <c r="AY611" s="34"/>
      <c r="AZ611" s="34"/>
      <c r="BA611" s="34"/>
      <c r="BB611" s="34"/>
      <c r="BD611" s="34"/>
      <c r="BE611" s="34"/>
      <c r="BF611" s="34"/>
      <c r="BG611" s="34"/>
      <c r="BH611" s="34"/>
      <c r="BI611" s="34"/>
      <c r="BJ611" s="34"/>
      <c r="BK611" s="34"/>
      <c r="BL611" s="34"/>
      <c r="BM611" s="34"/>
      <c r="BN611" s="34"/>
      <c r="BO611" s="34"/>
      <c r="BP611" s="34"/>
      <c r="BQ611" s="34"/>
      <c r="BR611" s="34"/>
      <c r="BS611" s="34"/>
      <c r="BT611" s="34"/>
      <c r="BU611" s="34"/>
      <c r="BV611" s="34"/>
      <c r="BW611" s="34"/>
      <c r="BX611" s="34"/>
      <c r="BY611" s="34"/>
    </row>
    <row r="612" spans="1:77" x14ac:dyDescent="0.3">
      <c r="A612" s="39"/>
      <c r="B612" s="42"/>
      <c r="C612" s="42"/>
      <c r="D612" s="75"/>
      <c r="E612" s="75"/>
      <c r="F612" s="76"/>
      <c r="G612" s="47"/>
      <c r="H612" s="47"/>
      <c r="I612" s="75"/>
      <c r="J612" s="76"/>
      <c r="K612" s="76"/>
      <c r="L612" s="75"/>
      <c r="M612" s="49"/>
      <c r="N612" s="76"/>
      <c r="O612" s="49"/>
      <c r="P612" s="77"/>
      <c r="Q612" s="53"/>
      <c r="R612" s="54"/>
      <c r="S612" s="55"/>
      <c r="T612" s="56"/>
      <c r="U612" s="56"/>
      <c r="V612" s="42"/>
      <c r="W612" s="57"/>
      <c r="X612" s="58"/>
      <c r="Y612" s="75"/>
      <c r="Z612" s="59"/>
      <c r="AA612" s="61"/>
      <c r="AB612" s="61"/>
      <c r="AC612" s="61"/>
      <c r="AD612" s="62"/>
      <c r="AE612" s="62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  <c r="AQ612" s="34"/>
      <c r="AR612" s="34"/>
      <c r="AS612" s="34"/>
      <c r="AT612" s="34"/>
      <c r="AU612" s="34"/>
      <c r="AV612" s="34"/>
      <c r="AW612" s="34"/>
      <c r="AX612" s="34"/>
      <c r="AY612" s="34"/>
      <c r="AZ612" s="34"/>
      <c r="BA612" s="34"/>
      <c r="BB612" s="34"/>
      <c r="BD612" s="34"/>
      <c r="BE612" s="34"/>
      <c r="BF612" s="34"/>
      <c r="BG612" s="34"/>
      <c r="BH612" s="34"/>
      <c r="BI612" s="34"/>
      <c r="BJ612" s="34"/>
      <c r="BK612" s="34"/>
      <c r="BL612" s="34"/>
      <c r="BM612" s="34"/>
      <c r="BN612" s="34"/>
      <c r="BO612" s="34"/>
      <c r="BP612" s="34"/>
      <c r="BQ612" s="34"/>
      <c r="BR612" s="34"/>
      <c r="BS612" s="34"/>
      <c r="BT612" s="34"/>
      <c r="BU612" s="34"/>
      <c r="BV612" s="34"/>
      <c r="BW612" s="34"/>
      <c r="BX612" s="34"/>
      <c r="BY612" s="34"/>
    </row>
    <row r="613" spans="1:77" x14ac:dyDescent="0.3">
      <c r="A613" s="39"/>
      <c r="B613" s="42"/>
      <c r="C613" s="42"/>
      <c r="D613" s="75"/>
      <c r="E613" s="75"/>
      <c r="F613" s="76"/>
      <c r="G613" s="47"/>
      <c r="H613" s="47"/>
      <c r="I613" s="75"/>
      <c r="J613" s="76"/>
      <c r="K613" s="76"/>
      <c r="L613" s="75"/>
      <c r="M613" s="49"/>
      <c r="N613" s="76"/>
      <c r="O613" s="49"/>
      <c r="P613" s="77"/>
      <c r="Q613" s="53"/>
      <c r="R613" s="54"/>
      <c r="S613" s="55"/>
      <c r="T613" s="56"/>
      <c r="U613" s="56"/>
      <c r="V613" s="42"/>
      <c r="W613" s="57"/>
      <c r="X613" s="58"/>
      <c r="Y613" s="75"/>
      <c r="Z613" s="59"/>
      <c r="AA613" s="61"/>
      <c r="AB613" s="61"/>
      <c r="AC613" s="61"/>
      <c r="AD613" s="62"/>
      <c r="AE613" s="62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  <c r="AQ613" s="34"/>
      <c r="AR613" s="34"/>
      <c r="AS613" s="34"/>
      <c r="AT613" s="34"/>
      <c r="AU613" s="34"/>
      <c r="AV613" s="34"/>
      <c r="AW613" s="34"/>
      <c r="AX613" s="34"/>
      <c r="AY613" s="34"/>
      <c r="AZ613" s="34"/>
      <c r="BA613" s="34"/>
      <c r="BB613" s="34"/>
      <c r="BD613" s="34"/>
      <c r="BE613" s="34"/>
      <c r="BF613" s="34"/>
      <c r="BG613" s="34"/>
      <c r="BH613" s="34"/>
      <c r="BI613" s="34"/>
      <c r="BJ613" s="34"/>
      <c r="BK613" s="34"/>
      <c r="BL613" s="34"/>
      <c r="BM613" s="34"/>
      <c r="BN613" s="34"/>
      <c r="BO613" s="34"/>
      <c r="BP613" s="34"/>
      <c r="BQ613" s="34"/>
      <c r="BR613" s="34"/>
      <c r="BS613" s="34"/>
      <c r="BT613" s="34"/>
      <c r="BU613" s="34"/>
      <c r="BV613" s="34"/>
      <c r="BW613" s="34"/>
      <c r="BX613" s="34"/>
      <c r="BY613" s="34"/>
    </row>
    <row r="614" spans="1:77" x14ac:dyDescent="0.3">
      <c r="A614" s="39"/>
      <c r="B614" s="42"/>
      <c r="C614" s="42"/>
      <c r="D614" s="75"/>
      <c r="E614" s="75"/>
      <c r="F614" s="76"/>
      <c r="G614" s="47"/>
      <c r="H614" s="47"/>
      <c r="I614" s="75"/>
      <c r="J614" s="76"/>
      <c r="K614" s="76"/>
      <c r="L614" s="75"/>
      <c r="M614" s="49"/>
      <c r="N614" s="76"/>
      <c r="O614" s="49"/>
      <c r="P614" s="77"/>
      <c r="Q614" s="53"/>
      <c r="R614" s="54"/>
      <c r="S614" s="55"/>
      <c r="T614" s="56"/>
      <c r="U614" s="56"/>
      <c r="V614" s="42"/>
      <c r="W614" s="57"/>
      <c r="X614" s="58"/>
      <c r="Y614" s="75"/>
      <c r="Z614" s="59"/>
      <c r="AA614" s="61"/>
      <c r="AB614" s="61"/>
      <c r="AC614" s="61"/>
      <c r="AD614" s="62"/>
      <c r="AE614" s="62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  <c r="AQ614" s="34"/>
      <c r="AR614" s="34"/>
      <c r="AS614" s="34"/>
      <c r="AT614" s="34"/>
      <c r="AU614" s="34"/>
      <c r="AV614" s="34"/>
      <c r="AW614" s="34"/>
      <c r="AX614" s="34"/>
      <c r="AY614" s="34"/>
      <c r="AZ614" s="34"/>
      <c r="BA614" s="34"/>
      <c r="BB614" s="34"/>
      <c r="BD614" s="34"/>
      <c r="BE614" s="34"/>
      <c r="BF614" s="34"/>
      <c r="BG614" s="34"/>
      <c r="BH614" s="34"/>
      <c r="BI614" s="34"/>
      <c r="BJ614" s="34"/>
      <c r="BK614" s="34"/>
      <c r="BL614" s="34"/>
      <c r="BM614" s="34"/>
      <c r="BN614" s="34"/>
      <c r="BO614" s="34"/>
      <c r="BP614" s="34"/>
      <c r="BQ614" s="34"/>
      <c r="BR614" s="34"/>
      <c r="BS614" s="34"/>
      <c r="BT614" s="34"/>
      <c r="BU614" s="34"/>
      <c r="BV614" s="34"/>
      <c r="BW614" s="34"/>
      <c r="BX614" s="34"/>
      <c r="BY614" s="34"/>
    </row>
    <row r="615" spans="1:77" x14ac:dyDescent="0.3">
      <c r="A615" s="39"/>
      <c r="B615" s="42"/>
      <c r="C615" s="42"/>
      <c r="D615" s="75"/>
      <c r="E615" s="75"/>
      <c r="F615" s="76"/>
      <c r="G615" s="47"/>
      <c r="H615" s="47"/>
      <c r="I615" s="75"/>
      <c r="J615" s="76"/>
      <c r="K615" s="76"/>
      <c r="L615" s="75"/>
      <c r="M615" s="49"/>
      <c r="N615" s="76"/>
      <c r="O615" s="49"/>
      <c r="P615" s="77"/>
      <c r="Q615" s="53"/>
      <c r="R615" s="54"/>
      <c r="S615" s="55"/>
      <c r="T615" s="56"/>
      <c r="U615" s="56"/>
      <c r="V615" s="42"/>
      <c r="W615" s="57"/>
      <c r="X615" s="58"/>
      <c r="Y615" s="75"/>
      <c r="Z615" s="59"/>
      <c r="AA615" s="61"/>
      <c r="AB615" s="61"/>
      <c r="AC615" s="61"/>
      <c r="AD615" s="62"/>
      <c r="AE615" s="62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  <c r="AQ615" s="34"/>
      <c r="AR615" s="34"/>
      <c r="AS615" s="34"/>
      <c r="AT615" s="34"/>
      <c r="AU615" s="34"/>
      <c r="AV615" s="34"/>
      <c r="AW615" s="34"/>
      <c r="AX615" s="34"/>
      <c r="AY615" s="34"/>
      <c r="AZ615" s="34"/>
      <c r="BA615" s="34"/>
      <c r="BB615" s="34"/>
      <c r="BD615" s="34"/>
      <c r="BE615" s="34"/>
      <c r="BF615" s="34"/>
      <c r="BG615" s="34"/>
      <c r="BH615" s="34"/>
      <c r="BI615" s="34"/>
      <c r="BJ615" s="34"/>
      <c r="BK615" s="34"/>
      <c r="BL615" s="34"/>
      <c r="BM615" s="34"/>
      <c r="BN615" s="34"/>
      <c r="BO615" s="34"/>
      <c r="BP615" s="34"/>
      <c r="BQ615" s="34"/>
      <c r="BR615" s="34"/>
      <c r="BS615" s="34"/>
      <c r="BT615" s="34"/>
      <c r="BU615" s="34"/>
      <c r="BV615" s="34"/>
      <c r="BW615" s="34"/>
      <c r="BX615" s="34"/>
      <c r="BY615" s="34"/>
    </row>
    <row r="616" spans="1:77" x14ac:dyDescent="0.3">
      <c r="A616" s="39"/>
      <c r="B616" s="42"/>
      <c r="C616" s="42"/>
      <c r="D616" s="75"/>
      <c r="E616" s="75"/>
      <c r="F616" s="76"/>
      <c r="G616" s="47"/>
      <c r="H616" s="47"/>
      <c r="I616" s="75"/>
      <c r="J616" s="76"/>
      <c r="K616" s="76"/>
      <c r="L616" s="75"/>
      <c r="M616" s="49"/>
      <c r="N616" s="76"/>
      <c r="O616" s="49"/>
      <c r="P616" s="77"/>
      <c r="Q616" s="53"/>
      <c r="R616" s="54"/>
      <c r="S616" s="55"/>
      <c r="T616" s="56"/>
      <c r="U616" s="56"/>
      <c r="V616" s="42"/>
      <c r="W616" s="57"/>
      <c r="X616" s="58"/>
      <c r="Y616" s="75"/>
      <c r="Z616" s="59"/>
      <c r="AA616" s="61"/>
      <c r="AB616" s="61"/>
      <c r="AC616" s="61"/>
      <c r="AD616" s="62"/>
      <c r="AE616" s="62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  <c r="AQ616" s="34"/>
      <c r="AR616" s="34"/>
      <c r="AS616" s="34"/>
      <c r="AT616" s="34"/>
      <c r="AU616" s="34"/>
      <c r="AV616" s="34"/>
      <c r="AW616" s="34"/>
      <c r="AX616" s="34"/>
      <c r="AY616" s="34"/>
      <c r="AZ616" s="34"/>
      <c r="BA616" s="34"/>
      <c r="BB616" s="34"/>
      <c r="BD616" s="34"/>
      <c r="BE616" s="34"/>
      <c r="BF616" s="34"/>
      <c r="BG616" s="34"/>
      <c r="BH616" s="34"/>
      <c r="BI616" s="34"/>
      <c r="BJ616" s="34"/>
      <c r="BK616" s="34"/>
      <c r="BL616" s="34"/>
      <c r="BM616" s="34"/>
      <c r="BN616" s="34"/>
      <c r="BO616" s="34"/>
      <c r="BP616" s="34"/>
      <c r="BQ616" s="34"/>
      <c r="BR616" s="34"/>
      <c r="BS616" s="34"/>
      <c r="BT616" s="34"/>
      <c r="BU616" s="34"/>
      <c r="BV616" s="34"/>
      <c r="BW616" s="34"/>
      <c r="BX616" s="34"/>
      <c r="BY616" s="34"/>
    </row>
    <row r="617" spans="1:77" x14ac:dyDescent="0.3">
      <c r="A617" s="39"/>
      <c r="B617" s="42"/>
      <c r="C617" s="42"/>
      <c r="D617" s="75"/>
      <c r="E617" s="75"/>
      <c r="F617" s="76"/>
      <c r="G617" s="47"/>
      <c r="H617" s="47"/>
      <c r="I617" s="75"/>
      <c r="J617" s="76"/>
      <c r="K617" s="76"/>
      <c r="L617" s="75"/>
      <c r="M617" s="49"/>
      <c r="N617" s="76"/>
      <c r="O617" s="49"/>
      <c r="P617" s="77"/>
      <c r="Q617" s="53"/>
      <c r="R617" s="54"/>
      <c r="S617" s="55"/>
      <c r="T617" s="56"/>
      <c r="U617" s="56"/>
      <c r="V617" s="42"/>
      <c r="W617" s="57"/>
      <c r="X617" s="58"/>
      <c r="Y617" s="75"/>
      <c r="Z617" s="59"/>
      <c r="AA617" s="61"/>
      <c r="AB617" s="61"/>
      <c r="AC617" s="61"/>
      <c r="AD617" s="62"/>
      <c r="AE617" s="62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4"/>
      <c r="AQ617" s="34"/>
      <c r="AR617" s="34"/>
      <c r="AS617" s="34"/>
      <c r="AT617" s="34"/>
      <c r="AU617" s="34"/>
      <c r="AV617" s="34"/>
      <c r="AW617" s="34"/>
      <c r="AX617" s="34"/>
      <c r="AY617" s="34"/>
      <c r="AZ617" s="34"/>
      <c r="BA617" s="34"/>
      <c r="BB617" s="34"/>
      <c r="BD617" s="34"/>
      <c r="BE617" s="34"/>
      <c r="BF617" s="34"/>
      <c r="BG617" s="34"/>
      <c r="BH617" s="34"/>
      <c r="BI617" s="34"/>
      <c r="BJ617" s="34"/>
      <c r="BK617" s="34"/>
      <c r="BL617" s="34"/>
      <c r="BM617" s="34"/>
      <c r="BN617" s="34"/>
      <c r="BO617" s="34"/>
      <c r="BP617" s="34"/>
      <c r="BQ617" s="34"/>
      <c r="BR617" s="34"/>
      <c r="BS617" s="34"/>
      <c r="BT617" s="34"/>
      <c r="BU617" s="34"/>
      <c r="BV617" s="34"/>
      <c r="BW617" s="34"/>
      <c r="BX617" s="34"/>
      <c r="BY617" s="34"/>
    </row>
    <row r="618" spans="1:77" x14ac:dyDescent="0.3">
      <c r="A618" s="39"/>
      <c r="B618" s="42"/>
      <c r="C618" s="42"/>
      <c r="D618" s="75"/>
      <c r="E618" s="75"/>
      <c r="F618" s="76"/>
      <c r="G618" s="47"/>
      <c r="H618" s="47"/>
      <c r="I618" s="75"/>
      <c r="J618" s="76"/>
      <c r="K618" s="76"/>
      <c r="L618" s="75"/>
      <c r="M618" s="49"/>
      <c r="N618" s="76"/>
      <c r="O618" s="49"/>
      <c r="P618" s="77"/>
      <c r="Q618" s="53"/>
      <c r="R618" s="54"/>
      <c r="S618" s="55"/>
      <c r="T618" s="56"/>
      <c r="U618" s="56"/>
      <c r="V618" s="42"/>
      <c r="W618" s="57"/>
      <c r="X618" s="58"/>
      <c r="Y618" s="75"/>
      <c r="Z618" s="59"/>
      <c r="AA618" s="61"/>
      <c r="AB618" s="61"/>
      <c r="AC618" s="61"/>
      <c r="AD618" s="62"/>
      <c r="AE618" s="62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  <c r="AQ618" s="34"/>
      <c r="AR618" s="34"/>
      <c r="AS618" s="34"/>
      <c r="AT618" s="34"/>
      <c r="AU618" s="34"/>
      <c r="AV618" s="34"/>
      <c r="AW618" s="34"/>
      <c r="AX618" s="34"/>
      <c r="AY618" s="34"/>
      <c r="AZ618" s="34"/>
      <c r="BA618" s="34"/>
      <c r="BB618" s="34"/>
      <c r="BD618" s="34"/>
      <c r="BE618" s="34"/>
      <c r="BF618" s="34"/>
      <c r="BG618" s="34"/>
      <c r="BH618" s="34"/>
      <c r="BI618" s="34"/>
      <c r="BJ618" s="34"/>
      <c r="BK618" s="34"/>
      <c r="BL618" s="34"/>
      <c r="BM618" s="34"/>
      <c r="BN618" s="34"/>
      <c r="BO618" s="34"/>
      <c r="BP618" s="34"/>
      <c r="BQ618" s="34"/>
      <c r="BR618" s="34"/>
      <c r="BS618" s="34"/>
      <c r="BT618" s="34"/>
      <c r="BU618" s="34"/>
      <c r="BV618" s="34"/>
      <c r="BW618" s="34"/>
      <c r="BX618" s="34"/>
      <c r="BY618" s="34"/>
    </row>
    <row r="619" spans="1:77" x14ac:dyDescent="0.3">
      <c r="A619" s="39"/>
      <c r="B619" s="42"/>
      <c r="C619" s="42"/>
      <c r="D619" s="75"/>
      <c r="E619" s="75"/>
      <c r="F619" s="76"/>
      <c r="G619" s="47"/>
      <c r="H619" s="47"/>
      <c r="I619" s="75"/>
      <c r="J619" s="76"/>
      <c r="K619" s="76"/>
      <c r="L619" s="75"/>
      <c r="M619" s="49"/>
      <c r="N619" s="76"/>
      <c r="O619" s="49"/>
      <c r="P619" s="77"/>
      <c r="Q619" s="53"/>
      <c r="R619" s="54"/>
      <c r="S619" s="55"/>
      <c r="T619" s="56"/>
      <c r="U619" s="56"/>
      <c r="V619" s="42"/>
      <c r="W619" s="57"/>
      <c r="X619" s="58"/>
      <c r="Y619" s="75"/>
      <c r="Z619" s="59"/>
      <c r="AA619" s="61"/>
      <c r="AB619" s="61"/>
      <c r="AC619" s="61"/>
      <c r="AD619" s="62"/>
      <c r="AE619" s="62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  <c r="AP619" s="34"/>
      <c r="AQ619" s="34"/>
      <c r="AR619" s="34"/>
      <c r="AS619" s="34"/>
      <c r="AT619" s="34"/>
      <c r="AU619" s="34"/>
      <c r="AV619" s="34"/>
      <c r="AW619" s="34"/>
      <c r="AX619" s="34"/>
      <c r="AY619" s="34"/>
      <c r="AZ619" s="34"/>
      <c r="BA619" s="34"/>
      <c r="BB619" s="34"/>
      <c r="BD619" s="34"/>
      <c r="BE619" s="34"/>
      <c r="BF619" s="34"/>
      <c r="BG619" s="34"/>
      <c r="BH619" s="34"/>
      <c r="BI619" s="34"/>
      <c r="BJ619" s="34"/>
      <c r="BK619" s="34"/>
      <c r="BL619" s="34"/>
      <c r="BM619" s="34"/>
      <c r="BN619" s="34"/>
      <c r="BO619" s="34"/>
      <c r="BP619" s="34"/>
      <c r="BQ619" s="34"/>
      <c r="BR619" s="34"/>
      <c r="BS619" s="34"/>
      <c r="BT619" s="34"/>
      <c r="BU619" s="34"/>
      <c r="BV619" s="34"/>
      <c r="BW619" s="34"/>
      <c r="BX619" s="34"/>
      <c r="BY619" s="34"/>
    </row>
    <row r="620" spans="1:77" x14ac:dyDescent="0.3">
      <c r="A620" s="39"/>
      <c r="B620" s="42"/>
      <c r="C620" s="42"/>
      <c r="D620" s="75"/>
      <c r="E620" s="75"/>
      <c r="F620" s="76"/>
      <c r="G620" s="47"/>
      <c r="H620" s="47"/>
      <c r="I620" s="75"/>
      <c r="J620" s="76"/>
      <c r="K620" s="76"/>
      <c r="L620" s="75"/>
      <c r="M620" s="49"/>
      <c r="N620" s="76"/>
      <c r="O620" s="49"/>
      <c r="P620" s="77"/>
      <c r="Q620" s="53"/>
      <c r="R620" s="54"/>
      <c r="S620" s="55"/>
      <c r="T620" s="56"/>
      <c r="U620" s="56"/>
      <c r="V620" s="42"/>
      <c r="W620" s="57"/>
      <c r="X620" s="58"/>
      <c r="Y620" s="75"/>
      <c r="Z620" s="59"/>
      <c r="AA620" s="61"/>
      <c r="AB620" s="61"/>
      <c r="AC620" s="61"/>
      <c r="AD620" s="62"/>
      <c r="AE620" s="62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4"/>
      <c r="AQ620" s="34"/>
      <c r="AR620" s="34"/>
      <c r="AS620" s="34"/>
      <c r="AT620" s="34"/>
      <c r="AU620" s="34"/>
      <c r="AV620" s="34"/>
      <c r="AW620" s="34"/>
      <c r="AX620" s="34"/>
      <c r="AY620" s="34"/>
      <c r="AZ620" s="34"/>
      <c r="BA620" s="34"/>
      <c r="BB620" s="34"/>
      <c r="BD620" s="34"/>
      <c r="BE620" s="34"/>
      <c r="BF620" s="34"/>
      <c r="BG620" s="34"/>
      <c r="BH620" s="34"/>
      <c r="BI620" s="34"/>
      <c r="BJ620" s="34"/>
      <c r="BK620" s="34"/>
      <c r="BL620" s="34"/>
      <c r="BM620" s="34"/>
      <c r="BN620" s="34"/>
      <c r="BO620" s="34"/>
      <c r="BP620" s="34"/>
      <c r="BQ620" s="34"/>
      <c r="BR620" s="34"/>
      <c r="BS620" s="34"/>
      <c r="BT620" s="34"/>
      <c r="BU620" s="34"/>
      <c r="BV620" s="34"/>
      <c r="BW620" s="34"/>
      <c r="BX620" s="34"/>
      <c r="BY620" s="34"/>
    </row>
    <row r="621" spans="1:77" x14ac:dyDescent="0.3">
      <c r="A621" s="39"/>
      <c r="B621" s="42"/>
      <c r="C621" s="42"/>
      <c r="D621" s="75"/>
      <c r="E621" s="75"/>
      <c r="F621" s="76"/>
      <c r="G621" s="47"/>
      <c r="H621" s="47"/>
      <c r="I621" s="75"/>
      <c r="J621" s="76"/>
      <c r="K621" s="76"/>
      <c r="L621" s="75"/>
      <c r="M621" s="49"/>
      <c r="N621" s="76"/>
      <c r="O621" s="49"/>
      <c r="P621" s="77"/>
      <c r="Q621" s="53"/>
      <c r="R621" s="54"/>
      <c r="S621" s="55"/>
      <c r="T621" s="56"/>
      <c r="U621" s="56"/>
      <c r="V621" s="42"/>
      <c r="W621" s="57"/>
      <c r="X621" s="58"/>
      <c r="Y621" s="75"/>
      <c r="Z621" s="59"/>
      <c r="AA621" s="61"/>
      <c r="AB621" s="61"/>
      <c r="AC621" s="61"/>
      <c r="AD621" s="62"/>
      <c r="AE621" s="62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4"/>
      <c r="AQ621" s="34"/>
      <c r="AR621" s="34"/>
      <c r="AS621" s="34"/>
      <c r="AT621" s="34"/>
      <c r="AU621" s="34"/>
      <c r="AV621" s="34"/>
      <c r="AW621" s="34"/>
      <c r="AX621" s="34"/>
      <c r="AY621" s="34"/>
      <c r="AZ621" s="34"/>
      <c r="BA621" s="34"/>
      <c r="BB621" s="34"/>
      <c r="BD621" s="34"/>
      <c r="BE621" s="34"/>
      <c r="BF621" s="34"/>
      <c r="BG621" s="34"/>
      <c r="BH621" s="34"/>
      <c r="BI621" s="34"/>
      <c r="BJ621" s="34"/>
      <c r="BK621" s="34"/>
      <c r="BL621" s="34"/>
      <c r="BM621" s="34"/>
      <c r="BN621" s="34"/>
      <c r="BO621" s="34"/>
      <c r="BP621" s="34"/>
      <c r="BQ621" s="34"/>
      <c r="BR621" s="34"/>
      <c r="BS621" s="34"/>
      <c r="BT621" s="34"/>
      <c r="BU621" s="34"/>
      <c r="BV621" s="34"/>
      <c r="BW621" s="34"/>
      <c r="BX621" s="34"/>
      <c r="BY621" s="34"/>
    </row>
    <row r="622" spans="1:77" x14ac:dyDescent="0.3">
      <c r="A622" s="39"/>
      <c r="B622" s="42"/>
      <c r="C622" s="42"/>
      <c r="D622" s="75"/>
      <c r="E622" s="75"/>
      <c r="F622" s="76"/>
      <c r="G622" s="47"/>
      <c r="H622" s="47"/>
      <c r="I622" s="75"/>
      <c r="J622" s="76"/>
      <c r="K622" s="76"/>
      <c r="L622" s="75"/>
      <c r="M622" s="49"/>
      <c r="N622" s="76"/>
      <c r="O622" s="49"/>
      <c r="P622" s="77"/>
      <c r="Q622" s="53"/>
      <c r="R622" s="54"/>
      <c r="S622" s="55"/>
      <c r="T622" s="56"/>
      <c r="U622" s="56"/>
      <c r="V622" s="42"/>
      <c r="W622" s="57"/>
      <c r="X622" s="58"/>
      <c r="Y622" s="75"/>
      <c r="Z622" s="59"/>
      <c r="AA622" s="61"/>
      <c r="AB622" s="61"/>
      <c r="AC622" s="61"/>
      <c r="AD622" s="62"/>
      <c r="AE622" s="62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  <c r="AQ622" s="34"/>
      <c r="AR622" s="34"/>
      <c r="AS622" s="34"/>
      <c r="AT622" s="34"/>
      <c r="AU622" s="34"/>
      <c r="AV622" s="34"/>
      <c r="AW622" s="34"/>
      <c r="AX622" s="34"/>
      <c r="AY622" s="34"/>
      <c r="AZ622" s="34"/>
      <c r="BA622" s="34"/>
      <c r="BB622" s="34"/>
      <c r="BD622" s="34"/>
      <c r="BE622" s="34"/>
      <c r="BF622" s="34"/>
      <c r="BG622" s="34"/>
      <c r="BH622" s="34"/>
      <c r="BI622" s="34"/>
      <c r="BJ622" s="34"/>
      <c r="BK622" s="34"/>
      <c r="BL622" s="34"/>
      <c r="BM622" s="34"/>
      <c r="BN622" s="34"/>
      <c r="BO622" s="34"/>
      <c r="BP622" s="34"/>
      <c r="BQ622" s="34"/>
      <c r="BR622" s="34"/>
      <c r="BS622" s="34"/>
      <c r="BT622" s="34"/>
      <c r="BU622" s="34"/>
      <c r="BV622" s="34"/>
      <c r="BW622" s="34"/>
      <c r="BX622" s="34"/>
      <c r="BY622" s="34"/>
    </row>
    <row r="623" spans="1:77" x14ac:dyDescent="0.3">
      <c r="A623" s="39"/>
      <c r="B623" s="42"/>
      <c r="C623" s="42"/>
      <c r="D623" s="75"/>
      <c r="E623" s="75"/>
      <c r="F623" s="76"/>
      <c r="G623" s="47"/>
      <c r="H623" s="47"/>
      <c r="I623" s="75"/>
      <c r="J623" s="76"/>
      <c r="K623" s="76"/>
      <c r="L623" s="75"/>
      <c r="M623" s="49"/>
      <c r="N623" s="76"/>
      <c r="O623" s="49"/>
      <c r="P623" s="77"/>
      <c r="Q623" s="53"/>
      <c r="R623" s="54"/>
      <c r="S623" s="55"/>
      <c r="T623" s="56"/>
      <c r="U623" s="56"/>
      <c r="V623" s="42"/>
      <c r="W623" s="57"/>
      <c r="X623" s="58"/>
      <c r="Y623" s="75"/>
      <c r="Z623" s="59"/>
      <c r="AA623" s="61"/>
      <c r="AB623" s="61"/>
      <c r="AC623" s="61"/>
      <c r="AD623" s="62"/>
      <c r="AE623" s="62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/>
      <c r="BB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/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</row>
    <row r="624" spans="1:77" x14ac:dyDescent="0.3">
      <c r="A624" s="39"/>
      <c r="B624" s="42"/>
      <c r="C624" s="42"/>
      <c r="D624" s="75"/>
      <c r="E624" s="75"/>
      <c r="F624" s="76"/>
      <c r="G624" s="47"/>
      <c r="H624" s="47"/>
      <c r="I624" s="75"/>
      <c r="J624" s="76"/>
      <c r="K624" s="76"/>
      <c r="L624" s="75"/>
      <c r="M624" s="49"/>
      <c r="N624" s="76"/>
      <c r="O624" s="49"/>
      <c r="P624" s="77"/>
      <c r="Q624" s="53"/>
      <c r="R624" s="54"/>
      <c r="S624" s="55"/>
      <c r="T624" s="56"/>
      <c r="U624" s="56"/>
      <c r="V624" s="42"/>
      <c r="W624" s="57"/>
      <c r="X624" s="58"/>
      <c r="Y624" s="75"/>
      <c r="Z624" s="59"/>
      <c r="AA624" s="61"/>
      <c r="AB624" s="61"/>
      <c r="AC624" s="61"/>
      <c r="AD624" s="62"/>
      <c r="AE624" s="62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34"/>
      <c r="BB624" s="34"/>
      <c r="BD624" s="34"/>
      <c r="BE624" s="34"/>
      <c r="BF624" s="34"/>
      <c r="BG624" s="34"/>
      <c r="BH624" s="34"/>
      <c r="BI624" s="34"/>
      <c r="BJ624" s="34"/>
      <c r="BK624" s="34"/>
      <c r="BL624" s="34"/>
      <c r="BM624" s="34"/>
      <c r="BN624" s="34"/>
      <c r="BO624" s="34"/>
      <c r="BP624" s="34"/>
      <c r="BQ624" s="34"/>
      <c r="BR624" s="34"/>
      <c r="BS624" s="34"/>
      <c r="BT624" s="34"/>
      <c r="BU624" s="34"/>
      <c r="BV624" s="34"/>
      <c r="BW624" s="34"/>
      <c r="BX624" s="34"/>
      <c r="BY624" s="34"/>
    </row>
    <row r="625" spans="1:77" x14ac:dyDescent="0.3">
      <c r="A625" s="39"/>
      <c r="B625" s="42"/>
      <c r="C625" s="42"/>
      <c r="D625" s="75"/>
      <c r="E625" s="75"/>
      <c r="F625" s="76"/>
      <c r="G625" s="47"/>
      <c r="H625" s="47"/>
      <c r="I625" s="75"/>
      <c r="J625" s="76"/>
      <c r="K625" s="76"/>
      <c r="L625" s="75"/>
      <c r="M625" s="49"/>
      <c r="N625" s="76"/>
      <c r="O625" s="49"/>
      <c r="P625" s="77"/>
      <c r="Q625" s="53"/>
      <c r="R625" s="54"/>
      <c r="S625" s="55"/>
      <c r="T625" s="56"/>
      <c r="U625" s="56"/>
      <c r="V625" s="42"/>
      <c r="W625" s="57"/>
      <c r="X625" s="58"/>
      <c r="Y625" s="75"/>
      <c r="Z625" s="59"/>
      <c r="AA625" s="61"/>
      <c r="AB625" s="61"/>
      <c r="AC625" s="61"/>
      <c r="AD625" s="62"/>
      <c r="AE625" s="62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34"/>
      <c r="BA625" s="34"/>
      <c r="BB625" s="34"/>
      <c r="BD625" s="34"/>
      <c r="BE625" s="34"/>
      <c r="BF625" s="34"/>
      <c r="BG625" s="34"/>
      <c r="BH625" s="34"/>
      <c r="BI625" s="34"/>
      <c r="BJ625" s="34"/>
      <c r="BK625" s="34"/>
      <c r="BL625" s="34"/>
      <c r="BM625" s="34"/>
      <c r="BN625" s="34"/>
      <c r="BO625" s="34"/>
      <c r="BP625" s="34"/>
      <c r="BQ625" s="34"/>
      <c r="BR625" s="34"/>
      <c r="BS625" s="34"/>
      <c r="BT625" s="34"/>
      <c r="BU625" s="34"/>
      <c r="BV625" s="34"/>
      <c r="BW625" s="34"/>
      <c r="BX625" s="34"/>
      <c r="BY625" s="34"/>
    </row>
    <row r="626" spans="1:77" x14ac:dyDescent="0.3">
      <c r="A626" s="39"/>
      <c r="B626" s="42"/>
      <c r="C626" s="42"/>
      <c r="D626" s="75"/>
      <c r="E626" s="75"/>
      <c r="F626" s="76"/>
      <c r="G626" s="47"/>
      <c r="H626" s="47"/>
      <c r="I626" s="75"/>
      <c r="J626" s="76"/>
      <c r="K626" s="76"/>
      <c r="L626" s="75"/>
      <c r="M626" s="49"/>
      <c r="N626" s="76"/>
      <c r="O626" s="49"/>
      <c r="P626" s="77"/>
      <c r="Q626" s="53"/>
      <c r="R626" s="54"/>
      <c r="S626" s="55"/>
      <c r="T626" s="56"/>
      <c r="U626" s="56"/>
      <c r="V626" s="42"/>
      <c r="W626" s="57"/>
      <c r="X626" s="58"/>
      <c r="Y626" s="75"/>
      <c r="Z626" s="59"/>
      <c r="AA626" s="61"/>
      <c r="AB626" s="61"/>
      <c r="AC626" s="61"/>
      <c r="AD626" s="62"/>
      <c r="AE626" s="62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/>
      <c r="BB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/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</row>
    <row r="627" spans="1:77" x14ac:dyDescent="0.3">
      <c r="A627" s="39"/>
      <c r="B627" s="42"/>
      <c r="C627" s="42"/>
      <c r="D627" s="75"/>
      <c r="E627" s="75"/>
      <c r="F627" s="76"/>
      <c r="G627" s="47"/>
      <c r="H627" s="47"/>
      <c r="I627" s="75"/>
      <c r="J627" s="76"/>
      <c r="K627" s="76"/>
      <c r="L627" s="75"/>
      <c r="M627" s="49"/>
      <c r="N627" s="76"/>
      <c r="O627" s="49"/>
      <c r="P627" s="77"/>
      <c r="Q627" s="53"/>
      <c r="R627" s="54"/>
      <c r="S627" s="55"/>
      <c r="T627" s="56"/>
      <c r="U627" s="56"/>
      <c r="V627" s="42"/>
      <c r="W627" s="57"/>
      <c r="X627" s="58"/>
      <c r="Y627" s="75"/>
      <c r="Z627" s="59"/>
      <c r="AA627" s="61"/>
      <c r="AB627" s="61"/>
      <c r="AC627" s="61"/>
      <c r="AD627" s="62"/>
      <c r="AE627" s="62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34"/>
      <c r="BA627" s="34"/>
      <c r="BB627" s="34"/>
      <c r="BD627" s="34"/>
      <c r="BE627" s="34"/>
      <c r="BF627" s="34"/>
      <c r="BG627" s="34"/>
      <c r="BH627" s="34"/>
      <c r="BI627" s="34"/>
      <c r="BJ627" s="34"/>
      <c r="BK627" s="34"/>
      <c r="BL627" s="34"/>
      <c r="BM627" s="34"/>
      <c r="BN627" s="34"/>
      <c r="BO627" s="34"/>
      <c r="BP627" s="34"/>
      <c r="BQ627" s="34"/>
      <c r="BR627" s="34"/>
      <c r="BS627" s="34"/>
      <c r="BT627" s="34"/>
      <c r="BU627" s="34"/>
      <c r="BV627" s="34"/>
      <c r="BW627" s="34"/>
      <c r="BX627" s="34"/>
      <c r="BY627" s="34"/>
    </row>
    <row r="628" spans="1:77" x14ac:dyDescent="0.3">
      <c r="A628" s="39"/>
      <c r="B628" s="42"/>
      <c r="C628" s="42"/>
      <c r="D628" s="75"/>
      <c r="E628" s="75"/>
      <c r="F628" s="76"/>
      <c r="G628" s="47"/>
      <c r="H628" s="47"/>
      <c r="I628" s="75"/>
      <c r="J628" s="76"/>
      <c r="K628" s="76"/>
      <c r="L628" s="75"/>
      <c r="M628" s="49"/>
      <c r="N628" s="76"/>
      <c r="O628" s="49"/>
      <c r="P628" s="77"/>
      <c r="Q628" s="53"/>
      <c r="R628" s="54"/>
      <c r="S628" s="55"/>
      <c r="T628" s="56"/>
      <c r="U628" s="56"/>
      <c r="V628" s="42"/>
      <c r="W628" s="57"/>
      <c r="X628" s="58"/>
      <c r="Y628" s="75"/>
      <c r="Z628" s="59"/>
      <c r="AA628" s="61"/>
      <c r="AB628" s="61"/>
      <c r="AC628" s="61"/>
      <c r="AD628" s="62"/>
      <c r="AE628" s="62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  <c r="AQ628" s="34"/>
      <c r="AR628" s="34"/>
      <c r="AS628" s="34"/>
      <c r="AT628" s="34"/>
      <c r="AU628" s="34"/>
      <c r="AV628" s="34"/>
      <c r="AW628" s="34"/>
      <c r="AX628" s="34"/>
      <c r="AY628" s="34"/>
      <c r="AZ628" s="34"/>
      <c r="BA628" s="34"/>
      <c r="BB628" s="34"/>
      <c r="BD628" s="34"/>
      <c r="BE628" s="34"/>
      <c r="BF628" s="34"/>
      <c r="BG628" s="34"/>
      <c r="BH628" s="34"/>
      <c r="BI628" s="34"/>
      <c r="BJ628" s="34"/>
      <c r="BK628" s="34"/>
      <c r="BL628" s="34"/>
      <c r="BM628" s="34"/>
      <c r="BN628" s="34"/>
      <c r="BO628" s="34"/>
      <c r="BP628" s="34"/>
      <c r="BQ628" s="34"/>
      <c r="BR628" s="34"/>
      <c r="BS628" s="34"/>
      <c r="BT628" s="34"/>
      <c r="BU628" s="34"/>
      <c r="BV628" s="34"/>
      <c r="BW628" s="34"/>
      <c r="BX628" s="34"/>
      <c r="BY628" s="34"/>
    </row>
    <row r="629" spans="1:77" x14ac:dyDescent="0.3">
      <c r="A629" s="39"/>
      <c r="B629" s="42"/>
      <c r="C629" s="42"/>
      <c r="D629" s="75"/>
      <c r="E629" s="75"/>
      <c r="F629" s="76"/>
      <c r="G629" s="47"/>
      <c r="H629" s="47"/>
      <c r="I629" s="75"/>
      <c r="J629" s="76"/>
      <c r="K629" s="76"/>
      <c r="L629" s="75"/>
      <c r="M629" s="49"/>
      <c r="N629" s="76"/>
      <c r="O629" s="49"/>
      <c r="P629" s="77"/>
      <c r="Q629" s="53"/>
      <c r="R629" s="54"/>
      <c r="S629" s="55"/>
      <c r="T629" s="56"/>
      <c r="U629" s="56"/>
      <c r="V629" s="42"/>
      <c r="W629" s="57"/>
      <c r="X629" s="58"/>
      <c r="Y629" s="75"/>
      <c r="Z629" s="59"/>
      <c r="AA629" s="61"/>
      <c r="AB629" s="61"/>
      <c r="AC629" s="61"/>
      <c r="AD629" s="62"/>
      <c r="AE629" s="62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  <c r="AQ629" s="34"/>
      <c r="AR629" s="34"/>
      <c r="AS629" s="34"/>
      <c r="AT629" s="34"/>
      <c r="AU629" s="34"/>
      <c r="AV629" s="34"/>
      <c r="AW629" s="34"/>
      <c r="AX629" s="34"/>
      <c r="AY629" s="34"/>
      <c r="AZ629" s="34"/>
      <c r="BA629" s="34"/>
      <c r="BB629" s="34"/>
      <c r="BD629" s="34"/>
      <c r="BE629" s="34"/>
      <c r="BF629" s="34"/>
      <c r="BG629" s="34"/>
      <c r="BH629" s="34"/>
      <c r="BI629" s="34"/>
      <c r="BJ629" s="34"/>
      <c r="BK629" s="34"/>
      <c r="BL629" s="34"/>
      <c r="BM629" s="34"/>
      <c r="BN629" s="34"/>
      <c r="BO629" s="34"/>
      <c r="BP629" s="34"/>
      <c r="BQ629" s="34"/>
      <c r="BR629" s="34"/>
      <c r="BS629" s="34"/>
      <c r="BT629" s="34"/>
      <c r="BU629" s="34"/>
      <c r="BV629" s="34"/>
      <c r="BW629" s="34"/>
      <c r="BX629" s="34"/>
      <c r="BY629" s="34"/>
    </row>
    <row r="630" spans="1:77" x14ac:dyDescent="0.3">
      <c r="A630" s="39"/>
      <c r="B630" s="42"/>
      <c r="C630" s="42"/>
      <c r="D630" s="75"/>
      <c r="E630" s="75"/>
      <c r="F630" s="76"/>
      <c r="G630" s="47"/>
      <c r="H630" s="47"/>
      <c r="I630" s="75"/>
      <c r="J630" s="76"/>
      <c r="K630" s="76"/>
      <c r="L630" s="75"/>
      <c r="M630" s="49"/>
      <c r="N630" s="76"/>
      <c r="O630" s="49"/>
      <c r="P630" s="77"/>
      <c r="Q630" s="53"/>
      <c r="R630" s="54"/>
      <c r="S630" s="55"/>
      <c r="T630" s="56"/>
      <c r="U630" s="56"/>
      <c r="V630" s="42"/>
      <c r="W630" s="57"/>
      <c r="X630" s="58"/>
      <c r="Y630" s="75"/>
      <c r="Z630" s="59"/>
      <c r="AA630" s="61"/>
      <c r="AB630" s="61"/>
      <c r="AC630" s="61"/>
      <c r="AD630" s="62"/>
      <c r="AE630" s="62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  <c r="AQ630" s="34"/>
      <c r="AR630" s="34"/>
      <c r="AS630" s="34"/>
      <c r="AT630" s="34"/>
      <c r="AU630" s="34"/>
      <c r="AV630" s="34"/>
      <c r="AW630" s="34"/>
      <c r="AX630" s="34"/>
      <c r="AY630" s="34"/>
      <c r="AZ630" s="34"/>
      <c r="BA630" s="34"/>
      <c r="BB630" s="34"/>
      <c r="BD630" s="34"/>
      <c r="BE630" s="34"/>
      <c r="BF630" s="34"/>
      <c r="BG630" s="34"/>
      <c r="BH630" s="34"/>
      <c r="BI630" s="34"/>
      <c r="BJ630" s="34"/>
      <c r="BK630" s="34"/>
      <c r="BL630" s="34"/>
      <c r="BM630" s="34"/>
      <c r="BN630" s="34"/>
      <c r="BO630" s="34"/>
      <c r="BP630" s="34"/>
      <c r="BQ630" s="34"/>
      <c r="BR630" s="34"/>
      <c r="BS630" s="34"/>
      <c r="BT630" s="34"/>
      <c r="BU630" s="34"/>
      <c r="BV630" s="34"/>
      <c r="BW630" s="34"/>
      <c r="BX630" s="34"/>
      <c r="BY630" s="34"/>
    </row>
    <row r="631" spans="1:77" x14ac:dyDescent="0.3">
      <c r="A631" s="39"/>
      <c r="B631" s="42"/>
      <c r="C631" s="42"/>
      <c r="D631" s="75"/>
      <c r="E631" s="75"/>
      <c r="F631" s="76"/>
      <c r="G631" s="47"/>
      <c r="H631" s="47"/>
      <c r="I631" s="75"/>
      <c r="J631" s="76"/>
      <c r="K631" s="76"/>
      <c r="L631" s="75"/>
      <c r="M631" s="49"/>
      <c r="N631" s="76"/>
      <c r="O631" s="49"/>
      <c r="P631" s="77"/>
      <c r="Q631" s="53"/>
      <c r="R631" s="54"/>
      <c r="S631" s="55"/>
      <c r="T631" s="56"/>
      <c r="U631" s="56"/>
      <c r="V631" s="42"/>
      <c r="W631" s="57"/>
      <c r="X631" s="58"/>
      <c r="Y631" s="75"/>
      <c r="Z631" s="59"/>
      <c r="AA631" s="61"/>
      <c r="AB631" s="61"/>
      <c r="AC631" s="61"/>
      <c r="AD631" s="62"/>
      <c r="AE631" s="62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34"/>
      <c r="BB631" s="34"/>
      <c r="BD631" s="34"/>
      <c r="BE631" s="34"/>
      <c r="BF631" s="34"/>
      <c r="BG631" s="34"/>
      <c r="BH631" s="34"/>
      <c r="BI631" s="34"/>
      <c r="BJ631" s="34"/>
      <c r="BK631" s="34"/>
      <c r="BL631" s="34"/>
      <c r="BM631" s="34"/>
      <c r="BN631" s="34"/>
      <c r="BO631" s="34"/>
      <c r="BP631" s="34"/>
      <c r="BQ631" s="34"/>
      <c r="BR631" s="34"/>
      <c r="BS631" s="34"/>
      <c r="BT631" s="34"/>
      <c r="BU631" s="34"/>
      <c r="BV631" s="34"/>
      <c r="BW631" s="34"/>
      <c r="BX631" s="34"/>
      <c r="BY631" s="34"/>
    </row>
    <row r="632" spans="1:77" x14ac:dyDescent="0.3">
      <c r="A632" s="39"/>
      <c r="B632" s="42"/>
      <c r="C632" s="42"/>
      <c r="D632" s="75"/>
      <c r="E632" s="75"/>
      <c r="F632" s="76"/>
      <c r="G632" s="47"/>
      <c r="H632" s="47"/>
      <c r="I632" s="75"/>
      <c r="J632" s="76"/>
      <c r="K632" s="76"/>
      <c r="L632" s="75"/>
      <c r="M632" s="49"/>
      <c r="N632" s="76"/>
      <c r="O632" s="49"/>
      <c r="P632" s="77"/>
      <c r="Q632" s="53"/>
      <c r="R632" s="54"/>
      <c r="S632" s="55"/>
      <c r="T632" s="56"/>
      <c r="U632" s="56"/>
      <c r="V632" s="42"/>
      <c r="W632" s="57"/>
      <c r="X632" s="58"/>
      <c r="Y632" s="75"/>
      <c r="Z632" s="59"/>
      <c r="AA632" s="61"/>
      <c r="AB632" s="61"/>
      <c r="AC632" s="61"/>
      <c r="AD632" s="62"/>
      <c r="AE632" s="62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34"/>
      <c r="BA632" s="34"/>
      <c r="BB632" s="34"/>
      <c r="BD632" s="34"/>
      <c r="BE632" s="34"/>
      <c r="BF632" s="34"/>
      <c r="BG632" s="34"/>
      <c r="BH632" s="34"/>
      <c r="BI632" s="34"/>
      <c r="BJ632" s="34"/>
      <c r="BK632" s="34"/>
      <c r="BL632" s="34"/>
      <c r="BM632" s="34"/>
      <c r="BN632" s="34"/>
      <c r="BO632" s="34"/>
      <c r="BP632" s="34"/>
      <c r="BQ632" s="34"/>
      <c r="BR632" s="34"/>
      <c r="BS632" s="34"/>
      <c r="BT632" s="34"/>
      <c r="BU632" s="34"/>
      <c r="BV632" s="34"/>
      <c r="BW632" s="34"/>
      <c r="BX632" s="34"/>
      <c r="BY632" s="34"/>
    </row>
    <row r="633" spans="1:77" x14ac:dyDescent="0.3">
      <c r="A633" s="39"/>
      <c r="B633" s="42"/>
      <c r="C633" s="42"/>
      <c r="D633" s="75"/>
      <c r="E633" s="75"/>
      <c r="F633" s="76"/>
      <c r="G633" s="47"/>
      <c r="H633" s="47"/>
      <c r="I633" s="75"/>
      <c r="J633" s="76"/>
      <c r="K633" s="76"/>
      <c r="L633" s="75"/>
      <c r="M633" s="49"/>
      <c r="N633" s="76"/>
      <c r="O633" s="49"/>
      <c r="P633" s="77"/>
      <c r="Q633" s="53"/>
      <c r="R633" s="54"/>
      <c r="S633" s="55"/>
      <c r="T633" s="56"/>
      <c r="U633" s="56"/>
      <c r="V633" s="42"/>
      <c r="W633" s="57"/>
      <c r="X633" s="58"/>
      <c r="Y633" s="75"/>
      <c r="Z633" s="59"/>
      <c r="AA633" s="61"/>
      <c r="AB633" s="61"/>
      <c r="AC633" s="61"/>
      <c r="AD633" s="62"/>
      <c r="AE633" s="62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  <c r="AP633" s="34"/>
      <c r="AQ633" s="34"/>
      <c r="AR633" s="34"/>
      <c r="AS633" s="34"/>
      <c r="AT633" s="34"/>
      <c r="AU633" s="34"/>
      <c r="AV633" s="34"/>
      <c r="AW633" s="34"/>
      <c r="AX633" s="34"/>
      <c r="AY633" s="34"/>
      <c r="AZ633" s="34"/>
      <c r="BA633" s="34"/>
      <c r="BB633" s="34"/>
      <c r="BD633" s="34"/>
      <c r="BE633" s="34"/>
      <c r="BF633" s="34"/>
      <c r="BG633" s="34"/>
      <c r="BH633" s="34"/>
      <c r="BI633" s="34"/>
      <c r="BJ633" s="34"/>
      <c r="BK633" s="34"/>
      <c r="BL633" s="34"/>
      <c r="BM633" s="34"/>
      <c r="BN633" s="34"/>
      <c r="BO633" s="34"/>
      <c r="BP633" s="34"/>
      <c r="BQ633" s="34"/>
      <c r="BR633" s="34"/>
      <c r="BS633" s="34"/>
      <c r="BT633" s="34"/>
      <c r="BU633" s="34"/>
      <c r="BV633" s="34"/>
      <c r="BW633" s="34"/>
      <c r="BX633" s="34"/>
      <c r="BY633" s="34"/>
    </row>
    <row r="634" spans="1:77" x14ac:dyDescent="0.3">
      <c r="A634" s="39"/>
      <c r="B634" s="42"/>
      <c r="C634" s="42"/>
      <c r="D634" s="75"/>
      <c r="E634" s="75"/>
      <c r="F634" s="76"/>
      <c r="G634" s="47"/>
      <c r="H634" s="47"/>
      <c r="I634" s="75"/>
      <c r="J634" s="76"/>
      <c r="K634" s="76"/>
      <c r="L634" s="75"/>
      <c r="M634" s="49"/>
      <c r="N634" s="76"/>
      <c r="O634" s="49"/>
      <c r="P634" s="77"/>
      <c r="Q634" s="53"/>
      <c r="R634" s="54"/>
      <c r="S634" s="55"/>
      <c r="T634" s="56"/>
      <c r="U634" s="56"/>
      <c r="V634" s="42"/>
      <c r="W634" s="57"/>
      <c r="X634" s="58"/>
      <c r="Y634" s="75"/>
      <c r="Z634" s="59"/>
      <c r="AA634" s="61"/>
      <c r="AB634" s="61"/>
      <c r="AC634" s="61"/>
      <c r="AD634" s="62"/>
      <c r="AE634" s="62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34"/>
      <c r="BA634" s="34"/>
      <c r="BB634" s="34"/>
      <c r="BD634" s="34"/>
      <c r="BE634" s="34"/>
      <c r="BF634" s="34"/>
      <c r="BG634" s="34"/>
      <c r="BH634" s="34"/>
      <c r="BI634" s="34"/>
      <c r="BJ634" s="34"/>
      <c r="BK634" s="34"/>
      <c r="BL634" s="34"/>
      <c r="BM634" s="34"/>
      <c r="BN634" s="34"/>
      <c r="BO634" s="34"/>
      <c r="BP634" s="34"/>
      <c r="BQ634" s="34"/>
      <c r="BR634" s="34"/>
      <c r="BS634" s="34"/>
      <c r="BT634" s="34"/>
      <c r="BU634" s="34"/>
      <c r="BV634" s="34"/>
      <c r="BW634" s="34"/>
      <c r="BX634" s="34"/>
      <c r="BY634" s="34"/>
    </row>
    <row r="635" spans="1:77" x14ac:dyDescent="0.3">
      <c r="A635" s="39"/>
      <c r="B635" s="42"/>
      <c r="C635" s="42"/>
      <c r="D635" s="75"/>
      <c r="E635" s="75"/>
      <c r="F635" s="76"/>
      <c r="G635" s="47"/>
      <c r="H635" s="47"/>
      <c r="I635" s="75"/>
      <c r="J635" s="76"/>
      <c r="K635" s="76"/>
      <c r="L635" s="75"/>
      <c r="M635" s="49"/>
      <c r="N635" s="76"/>
      <c r="O635" s="49"/>
      <c r="P635" s="77"/>
      <c r="Q635" s="53"/>
      <c r="R635" s="54"/>
      <c r="S635" s="55"/>
      <c r="T635" s="56"/>
      <c r="U635" s="56"/>
      <c r="V635" s="42"/>
      <c r="W635" s="57"/>
      <c r="X635" s="58"/>
      <c r="Y635" s="75"/>
      <c r="Z635" s="59"/>
      <c r="AA635" s="61"/>
      <c r="AB635" s="61"/>
      <c r="AC635" s="61"/>
      <c r="AD635" s="62"/>
      <c r="AE635" s="62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  <c r="AQ635" s="34"/>
      <c r="AR635" s="34"/>
      <c r="AS635" s="34"/>
      <c r="AT635" s="34"/>
      <c r="AU635" s="34"/>
      <c r="AV635" s="34"/>
      <c r="AW635" s="34"/>
      <c r="AX635" s="34"/>
      <c r="AY635" s="34"/>
      <c r="AZ635" s="34"/>
      <c r="BA635" s="34"/>
      <c r="BB635" s="34"/>
      <c r="BD635" s="34"/>
      <c r="BE635" s="34"/>
      <c r="BF635" s="34"/>
      <c r="BG635" s="34"/>
      <c r="BH635" s="34"/>
      <c r="BI635" s="34"/>
      <c r="BJ635" s="34"/>
      <c r="BK635" s="34"/>
      <c r="BL635" s="34"/>
      <c r="BM635" s="34"/>
      <c r="BN635" s="34"/>
      <c r="BO635" s="34"/>
      <c r="BP635" s="34"/>
      <c r="BQ635" s="34"/>
      <c r="BR635" s="34"/>
      <c r="BS635" s="34"/>
      <c r="BT635" s="34"/>
      <c r="BU635" s="34"/>
      <c r="BV635" s="34"/>
      <c r="BW635" s="34"/>
      <c r="BX635" s="34"/>
      <c r="BY635" s="34"/>
    </row>
    <row r="636" spans="1:77" x14ac:dyDescent="0.3">
      <c r="A636" s="39"/>
      <c r="B636" s="42"/>
      <c r="C636" s="42"/>
      <c r="D636" s="75"/>
      <c r="E636" s="75"/>
      <c r="F636" s="76"/>
      <c r="G636" s="47"/>
      <c r="H636" s="47"/>
      <c r="I636" s="75"/>
      <c r="J636" s="76"/>
      <c r="K636" s="76"/>
      <c r="L636" s="75"/>
      <c r="M636" s="49"/>
      <c r="N636" s="76"/>
      <c r="O636" s="49"/>
      <c r="P636" s="77"/>
      <c r="Q636" s="53"/>
      <c r="R636" s="54"/>
      <c r="S636" s="55"/>
      <c r="T636" s="56"/>
      <c r="U636" s="56"/>
      <c r="V636" s="42"/>
      <c r="W636" s="57"/>
      <c r="X636" s="58"/>
      <c r="Y636" s="75"/>
      <c r="Z636" s="59"/>
      <c r="AA636" s="61"/>
      <c r="AB636" s="61"/>
      <c r="AC636" s="61"/>
      <c r="AD636" s="62"/>
      <c r="AE636" s="62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  <c r="AQ636" s="34"/>
      <c r="AR636" s="34"/>
      <c r="AS636" s="34"/>
      <c r="AT636" s="34"/>
      <c r="AU636" s="34"/>
      <c r="AV636" s="34"/>
      <c r="AW636" s="34"/>
      <c r="AX636" s="34"/>
      <c r="AY636" s="34"/>
      <c r="AZ636" s="34"/>
      <c r="BA636" s="34"/>
      <c r="BB636" s="34"/>
      <c r="BD636" s="34"/>
      <c r="BE636" s="34"/>
      <c r="BF636" s="34"/>
      <c r="BG636" s="34"/>
      <c r="BH636" s="34"/>
      <c r="BI636" s="34"/>
      <c r="BJ636" s="34"/>
      <c r="BK636" s="34"/>
      <c r="BL636" s="34"/>
      <c r="BM636" s="34"/>
      <c r="BN636" s="34"/>
      <c r="BO636" s="34"/>
      <c r="BP636" s="34"/>
      <c r="BQ636" s="34"/>
      <c r="BR636" s="34"/>
      <c r="BS636" s="34"/>
      <c r="BT636" s="34"/>
      <c r="BU636" s="34"/>
      <c r="BV636" s="34"/>
      <c r="BW636" s="34"/>
      <c r="BX636" s="34"/>
      <c r="BY636" s="34"/>
    </row>
    <row r="637" spans="1:77" x14ac:dyDescent="0.3">
      <c r="A637" s="39"/>
      <c r="B637" s="42"/>
      <c r="C637" s="42"/>
      <c r="D637" s="75"/>
      <c r="E637" s="75"/>
      <c r="F637" s="76"/>
      <c r="G637" s="47"/>
      <c r="H637" s="47"/>
      <c r="I637" s="75"/>
      <c r="J637" s="76"/>
      <c r="K637" s="76"/>
      <c r="L637" s="75"/>
      <c r="M637" s="49"/>
      <c r="N637" s="76"/>
      <c r="O637" s="49"/>
      <c r="P637" s="77"/>
      <c r="Q637" s="53"/>
      <c r="R637" s="54"/>
      <c r="S637" s="55"/>
      <c r="T637" s="56"/>
      <c r="U637" s="56"/>
      <c r="V637" s="42"/>
      <c r="W637" s="57"/>
      <c r="X637" s="58"/>
      <c r="Y637" s="75"/>
      <c r="Z637" s="59"/>
      <c r="AA637" s="61"/>
      <c r="AB637" s="61"/>
      <c r="AC637" s="61"/>
      <c r="AD637" s="62"/>
      <c r="AE637" s="62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  <c r="AQ637" s="34"/>
      <c r="AR637" s="34"/>
      <c r="AS637" s="34"/>
      <c r="AT637" s="34"/>
      <c r="AU637" s="34"/>
      <c r="AV637" s="34"/>
      <c r="AW637" s="34"/>
      <c r="AX637" s="34"/>
      <c r="AY637" s="34"/>
      <c r="AZ637" s="34"/>
      <c r="BA637" s="34"/>
      <c r="BB637" s="34"/>
      <c r="BD637" s="34"/>
      <c r="BE637" s="34"/>
      <c r="BF637" s="34"/>
      <c r="BG637" s="34"/>
      <c r="BH637" s="34"/>
      <c r="BI637" s="34"/>
      <c r="BJ637" s="34"/>
      <c r="BK637" s="34"/>
      <c r="BL637" s="34"/>
      <c r="BM637" s="34"/>
      <c r="BN637" s="34"/>
      <c r="BO637" s="34"/>
      <c r="BP637" s="34"/>
      <c r="BQ637" s="34"/>
      <c r="BR637" s="34"/>
      <c r="BS637" s="34"/>
      <c r="BT637" s="34"/>
      <c r="BU637" s="34"/>
      <c r="BV637" s="34"/>
      <c r="BW637" s="34"/>
      <c r="BX637" s="34"/>
      <c r="BY637" s="34"/>
    </row>
    <row r="638" spans="1:77" x14ac:dyDescent="0.3">
      <c r="A638" s="39"/>
      <c r="B638" s="42"/>
      <c r="C638" s="42"/>
      <c r="D638" s="75"/>
      <c r="E638" s="75"/>
      <c r="F638" s="76"/>
      <c r="G638" s="47"/>
      <c r="H638" s="47"/>
      <c r="I638" s="75"/>
      <c r="J638" s="76"/>
      <c r="K638" s="76"/>
      <c r="L638" s="75"/>
      <c r="M638" s="49"/>
      <c r="N638" s="76"/>
      <c r="O638" s="49"/>
      <c r="P638" s="77"/>
      <c r="Q638" s="53"/>
      <c r="R638" s="54"/>
      <c r="S638" s="55"/>
      <c r="T638" s="56"/>
      <c r="U638" s="56"/>
      <c r="V638" s="42"/>
      <c r="W638" s="57"/>
      <c r="X638" s="58"/>
      <c r="Y638" s="75"/>
      <c r="Z638" s="59"/>
      <c r="AA638" s="61"/>
      <c r="AB638" s="61"/>
      <c r="AC638" s="61"/>
      <c r="AD638" s="62"/>
      <c r="AE638" s="62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  <c r="AQ638" s="34"/>
      <c r="AR638" s="34"/>
      <c r="AS638" s="34"/>
      <c r="AT638" s="34"/>
      <c r="AU638" s="34"/>
      <c r="AV638" s="34"/>
      <c r="AW638" s="34"/>
      <c r="AX638" s="34"/>
      <c r="AY638" s="34"/>
      <c r="AZ638" s="34"/>
      <c r="BA638" s="34"/>
      <c r="BB638" s="34"/>
      <c r="BD638" s="34"/>
      <c r="BE638" s="34"/>
      <c r="BF638" s="34"/>
      <c r="BG638" s="34"/>
      <c r="BH638" s="34"/>
      <c r="BI638" s="34"/>
      <c r="BJ638" s="34"/>
      <c r="BK638" s="34"/>
      <c r="BL638" s="34"/>
      <c r="BM638" s="34"/>
      <c r="BN638" s="34"/>
      <c r="BO638" s="34"/>
      <c r="BP638" s="34"/>
      <c r="BQ638" s="34"/>
      <c r="BR638" s="34"/>
      <c r="BS638" s="34"/>
      <c r="BT638" s="34"/>
      <c r="BU638" s="34"/>
      <c r="BV638" s="34"/>
      <c r="BW638" s="34"/>
      <c r="BX638" s="34"/>
      <c r="BY638" s="34"/>
    </row>
    <row r="639" spans="1:77" x14ac:dyDescent="0.3">
      <c r="A639" s="39"/>
      <c r="B639" s="42"/>
      <c r="C639" s="42"/>
      <c r="D639" s="75"/>
      <c r="E639" s="75"/>
      <c r="F639" s="76"/>
      <c r="G639" s="47"/>
      <c r="H639" s="47"/>
      <c r="I639" s="75"/>
      <c r="J639" s="76"/>
      <c r="K639" s="76"/>
      <c r="L639" s="75"/>
      <c r="M639" s="49"/>
      <c r="N639" s="76"/>
      <c r="O639" s="49"/>
      <c r="P639" s="77"/>
      <c r="Q639" s="53"/>
      <c r="R639" s="54"/>
      <c r="S639" s="55"/>
      <c r="T639" s="56"/>
      <c r="U639" s="56"/>
      <c r="V639" s="42"/>
      <c r="W639" s="57"/>
      <c r="X639" s="58"/>
      <c r="Y639" s="75"/>
      <c r="Z639" s="59"/>
      <c r="AA639" s="61"/>
      <c r="AB639" s="61"/>
      <c r="AC639" s="61"/>
      <c r="AD639" s="62"/>
      <c r="AE639" s="62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  <c r="AQ639" s="34"/>
      <c r="AR639" s="34"/>
      <c r="AS639" s="34"/>
      <c r="AT639" s="34"/>
      <c r="AU639" s="34"/>
      <c r="AV639" s="34"/>
      <c r="AW639" s="34"/>
      <c r="AX639" s="34"/>
      <c r="AY639" s="34"/>
      <c r="AZ639" s="34"/>
      <c r="BA639" s="34"/>
      <c r="BB639" s="34"/>
      <c r="BD639" s="34"/>
      <c r="BE639" s="34"/>
      <c r="BF639" s="34"/>
      <c r="BG639" s="34"/>
      <c r="BH639" s="34"/>
      <c r="BI639" s="34"/>
      <c r="BJ639" s="34"/>
      <c r="BK639" s="34"/>
      <c r="BL639" s="34"/>
      <c r="BM639" s="34"/>
      <c r="BN639" s="34"/>
      <c r="BO639" s="34"/>
      <c r="BP639" s="34"/>
      <c r="BQ639" s="34"/>
      <c r="BR639" s="34"/>
      <c r="BS639" s="34"/>
      <c r="BT639" s="34"/>
      <c r="BU639" s="34"/>
      <c r="BV639" s="34"/>
      <c r="BW639" s="34"/>
      <c r="BX639" s="34"/>
      <c r="BY639" s="34"/>
    </row>
    <row r="640" spans="1:77" x14ac:dyDescent="0.3">
      <c r="A640" s="39"/>
      <c r="B640" s="42"/>
      <c r="C640" s="42"/>
      <c r="D640" s="75"/>
      <c r="E640" s="75"/>
      <c r="F640" s="76"/>
      <c r="G640" s="47"/>
      <c r="H640" s="47"/>
      <c r="I640" s="75"/>
      <c r="J640" s="76"/>
      <c r="K640" s="76"/>
      <c r="L640" s="75"/>
      <c r="M640" s="49"/>
      <c r="N640" s="76"/>
      <c r="O640" s="49"/>
      <c r="P640" s="77"/>
      <c r="Q640" s="53"/>
      <c r="R640" s="54"/>
      <c r="S640" s="55"/>
      <c r="T640" s="56"/>
      <c r="U640" s="56"/>
      <c r="V640" s="42"/>
      <c r="W640" s="57"/>
      <c r="X640" s="58"/>
      <c r="Y640" s="75"/>
      <c r="Z640" s="59"/>
      <c r="AA640" s="61"/>
      <c r="AB640" s="61"/>
      <c r="AC640" s="61"/>
      <c r="AD640" s="62"/>
      <c r="AE640" s="62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  <c r="AQ640" s="34"/>
      <c r="AR640" s="34"/>
      <c r="AS640" s="34"/>
      <c r="AT640" s="34"/>
      <c r="AU640" s="34"/>
      <c r="AV640" s="34"/>
      <c r="AW640" s="34"/>
      <c r="AX640" s="34"/>
      <c r="AY640" s="34"/>
      <c r="AZ640" s="34"/>
      <c r="BA640" s="34"/>
      <c r="BB640" s="34"/>
      <c r="BD640" s="34"/>
      <c r="BE640" s="34"/>
      <c r="BF640" s="34"/>
      <c r="BG640" s="34"/>
      <c r="BH640" s="34"/>
      <c r="BI640" s="34"/>
      <c r="BJ640" s="34"/>
      <c r="BK640" s="34"/>
      <c r="BL640" s="34"/>
      <c r="BM640" s="34"/>
      <c r="BN640" s="34"/>
      <c r="BO640" s="34"/>
      <c r="BP640" s="34"/>
      <c r="BQ640" s="34"/>
      <c r="BR640" s="34"/>
      <c r="BS640" s="34"/>
      <c r="BT640" s="34"/>
      <c r="BU640" s="34"/>
      <c r="BV640" s="34"/>
      <c r="BW640" s="34"/>
      <c r="BX640" s="34"/>
      <c r="BY640" s="34"/>
    </row>
    <row r="641" spans="1:77" x14ac:dyDescent="0.3">
      <c r="A641" s="39"/>
      <c r="B641" s="42"/>
      <c r="C641" s="42"/>
      <c r="D641" s="75"/>
      <c r="E641" s="75"/>
      <c r="F641" s="76"/>
      <c r="G641" s="47"/>
      <c r="H641" s="47"/>
      <c r="I641" s="75"/>
      <c r="J641" s="76"/>
      <c r="K641" s="76"/>
      <c r="L641" s="75"/>
      <c r="M641" s="49"/>
      <c r="N641" s="76"/>
      <c r="O641" s="49"/>
      <c r="P641" s="77"/>
      <c r="Q641" s="53"/>
      <c r="R641" s="54"/>
      <c r="S641" s="55"/>
      <c r="T641" s="56"/>
      <c r="U641" s="56"/>
      <c r="V641" s="42"/>
      <c r="W641" s="57"/>
      <c r="X641" s="58"/>
      <c r="Y641" s="75"/>
      <c r="Z641" s="59"/>
      <c r="AA641" s="61"/>
      <c r="AB641" s="61"/>
      <c r="AC641" s="61"/>
      <c r="AD641" s="62"/>
      <c r="AE641" s="62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  <c r="AQ641" s="34"/>
      <c r="AR641" s="34"/>
      <c r="AS641" s="34"/>
      <c r="AT641" s="34"/>
      <c r="AU641" s="34"/>
      <c r="AV641" s="34"/>
      <c r="AW641" s="34"/>
      <c r="AX641" s="34"/>
      <c r="AY641" s="34"/>
      <c r="AZ641" s="34"/>
      <c r="BA641" s="34"/>
      <c r="BB641" s="34"/>
      <c r="BD641" s="34"/>
      <c r="BE641" s="34"/>
      <c r="BF641" s="34"/>
      <c r="BG641" s="34"/>
      <c r="BH641" s="34"/>
      <c r="BI641" s="34"/>
      <c r="BJ641" s="34"/>
      <c r="BK641" s="34"/>
      <c r="BL641" s="34"/>
      <c r="BM641" s="34"/>
      <c r="BN641" s="34"/>
      <c r="BO641" s="34"/>
      <c r="BP641" s="34"/>
      <c r="BQ641" s="34"/>
      <c r="BR641" s="34"/>
      <c r="BS641" s="34"/>
      <c r="BT641" s="34"/>
      <c r="BU641" s="34"/>
      <c r="BV641" s="34"/>
      <c r="BW641" s="34"/>
      <c r="BX641" s="34"/>
      <c r="BY641" s="34"/>
    </row>
    <row r="642" spans="1:77" x14ac:dyDescent="0.3">
      <c r="A642" s="39"/>
      <c r="B642" s="42"/>
      <c r="C642" s="42"/>
      <c r="D642" s="75"/>
      <c r="E642" s="75"/>
      <c r="F642" s="76"/>
      <c r="G642" s="47"/>
      <c r="H642" s="47"/>
      <c r="I642" s="75"/>
      <c r="J642" s="76"/>
      <c r="K642" s="76"/>
      <c r="L642" s="75"/>
      <c r="M642" s="49"/>
      <c r="N642" s="76"/>
      <c r="O642" s="49"/>
      <c r="P642" s="77"/>
      <c r="Q642" s="53"/>
      <c r="R642" s="54"/>
      <c r="S642" s="55"/>
      <c r="T642" s="56"/>
      <c r="U642" s="56"/>
      <c r="V642" s="42"/>
      <c r="W642" s="57"/>
      <c r="X642" s="58"/>
      <c r="Y642" s="75"/>
      <c r="Z642" s="59"/>
      <c r="AA642" s="61"/>
      <c r="AB642" s="61"/>
      <c r="AC642" s="61"/>
      <c r="AD642" s="62"/>
      <c r="AE642" s="62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  <c r="AQ642" s="34"/>
      <c r="AR642" s="34"/>
      <c r="AS642" s="34"/>
      <c r="AT642" s="34"/>
      <c r="AU642" s="34"/>
      <c r="AV642" s="34"/>
      <c r="AW642" s="34"/>
      <c r="AX642" s="34"/>
      <c r="AY642" s="34"/>
      <c r="AZ642" s="34"/>
      <c r="BA642" s="34"/>
      <c r="BB642" s="34"/>
      <c r="BD642" s="34"/>
      <c r="BE642" s="34"/>
      <c r="BF642" s="34"/>
      <c r="BG642" s="34"/>
      <c r="BH642" s="34"/>
      <c r="BI642" s="34"/>
      <c r="BJ642" s="34"/>
      <c r="BK642" s="34"/>
      <c r="BL642" s="34"/>
      <c r="BM642" s="34"/>
      <c r="BN642" s="34"/>
      <c r="BO642" s="34"/>
      <c r="BP642" s="34"/>
      <c r="BQ642" s="34"/>
      <c r="BR642" s="34"/>
      <c r="BS642" s="34"/>
      <c r="BT642" s="34"/>
      <c r="BU642" s="34"/>
      <c r="BV642" s="34"/>
      <c r="BW642" s="34"/>
      <c r="BX642" s="34"/>
      <c r="BY642" s="34"/>
    </row>
    <row r="643" spans="1:77" x14ac:dyDescent="0.3">
      <c r="A643" s="39"/>
      <c r="B643" s="42"/>
      <c r="C643" s="42"/>
      <c r="D643" s="75"/>
      <c r="E643" s="75"/>
      <c r="F643" s="76"/>
      <c r="G643" s="47"/>
      <c r="H643" s="47"/>
      <c r="I643" s="75"/>
      <c r="J643" s="76"/>
      <c r="K643" s="76"/>
      <c r="L643" s="75"/>
      <c r="M643" s="49"/>
      <c r="N643" s="76"/>
      <c r="O643" s="49"/>
      <c r="P643" s="77"/>
      <c r="Q643" s="53"/>
      <c r="R643" s="54"/>
      <c r="S643" s="55"/>
      <c r="T643" s="56"/>
      <c r="U643" s="56"/>
      <c r="V643" s="42"/>
      <c r="W643" s="57"/>
      <c r="X643" s="58"/>
      <c r="Y643" s="75"/>
      <c r="Z643" s="59"/>
      <c r="AA643" s="61"/>
      <c r="AB643" s="61"/>
      <c r="AC643" s="61"/>
      <c r="AD643" s="62"/>
      <c r="AE643" s="62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  <c r="AQ643" s="34"/>
      <c r="AR643" s="34"/>
      <c r="AS643" s="34"/>
      <c r="AT643" s="34"/>
      <c r="AU643" s="34"/>
      <c r="AV643" s="34"/>
      <c r="AW643" s="34"/>
      <c r="AX643" s="34"/>
      <c r="AY643" s="34"/>
      <c r="AZ643" s="34"/>
      <c r="BA643" s="34"/>
      <c r="BB643" s="34"/>
      <c r="BD643" s="34"/>
      <c r="BE643" s="34"/>
      <c r="BF643" s="34"/>
      <c r="BG643" s="34"/>
      <c r="BH643" s="34"/>
      <c r="BI643" s="34"/>
      <c r="BJ643" s="34"/>
      <c r="BK643" s="34"/>
      <c r="BL643" s="34"/>
      <c r="BM643" s="34"/>
      <c r="BN643" s="34"/>
      <c r="BO643" s="34"/>
      <c r="BP643" s="34"/>
      <c r="BQ643" s="34"/>
      <c r="BR643" s="34"/>
      <c r="BS643" s="34"/>
      <c r="BT643" s="34"/>
      <c r="BU643" s="34"/>
      <c r="BV643" s="34"/>
      <c r="BW643" s="34"/>
      <c r="BX643" s="34"/>
      <c r="BY643" s="34"/>
    </row>
    <row r="644" spans="1:77" x14ac:dyDescent="0.3">
      <c r="A644" s="39"/>
      <c r="B644" s="42"/>
      <c r="C644" s="42"/>
      <c r="D644" s="75"/>
      <c r="E644" s="75"/>
      <c r="F644" s="76"/>
      <c r="G644" s="47"/>
      <c r="H644" s="47"/>
      <c r="I644" s="75"/>
      <c r="J644" s="76"/>
      <c r="K644" s="76"/>
      <c r="L644" s="75"/>
      <c r="M644" s="49"/>
      <c r="N644" s="76"/>
      <c r="O644" s="49"/>
      <c r="P644" s="77"/>
      <c r="Q644" s="53"/>
      <c r="R644" s="54"/>
      <c r="S644" s="55"/>
      <c r="T644" s="56"/>
      <c r="U644" s="56"/>
      <c r="V644" s="42"/>
      <c r="W644" s="57"/>
      <c r="X644" s="58"/>
      <c r="Y644" s="75"/>
      <c r="Z644" s="59"/>
      <c r="AA644" s="61"/>
      <c r="AB644" s="61"/>
      <c r="AC644" s="61"/>
      <c r="AD644" s="62"/>
      <c r="AE644" s="62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  <c r="AQ644" s="34"/>
      <c r="AR644" s="34"/>
      <c r="AS644" s="34"/>
      <c r="AT644" s="34"/>
      <c r="AU644" s="34"/>
      <c r="AV644" s="34"/>
      <c r="AW644" s="34"/>
      <c r="AX644" s="34"/>
      <c r="AY644" s="34"/>
      <c r="AZ644" s="34"/>
      <c r="BA644" s="34"/>
      <c r="BB644" s="34"/>
      <c r="BD644" s="34"/>
      <c r="BE644" s="34"/>
      <c r="BF644" s="34"/>
      <c r="BG644" s="34"/>
      <c r="BH644" s="34"/>
      <c r="BI644" s="34"/>
      <c r="BJ644" s="34"/>
      <c r="BK644" s="34"/>
      <c r="BL644" s="34"/>
      <c r="BM644" s="34"/>
      <c r="BN644" s="34"/>
      <c r="BO644" s="34"/>
      <c r="BP644" s="34"/>
      <c r="BQ644" s="34"/>
      <c r="BR644" s="34"/>
      <c r="BS644" s="34"/>
      <c r="BT644" s="34"/>
      <c r="BU644" s="34"/>
      <c r="BV644" s="34"/>
      <c r="BW644" s="34"/>
      <c r="BX644" s="34"/>
      <c r="BY644" s="34"/>
    </row>
    <row r="645" spans="1:77" x14ac:dyDescent="0.3">
      <c r="A645" s="39"/>
      <c r="B645" s="42"/>
      <c r="C645" s="42"/>
      <c r="D645" s="75"/>
      <c r="E645" s="75"/>
      <c r="F645" s="76"/>
      <c r="G645" s="47"/>
      <c r="H645" s="47"/>
      <c r="I645" s="75"/>
      <c r="J645" s="76"/>
      <c r="K645" s="76"/>
      <c r="L645" s="75"/>
      <c r="M645" s="49"/>
      <c r="N645" s="76"/>
      <c r="O645" s="49"/>
      <c r="P645" s="77"/>
      <c r="Q645" s="53"/>
      <c r="R645" s="54"/>
      <c r="S645" s="55"/>
      <c r="T645" s="56"/>
      <c r="U645" s="56"/>
      <c r="V645" s="42"/>
      <c r="W645" s="57"/>
      <c r="X645" s="58"/>
      <c r="Y645" s="75"/>
      <c r="Z645" s="59"/>
      <c r="AA645" s="61"/>
      <c r="AB645" s="61"/>
      <c r="AC645" s="61"/>
      <c r="AD645" s="62"/>
      <c r="AE645" s="62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  <c r="AQ645" s="34"/>
      <c r="AR645" s="34"/>
      <c r="AS645" s="34"/>
      <c r="AT645" s="34"/>
      <c r="AU645" s="34"/>
      <c r="AV645" s="34"/>
      <c r="AW645" s="34"/>
      <c r="AX645" s="34"/>
      <c r="AY645" s="34"/>
      <c r="AZ645" s="34"/>
      <c r="BA645" s="34"/>
      <c r="BB645" s="34"/>
      <c r="BD645" s="34"/>
      <c r="BE645" s="34"/>
      <c r="BF645" s="34"/>
      <c r="BG645" s="34"/>
      <c r="BH645" s="34"/>
      <c r="BI645" s="34"/>
      <c r="BJ645" s="34"/>
      <c r="BK645" s="34"/>
      <c r="BL645" s="34"/>
      <c r="BM645" s="34"/>
      <c r="BN645" s="34"/>
      <c r="BO645" s="34"/>
      <c r="BP645" s="34"/>
      <c r="BQ645" s="34"/>
      <c r="BR645" s="34"/>
      <c r="BS645" s="34"/>
      <c r="BT645" s="34"/>
      <c r="BU645" s="34"/>
      <c r="BV645" s="34"/>
      <c r="BW645" s="34"/>
      <c r="BX645" s="34"/>
      <c r="BY645" s="34"/>
    </row>
    <row r="646" spans="1:77" x14ac:dyDescent="0.3">
      <c r="A646" s="39"/>
      <c r="B646" s="42"/>
      <c r="C646" s="42"/>
      <c r="D646" s="75"/>
      <c r="E646" s="75"/>
      <c r="F646" s="76"/>
      <c r="G646" s="47"/>
      <c r="H646" s="47"/>
      <c r="I646" s="75"/>
      <c r="J646" s="76"/>
      <c r="K646" s="76"/>
      <c r="L646" s="75"/>
      <c r="M646" s="49"/>
      <c r="N646" s="76"/>
      <c r="O646" s="49"/>
      <c r="P646" s="77"/>
      <c r="Q646" s="53"/>
      <c r="R646" s="54"/>
      <c r="S646" s="55"/>
      <c r="T646" s="56"/>
      <c r="U646" s="56"/>
      <c r="V646" s="42"/>
      <c r="W646" s="57"/>
      <c r="X646" s="58"/>
      <c r="Y646" s="75"/>
      <c r="Z646" s="59"/>
      <c r="AA646" s="61"/>
      <c r="AB646" s="61"/>
      <c r="AC646" s="61"/>
      <c r="AD646" s="62"/>
      <c r="AE646" s="62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  <c r="AQ646" s="34"/>
      <c r="AR646" s="34"/>
      <c r="AS646" s="34"/>
      <c r="AT646" s="34"/>
      <c r="AU646" s="34"/>
      <c r="AV646" s="34"/>
      <c r="AW646" s="34"/>
      <c r="AX646" s="34"/>
      <c r="AY646" s="34"/>
      <c r="AZ646" s="34"/>
      <c r="BA646" s="34"/>
      <c r="BB646" s="34"/>
      <c r="BD646" s="34"/>
      <c r="BE646" s="34"/>
      <c r="BF646" s="34"/>
      <c r="BG646" s="34"/>
      <c r="BH646" s="34"/>
      <c r="BI646" s="34"/>
      <c r="BJ646" s="34"/>
      <c r="BK646" s="34"/>
      <c r="BL646" s="34"/>
      <c r="BM646" s="34"/>
      <c r="BN646" s="34"/>
      <c r="BO646" s="34"/>
      <c r="BP646" s="34"/>
      <c r="BQ646" s="34"/>
      <c r="BR646" s="34"/>
      <c r="BS646" s="34"/>
      <c r="BT646" s="34"/>
      <c r="BU646" s="34"/>
      <c r="BV646" s="34"/>
      <c r="BW646" s="34"/>
      <c r="BX646" s="34"/>
      <c r="BY646" s="34"/>
    </row>
    <row r="647" spans="1:77" x14ac:dyDescent="0.3">
      <c r="A647" s="39"/>
      <c r="B647" s="42"/>
      <c r="C647" s="42"/>
      <c r="D647" s="75"/>
      <c r="E647" s="75"/>
      <c r="F647" s="76"/>
      <c r="G647" s="47"/>
      <c r="H647" s="47"/>
      <c r="I647" s="75"/>
      <c r="J647" s="76"/>
      <c r="K647" s="76"/>
      <c r="L647" s="75"/>
      <c r="M647" s="49"/>
      <c r="N647" s="76"/>
      <c r="O647" s="49"/>
      <c r="P647" s="77"/>
      <c r="Q647" s="53"/>
      <c r="R647" s="54"/>
      <c r="S647" s="55"/>
      <c r="T647" s="56"/>
      <c r="U647" s="56"/>
      <c r="V647" s="42"/>
      <c r="W647" s="57"/>
      <c r="X647" s="58"/>
      <c r="Y647" s="75"/>
      <c r="Z647" s="59"/>
      <c r="AA647" s="61"/>
      <c r="AB647" s="61"/>
      <c r="AC647" s="61"/>
      <c r="AD647" s="62"/>
      <c r="AE647" s="62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  <c r="AQ647" s="34"/>
      <c r="AR647" s="34"/>
      <c r="AS647" s="34"/>
      <c r="AT647" s="34"/>
      <c r="AU647" s="34"/>
      <c r="AV647" s="34"/>
      <c r="AW647" s="34"/>
      <c r="AX647" s="34"/>
      <c r="AY647" s="34"/>
      <c r="AZ647" s="34"/>
      <c r="BA647" s="34"/>
      <c r="BB647" s="34"/>
      <c r="BD647" s="34"/>
      <c r="BE647" s="34"/>
      <c r="BF647" s="34"/>
      <c r="BG647" s="34"/>
      <c r="BH647" s="34"/>
      <c r="BI647" s="34"/>
      <c r="BJ647" s="34"/>
      <c r="BK647" s="34"/>
      <c r="BL647" s="34"/>
      <c r="BM647" s="34"/>
      <c r="BN647" s="34"/>
      <c r="BO647" s="34"/>
      <c r="BP647" s="34"/>
      <c r="BQ647" s="34"/>
      <c r="BR647" s="34"/>
      <c r="BS647" s="34"/>
      <c r="BT647" s="34"/>
      <c r="BU647" s="34"/>
      <c r="BV647" s="34"/>
      <c r="BW647" s="34"/>
      <c r="BX647" s="34"/>
      <c r="BY647" s="34"/>
    </row>
    <row r="648" spans="1:77" x14ac:dyDescent="0.3">
      <c r="A648" s="39"/>
      <c r="B648" s="42"/>
      <c r="C648" s="42"/>
      <c r="D648" s="75"/>
      <c r="E648" s="75"/>
      <c r="F648" s="76"/>
      <c r="G648" s="47"/>
      <c r="H648" s="47"/>
      <c r="I648" s="75"/>
      <c r="J648" s="76"/>
      <c r="K648" s="76"/>
      <c r="L648" s="75"/>
      <c r="M648" s="49"/>
      <c r="N648" s="76"/>
      <c r="O648" s="49"/>
      <c r="P648" s="77"/>
      <c r="Q648" s="53"/>
      <c r="R648" s="54"/>
      <c r="S648" s="55"/>
      <c r="T648" s="56"/>
      <c r="U648" s="56"/>
      <c r="V648" s="42"/>
      <c r="W648" s="57"/>
      <c r="X648" s="58"/>
      <c r="Y648" s="75"/>
      <c r="Z648" s="59"/>
      <c r="AA648" s="61"/>
      <c r="AB648" s="61"/>
      <c r="AC648" s="61"/>
      <c r="AD648" s="62"/>
      <c r="AE648" s="62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  <c r="AQ648" s="34"/>
      <c r="AR648" s="34"/>
      <c r="AS648" s="34"/>
      <c r="AT648" s="34"/>
      <c r="AU648" s="34"/>
      <c r="AV648" s="34"/>
      <c r="AW648" s="34"/>
      <c r="AX648" s="34"/>
      <c r="AY648" s="34"/>
      <c r="AZ648" s="34"/>
      <c r="BA648" s="34"/>
      <c r="BB648" s="34"/>
      <c r="BD648" s="34"/>
      <c r="BE648" s="34"/>
      <c r="BF648" s="34"/>
      <c r="BG648" s="34"/>
      <c r="BH648" s="34"/>
      <c r="BI648" s="34"/>
      <c r="BJ648" s="34"/>
      <c r="BK648" s="34"/>
      <c r="BL648" s="34"/>
      <c r="BM648" s="34"/>
      <c r="BN648" s="34"/>
      <c r="BO648" s="34"/>
      <c r="BP648" s="34"/>
      <c r="BQ648" s="34"/>
      <c r="BR648" s="34"/>
      <c r="BS648" s="34"/>
      <c r="BT648" s="34"/>
      <c r="BU648" s="34"/>
      <c r="BV648" s="34"/>
      <c r="BW648" s="34"/>
      <c r="BX648" s="34"/>
      <c r="BY648" s="34"/>
    </row>
    <row r="649" spans="1:77" x14ac:dyDescent="0.3">
      <c r="A649" s="39"/>
      <c r="B649" s="42"/>
      <c r="C649" s="42"/>
      <c r="D649" s="75"/>
      <c r="E649" s="75"/>
      <c r="F649" s="76"/>
      <c r="G649" s="47"/>
      <c r="H649" s="47"/>
      <c r="I649" s="75"/>
      <c r="J649" s="76"/>
      <c r="K649" s="76"/>
      <c r="L649" s="75"/>
      <c r="M649" s="49"/>
      <c r="N649" s="76"/>
      <c r="O649" s="49"/>
      <c r="P649" s="77"/>
      <c r="Q649" s="53"/>
      <c r="R649" s="54"/>
      <c r="S649" s="55"/>
      <c r="T649" s="56"/>
      <c r="U649" s="56"/>
      <c r="V649" s="42"/>
      <c r="W649" s="57"/>
      <c r="X649" s="58"/>
      <c r="Y649" s="75"/>
      <c r="Z649" s="59"/>
      <c r="AA649" s="61"/>
      <c r="AB649" s="61"/>
      <c r="AC649" s="61"/>
      <c r="AD649" s="62"/>
      <c r="AE649" s="62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  <c r="AQ649" s="34"/>
      <c r="AR649" s="34"/>
      <c r="AS649" s="34"/>
      <c r="AT649" s="34"/>
      <c r="AU649" s="34"/>
      <c r="AV649" s="34"/>
      <c r="AW649" s="34"/>
      <c r="AX649" s="34"/>
      <c r="AY649" s="34"/>
      <c r="AZ649" s="34"/>
      <c r="BA649" s="34"/>
      <c r="BB649" s="34"/>
      <c r="BD649" s="34"/>
      <c r="BE649" s="34"/>
      <c r="BF649" s="34"/>
      <c r="BG649" s="34"/>
      <c r="BH649" s="34"/>
      <c r="BI649" s="34"/>
      <c r="BJ649" s="34"/>
      <c r="BK649" s="34"/>
      <c r="BL649" s="34"/>
      <c r="BM649" s="34"/>
      <c r="BN649" s="34"/>
      <c r="BO649" s="34"/>
      <c r="BP649" s="34"/>
      <c r="BQ649" s="34"/>
      <c r="BR649" s="34"/>
      <c r="BS649" s="34"/>
      <c r="BT649" s="34"/>
      <c r="BU649" s="34"/>
      <c r="BV649" s="34"/>
      <c r="BW649" s="34"/>
      <c r="BX649" s="34"/>
      <c r="BY649" s="34"/>
    </row>
    <row r="650" spans="1:77" x14ac:dyDescent="0.3">
      <c r="A650" s="39"/>
      <c r="B650" s="42"/>
      <c r="C650" s="42"/>
      <c r="D650" s="75"/>
      <c r="E650" s="75"/>
      <c r="F650" s="76"/>
      <c r="G650" s="47"/>
      <c r="H650" s="47"/>
      <c r="I650" s="75"/>
      <c r="J650" s="76"/>
      <c r="K650" s="76"/>
      <c r="L650" s="75"/>
      <c r="M650" s="49"/>
      <c r="N650" s="76"/>
      <c r="O650" s="49"/>
      <c r="P650" s="77"/>
      <c r="Q650" s="53"/>
      <c r="R650" s="54"/>
      <c r="S650" s="55"/>
      <c r="T650" s="56"/>
      <c r="U650" s="56"/>
      <c r="V650" s="42"/>
      <c r="W650" s="57"/>
      <c r="X650" s="58"/>
      <c r="Y650" s="75"/>
      <c r="Z650" s="59"/>
      <c r="AA650" s="61"/>
      <c r="AB650" s="61"/>
      <c r="AC650" s="61"/>
      <c r="AD650" s="62"/>
      <c r="AE650" s="62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  <c r="AQ650" s="34"/>
      <c r="AR650" s="34"/>
      <c r="AS650" s="34"/>
      <c r="AT650" s="34"/>
      <c r="AU650" s="34"/>
      <c r="AV650" s="34"/>
      <c r="AW650" s="34"/>
      <c r="AX650" s="34"/>
      <c r="AY650" s="34"/>
      <c r="AZ650" s="34"/>
      <c r="BA650" s="34"/>
      <c r="BB650" s="34"/>
      <c r="BD650" s="34"/>
      <c r="BE650" s="34"/>
      <c r="BF650" s="34"/>
      <c r="BG650" s="34"/>
      <c r="BH650" s="34"/>
      <c r="BI650" s="34"/>
      <c r="BJ650" s="34"/>
      <c r="BK650" s="34"/>
      <c r="BL650" s="34"/>
      <c r="BM650" s="34"/>
      <c r="BN650" s="34"/>
      <c r="BO650" s="34"/>
      <c r="BP650" s="34"/>
      <c r="BQ650" s="34"/>
      <c r="BR650" s="34"/>
      <c r="BS650" s="34"/>
      <c r="BT650" s="34"/>
      <c r="BU650" s="34"/>
      <c r="BV650" s="34"/>
      <c r="BW650" s="34"/>
      <c r="BX650" s="34"/>
      <c r="BY650" s="34"/>
    </row>
    <row r="651" spans="1:77" x14ac:dyDescent="0.3">
      <c r="A651" s="39"/>
      <c r="B651" s="42"/>
      <c r="C651" s="42"/>
      <c r="D651" s="75"/>
      <c r="E651" s="75"/>
      <c r="F651" s="76"/>
      <c r="G651" s="47"/>
      <c r="H651" s="47"/>
      <c r="I651" s="75"/>
      <c r="J651" s="76"/>
      <c r="K651" s="76"/>
      <c r="L651" s="75"/>
      <c r="M651" s="49"/>
      <c r="N651" s="76"/>
      <c r="O651" s="49"/>
      <c r="P651" s="77"/>
      <c r="Q651" s="53"/>
      <c r="R651" s="54"/>
      <c r="S651" s="55"/>
      <c r="T651" s="56"/>
      <c r="U651" s="56"/>
      <c r="V651" s="42"/>
      <c r="W651" s="57"/>
      <c r="X651" s="58"/>
      <c r="Y651" s="75"/>
      <c r="Z651" s="59"/>
      <c r="AA651" s="61"/>
      <c r="AB651" s="61"/>
      <c r="AC651" s="61"/>
      <c r="AD651" s="62"/>
      <c r="AE651" s="62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  <c r="AQ651" s="34"/>
      <c r="AR651" s="34"/>
      <c r="AS651" s="34"/>
      <c r="AT651" s="34"/>
      <c r="AU651" s="34"/>
      <c r="AV651" s="34"/>
      <c r="AW651" s="34"/>
      <c r="AX651" s="34"/>
      <c r="AY651" s="34"/>
      <c r="AZ651" s="34"/>
      <c r="BA651" s="34"/>
      <c r="BB651" s="34"/>
      <c r="BD651" s="34"/>
      <c r="BE651" s="34"/>
      <c r="BF651" s="34"/>
      <c r="BG651" s="34"/>
      <c r="BH651" s="34"/>
      <c r="BI651" s="34"/>
      <c r="BJ651" s="34"/>
      <c r="BK651" s="34"/>
      <c r="BL651" s="34"/>
      <c r="BM651" s="34"/>
      <c r="BN651" s="34"/>
      <c r="BO651" s="34"/>
      <c r="BP651" s="34"/>
      <c r="BQ651" s="34"/>
      <c r="BR651" s="34"/>
      <c r="BS651" s="34"/>
      <c r="BT651" s="34"/>
      <c r="BU651" s="34"/>
      <c r="BV651" s="34"/>
      <c r="BW651" s="34"/>
      <c r="BX651" s="34"/>
      <c r="BY651" s="34"/>
    </row>
    <row r="652" spans="1:77" x14ac:dyDescent="0.3">
      <c r="A652" s="39"/>
      <c r="B652" s="42"/>
      <c r="C652" s="42"/>
      <c r="D652" s="75"/>
      <c r="E652" s="75"/>
      <c r="F652" s="76"/>
      <c r="G652" s="47"/>
      <c r="H652" s="47"/>
      <c r="I652" s="75"/>
      <c r="J652" s="76"/>
      <c r="K652" s="76"/>
      <c r="L652" s="75"/>
      <c r="M652" s="49"/>
      <c r="N652" s="76"/>
      <c r="O652" s="49"/>
      <c r="P652" s="77"/>
      <c r="Q652" s="53"/>
      <c r="R652" s="54"/>
      <c r="S652" s="55"/>
      <c r="T652" s="56"/>
      <c r="U652" s="56"/>
      <c r="V652" s="42"/>
      <c r="W652" s="57"/>
      <c r="X652" s="58"/>
      <c r="Y652" s="75"/>
      <c r="Z652" s="59"/>
      <c r="AA652" s="61"/>
      <c r="AB652" s="61"/>
      <c r="AC652" s="61"/>
      <c r="AD652" s="62"/>
      <c r="AE652" s="62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  <c r="AQ652" s="34"/>
      <c r="AR652" s="34"/>
      <c r="AS652" s="34"/>
      <c r="AT652" s="34"/>
      <c r="AU652" s="34"/>
      <c r="AV652" s="34"/>
      <c r="AW652" s="34"/>
      <c r="AX652" s="34"/>
      <c r="AY652" s="34"/>
      <c r="AZ652" s="34"/>
      <c r="BA652" s="34"/>
      <c r="BB652" s="34"/>
      <c r="BD652" s="34"/>
      <c r="BE652" s="34"/>
      <c r="BF652" s="34"/>
      <c r="BG652" s="34"/>
      <c r="BH652" s="34"/>
      <c r="BI652" s="34"/>
      <c r="BJ652" s="34"/>
      <c r="BK652" s="34"/>
      <c r="BL652" s="34"/>
      <c r="BM652" s="34"/>
      <c r="BN652" s="34"/>
      <c r="BO652" s="34"/>
      <c r="BP652" s="34"/>
      <c r="BQ652" s="34"/>
      <c r="BR652" s="34"/>
      <c r="BS652" s="34"/>
      <c r="BT652" s="34"/>
      <c r="BU652" s="34"/>
      <c r="BV652" s="34"/>
      <c r="BW652" s="34"/>
      <c r="BX652" s="34"/>
      <c r="BY652" s="34"/>
    </row>
    <row r="653" spans="1:77" x14ac:dyDescent="0.3">
      <c r="A653" s="39"/>
      <c r="B653" s="42"/>
      <c r="C653" s="42"/>
      <c r="D653" s="75"/>
      <c r="E653" s="75"/>
      <c r="F653" s="76"/>
      <c r="G653" s="47"/>
      <c r="H653" s="47"/>
      <c r="I653" s="75"/>
      <c r="J653" s="76"/>
      <c r="K653" s="76"/>
      <c r="L653" s="75"/>
      <c r="M653" s="49"/>
      <c r="N653" s="76"/>
      <c r="O653" s="49"/>
      <c r="P653" s="77"/>
      <c r="Q653" s="53"/>
      <c r="R653" s="54"/>
      <c r="S653" s="55"/>
      <c r="T653" s="56"/>
      <c r="U653" s="56"/>
      <c r="V653" s="42"/>
      <c r="W653" s="57"/>
      <c r="X653" s="58"/>
      <c r="Y653" s="75"/>
      <c r="Z653" s="59"/>
      <c r="AA653" s="61"/>
      <c r="AB653" s="61"/>
      <c r="AC653" s="61"/>
      <c r="AD653" s="62"/>
      <c r="AE653" s="62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  <c r="AQ653" s="34"/>
      <c r="AR653" s="34"/>
      <c r="AS653" s="34"/>
      <c r="AT653" s="34"/>
      <c r="AU653" s="34"/>
      <c r="AV653" s="34"/>
      <c r="AW653" s="34"/>
      <c r="AX653" s="34"/>
      <c r="AY653" s="34"/>
      <c r="AZ653" s="34"/>
      <c r="BA653" s="34"/>
      <c r="BB653" s="34"/>
      <c r="BD653" s="34"/>
      <c r="BE653" s="34"/>
      <c r="BF653" s="34"/>
      <c r="BG653" s="34"/>
      <c r="BH653" s="34"/>
      <c r="BI653" s="34"/>
      <c r="BJ653" s="34"/>
      <c r="BK653" s="34"/>
      <c r="BL653" s="34"/>
      <c r="BM653" s="34"/>
      <c r="BN653" s="34"/>
      <c r="BO653" s="34"/>
      <c r="BP653" s="34"/>
      <c r="BQ653" s="34"/>
      <c r="BR653" s="34"/>
      <c r="BS653" s="34"/>
      <c r="BT653" s="34"/>
      <c r="BU653" s="34"/>
      <c r="BV653" s="34"/>
      <c r="BW653" s="34"/>
      <c r="BX653" s="34"/>
      <c r="BY653" s="34"/>
    </row>
    <row r="654" spans="1:77" x14ac:dyDescent="0.3">
      <c r="A654" s="39"/>
      <c r="B654" s="42"/>
      <c r="C654" s="42"/>
      <c r="D654" s="75"/>
      <c r="E654" s="75"/>
      <c r="F654" s="76"/>
      <c r="G654" s="47"/>
      <c r="H654" s="47"/>
      <c r="I654" s="75"/>
      <c r="J654" s="76"/>
      <c r="K654" s="76"/>
      <c r="L654" s="75"/>
      <c r="M654" s="49"/>
      <c r="N654" s="76"/>
      <c r="O654" s="49"/>
      <c r="P654" s="77"/>
      <c r="Q654" s="53"/>
      <c r="R654" s="54"/>
      <c r="S654" s="55"/>
      <c r="T654" s="56"/>
      <c r="U654" s="56"/>
      <c r="V654" s="42"/>
      <c r="W654" s="57"/>
      <c r="X654" s="58"/>
      <c r="Y654" s="75"/>
      <c r="Z654" s="59"/>
      <c r="AA654" s="61"/>
      <c r="AB654" s="61"/>
      <c r="AC654" s="61"/>
      <c r="AD654" s="62"/>
      <c r="AE654" s="62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  <c r="AQ654" s="34"/>
      <c r="AR654" s="34"/>
      <c r="AS654" s="34"/>
      <c r="AT654" s="34"/>
      <c r="AU654" s="34"/>
      <c r="AV654" s="34"/>
      <c r="AW654" s="34"/>
      <c r="AX654" s="34"/>
      <c r="AY654" s="34"/>
      <c r="AZ654" s="34"/>
      <c r="BA654" s="34"/>
      <c r="BB654" s="34"/>
      <c r="BD654" s="34"/>
      <c r="BE654" s="34"/>
      <c r="BF654" s="34"/>
      <c r="BG654" s="34"/>
      <c r="BH654" s="34"/>
      <c r="BI654" s="34"/>
      <c r="BJ654" s="34"/>
      <c r="BK654" s="34"/>
      <c r="BL654" s="34"/>
      <c r="BM654" s="34"/>
      <c r="BN654" s="34"/>
      <c r="BO654" s="34"/>
      <c r="BP654" s="34"/>
      <c r="BQ654" s="34"/>
      <c r="BR654" s="34"/>
      <c r="BS654" s="34"/>
      <c r="BT654" s="34"/>
      <c r="BU654" s="34"/>
      <c r="BV654" s="34"/>
      <c r="BW654" s="34"/>
      <c r="BX654" s="34"/>
      <c r="BY654" s="34"/>
    </row>
    <row r="655" spans="1:77" x14ac:dyDescent="0.3">
      <c r="A655" s="39"/>
      <c r="B655" s="42"/>
      <c r="C655" s="42"/>
      <c r="D655" s="75"/>
      <c r="E655" s="75"/>
      <c r="F655" s="76"/>
      <c r="G655" s="47"/>
      <c r="H655" s="47"/>
      <c r="I655" s="75"/>
      <c r="J655" s="76"/>
      <c r="K655" s="76"/>
      <c r="L655" s="75"/>
      <c r="M655" s="49"/>
      <c r="N655" s="76"/>
      <c r="O655" s="49"/>
      <c r="P655" s="77"/>
      <c r="Q655" s="53"/>
      <c r="R655" s="54"/>
      <c r="S655" s="55"/>
      <c r="T655" s="56"/>
      <c r="U655" s="56"/>
      <c r="V655" s="42"/>
      <c r="W655" s="57"/>
      <c r="X655" s="58"/>
      <c r="Y655" s="75"/>
      <c r="Z655" s="59"/>
      <c r="AA655" s="61"/>
      <c r="AB655" s="61"/>
      <c r="AC655" s="61"/>
      <c r="AD655" s="62"/>
      <c r="AE655" s="62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34"/>
      <c r="AR655" s="34"/>
      <c r="AS655" s="34"/>
      <c r="AT655" s="34"/>
      <c r="AU655" s="34"/>
      <c r="AV655" s="34"/>
      <c r="AW655" s="34"/>
      <c r="AX655" s="34"/>
      <c r="AY655" s="34"/>
      <c r="AZ655" s="34"/>
      <c r="BA655" s="34"/>
      <c r="BB655" s="34"/>
      <c r="BD655" s="34"/>
      <c r="BE655" s="34"/>
      <c r="BF655" s="34"/>
      <c r="BG655" s="34"/>
      <c r="BH655" s="34"/>
      <c r="BI655" s="34"/>
      <c r="BJ655" s="34"/>
      <c r="BK655" s="34"/>
      <c r="BL655" s="34"/>
      <c r="BM655" s="34"/>
      <c r="BN655" s="34"/>
      <c r="BO655" s="34"/>
      <c r="BP655" s="34"/>
      <c r="BQ655" s="34"/>
      <c r="BR655" s="34"/>
      <c r="BS655" s="34"/>
      <c r="BT655" s="34"/>
      <c r="BU655" s="34"/>
      <c r="BV655" s="34"/>
      <c r="BW655" s="34"/>
      <c r="BX655" s="34"/>
      <c r="BY655" s="34"/>
    </row>
    <row r="656" spans="1:77" x14ac:dyDescent="0.3">
      <c r="A656" s="39"/>
      <c r="B656" s="42"/>
      <c r="C656" s="42"/>
      <c r="D656" s="75"/>
      <c r="E656" s="75"/>
      <c r="F656" s="76"/>
      <c r="G656" s="47"/>
      <c r="H656" s="47"/>
      <c r="I656" s="75"/>
      <c r="J656" s="76"/>
      <c r="K656" s="76"/>
      <c r="L656" s="75"/>
      <c r="M656" s="49"/>
      <c r="N656" s="76"/>
      <c r="O656" s="49"/>
      <c r="P656" s="77"/>
      <c r="Q656" s="53"/>
      <c r="R656" s="54"/>
      <c r="S656" s="55"/>
      <c r="T656" s="56"/>
      <c r="U656" s="56"/>
      <c r="V656" s="42"/>
      <c r="W656" s="57"/>
      <c r="X656" s="58"/>
      <c r="Y656" s="75"/>
      <c r="Z656" s="59"/>
      <c r="AA656" s="61"/>
      <c r="AB656" s="61"/>
      <c r="AC656" s="61"/>
      <c r="AD656" s="62"/>
      <c r="AE656" s="62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34"/>
      <c r="AR656" s="34"/>
      <c r="AS656" s="34"/>
      <c r="AT656" s="34"/>
      <c r="AU656" s="34"/>
      <c r="AV656" s="34"/>
      <c r="AW656" s="34"/>
      <c r="AX656" s="34"/>
      <c r="AY656" s="34"/>
      <c r="AZ656" s="34"/>
      <c r="BA656" s="34"/>
      <c r="BB656" s="34"/>
      <c r="BD656" s="34"/>
      <c r="BE656" s="34"/>
      <c r="BF656" s="34"/>
      <c r="BG656" s="34"/>
      <c r="BH656" s="34"/>
      <c r="BI656" s="34"/>
      <c r="BJ656" s="34"/>
      <c r="BK656" s="34"/>
      <c r="BL656" s="34"/>
      <c r="BM656" s="34"/>
      <c r="BN656" s="34"/>
      <c r="BO656" s="34"/>
      <c r="BP656" s="34"/>
      <c r="BQ656" s="34"/>
      <c r="BR656" s="34"/>
      <c r="BS656" s="34"/>
      <c r="BT656" s="34"/>
      <c r="BU656" s="34"/>
      <c r="BV656" s="34"/>
      <c r="BW656" s="34"/>
      <c r="BX656" s="34"/>
      <c r="BY656" s="34"/>
    </row>
    <row r="657" spans="1:77" x14ac:dyDescent="0.3">
      <c r="A657" s="39"/>
      <c r="B657" s="42"/>
      <c r="C657" s="42"/>
      <c r="D657" s="75"/>
      <c r="E657" s="75"/>
      <c r="F657" s="76"/>
      <c r="G657" s="47"/>
      <c r="H657" s="47"/>
      <c r="I657" s="75"/>
      <c r="J657" s="76"/>
      <c r="K657" s="76"/>
      <c r="L657" s="75"/>
      <c r="M657" s="49"/>
      <c r="N657" s="76"/>
      <c r="O657" s="49"/>
      <c r="P657" s="77"/>
      <c r="Q657" s="53"/>
      <c r="R657" s="54"/>
      <c r="S657" s="55"/>
      <c r="T657" s="56"/>
      <c r="U657" s="56"/>
      <c r="V657" s="42"/>
      <c r="W657" s="57"/>
      <c r="X657" s="58"/>
      <c r="Y657" s="75"/>
      <c r="Z657" s="59"/>
      <c r="AA657" s="61"/>
      <c r="AB657" s="61"/>
      <c r="AC657" s="61"/>
      <c r="AD657" s="62"/>
      <c r="AE657" s="62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34"/>
      <c r="AR657" s="34"/>
      <c r="AS657" s="34"/>
      <c r="AT657" s="34"/>
      <c r="AU657" s="34"/>
      <c r="AV657" s="34"/>
      <c r="AW657" s="34"/>
      <c r="AX657" s="34"/>
      <c r="AY657" s="34"/>
      <c r="AZ657" s="34"/>
      <c r="BA657" s="34"/>
      <c r="BB657" s="34"/>
      <c r="BD657" s="34"/>
      <c r="BE657" s="34"/>
      <c r="BF657" s="34"/>
      <c r="BG657" s="34"/>
      <c r="BH657" s="34"/>
      <c r="BI657" s="34"/>
      <c r="BJ657" s="34"/>
      <c r="BK657" s="34"/>
      <c r="BL657" s="34"/>
      <c r="BM657" s="34"/>
      <c r="BN657" s="34"/>
      <c r="BO657" s="34"/>
      <c r="BP657" s="34"/>
      <c r="BQ657" s="34"/>
      <c r="BR657" s="34"/>
      <c r="BS657" s="34"/>
      <c r="BT657" s="34"/>
      <c r="BU657" s="34"/>
      <c r="BV657" s="34"/>
      <c r="BW657" s="34"/>
      <c r="BX657" s="34"/>
      <c r="BY657" s="34"/>
    </row>
    <row r="658" spans="1:77" x14ac:dyDescent="0.3">
      <c r="A658" s="39"/>
      <c r="B658" s="42"/>
      <c r="C658" s="42"/>
      <c r="D658" s="75"/>
      <c r="E658" s="75"/>
      <c r="F658" s="76"/>
      <c r="G658" s="47"/>
      <c r="H658" s="47"/>
      <c r="I658" s="75"/>
      <c r="J658" s="76"/>
      <c r="K658" s="76"/>
      <c r="L658" s="75"/>
      <c r="M658" s="49"/>
      <c r="N658" s="76"/>
      <c r="O658" s="49"/>
      <c r="P658" s="77"/>
      <c r="Q658" s="53"/>
      <c r="R658" s="54"/>
      <c r="S658" s="55"/>
      <c r="T658" s="56"/>
      <c r="U658" s="56"/>
      <c r="V658" s="42"/>
      <c r="W658" s="57"/>
      <c r="X658" s="58"/>
      <c r="Y658" s="75"/>
      <c r="Z658" s="59"/>
      <c r="AA658" s="61"/>
      <c r="AB658" s="61"/>
      <c r="AC658" s="61"/>
      <c r="AD658" s="62"/>
      <c r="AE658" s="62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  <c r="AQ658" s="34"/>
      <c r="AR658" s="34"/>
      <c r="AS658" s="34"/>
      <c r="AT658" s="34"/>
      <c r="AU658" s="34"/>
      <c r="AV658" s="34"/>
      <c r="AW658" s="34"/>
      <c r="AX658" s="34"/>
      <c r="AY658" s="34"/>
      <c r="AZ658" s="34"/>
      <c r="BA658" s="34"/>
      <c r="BB658" s="34"/>
      <c r="BD658" s="34"/>
      <c r="BE658" s="34"/>
      <c r="BF658" s="34"/>
      <c r="BG658" s="34"/>
      <c r="BH658" s="34"/>
      <c r="BI658" s="34"/>
      <c r="BJ658" s="34"/>
      <c r="BK658" s="34"/>
      <c r="BL658" s="34"/>
      <c r="BM658" s="34"/>
      <c r="BN658" s="34"/>
      <c r="BO658" s="34"/>
      <c r="BP658" s="34"/>
      <c r="BQ658" s="34"/>
      <c r="BR658" s="34"/>
      <c r="BS658" s="34"/>
      <c r="BT658" s="34"/>
      <c r="BU658" s="34"/>
      <c r="BV658" s="34"/>
      <c r="BW658" s="34"/>
      <c r="BX658" s="34"/>
      <c r="BY658" s="34"/>
    </row>
    <row r="659" spans="1:77" x14ac:dyDescent="0.3">
      <c r="A659" s="39"/>
      <c r="B659" s="42"/>
      <c r="C659" s="42"/>
      <c r="D659" s="75"/>
      <c r="E659" s="75"/>
      <c r="F659" s="76"/>
      <c r="G659" s="47"/>
      <c r="H659" s="47"/>
      <c r="I659" s="75"/>
      <c r="J659" s="76"/>
      <c r="K659" s="76"/>
      <c r="L659" s="75"/>
      <c r="M659" s="49"/>
      <c r="N659" s="76"/>
      <c r="O659" s="49"/>
      <c r="P659" s="77"/>
      <c r="Q659" s="53"/>
      <c r="R659" s="54"/>
      <c r="S659" s="55"/>
      <c r="T659" s="56"/>
      <c r="U659" s="56"/>
      <c r="V659" s="42"/>
      <c r="W659" s="57"/>
      <c r="X659" s="58"/>
      <c r="Y659" s="75"/>
      <c r="Z659" s="59"/>
      <c r="AA659" s="61"/>
      <c r="AB659" s="61"/>
      <c r="AC659" s="61"/>
      <c r="AD659" s="62"/>
      <c r="AE659" s="62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  <c r="AQ659" s="34"/>
      <c r="AR659" s="34"/>
      <c r="AS659" s="34"/>
      <c r="AT659" s="34"/>
      <c r="AU659" s="34"/>
      <c r="AV659" s="34"/>
      <c r="AW659" s="34"/>
      <c r="AX659" s="34"/>
      <c r="AY659" s="34"/>
      <c r="AZ659" s="34"/>
      <c r="BA659" s="34"/>
      <c r="BB659" s="34"/>
      <c r="BD659" s="34"/>
      <c r="BE659" s="34"/>
      <c r="BF659" s="34"/>
      <c r="BG659" s="34"/>
      <c r="BH659" s="34"/>
      <c r="BI659" s="34"/>
      <c r="BJ659" s="34"/>
      <c r="BK659" s="34"/>
      <c r="BL659" s="34"/>
      <c r="BM659" s="34"/>
      <c r="BN659" s="34"/>
      <c r="BO659" s="34"/>
      <c r="BP659" s="34"/>
      <c r="BQ659" s="34"/>
      <c r="BR659" s="34"/>
      <c r="BS659" s="34"/>
      <c r="BT659" s="34"/>
      <c r="BU659" s="34"/>
      <c r="BV659" s="34"/>
      <c r="BW659" s="34"/>
      <c r="BX659" s="34"/>
      <c r="BY659" s="34"/>
    </row>
    <row r="660" spans="1:77" x14ac:dyDescent="0.3">
      <c r="A660" s="39"/>
      <c r="B660" s="42"/>
      <c r="C660" s="42"/>
      <c r="D660" s="75"/>
      <c r="E660" s="75"/>
      <c r="F660" s="76"/>
      <c r="G660" s="47"/>
      <c r="H660" s="47"/>
      <c r="I660" s="75"/>
      <c r="J660" s="76"/>
      <c r="K660" s="76"/>
      <c r="L660" s="75"/>
      <c r="M660" s="49"/>
      <c r="N660" s="76"/>
      <c r="O660" s="49"/>
      <c r="P660" s="77"/>
      <c r="Q660" s="53"/>
      <c r="R660" s="54"/>
      <c r="S660" s="55"/>
      <c r="T660" s="56"/>
      <c r="U660" s="56"/>
      <c r="V660" s="42"/>
      <c r="W660" s="57"/>
      <c r="X660" s="58"/>
      <c r="Y660" s="75"/>
      <c r="Z660" s="59"/>
      <c r="AA660" s="61"/>
      <c r="AB660" s="61"/>
      <c r="AC660" s="61"/>
      <c r="AD660" s="62"/>
      <c r="AE660" s="62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  <c r="AQ660" s="34"/>
      <c r="AR660" s="34"/>
      <c r="AS660" s="34"/>
      <c r="AT660" s="34"/>
      <c r="AU660" s="34"/>
      <c r="AV660" s="34"/>
      <c r="AW660" s="34"/>
      <c r="AX660" s="34"/>
      <c r="AY660" s="34"/>
      <c r="AZ660" s="34"/>
      <c r="BA660" s="34"/>
      <c r="BB660" s="34"/>
      <c r="BD660" s="34"/>
      <c r="BE660" s="34"/>
      <c r="BF660" s="34"/>
      <c r="BG660" s="34"/>
      <c r="BH660" s="34"/>
      <c r="BI660" s="34"/>
      <c r="BJ660" s="34"/>
      <c r="BK660" s="34"/>
      <c r="BL660" s="34"/>
      <c r="BM660" s="34"/>
      <c r="BN660" s="34"/>
      <c r="BO660" s="34"/>
      <c r="BP660" s="34"/>
      <c r="BQ660" s="34"/>
      <c r="BR660" s="34"/>
      <c r="BS660" s="34"/>
      <c r="BT660" s="34"/>
      <c r="BU660" s="34"/>
      <c r="BV660" s="34"/>
      <c r="BW660" s="34"/>
      <c r="BX660" s="34"/>
      <c r="BY660" s="34"/>
    </row>
    <row r="661" spans="1:77" x14ac:dyDescent="0.3">
      <c r="A661" s="39"/>
      <c r="B661" s="42"/>
      <c r="C661" s="42"/>
      <c r="D661" s="75"/>
      <c r="E661" s="75"/>
      <c r="F661" s="76"/>
      <c r="G661" s="47"/>
      <c r="H661" s="47"/>
      <c r="I661" s="75"/>
      <c r="J661" s="76"/>
      <c r="K661" s="76"/>
      <c r="L661" s="75"/>
      <c r="M661" s="49"/>
      <c r="N661" s="76"/>
      <c r="O661" s="49"/>
      <c r="P661" s="77"/>
      <c r="Q661" s="53"/>
      <c r="R661" s="54"/>
      <c r="S661" s="55"/>
      <c r="T661" s="56"/>
      <c r="U661" s="56"/>
      <c r="V661" s="42"/>
      <c r="W661" s="57"/>
      <c r="X661" s="58"/>
      <c r="Y661" s="75"/>
      <c r="Z661" s="59"/>
      <c r="AA661" s="61"/>
      <c r="AB661" s="61"/>
      <c r="AC661" s="61"/>
      <c r="AD661" s="62"/>
      <c r="AE661" s="62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  <c r="AQ661" s="34"/>
      <c r="AR661" s="34"/>
      <c r="AS661" s="34"/>
      <c r="AT661" s="34"/>
      <c r="AU661" s="34"/>
      <c r="AV661" s="34"/>
      <c r="AW661" s="34"/>
      <c r="AX661" s="34"/>
      <c r="AY661" s="34"/>
      <c r="AZ661" s="34"/>
      <c r="BA661" s="34"/>
      <c r="BB661" s="34"/>
      <c r="BD661" s="34"/>
      <c r="BE661" s="34"/>
      <c r="BF661" s="34"/>
      <c r="BG661" s="34"/>
      <c r="BH661" s="34"/>
      <c r="BI661" s="34"/>
      <c r="BJ661" s="34"/>
      <c r="BK661" s="34"/>
      <c r="BL661" s="34"/>
      <c r="BM661" s="34"/>
      <c r="BN661" s="34"/>
      <c r="BO661" s="34"/>
      <c r="BP661" s="34"/>
      <c r="BQ661" s="34"/>
      <c r="BR661" s="34"/>
      <c r="BS661" s="34"/>
      <c r="BT661" s="34"/>
      <c r="BU661" s="34"/>
      <c r="BV661" s="34"/>
      <c r="BW661" s="34"/>
      <c r="BX661" s="34"/>
      <c r="BY661" s="34"/>
    </row>
    <row r="662" spans="1:77" x14ac:dyDescent="0.3">
      <c r="A662" s="39"/>
      <c r="B662" s="42"/>
      <c r="C662" s="42"/>
      <c r="D662" s="75"/>
      <c r="E662" s="75"/>
      <c r="F662" s="76"/>
      <c r="G662" s="47"/>
      <c r="H662" s="47"/>
      <c r="I662" s="75"/>
      <c r="J662" s="76"/>
      <c r="K662" s="76"/>
      <c r="L662" s="75"/>
      <c r="M662" s="49"/>
      <c r="N662" s="76"/>
      <c r="O662" s="49"/>
      <c r="P662" s="77"/>
      <c r="Q662" s="53"/>
      <c r="R662" s="54"/>
      <c r="S662" s="55"/>
      <c r="T662" s="56"/>
      <c r="U662" s="56"/>
      <c r="V662" s="42"/>
      <c r="W662" s="57"/>
      <c r="X662" s="58"/>
      <c r="Y662" s="75"/>
      <c r="Z662" s="59"/>
      <c r="AA662" s="61"/>
      <c r="AB662" s="61"/>
      <c r="AC662" s="61"/>
      <c r="AD662" s="62"/>
      <c r="AE662" s="62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  <c r="AQ662" s="34"/>
      <c r="AR662" s="34"/>
      <c r="AS662" s="34"/>
      <c r="AT662" s="34"/>
      <c r="AU662" s="34"/>
      <c r="AV662" s="34"/>
      <c r="AW662" s="34"/>
      <c r="AX662" s="34"/>
      <c r="AY662" s="34"/>
      <c r="AZ662" s="34"/>
      <c r="BA662" s="34"/>
      <c r="BB662" s="34"/>
      <c r="BD662" s="34"/>
      <c r="BE662" s="34"/>
      <c r="BF662" s="34"/>
      <c r="BG662" s="34"/>
      <c r="BH662" s="34"/>
      <c r="BI662" s="34"/>
      <c r="BJ662" s="34"/>
      <c r="BK662" s="34"/>
      <c r="BL662" s="34"/>
      <c r="BM662" s="34"/>
      <c r="BN662" s="34"/>
      <c r="BO662" s="34"/>
      <c r="BP662" s="34"/>
      <c r="BQ662" s="34"/>
      <c r="BR662" s="34"/>
      <c r="BS662" s="34"/>
      <c r="BT662" s="34"/>
      <c r="BU662" s="34"/>
      <c r="BV662" s="34"/>
      <c r="BW662" s="34"/>
      <c r="BX662" s="34"/>
      <c r="BY662" s="34"/>
    </row>
    <row r="663" spans="1:77" x14ac:dyDescent="0.3">
      <c r="A663" s="39"/>
      <c r="B663" s="42"/>
      <c r="C663" s="42"/>
      <c r="D663" s="75"/>
      <c r="E663" s="75"/>
      <c r="F663" s="76"/>
      <c r="G663" s="47"/>
      <c r="H663" s="47"/>
      <c r="I663" s="75"/>
      <c r="J663" s="76"/>
      <c r="K663" s="76"/>
      <c r="L663" s="75"/>
      <c r="M663" s="49"/>
      <c r="N663" s="76"/>
      <c r="O663" s="49"/>
      <c r="P663" s="77"/>
      <c r="Q663" s="53"/>
      <c r="R663" s="54"/>
      <c r="S663" s="55"/>
      <c r="T663" s="56"/>
      <c r="U663" s="56"/>
      <c r="V663" s="42"/>
      <c r="W663" s="57"/>
      <c r="X663" s="58"/>
      <c r="Y663" s="75"/>
      <c r="Z663" s="59"/>
      <c r="AA663" s="61"/>
      <c r="AB663" s="61"/>
      <c r="AC663" s="61"/>
      <c r="AD663" s="62"/>
      <c r="AE663" s="62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/>
      <c r="BB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/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</row>
    <row r="664" spans="1:77" x14ac:dyDescent="0.3">
      <c r="A664" s="39"/>
      <c r="B664" s="42"/>
      <c r="C664" s="42"/>
      <c r="D664" s="75"/>
      <c r="E664" s="75"/>
      <c r="F664" s="76"/>
      <c r="G664" s="47"/>
      <c r="H664" s="47"/>
      <c r="I664" s="75"/>
      <c r="J664" s="76"/>
      <c r="K664" s="76"/>
      <c r="L664" s="75"/>
      <c r="M664" s="49"/>
      <c r="N664" s="76"/>
      <c r="O664" s="49"/>
      <c r="P664" s="77"/>
      <c r="Q664" s="53"/>
      <c r="R664" s="54"/>
      <c r="S664" s="55"/>
      <c r="T664" s="56"/>
      <c r="U664" s="56"/>
      <c r="V664" s="42"/>
      <c r="W664" s="57"/>
      <c r="X664" s="58"/>
      <c r="Y664" s="75"/>
      <c r="Z664" s="59"/>
      <c r="AA664" s="61"/>
      <c r="AB664" s="61"/>
      <c r="AC664" s="61"/>
      <c r="AD664" s="62"/>
      <c r="AE664" s="62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34"/>
      <c r="BB664" s="34"/>
      <c r="BD664" s="34"/>
      <c r="BE664" s="34"/>
      <c r="BF664" s="34"/>
      <c r="BG664" s="34"/>
      <c r="BH664" s="34"/>
      <c r="BI664" s="34"/>
      <c r="BJ664" s="34"/>
      <c r="BK664" s="34"/>
      <c r="BL664" s="34"/>
      <c r="BM664" s="34"/>
      <c r="BN664" s="34"/>
      <c r="BO664" s="34"/>
      <c r="BP664" s="34"/>
      <c r="BQ664" s="34"/>
      <c r="BR664" s="34"/>
      <c r="BS664" s="34"/>
      <c r="BT664" s="34"/>
      <c r="BU664" s="34"/>
      <c r="BV664" s="34"/>
      <c r="BW664" s="34"/>
      <c r="BX664" s="34"/>
      <c r="BY664" s="34"/>
    </row>
    <row r="665" spans="1:77" x14ac:dyDescent="0.3">
      <c r="A665" s="39"/>
      <c r="B665" s="42"/>
      <c r="C665" s="42"/>
      <c r="D665" s="75"/>
      <c r="E665" s="75"/>
      <c r="F665" s="76"/>
      <c r="G665" s="47"/>
      <c r="H665" s="47"/>
      <c r="I665" s="75"/>
      <c r="J665" s="76"/>
      <c r="K665" s="76"/>
      <c r="L665" s="75"/>
      <c r="M665" s="49"/>
      <c r="N665" s="76"/>
      <c r="O665" s="49"/>
      <c r="P665" s="77"/>
      <c r="Q665" s="53"/>
      <c r="R665" s="54"/>
      <c r="S665" s="55"/>
      <c r="T665" s="56"/>
      <c r="U665" s="56"/>
      <c r="V665" s="42"/>
      <c r="W665" s="57"/>
      <c r="X665" s="58"/>
      <c r="Y665" s="75"/>
      <c r="Z665" s="59"/>
      <c r="AA665" s="61"/>
      <c r="AB665" s="61"/>
      <c r="AC665" s="61"/>
      <c r="AD665" s="62"/>
      <c r="AE665" s="62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34"/>
      <c r="BA665" s="34"/>
      <c r="BB665" s="34"/>
      <c r="BD665" s="34"/>
      <c r="BE665" s="34"/>
      <c r="BF665" s="34"/>
      <c r="BG665" s="34"/>
      <c r="BH665" s="34"/>
      <c r="BI665" s="34"/>
      <c r="BJ665" s="34"/>
      <c r="BK665" s="34"/>
      <c r="BL665" s="34"/>
      <c r="BM665" s="34"/>
      <c r="BN665" s="34"/>
      <c r="BO665" s="34"/>
      <c r="BP665" s="34"/>
      <c r="BQ665" s="34"/>
      <c r="BR665" s="34"/>
      <c r="BS665" s="34"/>
      <c r="BT665" s="34"/>
      <c r="BU665" s="34"/>
      <c r="BV665" s="34"/>
      <c r="BW665" s="34"/>
      <c r="BX665" s="34"/>
      <c r="BY665" s="34"/>
    </row>
    <row r="666" spans="1:77" x14ac:dyDescent="0.3">
      <c r="A666" s="39"/>
      <c r="B666" s="42"/>
      <c r="C666" s="42"/>
      <c r="D666" s="75"/>
      <c r="E666" s="75"/>
      <c r="F666" s="76"/>
      <c r="G666" s="47"/>
      <c r="H666" s="47"/>
      <c r="I666" s="75"/>
      <c r="J666" s="76"/>
      <c r="K666" s="76"/>
      <c r="L666" s="75"/>
      <c r="M666" s="49"/>
      <c r="N666" s="76"/>
      <c r="O666" s="49"/>
      <c r="P666" s="77"/>
      <c r="Q666" s="53"/>
      <c r="R666" s="54"/>
      <c r="S666" s="55"/>
      <c r="T666" s="56"/>
      <c r="U666" s="56"/>
      <c r="V666" s="42"/>
      <c r="W666" s="57"/>
      <c r="X666" s="58"/>
      <c r="Y666" s="75"/>
      <c r="Z666" s="59"/>
      <c r="AA666" s="61"/>
      <c r="AB666" s="61"/>
      <c r="AC666" s="61"/>
      <c r="AD666" s="62"/>
      <c r="AE666" s="62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/>
      <c r="BB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/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</row>
    <row r="667" spans="1:77" x14ac:dyDescent="0.3">
      <c r="A667" s="39"/>
      <c r="B667" s="42"/>
      <c r="C667" s="42"/>
      <c r="D667" s="75"/>
      <c r="E667" s="75"/>
      <c r="F667" s="76"/>
      <c r="G667" s="47"/>
      <c r="H667" s="47"/>
      <c r="I667" s="75"/>
      <c r="J667" s="76"/>
      <c r="K667" s="76"/>
      <c r="L667" s="75"/>
      <c r="M667" s="49"/>
      <c r="N667" s="76"/>
      <c r="O667" s="49"/>
      <c r="P667" s="77"/>
      <c r="Q667" s="53"/>
      <c r="R667" s="54"/>
      <c r="S667" s="55"/>
      <c r="T667" s="56"/>
      <c r="U667" s="56"/>
      <c r="V667" s="42"/>
      <c r="W667" s="57"/>
      <c r="X667" s="58"/>
      <c r="Y667" s="75"/>
      <c r="Z667" s="59"/>
      <c r="AA667" s="61"/>
      <c r="AB667" s="61"/>
      <c r="AC667" s="61"/>
      <c r="AD667" s="62"/>
      <c r="AE667" s="62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34"/>
      <c r="BA667" s="34"/>
      <c r="BB667" s="34"/>
      <c r="BD667" s="34"/>
      <c r="BE667" s="34"/>
      <c r="BF667" s="34"/>
      <c r="BG667" s="34"/>
      <c r="BH667" s="34"/>
      <c r="BI667" s="34"/>
      <c r="BJ667" s="34"/>
      <c r="BK667" s="34"/>
      <c r="BL667" s="34"/>
      <c r="BM667" s="34"/>
      <c r="BN667" s="34"/>
      <c r="BO667" s="34"/>
      <c r="BP667" s="34"/>
      <c r="BQ667" s="34"/>
      <c r="BR667" s="34"/>
      <c r="BS667" s="34"/>
      <c r="BT667" s="34"/>
      <c r="BU667" s="34"/>
      <c r="BV667" s="34"/>
      <c r="BW667" s="34"/>
      <c r="BX667" s="34"/>
      <c r="BY667" s="34"/>
    </row>
    <row r="668" spans="1:77" x14ac:dyDescent="0.3">
      <c r="A668" s="39"/>
      <c r="B668" s="42"/>
      <c r="C668" s="42"/>
      <c r="D668" s="75"/>
      <c r="E668" s="75"/>
      <c r="F668" s="76"/>
      <c r="G668" s="47"/>
      <c r="H668" s="47"/>
      <c r="I668" s="75"/>
      <c r="J668" s="76"/>
      <c r="K668" s="76"/>
      <c r="L668" s="75"/>
      <c r="M668" s="49"/>
      <c r="N668" s="76"/>
      <c r="O668" s="49"/>
      <c r="P668" s="77"/>
      <c r="Q668" s="53"/>
      <c r="R668" s="54"/>
      <c r="S668" s="55"/>
      <c r="T668" s="56"/>
      <c r="U668" s="56"/>
      <c r="V668" s="42"/>
      <c r="W668" s="57"/>
      <c r="X668" s="58"/>
      <c r="Y668" s="75"/>
      <c r="Z668" s="59"/>
      <c r="AA668" s="61"/>
      <c r="AB668" s="61"/>
      <c r="AC668" s="61"/>
      <c r="AD668" s="62"/>
      <c r="AE668" s="62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/>
      <c r="AZ668" s="34"/>
      <c r="BA668" s="34"/>
      <c r="BB668" s="34"/>
      <c r="BD668" s="34"/>
      <c r="BE668" s="34"/>
      <c r="BF668" s="34"/>
      <c r="BG668" s="34"/>
      <c r="BH668" s="34"/>
      <c r="BI668" s="34"/>
      <c r="BJ668" s="34"/>
      <c r="BK668" s="34"/>
      <c r="BL668" s="34"/>
      <c r="BM668" s="34"/>
      <c r="BN668" s="34"/>
      <c r="BO668" s="34"/>
      <c r="BP668" s="34"/>
      <c r="BQ668" s="34"/>
      <c r="BR668" s="34"/>
      <c r="BS668" s="34"/>
      <c r="BT668" s="34"/>
      <c r="BU668" s="34"/>
      <c r="BV668" s="34"/>
      <c r="BW668" s="34"/>
      <c r="BX668" s="34"/>
      <c r="BY668" s="34"/>
    </row>
    <row r="669" spans="1:77" x14ac:dyDescent="0.3">
      <c r="A669" s="39"/>
      <c r="B669" s="42"/>
      <c r="C669" s="42"/>
      <c r="D669" s="75"/>
      <c r="E669" s="75"/>
      <c r="F669" s="76"/>
      <c r="G669" s="47"/>
      <c r="H669" s="47"/>
      <c r="I669" s="75"/>
      <c r="J669" s="76"/>
      <c r="K669" s="76"/>
      <c r="L669" s="75"/>
      <c r="M669" s="49"/>
      <c r="N669" s="76"/>
      <c r="O669" s="49"/>
      <c r="P669" s="77"/>
      <c r="Q669" s="53"/>
      <c r="R669" s="54"/>
      <c r="S669" s="55"/>
      <c r="T669" s="56"/>
      <c r="U669" s="56"/>
      <c r="V669" s="42"/>
      <c r="W669" s="57"/>
      <c r="X669" s="58"/>
      <c r="Y669" s="75"/>
      <c r="Z669" s="59"/>
      <c r="AA669" s="61"/>
      <c r="AB669" s="61"/>
      <c r="AC669" s="61"/>
      <c r="AD669" s="62"/>
      <c r="AE669" s="62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34"/>
      <c r="BA669" s="34"/>
      <c r="BB669" s="34"/>
      <c r="BD669" s="34"/>
      <c r="BE669" s="34"/>
      <c r="BF669" s="34"/>
      <c r="BG669" s="34"/>
      <c r="BH669" s="34"/>
      <c r="BI669" s="34"/>
      <c r="BJ669" s="34"/>
      <c r="BK669" s="34"/>
      <c r="BL669" s="34"/>
      <c r="BM669" s="34"/>
      <c r="BN669" s="34"/>
      <c r="BO669" s="34"/>
      <c r="BP669" s="34"/>
      <c r="BQ669" s="34"/>
      <c r="BR669" s="34"/>
      <c r="BS669" s="34"/>
      <c r="BT669" s="34"/>
      <c r="BU669" s="34"/>
      <c r="BV669" s="34"/>
      <c r="BW669" s="34"/>
      <c r="BX669" s="34"/>
      <c r="BY669" s="34"/>
    </row>
    <row r="670" spans="1:77" x14ac:dyDescent="0.3">
      <c r="A670" s="39"/>
      <c r="B670" s="42"/>
      <c r="C670" s="42"/>
      <c r="D670" s="75"/>
      <c r="E670" s="75"/>
      <c r="F670" s="76"/>
      <c r="G670" s="47"/>
      <c r="H670" s="47"/>
      <c r="I670" s="75"/>
      <c r="J670" s="76"/>
      <c r="K670" s="76"/>
      <c r="L670" s="75"/>
      <c r="M670" s="49"/>
      <c r="N670" s="76"/>
      <c r="O670" s="49"/>
      <c r="P670" s="77"/>
      <c r="Q670" s="53"/>
      <c r="R670" s="54"/>
      <c r="S670" s="55"/>
      <c r="T670" s="56"/>
      <c r="U670" s="56"/>
      <c r="V670" s="42"/>
      <c r="W670" s="57"/>
      <c r="X670" s="58"/>
      <c r="Y670" s="75"/>
      <c r="Z670" s="59"/>
      <c r="AA670" s="61"/>
      <c r="AB670" s="61"/>
      <c r="AC670" s="61"/>
      <c r="AD670" s="62"/>
      <c r="AE670" s="62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  <c r="AQ670" s="34"/>
      <c r="AR670" s="34"/>
      <c r="AS670" s="34"/>
      <c r="AT670" s="34"/>
      <c r="AU670" s="34"/>
      <c r="AV670" s="34"/>
      <c r="AW670" s="34"/>
      <c r="AX670" s="34"/>
      <c r="AY670" s="34"/>
      <c r="AZ670" s="34"/>
      <c r="BA670" s="34"/>
      <c r="BB670" s="34"/>
      <c r="BD670" s="34"/>
      <c r="BE670" s="34"/>
      <c r="BF670" s="34"/>
      <c r="BG670" s="34"/>
      <c r="BH670" s="34"/>
      <c r="BI670" s="34"/>
      <c r="BJ670" s="34"/>
      <c r="BK670" s="34"/>
      <c r="BL670" s="34"/>
      <c r="BM670" s="34"/>
      <c r="BN670" s="34"/>
      <c r="BO670" s="34"/>
      <c r="BP670" s="34"/>
      <c r="BQ670" s="34"/>
      <c r="BR670" s="34"/>
      <c r="BS670" s="34"/>
      <c r="BT670" s="34"/>
      <c r="BU670" s="34"/>
      <c r="BV670" s="34"/>
      <c r="BW670" s="34"/>
      <c r="BX670" s="34"/>
      <c r="BY670" s="34"/>
    </row>
    <row r="671" spans="1:77" x14ac:dyDescent="0.3">
      <c r="A671" s="39"/>
      <c r="B671" s="42"/>
      <c r="C671" s="42"/>
      <c r="D671" s="75"/>
      <c r="E671" s="75"/>
      <c r="F671" s="76"/>
      <c r="G671" s="47"/>
      <c r="H671" s="47"/>
      <c r="I671" s="75"/>
      <c r="J671" s="76"/>
      <c r="K671" s="76"/>
      <c r="L671" s="75"/>
      <c r="M671" s="49"/>
      <c r="N671" s="76"/>
      <c r="O671" s="49"/>
      <c r="P671" s="77"/>
      <c r="Q671" s="53"/>
      <c r="R671" s="54"/>
      <c r="S671" s="55"/>
      <c r="T671" s="56"/>
      <c r="U671" s="56"/>
      <c r="V671" s="42"/>
      <c r="W671" s="57"/>
      <c r="X671" s="58"/>
      <c r="Y671" s="75"/>
      <c r="Z671" s="59"/>
      <c r="AA671" s="61"/>
      <c r="AB671" s="61"/>
      <c r="AC671" s="61"/>
      <c r="AD671" s="62"/>
      <c r="AE671" s="62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  <c r="AQ671" s="34"/>
      <c r="AR671" s="34"/>
      <c r="AS671" s="34"/>
      <c r="AT671" s="34"/>
      <c r="AU671" s="34"/>
      <c r="AV671" s="34"/>
      <c r="AW671" s="34"/>
      <c r="AX671" s="34"/>
      <c r="AY671" s="34"/>
      <c r="AZ671" s="34"/>
      <c r="BA671" s="34"/>
      <c r="BB671" s="34"/>
      <c r="BD671" s="34"/>
      <c r="BE671" s="34"/>
      <c r="BF671" s="34"/>
      <c r="BG671" s="34"/>
      <c r="BH671" s="34"/>
      <c r="BI671" s="34"/>
      <c r="BJ671" s="34"/>
      <c r="BK671" s="34"/>
      <c r="BL671" s="34"/>
      <c r="BM671" s="34"/>
      <c r="BN671" s="34"/>
      <c r="BO671" s="34"/>
      <c r="BP671" s="34"/>
      <c r="BQ671" s="34"/>
      <c r="BR671" s="34"/>
      <c r="BS671" s="34"/>
      <c r="BT671" s="34"/>
      <c r="BU671" s="34"/>
      <c r="BV671" s="34"/>
      <c r="BW671" s="34"/>
      <c r="BX671" s="34"/>
      <c r="BY671" s="34"/>
    </row>
    <row r="672" spans="1:77" x14ac:dyDescent="0.3">
      <c r="A672" s="39"/>
      <c r="B672" s="42"/>
      <c r="C672" s="42"/>
      <c r="D672" s="75"/>
      <c r="E672" s="75"/>
      <c r="F672" s="76"/>
      <c r="G672" s="47"/>
      <c r="H672" s="47"/>
      <c r="I672" s="75"/>
      <c r="J672" s="76"/>
      <c r="K672" s="76"/>
      <c r="L672" s="75"/>
      <c r="M672" s="49"/>
      <c r="N672" s="76"/>
      <c r="O672" s="49"/>
      <c r="P672" s="77"/>
      <c r="Q672" s="53"/>
      <c r="R672" s="54"/>
      <c r="S672" s="55"/>
      <c r="T672" s="56"/>
      <c r="U672" s="56"/>
      <c r="V672" s="42"/>
      <c r="W672" s="57"/>
      <c r="X672" s="58"/>
      <c r="Y672" s="75"/>
      <c r="Z672" s="59"/>
      <c r="AA672" s="61"/>
      <c r="AB672" s="61"/>
      <c r="AC672" s="61"/>
      <c r="AD672" s="62"/>
      <c r="AE672" s="62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/>
      <c r="BB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4"/>
      <c r="BP672" s="34"/>
      <c r="BQ672" s="34"/>
      <c r="BR672" s="34"/>
      <c r="BS672" s="34"/>
      <c r="BT672" s="34"/>
      <c r="BU672" s="34"/>
      <c r="BV672" s="34"/>
      <c r="BW672" s="34"/>
      <c r="BX672" s="34"/>
      <c r="BY672" s="34"/>
    </row>
    <row r="673" spans="1:77" x14ac:dyDescent="0.3">
      <c r="A673" s="39"/>
      <c r="B673" s="42"/>
      <c r="C673" s="42"/>
      <c r="D673" s="75"/>
      <c r="E673" s="75"/>
      <c r="F673" s="76"/>
      <c r="G673" s="47"/>
      <c r="H673" s="47"/>
      <c r="I673" s="75"/>
      <c r="J673" s="76"/>
      <c r="K673" s="76"/>
      <c r="L673" s="75"/>
      <c r="M673" s="49"/>
      <c r="N673" s="76"/>
      <c r="O673" s="49"/>
      <c r="P673" s="77"/>
      <c r="Q673" s="53"/>
      <c r="R673" s="54"/>
      <c r="S673" s="55"/>
      <c r="T673" s="56"/>
      <c r="U673" s="56"/>
      <c r="V673" s="42"/>
      <c r="W673" s="57"/>
      <c r="X673" s="58"/>
      <c r="Y673" s="75"/>
      <c r="Z673" s="59"/>
      <c r="AA673" s="61"/>
      <c r="AB673" s="61"/>
      <c r="AC673" s="61"/>
      <c r="AD673" s="62"/>
      <c r="AE673" s="62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  <c r="AQ673" s="34"/>
      <c r="AR673" s="34"/>
      <c r="AS673" s="34"/>
      <c r="AT673" s="34"/>
      <c r="AU673" s="34"/>
      <c r="AV673" s="34"/>
      <c r="AW673" s="34"/>
      <c r="AX673" s="34"/>
      <c r="AY673" s="34"/>
      <c r="AZ673" s="34"/>
      <c r="BA673" s="34"/>
      <c r="BB673" s="34"/>
      <c r="BD673" s="34"/>
      <c r="BE673" s="34"/>
      <c r="BF673" s="34"/>
      <c r="BG673" s="34"/>
      <c r="BH673" s="34"/>
      <c r="BI673" s="34"/>
      <c r="BJ673" s="34"/>
      <c r="BK673" s="34"/>
      <c r="BL673" s="34"/>
      <c r="BM673" s="34"/>
      <c r="BN673" s="34"/>
      <c r="BO673" s="34"/>
      <c r="BP673" s="34"/>
      <c r="BQ673" s="34"/>
      <c r="BR673" s="34"/>
      <c r="BS673" s="34"/>
      <c r="BT673" s="34"/>
      <c r="BU673" s="34"/>
      <c r="BV673" s="34"/>
      <c r="BW673" s="34"/>
      <c r="BX673" s="34"/>
      <c r="BY673" s="34"/>
    </row>
    <row r="674" spans="1:77" x14ac:dyDescent="0.3">
      <c r="A674" s="39"/>
      <c r="B674" s="42"/>
      <c r="C674" s="42"/>
      <c r="D674" s="75"/>
      <c r="E674" s="75"/>
      <c r="F674" s="76"/>
      <c r="G674" s="47"/>
      <c r="H674" s="47"/>
      <c r="I674" s="75"/>
      <c r="J674" s="76"/>
      <c r="K674" s="76"/>
      <c r="L674" s="75"/>
      <c r="M674" s="49"/>
      <c r="N674" s="76"/>
      <c r="O674" s="49"/>
      <c r="P674" s="77"/>
      <c r="Q674" s="53"/>
      <c r="R674" s="54"/>
      <c r="S674" s="55"/>
      <c r="T674" s="56"/>
      <c r="U674" s="56"/>
      <c r="V674" s="42"/>
      <c r="W674" s="57"/>
      <c r="X674" s="58"/>
      <c r="Y674" s="75"/>
      <c r="Z674" s="59"/>
      <c r="AA674" s="61"/>
      <c r="AB674" s="61"/>
      <c r="AC674" s="61"/>
      <c r="AD674" s="62"/>
      <c r="AE674" s="62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  <c r="AQ674" s="34"/>
      <c r="AR674" s="34"/>
      <c r="AS674" s="34"/>
      <c r="AT674" s="34"/>
      <c r="AU674" s="34"/>
      <c r="AV674" s="34"/>
      <c r="AW674" s="34"/>
      <c r="AX674" s="34"/>
      <c r="AY674" s="34"/>
      <c r="AZ674" s="34"/>
      <c r="BA674" s="34"/>
      <c r="BB674" s="34"/>
      <c r="BD674" s="34"/>
      <c r="BE674" s="34"/>
      <c r="BF674" s="34"/>
      <c r="BG674" s="34"/>
      <c r="BH674" s="34"/>
      <c r="BI674" s="34"/>
      <c r="BJ674" s="34"/>
      <c r="BK674" s="34"/>
      <c r="BL674" s="34"/>
      <c r="BM674" s="34"/>
      <c r="BN674" s="34"/>
      <c r="BO674" s="34"/>
      <c r="BP674" s="34"/>
      <c r="BQ674" s="34"/>
      <c r="BR674" s="34"/>
      <c r="BS674" s="34"/>
      <c r="BT674" s="34"/>
      <c r="BU674" s="34"/>
      <c r="BV674" s="34"/>
      <c r="BW674" s="34"/>
      <c r="BX674" s="34"/>
      <c r="BY674" s="34"/>
    </row>
    <row r="675" spans="1:77" x14ac:dyDescent="0.3">
      <c r="A675" s="39"/>
      <c r="B675" s="42"/>
      <c r="C675" s="42"/>
      <c r="D675" s="75"/>
      <c r="E675" s="75"/>
      <c r="F675" s="76"/>
      <c r="G675" s="47"/>
      <c r="H675" s="47"/>
      <c r="I675" s="75"/>
      <c r="J675" s="76"/>
      <c r="K675" s="76"/>
      <c r="L675" s="75"/>
      <c r="M675" s="49"/>
      <c r="N675" s="76"/>
      <c r="O675" s="49"/>
      <c r="P675" s="77"/>
      <c r="Q675" s="53"/>
      <c r="R675" s="54"/>
      <c r="S675" s="55"/>
      <c r="T675" s="56"/>
      <c r="U675" s="56"/>
      <c r="V675" s="42"/>
      <c r="W675" s="57"/>
      <c r="X675" s="58"/>
      <c r="Y675" s="75"/>
      <c r="Z675" s="59"/>
      <c r="AA675" s="61"/>
      <c r="AB675" s="61"/>
      <c r="AC675" s="61"/>
      <c r="AD675" s="62"/>
      <c r="AE675" s="62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  <c r="AQ675" s="34"/>
      <c r="AR675" s="34"/>
      <c r="AS675" s="34"/>
      <c r="AT675" s="34"/>
      <c r="AU675" s="34"/>
      <c r="AV675" s="34"/>
      <c r="AW675" s="34"/>
      <c r="AX675" s="34"/>
      <c r="AY675" s="34"/>
      <c r="AZ675" s="34"/>
      <c r="BA675" s="34"/>
      <c r="BB675" s="34"/>
      <c r="BD675" s="34"/>
      <c r="BE675" s="34"/>
      <c r="BF675" s="34"/>
      <c r="BG675" s="34"/>
      <c r="BH675" s="34"/>
      <c r="BI675" s="34"/>
      <c r="BJ675" s="34"/>
      <c r="BK675" s="34"/>
      <c r="BL675" s="34"/>
      <c r="BM675" s="34"/>
      <c r="BN675" s="34"/>
      <c r="BO675" s="34"/>
      <c r="BP675" s="34"/>
      <c r="BQ675" s="34"/>
      <c r="BR675" s="34"/>
      <c r="BS675" s="34"/>
      <c r="BT675" s="34"/>
      <c r="BU675" s="34"/>
      <c r="BV675" s="34"/>
      <c r="BW675" s="34"/>
      <c r="BX675" s="34"/>
      <c r="BY675" s="34"/>
    </row>
    <row r="676" spans="1:77" x14ac:dyDescent="0.3">
      <c r="A676" s="39"/>
      <c r="B676" s="42"/>
      <c r="C676" s="42"/>
      <c r="D676" s="75"/>
      <c r="E676" s="75"/>
      <c r="F676" s="76"/>
      <c r="G676" s="47"/>
      <c r="H676" s="47"/>
      <c r="I676" s="75"/>
      <c r="J676" s="76"/>
      <c r="K676" s="76"/>
      <c r="L676" s="75"/>
      <c r="M676" s="49"/>
      <c r="N676" s="76"/>
      <c r="O676" s="49"/>
      <c r="P676" s="77"/>
      <c r="Q676" s="53"/>
      <c r="R676" s="54"/>
      <c r="S676" s="55"/>
      <c r="T676" s="56"/>
      <c r="U676" s="56"/>
      <c r="V676" s="42"/>
      <c r="W676" s="57"/>
      <c r="X676" s="58"/>
      <c r="Y676" s="75"/>
      <c r="Z676" s="59"/>
      <c r="AA676" s="61"/>
      <c r="AB676" s="61"/>
      <c r="AC676" s="61"/>
      <c r="AD676" s="62"/>
      <c r="AE676" s="62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  <c r="AQ676" s="34"/>
      <c r="AR676" s="34"/>
      <c r="AS676" s="34"/>
      <c r="AT676" s="34"/>
      <c r="AU676" s="34"/>
      <c r="AV676" s="34"/>
      <c r="AW676" s="34"/>
      <c r="AX676" s="34"/>
      <c r="AY676" s="34"/>
      <c r="AZ676" s="34"/>
      <c r="BA676" s="34"/>
      <c r="BB676" s="34"/>
      <c r="BD676" s="34"/>
      <c r="BE676" s="34"/>
      <c r="BF676" s="34"/>
      <c r="BG676" s="34"/>
      <c r="BH676" s="34"/>
      <c r="BI676" s="34"/>
      <c r="BJ676" s="34"/>
      <c r="BK676" s="34"/>
      <c r="BL676" s="34"/>
      <c r="BM676" s="34"/>
      <c r="BN676" s="34"/>
      <c r="BO676" s="34"/>
      <c r="BP676" s="34"/>
      <c r="BQ676" s="34"/>
      <c r="BR676" s="34"/>
      <c r="BS676" s="34"/>
      <c r="BT676" s="34"/>
      <c r="BU676" s="34"/>
      <c r="BV676" s="34"/>
      <c r="BW676" s="34"/>
      <c r="BX676" s="34"/>
      <c r="BY676" s="34"/>
    </row>
    <row r="677" spans="1:77" x14ac:dyDescent="0.3">
      <c r="A677" s="39"/>
      <c r="B677" s="42"/>
      <c r="C677" s="42"/>
      <c r="D677" s="75"/>
      <c r="E677" s="75"/>
      <c r="F677" s="76"/>
      <c r="G677" s="47"/>
      <c r="H677" s="47"/>
      <c r="I677" s="75"/>
      <c r="J677" s="76"/>
      <c r="K677" s="76"/>
      <c r="L677" s="75"/>
      <c r="M677" s="49"/>
      <c r="N677" s="76"/>
      <c r="O677" s="49"/>
      <c r="P677" s="77"/>
      <c r="Q677" s="53"/>
      <c r="R677" s="54"/>
      <c r="S677" s="55"/>
      <c r="T677" s="56"/>
      <c r="U677" s="56"/>
      <c r="V677" s="42"/>
      <c r="W677" s="57"/>
      <c r="X677" s="58"/>
      <c r="Y677" s="75"/>
      <c r="Z677" s="59"/>
      <c r="AA677" s="61"/>
      <c r="AB677" s="61"/>
      <c r="AC677" s="61"/>
      <c r="AD677" s="62"/>
      <c r="AE677" s="62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  <c r="AQ677" s="34"/>
      <c r="AR677" s="34"/>
      <c r="AS677" s="34"/>
      <c r="AT677" s="34"/>
      <c r="AU677" s="34"/>
      <c r="AV677" s="34"/>
      <c r="AW677" s="34"/>
      <c r="AX677" s="34"/>
      <c r="AY677" s="34"/>
      <c r="AZ677" s="34"/>
      <c r="BA677" s="34"/>
      <c r="BB677" s="34"/>
      <c r="BD677" s="34"/>
      <c r="BE677" s="34"/>
      <c r="BF677" s="34"/>
      <c r="BG677" s="34"/>
      <c r="BH677" s="34"/>
      <c r="BI677" s="34"/>
      <c r="BJ677" s="34"/>
      <c r="BK677" s="34"/>
      <c r="BL677" s="34"/>
      <c r="BM677" s="34"/>
      <c r="BN677" s="34"/>
      <c r="BO677" s="34"/>
      <c r="BP677" s="34"/>
      <c r="BQ677" s="34"/>
      <c r="BR677" s="34"/>
      <c r="BS677" s="34"/>
      <c r="BT677" s="34"/>
      <c r="BU677" s="34"/>
      <c r="BV677" s="34"/>
      <c r="BW677" s="34"/>
      <c r="BX677" s="34"/>
      <c r="BY677" s="34"/>
    </row>
    <row r="678" spans="1:77" x14ac:dyDescent="0.3">
      <c r="A678" s="39"/>
      <c r="B678" s="42"/>
      <c r="C678" s="42"/>
      <c r="D678" s="75"/>
      <c r="E678" s="75"/>
      <c r="F678" s="76"/>
      <c r="G678" s="47"/>
      <c r="H678" s="47"/>
      <c r="I678" s="75"/>
      <c r="J678" s="76"/>
      <c r="K678" s="76"/>
      <c r="L678" s="75"/>
      <c r="M678" s="49"/>
      <c r="N678" s="76"/>
      <c r="O678" s="49"/>
      <c r="P678" s="77"/>
      <c r="Q678" s="53"/>
      <c r="R678" s="54"/>
      <c r="S678" s="55"/>
      <c r="T678" s="56"/>
      <c r="U678" s="56"/>
      <c r="V678" s="42"/>
      <c r="W678" s="57"/>
      <c r="X678" s="58"/>
      <c r="Y678" s="75"/>
      <c r="Z678" s="59"/>
      <c r="AA678" s="61"/>
      <c r="AB678" s="61"/>
      <c r="AC678" s="61"/>
      <c r="AD678" s="62"/>
      <c r="AE678" s="62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  <c r="AQ678" s="34"/>
      <c r="AR678" s="34"/>
      <c r="AS678" s="34"/>
      <c r="AT678" s="34"/>
      <c r="AU678" s="34"/>
      <c r="AV678" s="34"/>
      <c r="AW678" s="34"/>
      <c r="AX678" s="34"/>
      <c r="AY678" s="34"/>
      <c r="AZ678" s="34"/>
      <c r="BA678" s="34"/>
      <c r="BB678" s="34"/>
      <c r="BD678" s="34"/>
      <c r="BE678" s="34"/>
      <c r="BF678" s="34"/>
      <c r="BG678" s="34"/>
      <c r="BH678" s="34"/>
      <c r="BI678" s="34"/>
      <c r="BJ678" s="34"/>
      <c r="BK678" s="34"/>
      <c r="BL678" s="34"/>
      <c r="BM678" s="34"/>
      <c r="BN678" s="34"/>
      <c r="BO678" s="34"/>
      <c r="BP678" s="34"/>
      <c r="BQ678" s="34"/>
      <c r="BR678" s="34"/>
      <c r="BS678" s="34"/>
      <c r="BT678" s="34"/>
      <c r="BU678" s="34"/>
      <c r="BV678" s="34"/>
      <c r="BW678" s="34"/>
      <c r="BX678" s="34"/>
      <c r="BY678" s="34"/>
    </row>
    <row r="679" spans="1:77" x14ac:dyDescent="0.3">
      <c r="A679" s="39"/>
      <c r="B679" s="42"/>
      <c r="C679" s="42"/>
      <c r="D679" s="75"/>
      <c r="E679" s="75"/>
      <c r="F679" s="76"/>
      <c r="G679" s="47"/>
      <c r="H679" s="47"/>
      <c r="I679" s="75"/>
      <c r="J679" s="76"/>
      <c r="K679" s="76"/>
      <c r="L679" s="75"/>
      <c r="M679" s="49"/>
      <c r="N679" s="76"/>
      <c r="O679" s="49"/>
      <c r="P679" s="77"/>
      <c r="Q679" s="53"/>
      <c r="R679" s="54"/>
      <c r="S679" s="55"/>
      <c r="T679" s="56"/>
      <c r="U679" s="56"/>
      <c r="V679" s="42"/>
      <c r="W679" s="57"/>
      <c r="X679" s="58"/>
      <c r="Y679" s="75"/>
      <c r="Z679" s="59"/>
      <c r="AA679" s="61"/>
      <c r="AB679" s="61"/>
      <c r="AC679" s="61"/>
      <c r="AD679" s="62"/>
      <c r="AE679" s="62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  <c r="AQ679" s="34"/>
      <c r="AR679" s="34"/>
      <c r="AS679" s="34"/>
      <c r="AT679" s="34"/>
      <c r="AU679" s="34"/>
      <c r="AV679" s="34"/>
      <c r="AW679" s="34"/>
      <c r="AX679" s="34"/>
      <c r="AY679" s="34"/>
      <c r="AZ679" s="34"/>
      <c r="BA679" s="34"/>
      <c r="BB679" s="34"/>
      <c r="BD679" s="34"/>
      <c r="BE679" s="34"/>
      <c r="BF679" s="34"/>
      <c r="BG679" s="34"/>
      <c r="BH679" s="34"/>
      <c r="BI679" s="34"/>
      <c r="BJ679" s="34"/>
      <c r="BK679" s="34"/>
      <c r="BL679" s="34"/>
      <c r="BM679" s="34"/>
      <c r="BN679" s="34"/>
      <c r="BO679" s="34"/>
      <c r="BP679" s="34"/>
      <c r="BQ679" s="34"/>
      <c r="BR679" s="34"/>
      <c r="BS679" s="34"/>
      <c r="BT679" s="34"/>
      <c r="BU679" s="34"/>
      <c r="BV679" s="34"/>
      <c r="BW679" s="34"/>
      <c r="BX679" s="34"/>
      <c r="BY679" s="34"/>
    </row>
    <row r="680" spans="1:77" x14ac:dyDescent="0.3">
      <c r="A680" s="39"/>
      <c r="B680" s="42"/>
      <c r="C680" s="42"/>
      <c r="D680" s="75"/>
      <c r="E680" s="75"/>
      <c r="F680" s="76"/>
      <c r="G680" s="47"/>
      <c r="H680" s="47"/>
      <c r="I680" s="75"/>
      <c r="J680" s="76"/>
      <c r="K680" s="76"/>
      <c r="L680" s="75"/>
      <c r="M680" s="49"/>
      <c r="N680" s="76"/>
      <c r="O680" s="49"/>
      <c r="P680" s="77"/>
      <c r="Q680" s="53"/>
      <c r="R680" s="54"/>
      <c r="S680" s="55"/>
      <c r="T680" s="56"/>
      <c r="U680" s="56"/>
      <c r="V680" s="42"/>
      <c r="W680" s="57"/>
      <c r="X680" s="58"/>
      <c r="Y680" s="75"/>
      <c r="Z680" s="59"/>
      <c r="AA680" s="61"/>
      <c r="AB680" s="61"/>
      <c r="AC680" s="61"/>
      <c r="AD680" s="62"/>
      <c r="AE680" s="62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  <c r="AQ680" s="34"/>
      <c r="AR680" s="34"/>
      <c r="AS680" s="34"/>
      <c r="AT680" s="34"/>
      <c r="AU680" s="34"/>
      <c r="AV680" s="34"/>
      <c r="AW680" s="34"/>
      <c r="AX680" s="34"/>
      <c r="AY680" s="34"/>
      <c r="AZ680" s="34"/>
      <c r="BA680" s="34"/>
      <c r="BB680" s="34"/>
      <c r="BD680" s="34"/>
      <c r="BE680" s="34"/>
      <c r="BF680" s="34"/>
      <c r="BG680" s="34"/>
      <c r="BH680" s="34"/>
      <c r="BI680" s="34"/>
      <c r="BJ680" s="34"/>
      <c r="BK680" s="34"/>
      <c r="BL680" s="34"/>
      <c r="BM680" s="34"/>
      <c r="BN680" s="34"/>
      <c r="BO680" s="34"/>
      <c r="BP680" s="34"/>
      <c r="BQ680" s="34"/>
      <c r="BR680" s="34"/>
      <c r="BS680" s="34"/>
      <c r="BT680" s="34"/>
      <c r="BU680" s="34"/>
      <c r="BV680" s="34"/>
      <c r="BW680" s="34"/>
      <c r="BX680" s="34"/>
      <c r="BY680" s="34"/>
    </row>
    <row r="681" spans="1:77" x14ac:dyDescent="0.3">
      <c r="A681" s="39"/>
      <c r="B681" s="42"/>
      <c r="C681" s="42"/>
      <c r="D681" s="75"/>
      <c r="E681" s="75"/>
      <c r="F681" s="76"/>
      <c r="G681" s="47"/>
      <c r="H681" s="47"/>
      <c r="I681" s="75"/>
      <c r="J681" s="76"/>
      <c r="K681" s="76"/>
      <c r="L681" s="75"/>
      <c r="M681" s="49"/>
      <c r="N681" s="76"/>
      <c r="O681" s="49"/>
      <c r="P681" s="77"/>
      <c r="Q681" s="53"/>
      <c r="R681" s="54"/>
      <c r="S681" s="55"/>
      <c r="T681" s="56"/>
      <c r="U681" s="56"/>
      <c r="V681" s="42"/>
      <c r="W681" s="57"/>
      <c r="X681" s="58"/>
      <c r="Y681" s="75"/>
      <c r="Z681" s="59"/>
      <c r="AA681" s="61"/>
      <c r="AB681" s="61"/>
      <c r="AC681" s="61"/>
      <c r="AD681" s="62"/>
      <c r="AE681" s="62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  <c r="AQ681" s="34"/>
      <c r="AR681" s="34"/>
      <c r="AS681" s="34"/>
      <c r="AT681" s="34"/>
      <c r="AU681" s="34"/>
      <c r="AV681" s="34"/>
      <c r="AW681" s="34"/>
      <c r="AX681" s="34"/>
      <c r="AY681" s="34"/>
      <c r="AZ681" s="34"/>
      <c r="BA681" s="34"/>
      <c r="BB681" s="34"/>
      <c r="BD681" s="34"/>
      <c r="BE681" s="34"/>
      <c r="BF681" s="34"/>
      <c r="BG681" s="34"/>
      <c r="BH681" s="34"/>
      <c r="BI681" s="34"/>
      <c r="BJ681" s="34"/>
      <c r="BK681" s="34"/>
      <c r="BL681" s="34"/>
      <c r="BM681" s="34"/>
      <c r="BN681" s="34"/>
      <c r="BO681" s="34"/>
      <c r="BP681" s="34"/>
      <c r="BQ681" s="34"/>
      <c r="BR681" s="34"/>
      <c r="BS681" s="34"/>
      <c r="BT681" s="34"/>
      <c r="BU681" s="34"/>
      <c r="BV681" s="34"/>
      <c r="BW681" s="34"/>
      <c r="BX681" s="34"/>
      <c r="BY681" s="34"/>
    </row>
    <row r="682" spans="1:77" x14ac:dyDescent="0.3">
      <c r="A682" s="39"/>
      <c r="B682" s="42"/>
      <c r="C682" s="42"/>
      <c r="D682" s="75"/>
      <c r="E682" s="75"/>
      <c r="F682" s="76"/>
      <c r="G682" s="47"/>
      <c r="H682" s="47"/>
      <c r="I682" s="75"/>
      <c r="J682" s="76"/>
      <c r="K682" s="76"/>
      <c r="L682" s="75"/>
      <c r="M682" s="49"/>
      <c r="N682" s="76"/>
      <c r="O682" s="49"/>
      <c r="P682" s="77"/>
      <c r="Q682" s="53"/>
      <c r="R682" s="54"/>
      <c r="S682" s="55"/>
      <c r="T682" s="56"/>
      <c r="U682" s="56"/>
      <c r="V682" s="42"/>
      <c r="W682" s="57"/>
      <c r="X682" s="58"/>
      <c r="Y682" s="75"/>
      <c r="Z682" s="59"/>
      <c r="AA682" s="61"/>
      <c r="AB682" s="61"/>
      <c r="AC682" s="61"/>
      <c r="AD682" s="62"/>
      <c r="AE682" s="62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  <c r="AQ682" s="34"/>
      <c r="AR682" s="34"/>
      <c r="AS682" s="34"/>
      <c r="AT682" s="34"/>
      <c r="AU682" s="34"/>
      <c r="AV682" s="34"/>
      <c r="AW682" s="34"/>
      <c r="AX682" s="34"/>
      <c r="AY682" s="34"/>
      <c r="AZ682" s="34"/>
      <c r="BA682" s="34"/>
      <c r="BB682" s="34"/>
      <c r="BD682" s="34"/>
      <c r="BE682" s="34"/>
      <c r="BF682" s="34"/>
      <c r="BG682" s="34"/>
      <c r="BH682" s="34"/>
      <c r="BI682" s="34"/>
      <c r="BJ682" s="34"/>
      <c r="BK682" s="34"/>
      <c r="BL682" s="34"/>
      <c r="BM682" s="34"/>
      <c r="BN682" s="34"/>
      <c r="BO682" s="34"/>
      <c r="BP682" s="34"/>
      <c r="BQ682" s="34"/>
      <c r="BR682" s="34"/>
      <c r="BS682" s="34"/>
      <c r="BT682" s="34"/>
      <c r="BU682" s="34"/>
      <c r="BV682" s="34"/>
      <c r="BW682" s="34"/>
      <c r="BX682" s="34"/>
      <c r="BY682" s="34"/>
    </row>
    <row r="683" spans="1:77" x14ac:dyDescent="0.3">
      <c r="A683" s="39"/>
      <c r="B683" s="42"/>
      <c r="C683" s="42"/>
      <c r="D683" s="75"/>
      <c r="E683" s="75"/>
      <c r="F683" s="76"/>
      <c r="G683" s="47"/>
      <c r="H683" s="47"/>
      <c r="I683" s="75"/>
      <c r="J683" s="76"/>
      <c r="K683" s="76"/>
      <c r="L683" s="75"/>
      <c r="M683" s="49"/>
      <c r="N683" s="76"/>
      <c r="O683" s="49"/>
      <c r="P683" s="77"/>
      <c r="Q683" s="53"/>
      <c r="R683" s="54"/>
      <c r="S683" s="55"/>
      <c r="T683" s="56"/>
      <c r="U683" s="56"/>
      <c r="V683" s="42"/>
      <c r="W683" s="57"/>
      <c r="X683" s="58"/>
      <c r="Y683" s="75"/>
      <c r="Z683" s="59"/>
      <c r="AA683" s="61"/>
      <c r="AB683" s="61"/>
      <c r="AC683" s="61"/>
      <c r="AD683" s="62"/>
      <c r="AE683" s="62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  <c r="AQ683" s="34"/>
      <c r="AR683" s="34"/>
      <c r="AS683" s="34"/>
      <c r="AT683" s="34"/>
      <c r="AU683" s="34"/>
      <c r="AV683" s="34"/>
      <c r="AW683" s="34"/>
      <c r="AX683" s="34"/>
      <c r="AY683" s="34"/>
      <c r="AZ683" s="34"/>
      <c r="BA683" s="34"/>
      <c r="BB683" s="34"/>
      <c r="BD683" s="34"/>
      <c r="BE683" s="34"/>
      <c r="BF683" s="34"/>
      <c r="BG683" s="34"/>
      <c r="BH683" s="34"/>
      <c r="BI683" s="34"/>
      <c r="BJ683" s="34"/>
      <c r="BK683" s="34"/>
      <c r="BL683" s="34"/>
      <c r="BM683" s="34"/>
      <c r="BN683" s="34"/>
      <c r="BO683" s="34"/>
      <c r="BP683" s="34"/>
      <c r="BQ683" s="34"/>
      <c r="BR683" s="34"/>
      <c r="BS683" s="34"/>
      <c r="BT683" s="34"/>
      <c r="BU683" s="34"/>
      <c r="BV683" s="34"/>
      <c r="BW683" s="34"/>
      <c r="BX683" s="34"/>
      <c r="BY683" s="34"/>
    </row>
    <row r="684" spans="1:77" x14ac:dyDescent="0.3">
      <c r="A684" s="39"/>
      <c r="B684" s="42"/>
      <c r="C684" s="42"/>
      <c r="D684" s="75"/>
      <c r="E684" s="75"/>
      <c r="F684" s="76"/>
      <c r="G684" s="47"/>
      <c r="H684" s="47"/>
      <c r="I684" s="75"/>
      <c r="J684" s="76"/>
      <c r="K684" s="76"/>
      <c r="L684" s="75"/>
      <c r="M684" s="49"/>
      <c r="N684" s="76"/>
      <c r="O684" s="49"/>
      <c r="P684" s="77"/>
      <c r="Q684" s="53"/>
      <c r="R684" s="54"/>
      <c r="S684" s="55"/>
      <c r="T684" s="56"/>
      <c r="U684" s="56"/>
      <c r="V684" s="42"/>
      <c r="W684" s="57"/>
      <c r="X684" s="58"/>
      <c r="Y684" s="75"/>
      <c r="Z684" s="59"/>
      <c r="AA684" s="61"/>
      <c r="AB684" s="61"/>
      <c r="AC684" s="61"/>
      <c r="AD684" s="62"/>
      <c r="AE684" s="62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  <c r="AQ684" s="34"/>
      <c r="AR684" s="34"/>
      <c r="AS684" s="34"/>
      <c r="AT684" s="34"/>
      <c r="AU684" s="34"/>
      <c r="AV684" s="34"/>
      <c r="AW684" s="34"/>
      <c r="AX684" s="34"/>
      <c r="AY684" s="34"/>
      <c r="AZ684" s="34"/>
      <c r="BA684" s="34"/>
      <c r="BB684" s="34"/>
      <c r="BD684" s="34"/>
      <c r="BE684" s="34"/>
      <c r="BF684" s="34"/>
      <c r="BG684" s="34"/>
      <c r="BH684" s="34"/>
      <c r="BI684" s="34"/>
      <c r="BJ684" s="34"/>
      <c r="BK684" s="34"/>
      <c r="BL684" s="34"/>
      <c r="BM684" s="34"/>
      <c r="BN684" s="34"/>
      <c r="BO684" s="34"/>
      <c r="BP684" s="34"/>
      <c r="BQ684" s="34"/>
      <c r="BR684" s="34"/>
      <c r="BS684" s="34"/>
      <c r="BT684" s="34"/>
      <c r="BU684" s="34"/>
      <c r="BV684" s="34"/>
      <c r="BW684" s="34"/>
      <c r="BX684" s="34"/>
      <c r="BY684" s="34"/>
    </row>
    <row r="685" spans="1:77" x14ac:dyDescent="0.3">
      <c r="A685" s="39"/>
      <c r="B685" s="42"/>
      <c r="C685" s="42"/>
      <c r="D685" s="75"/>
      <c r="E685" s="75"/>
      <c r="F685" s="76"/>
      <c r="G685" s="47"/>
      <c r="H685" s="47"/>
      <c r="I685" s="75"/>
      <c r="J685" s="76"/>
      <c r="K685" s="76"/>
      <c r="L685" s="75"/>
      <c r="M685" s="49"/>
      <c r="N685" s="76"/>
      <c r="O685" s="49"/>
      <c r="P685" s="77"/>
      <c r="Q685" s="53"/>
      <c r="R685" s="54"/>
      <c r="S685" s="55"/>
      <c r="T685" s="56"/>
      <c r="U685" s="56"/>
      <c r="V685" s="42"/>
      <c r="W685" s="57"/>
      <c r="X685" s="58"/>
      <c r="Y685" s="75"/>
      <c r="Z685" s="59"/>
      <c r="AA685" s="61"/>
      <c r="AB685" s="61"/>
      <c r="AC685" s="61"/>
      <c r="AD685" s="62"/>
      <c r="AE685" s="62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  <c r="AQ685" s="34"/>
      <c r="AR685" s="34"/>
      <c r="AS685" s="34"/>
      <c r="AT685" s="34"/>
      <c r="AU685" s="34"/>
      <c r="AV685" s="34"/>
      <c r="AW685" s="34"/>
      <c r="AX685" s="34"/>
      <c r="AY685" s="34"/>
      <c r="AZ685" s="34"/>
      <c r="BA685" s="34"/>
      <c r="BB685" s="34"/>
      <c r="BD685" s="34"/>
      <c r="BE685" s="34"/>
      <c r="BF685" s="34"/>
      <c r="BG685" s="34"/>
      <c r="BH685" s="34"/>
      <c r="BI685" s="34"/>
      <c r="BJ685" s="34"/>
      <c r="BK685" s="34"/>
      <c r="BL685" s="34"/>
      <c r="BM685" s="34"/>
      <c r="BN685" s="34"/>
      <c r="BO685" s="34"/>
      <c r="BP685" s="34"/>
      <c r="BQ685" s="34"/>
      <c r="BR685" s="34"/>
      <c r="BS685" s="34"/>
      <c r="BT685" s="34"/>
      <c r="BU685" s="34"/>
      <c r="BV685" s="34"/>
      <c r="BW685" s="34"/>
      <c r="BX685" s="34"/>
      <c r="BY685" s="34"/>
    </row>
    <row r="686" spans="1:77" x14ac:dyDescent="0.3">
      <c r="A686" s="39"/>
      <c r="B686" s="42"/>
      <c r="C686" s="42"/>
      <c r="D686" s="75"/>
      <c r="E686" s="75"/>
      <c r="F686" s="76"/>
      <c r="G686" s="47"/>
      <c r="H686" s="47"/>
      <c r="I686" s="75"/>
      <c r="J686" s="76"/>
      <c r="K686" s="76"/>
      <c r="L686" s="75"/>
      <c r="M686" s="49"/>
      <c r="N686" s="76"/>
      <c r="O686" s="49"/>
      <c r="P686" s="77"/>
      <c r="Q686" s="53"/>
      <c r="R686" s="54"/>
      <c r="S686" s="55"/>
      <c r="T686" s="56"/>
      <c r="U686" s="56"/>
      <c r="V686" s="42"/>
      <c r="W686" s="57"/>
      <c r="X686" s="58"/>
      <c r="Y686" s="75"/>
      <c r="Z686" s="59"/>
      <c r="AA686" s="61"/>
      <c r="AB686" s="61"/>
      <c r="AC686" s="61"/>
      <c r="AD686" s="62"/>
      <c r="AE686" s="62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  <c r="AQ686" s="34"/>
      <c r="AR686" s="34"/>
      <c r="AS686" s="34"/>
      <c r="AT686" s="34"/>
      <c r="AU686" s="34"/>
      <c r="AV686" s="34"/>
      <c r="AW686" s="34"/>
      <c r="AX686" s="34"/>
      <c r="AY686" s="34"/>
      <c r="AZ686" s="34"/>
      <c r="BA686" s="34"/>
      <c r="BB686" s="34"/>
      <c r="BD686" s="34"/>
      <c r="BE686" s="34"/>
      <c r="BF686" s="34"/>
      <c r="BG686" s="34"/>
      <c r="BH686" s="34"/>
      <c r="BI686" s="34"/>
      <c r="BJ686" s="34"/>
      <c r="BK686" s="34"/>
      <c r="BL686" s="34"/>
      <c r="BM686" s="34"/>
      <c r="BN686" s="34"/>
      <c r="BO686" s="34"/>
      <c r="BP686" s="34"/>
      <c r="BQ686" s="34"/>
      <c r="BR686" s="34"/>
      <c r="BS686" s="34"/>
      <c r="BT686" s="34"/>
      <c r="BU686" s="34"/>
      <c r="BV686" s="34"/>
      <c r="BW686" s="34"/>
      <c r="BX686" s="34"/>
      <c r="BY686" s="34"/>
    </row>
    <row r="687" spans="1:77" x14ac:dyDescent="0.3">
      <c r="A687" s="39"/>
      <c r="B687" s="42"/>
      <c r="C687" s="42"/>
      <c r="D687" s="75"/>
      <c r="E687" s="75"/>
      <c r="F687" s="76"/>
      <c r="G687" s="47"/>
      <c r="H687" s="47"/>
      <c r="I687" s="75"/>
      <c r="J687" s="76"/>
      <c r="K687" s="76"/>
      <c r="L687" s="75"/>
      <c r="M687" s="49"/>
      <c r="N687" s="76"/>
      <c r="O687" s="49"/>
      <c r="P687" s="77"/>
      <c r="Q687" s="53"/>
      <c r="R687" s="54"/>
      <c r="S687" s="55"/>
      <c r="T687" s="56"/>
      <c r="U687" s="56"/>
      <c r="V687" s="42"/>
      <c r="W687" s="57"/>
      <c r="X687" s="58"/>
      <c r="Y687" s="75"/>
      <c r="Z687" s="59"/>
      <c r="AA687" s="61"/>
      <c r="AB687" s="61"/>
      <c r="AC687" s="61"/>
      <c r="AD687" s="62"/>
      <c r="AE687" s="62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  <c r="AQ687" s="34"/>
      <c r="AR687" s="34"/>
      <c r="AS687" s="34"/>
      <c r="AT687" s="34"/>
      <c r="AU687" s="34"/>
      <c r="AV687" s="34"/>
      <c r="AW687" s="34"/>
      <c r="AX687" s="34"/>
      <c r="AY687" s="34"/>
      <c r="AZ687" s="34"/>
      <c r="BA687" s="34"/>
      <c r="BB687" s="34"/>
      <c r="BD687" s="34"/>
      <c r="BE687" s="34"/>
      <c r="BF687" s="34"/>
      <c r="BG687" s="34"/>
      <c r="BH687" s="34"/>
      <c r="BI687" s="34"/>
      <c r="BJ687" s="34"/>
      <c r="BK687" s="34"/>
      <c r="BL687" s="34"/>
      <c r="BM687" s="34"/>
      <c r="BN687" s="34"/>
      <c r="BO687" s="34"/>
      <c r="BP687" s="34"/>
      <c r="BQ687" s="34"/>
      <c r="BR687" s="34"/>
      <c r="BS687" s="34"/>
      <c r="BT687" s="34"/>
      <c r="BU687" s="34"/>
      <c r="BV687" s="34"/>
      <c r="BW687" s="34"/>
      <c r="BX687" s="34"/>
      <c r="BY687" s="34"/>
    </row>
    <row r="688" spans="1:77" x14ac:dyDescent="0.3">
      <c r="A688" s="39"/>
      <c r="B688" s="42"/>
      <c r="C688" s="42"/>
      <c r="D688" s="75"/>
      <c r="E688" s="75"/>
      <c r="F688" s="76"/>
      <c r="G688" s="47"/>
      <c r="H688" s="47"/>
      <c r="I688" s="75"/>
      <c r="J688" s="76"/>
      <c r="K688" s="76"/>
      <c r="L688" s="75"/>
      <c r="M688" s="49"/>
      <c r="N688" s="76"/>
      <c r="O688" s="49"/>
      <c r="P688" s="77"/>
      <c r="Q688" s="53"/>
      <c r="R688" s="54"/>
      <c r="S688" s="55"/>
      <c r="T688" s="56"/>
      <c r="U688" s="56"/>
      <c r="V688" s="42"/>
      <c r="W688" s="57"/>
      <c r="X688" s="58"/>
      <c r="Y688" s="75"/>
      <c r="Z688" s="59"/>
      <c r="AA688" s="61"/>
      <c r="AB688" s="61"/>
      <c r="AC688" s="61"/>
      <c r="AD688" s="62"/>
      <c r="AE688" s="62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  <c r="AQ688" s="34"/>
      <c r="AR688" s="34"/>
      <c r="AS688" s="34"/>
      <c r="AT688" s="34"/>
      <c r="AU688" s="34"/>
      <c r="AV688" s="34"/>
      <c r="AW688" s="34"/>
      <c r="AX688" s="34"/>
      <c r="AY688" s="34"/>
      <c r="AZ688" s="34"/>
      <c r="BA688" s="34"/>
      <c r="BB688" s="34"/>
      <c r="BD688" s="34"/>
      <c r="BE688" s="34"/>
      <c r="BF688" s="34"/>
      <c r="BG688" s="34"/>
      <c r="BH688" s="34"/>
      <c r="BI688" s="34"/>
      <c r="BJ688" s="34"/>
      <c r="BK688" s="34"/>
      <c r="BL688" s="34"/>
      <c r="BM688" s="34"/>
      <c r="BN688" s="34"/>
      <c r="BO688" s="34"/>
      <c r="BP688" s="34"/>
      <c r="BQ688" s="34"/>
      <c r="BR688" s="34"/>
      <c r="BS688" s="34"/>
      <c r="BT688" s="34"/>
      <c r="BU688" s="34"/>
      <c r="BV688" s="34"/>
      <c r="BW688" s="34"/>
      <c r="BX688" s="34"/>
      <c r="BY688" s="34"/>
    </row>
    <row r="689" spans="1:77" x14ac:dyDescent="0.3">
      <c r="A689" s="39"/>
      <c r="B689" s="42"/>
      <c r="C689" s="42"/>
      <c r="D689" s="75"/>
      <c r="E689" s="75"/>
      <c r="F689" s="76"/>
      <c r="G689" s="47"/>
      <c r="H689" s="47"/>
      <c r="I689" s="75"/>
      <c r="J689" s="76"/>
      <c r="K689" s="76"/>
      <c r="L689" s="75"/>
      <c r="M689" s="49"/>
      <c r="N689" s="76"/>
      <c r="O689" s="49"/>
      <c r="P689" s="77"/>
      <c r="Q689" s="53"/>
      <c r="R689" s="54"/>
      <c r="S689" s="55"/>
      <c r="T689" s="56"/>
      <c r="U689" s="56"/>
      <c r="V689" s="42"/>
      <c r="W689" s="57"/>
      <c r="X689" s="58"/>
      <c r="Y689" s="75"/>
      <c r="Z689" s="59"/>
      <c r="AA689" s="61"/>
      <c r="AB689" s="61"/>
      <c r="AC689" s="61"/>
      <c r="AD689" s="62"/>
      <c r="AE689" s="62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  <c r="AQ689" s="34"/>
      <c r="AR689" s="34"/>
      <c r="AS689" s="34"/>
      <c r="AT689" s="34"/>
      <c r="AU689" s="34"/>
      <c r="AV689" s="34"/>
      <c r="AW689" s="34"/>
      <c r="AX689" s="34"/>
      <c r="AY689" s="34"/>
      <c r="AZ689" s="34"/>
      <c r="BA689" s="34"/>
      <c r="BB689" s="34"/>
      <c r="BD689" s="34"/>
      <c r="BE689" s="34"/>
      <c r="BF689" s="34"/>
      <c r="BG689" s="34"/>
      <c r="BH689" s="34"/>
      <c r="BI689" s="34"/>
      <c r="BJ689" s="34"/>
      <c r="BK689" s="34"/>
      <c r="BL689" s="34"/>
      <c r="BM689" s="34"/>
      <c r="BN689" s="34"/>
      <c r="BO689" s="34"/>
      <c r="BP689" s="34"/>
      <c r="BQ689" s="34"/>
      <c r="BR689" s="34"/>
      <c r="BS689" s="34"/>
      <c r="BT689" s="34"/>
      <c r="BU689" s="34"/>
      <c r="BV689" s="34"/>
      <c r="BW689" s="34"/>
      <c r="BX689" s="34"/>
      <c r="BY689" s="34"/>
    </row>
    <row r="690" spans="1:77" x14ac:dyDescent="0.3">
      <c r="A690" s="39"/>
      <c r="B690" s="42"/>
      <c r="C690" s="42"/>
      <c r="D690" s="75"/>
      <c r="E690" s="75"/>
      <c r="F690" s="76"/>
      <c r="G690" s="47"/>
      <c r="H690" s="47"/>
      <c r="I690" s="75"/>
      <c r="J690" s="76"/>
      <c r="K690" s="76"/>
      <c r="L690" s="75"/>
      <c r="M690" s="49"/>
      <c r="N690" s="76"/>
      <c r="O690" s="49"/>
      <c r="P690" s="77"/>
      <c r="Q690" s="53"/>
      <c r="R690" s="54"/>
      <c r="S690" s="55"/>
      <c r="T690" s="56"/>
      <c r="U690" s="56"/>
      <c r="V690" s="42"/>
      <c r="W690" s="57"/>
      <c r="X690" s="58"/>
      <c r="Y690" s="75"/>
      <c r="Z690" s="59"/>
      <c r="AA690" s="61"/>
      <c r="AB690" s="61"/>
      <c r="AC690" s="61"/>
      <c r="AD690" s="62"/>
      <c r="AE690" s="62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  <c r="AQ690" s="34"/>
      <c r="AR690" s="34"/>
      <c r="AS690" s="34"/>
      <c r="AT690" s="34"/>
      <c r="AU690" s="34"/>
      <c r="AV690" s="34"/>
      <c r="AW690" s="34"/>
      <c r="AX690" s="34"/>
      <c r="AY690" s="34"/>
      <c r="AZ690" s="34"/>
      <c r="BA690" s="34"/>
      <c r="BB690" s="34"/>
      <c r="BD690" s="34"/>
      <c r="BE690" s="34"/>
      <c r="BF690" s="34"/>
      <c r="BG690" s="34"/>
      <c r="BH690" s="34"/>
      <c r="BI690" s="34"/>
      <c r="BJ690" s="34"/>
      <c r="BK690" s="34"/>
      <c r="BL690" s="34"/>
      <c r="BM690" s="34"/>
      <c r="BN690" s="34"/>
      <c r="BO690" s="34"/>
      <c r="BP690" s="34"/>
      <c r="BQ690" s="34"/>
      <c r="BR690" s="34"/>
      <c r="BS690" s="34"/>
      <c r="BT690" s="34"/>
      <c r="BU690" s="34"/>
      <c r="BV690" s="34"/>
      <c r="BW690" s="34"/>
      <c r="BX690" s="34"/>
      <c r="BY690" s="34"/>
    </row>
    <row r="691" spans="1:77" x14ac:dyDescent="0.3">
      <c r="A691" s="39"/>
      <c r="B691" s="42"/>
      <c r="C691" s="42"/>
      <c r="D691" s="75"/>
      <c r="E691" s="75"/>
      <c r="F691" s="76"/>
      <c r="G691" s="47"/>
      <c r="H691" s="47"/>
      <c r="I691" s="75"/>
      <c r="J691" s="76"/>
      <c r="K691" s="76"/>
      <c r="L691" s="75"/>
      <c r="M691" s="49"/>
      <c r="N691" s="76"/>
      <c r="O691" s="49"/>
      <c r="P691" s="77"/>
      <c r="Q691" s="53"/>
      <c r="R691" s="54"/>
      <c r="S691" s="55"/>
      <c r="T691" s="56"/>
      <c r="U691" s="56"/>
      <c r="V691" s="42"/>
      <c r="W691" s="57"/>
      <c r="X691" s="58"/>
      <c r="Y691" s="75"/>
      <c r="Z691" s="59"/>
      <c r="AA691" s="61"/>
      <c r="AB691" s="61"/>
      <c r="AC691" s="61"/>
      <c r="AD691" s="62"/>
      <c r="AE691" s="62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  <c r="AQ691" s="34"/>
      <c r="AR691" s="34"/>
      <c r="AS691" s="34"/>
      <c r="AT691" s="34"/>
      <c r="AU691" s="34"/>
      <c r="AV691" s="34"/>
      <c r="AW691" s="34"/>
      <c r="AX691" s="34"/>
      <c r="AY691" s="34"/>
      <c r="AZ691" s="34"/>
      <c r="BA691" s="34"/>
      <c r="BB691" s="34"/>
      <c r="BD691" s="34"/>
      <c r="BE691" s="34"/>
      <c r="BF691" s="34"/>
      <c r="BG691" s="34"/>
      <c r="BH691" s="34"/>
      <c r="BI691" s="34"/>
      <c r="BJ691" s="34"/>
      <c r="BK691" s="34"/>
      <c r="BL691" s="34"/>
      <c r="BM691" s="34"/>
      <c r="BN691" s="34"/>
      <c r="BO691" s="34"/>
      <c r="BP691" s="34"/>
      <c r="BQ691" s="34"/>
      <c r="BR691" s="34"/>
      <c r="BS691" s="34"/>
      <c r="BT691" s="34"/>
      <c r="BU691" s="34"/>
      <c r="BV691" s="34"/>
      <c r="BW691" s="34"/>
      <c r="BX691" s="34"/>
      <c r="BY691" s="34"/>
    </row>
    <row r="692" spans="1:77" x14ac:dyDescent="0.3">
      <c r="A692" s="39"/>
      <c r="B692" s="42"/>
      <c r="C692" s="42"/>
      <c r="D692" s="75"/>
      <c r="E692" s="75"/>
      <c r="F692" s="76"/>
      <c r="G692" s="47"/>
      <c r="H692" s="47"/>
      <c r="I692" s="75"/>
      <c r="J692" s="76"/>
      <c r="K692" s="76"/>
      <c r="L692" s="75"/>
      <c r="M692" s="49"/>
      <c r="N692" s="76"/>
      <c r="O692" s="49"/>
      <c r="P692" s="77"/>
      <c r="Q692" s="53"/>
      <c r="R692" s="54"/>
      <c r="S692" s="55"/>
      <c r="T692" s="56"/>
      <c r="U692" s="56"/>
      <c r="V692" s="42"/>
      <c r="W692" s="57"/>
      <c r="X692" s="58"/>
      <c r="Y692" s="75"/>
      <c r="Z692" s="59"/>
      <c r="AA692" s="61"/>
      <c r="AB692" s="61"/>
      <c r="AC692" s="61"/>
      <c r="AD692" s="62"/>
      <c r="AE692" s="62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34"/>
      <c r="AR692" s="34"/>
      <c r="AS692" s="34"/>
      <c r="AT692" s="34"/>
      <c r="AU692" s="34"/>
      <c r="AV692" s="34"/>
      <c r="AW692" s="34"/>
      <c r="AX692" s="34"/>
      <c r="AY692" s="34"/>
      <c r="AZ692" s="34"/>
      <c r="BA692" s="34"/>
      <c r="BB692" s="34"/>
      <c r="BD692" s="34"/>
      <c r="BE692" s="34"/>
      <c r="BF692" s="34"/>
      <c r="BG692" s="34"/>
      <c r="BH692" s="34"/>
      <c r="BI692" s="34"/>
      <c r="BJ692" s="34"/>
      <c r="BK692" s="34"/>
      <c r="BL692" s="34"/>
      <c r="BM692" s="34"/>
      <c r="BN692" s="34"/>
      <c r="BO692" s="34"/>
      <c r="BP692" s="34"/>
      <c r="BQ692" s="34"/>
      <c r="BR692" s="34"/>
      <c r="BS692" s="34"/>
      <c r="BT692" s="34"/>
      <c r="BU692" s="34"/>
      <c r="BV692" s="34"/>
      <c r="BW692" s="34"/>
      <c r="BX692" s="34"/>
      <c r="BY692" s="34"/>
    </row>
    <row r="693" spans="1:77" x14ac:dyDescent="0.3">
      <c r="A693" s="39"/>
      <c r="B693" s="42"/>
      <c r="C693" s="42"/>
      <c r="D693" s="75"/>
      <c r="E693" s="75"/>
      <c r="F693" s="76"/>
      <c r="G693" s="47"/>
      <c r="H693" s="47"/>
      <c r="I693" s="75"/>
      <c r="J693" s="76"/>
      <c r="K693" s="76"/>
      <c r="L693" s="75"/>
      <c r="M693" s="49"/>
      <c r="N693" s="76"/>
      <c r="O693" s="49"/>
      <c r="P693" s="77"/>
      <c r="Q693" s="53"/>
      <c r="R693" s="54"/>
      <c r="S693" s="55"/>
      <c r="T693" s="56"/>
      <c r="U693" s="56"/>
      <c r="V693" s="42"/>
      <c r="W693" s="57"/>
      <c r="X693" s="58"/>
      <c r="Y693" s="75"/>
      <c r="Z693" s="59"/>
      <c r="AA693" s="61"/>
      <c r="AB693" s="61"/>
      <c r="AC693" s="61"/>
      <c r="AD693" s="62"/>
      <c r="AE693" s="62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  <c r="AQ693" s="34"/>
      <c r="AR693" s="34"/>
      <c r="AS693" s="34"/>
      <c r="AT693" s="34"/>
      <c r="AU693" s="34"/>
      <c r="AV693" s="34"/>
      <c r="AW693" s="34"/>
      <c r="AX693" s="34"/>
      <c r="AY693" s="34"/>
      <c r="AZ693" s="34"/>
      <c r="BA693" s="34"/>
      <c r="BB693" s="34"/>
      <c r="BD693" s="34"/>
      <c r="BE693" s="34"/>
      <c r="BF693" s="34"/>
      <c r="BG693" s="34"/>
      <c r="BH693" s="34"/>
      <c r="BI693" s="34"/>
      <c r="BJ693" s="34"/>
      <c r="BK693" s="34"/>
      <c r="BL693" s="34"/>
      <c r="BM693" s="34"/>
      <c r="BN693" s="34"/>
      <c r="BO693" s="34"/>
      <c r="BP693" s="34"/>
      <c r="BQ693" s="34"/>
      <c r="BR693" s="34"/>
      <c r="BS693" s="34"/>
      <c r="BT693" s="34"/>
      <c r="BU693" s="34"/>
      <c r="BV693" s="34"/>
      <c r="BW693" s="34"/>
      <c r="BX693" s="34"/>
      <c r="BY693" s="34"/>
    </row>
    <row r="694" spans="1:77" x14ac:dyDescent="0.3">
      <c r="A694" s="39"/>
      <c r="B694" s="42"/>
      <c r="C694" s="42"/>
      <c r="D694" s="75"/>
      <c r="E694" s="75"/>
      <c r="F694" s="76"/>
      <c r="G694" s="47"/>
      <c r="H694" s="47"/>
      <c r="I694" s="75"/>
      <c r="J694" s="76"/>
      <c r="K694" s="76"/>
      <c r="L694" s="75"/>
      <c r="M694" s="49"/>
      <c r="N694" s="76"/>
      <c r="O694" s="49"/>
      <c r="P694" s="77"/>
      <c r="Q694" s="53"/>
      <c r="R694" s="54"/>
      <c r="S694" s="55"/>
      <c r="T694" s="56"/>
      <c r="U694" s="56"/>
      <c r="V694" s="42"/>
      <c r="W694" s="57"/>
      <c r="X694" s="58"/>
      <c r="Y694" s="75"/>
      <c r="Z694" s="59"/>
      <c r="AA694" s="61"/>
      <c r="AB694" s="61"/>
      <c r="AC694" s="61"/>
      <c r="AD694" s="62"/>
      <c r="AE694" s="62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34"/>
      <c r="AR694" s="34"/>
      <c r="AS694" s="34"/>
      <c r="AT694" s="34"/>
      <c r="AU694" s="34"/>
      <c r="AV694" s="34"/>
      <c r="AW694" s="34"/>
      <c r="AX694" s="34"/>
      <c r="AY694" s="34"/>
      <c r="AZ694" s="34"/>
      <c r="BA694" s="34"/>
      <c r="BB694" s="34"/>
      <c r="BD694" s="34"/>
      <c r="BE694" s="34"/>
      <c r="BF694" s="34"/>
      <c r="BG694" s="34"/>
      <c r="BH694" s="34"/>
      <c r="BI694" s="34"/>
      <c r="BJ694" s="34"/>
      <c r="BK694" s="34"/>
      <c r="BL694" s="34"/>
      <c r="BM694" s="34"/>
      <c r="BN694" s="34"/>
      <c r="BO694" s="34"/>
      <c r="BP694" s="34"/>
      <c r="BQ694" s="34"/>
      <c r="BR694" s="34"/>
      <c r="BS694" s="34"/>
      <c r="BT694" s="34"/>
      <c r="BU694" s="34"/>
      <c r="BV694" s="34"/>
      <c r="BW694" s="34"/>
      <c r="BX694" s="34"/>
      <c r="BY694" s="34"/>
    </row>
    <row r="695" spans="1:77" x14ac:dyDescent="0.3">
      <c r="A695" s="39"/>
      <c r="B695" s="42"/>
      <c r="C695" s="42"/>
      <c r="D695" s="75"/>
      <c r="E695" s="75"/>
      <c r="F695" s="76"/>
      <c r="G695" s="47"/>
      <c r="H695" s="47"/>
      <c r="I695" s="75"/>
      <c r="J695" s="76"/>
      <c r="K695" s="76"/>
      <c r="L695" s="75"/>
      <c r="M695" s="49"/>
      <c r="N695" s="76"/>
      <c r="O695" s="49"/>
      <c r="P695" s="77"/>
      <c r="Q695" s="53"/>
      <c r="R695" s="54"/>
      <c r="S695" s="55"/>
      <c r="T695" s="56"/>
      <c r="U695" s="56"/>
      <c r="V695" s="42"/>
      <c r="W695" s="57"/>
      <c r="X695" s="58"/>
      <c r="Y695" s="75"/>
      <c r="Z695" s="59"/>
      <c r="AA695" s="61"/>
      <c r="AB695" s="61"/>
      <c r="AC695" s="61"/>
      <c r="AD695" s="62"/>
      <c r="AE695" s="62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34"/>
      <c r="AR695" s="34"/>
      <c r="AS695" s="34"/>
      <c r="AT695" s="34"/>
      <c r="AU695" s="34"/>
      <c r="AV695" s="34"/>
      <c r="AW695" s="34"/>
      <c r="AX695" s="34"/>
      <c r="AY695" s="34"/>
      <c r="AZ695" s="34"/>
      <c r="BA695" s="34"/>
      <c r="BB695" s="34"/>
      <c r="BD695" s="34"/>
      <c r="BE695" s="34"/>
      <c r="BF695" s="34"/>
      <c r="BG695" s="34"/>
      <c r="BH695" s="34"/>
      <c r="BI695" s="34"/>
      <c r="BJ695" s="34"/>
      <c r="BK695" s="34"/>
      <c r="BL695" s="34"/>
      <c r="BM695" s="34"/>
      <c r="BN695" s="34"/>
      <c r="BO695" s="34"/>
      <c r="BP695" s="34"/>
      <c r="BQ695" s="34"/>
      <c r="BR695" s="34"/>
      <c r="BS695" s="34"/>
      <c r="BT695" s="34"/>
      <c r="BU695" s="34"/>
      <c r="BV695" s="34"/>
      <c r="BW695" s="34"/>
      <c r="BX695" s="34"/>
      <c r="BY695" s="34"/>
    </row>
    <row r="696" spans="1:77" x14ac:dyDescent="0.3">
      <c r="A696" s="39"/>
      <c r="B696" s="42"/>
      <c r="C696" s="42"/>
      <c r="D696" s="75"/>
      <c r="E696" s="75"/>
      <c r="F696" s="76"/>
      <c r="G696" s="47"/>
      <c r="H696" s="47"/>
      <c r="I696" s="75"/>
      <c r="J696" s="76"/>
      <c r="K696" s="76"/>
      <c r="L696" s="75"/>
      <c r="M696" s="49"/>
      <c r="N696" s="76"/>
      <c r="O696" s="49"/>
      <c r="P696" s="77"/>
      <c r="Q696" s="53"/>
      <c r="R696" s="54"/>
      <c r="S696" s="55"/>
      <c r="T696" s="56"/>
      <c r="U696" s="56"/>
      <c r="V696" s="42"/>
      <c r="W696" s="57"/>
      <c r="X696" s="58"/>
      <c r="Y696" s="75"/>
      <c r="Z696" s="59"/>
      <c r="AA696" s="61"/>
      <c r="AB696" s="61"/>
      <c r="AC696" s="61"/>
      <c r="AD696" s="62"/>
      <c r="AE696" s="62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34"/>
      <c r="AR696" s="34"/>
      <c r="AS696" s="34"/>
      <c r="AT696" s="34"/>
      <c r="AU696" s="34"/>
      <c r="AV696" s="34"/>
      <c r="AW696" s="34"/>
      <c r="AX696" s="34"/>
      <c r="AY696" s="34"/>
      <c r="AZ696" s="34"/>
      <c r="BA696" s="34"/>
      <c r="BB696" s="34"/>
      <c r="BD696" s="34"/>
      <c r="BE696" s="34"/>
      <c r="BF696" s="34"/>
      <c r="BG696" s="34"/>
      <c r="BH696" s="34"/>
      <c r="BI696" s="34"/>
      <c r="BJ696" s="34"/>
      <c r="BK696" s="34"/>
      <c r="BL696" s="34"/>
      <c r="BM696" s="34"/>
      <c r="BN696" s="34"/>
      <c r="BO696" s="34"/>
      <c r="BP696" s="34"/>
      <c r="BQ696" s="34"/>
      <c r="BR696" s="34"/>
      <c r="BS696" s="34"/>
      <c r="BT696" s="34"/>
      <c r="BU696" s="34"/>
      <c r="BV696" s="34"/>
      <c r="BW696" s="34"/>
      <c r="BX696" s="34"/>
      <c r="BY696" s="34"/>
    </row>
    <row r="697" spans="1:77" x14ac:dyDescent="0.3">
      <c r="A697" s="39"/>
      <c r="B697" s="42"/>
      <c r="C697" s="42"/>
      <c r="D697" s="75"/>
      <c r="E697" s="75"/>
      <c r="F697" s="76"/>
      <c r="G697" s="47"/>
      <c r="H697" s="47"/>
      <c r="I697" s="75"/>
      <c r="J697" s="76"/>
      <c r="K697" s="76"/>
      <c r="L697" s="75"/>
      <c r="M697" s="49"/>
      <c r="N697" s="76"/>
      <c r="O697" s="49"/>
      <c r="P697" s="77"/>
      <c r="Q697" s="53"/>
      <c r="R697" s="54"/>
      <c r="S697" s="55"/>
      <c r="T697" s="56"/>
      <c r="U697" s="56"/>
      <c r="V697" s="42"/>
      <c r="W697" s="57"/>
      <c r="X697" s="58"/>
      <c r="Y697" s="75"/>
      <c r="Z697" s="59"/>
      <c r="AA697" s="61"/>
      <c r="AB697" s="61"/>
      <c r="AC697" s="61"/>
      <c r="AD697" s="62"/>
      <c r="AE697" s="62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  <c r="AR697" s="34"/>
      <c r="AS697" s="34"/>
      <c r="AT697" s="34"/>
      <c r="AU697" s="34"/>
      <c r="AV697" s="34"/>
      <c r="AW697" s="34"/>
      <c r="AX697" s="34"/>
      <c r="AY697" s="34"/>
      <c r="AZ697" s="34"/>
      <c r="BA697" s="34"/>
      <c r="BB697" s="34"/>
      <c r="BD697" s="34"/>
      <c r="BE697" s="34"/>
      <c r="BF697" s="34"/>
      <c r="BG697" s="34"/>
      <c r="BH697" s="34"/>
      <c r="BI697" s="34"/>
      <c r="BJ697" s="34"/>
      <c r="BK697" s="34"/>
      <c r="BL697" s="34"/>
      <c r="BM697" s="34"/>
      <c r="BN697" s="34"/>
      <c r="BO697" s="34"/>
      <c r="BP697" s="34"/>
      <c r="BQ697" s="34"/>
      <c r="BR697" s="34"/>
      <c r="BS697" s="34"/>
      <c r="BT697" s="34"/>
      <c r="BU697" s="34"/>
      <c r="BV697" s="34"/>
      <c r="BW697" s="34"/>
      <c r="BX697" s="34"/>
      <c r="BY697" s="34"/>
    </row>
    <row r="698" spans="1:77" x14ac:dyDescent="0.3">
      <c r="A698" s="39"/>
      <c r="B698" s="42"/>
      <c r="C698" s="42"/>
      <c r="D698" s="75"/>
      <c r="E698" s="75"/>
      <c r="F698" s="76"/>
      <c r="G698" s="47"/>
      <c r="H698" s="47"/>
      <c r="I698" s="75"/>
      <c r="J698" s="76"/>
      <c r="K698" s="76"/>
      <c r="L698" s="75"/>
      <c r="M698" s="49"/>
      <c r="N698" s="76"/>
      <c r="O698" s="49"/>
      <c r="P698" s="77"/>
      <c r="Q698" s="53"/>
      <c r="R698" s="54"/>
      <c r="S698" s="55"/>
      <c r="T698" s="56"/>
      <c r="U698" s="56"/>
      <c r="V698" s="42"/>
      <c r="W698" s="57"/>
      <c r="X698" s="58"/>
      <c r="Y698" s="75"/>
      <c r="Z698" s="59"/>
      <c r="AA698" s="61"/>
      <c r="AB698" s="61"/>
      <c r="AC698" s="61"/>
      <c r="AD698" s="62"/>
      <c r="AE698" s="62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34"/>
      <c r="AR698" s="34"/>
      <c r="AS698" s="34"/>
      <c r="AT698" s="34"/>
      <c r="AU698" s="34"/>
      <c r="AV698" s="34"/>
      <c r="AW698" s="34"/>
      <c r="AX698" s="34"/>
      <c r="AY698" s="34"/>
      <c r="AZ698" s="34"/>
      <c r="BA698" s="34"/>
      <c r="BB698" s="34"/>
      <c r="BD698" s="34"/>
      <c r="BE698" s="34"/>
      <c r="BF698" s="34"/>
      <c r="BG698" s="34"/>
      <c r="BH698" s="34"/>
      <c r="BI698" s="34"/>
      <c r="BJ698" s="34"/>
      <c r="BK698" s="34"/>
      <c r="BL698" s="34"/>
      <c r="BM698" s="34"/>
      <c r="BN698" s="34"/>
      <c r="BO698" s="34"/>
      <c r="BP698" s="34"/>
      <c r="BQ698" s="34"/>
      <c r="BR698" s="34"/>
      <c r="BS698" s="34"/>
      <c r="BT698" s="34"/>
      <c r="BU698" s="34"/>
      <c r="BV698" s="34"/>
      <c r="BW698" s="34"/>
      <c r="BX698" s="34"/>
      <c r="BY698" s="34"/>
    </row>
    <row r="699" spans="1:77" x14ac:dyDescent="0.3">
      <c r="A699" s="39"/>
      <c r="B699" s="42"/>
      <c r="C699" s="42"/>
      <c r="D699" s="75"/>
      <c r="E699" s="75"/>
      <c r="F699" s="76"/>
      <c r="G699" s="47"/>
      <c r="H699" s="47"/>
      <c r="I699" s="75"/>
      <c r="J699" s="76"/>
      <c r="K699" s="76"/>
      <c r="L699" s="75"/>
      <c r="M699" s="49"/>
      <c r="N699" s="76"/>
      <c r="O699" s="49"/>
      <c r="P699" s="77"/>
      <c r="Q699" s="53"/>
      <c r="R699" s="54"/>
      <c r="S699" s="55"/>
      <c r="T699" s="56"/>
      <c r="U699" s="56"/>
      <c r="V699" s="42"/>
      <c r="W699" s="57"/>
      <c r="X699" s="58"/>
      <c r="Y699" s="75"/>
      <c r="Z699" s="59"/>
      <c r="AA699" s="61"/>
      <c r="AB699" s="61"/>
      <c r="AC699" s="61"/>
      <c r="AD699" s="62"/>
      <c r="AE699" s="62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34"/>
      <c r="AR699" s="34"/>
      <c r="AS699" s="34"/>
      <c r="AT699" s="34"/>
      <c r="AU699" s="34"/>
      <c r="AV699" s="34"/>
      <c r="AW699" s="34"/>
      <c r="AX699" s="34"/>
      <c r="AY699" s="34"/>
      <c r="AZ699" s="34"/>
      <c r="BA699" s="34"/>
      <c r="BB699" s="34"/>
      <c r="BD699" s="34"/>
      <c r="BE699" s="34"/>
      <c r="BF699" s="34"/>
      <c r="BG699" s="34"/>
      <c r="BH699" s="34"/>
      <c r="BI699" s="34"/>
      <c r="BJ699" s="34"/>
      <c r="BK699" s="34"/>
      <c r="BL699" s="34"/>
      <c r="BM699" s="34"/>
      <c r="BN699" s="34"/>
      <c r="BO699" s="34"/>
      <c r="BP699" s="34"/>
      <c r="BQ699" s="34"/>
      <c r="BR699" s="34"/>
      <c r="BS699" s="34"/>
      <c r="BT699" s="34"/>
      <c r="BU699" s="34"/>
      <c r="BV699" s="34"/>
      <c r="BW699" s="34"/>
      <c r="BX699" s="34"/>
      <c r="BY699" s="34"/>
    </row>
    <row r="700" spans="1:77" x14ac:dyDescent="0.3">
      <c r="A700" s="39"/>
      <c r="B700" s="42"/>
      <c r="C700" s="42"/>
      <c r="D700" s="75"/>
      <c r="E700" s="75"/>
      <c r="F700" s="76"/>
      <c r="G700" s="47"/>
      <c r="H700" s="47"/>
      <c r="I700" s="75"/>
      <c r="J700" s="76"/>
      <c r="K700" s="76"/>
      <c r="L700" s="75"/>
      <c r="M700" s="49"/>
      <c r="N700" s="76"/>
      <c r="O700" s="49"/>
      <c r="P700" s="77"/>
      <c r="Q700" s="53"/>
      <c r="R700" s="54"/>
      <c r="S700" s="55"/>
      <c r="T700" s="56"/>
      <c r="U700" s="56"/>
      <c r="V700" s="42"/>
      <c r="W700" s="57"/>
      <c r="X700" s="58"/>
      <c r="Y700" s="75"/>
      <c r="Z700" s="59"/>
      <c r="AA700" s="61"/>
      <c r="AB700" s="61"/>
      <c r="AC700" s="61"/>
      <c r="AD700" s="62"/>
      <c r="AE700" s="62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34"/>
      <c r="AR700" s="34"/>
      <c r="AS700" s="34"/>
      <c r="AT700" s="34"/>
      <c r="AU700" s="34"/>
      <c r="AV700" s="34"/>
      <c r="AW700" s="34"/>
      <c r="AX700" s="34"/>
      <c r="AY700" s="34"/>
      <c r="AZ700" s="34"/>
      <c r="BA700" s="34"/>
      <c r="BB700" s="34"/>
      <c r="BD700" s="34"/>
      <c r="BE700" s="34"/>
      <c r="BF700" s="34"/>
      <c r="BG700" s="34"/>
      <c r="BH700" s="34"/>
      <c r="BI700" s="34"/>
      <c r="BJ700" s="34"/>
      <c r="BK700" s="34"/>
      <c r="BL700" s="34"/>
      <c r="BM700" s="34"/>
      <c r="BN700" s="34"/>
      <c r="BO700" s="34"/>
      <c r="BP700" s="34"/>
      <c r="BQ700" s="34"/>
      <c r="BR700" s="34"/>
      <c r="BS700" s="34"/>
      <c r="BT700" s="34"/>
      <c r="BU700" s="34"/>
      <c r="BV700" s="34"/>
      <c r="BW700" s="34"/>
      <c r="BX700" s="34"/>
      <c r="BY700" s="34"/>
    </row>
    <row r="701" spans="1:77" x14ac:dyDescent="0.3">
      <c r="A701" s="39"/>
      <c r="B701" s="42"/>
      <c r="C701" s="42"/>
      <c r="D701" s="75"/>
      <c r="E701" s="75"/>
      <c r="F701" s="76"/>
      <c r="G701" s="47"/>
      <c r="H701" s="47"/>
      <c r="I701" s="75"/>
      <c r="J701" s="76"/>
      <c r="K701" s="76"/>
      <c r="L701" s="75"/>
      <c r="M701" s="49"/>
      <c r="N701" s="76"/>
      <c r="O701" s="49"/>
      <c r="P701" s="77"/>
      <c r="Q701" s="53"/>
      <c r="R701" s="54"/>
      <c r="S701" s="55"/>
      <c r="T701" s="56"/>
      <c r="U701" s="56"/>
      <c r="V701" s="42"/>
      <c r="W701" s="57"/>
      <c r="X701" s="58"/>
      <c r="Y701" s="75"/>
      <c r="Z701" s="59"/>
      <c r="AA701" s="61"/>
      <c r="AB701" s="61"/>
      <c r="AC701" s="61"/>
      <c r="AD701" s="62"/>
      <c r="AE701" s="62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34"/>
      <c r="AR701" s="34"/>
      <c r="AS701" s="34"/>
      <c r="AT701" s="34"/>
      <c r="AU701" s="34"/>
      <c r="AV701" s="34"/>
      <c r="AW701" s="34"/>
      <c r="AX701" s="34"/>
      <c r="AY701" s="34"/>
      <c r="AZ701" s="34"/>
      <c r="BA701" s="34"/>
      <c r="BB701" s="34"/>
      <c r="BD701" s="34"/>
      <c r="BE701" s="34"/>
      <c r="BF701" s="34"/>
      <c r="BG701" s="34"/>
      <c r="BH701" s="34"/>
      <c r="BI701" s="34"/>
      <c r="BJ701" s="34"/>
      <c r="BK701" s="34"/>
      <c r="BL701" s="34"/>
      <c r="BM701" s="34"/>
      <c r="BN701" s="34"/>
      <c r="BO701" s="34"/>
      <c r="BP701" s="34"/>
      <c r="BQ701" s="34"/>
      <c r="BR701" s="34"/>
      <c r="BS701" s="34"/>
      <c r="BT701" s="34"/>
      <c r="BU701" s="34"/>
      <c r="BV701" s="34"/>
      <c r="BW701" s="34"/>
      <c r="BX701" s="34"/>
      <c r="BY701" s="34"/>
    </row>
    <row r="702" spans="1:77" x14ac:dyDescent="0.3">
      <c r="A702" s="39"/>
      <c r="B702" s="42"/>
      <c r="C702" s="42"/>
      <c r="D702" s="75"/>
      <c r="E702" s="75"/>
      <c r="F702" s="76"/>
      <c r="G702" s="47"/>
      <c r="H702" s="47"/>
      <c r="I702" s="75"/>
      <c r="J702" s="76"/>
      <c r="K702" s="76"/>
      <c r="L702" s="75"/>
      <c r="M702" s="49"/>
      <c r="N702" s="76"/>
      <c r="O702" s="49"/>
      <c r="P702" s="77"/>
      <c r="Q702" s="53"/>
      <c r="R702" s="54"/>
      <c r="S702" s="55"/>
      <c r="T702" s="56"/>
      <c r="U702" s="56"/>
      <c r="V702" s="42"/>
      <c r="W702" s="57"/>
      <c r="X702" s="58"/>
      <c r="Y702" s="75"/>
      <c r="Z702" s="59"/>
      <c r="AA702" s="61"/>
      <c r="AB702" s="61"/>
      <c r="AC702" s="61"/>
      <c r="AD702" s="62"/>
      <c r="AE702" s="62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34"/>
      <c r="AR702" s="34"/>
      <c r="AS702" s="34"/>
      <c r="AT702" s="34"/>
      <c r="AU702" s="34"/>
      <c r="AV702" s="34"/>
      <c r="AW702" s="34"/>
      <c r="AX702" s="34"/>
      <c r="AY702" s="34"/>
      <c r="AZ702" s="34"/>
      <c r="BA702" s="34"/>
      <c r="BB702" s="34"/>
      <c r="BD702" s="34"/>
      <c r="BE702" s="34"/>
      <c r="BF702" s="34"/>
      <c r="BG702" s="34"/>
      <c r="BH702" s="34"/>
      <c r="BI702" s="34"/>
      <c r="BJ702" s="34"/>
      <c r="BK702" s="34"/>
      <c r="BL702" s="34"/>
      <c r="BM702" s="34"/>
      <c r="BN702" s="34"/>
      <c r="BO702" s="34"/>
      <c r="BP702" s="34"/>
      <c r="BQ702" s="34"/>
      <c r="BR702" s="34"/>
      <c r="BS702" s="34"/>
      <c r="BT702" s="34"/>
      <c r="BU702" s="34"/>
      <c r="BV702" s="34"/>
      <c r="BW702" s="34"/>
      <c r="BX702" s="34"/>
      <c r="BY702" s="34"/>
    </row>
    <row r="703" spans="1:77" x14ac:dyDescent="0.3">
      <c r="A703" s="39"/>
      <c r="B703" s="42"/>
      <c r="C703" s="42"/>
      <c r="D703" s="75"/>
      <c r="E703" s="75"/>
      <c r="F703" s="76"/>
      <c r="G703" s="47"/>
      <c r="H703" s="47"/>
      <c r="I703" s="75"/>
      <c r="J703" s="76"/>
      <c r="K703" s="76"/>
      <c r="L703" s="75"/>
      <c r="M703" s="49"/>
      <c r="N703" s="76"/>
      <c r="O703" s="49"/>
      <c r="P703" s="77"/>
      <c r="Q703" s="53"/>
      <c r="R703" s="54"/>
      <c r="S703" s="55"/>
      <c r="T703" s="56"/>
      <c r="U703" s="56"/>
      <c r="V703" s="42"/>
      <c r="W703" s="57"/>
      <c r="X703" s="58"/>
      <c r="Y703" s="75"/>
      <c r="Z703" s="59"/>
      <c r="AA703" s="61"/>
      <c r="AB703" s="61"/>
      <c r="AC703" s="61"/>
      <c r="AD703" s="62"/>
      <c r="AE703" s="62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/>
      <c r="BB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/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</row>
    <row r="704" spans="1:77" x14ac:dyDescent="0.3">
      <c r="A704" s="39"/>
      <c r="B704" s="42"/>
      <c r="C704" s="42"/>
      <c r="D704" s="75"/>
      <c r="E704" s="75"/>
      <c r="F704" s="76"/>
      <c r="G704" s="47"/>
      <c r="H704" s="47"/>
      <c r="I704" s="75"/>
      <c r="J704" s="76"/>
      <c r="K704" s="76"/>
      <c r="L704" s="75"/>
      <c r="M704" s="49"/>
      <c r="N704" s="76"/>
      <c r="O704" s="49"/>
      <c r="P704" s="77"/>
      <c r="Q704" s="53"/>
      <c r="R704" s="54"/>
      <c r="S704" s="55"/>
      <c r="T704" s="56"/>
      <c r="U704" s="56"/>
      <c r="V704" s="42"/>
      <c r="W704" s="57"/>
      <c r="X704" s="58"/>
      <c r="Y704" s="75"/>
      <c r="Z704" s="59"/>
      <c r="AA704" s="61"/>
      <c r="AB704" s="61"/>
      <c r="AC704" s="61"/>
      <c r="AD704" s="62"/>
      <c r="AE704" s="62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/>
      <c r="BB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  <c r="BN704" s="34"/>
      <c r="BO704" s="34"/>
      <c r="BP704" s="34"/>
      <c r="BQ704" s="34"/>
      <c r="BR704" s="34"/>
      <c r="BS704" s="34"/>
      <c r="BT704" s="34"/>
      <c r="BU704" s="34"/>
      <c r="BV704" s="34"/>
      <c r="BW704" s="34"/>
      <c r="BX704" s="34"/>
      <c r="BY704" s="34"/>
    </row>
    <row r="705" spans="1:77" x14ac:dyDescent="0.3">
      <c r="A705" s="39"/>
      <c r="B705" s="42"/>
      <c r="C705" s="42"/>
      <c r="D705" s="75"/>
      <c r="E705" s="75"/>
      <c r="F705" s="76"/>
      <c r="G705" s="47"/>
      <c r="H705" s="47"/>
      <c r="I705" s="75"/>
      <c r="J705" s="76"/>
      <c r="K705" s="76"/>
      <c r="L705" s="75"/>
      <c r="M705" s="49"/>
      <c r="N705" s="76"/>
      <c r="O705" s="49"/>
      <c r="P705" s="77"/>
      <c r="Q705" s="53"/>
      <c r="R705" s="54"/>
      <c r="S705" s="55"/>
      <c r="T705" s="56"/>
      <c r="U705" s="56"/>
      <c r="V705" s="42"/>
      <c r="W705" s="57"/>
      <c r="X705" s="58"/>
      <c r="Y705" s="75"/>
      <c r="Z705" s="59"/>
      <c r="AA705" s="61"/>
      <c r="AB705" s="61"/>
      <c r="AC705" s="61"/>
      <c r="AD705" s="62"/>
      <c r="AE705" s="62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34"/>
      <c r="BA705" s="34"/>
      <c r="BB705" s="34"/>
      <c r="BD705" s="34"/>
      <c r="BE705" s="34"/>
      <c r="BF705" s="34"/>
      <c r="BG705" s="34"/>
      <c r="BH705" s="34"/>
      <c r="BI705" s="34"/>
      <c r="BJ705" s="34"/>
      <c r="BK705" s="34"/>
      <c r="BL705" s="34"/>
      <c r="BM705" s="34"/>
      <c r="BN705" s="34"/>
      <c r="BO705" s="34"/>
      <c r="BP705" s="34"/>
      <c r="BQ705" s="34"/>
      <c r="BR705" s="34"/>
      <c r="BS705" s="34"/>
      <c r="BT705" s="34"/>
      <c r="BU705" s="34"/>
      <c r="BV705" s="34"/>
      <c r="BW705" s="34"/>
      <c r="BX705" s="34"/>
      <c r="BY705" s="34"/>
    </row>
    <row r="706" spans="1:77" x14ac:dyDescent="0.3">
      <c r="A706" s="39"/>
      <c r="B706" s="42"/>
      <c r="C706" s="42"/>
      <c r="D706" s="75"/>
      <c r="E706" s="75"/>
      <c r="F706" s="76"/>
      <c r="G706" s="47"/>
      <c r="H706" s="47"/>
      <c r="I706" s="75"/>
      <c r="J706" s="76"/>
      <c r="K706" s="76"/>
      <c r="L706" s="75"/>
      <c r="M706" s="49"/>
      <c r="N706" s="76"/>
      <c r="O706" s="49"/>
      <c r="P706" s="77"/>
      <c r="Q706" s="53"/>
      <c r="R706" s="54"/>
      <c r="S706" s="55"/>
      <c r="T706" s="56"/>
      <c r="U706" s="56"/>
      <c r="V706" s="42"/>
      <c r="W706" s="57"/>
      <c r="X706" s="58"/>
      <c r="Y706" s="75"/>
      <c r="Z706" s="59"/>
      <c r="AA706" s="61"/>
      <c r="AB706" s="61"/>
      <c r="AC706" s="61"/>
      <c r="AD706" s="62"/>
      <c r="AE706" s="62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/>
      <c r="BB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/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</row>
    <row r="707" spans="1:77" x14ac:dyDescent="0.3">
      <c r="A707" s="39"/>
      <c r="B707" s="42"/>
      <c r="C707" s="42"/>
      <c r="D707" s="75"/>
      <c r="E707" s="75"/>
      <c r="F707" s="76"/>
      <c r="G707" s="47"/>
      <c r="H707" s="47"/>
      <c r="I707" s="75"/>
      <c r="J707" s="76"/>
      <c r="K707" s="76"/>
      <c r="L707" s="75"/>
      <c r="M707" s="49"/>
      <c r="N707" s="76"/>
      <c r="O707" s="49"/>
      <c r="P707" s="77"/>
      <c r="Q707" s="53"/>
      <c r="R707" s="54"/>
      <c r="S707" s="55"/>
      <c r="T707" s="56"/>
      <c r="U707" s="56"/>
      <c r="V707" s="42"/>
      <c r="W707" s="57"/>
      <c r="X707" s="58"/>
      <c r="Y707" s="75"/>
      <c r="Z707" s="59"/>
      <c r="AA707" s="61"/>
      <c r="AB707" s="61"/>
      <c r="AC707" s="61"/>
      <c r="AD707" s="62"/>
      <c r="AE707" s="62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/>
      <c r="BB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/>
      <c r="BP707" s="34"/>
      <c r="BQ707" s="34"/>
      <c r="BR707" s="34"/>
      <c r="BS707" s="34"/>
      <c r="BT707" s="34"/>
      <c r="BU707" s="34"/>
      <c r="BV707" s="34"/>
      <c r="BW707" s="34"/>
      <c r="BX707" s="34"/>
      <c r="BY707" s="34"/>
    </row>
    <row r="708" spans="1:77" x14ac:dyDescent="0.3">
      <c r="A708" s="39"/>
      <c r="B708" s="42"/>
      <c r="C708" s="42"/>
      <c r="D708" s="75"/>
      <c r="E708" s="75"/>
      <c r="F708" s="76"/>
      <c r="G708" s="47"/>
      <c r="H708" s="47"/>
      <c r="I708" s="75"/>
      <c r="J708" s="76"/>
      <c r="K708" s="76"/>
      <c r="L708" s="75"/>
      <c r="M708" s="49"/>
      <c r="N708" s="76"/>
      <c r="O708" s="49"/>
      <c r="P708" s="77"/>
      <c r="Q708" s="53"/>
      <c r="R708" s="54"/>
      <c r="S708" s="55"/>
      <c r="T708" s="56"/>
      <c r="U708" s="56"/>
      <c r="V708" s="42"/>
      <c r="W708" s="57"/>
      <c r="X708" s="58"/>
      <c r="Y708" s="75"/>
      <c r="Z708" s="59"/>
      <c r="AA708" s="61"/>
      <c r="AB708" s="61"/>
      <c r="AC708" s="61"/>
      <c r="AD708" s="62"/>
      <c r="AE708" s="62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34"/>
      <c r="BA708" s="34"/>
      <c r="BB708" s="34"/>
      <c r="BD708" s="34"/>
      <c r="BE708" s="34"/>
      <c r="BF708" s="34"/>
      <c r="BG708" s="34"/>
      <c r="BH708" s="34"/>
      <c r="BI708" s="34"/>
      <c r="BJ708" s="34"/>
      <c r="BK708" s="34"/>
      <c r="BL708" s="34"/>
      <c r="BM708" s="34"/>
      <c r="BN708" s="34"/>
      <c r="BO708" s="34"/>
      <c r="BP708" s="34"/>
      <c r="BQ708" s="34"/>
      <c r="BR708" s="34"/>
      <c r="BS708" s="34"/>
      <c r="BT708" s="34"/>
      <c r="BU708" s="34"/>
      <c r="BV708" s="34"/>
      <c r="BW708" s="34"/>
      <c r="BX708" s="34"/>
      <c r="BY708" s="34"/>
    </row>
    <row r="709" spans="1:77" x14ac:dyDescent="0.3">
      <c r="A709" s="39"/>
      <c r="B709" s="42"/>
      <c r="C709" s="42"/>
      <c r="D709" s="75"/>
      <c r="E709" s="75"/>
      <c r="F709" s="76"/>
      <c r="G709" s="47"/>
      <c r="H709" s="47"/>
      <c r="I709" s="75"/>
      <c r="J709" s="76"/>
      <c r="K709" s="76"/>
      <c r="L709" s="75"/>
      <c r="M709" s="49"/>
      <c r="N709" s="76"/>
      <c r="O709" s="49"/>
      <c r="P709" s="77"/>
      <c r="Q709" s="53"/>
      <c r="R709" s="54"/>
      <c r="S709" s="55"/>
      <c r="T709" s="56"/>
      <c r="U709" s="56"/>
      <c r="V709" s="42"/>
      <c r="W709" s="57"/>
      <c r="X709" s="58"/>
      <c r="Y709" s="75"/>
      <c r="Z709" s="59"/>
      <c r="AA709" s="61"/>
      <c r="AB709" s="61"/>
      <c r="AC709" s="61"/>
      <c r="AD709" s="62"/>
      <c r="AE709" s="62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  <c r="AR709" s="34"/>
      <c r="AS709" s="34"/>
      <c r="AT709" s="34"/>
      <c r="AU709" s="34"/>
      <c r="AV709" s="34"/>
      <c r="AW709" s="34"/>
      <c r="AX709" s="34"/>
      <c r="AY709" s="34"/>
      <c r="AZ709" s="34"/>
      <c r="BA709" s="34"/>
      <c r="BB709" s="34"/>
      <c r="BD709" s="34"/>
      <c r="BE709" s="34"/>
      <c r="BF709" s="34"/>
      <c r="BG709" s="34"/>
      <c r="BH709" s="34"/>
      <c r="BI709" s="34"/>
      <c r="BJ709" s="34"/>
      <c r="BK709" s="34"/>
      <c r="BL709" s="34"/>
      <c r="BM709" s="34"/>
      <c r="BN709" s="34"/>
      <c r="BO709" s="34"/>
      <c r="BP709" s="34"/>
      <c r="BQ709" s="34"/>
      <c r="BR709" s="34"/>
      <c r="BS709" s="34"/>
      <c r="BT709" s="34"/>
      <c r="BU709" s="34"/>
      <c r="BV709" s="34"/>
      <c r="BW709" s="34"/>
      <c r="BX709" s="34"/>
      <c r="BY709" s="34"/>
    </row>
    <row r="710" spans="1:77" x14ac:dyDescent="0.3">
      <c r="A710" s="39"/>
      <c r="B710" s="42"/>
      <c r="C710" s="42"/>
      <c r="D710" s="75"/>
      <c r="E710" s="75"/>
      <c r="F710" s="76"/>
      <c r="G710" s="47"/>
      <c r="H710" s="47"/>
      <c r="I710" s="75"/>
      <c r="J710" s="76"/>
      <c r="K710" s="76"/>
      <c r="L710" s="75"/>
      <c r="M710" s="49"/>
      <c r="N710" s="76"/>
      <c r="O710" s="49"/>
      <c r="P710" s="77"/>
      <c r="Q710" s="53"/>
      <c r="R710" s="54"/>
      <c r="S710" s="55"/>
      <c r="T710" s="56"/>
      <c r="U710" s="56"/>
      <c r="V710" s="42"/>
      <c r="W710" s="57"/>
      <c r="X710" s="58"/>
      <c r="Y710" s="75"/>
      <c r="Z710" s="59"/>
      <c r="AA710" s="61"/>
      <c r="AB710" s="61"/>
      <c r="AC710" s="61"/>
      <c r="AD710" s="62"/>
      <c r="AE710" s="62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/>
      <c r="BB710" s="34"/>
      <c r="BD710" s="34"/>
      <c r="BE710" s="34"/>
      <c r="BF710" s="34"/>
      <c r="BG710" s="34"/>
      <c r="BH710" s="34"/>
      <c r="BI710" s="34"/>
      <c r="BJ710" s="34"/>
      <c r="BK710" s="34"/>
      <c r="BL710" s="34"/>
      <c r="BM710" s="34"/>
      <c r="BN710" s="34"/>
      <c r="BO710" s="34"/>
      <c r="BP710" s="34"/>
      <c r="BQ710" s="34"/>
      <c r="BR710" s="34"/>
      <c r="BS710" s="34"/>
      <c r="BT710" s="34"/>
      <c r="BU710" s="34"/>
      <c r="BV710" s="34"/>
      <c r="BW710" s="34"/>
      <c r="BX710" s="34"/>
      <c r="BY710" s="34"/>
    </row>
    <row r="711" spans="1:77" x14ac:dyDescent="0.3">
      <c r="A711" s="39"/>
      <c r="B711" s="42"/>
      <c r="C711" s="42"/>
      <c r="D711" s="75"/>
      <c r="E711" s="75"/>
      <c r="F711" s="76"/>
      <c r="G711" s="47"/>
      <c r="H711" s="47"/>
      <c r="I711" s="75"/>
      <c r="J711" s="76"/>
      <c r="K711" s="76"/>
      <c r="L711" s="75"/>
      <c r="M711" s="49"/>
      <c r="N711" s="76"/>
      <c r="O711" s="49"/>
      <c r="P711" s="77"/>
      <c r="Q711" s="53"/>
      <c r="R711" s="54"/>
      <c r="S711" s="55"/>
      <c r="T711" s="56"/>
      <c r="U711" s="56"/>
      <c r="V711" s="42"/>
      <c r="W711" s="57"/>
      <c r="X711" s="58"/>
      <c r="Y711" s="75"/>
      <c r="Z711" s="59"/>
      <c r="AA711" s="61"/>
      <c r="AB711" s="61"/>
      <c r="AC711" s="61"/>
      <c r="AD711" s="62"/>
      <c r="AE711" s="62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34"/>
      <c r="AR711" s="34"/>
      <c r="AS711" s="34"/>
      <c r="AT711" s="34"/>
      <c r="AU711" s="34"/>
      <c r="AV711" s="34"/>
      <c r="AW711" s="34"/>
      <c r="AX711" s="34"/>
      <c r="AY711" s="34"/>
      <c r="AZ711" s="34"/>
      <c r="BA711" s="34"/>
      <c r="BB711" s="34"/>
      <c r="BD711" s="34"/>
      <c r="BE711" s="34"/>
      <c r="BF711" s="34"/>
      <c r="BG711" s="34"/>
      <c r="BH711" s="34"/>
      <c r="BI711" s="34"/>
      <c r="BJ711" s="34"/>
      <c r="BK711" s="34"/>
      <c r="BL711" s="34"/>
      <c r="BM711" s="34"/>
      <c r="BN711" s="34"/>
      <c r="BO711" s="34"/>
      <c r="BP711" s="34"/>
      <c r="BQ711" s="34"/>
      <c r="BR711" s="34"/>
      <c r="BS711" s="34"/>
      <c r="BT711" s="34"/>
      <c r="BU711" s="34"/>
      <c r="BV711" s="34"/>
      <c r="BW711" s="34"/>
      <c r="BX711" s="34"/>
      <c r="BY711" s="34"/>
    </row>
    <row r="712" spans="1:77" x14ac:dyDescent="0.3">
      <c r="A712" s="39"/>
      <c r="B712" s="42"/>
      <c r="C712" s="42"/>
      <c r="D712" s="75"/>
      <c r="E712" s="75"/>
      <c r="F712" s="76"/>
      <c r="G712" s="47"/>
      <c r="H712" s="47"/>
      <c r="I712" s="75"/>
      <c r="J712" s="76"/>
      <c r="K712" s="76"/>
      <c r="L712" s="75"/>
      <c r="M712" s="49"/>
      <c r="N712" s="76"/>
      <c r="O712" s="49"/>
      <c r="P712" s="77"/>
      <c r="Q712" s="53"/>
      <c r="R712" s="54"/>
      <c r="S712" s="55"/>
      <c r="T712" s="56"/>
      <c r="U712" s="56"/>
      <c r="V712" s="42"/>
      <c r="W712" s="57"/>
      <c r="X712" s="58"/>
      <c r="Y712" s="75"/>
      <c r="Z712" s="59"/>
      <c r="AA712" s="61"/>
      <c r="AB712" s="61"/>
      <c r="AC712" s="61"/>
      <c r="AD712" s="62"/>
      <c r="AE712" s="62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34"/>
      <c r="BA712" s="34"/>
      <c r="BB712" s="34"/>
      <c r="BD712" s="34"/>
      <c r="BE712" s="34"/>
      <c r="BF712" s="34"/>
      <c r="BG712" s="34"/>
      <c r="BH712" s="34"/>
      <c r="BI712" s="34"/>
      <c r="BJ712" s="34"/>
      <c r="BK712" s="34"/>
      <c r="BL712" s="34"/>
      <c r="BM712" s="34"/>
      <c r="BN712" s="34"/>
      <c r="BO712" s="34"/>
      <c r="BP712" s="34"/>
      <c r="BQ712" s="34"/>
      <c r="BR712" s="34"/>
      <c r="BS712" s="34"/>
      <c r="BT712" s="34"/>
      <c r="BU712" s="34"/>
      <c r="BV712" s="34"/>
      <c r="BW712" s="34"/>
      <c r="BX712" s="34"/>
      <c r="BY712" s="34"/>
    </row>
    <row r="713" spans="1:77" x14ac:dyDescent="0.3">
      <c r="A713" s="39"/>
      <c r="B713" s="42"/>
      <c r="C713" s="42"/>
      <c r="D713" s="75"/>
      <c r="E713" s="75"/>
      <c r="F713" s="76"/>
      <c r="G713" s="47"/>
      <c r="H713" s="47"/>
      <c r="I713" s="75"/>
      <c r="J713" s="76"/>
      <c r="K713" s="76"/>
      <c r="L713" s="75"/>
      <c r="M713" s="49"/>
      <c r="N713" s="76"/>
      <c r="O713" s="49"/>
      <c r="P713" s="77"/>
      <c r="Q713" s="53"/>
      <c r="R713" s="54"/>
      <c r="S713" s="55"/>
      <c r="T713" s="56"/>
      <c r="U713" s="56"/>
      <c r="V713" s="42"/>
      <c r="W713" s="57"/>
      <c r="X713" s="58"/>
      <c r="Y713" s="75"/>
      <c r="Z713" s="59"/>
      <c r="AA713" s="61"/>
      <c r="AB713" s="61"/>
      <c r="AC713" s="61"/>
      <c r="AD713" s="62"/>
      <c r="AE713" s="62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34"/>
      <c r="AR713" s="34"/>
      <c r="AS713" s="34"/>
      <c r="AT713" s="34"/>
      <c r="AU713" s="34"/>
      <c r="AV713" s="34"/>
      <c r="AW713" s="34"/>
      <c r="AX713" s="34"/>
      <c r="AY713" s="34"/>
      <c r="AZ713" s="34"/>
      <c r="BA713" s="34"/>
      <c r="BB713" s="34"/>
      <c r="BD713" s="34"/>
      <c r="BE713" s="34"/>
      <c r="BF713" s="34"/>
      <c r="BG713" s="34"/>
      <c r="BH713" s="34"/>
      <c r="BI713" s="34"/>
      <c r="BJ713" s="34"/>
      <c r="BK713" s="34"/>
      <c r="BL713" s="34"/>
      <c r="BM713" s="34"/>
      <c r="BN713" s="34"/>
      <c r="BO713" s="34"/>
      <c r="BP713" s="34"/>
      <c r="BQ713" s="34"/>
      <c r="BR713" s="34"/>
      <c r="BS713" s="34"/>
      <c r="BT713" s="34"/>
      <c r="BU713" s="34"/>
      <c r="BV713" s="34"/>
      <c r="BW713" s="34"/>
      <c r="BX713" s="34"/>
      <c r="BY713" s="34"/>
    </row>
    <row r="714" spans="1:77" x14ac:dyDescent="0.3">
      <c r="A714" s="39"/>
      <c r="B714" s="42"/>
      <c r="C714" s="42"/>
      <c r="D714" s="75"/>
      <c r="E714" s="75"/>
      <c r="F714" s="76"/>
      <c r="G714" s="47"/>
      <c r="H714" s="47"/>
      <c r="I714" s="75"/>
      <c r="J714" s="76"/>
      <c r="K714" s="76"/>
      <c r="L714" s="75"/>
      <c r="M714" s="49"/>
      <c r="N714" s="76"/>
      <c r="O714" s="49"/>
      <c r="P714" s="77"/>
      <c r="Q714" s="53"/>
      <c r="R714" s="54"/>
      <c r="S714" s="55"/>
      <c r="T714" s="56"/>
      <c r="U714" s="56"/>
      <c r="V714" s="42"/>
      <c r="W714" s="57"/>
      <c r="X714" s="58"/>
      <c r="Y714" s="75"/>
      <c r="Z714" s="59"/>
      <c r="AA714" s="61"/>
      <c r="AB714" s="61"/>
      <c r="AC714" s="61"/>
      <c r="AD714" s="62"/>
      <c r="AE714" s="62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  <c r="AR714" s="34"/>
      <c r="AS714" s="34"/>
      <c r="AT714" s="34"/>
      <c r="AU714" s="34"/>
      <c r="AV714" s="34"/>
      <c r="AW714" s="34"/>
      <c r="AX714" s="34"/>
      <c r="AY714" s="34"/>
      <c r="AZ714" s="34"/>
      <c r="BA714" s="34"/>
      <c r="BB714" s="34"/>
      <c r="BD714" s="34"/>
      <c r="BE714" s="34"/>
      <c r="BF714" s="34"/>
      <c r="BG714" s="34"/>
      <c r="BH714" s="34"/>
      <c r="BI714" s="34"/>
      <c r="BJ714" s="34"/>
      <c r="BK714" s="34"/>
      <c r="BL714" s="34"/>
      <c r="BM714" s="34"/>
      <c r="BN714" s="34"/>
      <c r="BO714" s="34"/>
      <c r="BP714" s="34"/>
      <c r="BQ714" s="34"/>
      <c r="BR714" s="34"/>
      <c r="BS714" s="34"/>
      <c r="BT714" s="34"/>
      <c r="BU714" s="34"/>
      <c r="BV714" s="34"/>
      <c r="BW714" s="34"/>
      <c r="BX714" s="34"/>
      <c r="BY714" s="34"/>
    </row>
    <row r="715" spans="1:77" x14ac:dyDescent="0.3">
      <c r="A715" s="39"/>
      <c r="B715" s="42"/>
      <c r="C715" s="42"/>
      <c r="D715" s="75"/>
      <c r="E715" s="75"/>
      <c r="F715" s="76"/>
      <c r="G715" s="47"/>
      <c r="H715" s="47"/>
      <c r="I715" s="75"/>
      <c r="J715" s="76"/>
      <c r="K715" s="76"/>
      <c r="L715" s="75"/>
      <c r="M715" s="49"/>
      <c r="N715" s="76"/>
      <c r="O715" s="49"/>
      <c r="P715" s="77"/>
      <c r="Q715" s="53"/>
      <c r="R715" s="54"/>
      <c r="S715" s="55"/>
      <c r="T715" s="56"/>
      <c r="U715" s="56"/>
      <c r="V715" s="42"/>
      <c r="W715" s="57"/>
      <c r="X715" s="58"/>
      <c r="Y715" s="75"/>
      <c r="Z715" s="59"/>
      <c r="AA715" s="61"/>
      <c r="AB715" s="61"/>
      <c r="AC715" s="61"/>
      <c r="AD715" s="62"/>
      <c r="AE715" s="62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34"/>
      <c r="AR715" s="34"/>
      <c r="AS715" s="34"/>
      <c r="AT715" s="34"/>
      <c r="AU715" s="34"/>
      <c r="AV715" s="34"/>
      <c r="AW715" s="34"/>
      <c r="AX715" s="34"/>
      <c r="AY715" s="34"/>
      <c r="AZ715" s="34"/>
      <c r="BA715" s="34"/>
      <c r="BB715" s="34"/>
      <c r="BD715" s="34"/>
      <c r="BE715" s="34"/>
      <c r="BF715" s="34"/>
      <c r="BG715" s="34"/>
      <c r="BH715" s="34"/>
      <c r="BI715" s="34"/>
      <c r="BJ715" s="34"/>
      <c r="BK715" s="34"/>
      <c r="BL715" s="34"/>
      <c r="BM715" s="34"/>
      <c r="BN715" s="34"/>
      <c r="BO715" s="34"/>
      <c r="BP715" s="34"/>
      <c r="BQ715" s="34"/>
      <c r="BR715" s="34"/>
      <c r="BS715" s="34"/>
      <c r="BT715" s="34"/>
      <c r="BU715" s="34"/>
      <c r="BV715" s="34"/>
      <c r="BW715" s="34"/>
      <c r="BX715" s="34"/>
      <c r="BY715" s="34"/>
    </row>
    <row r="716" spans="1:77" x14ac:dyDescent="0.3">
      <c r="A716" s="39"/>
      <c r="B716" s="42"/>
      <c r="C716" s="42"/>
      <c r="D716" s="75"/>
      <c r="E716" s="75"/>
      <c r="F716" s="76"/>
      <c r="G716" s="47"/>
      <c r="H716" s="47"/>
      <c r="I716" s="75"/>
      <c r="J716" s="76"/>
      <c r="K716" s="76"/>
      <c r="L716" s="75"/>
      <c r="M716" s="49"/>
      <c r="N716" s="76"/>
      <c r="O716" s="49"/>
      <c r="P716" s="77"/>
      <c r="Q716" s="53"/>
      <c r="R716" s="54"/>
      <c r="S716" s="55"/>
      <c r="T716" s="56"/>
      <c r="U716" s="56"/>
      <c r="V716" s="42"/>
      <c r="W716" s="57"/>
      <c r="X716" s="58"/>
      <c r="Y716" s="75"/>
      <c r="Z716" s="59"/>
      <c r="AA716" s="61"/>
      <c r="AB716" s="61"/>
      <c r="AC716" s="61"/>
      <c r="AD716" s="62"/>
      <c r="AE716" s="62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34"/>
      <c r="AR716" s="34"/>
      <c r="AS716" s="34"/>
      <c r="AT716" s="34"/>
      <c r="AU716" s="34"/>
      <c r="AV716" s="34"/>
      <c r="AW716" s="34"/>
      <c r="AX716" s="34"/>
      <c r="AY716" s="34"/>
      <c r="AZ716" s="34"/>
      <c r="BA716" s="34"/>
      <c r="BB716" s="34"/>
      <c r="BD716" s="34"/>
      <c r="BE716" s="34"/>
      <c r="BF716" s="34"/>
      <c r="BG716" s="34"/>
      <c r="BH716" s="34"/>
      <c r="BI716" s="34"/>
      <c r="BJ716" s="34"/>
      <c r="BK716" s="34"/>
      <c r="BL716" s="34"/>
      <c r="BM716" s="34"/>
      <c r="BN716" s="34"/>
      <c r="BO716" s="34"/>
      <c r="BP716" s="34"/>
      <c r="BQ716" s="34"/>
      <c r="BR716" s="34"/>
      <c r="BS716" s="34"/>
      <c r="BT716" s="34"/>
      <c r="BU716" s="34"/>
      <c r="BV716" s="34"/>
      <c r="BW716" s="34"/>
      <c r="BX716" s="34"/>
      <c r="BY716" s="34"/>
    </row>
    <row r="717" spans="1:77" x14ac:dyDescent="0.3">
      <c r="A717" s="39"/>
      <c r="B717" s="42"/>
      <c r="C717" s="42"/>
      <c r="D717" s="75"/>
      <c r="E717" s="75"/>
      <c r="F717" s="76"/>
      <c r="G717" s="47"/>
      <c r="H717" s="47"/>
      <c r="I717" s="75"/>
      <c r="J717" s="76"/>
      <c r="K717" s="76"/>
      <c r="L717" s="75"/>
      <c r="M717" s="49"/>
      <c r="N717" s="76"/>
      <c r="O717" s="49"/>
      <c r="P717" s="77"/>
      <c r="Q717" s="53"/>
      <c r="R717" s="54"/>
      <c r="S717" s="55"/>
      <c r="T717" s="56"/>
      <c r="U717" s="56"/>
      <c r="V717" s="42"/>
      <c r="W717" s="57"/>
      <c r="X717" s="58"/>
      <c r="Y717" s="75"/>
      <c r="Z717" s="59"/>
      <c r="AA717" s="61"/>
      <c r="AB717" s="61"/>
      <c r="AC717" s="61"/>
      <c r="AD717" s="62"/>
      <c r="AE717" s="62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34"/>
      <c r="AR717" s="34"/>
      <c r="AS717" s="34"/>
      <c r="AT717" s="34"/>
      <c r="AU717" s="34"/>
      <c r="AV717" s="34"/>
      <c r="AW717" s="34"/>
      <c r="AX717" s="34"/>
      <c r="AY717" s="34"/>
      <c r="AZ717" s="34"/>
      <c r="BA717" s="34"/>
      <c r="BB717" s="34"/>
      <c r="BD717" s="34"/>
      <c r="BE717" s="34"/>
      <c r="BF717" s="34"/>
      <c r="BG717" s="34"/>
      <c r="BH717" s="34"/>
      <c r="BI717" s="34"/>
      <c r="BJ717" s="34"/>
      <c r="BK717" s="34"/>
      <c r="BL717" s="34"/>
      <c r="BM717" s="34"/>
      <c r="BN717" s="34"/>
      <c r="BO717" s="34"/>
      <c r="BP717" s="34"/>
      <c r="BQ717" s="34"/>
      <c r="BR717" s="34"/>
      <c r="BS717" s="34"/>
      <c r="BT717" s="34"/>
      <c r="BU717" s="34"/>
      <c r="BV717" s="34"/>
      <c r="BW717" s="34"/>
      <c r="BX717" s="34"/>
      <c r="BY717" s="34"/>
    </row>
    <row r="718" spans="1:77" x14ac:dyDescent="0.3">
      <c r="A718" s="39"/>
      <c r="B718" s="42"/>
      <c r="C718" s="42"/>
      <c r="D718" s="75"/>
      <c r="E718" s="75"/>
      <c r="F718" s="76"/>
      <c r="G718" s="47"/>
      <c r="H718" s="47"/>
      <c r="I718" s="75"/>
      <c r="J718" s="76"/>
      <c r="K718" s="76"/>
      <c r="L718" s="75"/>
      <c r="M718" s="49"/>
      <c r="N718" s="76"/>
      <c r="O718" s="49"/>
      <c r="P718" s="77"/>
      <c r="Q718" s="53"/>
      <c r="R718" s="54"/>
      <c r="S718" s="55"/>
      <c r="T718" s="56"/>
      <c r="U718" s="56"/>
      <c r="V718" s="42"/>
      <c r="W718" s="57"/>
      <c r="X718" s="58"/>
      <c r="Y718" s="75"/>
      <c r="Z718" s="59"/>
      <c r="AA718" s="61"/>
      <c r="AB718" s="61"/>
      <c r="AC718" s="61"/>
      <c r="AD718" s="62"/>
      <c r="AE718" s="62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34"/>
      <c r="AR718" s="34"/>
      <c r="AS718" s="34"/>
      <c r="AT718" s="34"/>
      <c r="AU718" s="34"/>
      <c r="AV718" s="34"/>
      <c r="AW718" s="34"/>
      <c r="AX718" s="34"/>
      <c r="AY718" s="34"/>
      <c r="AZ718" s="34"/>
      <c r="BA718" s="34"/>
      <c r="BB718" s="34"/>
      <c r="BD718" s="34"/>
      <c r="BE718" s="34"/>
      <c r="BF718" s="34"/>
      <c r="BG718" s="34"/>
      <c r="BH718" s="34"/>
      <c r="BI718" s="34"/>
      <c r="BJ718" s="34"/>
      <c r="BK718" s="34"/>
      <c r="BL718" s="34"/>
      <c r="BM718" s="34"/>
      <c r="BN718" s="34"/>
      <c r="BO718" s="34"/>
      <c r="BP718" s="34"/>
      <c r="BQ718" s="34"/>
      <c r="BR718" s="34"/>
      <c r="BS718" s="34"/>
      <c r="BT718" s="34"/>
      <c r="BU718" s="34"/>
      <c r="BV718" s="34"/>
      <c r="BW718" s="34"/>
      <c r="BX718" s="34"/>
      <c r="BY718" s="34"/>
    </row>
    <row r="719" spans="1:77" x14ac:dyDescent="0.3">
      <c r="A719" s="39"/>
      <c r="B719" s="42"/>
      <c r="C719" s="42"/>
      <c r="D719" s="75"/>
      <c r="E719" s="75"/>
      <c r="F719" s="76"/>
      <c r="G719" s="47"/>
      <c r="H719" s="47"/>
      <c r="I719" s="75"/>
      <c r="J719" s="76"/>
      <c r="K719" s="76"/>
      <c r="L719" s="75"/>
      <c r="M719" s="49"/>
      <c r="N719" s="76"/>
      <c r="O719" s="49"/>
      <c r="P719" s="77"/>
      <c r="Q719" s="53"/>
      <c r="R719" s="54"/>
      <c r="S719" s="55"/>
      <c r="T719" s="56"/>
      <c r="U719" s="56"/>
      <c r="V719" s="42"/>
      <c r="W719" s="57"/>
      <c r="X719" s="58"/>
      <c r="Y719" s="75"/>
      <c r="Z719" s="59"/>
      <c r="AA719" s="61"/>
      <c r="AB719" s="61"/>
      <c r="AC719" s="61"/>
      <c r="AD719" s="62"/>
      <c r="AE719" s="62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34"/>
      <c r="AR719" s="34"/>
      <c r="AS719" s="34"/>
      <c r="AT719" s="34"/>
      <c r="AU719" s="34"/>
      <c r="AV719" s="34"/>
      <c r="AW719" s="34"/>
      <c r="AX719" s="34"/>
      <c r="AY719" s="34"/>
      <c r="AZ719" s="34"/>
      <c r="BA719" s="34"/>
      <c r="BB719" s="34"/>
      <c r="BD719" s="34"/>
      <c r="BE719" s="34"/>
      <c r="BF719" s="34"/>
      <c r="BG719" s="34"/>
      <c r="BH719" s="34"/>
      <c r="BI719" s="34"/>
      <c r="BJ719" s="34"/>
      <c r="BK719" s="34"/>
      <c r="BL719" s="34"/>
      <c r="BM719" s="34"/>
      <c r="BN719" s="34"/>
      <c r="BO719" s="34"/>
      <c r="BP719" s="34"/>
      <c r="BQ719" s="34"/>
      <c r="BR719" s="34"/>
      <c r="BS719" s="34"/>
      <c r="BT719" s="34"/>
      <c r="BU719" s="34"/>
      <c r="BV719" s="34"/>
      <c r="BW719" s="34"/>
      <c r="BX719" s="34"/>
      <c r="BY719" s="34"/>
    </row>
    <row r="720" spans="1:77" x14ac:dyDescent="0.3">
      <c r="A720" s="39"/>
      <c r="B720" s="42"/>
      <c r="C720" s="42"/>
      <c r="D720" s="75"/>
      <c r="E720" s="75"/>
      <c r="F720" s="76"/>
      <c r="G720" s="47"/>
      <c r="H720" s="47"/>
      <c r="I720" s="75"/>
      <c r="J720" s="76"/>
      <c r="K720" s="76"/>
      <c r="L720" s="75"/>
      <c r="M720" s="49"/>
      <c r="N720" s="76"/>
      <c r="O720" s="49"/>
      <c r="P720" s="77"/>
      <c r="Q720" s="53"/>
      <c r="R720" s="54"/>
      <c r="S720" s="55"/>
      <c r="T720" s="56"/>
      <c r="U720" s="56"/>
      <c r="V720" s="42"/>
      <c r="W720" s="57"/>
      <c r="X720" s="58"/>
      <c r="Y720" s="75"/>
      <c r="Z720" s="59"/>
      <c r="AA720" s="61"/>
      <c r="AB720" s="61"/>
      <c r="AC720" s="61"/>
      <c r="AD720" s="62"/>
      <c r="AE720" s="62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34"/>
      <c r="AR720" s="34"/>
      <c r="AS720" s="34"/>
      <c r="AT720" s="34"/>
      <c r="AU720" s="34"/>
      <c r="AV720" s="34"/>
      <c r="AW720" s="34"/>
      <c r="AX720" s="34"/>
      <c r="AY720" s="34"/>
      <c r="AZ720" s="34"/>
      <c r="BA720" s="34"/>
      <c r="BB720" s="34"/>
      <c r="BD720" s="34"/>
      <c r="BE720" s="34"/>
      <c r="BF720" s="34"/>
      <c r="BG720" s="34"/>
      <c r="BH720" s="34"/>
      <c r="BI720" s="34"/>
      <c r="BJ720" s="34"/>
      <c r="BK720" s="34"/>
      <c r="BL720" s="34"/>
      <c r="BM720" s="34"/>
      <c r="BN720" s="34"/>
      <c r="BO720" s="34"/>
      <c r="BP720" s="34"/>
      <c r="BQ720" s="34"/>
      <c r="BR720" s="34"/>
      <c r="BS720" s="34"/>
      <c r="BT720" s="34"/>
      <c r="BU720" s="34"/>
      <c r="BV720" s="34"/>
      <c r="BW720" s="34"/>
      <c r="BX720" s="34"/>
      <c r="BY720" s="34"/>
    </row>
    <row r="721" spans="1:77" x14ac:dyDescent="0.3">
      <c r="A721" s="39"/>
      <c r="B721" s="42"/>
      <c r="C721" s="42"/>
      <c r="D721" s="75"/>
      <c r="E721" s="75"/>
      <c r="F721" s="76"/>
      <c r="G721" s="47"/>
      <c r="H721" s="47"/>
      <c r="I721" s="75"/>
      <c r="J721" s="76"/>
      <c r="K721" s="76"/>
      <c r="L721" s="75"/>
      <c r="M721" s="49"/>
      <c r="N721" s="76"/>
      <c r="O721" s="49"/>
      <c r="P721" s="77"/>
      <c r="Q721" s="53"/>
      <c r="R721" s="54"/>
      <c r="S721" s="55"/>
      <c r="T721" s="56"/>
      <c r="U721" s="56"/>
      <c r="V721" s="42"/>
      <c r="W721" s="57"/>
      <c r="X721" s="58"/>
      <c r="Y721" s="75"/>
      <c r="Z721" s="59"/>
      <c r="AA721" s="61"/>
      <c r="AB721" s="61"/>
      <c r="AC721" s="61"/>
      <c r="AD721" s="62"/>
      <c r="AE721" s="62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34"/>
      <c r="AR721" s="34"/>
      <c r="AS721" s="34"/>
      <c r="AT721" s="34"/>
      <c r="AU721" s="34"/>
      <c r="AV721" s="34"/>
      <c r="AW721" s="34"/>
      <c r="AX721" s="34"/>
      <c r="AY721" s="34"/>
      <c r="AZ721" s="34"/>
      <c r="BA721" s="34"/>
      <c r="BB721" s="34"/>
      <c r="BD721" s="34"/>
      <c r="BE721" s="34"/>
      <c r="BF721" s="34"/>
      <c r="BG721" s="34"/>
      <c r="BH721" s="34"/>
      <c r="BI721" s="34"/>
      <c r="BJ721" s="34"/>
      <c r="BK721" s="34"/>
      <c r="BL721" s="34"/>
      <c r="BM721" s="34"/>
      <c r="BN721" s="34"/>
      <c r="BO721" s="34"/>
      <c r="BP721" s="34"/>
      <c r="BQ721" s="34"/>
      <c r="BR721" s="34"/>
      <c r="BS721" s="34"/>
      <c r="BT721" s="34"/>
      <c r="BU721" s="34"/>
      <c r="BV721" s="34"/>
      <c r="BW721" s="34"/>
      <c r="BX721" s="34"/>
      <c r="BY721" s="34"/>
    </row>
    <row r="722" spans="1:77" x14ac:dyDescent="0.3">
      <c r="A722" s="39"/>
      <c r="B722" s="42"/>
      <c r="C722" s="42"/>
      <c r="D722" s="75"/>
      <c r="E722" s="75"/>
      <c r="F722" s="76"/>
      <c r="G722" s="47"/>
      <c r="H722" s="47"/>
      <c r="I722" s="75"/>
      <c r="J722" s="76"/>
      <c r="K722" s="76"/>
      <c r="L722" s="75"/>
      <c r="M722" s="49"/>
      <c r="N722" s="76"/>
      <c r="O722" s="49"/>
      <c r="P722" s="77"/>
      <c r="Q722" s="53"/>
      <c r="R722" s="54"/>
      <c r="S722" s="55"/>
      <c r="T722" s="56"/>
      <c r="U722" s="56"/>
      <c r="V722" s="42"/>
      <c r="W722" s="57"/>
      <c r="X722" s="58"/>
      <c r="Y722" s="75"/>
      <c r="Z722" s="59"/>
      <c r="AA722" s="61"/>
      <c r="AB722" s="61"/>
      <c r="AC722" s="61"/>
      <c r="AD722" s="62"/>
      <c r="AE722" s="62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34"/>
      <c r="AR722" s="34"/>
      <c r="AS722" s="34"/>
      <c r="AT722" s="34"/>
      <c r="AU722" s="34"/>
      <c r="AV722" s="34"/>
      <c r="AW722" s="34"/>
      <c r="AX722" s="34"/>
      <c r="AY722" s="34"/>
      <c r="AZ722" s="34"/>
      <c r="BA722" s="34"/>
      <c r="BB722" s="34"/>
      <c r="BD722" s="34"/>
      <c r="BE722" s="34"/>
      <c r="BF722" s="34"/>
      <c r="BG722" s="34"/>
      <c r="BH722" s="34"/>
      <c r="BI722" s="34"/>
      <c r="BJ722" s="34"/>
      <c r="BK722" s="34"/>
      <c r="BL722" s="34"/>
      <c r="BM722" s="34"/>
      <c r="BN722" s="34"/>
      <c r="BO722" s="34"/>
      <c r="BP722" s="34"/>
      <c r="BQ722" s="34"/>
      <c r="BR722" s="34"/>
      <c r="BS722" s="34"/>
      <c r="BT722" s="34"/>
      <c r="BU722" s="34"/>
      <c r="BV722" s="34"/>
      <c r="BW722" s="34"/>
      <c r="BX722" s="34"/>
      <c r="BY722" s="34"/>
    </row>
    <row r="723" spans="1:77" x14ac:dyDescent="0.3">
      <c r="A723" s="39"/>
      <c r="B723" s="42"/>
      <c r="C723" s="42"/>
      <c r="D723" s="75"/>
      <c r="E723" s="75"/>
      <c r="F723" s="76"/>
      <c r="G723" s="47"/>
      <c r="H723" s="47"/>
      <c r="I723" s="75"/>
      <c r="J723" s="76"/>
      <c r="K723" s="76"/>
      <c r="L723" s="75"/>
      <c r="M723" s="49"/>
      <c r="N723" s="76"/>
      <c r="O723" s="49"/>
      <c r="P723" s="77"/>
      <c r="Q723" s="53"/>
      <c r="R723" s="54"/>
      <c r="S723" s="55"/>
      <c r="T723" s="56"/>
      <c r="U723" s="56"/>
      <c r="V723" s="42"/>
      <c r="W723" s="57"/>
      <c r="X723" s="58"/>
      <c r="Y723" s="75"/>
      <c r="Z723" s="59"/>
      <c r="AA723" s="61"/>
      <c r="AB723" s="61"/>
      <c r="AC723" s="61"/>
      <c r="AD723" s="62"/>
      <c r="AE723" s="62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34"/>
      <c r="AR723" s="34"/>
      <c r="AS723" s="34"/>
      <c r="AT723" s="34"/>
      <c r="AU723" s="34"/>
      <c r="AV723" s="34"/>
      <c r="AW723" s="34"/>
      <c r="AX723" s="34"/>
      <c r="AY723" s="34"/>
      <c r="AZ723" s="34"/>
      <c r="BA723" s="34"/>
      <c r="BB723" s="34"/>
      <c r="BD723" s="34"/>
      <c r="BE723" s="34"/>
      <c r="BF723" s="34"/>
      <c r="BG723" s="34"/>
      <c r="BH723" s="34"/>
      <c r="BI723" s="34"/>
      <c r="BJ723" s="34"/>
      <c r="BK723" s="34"/>
      <c r="BL723" s="34"/>
      <c r="BM723" s="34"/>
      <c r="BN723" s="34"/>
      <c r="BO723" s="34"/>
      <c r="BP723" s="34"/>
      <c r="BQ723" s="34"/>
      <c r="BR723" s="34"/>
      <c r="BS723" s="34"/>
      <c r="BT723" s="34"/>
      <c r="BU723" s="34"/>
      <c r="BV723" s="34"/>
      <c r="BW723" s="34"/>
      <c r="BX723" s="34"/>
      <c r="BY723" s="34"/>
    </row>
    <row r="724" spans="1:77" x14ac:dyDescent="0.3">
      <c r="A724" s="39"/>
      <c r="B724" s="42"/>
      <c r="C724" s="42"/>
      <c r="D724" s="75"/>
      <c r="E724" s="75"/>
      <c r="F724" s="76"/>
      <c r="G724" s="47"/>
      <c r="H724" s="47"/>
      <c r="I724" s="75"/>
      <c r="J724" s="76"/>
      <c r="K724" s="76"/>
      <c r="L724" s="75"/>
      <c r="M724" s="49"/>
      <c r="N724" s="76"/>
      <c r="O724" s="49"/>
      <c r="P724" s="77"/>
      <c r="Q724" s="53"/>
      <c r="R724" s="54"/>
      <c r="S724" s="55"/>
      <c r="T724" s="56"/>
      <c r="U724" s="56"/>
      <c r="V724" s="42"/>
      <c r="W724" s="57"/>
      <c r="X724" s="58"/>
      <c r="Y724" s="75"/>
      <c r="Z724" s="59"/>
      <c r="AA724" s="61"/>
      <c r="AB724" s="61"/>
      <c r="AC724" s="61"/>
      <c r="AD724" s="62"/>
      <c r="AE724" s="62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34"/>
      <c r="AR724" s="34"/>
      <c r="AS724" s="34"/>
      <c r="AT724" s="34"/>
      <c r="AU724" s="34"/>
      <c r="AV724" s="34"/>
      <c r="AW724" s="34"/>
      <c r="AX724" s="34"/>
      <c r="AY724" s="34"/>
      <c r="AZ724" s="34"/>
      <c r="BA724" s="34"/>
      <c r="BB724" s="34"/>
      <c r="BD724" s="34"/>
      <c r="BE724" s="34"/>
      <c r="BF724" s="34"/>
      <c r="BG724" s="34"/>
      <c r="BH724" s="34"/>
      <c r="BI724" s="34"/>
      <c r="BJ724" s="34"/>
      <c r="BK724" s="34"/>
      <c r="BL724" s="34"/>
      <c r="BM724" s="34"/>
      <c r="BN724" s="34"/>
      <c r="BO724" s="34"/>
      <c r="BP724" s="34"/>
      <c r="BQ724" s="34"/>
      <c r="BR724" s="34"/>
      <c r="BS724" s="34"/>
      <c r="BT724" s="34"/>
      <c r="BU724" s="34"/>
      <c r="BV724" s="34"/>
      <c r="BW724" s="34"/>
      <c r="BX724" s="34"/>
      <c r="BY724" s="34"/>
    </row>
    <row r="725" spans="1:77" x14ac:dyDescent="0.3">
      <c r="A725" s="39"/>
      <c r="B725" s="42"/>
      <c r="C725" s="42"/>
      <c r="D725" s="75"/>
      <c r="E725" s="75"/>
      <c r="F725" s="76"/>
      <c r="G725" s="47"/>
      <c r="H725" s="47"/>
      <c r="I725" s="75"/>
      <c r="J725" s="76"/>
      <c r="K725" s="76"/>
      <c r="L725" s="75"/>
      <c r="M725" s="49"/>
      <c r="N725" s="76"/>
      <c r="O725" s="49"/>
      <c r="P725" s="77"/>
      <c r="Q725" s="53"/>
      <c r="R725" s="54"/>
      <c r="S725" s="55"/>
      <c r="T725" s="56"/>
      <c r="U725" s="56"/>
      <c r="V725" s="42"/>
      <c r="W725" s="57"/>
      <c r="X725" s="58"/>
      <c r="Y725" s="75"/>
      <c r="Z725" s="59"/>
      <c r="AA725" s="61"/>
      <c r="AB725" s="61"/>
      <c r="AC725" s="61"/>
      <c r="AD725" s="62"/>
      <c r="AE725" s="62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34"/>
      <c r="AR725" s="34"/>
      <c r="AS725" s="34"/>
      <c r="AT725" s="34"/>
      <c r="AU725" s="34"/>
      <c r="AV725" s="34"/>
      <c r="AW725" s="34"/>
      <c r="AX725" s="34"/>
      <c r="AY725" s="34"/>
      <c r="AZ725" s="34"/>
      <c r="BA725" s="34"/>
      <c r="BB725" s="34"/>
      <c r="BD725" s="34"/>
      <c r="BE725" s="34"/>
      <c r="BF725" s="34"/>
      <c r="BG725" s="34"/>
      <c r="BH725" s="34"/>
      <c r="BI725" s="34"/>
      <c r="BJ725" s="34"/>
      <c r="BK725" s="34"/>
      <c r="BL725" s="34"/>
      <c r="BM725" s="34"/>
      <c r="BN725" s="34"/>
      <c r="BO725" s="34"/>
      <c r="BP725" s="34"/>
      <c r="BQ725" s="34"/>
      <c r="BR725" s="34"/>
      <c r="BS725" s="34"/>
      <c r="BT725" s="34"/>
      <c r="BU725" s="34"/>
      <c r="BV725" s="34"/>
      <c r="BW725" s="34"/>
      <c r="BX725" s="34"/>
      <c r="BY725" s="34"/>
    </row>
    <row r="726" spans="1:77" x14ac:dyDescent="0.3">
      <c r="A726" s="39"/>
      <c r="B726" s="42"/>
      <c r="C726" s="42"/>
      <c r="D726" s="75"/>
      <c r="E726" s="75"/>
      <c r="F726" s="76"/>
      <c r="G726" s="47"/>
      <c r="H726" s="47"/>
      <c r="I726" s="75"/>
      <c r="J726" s="76"/>
      <c r="K726" s="76"/>
      <c r="L726" s="75"/>
      <c r="M726" s="49"/>
      <c r="N726" s="76"/>
      <c r="O726" s="49"/>
      <c r="P726" s="77"/>
      <c r="Q726" s="53"/>
      <c r="R726" s="54"/>
      <c r="S726" s="55"/>
      <c r="T726" s="56"/>
      <c r="U726" s="56"/>
      <c r="V726" s="42"/>
      <c r="W726" s="57"/>
      <c r="X726" s="58"/>
      <c r="Y726" s="75"/>
      <c r="Z726" s="59"/>
      <c r="AA726" s="61"/>
      <c r="AB726" s="61"/>
      <c r="AC726" s="61"/>
      <c r="AD726" s="62"/>
      <c r="AE726" s="62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34"/>
      <c r="AR726" s="34"/>
      <c r="AS726" s="34"/>
      <c r="AT726" s="34"/>
      <c r="AU726" s="34"/>
      <c r="AV726" s="34"/>
      <c r="AW726" s="34"/>
      <c r="AX726" s="34"/>
      <c r="AY726" s="34"/>
      <c r="AZ726" s="34"/>
      <c r="BA726" s="34"/>
      <c r="BB726" s="34"/>
      <c r="BD726" s="34"/>
      <c r="BE726" s="34"/>
      <c r="BF726" s="34"/>
      <c r="BG726" s="34"/>
      <c r="BH726" s="34"/>
      <c r="BI726" s="34"/>
      <c r="BJ726" s="34"/>
      <c r="BK726" s="34"/>
      <c r="BL726" s="34"/>
      <c r="BM726" s="34"/>
      <c r="BN726" s="34"/>
      <c r="BO726" s="34"/>
      <c r="BP726" s="34"/>
      <c r="BQ726" s="34"/>
      <c r="BR726" s="34"/>
      <c r="BS726" s="34"/>
      <c r="BT726" s="34"/>
      <c r="BU726" s="34"/>
      <c r="BV726" s="34"/>
      <c r="BW726" s="34"/>
      <c r="BX726" s="34"/>
      <c r="BY726" s="34"/>
    </row>
    <row r="727" spans="1:77" x14ac:dyDescent="0.3">
      <c r="A727" s="39"/>
      <c r="B727" s="42"/>
      <c r="C727" s="42"/>
      <c r="D727" s="75"/>
      <c r="E727" s="75"/>
      <c r="F727" s="76"/>
      <c r="G727" s="47"/>
      <c r="H727" s="47"/>
      <c r="I727" s="75"/>
      <c r="J727" s="76"/>
      <c r="K727" s="76"/>
      <c r="L727" s="75"/>
      <c r="M727" s="49"/>
      <c r="N727" s="76"/>
      <c r="O727" s="49"/>
      <c r="P727" s="77"/>
      <c r="Q727" s="53"/>
      <c r="R727" s="54"/>
      <c r="S727" s="55"/>
      <c r="T727" s="56"/>
      <c r="U727" s="56"/>
      <c r="V727" s="42"/>
      <c r="W727" s="57"/>
      <c r="X727" s="58"/>
      <c r="Y727" s="75"/>
      <c r="Z727" s="59"/>
      <c r="AA727" s="61"/>
      <c r="AB727" s="61"/>
      <c r="AC727" s="61"/>
      <c r="AD727" s="62"/>
      <c r="AE727" s="62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34"/>
      <c r="AR727" s="34"/>
      <c r="AS727" s="34"/>
      <c r="AT727" s="34"/>
      <c r="AU727" s="34"/>
      <c r="AV727" s="34"/>
      <c r="AW727" s="34"/>
      <c r="AX727" s="34"/>
      <c r="AY727" s="34"/>
      <c r="AZ727" s="34"/>
      <c r="BA727" s="34"/>
      <c r="BB727" s="34"/>
      <c r="BD727" s="34"/>
      <c r="BE727" s="34"/>
      <c r="BF727" s="34"/>
      <c r="BG727" s="34"/>
      <c r="BH727" s="34"/>
      <c r="BI727" s="34"/>
      <c r="BJ727" s="34"/>
      <c r="BK727" s="34"/>
      <c r="BL727" s="34"/>
      <c r="BM727" s="34"/>
      <c r="BN727" s="34"/>
      <c r="BO727" s="34"/>
      <c r="BP727" s="34"/>
      <c r="BQ727" s="34"/>
      <c r="BR727" s="34"/>
      <c r="BS727" s="34"/>
      <c r="BT727" s="34"/>
      <c r="BU727" s="34"/>
      <c r="BV727" s="34"/>
      <c r="BW727" s="34"/>
      <c r="BX727" s="34"/>
      <c r="BY727" s="34"/>
    </row>
    <row r="728" spans="1:77" x14ac:dyDescent="0.3">
      <c r="A728" s="39"/>
      <c r="B728" s="42"/>
      <c r="C728" s="42"/>
      <c r="D728" s="75"/>
      <c r="E728" s="75"/>
      <c r="F728" s="76"/>
      <c r="G728" s="47"/>
      <c r="H728" s="47"/>
      <c r="I728" s="75"/>
      <c r="J728" s="76"/>
      <c r="K728" s="76"/>
      <c r="L728" s="75"/>
      <c r="M728" s="49"/>
      <c r="N728" s="76"/>
      <c r="O728" s="49"/>
      <c r="P728" s="77"/>
      <c r="Q728" s="53"/>
      <c r="R728" s="54"/>
      <c r="S728" s="55"/>
      <c r="T728" s="56"/>
      <c r="U728" s="56"/>
      <c r="V728" s="42"/>
      <c r="W728" s="57"/>
      <c r="X728" s="58"/>
      <c r="Y728" s="75"/>
      <c r="Z728" s="59"/>
      <c r="AA728" s="61"/>
      <c r="AB728" s="61"/>
      <c r="AC728" s="61"/>
      <c r="AD728" s="62"/>
      <c r="AE728" s="62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34"/>
      <c r="AR728" s="34"/>
      <c r="AS728" s="34"/>
      <c r="AT728" s="34"/>
      <c r="AU728" s="34"/>
      <c r="AV728" s="34"/>
      <c r="AW728" s="34"/>
      <c r="AX728" s="34"/>
      <c r="AY728" s="34"/>
      <c r="AZ728" s="34"/>
      <c r="BA728" s="34"/>
      <c r="BB728" s="34"/>
      <c r="BD728" s="34"/>
      <c r="BE728" s="34"/>
      <c r="BF728" s="34"/>
      <c r="BG728" s="34"/>
      <c r="BH728" s="34"/>
      <c r="BI728" s="34"/>
      <c r="BJ728" s="34"/>
      <c r="BK728" s="34"/>
      <c r="BL728" s="34"/>
      <c r="BM728" s="34"/>
      <c r="BN728" s="34"/>
      <c r="BO728" s="34"/>
      <c r="BP728" s="34"/>
      <c r="BQ728" s="34"/>
      <c r="BR728" s="34"/>
      <c r="BS728" s="34"/>
      <c r="BT728" s="34"/>
      <c r="BU728" s="34"/>
      <c r="BV728" s="34"/>
      <c r="BW728" s="34"/>
      <c r="BX728" s="34"/>
      <c r="BY728" s="34"/>
    </row>
    <row r="729" spans="1:77" x14ac:dyDescent="0.3">
      <c r="A729" s="39"/>
      <c r="B729" s="42"/>
      <c r="C729" s="42"/>
      <c r="D729" s="75"/>
      <c r="E729" s="75"/>
      <c r="F729" s="76"/>
      <c r="G729" s="47"/>
      <c r="H729" s="47"/>
      <c r="I729" s="75"/>
      <c r="J729" s="76"/>
      <c r="K729" s="76"/>
      <c r="L729" s="75"/>
      <c r="M729" s="49"/>
      <c r="N729" s="76"/>
      <c r="O729" s="49"/>
      <c r="P729" s="77"/>
      <c r="Q729" s="53"/>
      <c r="R729" s="54"/>
      <c r="S729" s="55"/>
      <c r="T729" s="56"/>
      <c r="U729" s="56"/>
      <c r="V729" s="42"/>
      <c r="W729" s="57"/>
      <c r="X729" s="58"/>
      <c r="Y729" s="75"/>
      <c r="Z729" s="59"/>
      <c r="AA729" s="61"/>
      <c r="AB729" s="61"/>
      <c r="AC729" s="61"/>
      <c r="AD729" s="62"/>
      <c r="AE729" s="62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34"/>
      <c r="AR729" s="34"/>
      <c r="AS729" s="34"/>
      <c r="AT729" s="34"/>
      <c r="AU729" s="34"/>
      <c r="AV729" s="34"/>
      <c r="AW729" s="34"/>
      <c r="AX729" s="34"/>
      <c r="AY729" s="34"/>
      <c r="AZ729" s="34"/>
      <c r="BA729" s="34"/>
      <c r="BB729" s="34"/>
      <c r="BD729" s="34"/>
      <c r="BE729" s="34"/>
      <c r="BF729" s="34"/>
      <c r="BG729" s="34"/>
      <c r="BH729" s="34"/>
      <c r="BI729" s="34"/>
      <c r="BJ729" s="34"/>
      <c r="BK729" s="34"/>
      <c r="BL729" s="34"/>
      <c r="BM729" s="34"/>
      <c r="BN729" s="34"/>
      <c r="BO729" s="34"/>
      <c r="BP729" s="34"/>
      <c r="BQ729" s="34"/>
      <c r="BR729" s="34"/>
      <c r="BS729" s="34"/>
      <c r="BT729" s="34"/>
      <c r="BU729" s="34"/>
      <c r="BV729" s="34"/>
      <c r="BW729" s="34"/>
      <c r="BX729" s="34"/>
      <c r="BY729" s="34"/>
    </row>
    <row r="730" spans="1:77" x14ac:dyDescent="0.3">
      <c r="A730" s="39"/>
      <c r="B730" s="42"/>
      <c r="C730" s="42"/>
      <c r="D730" s="75"/>
      <c r="E730" s="75"/>
      <c r="F730" s="76"/>
      <c r="G730" s="47"/>
      <c r="H730" s="47"/>
      <c r="I730" s="75"/>
      <c r="J730" s="76"/>
      <c r="K730" s="76"/>
      <c r="L730" s="75"/>
      <c r="M730" s="49"/>
      <c r="N730" s="76"/>
      <c r="O730" s="49"/>
      <c r="P730" s="77"/>
      <c r="Q730" s="53"/>
      <c r="R730" s="54"/>
      <c r="S730" s="55"/>
      <c r="T730" s="56"/>
      <c r="U730" s="56"/>
      <c r="V730" s="42"/>
      <c r="W730" s="57"/>
      <c r="X730" s="58"/>
      <c r="Y730" s="75"/>
      <c r="Z730" s="59"/>
      <c r="AA730" s="61"/>
      <c r="AB730" s="61"/>
      <c r="AC730" s="61"/>
      <c r="AD730" s="62"/>
      <c r="AE730" s="62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34"/>
      <c r="AR730" s="34"/>
      <c r="AS730" s="34"/>
      <c r="AT730" s="34"/>
      <c r="AU730" s="34"/>
      <c r="AV730" s="34"/>
      <c r="AW730" s="34"/>
      <c r="AX730" s="34"/>
      <c r="AY730" s="34"/>
      <c r="AZ730" s="34"/>
      <c r="BA730" s="34"/>
      <c r="BB730" s="34"/>
      <c r="BD730" s="34"/>
      <c r="BE730" s="34"/>
      <c r="BF730" s="34"/>
      <c r="BG730" s="34"/>
      <c r="BH730" s="34"/>
      <c r="BI730" s="34"/>
      <c r="BJ730" s="34"/>
      <c r="BK730" s="34"/>
      <c r="BL730" s="34"/>
      <c r="BM730" s="34"/>
      <c r="BN730" s="34"/>
      <c r="BO730" s="34"/>
      <c r="BP730" s="34"/>
      <c r="BQ730" s="34"/>
      <c r="BR730" s="34"/>
      <c r="BS730" s="34"/>
      <c r="BT730" s="34"/>
      <c r="BU730" s="34"/>
      <c r="BV730" s="34"/>
      <c r="BW730" s="34"/>
      <c r="BX730" s="34"/>
      <c r="BY730" s="34"/>
    </row>
    <row r="731" spans="1:77" x14ac:dyDescent="0.3">
      <c r="A731" s="39"/>
      <c r="B731" s="42"/>
      <c r="C731" s="42"/>
      <c r="D731" s="75"/>
      <c r="E731" s="75"/>
      <c r="F731" s="76"/>
      <c r="G731" s="47"/>
      <c r="H731" s="47"/>
      <c r="I731" s="75"/>
      <c r="J731" s="76"/>
      <c r="K731" s="76"/>
      <c r="L731" s="75"/>
      <c r="M731" s="49"/>
      <c r="N731" s="76"/>
      <c r="O731" s="49"/>
      <c r="P731" s="77"/>
      <c r="Q731" s="53"/>
      <c r="R731" s="54"/>
      <c r="S731" s="55"/>
      <c r="T731" s="56"/>
      <c r="U731" s="56"/>
      <c r="V731" s="42"/>
      <c r="W731" s="57"/>
      <c r="X731" s="58"/>
      <c r="Y731" s="75"/>
      <c r="Z731" s="59"/>
      <c r="AA731" s="61"/>
      <c r="AB731" s="61"/>
      <c r="AC731" s="61"/>
      <c r="AD731" s="62"/>
      <c r="AE731" s="62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  <c r="AR731" s="34"/>
      <c r="AS731" s="34"/>
      <c r="AT731" s="34"/>
      <c r="AU731" s="34"/>
      <c r="AV731" s="34"/>
      <c r="AW731" s="34"/>
      <c r="AX731" s="34"/>
      <c r="AY731" s="34"/>
      <c r="AZ731" s="34"/>
      <c r="BA731" s="34"/>
      <c r="BB731" s="34"/>
      <c r="BD731" s="34"/>
      <c r="BE731" s="34"/>
      <c r="BF731" s="34"/>
      <c r="BG731" s="34"/>
      <c r="BH731" s="34"/>
      <c r="BI731" s="34"/>
      <c r="BJ731" s="34"/>
      <c r="BK731" s="34"/>
      <c r="BL731" s="34"/>
      <c r="BM731" s="34"/>
      <c r="BN731" s="34"/>
      <c r="BO731" s="34"/>
      <c r="BP731" s="34"/>
      <c r="BQ731" s="34"/>
      <c r="BR731" s="34"/>
      <c r="BS731" s="34"/>
      <c r="BT731" s="34"/>
      <c r="BU731" s="34"/>
      <c r="BV731" s="34"/>
      <c r="BW731" s="34"/>
      <c r="BX731" s="34"/>
      <c r="BY731" s="34"/>
    </row>
    <row r="732" spans="1:77" x14ac:dyDescent="0.3">
      <c r="A732" s="39"/>
      <c r="B732" s="42"/>
      <c r="C732" s="42"/>
      <c r="D732" s="75"/>
      <c r="E732" s="75"/>
      <c r="F732" s="76"/>
      <c r="G732" s="47"/>
      <c r="H732" s="47"/>
      <c r="I732" s="75"/>
      <c r="J732" s="76"/>
      <c r="K732" s="76"/>
      <c r="L732" s="75"/>
      <c r="M732" s="49"/>
      <c r="N732" s="76"/>
      <c r="O732" s="49"/>
      <c r="P732" s="77"/>
      <c r="Q732" s="53"/>
      <c r="R732" s="54"/>
      <c r="S732" s="55"/>
      <c r="T732" s="56"/>
      <c r="U732" s="56"/>
      <c r="V732" s="42"/>
      <c r="W732" s="57"/>
      <c r="X732" s="58"/>
      <c r="Y732" s="75"/>
      <c r="Z732" s="59"/>
      <c r="AA732" s="61"/>
      <c r="AB732" s="61"/>
      <c r="AC732" s="61"/>
      <c r="AD732" s="62"/>
      <c r="AE732" s="62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34"/>
      <c r="AR732" s="34"/>
      <c r="AS732" s="34"/>
      <c r="AT732" s="34"/>
      <c r="AU732" s="34"/>
      <c r="AV732" s="34"/>
      <c r="AW732" s="34"/>
      <c r="AX732" s="34"/>
      <c r="AY732" s="34"/>
      <c r="AZ732" s="34"/>
      <c r="BA732" s="34"/>
      <c r="BB732" s="34"/>
      <c r="BD732" s="34"/>
      <c r="BE732" s="34"/>
      <c r="BF732" s="34"/>
      <c r="BG732" s="34"/>
      <c r="BH732" s="34"/>
      <c r="BI732" s="34"/>
      <c r="BJ732" s="34"/>
      <c r="BK732" s="34"/>
      <c r="BL732" s="34"/>
      <c r="BM732" s="34"/>
      <c r="BN732" s="34"/>
      <c r="BO732" s="34"/>
      <c r="BP732" s="34"/>
      <c r="BQ732" s="34"/>
      <c r="BR732" s="34"/>
      <c r="BS732" s="34"/>
      <c r="BT732" s="34"/>
      <c r="BU732" s="34"/>
      <c r="BV732" s="34"/>
      <c r="BW732" s="34"/>
      <c r="BX732" s="34"/>
      <c r="BY732" s="34"/>
    </row>
    <row r="733" spans="1:77" x14ac:dyDescent="0.3">
      <c r="A733" s="39"/>
      <c r="B733" s="42"/>
      <c r="C733" s="42"/>
      <c r="D733" s="75"/>
      <c r="E733" s="75"/>
      <c r="F733" s="76"/>
      <c r="G733" s="47"/>
      <c r="H733" s="47"/>
      <c r="I733" s="75"/>
      <c r="J733" s="76"/>
      <c r="K733" s="76"/>
      <c r="L733" s="75"/>
      <c r="M733" s="49"/>
      <c r="N733" s="76"/>
      <c r="O733" s="49"/>
      <c r="P733" s="77"/>
      <c r="Q733" s="53"/>
      <c r="R733" s="54"/>
      <c r="S733" s="55"/>
      <c r="T733" s="56"/>
      <c r="U733" s="56"/>
      <c r="V733" s="42"/>
      <c r="W733" s="57"/>
      <c r="X733" s="58"/>
      <c r="Y733" s="75"/>
      <c r="Z733" s="59"/>
      <c r="AA733" s="61"/>
      <c r="AB733" s="61"/>
      <c r="AC733" s="61"/>
      <c r="AD733" s="62"/>
      <c r="AE733" s="62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34"/>
      <c r="AR733" s="34"/>
      <c r="AS733" s="34"/>
      <c r="AT733" s="34"/>
      <c r="AU733" s="34"/>
      <c r="AV733" s="34"/>
      <c r="AW733" s="34"/>
      <c r="AX733" s="34"/>
      <c r="AY733" s="34"/>
      <c r="AZ733" s="34"/>
      <c r="BA733" s="34"/>
      <c r="BB733" s="34"/>
      <c r="BD733" s="34"/>
      <c r="BE733" s="34"/>
      <c r="BF733" s="34"/>
      <c r="BG733" s="34"/>
      <c r="BH733" s="34"/>
      <c r="BI733" s="34"/>
      <c r="BJ733" s="34"/>
      <c r="BK733" s="34"/>
      <c r="BL733" s="34"/>
      <c r="BM733" s="34"/>
      <c r="BN733" s="34"/>
      <c r="BO733" s="34"/>
      <c r="BP733" s="34"/>
      <c r="BQ733" s="34"/>
      <c r="BR733" s="34"/>
      <c r="BS733" s="34"/>
      <c r="BT733" s="34"/>
      <c r="BU733" s="34"/>
      <c r="BV733" s="34"/>
      <c r="BW733" s="34"/>
      <c r="BX733" s="34"/>
      <c r="BY733" s="34"/>
    </row>
    <row r="734" spans="1:77" x14ac:dyDescent="0.3">
      <c r="A734" s="39"/>
      <c r="B734" s="42"/>
      <c r="C734" s="42"/>
      <c r="D734" s="75"/>
      <c r="E734" s="75"/>
      <c r="F734" s="76"/>
      <c r="G734" s="47"/>
      <c r="H734" s="47"/>
      <c r="I734" s="75"/>
      <c r="J734" s="76"/>
      <c r="K734" s="76"/>
      <c r="L734" s="75"/>
      <c r="M734" s="49"/>
      <c r="N734" s="76"/>
      <c r="O734" s="49"/>
      <c r="P734" s="77"/>
      <c r="Q734" s="53"/>
      <c r="R734" s="54"/>
      <c r="S734" s="55"/>
      <c r="T734" s="56"/>
      <c r="U734" s="56"/>
      <c r="V734" s="42"/>
      <c r="W734" s="57"/>
      <c r="X734" s="58"/>
      <c r="Y734" s="75"/>
      <c r="Z734" s="59"/>
      <c r="AA734" s="61"/>
      <c r="AB734" s="61"/>
      <c r="AC734" s="61"/>
      <c r="AD734" s="62"/>
      <c r="AE734" s="62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  <c r="AR734" s="34"/>
      <c r="AS734" s="34"/>
      <c r="AT734" s="34"/>
      <c r="AU734" s="34"/>
      <c r="AV734" s="34"/>
      <c r="AW734" s="34"/>
      <c r="AX734" s="34"/>
      <c r="AY734" s="34"/>
      <c r="AZ734" s="34"/>
      <c r="BA734" s="34"/>
      <c r="BB734" s="34"/>
      <c r="BD734" s="34"/>
      <c r="BE734" s="34"/>
      <c r="BF734" s="34"/>
      <c r="BG734" s="34"/>
      <c r="BH734" s="34"/>
      <c r="BI734" s="34"/>
      <c r="BJ734" s="34"/>
      <c r="BK734" s="34"/>
      <c r="BL734" s="34"/>
      <c r="BM734" s="34"/>
      <c r="BN734" s="34"/>
      <c r="BO734" s="34"/>
      <c r="BP734" s="34"/>
      <c r="BQ734" s="34"/>
      <c r="BR734" s="34"/>
      <c r="BS734" s="34"/>
      <c r="BT734" s="34"/>
      <c r="BU734" s="34"/>
      <c r="BV734" s="34"/>
      <c r="BW734" s="34"/>
      <c r="BX734" s="34"/>
      <c r="BY734" s="34"/>
    </row>
    <row r="735" spans="1:77" x14ac:dyDescent="0.3">
      <c r="A735" s="39"/>
      <c r="B735" s="42"/>
      <c r="C735" s="42"/>
      <c r="D735" s="75"/>
      <c r="E735" s="75"/>
      <c r="F735" s="76"/>
      <c r="G735" s="47"/>
      <c r="H735" s="47"/>
      <c r="I735" s="75"/>
      <c r="J735" s="76"/>
      <c r="K735" s="76"/>
      <c r="L735" s="75"/>
      <c r="M735" s="49"/>
      <c r="N735" s="76"/>
      <c r="O735" s="49"/>
      <c r="P735" s="77"/>
      <c r="Q735" s="53"/>
      <c r="R735" s="54"/>
      <c r="S735" s="55"/>
      <c r="T735" s="56"/>
      <c r="U735" s="56"/>
      <c r="V735" s="42"/>
      <c r="W735" s="57"/>
      <c r="X735" s="58"/>
      <c r="Y735" s="75"/>
      <c r="Z735" s="59"/>
      <c r="AA735" s="61"/>
      <c r="AB735" s="61"/>
      <c r="AC735" s="61"/>
      <c r="AD735" s="62"/>
      <c r="AE735" s="62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34"/>
      <c r="AR735" s="34"/>
      <c r="AS735" s="34"/>
      <c r="AT735" s="34"/>
      <c r="AU735" s="34"/>
      <c r="AV735" s="34"/>
      <c r="AW735" s="34"/>
      <c r="AX735" s="34"/>
      <c r="AY735" s="34"/>
      <c r="AZ735" s="34"/>
      <c r="BA735" s="34"/>
      <c r="BB735" s="34"/>
      <c r="BD735" s="34"/>
      <c r="BE735" s="34"/>
      <c r="BF735" s="34"/>
      <c r="BG735" s="34"/>
      <c r="BH735" s="34"/>
      <c r="BI735" s="34"/>
      <c r="BJ735" s="34"/>
      <c r="BK735" s="34"/>
      <c r="BL735" s="34"/>
      <c r="BM735" s="34"/>
      <c r="BN735" s="34"/>
      <c r="BO735" s="34"/>
      <c r="BP735" s="34"/>
      <c r="BQ735" s="34"/>
      <c r="BR735" s="34"/>
      <c r="BS735" s="34"/>
      <c r="BT735" s="34"/>
      <c r="BU735" s="34"/>
      <c r="BV735" s="34"/>
      <c r="BW735" s="34"/>
      <c r="BX735" s="34"/>
      <c r="BY735" s="34"/>
    </row>
    <row r="736" spans="1:77" x14ac:dyDescent="0.3">
      <c r="A736" s="39"/>
      <c r="B736" s="42"/>
      <c r="C736" s="42"/>
      <c r="D736" s="75"/>
      <c r="E736" s="75"/>
      <c r="F736" s="76"/>
      <c r="G736" s="47"/>
      <c r="H736" s="47"/>
      <c r="I736" s="75"/>
      <c r="J736" s="76"/>
      <c r="K736" s="76"/>
      <c r="L736" s="75"/>
      <c r="M736" s="49"/>
      <c r="N736" s="76"/>
      <c r="O736" s="49"/>
      <c r="P736" s="77"/>
      <c r="Q736" s="53"/>
      <c r="R736" s="54"/>
      <c r="S736" s="55"/>
      <c r="T736" s="56"/>
      <c r="U736" s="56"/>
      <c r="V736" s="42"/>
      <c r="W736" s="57"/>
      <c r="X736" s="58"/>
      <c r="Y736" s="75"/>
      <c r="Z736" s="59"/>
      <c r="AA736" s="61"/>
      <c r="AB736" s="61"/>
      <c r="AC736" s="61"/>
      <c r="AD736" s="62"/>
      <c r="AE736" s="62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34"/>
      <c r="AR736" s="34"/>
      <c r="AS736" s="34"/>
      <c r="AT736" s="34"/>
      <c r="AU736" s="34"/>
      <c r="AV736" s="34"/>
      <c r="AW736" s="34"/>
      <c r="AX736" s="34"/>
      <c r="AY736" s="34"/>
      <c r="AZ736" s="34"/>
      <c r="BA736" s="34"/>
      <c r="BB736" s="34"/>
      <c r="BD736" s="34"/>
      <c r="BE736" s="34"/>
      <c r="BF736" s="34"/>
      <c r="BG736" s="34"/>
      <c r="BH736" s="34"/>
      <c r="BI736" s="34"/>
      <c r="BJ736" s="34"/>
      <c r="BK736" s="34"/>
      <c r="BL736" s="34"/>
      <c r="BM736" s="34"/>
      <c r="BN736" s="34"/>
      <c r="BO736" s="34"/>
      <c r="BP736" s="34"/>
      <c r="BQ736" s="34"/>
      <c r="BR736" s="34"/>
      <c r="BS736" s="34"/>
      <c r="BT736" s="34"/>
      <c r="BU736" s="34"/>
      <c r="BV736" s="34"/>
      <c r="BW736" s="34"/>
      <c r="BX736" s="34"/>
      <c r="BY736" s="34"/>
    </row>
    <row r="737" spans="1:77" x14ac:dyDescent="0.3">
      <c r="A737" s="39"/>
      <c r="B737" s="42"/>
      <c r="C737" s="42"/>
      <c r="D737" s="75"/>
      <c r="E737" s="75"/>
      <c r="F737" s="76"/>
      <c r="G737" s="47"/>
      <c r="H737" s="47"/>
      <c r="I737" s="75"/>
      <c r="J737" s="76"/>
      <c r="K737" s="76"/>
      <c r="L737" s="75"/>
      <c r="M737" s="49"/>
      <c r="N737" s="76"/>
      <c r="O737" s="49"/>
      <c r="P737" s="77"/>
      <c r="Q737" s="53"/>
      <c r="R737" s="54"/>
      <c r="S737" s="55"/>
      <c r="T737" s="56"/>
      <c r="U737" s="56"/>
      <c r="V737" s="42"/>
      <c r="W737" s="57"/>
      <c r="X737" s="58"/>
      <c r="Y737" s="75"/>
      <c r="Z737" s="59"/>
      <c r="AA737" s="61"/>
      <c r="AB737" s="61"/>
      <c r="AC737" s="61"/>
      <c r="AD737" s="62"/>
      <c r="AE737" s="62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34"/>
      <c r="AR737" s="34"/>
      <c r="AS737" s="34"/>
      <c r="AT737" s="34"/>
      <c r="AU737" s="34"/>
      <c r="AV737" s="34"/>
      <c r="AW737" s="34"/>
      <c r="AX737" s="34"/>
      <c r="AY737" s="34"/>
      <c r="AZ737" s="34"/>
      <c r="BA737" s="34"/>
      <c r="BB737" s="34"/>
      <c r="BD737" s="34"/>
      <c r="BE737" s="34"/>
      <c r="BF737" s="34"/>
      <c r="BG737" s="34"/>
      <c r="BH737" s="34"/>
      <c r="BI737" s="34"/>
      <c r="BJ737" s="34"/>
      <c r="BK737" s="34"/>
      <c r="BL737" s="34"/>
      <c r="BM737" s="34"/>
      <c r="BN737" s="34"/>
      <c r="BO737" s="34"/>
      <c r="BP737" s="34"/>
      <c r="BQ737" s="34"/>
      <c r="BR737" s="34"/>
      <c r="BS737" s="34"/>
      <c r="BT737" s="34"/>
      <c r="BU737" s="34"/>
      <c r="BV737" s="34"/>
      <c r="BW737" s="34"/>
      <c r="BX737" s="34"/>
      <c r="BY737" s="34"/>
    </row>
    <row r="738" spans="1:77" x14ac:dyDescent="0.3">
      <c r="A738" s="39"/>
      <c r="B738" s="42"/>
      <c r="C738" s="42"/>
      <c r="D738" s="75"/>
      <c r="E738" s="75"/>
      <c r="F738" s="76"/>
      <c r="G738" s="47"/>
      <c r="H738" s="47"/>
      <c r="I738" s="75"/>
      <c r="J738" s="76"/>
      <c r="K738" s="76"/>
      <c r="L738" s="75"/>
      <c r="M738" s="49"/>
      <c r="N738" s="76"/>
      <c r="O738" s="49"/>
      <c r="P738" s="77"/>
      <c r="Q738" s="53"/>
      <c r="R738" s="54"/>
      <c r="S738" s="55"/>
      <c r="T738" s="56"/>
      <c r="U738" s="56"/>
      <c r="V738" s="42"/>
      <c r="W738" s="57"/>
      <c r="X738" s="58"/>
      <c r="Y738" s="75"/>
      <c r="Z738" s="59"/>
      <c r="AA738" s="61"/>
      <c r="AB738" s="61"/>
      <c r="AC738" s="61"/>
      <c r="AD738" s="62"/>
      <c r="AE738" s="62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34"/>
      <c r="AR738" s="34"/>
      <c r="AS738" s="34"/>
      <c r="AT738" s="34"/>
      <c r="AU738" s="34"/>
      <c r="AV738" s="34"/>
      <c r="AW738" s="34"/>
      <c r="AX738" s="34"/>
      <c r="AY738" s="34"/>
      <c r="AZ738" s="34"/>
      <c r="BA738" s="34"/>
      <c r="BB738" s="34"/>
      <c r="BD738" s="34"/>
      <c r="BE738" s="34"/>
      <c r="BF738" s="34"/>
      <c r="BG738" s="34"/>
      <c r="BH738" s="34"/>
      <c r="BI738" s="34"/>
      <c r="BJ738" s="34"/>
      <c r="BK738" s="34"/>
      <c r="BL738" s="34"/>
      <c r="BM738" s="34"/>
      <c r="BN738" s="34"/>
      <c r="BO738" s="34"/>
      <c r="BP738" s="34"/>
      <c r="BQ738" s="34"/>
      <c r="BR738" s="34"/>
      <c r="BS738" s="34"/>
      <c r="BT738" s="34"/>
      <c r="BU738" s="34"/>
      <c r="BV738" s="34"/>
      <c r="BW738" s="34"/>
      <c r="BX738" s="34"/>
      <c r="BY738" s="34"/>
    </row>
    <row r="739" spans="1:77" x14ac:dyDescent="0.3">
      <c r="A739" s="39"/>
      <c r="B739" s="42"/>
      <c r="C739" s="42"/>
      <c r="D739" s="75"/>
      <c r="E739" s="75"/>
      <c r="F739" s="76"/>
      <c r="G739" s="47"/>
      <c r="H739" s="47"/>
      <c r="I739" s="75"/>
      <c r="J739" s="76"/>
      <c r="K739" s="76"/>
      <c r="L739" s="75"/>
      <c r="M739" s="49"/>
      <c r="N739" s="76"/>
      <c r="O739" s="49"/>
      <c r="P739" s="77"/>
      <c r="Q739" s="53"/>
      <c r="R739" s="54"/>
      <c r="S739" s="55"/>
      <c r="T739" s="56"/>
      <c r="U739" s="56"/>
      <c r="V739" s="42"/>
      <c r="W739" s="57"/>
      <c r="X739" s="58"/>
      <c r="Y739" s="75"/>
      <c r="Z739" s="59"/>
      <c r="AA739" s="61"/>
      <c r="AB739" s="61"/>
      <c r="AC739" s="61"/>
      <c r="AD739" s="62"/>
      <c r="AE739" s="62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34"/>
      <c r="AR739" s="34"/>
      <c r="AS739" s="34"/>
      <c r="AT739" s="34"/>
      <c r="AU739" s="34"/>
      <c r="AV739" s="34"/>
      <c r="AW739" s="34"/>
      <c r="AX739" s="34"/>
      <c r="AY739" s="34"/>
      <c r="AZ739" s="34"/>
      <c r="BA739" s="34"/>
      <c r="BB739" s="34"/>
      <c r="BD739" s="34"/>
      <c r="BE739" s="34"/>
      <c r="BF739" s="34"/>
      <c r="BG739" s="34"/>
      <c r="BH739" s="34"/>
      <c r="BI739" s="34"/>
      <c r="BJ739" s="34"/>
      <c r="BK739" s="34"/>
      <c r="BL739" s="34"/>
      <c r="BM739" s="34"/>
      <c r="BN739" s="34"/>
      <c r="BO739" s="34"/>
      <c r="BP739" s="34"/>
      <c r="BQ739" s="34"/>
      <c r="BR739" s="34"/>
      <c r="BS739" s="34"/>
      <c r="BT739" s="34"/>
      <c r="BU739" s="34"/>
      <c r="BV739" s="34"/>
      <c r="BW739" s="34"/>
      <c r="BX739" s="34"/>
      <c r="BY739" s="34"/>
    </row>
    <row r="740" spans="1:77" x14ac:dyDescent="0.3">
      <c r="A740" s="39"/>
      <c r="B740" s="42"/>
      <c r="C740" s="42"/>
      <c r="D740" s="75"/>
      <c r="E740" s="75"/>
      <c r="F740" s="76"/>
      <c r="G740" s="47"/>
      <c r="H740" s="47"/>
      <c r="I740" s="75"/>
      <c r="J740" s="76"/>
      <c r="K740" s="76"/>
      <c r="L740" s="75"/>
      <c r="M740" s="49"/>
      <c r="N740" s="76"/>
      <c r="O740" s="49"/>
      <c r="P740" s="77"/>
      <c r="Q740" s="53"/>
      <c r="R740" s="54"/>
      <c r="S740" s="55"/>
      <c r="T740" s="56"/>
      <c r="U740" s="56"/>
      <c r="V740" s="42"/>
      <c r="W740" s="57"/>
      <c r="X740" s="58"/>
      <c r="Y740" s="75"/>
      <c r="Z740" s="59"/>
      <c r="AA740" s="61"/>
      <c r="AB740" s="61"/>
      <c r="AC740" s="61"/>
      <c r="AD740" s="62"/>
      <c r="AE740" s="62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34"/>
      <c r="AR740" s="34"/>
      <c r="AS740" s="34"/>
      <c r="AT740" s="34"/>
      <c r="AU740" s="34"/>
      <c r="AV740" s="34"/>
      <c r="AW740" s="34"/>
      <c r="AX740" s="34"/>
      <c r="AY740" s="34"/>
      <c r="AZ740" s="34"/>
      <c r="BA740" s="34"/>
      <c r="BB740" s="34"/>
      <c r="BD740" s="34"/>
      <c r="BE740" s="34"/>
      <c r="BF740" s="34"/>
      <c r="BG740" s="34"/>
      <c r="BH740" s="34"/>
      <c r="BI740" s="34"/>
      <c r="BJ740" s="34"/>
      <c r="BK740" s="34"/>
      <c r="BL740" s="34"/>
      <c r="BM740" s="34"/>
      <c r="BN740" s="34"/>
      <c r="BO740" s="34"/>
      <c r="BP740" s="34"/>
      <c r="BQ740" s="34"/>
      <c r="BR740" s="34"/>
      <c r="BS740" s="34"/>
      <c r="BT740" s="34"/>
      <c r="BU740" s="34"/>
      <c r="BV740" s="34"/>
      <c r="BW740" s="34"/>
      <c r="BX740" s="34"/>
      <c r="BY740" s="34"/>
    </row>
    <row r="741" spans="1:77" x14ac:dyDescent="0.3">
      <c r="A741" s="39"/>
      <c r="B741" s="42"/>
      <c r="C741" s="42"/>
      <c r="D741" s="75"/>
      <c r="E741" s="75"/>
      <c r="F741" s="76"/>
      <c r="G741" s="47"/>
      <c r="H741" s="47"/>
      <c r="I741" s="75"/>
      <c r="J741" s="76"/>
      <c r="K741" s="76"/>
      <c r="L741" s="75"/>
      <c r="M741" s="49"/>
      <c r="N741" s="76"/>
      <c r="O741" s="49"/>
      <c r="P741" s="77"/>
      <c r="Q741" s="53"/>
      <c r="R741" s="54"/>
      <c r="S741" s="55"/>
      <c r="T741" s="56"/>
      <c r="U741" s="56"/>
      <c r="V741" s="42"/>
      <c r="W741" s="57"/>
      <c r="X741" s="58"/>
      <c r="Y741" s="75"/>
      <c r="Z741" s="59"/>
      <c r="AA741" s="61"/>
      <c r="AB741" s="61"/>
      <c r="AC741" s="61"/>
      <c r="AD741" s="62"/>
      <c r="AE741" s="62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34"/>
      <c r="AR741" s="34"/>
      <c r="AS741" s="34"/>
      <c r="AT741" s="34"/>
      <c r="AU741" s="34"/>
      <c r="AV741" s="34"/>
      <c r="AW741" s="34"/>
      <c r="AX741" s="34"/>
      <c r="AY741" s="34"/>
      <c r="AZ741" s="34"/>
      <c r="BA741" s="34"/>
      <c r="BB741" s="34"/>
      <c r="BD741" s="34"/>
      <c r="BE741" s="34"/>
      <c r="BF741" s="34"/>
      <c r="BG741" s="34"/>
      <c r="BH741" s="34"/>
      <c r="BI741" s="34"/>
      <c r="BJ741" s="34"/>
      <c r="BK741" s="34"/>
      <c r="BL741" s="34"/>
      <c r="BM741" s="34"/>
      <c r="BN741" s="34"/>
      <c r="BO741" s="34"/>
      <c r="BP741" s="34"/>
      <c r="BQ741" s="34"/>
      <c r="BR741" s="34"/>
      <c r="BS741" s="34"/>
      <c r="BT741" s="34"/>
      <c r="BU741" s="34"/>
      <c r="BV741" s="34"/>
      <c r="BW741" s="34"/>
      <c r="BX741" s="34"/>
      <c r="BY741" s="34"/>
    </row>
    <row r="742" spans="1:77" x14ac:dyDescent="0.3">
      <c r="A742" s="39"/>
      <c r="B742" s="42"/>
      <c r="C742" s="42"/>
      <c r="D742" s="75"/>
      <c r="E742" s="75"/>
      <c r="F742" s="76"/>
      <c r="G742" s="47"/>
      <c r="H742" s="47"/>
      <c r="I742" s="75"/>
      <c r="J742" s="76"/>
      <c r="K742" s="76"/>
      <c r="L742" s="75"/>
      <c r="M742" s="49"/>
      <c r="N742" s="76"/>
      <c r="O742" s="49"/>
      <c r="P742" s="77"/>
      <c r="Q742" s="53"/>
      <c r="R742" s="54"/>
      <c r="S742" s="55"/>
      <c r="T742" s="56"/>
      <c r="U742" s="56"/>
      <c r="V742" s="42"/>
      <c r="W742" s="57"/>
      <c r="X742" s="58"/>
      <c r="Y742" s="75"/>
      <c r="Z742" s="59"/>
      <c r="AA742" s="61"/>
      <c r="AB742" s="61"/>
      <c r="AC742" s="61"/>
      <c r="AD742" s="62"/>
      <c r="AE742" s="62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34"/>
      <c r="AR742" s="34"/>
      <c r="AS742" s="34"/>
      <c r="AT742" s="34"/>
      <c r="AU742" s="34"/>
      <c r="AV742" s="34"/>
      <c r="AW742" s="34"/>
      <c r="AX742" s="34"/>
      <c r="AY742" s="34"/>
      <c r="AZ742" s="34"/>
      <c r="BA742" s="34"/>
      <c r="BB742" s="34"/>
      <c r="BD742" s="34"/>
      <c r="BE742" s="34"/>
      <c r="BF742" s="34"/>
      <c r="BG742" s="34"/>
      <c r="BH742" s="34"/>
      <c r="BI742" s="34"/>
      <c r="BJ742" s="34"/>
      <c r="BK742" s="34"/>
      <c r="BL742" s="34"/>
      <c r="BM742" s="34"/>
      <c r="BN742" s="34"/>
      <c r="BO742" s="34"/>
      <c r="BP742" s="34"/>
      <c r="BQ742" s="34"/>
      <c r="BR742" s="34"/>
      <c r="BS742" s="34"/>
      <c r="BT742" s="34"/>
      <c r="BU742" s="34"/>
      <c r="BV742" s="34"/>
      <c r="BW742" s="34"/>
      <c r="BX742" s="34"/>
      <c r="BY742" s="34"/>
    </row>
    <row r="743" spans="1:77" x14ac:dyDescent="0.3">
      <c r="A743" s="39"/>
      <c r="B743" s="42"/>
      <c r="C743" s="42"/>
      <c r="D743" s="75"/>
      <c r="E743" s="75"/>
      <c r="F743" s="76"/>
      <c r="G743" s="47"/>
      <c r="H743" s="47"/>
      <c r="I743" s="75"/>
      <c r="J743" s="76"/>
      <c r="K743" s="76"/>
      <c r="L743" s="75"/>
      <c r="M743" s="49"/>
      <c r="N743" s="76"/>
      <c r="O743" s="49"/>
      <c r="P743" s="77"/>
      <c r="Q743" s="53"/>
      <c r="R743" s="54"/>
      <c r="S743" s="55"/>
      <c r="T743" s="56"/>
      <c r="U743" s="56"/>
      <c r="V743" s="42"/>
      <c r="W743" s="57"/>
      <c r="X743" s="58"/>
      <c r="Y743" s="75"/>
      <c r="Z743" s="59"/>
      <c r="AA743" s="61"/>
      <c r="AB743" s="61"/>
      <c r="AC743" s="61"/>
      <c r="AD743" s="62"/>
      <c r="AE743" s="62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/>
      <c r="BB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/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</row>
    <row r="744" spans="1:77" x14ac:dyDescent="0.3">
      <c r="A744" s="39"/>
      <c r="B744" s="42"/>
      <c r="C744" s="42"/>
      <c r="D744" s="75"/>
      <c r="E744" s="75"/>
      <c r="F744" s="76"/>
      <c r="G744" s="47"/>
      <c r="H744" s="47"/>
      <c r="I744" s="75"/>
      <c r="J744" s="76"/>
      <c r="K744" s="76"/>
      <c r="L744" s="75"/>
      <c r="M744" s="49"/>
      <c r="N744" s="76"/>
      <c r="O744" s="49"/>
      <c r="P744" s="77"/>
      <c r="Q744" s="53"/>
      <c r="R744" s="54"/>
      <c r="S744" s="55"/>
      <c r="T744" s="56"/>
      <c r="U744" s="56"/>
      <c r="V744" s="42"/>
      <c r="W744" s="57"/>
      <c r="X744" s="58"/>
      <c r="Y744" s="75"/>
      <c r="Z744" s="59"/>
      <c r="AA744" s="61"/>
      <c r="AB744" s="61"/>
      <c r="AC744" s="61"/>
      <c r="AD744" s="62"/>
      <c r="AE744" s="62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34"/>
      <c r="BB744" s="34"/>
      <c r="BD744" s="34"/>
      <c r="BE744" s="34"/>
      <c r="BF744" s="34"/>
      <c r="BG744" s="34"/>
      <c r="BH744" s="34"/>
      <c r="BI744" s="34"/>
      <c r="BJ744" s="34"/>
      <c r="BK744" s="34"/>
      <c r="BL744" s="34"/>
      <c r="BM744" s="34"/>
      <c r="BN744" s="34"/>
      <c r="BO744" s="34"/>
      <c r="BP744" s="34"/>
      <c r="BQ744" s="34"/>
      <c r="BR744" s="34"/>
      <c r="BS744" s="34"/>
      <c r="BT744" s="34"/>
      <c r="BU744" s="34"/>
      <c r="BV744" s="34"/>
      <c r="BW744" s="34"/>
      <c r="BX744" s="34"/>
      <c r="BY744" s="34"/>
    </row>
    <row r="745" spans="1:77" x14ac:dyDescent="0.3">
      <c r="A745" s="39"/>
      <c r="B745" s="42"/>
      <c r="C745" s="42"/>
      <c r="D745" s="75"/>
      <c r="E745" s="75"/>
      <c r="F745" s="76"/>
      <c r="G745" s="47"/>
      <c r="H745" s="47"/>
      <c r="I745" s="75"/>
      <c r="J745" s="76"/>
      <c r="K745" s="76"/>
      <c r="L745" s="75"/>
      <c r="M745" s="49"/>
      <c r="N745" s="76"/>
      <c r="O745" s="49"/>
      <c r="P745" s="77"/>
      <c r="Q745" s="53"/>
      <c r="R745" s="54"/>
      <c r="S745" s="55"/>
      <c r="T745" s="56"/>
      <c r="U745" s="56"/>
      <c r="V745" s="42"/>
      <c r="W745" s="57"/>
      <c r="X745" s="58"/>
      <c r="Y745" s="75"/>
      <c r="Z745" s="59"/>
      <c r="AA745" s="61"/>
      <c r="AB745" s="61"/>
      <c r="AC745" s="61"/>
      <c r="AD745" s="62"/>
      <c r="AE745" s="62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/>
      <c r="BB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/>
      <c r="BP745" s="34"/>
      <c r="BQ745" s="34"/>
      <c r="BR745" s="34"/>
      <c r="BS745" s="34"/>
      <c r="BT745" s="34"/>
      <c r="BU745" s="34"/>
      <c r="BV745" s="34"/>
      <c r="BW745" s="34"/>
      <c r="BX745" s="34"/>
      <c r="BY745" s="34"/>
    </row>
    <row r="746" spans="1:77" x14ac:dyDescent="0.3">
      <c r="A746" s="39"/>
      <c r="B746" s="42"/>
      <c r="C746" s="42"/>
      <c r="D746" s="75"/>
      <c r="E746" s="75"/>
      <c r="F746" s="76"/>
      <c r="G746" s="47"/>
      <c r="H746" s="47"/>
      <c r="I746" s="75"/>
      <c r="J746" s="76"/>
      <c r="K746" s="76"/>
      <c r="L746" s="75"/>
      <c r="M746" s="49"/>
      <c r="N746" s="76"/>
      <c r="O746" s="49"/>
      <c r="P746" s="77"/>
      <c r="Q746" s="53"/>
      <c r="R746" s="54"/>
      <c r="S746" s="55"/>
      <c r="T746" s="56"/>
      <c r="U746" s="56"/>
      <c r="V746" s="42"/>
      <c r="W746" s="57"/>
      <c r="X746" s="58"/>
      <c r="Y746" s="75"/>
      <c r="Z746" s="59"/>
      <c r="AA746" s="61"/>
      <c r="AB746" s="61"/>
      <c r="AC746" s="61"/>
      <c r="AD746" s="62"/>
      <c r="AE746" s="62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/>
      <c r="BB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/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</row>
    <row r="747" spans="1:77" x14ac:dyDescent="0.3">
      <c r="A747" s="39"/>
      <c r="B747" s="42"/>
      <c r="C747" s="42"/>
      <c r="D747" s="75"/>
      <c r="E747" s="75"/>
      <c r="F747" s="76"/>
      <c r="G747" s="47"/>
      <c r="H747" s="47"/>
      <c r="I747" s="75"/>
      <c r="J747" s="76"/>
      <c r="K747" s="76"/>
      <c r="L747" s="75"/>
      <c r="M747" s="49"/>
      <c r="N747" s="76"/>
      <c r="O747" s="49"/>
      <c r="P747" s="77"/>
      <c r="Q747" s="53"/>
      <c r="R747" s="54"/>
      <c r="S747" s="55"/>
      <c r="T747" s="56"/>
      <c r="U747" s="56"/>
      <c r="V747" s="42"/>
      <c r="W747" s="57"/>
      <c r="X747" s="58"/>
      <c r="Y747" s="75"/>
      <c r="Z747" s="59"/>
      <c r="AA747" s="61"/>
      <c r="AB747" s="61"/>
      <c r="AC747" s="61"/>
      <c r="AD747" s="62"/>
      <c r="AE747" s="62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34"/>
      <c r="BA747" s="34"/>
      <c r="BB747" s="34"/>
      <c r="BD747" s="34"/>
      <c r="BE747" s="34"/>
      <c r="BF747" s="34"/>
      <c r="BG747" s="34"/>
      <c r="BH747" s="34"/>
      <c r="BI747" s="34"/>
      <c r="BJ747" s="34"/>
      <c r="BK747" s="34"/>
      <c r="BL747" s="34"/>
      <c r="BM747" s="34"/>
      <c r="BN747" s="34"/>
      <c r="BO747" s="34"/>
      <c r="BP747" s="34"/>
      <c r="BQ747" s="34"/>
      <c r="BR747" s="34"/>
      <c r="BS747" s="34"/>
      <c r="BT747" s="34"/>
      <c r="BU747" s="34"/>
      <c r="BV747" s="34"/>
      <c r="BW747" s="34"/>
      <c r="BX747" s="34"/>
      <c r="BY747" s="34"/>
    </row>
    <row r="748" spans="1:77" x14ac:dyDescent="0.3">
      <c r="A748" s="39"/>
      <c r="B748" s="42"/>
      <c r="C748" s="42"/>
      <c r="D748" s="75"/>
      <c r="E748" s="75"/>
      <c r="F748" s="76"/>
      <c r="G748" s="47"/>
      <c r="H748" s="47"/>
      <c r="I748" s="75"/>
      <c r="J748" s="76"/>
      <c r="K748" s="76"/>
      <c r="L748" s="75"/>
      <c r="M748" s="49"/>
      <c r="N748" s="76"/>
      <c r="O748" s="49"/>
      <c r="P748" s="77"/>
      <c r="Q748" s="53"/>
      <c r="R748" s="54"/>
      <c r="S748" s="55"/>
      <c r="T748" s="56"/>
      <c r="U748" s="56"/>
      <c r="V748" s="42"/>
      <c r="W748" s="57"/>
      <c r="X748" s="58"/>
      <c r="Y748" s="75"/>
      <c r="Z748" s="59"/>
      <c r="AA748" s="61"/>
      <c r="AB748" s="61"/>
      <c r="AC748" s="61"/>
      <c r="AD748" s="62"/>
      <c r="AE748" s="62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/>
      <c r="BB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  <c r="BN748" s="34"/>
      <c r="BO748" s="34"/>
      <c r="BP748" s="34"/>
      <c r="BQ748" s="34"/>
      <c r="BR748" s="34"/>
      <c r="BS748" s="34"/>
      <c r="BT748" s="34"/>
      <c r="BU748" s="34"/>
      <c r="BV748" s="34"/>
      <c r="BW748" s="34"/>
      <c r="BX748" s="34"/>
      <c r="BY748" s="34"/>
    </row>
    <row r="749" spans="1:77" x14ac:dyDescent="0.3">
      <c r="A749" s="39"/>
      <c r="B749" s="42"/>
      <c r="C749" s="42"/>
      <c r="D749" s="75"/>
      <c r="E749" s="75"/>
      <c r="F749" s="76"/>
      <c r="G749" s="47"/>
      <c r="H749" s="47"/>
      <c r="I749" s="75"/>
      <c r="J749" s="76"/>
      <c r="K749" s="76"/>
      <c r="L749" s="75"/>
      <c r="M749" s="49"/>
      <c r="N749" s="76"/>
      <c r="O749" s="49"/>
      <c r="P749" s="77"/>
      <c r="Q749" s="53"/>
      <c r="R749" s="54"/>
      <c r="S749" s="55"/>
      <c r="T749" s="56"/>
      <c r="U749" s="56"/>
      <c r="V749" s="42"/>
      <c r="W749" s="57"/>
      <c r="X749" s="58"/>
      <c r="Y749" s="75"/>
      <c r="Z749" s="59"/>
      <c r="AA749" s="61"/>
      <c r="AB749" s="61"/>
      <c r="AC749" s="61"/>
      <c r="AD749" s="62"/>
      <c r="AE749" s="62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34"/>
      <c r="AR749" s="34"/>
      <c r="AS749" s="34"/>
      <c r="AT749" s="34"/>
      <c r="AU749" s="34"/>
      <c r="AV749" s="34"/>
      <c r="AW749" s="34"/>
      <c r="AX749" s="34"/>
      <c r="AY749" s="34"/>
      <c r="AZ749" s="34"/>
      <c r="BA749" s="34"/>
      <c r="BB749" s="34"/>
      <c r="BD749" s="34"/>
      <c r="BE749" s="34"/>
      <c r="BF749" s="34"/>
      <c r="BG749" s="34"/>
      <c r="BH749" s="34"/>
      <c r="BI749" s="34"/>
      <c r="BJ749" s="34"/>
      <c r="BK749" s="34"/>
      <c r="BL749" s="34"/>
      <c r="BM749" s="34"/>
      <c r="BN749" s="34"/>
      <c r="BO749" s="34"/>
      <c r="BP749" s="34"/>
      <c r="BQ749" s="34"/>
      <c r="BR749" s="34"/>
      <c r="BS749" s="34"/>
      <c r="BT749" s="34"/>
      <c r="BU749" s="34"/>
      <c r="BV749" s="34"/>
      <c r="BW749" s="34"/>
      <c r="BX749" s="34"/>
      <c r="BY749" s="34"/>
    </row>
    <row r="750" spans="1:77" x14ac:dyDescent="0.3">
      <c r="A750" s="39"/>
      <c r="B750" s="42"/>
      <c r="C750" s="42"/>
      <c r="D750" s="75"/>
      <c r="E750" s="75"/>
      <c r="F750" s="76"/>
      <c r="G750" s="47"/>
      <c r="H750" s="47"/>
      <c r="I750" s="75"/>
      <c r="J750" s="76"/>
      <c r="K750" s="76"/>
      <c r="L750" s="75"/>
      <c r="M750" s="49"/>
      <c r="N750" s="76"/>
      <c r="O750" s="49"/>
      <c r="P750" s="77"/>
      <c r="Q750" s="53"/>
      <c r="R750" s="54"/>
      <c r="S750" s="55"/>
      <c r="T750" s="56"/>
      <c r="U750" s="56"/>
      <c r="V750" s="42"/>
      <c r="W750" s="57"/>
      <c r="X750" s="58"/>
      <c r="Y750" s="75"/>
      <c r="Z750" s="59"/>
      <c r="AA750" s="61"/>
      <c r="AB750" s="61"/>
      <c r="AC750" s="61"/>
      <c r="AD750" s="62"/>
      <c r="AE750" s="62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34"/>
      <c r="AR750" s="34"/>
      <c r="AS750" s="34"/>
      <c r="AT750" s="34"/>
      <c r="AU750" s="34"/>
      <c r="AV750" s="34"/>
      <c r="AW750" s="34"/>
      <c r="AX750" s="34"/>
      <c r="AY750" s="34"/>
      <c r="AZ750" s="34"/>
      <c r="BA750" s="34"/>
      <c r="BB750" s="34"/>
      <c r="BD750" s="34"/>
      <c r="BE750" s="34"/>
      <c r="BF750" s="34"/>
      <c r="BG750" s="34"/>
      <c r="BH750" s="34"/>
      <c r="BI750" s="34"/>
      <c r="BJ750" s="34"/>
      <c r="BK750" s="34"/>
      <c r="BL750" s="34"/>
      <c r="BM750" s="34"/>
      <c r="BN750" s="34"/>
      <c r="BO750" s="34"/>
      <c r="BP750" s="34"/>
      <c r="BQ750" s="34"/>
      <c r="BR750" s="34"/>
      <c r="BS750" s="34"/>
      <c r="BT750" s="34"/>
      <c r="BU750" s="34"/>
      <c r="BV750" s="34"/>
      <c r="BW750" s="34"/>
      <c r="BX750" s="34"/>
      <c r="BY750" s="34"/>
    </row>
    <row r="751" spans="1:77" x14ac:dyDescent="0.3">
      <c r="A751" s="39"/>
      <c r="B751" s="42"/>
      <c r="C751" s="42"/>
      <c r="D751" s="75"/>
      <c r="E751" s="75"/>
      <c r="F751" s="76"/>
      <c r="G751" s="47"/>
      <c r="H751" s="47"/>
      <c r="I751" s="75"/>
      <c r="J751" s="76"/>
      <c r="K751" s="76"/>
      <c r="L751" s="75"/>
      <c r="M751" s="49"/>
      <c r="N751" s="76"/>
      <c r="O751" s="49"/>
      <c r="P751" s="77"/>
      <c r="Q751" s="53"/>
      <c r="R751" s="54"/>
      <c r="S751" s="55"/>
      <c r="T751" s="56"/>
      <c r="U751" s="56"/>
      <c r="V751" s="42"/>
      <c r="W751" s="57"/>
      <c r="X751" s="58"/>
      <c r="Y751" s="75"/>
      <c r="Z751" s="59"/>
      <c r="AA751" s="61"/>
      <c r="AB751" s="61"/>
      <c r="AC751" s="61"/>
      <c r="AD751" s="62"/>
      <c r="AE751" s="62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34"/>
      <c r="AR751" s="34"/>
      <c r="AS751" s="34"/>
      <c r="AT751" s="34"/>
      <c r="AU751" s="34"/>
      <c r="AV751" s="34"/>
      <c r="AW751" s="34"/>
      <c r="AX751" s="34"/>
      <c r="AY751" s="34"/>
      <c r="AZ751" s="34"/>
      <c r="BA751" s="34"/>
      <c r="BB751" s="34"/>
      <c r="BD751" s="34"/>
      <c r="BE751" s="34"/>
      <c r="BF751" s="34"/>
      <c r="BG751" s="34"/>
      <c r="BH751" s="34"/>
      <c r="BI751" s="34"/>
      <c r="BJ751" s="34"/>
      <c r="BK751" s="34"/>
      <c r="BL751" s="34"/>
      <c r="BM751" s="34"/>
      <c r="BN751" s="34"/>
      <c r="BO751" s="34"/>
      <c r="BP751" s="34"/>
      <c r="BQ751" s="34"/>
      <c r="BR751" s="34"/>
      <c r="BS751" s="34"/>
      <c r="BT751" s="34"/>
      <c r="BU751" s="34"/>
      <c r="BV751" s="34"/>
      <c r="BW751" s="34"/>
      <c r="BX751" s="34"/>
      <c r="BY751" s="34"/>
    </row>
    <row r="752" spans="1:77" x14ac:dyDescent="0.3">
      <c r="A752" s="39"/>
      <c r="B752" s="42"/>
      <c r="C752" s="42"/>
      <c r="D752" s="75"/>
      <c r="E752" s="75"/>
      <c r="F752" s="76"/>
      <c r="G752" s="47"/>
      <c r="H752" s="47"/>
      <c r="I752" s="75"/>
      <c r="J752" s="76"/>
      <c r="K752" s="76"/>
      <c r="L752" s="75"/>
      <c r="M752" s="49"/>
      <c r="N752" s="76"/>
      <c r="O752" s="49"/>
      <c r="P752" s="77"/>
      <c r="Q752" s="53"/>
      <c r="R752" s="54"/>
      <c r="S752" s="55"/>
      <c r="T752" s="56"/>
      <c r="U752" s="56"/>
      <c r="V752" s="42"/>
      <c r="W752" s="57"/>
      <c r="X752" s="58"/>
      <c r="Y752" s="75"/>
      <c r="Z752" s="59"/>
      <c r="AA752" s="61"/>
      <c r="AB752" s="61"/>
      <c r="AC752" s="61"/>
      <c r="AD752" s="62"/>
      <c r="AE752" s="62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34"/>
      <c r="BA752" s="34"/>
      <c r="BB752" s="34"/>
      <c r="BD752" s="34"/>
      <c r="BE752" s="34"/>
      <c r="BF752" s="34"/>
      <c r="BG752" s="34"/>
      <c r="BH752" s="34"/>
      <c r="BI752" s="34"/>
      <c r="BJ752" s="34"/>
      <c r="BK752" s="34"/>
      <c r="BL752" s="34"/>
      <c r="BM752" s="34"/>
      <c r="BN752" s="34"/>
      <c r="BO752" s="34"/>
      <c r="BP752" s="34"/>
      <c r="BQ752" s="34"/>
      <c r="BR752" s="34"/>
      <c r="BS752" s="34"/>
      <c r="BT752" s="34"/>
      <c r="BU752" s="34"/>
      <c r="BV752" s="34"/>
      <c r="BW752" s="34"/>
      <c r="BX752" s="34"/>
      <c r="BY752" s="34"/>
    </row>
    <row r="753" spans="1:77" x14ac:dyDescent="0.3">
      <c r="A753" s="39"/>
      <c r="B753" s="42"/>
      <c r="C753" s="42"/>
      <c r="D753" s="75"/>
      <c r="E753" s="75"/>
      <c r="F753" s="76"/>
      <c r="G753" s="47"/>
      <c r="H753" s="47"/>
      <c r="I753" s="75"/>
      <c r="J753" s="76"/>
      <c r="K753" s="76"/>
      <c r="L753" s="75"/>
      <c r="M753" s="49"/>
      <c r="N753" s="76"/>
      <c r="O753" s="49"/>
      <c r="P753" s="77"/>
      <c r="Q753" s="53"/>
      <c r="R753" s="54"/>
      <c r="S753" s="55"/>
      <c r="T753" s="56"/>
      <c r="U753" s="56"/>
      <c r="V753" s="42"/>
      <c r="W753" s="57"/>
      <c r="X753" s="58"/>
      <c r="Y753" s="75"/>
      <c r="Z753" s="59"/>
      <c r="AA753" s="61"/>
      <c r="AB753" s="61"/>
      <c r="AC753" s="61"/>
      <c r="AD753" s="62"/>
      <c r="AE753" s="62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34"/>
      <c r="AR753" s="34"/>
      <c r="AS753" s="34"/>
      <c r="AT753" s="34"/>
      <c r="AU753" s="34"/>
      <c r="AV753" s="34"/>
      <c r="AW753" s="34"/>
      <c r="AX753" s="34"/>
      <c r="AY753" s="34"/>
      <c r="AZ753" s="34"/>
      <c r="BA753" s="34"/>
      <c r="BB753" s="34"/>
      <c r="BD753" s="34"/>
      <c r="BE753" s="34"/>
      <c r="BF753" s="34"/>
      <c r="BG753" s="34"/>
      <c r="BH753" s="34"/>
      <c r="BI753" s="34"/>
      <c r="BJ753" s="34"/>
      <c r="BK753" s="34"/>
      <c r="BL753" s="34"/>
      <c r="BM753" s="34"/>
      <c r="BN753" s="34"/>
      <c r="BO753" s="34"/>
      <c r="BP753" s="34"/>
      <c r="BQ753" s="34"/>
      <c r="BR753" s="34"/>
      <c r="BS753" s="34"/>
      <c r="BT753" s="34"/>
      <c r="BU753" s="34"/>
      <c r="BV753" s="34"/>
      <c r="BW753" s="34"/>
      <c r="BX753" s="34"/>
      <c r="BY753" s="34"/>
    </row>
    <row r="754" spans="1:77" x14ac:dyDescent="0.3">
      <c r="A754" s="39"/>
      <c r="B754" s="42"/>
      <c r="C754" s="42"/>
      <c r="D754" s="75"/>
      <c r="E754" s="75"/>
      <c r="F754" s="76"/>
      <c r="G754" s="47"/>
      <c r="H754" s="47"/>
      <c r="I754" s="75"/>
      <c r="J754" s="76"/>
      <c r="K754" s="76"/>
      <c r="L754" s="75"/>
      <c r="M754" s="49"/>
      <c r="N754" s="76"/>
      <c r="O754" s="49"/>
      <c r="P754" s="77"/>
      <c r="Q754" s="53"/>
      <c r="R754" s="54"/>
      <c r="S754" s="55"/>
      <c r="T754" s="56"/>
      <c r="U754" s="56"/>
      <c r="V754" s="42"/>
      <c r="W754" s="57"/>
      <c r="X754" s="58"/>
      <c r="Y754" s="75"/>
      <c r="Z754" s="59"/>
      <c r="AA754" s="61"/>
      <c r="AB754" s="61"/>
      <c r="AC754" s="61"/>
      <c r="AD754" s="62"/>
      <c r="AE754" s="62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34"/>
      <c r="AR754" s="34"/>
      <c r="AS754" s="34"/>
      <c r="AT754" s="34"/>
      <c r="AU754" s="34"/>
      <c r="AV754" s="34"/>
      <c r="AW754" s="34"/>
      <c r="AX754" s="34"/>
      <c r="AY754" s="34"/>
      <c r="AZ754" s="34"/>
      <c r="BA754" s="34"/>
      <c r="BB754" s="34"/>
      <c r="BD754" s="34"/>
      <c r="BE754" s="34"/>
      <c r="BF754" s="34"/>
      <c r="BG754" s="34"/>
      <c r="BH754" s="34"/>
      <c r="BI754" s="34"/>
      <c r="BJ754" s="34"/>
      <c r="BK754" s="34"/>
      <c r="BL754" s="34"/>
      <c r="BM754" s="34"/>
      <c r="BN754" s="34"/>
      <c r="BO754" s="34"/>
      <c r="BP754" s="34"/>
      <c r="BQ754" s="34"/>
      <c r="BR754" s="34"/>
      <c r="BS754" s="34"/>
      <c r="BT754" s="34"/>
      <c r="BU754" s="34"/>
      <c r="BV754" s="34"/>
      <c r="BW754" s="34"/>
      <c r="BX754" s="34"/>
      <c r="BY754" s="34"/>
    </row>
    <row r="755" spans="1:77" x14ac:dyDescent="0.3">
      <c r="A755" s="39"/>
      <c r="B755" s="42"/>
      <c r="C755" s="42"/>
      <c r="D755" s="75"/>
      <c r="E755" s="75"/>
      <c r="F755" s="76"/>
      <c r="G755" s="47"/>
      <c r="H755" s="47"/>
      <c r="I755" s="75"/>
      <c r="J755" s="76"/>
      <c r="K755" s="76"/>
      <c r="L755" s="75"/>
      <c r="M755" s="49"/>
      <c r="N755" s="76"/>
      <c r="O755" s="49"/>
      <c r="P755" s="77"/>
      <c r="Q755" s="53"/>
      <c r="R755" s="54"/>
      <c r="S755" s="55"/>
      <c r="T755" s="56"/>
      <c r="U755" s="56"/>
      <c r="V755" s="42"/>
      <c r="W755" s="57"/>
      <c r="X755" s="58"/>
      <c r="Y755" s="75"/>
      <c r="Z755" s="59"/>
      <c r="AA755" s="61"/>
      <c r="AB755" s="61"/>
      <c r="AC755" s="61"/>
      <c r="AD755" s="62"/>
      <c r="AE755" s="62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34"/>
      <c r="AR755" s="34"/>
      <c r="AS755" s="34"/>
      <c r="AT755" s="34"/>
      <c r="AU755" s="34"/>
      <c r="AV755" s="34"/>
      <c r="AW755" s="34"/>
      <c r="AX755" s="34"/>
      <c r="AY755" s="34"/>
      <c r="AZ755" s="34"/>
      <c r="BA755" s="34"/>
      <c r="BB755" s="34"/>
      <c r="BD755" s="34"/>
      <c r="BE755" s="34"/>
      <c r="BF755" s="34"/>
      <c r="BG755" s="34"/>
      <c r="BH755" s="34"/>
      <c r="BI755" s="34"/>
      <c r="BJ755" s="34"/>
      <c r="BK755" s="34"/>
      <c r="BL755" s="34"/>
      <c r="BM755" s="34"/>
      <c r="BN755" s="34"/>
      <c r="BO755" s="34"/>
      <c r="BP755" s="34"/>
      <c r="BQ755" s="34"/>
      <c r="BR755" s="34"/>
      <c r="BS755" s="34"/>
      <c r="BT755" s="34"/>
      <c r="BU755" s="34"/>
      <c r="BV755" s="34"/>
      <c r="BW755" s="34"/>
      <c r="BX755" s="34"/>
      <c r="BY755" s="34"/>
    </row>
    <row r="756" spans="1:77" x14ac:dyDescent="0.3">
      <c r="A756" s="39"/>
      <c r="B756" s="42"/>
      <c r="C756" s="42"/>
      <c r="D756" s="75"/>
      <c r="E756" s="75"/>
      <c r="F756" s="76"/>
      <c r="G756" s="47"/>
      <c r="H756" s="47"/>
      <c r="I756" s="75"/>
      <c r="J756" s="76"/>
      <c r="K756" s="76"/>
      <c r="L756" s="75"/>
      <c r="M756" s="49"/>
      <c r="N756" s="76"/>
      <c r="O756" s="49"/>
      <c r="P756" s="77"/>
      <c r="Q756" s="53"/>
      <c r="R756" s="54"/>
      <c r="S756" s="55"/>
      <c r="T756" s="56"/>
      <c r="U756" s="56"/>
      <c r="V756" s="42"/>
      <c r="W756" s="57"/>
      <c r="X756" s="58"/>
      <c r="Y756" s="75"/>
      <c r="Z756" s="59"/>
      <c r="AA756" s="61"/>
      <c r="AB756" s="61"/>
      <c r="AC756" s="61"/>
      <c r="AD756" s="62"/>
      <c r="AE756" s="62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34"/>
      <c r="AR756" s="34"/>
      <c r="AS756" s="34"/>
      <c r="AT756" s="34"/>
      <c r="AU756" s="34"/>
      <c r="AV756" s="34"/>
      <c r="AW756" s="34"/>
      <c r="AX756" s="34"/>
      <c r="AY756" s="34"/>
      <c r="AZ756" s="34"/>
      <c r="BA756" s="34"/>
      <c r="BB756" s="34"/>
      <c r="BD756" s="34"/>
      <c r="BE756" s="34"/>
      <c r="BF756" s="34"/>
      <c r="BG756" s="34"/>
      <c r="BH756" s="34"/>
      <c r="BI756" s="34"/>
      <c r="BJ756" s="34"/>
      <c r="BK756" s="34"/>
      <c r="BL756" s="34"/>
      <c r="BM756" s="34"/>
      <c r="BN756" s="34"/>
      <c r="BO756" s="34"/>
      <c r="BP756" s="34"/>
      <c r="BQ756" s="34"/>
      <c r="BR756" s="34"/>
      <c r="BS756" s="34"/>
      <c r="BT756" s="34"/>
      <c r="BU756" s="34"/>
      <c r="BV756" s="34"/>
      <c r="BW756" s="34"/>
      <c r="BX756" s="34"/>
      <c r="BY756" s="34"/>
    </row>
    <row r="757" spans="1:77" x14ac:dyDescent="0.3">
      <c r="A757" s="39"/>
      <c r="B757" s="42"/>
      <c r="C757" s="42"/>
      <c r="D757" s="75"/>
      <c r="E757" s="75"/>
      <c r="F757" s="76"/>
      <c r="G757" s="47"/>
      <c r="H757" s="47"/>
      <c r="I757" s="75"/>
      <c r="J757" s="76"/>
      <c r="K757" s="76"/>
      <c r="L757" s="75"/>
      <c r="M757" s="49"/>
      <c r="N757" s="76"/>
      <c r="O757" s="49"/>
      <c r="P757" s="77"/>
      <c r="Q757" s="53"/>
      <c r="R757" s="54"/>
      <c r="S757" s="55"/>
      <c r="T757" s="56"/>
      <c r="U757" s="56"/>
      <c r="V757" s="42"/>
      <c r="W757" s="57"/>
      <c r="X757" s="58"/>
      <c r="Y757" s="75"/>
      <c r="Z757" s="59"/>
      <c r="AA757" s="61"/>
      <c r="AB757" s="61"/>
      <c r="AC757" s="61"/>
      <c r="AD757" s="62"/>
      <c r="AE757" s="62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34"/>
      <c r="AR757" s="34"/>
      <c r="AS757" s="34"/>
      <c r="AT757" s="34"/>
      <c r="AU757" s="34"/>
      <c r="AV757" s="34"/>
      <c r="AW757" s="34"/>
      <c r="AX757" s="34"/>
      <c r="AY757" s="34"/>
      <c r="AZ757" s="34"/>
      <c r="BA757" s="34"/>
      <c r="BB757" s="34"/>
      <c r="BD757" s="34"/>
      <c r="BE757" s="34"/>
      <c r="BF757" s="34"/>
      <c r="BG757" s="34"/>
      <c r="BH757" s="34"/>
      <c r="BI757" s="34"/>
      <c r="BJ757" s="34"/>
      <c r="BK757" s="34"/>
      <c r="BL757" s="34"/>
      <c r="BM757" s="34"/>
      <c r="BN757" s="34"/>
      <c r="BO757" s="34"/>
      <c r="BP757" s="34"/>
      <c r="BQ757" s="34"/>
      <c r="BR757" s="34"/>
      <c r="BS757" s="34"/>
      <c r="BT757" s="34"/>
      <c r="BU757" s="34"/>
      <c r="BV757" s="34"/>
      <c r="BW757" s="34"/>
      <c r="BX757" s="34"/>
      <c r="BY757" s="34"/>
    </row>
    <row r="758" spans="1:77" x14ac:dyDescent="0.3">
      <c r="A758" s="39"/>
      <c r="B758" s="42"/>
      <c r="C758" s="42"/>
      <c r="D758" s="75"/>
      <c r="E758" s="75"/>
      <c r="F758" s="76"/>
      <c r="G758" s="47"/>
      <c r="H758" s="47"/>
      <c r="I758" s="75"/>
      <c r="J758" s="76"/>
      <c r="K758" s="76"/>
      <c r="L758" s="75"/>
      <c r="M758" s="49"/>
      <c r="N758" s="76"/>
      <c r="O758" s="49"/>
      <c r="P758" s="77"/>
      <c r="Q758" s="53"/>
      <c r="R758" s="54"/>
      <c r="S758" s="55"/>
      <c r="T758" s="56"/>
      <c r="U758" s="56"/>
      <c r="V758" s="42"/>
      <c r="W758" s="57"/>
      <c r="X758" s="58"/>
      <c r="Y758" s="75"/>
      <c r="Z758" s="59"/>
      <c r="AA758" s="61"/>
      <c r="AB758" s="61"/>
      <c r="AC758" s="61"/>
      <c r="AD758" s="62"/>
      <c r="AE758" s="62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34"/>
      <c r="AR758" s="34"/>
      <c r="AS758" s="34"/>
      <c r="AT758" s="34"/>
      <c r="AU758" s="34"/>
      <c r="AV758" s="34"/>
      <c r="AW758" s="34"/>
      <c r="AX758" s="34"/>
      <c r="AY758" s="34"/>
      <c r="AZ758" s="34"/>
      <c r="BA758" s="34"/>
      <c r="BB758" s="34"/>
      <c r="BD758" s="34"/>
      <c r="BE758" s="34"/>
      <c r="BF758" s="34"/>
      <c r="BG758" s="34"/>
      <c r="BH758" s="34"/>
      <c r="BI758" s="34"/>
      <c r="BJ758" s="34"/>
      <c r="BK758" s="34"/>
      <c r="BL758" s="34"/>
      <c r="BM758" s="34"/>
      <c r="BN758" s="34"/>
      <c r="BO758" s="34"/>
      <c r="BP758" s="34"/>
      <c r="BQ758" s="34"/>
      <c r="BR758" s="34"/>
      <c r="BS758" s="34"/>
      <c r="BT758" s="34"/>
      <c r="BU758" s="34"/>
      <c r="BV758" s="34"/>
      <c r="BW758" s="34"/>
      <c r="BX758" s="34"/>
      <c r="BY758" s="34"/>
    </row>
    <row r="759" spans="1:77" x14ac:dyDescent="0.3">
      <c r="A759" s="39"/>
      <c r="B759" s="42"/>
      <c r="C759" s="42"/>
      <c r="D759" s="75"/>
      <c r="E759" s="75"/>
      <c r="F759" s="76"/>
      <c r="G759" s="47"/>
      <c r="H759" s="47"/>
      <c r="I759" s="75"/>
      <c r="J759" s="76"/>
      <c r="K759" s="76"/>
      <c r="L759" s="75"/>
      <c r="M759" s="49"/>
      <c r="N759" s="76"/>
      <c r="O759" s="49"/>
      <c r="P759" s="77"/>
      <c r="Q759" s="53"/>
      <c r="R759" s="54"/>
      <c r="S759" s="55"/>
      <c r="T759" s="56"/>
      <c r="U759" s="56"/>
      <c r="V759" s="42"/>
      <c r="W759" s="57"/>
      <c r="X759" s="58"/>
      <c r="Y759" s="75"/>
      <c r="Z759" s="59"/>
      <c r="AA759" s="61"/>
      <c r="AB759" s="61"/>
      <c r="AC759" s="61"/>
      <c r="AD759" s="62"/>
      <c r="AE759" s="62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34"/>
      <c r="AR759" s="34"/>
      <c r="AS759" s="34"/>
      <c r="AT759" s="34"/>
      <c r="AU759" s="34"/>
      <c r="AV759" s="34"/>
      <c r="AW759" s="34"/>
      <c r="AX759" s="34"/>
      <c r="AY759" s="34"/>
      <c r="AZ759" s="34"/>
      <c r="BA759" s="34"/>
      <c r="BB759" s="34"/>
      <c r="BD759" s="34"/>
      <c r="BE759" s="34"/>
      <c r="BF759" s="34"/>
      <c r="BG759" s="34"/>
      <c r="BH759" s="34"/>
      <c r="BI759" s="34"/>
      <c r="BJ759" s="34"/>
      <c r="BK759" s="34"/>
      <c r="BL759" s="34"/>
      <c r="BM759" s="34"/>
      <c r="BN759" s="34"/>
      <c r="BO759" s="34"/>
      <c r="BP759" s="34"/>
      <c r="BQ759" s="34"/>
      <c r="BR759" s="34"/>
      <c r="BS759" s="34"/>
      <c r="BT759" s="34"/>
      <c r="BU759" s="34"/>
      <c r="BV759" s="34"/>
      <c r="BW759" s="34"/>
      <c r="BX759" s="34"/>
      <c r="BY759" s="34"/>
    </row>
    <row r="760" spans="1:77" x14ac:dyDescent="0.3">
      <c r="A760" s="39"/>
      <c r="B760" s="42"/>
      <c r="C760" s="42"/>
      <c r="D760" s="75"/>
      <c r="E760" s="75"/>
      <c r="F760" s="76"/>
      <c r="G760" s="47"/>
      <c r="H760" s="47"/>
      <c r="I760" s="75"/>
      <c r="J760" s="76"/>
      <c r="K760" s="76"/>
      <c r="L760" s="75"/>
      <c r="M760" s="49"/>
      <c r="N760" s="76"/>
      <c r="O760" s="49"/>
      <c r="P760" s="77"/>
      <c r="Q760" s="53"/>
      <c r="R760" s="54"/>
      <c r="S760" s="55"/>
      <c r="T760" s="56"/>
      <c r="U760" s="56"/>
      <c r="V760" s="42"/>
      <c r="W760" s="57"/>
      <c r="X760" s="58"/>
      <c r="Y760" s="75"/>
      <c r="Z760" s="59"/>
      <c r="AA760" s="61"/>
      <c r="AB760" s="61"/>
      <c r="AC760" s="61"/>
      <c r="AD760" s="62"/>
      <c r="AE760" s="62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34"/>
      <c r="AR760" s="34"/>
      <c r="AS760" s="34"/>
      <c r="AT760" s="34"/>
      <c r="AU760" s="34"/>
      <c r="AV760" s="34"/>
      <c r="AW760" s="34"/>
      <c r="AX760" s="34"/>
      <c r="AY760" s="34"/>
      <c r="AZ760" s="34"/>
      <c r="BA760" s="34"/>
      <c r="BB760" s="34"/>
      <c r="BD760" s="34"/>
      <c r="BE760" s="34"/>
      <c r="BF760" s="34"/>
      <c r="BG760" s="34"/>
      <c r="BH760" s="34"/>
      <c r="BI760" s="34"/>
      <c r="BJ760" s="34"/>
      <c r="BK760" s="34"/>
      <c r="BL760" s="34"/>
      <c r="BM760" s="34"/>
      <c r="BN760" s="34"/>
      <c r="BO760" s="34"/>
      <c r="BP760" s="34"/>
      <c r="BQ760" s="34"/>
      <c r="BR760" s="34"/>
      <c r="BS760" s="34"/>
      <c r="BT760" s="34"/>
      <c r="BU760" s="34"/>
      <c r="BV760" s="34"/>
      <c r="BW760" s="34"/>
      <c r="BX760" s="34"/>
      <c r="BY760" s="34"/>
    </row>
    <row r="761" spans="1:77" x14ac:dyDescent="0.3">
      <c r="A761" s="39"/>
      <c r="B761" s="42"/>
      <c r="C761" s="42"/>
      <c r="D761" s="75"/>
      <c r="E761" s="75"/>
      <c r="F761" s="76"/>
      <c r="G761" s="47"/>
      <c r="H761" s="47"/>
      <c r="I761" s="75"/>
      <c r="J761" s="76"/>
      <c r="K761" s="76"/>
      <c r="L761" s="75"/>
      <c r="M761" s="49"/>
      <c r="N761" s="76"/>
      <c r="O761" s="49"/>
      <c r="P761" s="77"/>
      <c r="Q761" s="53"/>
      <c r="R761" s="54"/>
      <c r="S761" s="55"/>
      <c r="T761" s="56"/>
      <c r="U761" s="56"/>
      <c r="V761" s="42"/>
      <c r="W761" s="57"/>
      <c r="X761" s="58"/>
      <c r="Y761" s="75"/>
      <c r="Z761" s="59"/>
      <c r="AA761" s="61"/>
      <c r="AB761" s="61"/>
      <c r="AC761" s="61"/>
      <c r="AD761" s="62"/>
      <c r="AE761" s="62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34"/>
      <c r="AR761" s="34"/>
      <c r="AS761" s="34"/>
      <c r="AT761" s="34"/>
      <c r="AU761" s="34"/>
      <c r="AV761" s="34"/>
      <c r="AW761" s="34"/>
      <c r="AX761" s="34"/>
      <c r="AY761" s="34"/>
      <c r="AZ761" s="34"/>
      <c r="BA761" s="34"/>
      <c r="BB761" s="34"/>
      <c r="BD761" s="34"/>
      <c r="BE761" s="34"/>
      <c r="BF761" s="34"/>
      <c r="BG761" s="34"/>
      <c r="BH761" s="34"/>
      <c r="BI761" s="34"/>
      <c r="BJ761" s="34"/>
      <c r="BK761" s="34"/>
      <c r="BL761" s="34"/>
      <c r="BM761" s="34"/>
      <c r="BN761" s="34"/>
      <c r="BO761" s="34"/>
      <c r="BP761" s="34"/>
      <c r="BQ761" s="34"/>
      <c r="BR761" s="34"/>
      <c r="BS761" s="34"/>
      <c r="BT761" s="34"/>
      <c r="BU761" s="34"/>
      <c r="BV761" s="34"/>
      <c r="BW761" s="34"/>
      <c r="BX761" s="34"/>
      <c r="BY761" s="34"/>
    </row>
    <row r="762" spans="1:77" x14ac:dyDescent="0.3">
      <c r="A762" s="39"/>
      <c r="B762" s="42"/>
      <c r="C762" s="42"/>
      <c r="D762" s="75"/>
      <c r="E762" s="75"/>
      <c r="F762" s="76"/>
      <c r="G762" s="47"/>
      <c r="H762" s="47"/>
      <c r="I762" s="75"/>
      <c r="J762" s="76"/>
      <c r="K762" s="76"/>
      <c r="L762" s="75"/>
      <c r="M762" s="49"/>
      <c r="N762" s="76"/>
      <c r="O762" s="49"/>
      <c r="P762" s="77"/>
      <c r="Q762" s="53"/>
      <c r="R762" s="54"/>
      <c r="S762" s="55"/>
      <c r="T762" s="56"/>
      <c r="U762" s="56"/>
      <c r="V762" s="42"/>
      <c r="W762" s="57"/>
      <c r="X762" s="58"/>
      <c r="Y762" s="75"/>
      <c r="Z762" s="59"/>
      <c r="AA762" s="61"/>
      <c r="AB762" s="61"/>
      <c r="AC762" s="61"/>
      <c r="AD762" s="62"/>
      <c r="AE762" s="62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34"/>
      <c r="AR762" s="34"/>
      <c r="AS762" s="34"/>
      <c r="AT762" s="34"/>
      <c r="AU762" s="34"/>
      <c r="AV762" s="34"/>
      <c r="AW762" s="34"/>
      <c r="AX762" s="34"/>
      <c r="AY762" s="34"/>
      <c r="AZ762" s="34"/>
      <c r="BA762" s="34"/>
      <c r="BB762" s="34"/>
      <c r="BD762" s="34"/>
      <c r="BE762" s="34"/>
      <c r="BF762" s="34"/>
      <c r="BG762" s="34"/>
      <c r="BH762" s="34"/>
      <c r="BI762" s="34"/>
      <c r="BJ762" s="34"/>
      <c r="BK762" s="34"/>
      <c r="BL762" s="34"/>
      <c r="BM762" s="34"/>
      <c r="BN762" s="34"/>
      <c r="BO762" s="34"/>
      <c r="BP762" s="34"/>
      <c r="BQ762" s="34"/>
      <c r="BR762" s="34"/>
      <c r="BS762" s="34"/>
      <c r="BT762" s="34"/>
      <c r="BU762" s="34"/>
      <c r="BV762" s="34"/>
      <c r="BW762" s="34"/>
      <c r="BX762" s="34"/>
      <c r="BY762" s="34"/>
    </row>
    <row r="763" spans="1:77" x14ac:dyDescent="0.3">
      <c r="A763" s="39"/>
      <c r="B763" s="42"/>
      <c r="C763" s="42"/>
      <c r="D763" s="75"/>
      <c r="E763" s="75"/>
      <c r="F763" s="76"/>
      <c r="G763" s="47"/>
      <c r="H763" s="47"/>
      <c r="I763" s="75"/>
      <c r="J763" s="76"/>
      <c r="K763" s="76"/>
      <c r="L763" s="75"/>
      <c r="M763" s="49"/>
      <c r="N763" s="76"/>
      <c r="O763" s="49"/>
      <c r="P763" s="77"/>
      <c r="Q763" s="53"/>
      <c r="R763" s="54"/>
      <c r="S763" s="55"/>
      <c r="T763" s="56"/>
      <c r="U763" s="56"/>
      <c r="V763" s="42"/>
      <c r="W763" s="57"/>
      <c r="X763" s="58"/>
      <c r="Y763" s="75"/>
      <c r="Z763" s="59"/>
      <c r="AA763" s="61"/>
      <c r="AB763" s="61"/>
      <c r="AC763" s="61"/>
      <c r="AD763" s="62"/>
      <c r="AE763" s="62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  <c r="AR763" s="34"/>
      <c r="AS763" s="34"/>
      <c r="AT763" s="34"/>
      <c r="AU763" s="34"/>
      <c r="AV763" s="34"/>
      <c r="AW763" s="34"/>
      <c r="AX763" s="34"/>
      <c r="AY763" s="34"/>
      <c r="AZ763" s="34"/>
      <c r="BA763" s="34"/>
      <c r="BB763" s="34"/>
      <c r="BD763" s="34"/>
      <c r="BE763" s="34"/>
      <c r="BF763" s="34"/>
      <c r="BG763" s="34"/>
      <c r="BH763" s="34"/>
      <c r="BI763" s="34"/>
      <c r="BJ763" s="34"/>
      <c r="BK763" s="34"/>
      <c r="BL763" s="34"/>
      <c r="BM763" s="34"/>
      <c r="BN763" s="34"/>
      <c r="BO763" s="34"/>
      <c r="BP763" s="34"/>
      <c r="BQ763" s="34"/>
      <c r="BR763" s="34"/>
      <c r="BS763" s="34"/>
      <c r="BT763" s="34"/>
      <c r="BU763" s="34"/>
      <c r="BV763" s="34"/>
      <c r="BW763" s="34"/>
      <c r="BX763" s="34"/>
      <c r="BY763" s="34"/>
    </row>
    <row r="764" spans="1:77" x14ac:dyDescent="0.3">
      <c r="A764" s="39"/>
      <c r="B764" s="42"/>
      <c r="C764" s="42"/>
      <c r="D764" s="75"/>
      <c r="E764" s="75"/>
      <c r="F764" s="76"/>
      <c r="G764" s="47"/>
      <c r="H764" s="47"/>
      <c r="I764" s="75"/>
      <c r="J764" s="76"/>
      <c r="K764" s="76"/>
      <c r="L764" s="75"/>
      <c r="M764" s="49"/>
      <c r="N764" s="76"/>
      <c r="O764" s="49"/>
      <c r="P764" s="77"/>
      <c r="Q764" s="53"/>
      <c r="R764" s="54"/>
      <c r="S764" s="55"/>
      <c r="T764" s="56"/>
      <c r="U764" s="56"/>
      <c r="V764" s="42"/>
      <c r="W764" s="57"/>
      <c r="X764" s="58"/>
      <c r="Y764" s="75"/>
      <c r="Z764" s="59"/>
      <c r="AA764" s="61"/>
      <c r="AB764" s="61"/>
      <c r="AC764" s="61"/>
      <c r="AD764" s="62"/>
      <c r="AE764" s="62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34"/>
      <c r="AR764" s="34"/>
      <c r="AS764" s="34"/>
      <c r="AT764" s="34"/>
      <c r="AU764" s="34"/>
      <c r="AV764" s="34"/>
      <c r="AW764" s="34"/>
      <c r="AX764" s="34"/>
      <c r="AY764" s="34"/>
      <c r="AZ764" s="34"/>
      <c r="BA764" s="34"/>
      <c r="BB764" s="34"/>
      <c r="BD764" s="34"/>
      <c r="BE764" s="34"/>
      <c r="BF764" s="34"/>
      <c r="BG764" s="34"/>
      <c r="BH764" s="34"/>
      <c r="BI764" s="34"/>
      <c r="BJ764" s="34"/>
      <c r="BK764" s="34"/>
      <c r="BL764" s="34"/>
      <c r="BM764" s="34"/>
      <c r="BN764" s="34"/>
      <c r="BO764" s="34"/>
      <c r="BP764" s="34"/>
      <c r="BQ764" s="34"/>
      <c r="BR764" s="34"/>
      <c r="BS764" s="34"/>
      <c r="BT764" s="34"/>
      <c r="BU764" s="34"/>
      <c r="BV764" s="34"/>
      <c r="BW764" s="34"/>
      <c r="BX764" s="34"/>
      <c r="BY764" s="34"/>
    </row>
    <row r="765" spans="1:77" x14ac:dyDescent="0.3">
      <c r="A765" s="39"/>
      <c r="B765" s="42"/>
      <c r="C765" s="42"/>
      <c r="D765" s="75"/>
      <c r="E765" s="75"/>
      <c r="F765" s="76"/>
      <c r="G765" s="47"/>
      <c r="H765" s="47"/>
      <c r="I765" s="75"/>
      <c r="J765" s="76"/>
      <c r="K765" s="76"/>
      <c r="L765" s="75"/>
      <c r="M765" s="49"/>
      <c r="N765" s="76"/>
      <c r="O765" s="49"/>
      <c r="P765" s="77"/>
      <c r="Q765" s="53"/>
      <c r="R765" s="54"/>
      <c r="S765" s="55"/>
      <c r="T765" s="56"/>
      <c r="U765" s="56"/>
      <c r="V765" s="42"/>
      <c r="W765" s="57"/>
      <c r="X765" s="58"/>
      <c r="Y765" s="75"/>
      <c r="Z765" s="59"/>
      <c r="AA765" s="61"/>
      <c r="AB765" s="61"/>
      <c r="AC765" s="61"/>
      <c r="AD765" s="62"/>
      <c r="AE765" s="62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34"/>
      <c r="AR765" s="34"/>
      <c r="AS765" s="34"/>
      <c r="AT765" s="34"/>
      <c r="AU765" s="34"/>
      <c r="AV765" s="34"/>
      <c r="AW765" s="34"/>
      <c r="AX765" s="34"/>
      <c r="AY765" s="34"/>
      <c r="AZ765" s="34"/>
      <c r="BA765" s="34"/>
      <c r="BB765" s="34"/>
      <c r="BD765" s="34"/>
      <c r="BE765" s="34"/>
      <c r="BF765" s="34"/>
      <c r="BG765" s="34"/>
      <c r="BH765" s="34"/>
      <c r="BI765" s="34"/>
      <c r="BJ765" s="34"/>
      <c r="BK765" s="34"/>
      <c r="BL765" s="34"/>
      <c r="BM765" s="34"/>
      <c r="BN765" s="34"/>
      <c r="BO765" s="34"/>
      <c r="BP765" s="34"/>
      <c r="BQ765" s="34"/>
      <c r="BR765" s="34"/>
      <c r="BS765" s="34"/>
      <c r="BT765" s="34"/>
      <c r="BU765" s="34"/>
      <c r="BV765" s="34"/>
      <c r="BW765" s="34"/>
      <c r="BX765" s="34"/>
      <c r="BY765" s="34"/>
    </row>
    <row r="766" spans="1:77" x14ac:dyDescent="0.3">
      <c r="A766" s="39"/>
      <c r="B766" s="42"/>
      <c r="C766" s="42"/>
      <c r="D766" s="75"/>
      <c r="E766" s="75"/>
      <c r="F766" s="76"/>
      <c r="G766" s="47"/>
      <c r="H766" s="47"/>
      <c r="I766" s="75"/>
      <c r="J766" s="76"/>
      <c r="K766" s="76"/>
      <c r="L766" s="75"/>
      <c r="M766" s="49"/>
      <c r="N766" s="76"/>
      <c r="O766" s="49"/>
      <c r="P766" s="77"/>
      <c r="Q766" s="53"/>
      <c r="R766" s="54"/>
      <c r="S766" s="55"/>
      <c r="T766" s="56"/>
      <c r="U766" s="56"/>
      <c r="V766" s="42"/>
      <c r="W766" s="57"/>
      <c r="X766" s="58"/>
      <c r="Y766" s="75"/>
      <c r="Z766" s="59"/>
      <c r="AA766" s="61"/>
      <c r="AB766" s="61"/>
      <c r="AC766" s="61"/>
      <c r="AD766" s="62"/>
      <c r="AE766" s="62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34"/>
      <c r="AR766" s="34"/>
      <c r="AS766" s="34"/>
      <c r="AT766" s="34"/>
      <c r="AU766" s="34"/>
      <c r="AV766" s="34"/>
      <c r="AW766" s="34"/>
      <c r="AX766" s="34"/>
      <c r="AY766" s="34"/>
      <c r="AZ766" s="34"/>
      <c r="BA766" s="34"/>
      <c r="BB766" s="34"/>
      <c r="BD766" s="34"/>
      <c r="BE766" s="34"/>
      <c r="BF766" s="34"/>
      <c r="BG766" s="34"/>
      <c r="BH766" s="34"/>
      <c r="BI766" s="34"/>
      <c r="BJ766" s="34"/>
      <c r="BK766" s="34"/>
      <c r="BL766" s="34"/>
      <c r="BM766" s="34"/>
      <c r="BN766" s="34"/>
      <c r="BO766" s="34"/>
      <c r="BP766" s="34"/>
      <c r="BQ766" s="34"/>
      <c r="BR766" s="34"/>
      <c r="BS766" s="34"/>
      <c r="BT766" s="34"/>
      <c r="BU766" s="34"/>
      <c r="BV766" s="34"/>
      <c r="BW766" s="34"/>
      <c r="BX766" s="34"/>
      <c r="BY766" s="34"/>
    </row>
    <row r="767" spans="1:77" x14ac:dyDescent="0.3">
      <c r="A767" s="39"/>
      <c r="B767" s="42"/>
      <c r="C767" s="42"/>
      <c r="D767" s="75"/>
      <c r="E767" s="75"/>
      <c r="F767" s="76"/>
      <c r="G767" s="47"/>
      <c r="H767" s="47"/>
      <c r="I767" s="75"/>
      <c r="J767" s="76"/>
      <c r="K767" s="76"/>
      <c r="L767" s="75"/>
      <c r="M767" s="49"/>
      <c r="N767" s="76"/>
      <c r="O767" s="49"/>
      <c r="P767" s="77"/>
      <c r="Q767" s="53"/>
      <c r="R767" s="54"/>
      <c r="S767" s="55"/>
      <c r="T767" s="56"/>
      <c r="U767" s="56"/>
      <c r="V767" s="42"/>
      <c r="W767" s="57"/>
      <c r="X767" s="58"/>
      <c r="Y767" s="75"/>
      <c r="Z767" s="59"/>
      <c r="AA767" s="61"/>
      <c r="AB767" s="61"/>
      <c r="AC767" s="61"/>
      <c r="AD767" s="62"/>
      <c r="AE767" s="62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34"/>
      <c r="AR767" s="34"/>
      <c r="AS767" s="34"/>
      <c r="AT767" s="34"/>
      <c r="AU767" s="34"/>
      <c r="AV767" s="34"/>
      <c r="AW767" s="34"/>
      <c r="AX767" s="34"/>
      <c r="AY767" s="34"/>
      <c r="AZ767" s="34"/>
      <c r="BA767" s="34"/>
      <c r="BB767" s="34"/>
      <c r="BD767" s="34"/>
      <c r="BE767" s="34"/>
      <c r="BF767" s="34"/>
      <c r="BG767" s="34"/>
      <c r="BH767" s="34"/>
      <c r="BI767" s="34"/>
      <c r="BJ767" s="34"/>
      <c r="BK767" s="34"/>
      <c r="BL767" s="34"/>
      <c r="BM767" s="34"/>
      <c r="BN767" s="34"/>
      <c r="BO767" s="34"/>
      <c r="BP767" s="34"/>
      <c r="BQ767" s="34"/>
      <c r="BR767" s="34"/>
      <c r="BS767" s="34"/>
      <c r="BT767" s="34"/>
      <c r="BU767" s="34"/>
      <c r="BV767" s="34"/>
      <c r="BW767" s="34"/>
      <c r="BX767" s="34"/>
      <c r="BY767" s="34"/>
    </row>
    <row r="768" spans="1:77" x14ac:dyDescent="0.3">
      <c r="A768" s="39"/>
      <c r="B768" s="42"/>
      <c r="C768" s="42"/>
      <c r="D768" s="75"/>
      <c r="E768" s="75"/>
      <c r="F768" s="76"/>
      <c r="G768" s="47"/>
      <c r="H768" s="47"/>
      <c r="I768" s="75"/>
      <c r="J768" s="76"/>
      <c r="K768" s="76"/>
      <c r="L768" s="75"/>
      <c r="M768" s="49"/>
      <c r="N768" s="76"/>
      <c r="O768" s="49"/>
      <c r="P768" s="77"/>
      <c r="Q768" s="53"/>
      <c r="R768" s="54"/>
      <c r="S768" s="55"/>
      <c r="T768" s="56"/>
      <c r="U768" s="56"/>
      <c r="V768" s="42"/>
      <c r="W768" s="57"/>
      <c r="X768" s="58"/>
      <c r="Y768" s="75"/>
      <c r="Z768" s="59"/>
      <c r="AA768" s="61"/>
      <c r="AB768" s="61"/>
      <c r="AC768" s="61"/>
      <c r="AD768" s="62"/>
      <c r="AE768" s="62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34"/>
      <c r="AR768" s="34"/>
      <c r="AS768" s="34"/>
      <c r="AT768" s="34"/>
      <c r="AU768" s="34"/>
      <c r="AV768" s="34"/>
      <c r="AW768" s="34"/>
      <c r="AX768" s="34"/>
      <c r="AY768" s="34"/>
      <c r="AZ768" s="34"/>
      <c r="BA768" s="34"/>
      <c r="BB768" s="34"/>
      <c r="BD768" s="34"/>
      <c r="BE768" s="34"/>
      <c r="BF768" s="34"/>
      <c r="BG768" s="34"/>
      <c r="BH768" s="34"/>
      <c r="BI768" s="34"/>
      <c r="BJ768" s="34"/>
      <c r="BK768" s="34"/>
      <c r="BL768" s="34"/>
      <c r="BM768" s="34"/>
      <c r="BN768" s="34"/>
      <c r="BO768" s="34"/>
      <c r="BP768" s="34"/>
      <c r="BQ768" s="34"/>
      <c r="BR768" s="34"/>
      <c r="BS768" s="34"/>
      <c r="BT768" s="34"/>
      <c r="BU768" s="34"/>
      <c r="BV768" s="34"/>
      <c r="BW768" s="34"/>
      <c r="BX768" s="34"/>
      <c r="BY768" s="34"/>
    </row>
    <row r="769" spans="1:77" x14ac:dyDescent="0.3">
      <c r="A769" s="39"/>
      <c r="B769" s="42"/>
      <c r="C769" s="42"/>
      <c r="D769" s="75"/>
      <c r="E769" s="75"/>
      <c r="F769" s="76"/>
      <c r="G769" s="47"/>
      <c r="H769" s="47"/>
      <c r="I769" s="75"/>
      <c r="J769" s="76"/>
      <c r="K769" s="76"/>
      <c r="L769" s="75"/>
      <c r="M769" s="49"/>
      <c r="N769" s="76"/>
      <c r="O769" s="49"/>
      <c r="P769" s="77"/>
      <c r="Q769" s="53"/>
      <c r="R769" s="54"/>
      <c r="S769" s="55"/>
      <c r="T769" s="56"/>
      <c r="U769" s="56"/>
      <c r="V769" s="42"/>
      <c r="W769" s="57"/>
      <c r="X769" s="58"/>
      <c r="Y769" s="75"/>
      <c r="Z769" s="59"/>
      <c r="AA769" s="61"/>
      <c r="AB769" s="61"/>
      <c r="AC769" s="61"/>
      <c r="AD769" s="62"/>
      <c r="AE769" s="62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34"/>
      <c r="AR769" s="34"/>
      <c r="AS769" s="34"/>
      <c r="AT769" s="34"/>
      <c r="AU769" s="34"/>
      <c r="AV769" s="34"/>
      <c r="AW769" s="34"/>
      <c r="AX769" s="34"/>
      <c r="AY769" s="34"/>
      <c r="AZ769" s="34"/>
      <c r="BA769" s="34"/>
      <c r="BB769" s="34"/>
      <c r="BD769" s="34"/>
      <c r="BE769" s="34"/>
      <c r="BF769" s="34"/>
      <c r="BG769" s="34"/>
      <c r="BH769" s="34"/>
      <c r="BI769" s="34"/>
      <c r="BJ769" s="34"/>
      <c r="BK769" s="34"/>
      <c r="BL769" s="34"/>
      <c r="BM769" s="34"/>
      <c r="BN769" s="34"/>
      <c r="BO769" s="34"/>
      <c r="BP769" s="34"/>
      <c r="BQ769" s="34"/>
      <c r="BR769" s="34"/>
      <c r="BS769" s="34"/>
      <c r="BT769" s="34"/>
      <c r="BU769" s="34"/>
      <c r="BV769" s="34"/>
      <c r="BW769" s="34"/>
      <c r="BX769" s="34"/>
      <c r="BY769" s="34"/>
    </row>
    <row r="770" spans="1:77" x14ac:dyDescent="0.3">
      <c r="A770" s="39"/>
      <c r="B770" s="42"/>
      <c r="C770" s="42"/>
      <c r="D770" s="75"/>
      <c r="E770" s="75"/>
      <c r="F770" s="76"/>
      <c r="G770" s="47"/>
      <c r="H770" s="47"/>
      <c r="I770" s="75"/>
      <c r="J770" s="76"/>
      <c r="K770" s="76"/>
      <c r="L770" s="75"/>
      <c r="M770" s="49"/>
      <c r="N770" s="76"/>
      <c r="O770" s="49"/>
      <c r="P770" s="77"/>
      <c r="Q770" s="53"/>
      <c r="R770" s="54"/>
      <c r="S770" s="55"/>
      <c r="T770" s="56"/>
      <c r="U770" s="56"/>
      <c r="V770" s="42"/>
      <c r="W770" s="57"/>
      <c r="X770" s="58"/>
      <c r="Y770" s="75"/>
      <c r="Z770" s="59"/>
      <c r="AA770" s="61"/>
      <c r="AB770" s="61"/>
      <c r="AC770" s="61"/>
      <c r="AD770" s="62"/>
      <c r="AE770" s="62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34"/>
      <c r="AR770" s="34"/>
      <c r="AS770" s="34"/>
      <c r="AT770" s="34"/>
      <c r="AU770" s="34"/>
      <c r="AV770" s="34"/>
      <c r="AW770" s="34"/>
      <c r="AX770" s="34"/>
      <c r="AY770" s="34"/>
      <c r="AZ770" s="34"/>
      <c r="BA770" s="34"/>
      <c r="BB770" s="34"/>
      <c r="BD770" s="34"/>
      <c r="BE770" s="34"/>
      <c r="BF770" s="34"/>
      <c r="BG770" s="34"/>
      <c r="BH770" s="34"/>
      <c r="BI770" s="34"/>
      <c r="BJ770" s="34"/>
      <c r="BK770" s="34"/>
      <c r="BL770" s="34"/>
      <c r="BM770" s="34"/>
      <c r="BN770" s="34"/>
      <c r="BO770" s="34"/>
      <c r="BP770" s="34"/>
      <c r="BQ770" s="34"/>
      <c r="BR770" s="34"/>
      <c r="BS770" s="34"/>
      <c r="BT770" s="34"/>
      <c r="BU770" s="34"/>
      <c r="BV770" s="34"/>
      <c r="BW770" s="34"/>
      <c r="BX770" s="34"/>
      <c r="BY770" s="34"/>
    </row>
    <row r="771" spans="1:77" x14ac:dyDescent="0.3">
      <c r="A771" s="39"/>
      <c r="B771" s="42"/>
      <c r="C771" s="42"/>
      <c r="D771" s="75"/>
      <c r="E771" s="75"/>
      <c r="F771" s="76"/>
      <c r="G771" s="47"/>
      <c r="H771" s="47"/>
      <c r="I771" s="75"/>
      <c r="J771" s="76"/>
      <c r="K771" s="76"/>
      <c r="L771" s="75"/>
      <c r="M771" s="49"/>
      <c r="N771" s="76"/>
      <c r="O771" s="49"/>
      <c r="P771" s="77"/>
      <c r="Q771" s="53"/>
      <c r="R771" s="54"/>
      <c r="S771" s="55"/>
      <c r="T771" s="56"/>
      <c r="U771" s="56"/>
      <c r="V771" s="42"/>
      <c r="W771" s="57"/>
      <c r="X771" s="58"/>
      <c r="Y771" s="75"/>
      <c r="Z771" s="59"/>
      <c r="AA771" s="61"/>
      <c r="AB771" s="61"/>
      <c r="AC771" s="61"/>
      <c r="AD771" s="62"/>
      <c r="AE771" s="62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34"/>
      <c r="AR771" s="34"/>
      <c r="AS771" s="34"/>
      <c r="AT771" s="34"/>
      <c r="AU771" s="34"/>
      <c r="AV771" s="34"/>
      <c r="AW771" s="34"/>
      <c r="AX771" s="34"/>
      <c r="AY771" s="34"/>
      <c r="AZ771" s="34"/>
      <c r="BA771" s="34"/>
      <c r="BB771" s="34"/>
      <c r="BD771" s="34"/>
      <c r="BE771" s="34"/>
      <c r="BF771" s="34"/>
      <c r="BG771" s="34"/>
      <c r="BH771" s="34"/>
      <c r="BI771" s="34"/>
      <c r="BJ771" s="34"/>
      <c r="BK771" s="34"/>
      <c r="BL771" s="34"/>
      <c r="BM771" s="34"/>
      <c r="BN771" s="34"/>
      <c r="BO771" s="34"/>
      <c r="BP771" s="34"/>
      <c r="BQ771" s="34"/>
      <c r="BR771" s="34"/>
      <c r="BS771" s="34"/>
      <c r="BT771" s="34"/>
      <c r="BU771" s="34"/>
      <c r="BV771" s="34"/>
      <c r="BW771" s="34"/>
      <c r="BX771" s="34"/>
      <c r="BY771" s="34"/>
    </row>
    <row r="772" spans="1:77" x14ac:dyDescent="0.3">
      <c r="A772" s="39"/>
      <c r="B772" s="42"/>
      <c r="C772" s="42"/>
      <c r="D772" s="75"/>
      <c r="E772" s="75"/>
      <c r="F772" s="76"/>
      <c r="G772" s="47"/>
      <c r="H772" s="47"/>
      <c r="I772" s="75"/>
      <c r="J772" s="76"/>
      <c r="K772" s="76"/>
      <c r="L772" s="75"/>
      <c r="M772" s="49"/>
      <c r="N772" s="76"/>
      <c r="O772" s="49"/>
      <c r="P772" s="77"/>
      <c r="Q772" s="53"/>
      <c r="R772" s="54"/>
      <c r="S772" s="55"/>
      <c r="T772" s="56"/>
      <c r="U772" s="56"/>
      <c r="V772" s="42"/>
      <c r="W772" s="57"/>
      <c r="X772" s="58"/>
      <c r="Y772" s="75"/>
      <c r="Z772" s="59"/>
      <c r="AA772" s="61"/>
      <c r="AB772" s="61"/>
      <c r="AC772" s="61"/>
      <c r="AD772" s="62"/>
      <c r="AE772" s="62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34"/>
      <c r="AR772" s="34"/>
      <c r="AS772" s="34"/>
      <c r="AT772" s="34"/>
      <c r="AU772" s="34"/>
      <c r="AV772" s="34"/>
      <c r="AW772" s="34"/>
      <c r="AX772" s="34"/>
      <c r="AY772" s="34"/>
      <c r="AZ772" s="34"/>
      <c r="BA772" s="34"/>
      <c r="BB772" s="34"/>
      <c r="BD772" s="34"/>
      <c r="BE772" s="34"/>
      <c r="BF772" s="34"/>
      <c r="BG772" s="34"/>
      <c r="BH772" s="34"/>
      <c r="BI772" s="34"/>
      <c r="BJ772" s="34"/>
      <c r="BK772" s="34"/>
      <c r="BL772" s="34"/>
      <c r="BM772" s="34"/>
      <c r="BN772" s="34"/>
      <c r="BO772" s="34"/>
      <c r="BP772" s="34"/>
      <c r="BQ772" s="34"/>
      <c r="BR772" s="34"/>
      <c r="BS772" s="34"/>
      <c r="BT772" s="34"/>
      <c r="BU772" s="34"/>
      <c r="BV772" s="34"/>
      <c r="BW772" s="34"/>
      <c r="BX772" s="34"/>
      <c r="BY772" s="34"/>
    </row>
    <row r="773" spans="1:77" x14ac:dyDescent="0.3">
      <c r="A773" s="39"/>
      <c r="B773" s="42"/>
      <c r="C773" s="42"/>
      <c r="D773" s="75"/>
      <c r="E773" s="75"/>
      <c r="F773" s="76"/>
      <c r="G773" s="47"/>
      <c r="H773" s="47"/>
      <c r="I773" s="75"/>
      <c r="J773" s="76"/>
      <c r="K773" s="76"/>
      <c r="L773" s="75"/>
      <c r="M773" s="49"/>
      <c r="N773" s="76"/>
      <c r="O773" s="49"/>
      <c r="P773" s="77"/>
      <c r="Q773" s="53"/>
      <c r="R773" s="54"/>
      <c r="S773" s="55"/>
      <c r="T773" s="56"/>
      <c r="U773" s="56"/>
      <c r="V773" s="42"/>
      <c r="W773" s="57"/>
      <c r="X773" s="58"/>
      <c r="Y773" s="75"/>
      <c r="Z773" s="59"/>
      <c r="AA773" s="61"/>
      <c r="AB773" s="61"/>
      <c r="AC773" s="61"/>
      <c r="AD773" s="62"/>
      <c r="AE773" s="62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  <c r="AR773" s="34"/>
      <c r="AS773" s="34"/>
      <c r="AT773" s="34"/>
      <c r="AU773" s="34"/>
      <c r="AV773" s="34"/>
      <c r="AW773" s="34"/>
      <c r="AX773" s="34"/>
      <c r="AY773" s="34"/>
      <c r="AZ773" s="34"/>
      <c r="BA773" s="34"/>
      <c r="BB773" s="34"/>
      <c r="BD773" s="34"/>
      <c r="BE773" s="34"/>
      <c r="BF773" s="34"/>
      <c r="BG773" s="34"/>
      <c r="BH773" s="34"/>
      <c r="BI773" s="34"/>
      <c r="BJ773" s="34"/>
      <c r="BK773" s="34"/>
      <c r="BL773" s="34"/>
      <c r="BM773" s="34"/>
      <c r="BN773" s="34"/>
      <c r="BO773" s="34"/>
      <c r="BP773" s="34"/>
      <c r="BQ773" s="34"/>
      <c r="BR773" s="34"/>
      <c r="BS773" s="34"/>
      <c r="BT773" s="34"/>
      <c r="BU773" s="34"/>
      <c r="BV773" s="34"/>
      <c r="BW773" s="34"/>
      <c r="BX773" s="34"/>
      <c r="BY773" s="34"/>
    </row>
    <row r="774" spans="1:77" x14ac:dyDescent="0.3">
      <c r="A774" s="39"/>
      <c r="B774" s="42"/>
      <c r="C774" s="42"/>
      <c r="D774" s="75"/>
      <c r="E774" s="75"/>
      <c r="F774" s="76"/>
      <c r="G774" s="47"/>
      <c r="H774" s="47"/>
      <c r="I774" s="75"/>
      <c r="J774" s="76"/>
      <c r="K774" s="76"/>
      <c r="L774" s="75"/>
      <c r="M774" s="49"/>
      <c r="N774" s="76"/>
      <c r="O774" s="49"/>
      <c r="P774" s="77"/>
      <c r="Q774" s="53"/>
      <c r="R774" s="54"/>
      <c r="S774" s="55"/>
      <c r="T774" s="56"/>
      <c r="U774" s="56"/>
      <c r="V774" s="42"/>
      <c r="W774" s="57"/>
      <c r="X774" s="58"/>
      <c r="Y774" s="75"/>
      <c r="Z774" s="59"/>
      <c r="AA774" s="61"/>
      <c r="AB774" s="61"/>
      <c r="AC774" s="61"/>
      <c r="AD774" s="62"/>
      <c r="AE774" s="62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34"/>
      <c r="AR774" s="34"/>
      <c r="AS774" s="34"/>
      <c r="AT774" s="34"/>
      <c r="AU774" s="34"/>
      <c r="AV774" s="34"/>
      <c r="AW774" s="34"/>
      <c r="AX774" s="34"/>
      <c r="AY774" s="34"/>
      <c r="AZ774" s="34"/>
      <c r="BA774" s="34"/>
      <c r="BB774" s="34"/>
      <c r="BD774" s="34"/>
      <c r="BE774" s="34"/>
      <c r="BF774" s="34"/>
      <c r="BG774" s="34"/>
      <c r="BH774" s="34"/>
      <c r="BI774" s="34"/>
      <c r="BJ774" s="34"/>
      <c r="BK774" s="34"/>
      <c r="BL774" s="34"/>
      <c r="BM774" s="34"/>
      <c r="BN774" s="34"/>
      <c r="BO774" s="34"/>
      <c r="BP774" s="34"/>
      <c r="BQ774" s="34"/>
      <c r="BR774" s="34"/>
      <c r="BS774" s="34"/>
      <c r="BT774" s="34"/>
      <c r="BU774" s="34"/>
      <c r="BV774" s="34"/>
      <c r="BW774" s="34"/>
      <c r="BX774" s="34"/>
      <c r="BY774" s="34"/>
    </row>
    <row r="775" spans="1:77" x14ac:dyDescent="0.3">
      <c r="A775" s="39"/>
      <c r="B775" s="42"/>
      <c r="C775" s="42"/>
      <c r="D775" s="75"/>
      <c r="E775" s="75"/>
      <c r="F775" s="76"/>
      <c r="G775" s="47"/>
      <c r="H775" s="47"/>
      <c r="I775" s="75"/>
      <c r="J775" s="76"/>
      <c r="K775" s="76"/>
      <c r="L775" s="75"/>
      <c r="M775" s="49"/>
      <c r="N775" s="76"/>
      <c r="O775" s="49"/>
      <c r="P775" s="77"/>
      <c r="Q775" s="53"/>
      <c r="R775" s="54"/>
      <c r="S775" s="55"/>
      <c r="T775" s="56"/>
      <c r="U775" s="56"/>
      <c r="V775" s="42"/>
      <c r="W775" s="57"/>
      <c r="X775" s="58"/>
      <c r="Y775" s="75"/>
      <c r="Z775" s="59"/>
      <c r="AA775" s="61"/>
      <c r="AB775" s="61"/>
      <c r="AC775" s="61"/>
      <c r="AD775" s="62"/>
      <c r="AE775" s="62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34"/>
      <c r="AR775" s="34"/>
      <c r="AS775" s="34"/>
      <c r="AT775" s="34"/>
      <c r="AU775" s="34"/>
      <c r="AV775" s="34"/>
      <c r="AW775" s="34"/>
      <c r="AX775" s="34"/>
      <c r="AY775" s="34"/>
      <c r="AZ775" s="34"/>
      <c r="BA775" s="34"/>
      <c r="BB775" s="34"/>
      <c r="BD775" s="34"/>
      <c r="BE775" s="34"/>
      <c r="BF775" s="34"/>
      <c r="BG775" s="34"/>
      <c r="BH775" s="34"/>
      <c r="BI775" s="34"/>
      <c r="BJ775" s="34"/>
      <c r="BK775" s="34"/>
      <c r="BL775" s="34"/>
      <c r="BM775" s="34"/>
      <c r="BN775" s="34"/>
      <c r="BO775" s="34"/>
      <c r="BP775" s="34"/>
      <c r="BQ775" s="34"/>
      <c r="BR775" s="34"/>
      <c r="BS775" s="34"/>
      <c r="BT775" s="34"/>
      <c r="BU775" s="34"/>
      <c r="BV775" s="34"/>
      <c r="BW775" s="34"/>
      <c r="BX775" s="34"/>
      <c r="BY775" s="34"/>
    </row>
    <row r="776" spans="1:77" x14ac:dyDescent="0.3">
      <c r="A776" s="39"/>
      <c r="B776" s="42"/>
      <c r="C776" s="42"/>
      <c r="D776" s="75"/>
      <c r="E776" s="75"/>
      <c r="F776" s="76"/>
      <c r="G776" s="47"/>
      <c r="H776" s="47"/>
      <c r="I776" s="75"/>
      <c r="J776" s="76"/>
      <c r="K776" s="76"/>
      <c r="L776" s="75"/>
      <c r="M776" s="49"/>
      <c r="N776" s="76"/>
      <c r="O776" s="49"/>
      <c r="P776" s="77"/>
      <c r="Q776" s="53"/>
      <c r="R776" s="54"/>
      <c r="S776" s="55"/>
      <c r="T776" s="56"/>
      <c r="U776" s="56"/>
      <c r="V776" s="42"/>
      <c r="W776" s="57"/>
      <c r="X776" s="58"/>
      <c r="Y776" s="75"/>
      <c r="Z776" s="59"/>
      <c r="AA776" s="61"/>
      <c r="AB776" s="61"/>
      <c r="AC776" s="61"/>
      <c r="AD776" s="62"/>
      <c r="AE776" s="62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34"/>
      <c r="AR776" s="34"/>
      <c r="AS776" s="34"/>
      <c r="AT776" s="34"/>
      <c r="AU776" s="34"/>
      <c r="AV776" s="34"/>
      <c r="AW776" s="34"/>
      <c r="AX776" s="34"/>
      <c r="AY776" s="34"/>
      <c r="AZ776" s="34"/>
      <c r="BA776" s="34"/>
      <c r="BB776" s="34"/>
      <c r="BD776" s="34"/>
      <c r="BE776" s="34"/>
      <c r="BF776" s="34"/>
      <c r="BG776" s="34"/>
      <c r="BH776" s="34"/>
      <c r="BI776" s="34"/>
      <c r="BJ776" s="34"/>
      <c r="BK776" s="34"/>
      <c r="BL776" s="34"/>
      <c r="BM776" s="34"/>
      <c r="BN776" s="34"/>
      <c r="BO776" s="34"/>
      <c r="BP776" s="34"/>
      <c r="BQ776" s="34"/>
      <c r="BR776" s="34"/>
      <c r="BS776" s="34"/>
      <c r="BT776" s="34"/>
      <c r="BU776" s="34"/>
      <c r="BV776" s="34"/>
      <c r="BW776" s="34"/>
      <c r="BX776" s="34"/>
      <c r="BY776" s="34"/>
    </row>
    <row r="777" spans="1:77" x14ac:dyDescent="0.3">
      <c r="A777" s="39"/>
      <c r="B777" s="42"/>
      <c r="C777" s="42"/>
      <c r="D777" s="75"/>
      <c r="E777" s="75"/>
      <c r="F777" s="76"/>
      <c r="G777" s="47"/>
      <c r="H777" s="47"/>
      <c r="I777" s="75"/>
      <c r="J777" s="76"/>
      <c r="K777" s="76"/>
      <c r="L777" s="75"/>
      <c r="M777" s="49"/>
      <c r="N777" s="76"/>
      <c r="O777" s="49"/>
      <c r="P777" s="77"/>
      <c r="Q777" s="53"/>
      <c r="R777" s="54"/>
      <c r="S777" s="55"/>
      <c r="T777" s="56"/>
      <c r="U777" s="56"/>
      <c r="V777" s="42"/>
      <c r="W777" s="57"/>
      <c r="X777" s="58"/>
      <c r="Y777" s="75"/>
      <c r="Z777" s="59"/>
      <c r="AA777" s="61"/>
      <c r="AB777" s="61"/>
      <c r="AC777" s="61"/>
      <c r="AD777" s="62"/>
      <c r="AE777" s="62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34"/>
      <c r="AR777" s="34"/>
      <c r="AS777" s="34"/>
      <c r="AT777" s="34"/>
      <c r="AU777" s="34"/>
      <c r="AV777" s="34"/>
      <c r="AW777" s="34"/>
      <c r="AX777" s="34"/>
      <c r="AY777" s="34"/>
      <c r="AZ777" s="34"/>
      <c r="BA777" s="34"/>
      <c r="BB777" s="34"/>
      <c r="BD777" s="34"/>
      <c r="BE777" s="34"/>
      <c r="BF777" s="34"/>
      <c r="BG777" s="34"/>
      <c r="BH777" s="34"/>
      <c r="BI777" s="34"/>
      <c r="BJ777" s="34"/>
      <c r="BK777" s="34"/>
      <c r="BL777" s="34"/>
      <c r="BM777" s="34"/>
      <c r="BN777" s="34"/>
      <c r="BO777" s="34"/>
      <c r="BP777" s="34"/>
      <c r="BQ777" s="34"/>
      <c r="BR777" s="34"/>
      <c r="BS777" s="34"/>
      <c r="BT777" s="34"/>
      <c r="BU777" s="34"/>
      <c r="BV777" s="34"/>
      <c r="BW777" s="34"/>
      <c r="BX777" s="34"/>
      <c r="BY777" s="34"/>
    </row>
    <row r="778" spans="1:77" x14ac:dyDescent="0.3">
      <c r="A778" s="39"/>
      <c r="B778" s="42"/>
      <c r="C778" s="42"/>
      <c r="D778" s="75"/>
      <c r="E778" s="75"/>
      <c r="F778" s="76"/>
      <c r="G778" s="47"/>
      <c r="H778" s="47"/>
      <c r="I778" s="75"/>
      <c r="J778" s="76"/>
      <c r="K778" s="76"/>
      <c r="L778" s="75"/>
      <c r="M778" s="49"/>
      <c r="N778" s="76"/>
      <c r="O778" s="49"/>
      <c r="P778" s="77"/>
      <c r="Q778" s="53"/>
      <c r="R778" s="54"/>
      <c r="S778" s="55"/>
      <c r="T778" s="56"/>
      <c r="U778" s="56"/>
      <c r="V778" s="42"/>
      <c r="W778" s="57"/>
      <c r="X778" s="58"/>
      <c r="Y778" s="75"/>
      <c r="Z778" s="59"/>
      <c r="AA778" s="61"/>
      <c r="AB778" s="61"/>
      <c r="AC778" s="61"/>
      <c r="AD778" s="62"/>
      <c r="AE778" s="62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34"/>
      <c r="AR778" s="34"/>
      <c r="AS778" s="34"/>
      <c r="AT778" s="34"/>
      <c r="AU778" s="34"/>
      <c r="AV778" s="34"/>
      <c r="AW778" s="34"/>
      <c r="AX778" s="34"/>
      <c r="AY778" s="34"/>
      <c r="AZ778" s="34"/>
      <c r="BA778" s="34"/>
      <c r="BB778" s="34"/>
      <c r="BD778" s="34"/>
      <c r="BE778" s="34"/>
      <c r="BF778" s="34"/>
      <c r="BG778" s="34"/>
      <c r="BH778" s="34"/>
      <c r="BI778" s="34"/>
      <c r="BJ778" s="34"/>
      <c r="BK778" s="34"/>
      <c r="BL778" s="34"/>
      <c r="BM778" s="34"/>
      <c r="BN778" s="34"/>
      <c r="BO778" s="34"/>
      <c r="BP778" s="34"/>
      <c r="BQ778" s="34"/>
      <c r="BR778" s="34"/>
      <c r="BS778" s="34"/>
      <c r="BT778" s="34"/>
      <c r="BU778" s="34"/>
      <c r="BV778" s="34"/>
      <c r="BW778" s="34"/>
      <c r="BX778" s="34"/>
      <c r="BY778" s="34"/>
    </row>
    <row r="779" spans="1:77" x14ac:dyDescent="0.3">
      <c r="A779" s="39"/>
      <c r="B779" s="42"/>
      <c r="C779" s="42"/>
      <c r="D779" s="75"/>
      <c r="E779" s="75"/>
      <c r="F779" s="76"/>
      <c r="G779" s="47"/>
      <c r="H779" s="47"/>
      <c r="I779" s="75"/>
      <c r="J779" s="76"/>
      <c r="K779" s="76"/>
      <c r="L779" s="75"/>
      <c r="M779" s="49"/>
      <c r="N779" s="76"/>
      <c r="O779" s="49"/>
      <c r="P779" s="77"/>
      <c r="Q779" s="53"/>
      <c r="R779" s="54"/>
      <c r="S779" s="55"/>
      <c r="T779" s="56"/>
      <c r="U779" s="56"/>
      <c r="V779" s="42"/>
      <c r="W779" s="57"/>
      <c r="X779" s="58"/>
      <c r="Y779" s="75"/>
      <c r="Z779" s="59"/>
      <c r="AA779" s="61"/>
      <c r="AB779" s="61"/>
      <c r="AC779" s="61"/>
      <c r="AD779" s="62"/>
      <c r="AE779" s="62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34"/>
      <c r="AR779" s="34"/>
      <c r="AS779" s="34"/>
      <c r="AT779" s="34"/>
      <c r="AU779" s="34"/>
      <c r="AV779" s="34"/>
      <c r="AW779" s="34"/>
      <c r="AX779" s="34"/>
      <c r="AY779" s="34"/>
      <c r="AZ779" s="34"/>
      <c r="BA779" s="34"/>
      <c r="BB779" s="34"/>
      <c r="BD779" s="34"/>
      <c r="BE779" s="34"/>
      <c r="BF779" s="34"/>
      <c r="BG779" s="34"/>
      <c r="BH779" s="34"/>
      <c r="BI779" s="34"/>
      <c r="BJ779" s="34"/>
      <c r="BK779" s="34"/>
      <c r="BL779" s="34"/>
      <c r="BM779" s="34"/>
      <c r="BN779" s="34"/>
      <c r="BO779" s="34"/>
      <c r="BP779" s="34"/>
      <c r="BQ779" s="34"/>
      <c r="BR779" s="34"/>
      <c r="BS779" s="34"/>
      <c r="BT779" s="34"/>
      <c r="BU779" s="34"/>
      <c r="BV779" s="34"/>
      <c r="BW779" s="34"/>
      <c r="BX779" s="34"/>
      <c r="BY779" s="34"/>
    </row>
    <row r="780" spans="1:77" x14ac:dyDescent="0.3">
      <c r="A780" s="39"/>
      <c r="B780" s="42"/>
      <c r="C780" s="42"/>
      <c r="D780" s="75"/>
      <c r="E780" s="75"/>
      <c r="F780" s="76"/>
      <c r="G780" s="47"/>
      <c r="H780" s="47"/>
      <c r="I780" s="75"/>
      <c r="J780" s="76"/>
      <c r="K780" s="76"/>
      <c r="L780" s="75"/>
      <c r="M780" s="49"/>
      <c r="N780" s="76"/>
      <c r="O780" s="49"/>
      <c r="P780" s="77"/>
      <c r="Q780" s="53"/>
      <c r="R780" s="54"/>
      <c r="S780" s="55"/>
      <c r="T780" s="56"/>
      <c r="U780" s="56"/>
      <c r="V780" s="42"/>
      <c r="W780" s="57"/>
      <c r="X780" s="58"/>
      <c r="Y780" s="75"/>
      <c r="Z780" s="59"/>
      <c r="AA780" s="61"/>
      <c r="AB780" s="61"/>
      <c r="AC780" s="61"/>
      <c r="AD780" s="62"/>
      <c r="AE780" s="62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34"/>
      <c r="AR780" s="34"/>
      <c r="AS780" s="34"/>
      <c r="AT780" s="34"/>
      <c r="AU780" s="34"/>
      <c r="AV780" s="34"/>
      <c r="AW780" s="34"/>
      <c r="AX780" s="34"/>
      <c r="AY780" s="34"/>
      <c r="AZ780" s="34"/>
      <c r="BA780" s="34"/>
      <c r="BB780" s="34"/>
      <c r="BD780" s="34"/>
      <c r="BE780" s="34"/>
      <c r="BF780" s="34"/>
      <c r="BG780" s="34"/>
      <c r="BH780" s="34"/>
      <c r="BI780" s="34"/>
      <c r="BJ780" s="34"/>
      <c r="BK780" s="34"/>
      <c r="BL780" s="34"/>
      <c r="BM780" s="34"/>
      <c r="BN780" s="34"/>
      <c r="BO780" s="34"/>
      <c r="BP780" s="34"/>
      <c r="BQ780" s="34"/>
      <c r="BR780" s="34"/>
      <c r="BS780" s="34"/>
      <c r="BT780" s="34"/>
      <c r="BU780" s="34"/>
      <c r="BV780" s="34"/>
      <c r="BW780" s="34"/>
      <c r="BX780" s="34"/>
      <c r="BY780" s="34"/>
    </row>
    <row r="781" spans="1:77" x14ac:dyDescent="0.3">
      <c r="A781" s="39"/>
      <c r="B781" s="42"/>
      <c r="C781" s="42"/>
      <c r="D781" s="75"/>
      <c r="E781" s="75"/>
      <c r="F781" s="76"/>
      <c r="G781" s="47"/>
      <c r="H781" s="47"/>
      <c r="I781" s="75"/>
      <c r="J781" s="76"/>
      <c r="K781" s="76"/>
      <c r="L781" s="75"/>
      <c r="M781" s="49"/>
      <c r="N781" s="76"/>
      <c r="O781" s="49"/>
      <c r="P781" s="77"/>
      <c r="Q781" s="53"/>
      <c r="R781" s="54"/>
      <c r="S781" s="55"/>
      <c r="T781" s="56"/>
      <c r="U781" s="56"/>
      <c r="V781" s="42"/>
      <c r="W781" s="57"/>
      <c r="X781" s="58"/>
      <c r="Y781" s="75"/>
      <c r="Z781" s="59"/>
      <c r="AA781" s="61"/>
      <c r="AB781" s="61"/>
      <c r="AC781" s="61"/>
      <c r="AD781" s="62"/>
      <c r="AE781" s="62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34"/>
      <c r="AR781" s="34"/>
      <c r="AS781" s="34"/>
      <c r="AT781" s="34"/>
      <c r="AU781" s="34"/>
      <c r="AV781" s="34"/>
      <c r="AW781" s="34"/>
      <c r="AX781" s="34"/>
      <c r="AY781" s="34"/>
      <c r="AZ781" s="34"/>
      <c r="BA781" s="34"/>
      <c r="BB781" s="34"/>
      <c r="BD781" s="34"/>
      <c r="BE781" s="34"/>
      <c r="BF781" s="34"/>
      <c r="BG781" s="34"/>
      <c r="BH781" s="34"/>
      <c r="BI781" s="34"/>
      <c r="BJ781" s="34"/>
      <c r="BK781" s="34"/>
      <c r="BL781" s="34"/>
      <c r="BM781" s="34"/>
      <c r="BN781" s="34"/>
      <c r="BO781" s="34"/>
      <c r="BP781" s="34"/>
      <c r="BQ781" s="34"/>
      <c r="BR781" s="34"/>
      <c r="BS781" s="34"/>
      <c r="BT781" s="34"/>
      <c r="BU781" s="34"/>
      <c r="BV781" s="34"/>
      <c r="BW781" s="34"/>
      <c r="BX781" s="34"/>
      <c r="BY781" s="34"/>
    </row>
    <row r="782" spans="1:77" x14ac:dyDescent="0.3">
      <c r="A782" s="39"/>
      <c r="B782" s="42"/>
      <c r="C782" s="42"/>
      <c r="D782" s="75"/>
      <c r="E782" s="75"/>
      <c r="F782" s="76"/>
      <c r="G782" s="47"/>
      <c r="H782" s="47"/>
      <c r="I782" s="75"/>
      <c r="J782" s="76"/>
      <c r="K782" s="76"/>
      <c r="L782" s="75"/>
      <c r="M782" s="49"/>
      <c r="N782" s="76"/>
      <c r="O782" s="49"/>
      <c r="P782" s="77"/>
      <c r="Q782" s="53"/>
      <c r="R782" s="54"/>
      <c r="S782" s="55"/>
      <c r="T782" s="56"/>
      <c r="U782" s="56"/>
      <c r="V782" s="42"/>
      <c r="W782" s="57"/>
      <c r="X782" s="58"/>
      <c r="Y782" s="75"/>
      <c r="Z782" s="59"/>
      <c r="AA782" s="61"/>
      <c r="AB782" s="61"/>
      <c r="AC782" s="61"/>
      <c r="AD782" s="62"/>
      <c r="AE782" s="62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34"/>
      <c r="AR782" s="34"/>
      <c r="AS782" s="34"/>
      <c r="AT782" s="34"/>
      <c r="AU782" s="34"/>
      <c r="AV782" s="34"/>
      <c r="AW782" s="34"/>
      <c r="AX782" s="34"/>
      <c r="AY782" s="34"/>
      <c r="AZ782" s="34"/>
      <c r="BA782" s="34"/>
      <c r="BB782" s="34"/>
      <c r="BD782" s="34"/>
      <c r="BE782" s="34"/>
      <c r="BF782" s="34"/>
      <c r="BG782" s="34"/>
      <c r="BH782" s="34"/>
      <c r="BI782" s="34"/>
      <c r="BJ782" s="34"/>
      <c r="BK782" s="34"/>
      <c r="BL782" s="34"/>
      <c r="BM782" s="34"/>
      <c r="BN782" s="34"/>
      <c r="BO782" s="34"/>
      <c r="BP782" s="34"/>
      <c r="BQ782" s="34"/>
      <c r="BR782" s="34"/>
      <c r="BS782" s="34"/>
      <c r="BT782" s="34"/>
      <c r="BU782" s="34"/>
      <c r="BV782" s="34"/>
      <c r="BW782" s="34"/>
      <c r="BX782" s="34"/>
      <c r="BY782" s="34"/>
    </row>
    <row r="783" spans="1:77" x14ac:dyDescent="0.3">
      <c r="A783" s="39"/>
      <c r="B783" s="42"/>
      <c r="C783" s="42"/>
      <c r="D783" s="75"/>
      <c r="E783" s="75"/>
      <c r="F783" s="76"/>
      <c r="G783" s="47"/>
      <c r="H783" s="47"/>
      <c r="I783" s="75"/>
      <c r="J783" s="76"/>
      <c r="K783" s="76"/>
      <c r="L783" s="75"/>
      <c r="M783" s="49"/>
      <c r="N783" s="76"/>
      <c r="O783" s="49"/>
      <c r="P783" s="77"/>
      <c r="Q783" s="53"/>
      <c r="R783" s="54"/>
      <c r="S783" s="55"/>
      <c r="T783" s="56"/>
      <c r="U783" s="56"/>
      <c r="V783" s="42"/>
      <c r="W783" s="57"/>
      <c r="X783" s="58"/>
      <c r="Y783" s="75"/>
      <c r="Z783" s="59"/>
      <c r="AA783" s="61"/>
      <c r="AB783" s="61"/>
      <c r="AC783" s="61"/>
      <c r="AD783" s="62"/>
      <c r="AE783" s="62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/>
      <c r="BB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/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</row>
    <row r="784" spans="1:77" x14ac:dyDescent="0.3">
      <c r="A784" s="39"/>
      <c r="B784" s="42"/>
      <c r="C784" s="42"/>
      <c r="D784" s="75"/>
      <c r="E784" s="75"/>
      <c r="F784" s="76"/>
      <c r="G784" s="47"/>
      <c r="H784" s="47"/>
      <c r="I784" s="75"/>
      <c r="J784" s="76"/>
      <c r="K784" s="76"/>
      <c r="L784" s="75"/>
      <c r="M784" s="49"/>
      <c r="N784" s="76"/>
      <c r="O784" s="49"/>
      <c r="P784" s="77"/>
      <c r="Q784" s="53"/>
      <c r="R784" s="54"/>
      <c r="S784" s="55"/>
      <c r="T784" s="56"/>
      <c r="U784" s="56"/>
      <c r="V784" s="42"/>
      <c r="W784" s="57"/>
      <c r="X784" s="58"/>
      <c r="Y784" s="75"/>
      <c r="Z784" s="59"/>
      <c r="AA784" s="61"/>
      <c r="AB784" s="61"/>
      <c r="AC784" s="61"/>
      <c r="AD784" s="62"/>
      <c r="AE784" s="62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34"/>
      <c r="BA784" s="34"/>
      <c r="BB784" s="34"/>
      <c r="BD784" s="34"/>
      <c r="BE784" s="34"/>
      <c r="BF784" s="34"/>
      <c r="BG784" s="34"/>
      <c r="BH784" s="34"/>
      <c r="BI784" s="34"/>
      <c r="BJ784" s="34"/>
      <c r="BK784" s="34"/>
      <c r="BL784" s="34"/>
      <c r="BM784" s="34"/>
      <c r="BN784" s="34"/>
      <c r="BO784" s="34"/>
      <c r="BP784" s="34"/>
      <c r="BQ784" s="34"/>
      <c r="BR784" s="34"/>
      <c r="BS784" s="34"/>
      <c r="BT784" s="34"/>
      <c r="BU784" s="34"/>
      <c r="BV784" s="34"/>
      <c r="BW784" s="34"/>
      <c r="BX784" s="34"/>
      <c r="BY784" s="34"/>
    </row>
    <row r="785" spans="1:77" x14ac:dyDescent="0.3">
      <c r="A785" s="39"/>
      <c r="B785" s="42"/>
      <c r="C785" s="42"/>
      <c r="D785" s="75"/>
      <c r="E785" s="75"/>
      <c r="F785" s="76"/>
      <c r="G785" s="47"/>
      <c r="H785" s="47"/>
      <c r="I785" s="75"/>
      <c r="J785" s="76"/>
      <c r="K785" s="76"/>
      <c r="L785" s="75"/>
      <c r="M785" s="49"/>
      <c r="N785" s="76"/>
      <c r="O785" s="49"/>
      <c r="P785" s="77"/>
      <c r="Q785" s="53"/>
      <c r="R785" s="54"/>
      <c r="S785" s="55"/>
      <c r="T785" s="56"/>
      <c r="U785" s="56"/>
      <c r="V785" s="42"/>
      <c r="W785" s="57"/>
      <c r="X785" s="58"/>
      <c r="Y785" s="75"/>
      <c r="Z785" s="59"/>
      <c r="AA785" s="61"/>
      <c r="AB785" s="61"/>
      <c r="AC785" s="61"/>
      <c r="AD785" s="62"/>
      <c r="AE785" s="62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34"/>
      <c r="BA785" s="34"/>
      <c r="BB785" s="34"/>
      <c r="BD785" s="34"/>
      <c r="BE785" s="34"/>
      <c r="BF785" s="34"/>
      <c r="BG785" s="34"/>
      <c r="BH785" s="34"/>
      <c r="BI785" s="34"/>
      <c r="BJ785" s="34"/>
      <c r="BK785" s="34"/>
      <c r="BL785" s="34"/>
      <c r="BM785" s="34"/>
      <c r="BN785" s="34"/>
      <c r="BO785" s="34"/>
      <c r="BP785" s="34"/>
      <c r="BQ785" s="34"/>
      <c r="BR785" s="34"/>
      <c r="BS785" s="34"/>
      <c r="BT785" s="34"/>
      <c r="BU785" s="34"/>
      <c r="BV785" s="34"/>
      <c r="BW785" s="34"/>
      <c r="BX785" s="34"/>
      <c r="BY785" s="34"/>
    </row>
    <row r="786" spans="1:77" x14ac:dyDescent="0.3">
      <c r="A786" s="39"/>
      <c r="B786" s="42"/>
      <c r="C786" s="42"/>
      <c r="D786" s="75"/>
      <c r="E786" s="75"/>
      <c r="F786" s="76"/>
      <c r="G786" s="47"/>
      <c r="H786" s="47"/>
      <c r="I786" s="75"/>
      <c r="J786" s="76"/>
      <c r="K786" s="76"/>
      <c r="L786" s="75"/>
      <c r="M786" s="49"/>
      <c r="N786" s="76"/>
      <c r="O786" s="49"/>
      <c r="P786" s="77"/>
      <c r="Q786" s="53"/>
      <c r="R786" s="54"/>
      <c r="S786" s="55"/>
      <c r="T786" s="56"/>
      <c r="U786" s="56"/>
      <c r="V786" s="42"/>
      <c r="W786" s="57"/>
      <c r="X786" s="58"/>
      <c r="Y786" s="75"/>
      <c r="Z786" s="59"/>
      <c r="AA786" s="61"/>
      <c r="AB786" s="61"/>
      <c r="AC786" s="61"/>
      <c r="AD786" s="62"/>
      <c r="AE786" s="62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/>
      <c r="BB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/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</row>
    <row r="787" spans="1:77" x14ac:dyDescent="0.3">
      <c r="A787" s="39"/>
      <c r="B787" s="42"/>
      <c r="C787" s="42"/>
      <c r="D787" s="75"/>
      <c r="E787" s="75"/>
      <c r="F787" s="76"/>
      <c r="G787" s="47"/>
      <c r="H787" s="47"/>
      <c r="I787" s="75"/>
      <c r="J787" s="76"/>
      <c r="K787" s="76"/>
      <c r="L787" s="75"/>
      <c r="M787" s="49"/>
      <c r="N787" s="76"/>
      <c r="O787" s="49"/>
      <c r="P787" s="77"/>
      <c r="Q787" s="53"/>
      <c r="R787" s="54"/>
      <c r="S787" s="55"/>
      <c r="T787" s="56"/>
      <c r="U787" s="56"/>
      <c r="V787" s="42"/>
      <c r="W787" s="57"/>
      <c r="X787" s="58"/>
      <c r="Y787" s="75"/>
      <c r="Z787" s="59"/>
      <c r="AA787" s="61"/>
      <c r="AB787" s="61"/>
      <c r="AC787" s="61"/>
      <c r="AD787" s="62"/>
      <c r="AE787" s="62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34"/>
      <c r="BA787" s="34"/>
      <c r="BB787" s="34"/>
      <c r="BD787" s="34"/>
      <c r="BE787" s="34"/>
      <c r="BF787" s="34"/>
      <c r="BG787" s="34"/>
      <c r="BH787" s="34"/>
      <c r="BI787" s="34"/>
      <c r="BJ787" s="34"/>
      <c r="BK787" s="34"/>
      <c r="BL787" s="34"/>
      <c r="BM787" s="34"/>
      <c r="BN787" s="34"/>
      <c r="BO787" s="34"/>
      <c r="BP787" s="34"/>
      <c r="BQ787" s="34"/>
      <c r="BR787" s="34"/>
      <c r="BS787" s="34"/>
      <c r="BT787" s="34"/>
      <c r="BU787" s="34"/>
      <c r="BV787" s="34"/>
      <c r="BW787" s="34"/>
      <c r="BX787" s="34"/>
      <c r="BY787" s="34"/>
    </row>
    <row r="788" spans="1:77" x14ac:dyDescent="0.3">
      <c r="A788" s="39"/>
      <c r="B788" s="42"/>
      <c r="C788" s="42"/>
      <c r="D788" s="75"/>
      <c r="E788" s="75"/>
      <c r="F788" s="76"/>
      <c r="G788" s="47"/>
      <c r="H788" s="47"/>
      <c r="I788" s="75"/>
      <c r="J788" s="76"/>
      <c r="K788" s="76"/>
      <c r="L788" s="75"/>
      <c r="M788" s="49"/>
      <c r="N788" s="76"/>
      <c r="O788" s="49"/>
      <c r="P788" s="77"/>
      <c r="Q788" s="53"/>
      <c r="R788" s="54"/>
      <c r="S788" s="55"/>
      <c r="T788" s="56"/>
      <c r="U788" s="56"/>
      <c r="V788" s="42"/>
      <c r="W788" s="57"/>
      <c r="X788" s="58"/>
      <c r="Y788" s="75"/>
      <c r="Z788" s="59"/>
      <c r="AA788" s="61"/>
      <c r="AB788" s="61"/>
      <c r="AC788" s="61"/>
      <c r="AD788" s="62"/>
      <c r="AE788" s="62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34"/>
      <c r="BA788" s="34"/>
      <c r="BB788" s="34"/>
      <c r="BD788" s="34"/>
      <c r="BE788" s="34"/>
      <c r="BF788" s="34"/>
      <c r="BG788" s="34"/>
      <c r="BH788" s="34"/>
      <c r="BI788" s="34"/>
      <c r="BJ788" s="34"/>
      <c r="BK788" s="34"/>
      <c r="BL788" s="34"/>
      <c r="BM788" s="34"/>
      <c r="BN788" s="34"/>
      <c r="BO788" s="34"/>
      <c r="BP788" s="34"/>
      <c r="BQ788" s="34"/>
      <c r="BR788" s="34"/>
      <c r="BS788" s="34"/>
      <c r="BT788" s="34"/>
      <c r="BU788" s="34"/>
      <c r="BV788" s="34"/>
      <c r="BW788" s="34"/>
      <c r="BX788" s="34"/>
      <c r="BY788" s="34"/>
    </row>
    <row r="789" spans="1:77" x14ac:dyDescent="0.3">
      <c r="A789" s="39"/>
      <c r="B789" s="42"/>
      <c r="C789" s="42"/>
      <c r="D789" s="75"/>
      <c r="E789" s="75"/>
      <c r="F789" s="76"/>
      <c r="G789" s="47"/>
      <c r="H789" s="47"/>
      <c r="I789" s="75"/>
      <c r="J789" s="76"/>
      <c r="K789" s="76"/>
      <c r="L789" s="75"/>
      <c r="M789" s="49"/>
      <c r="N789" s="76"/>
      <c r="O789" s="49"/>
      <c r="P789" s="77"/>
      <c r="Q789" s="53"/>
      <c r="R789" s="54"/>
      <c r="S789" s="55"/>
      <c r="T789" s="56"/>
      <c r="U789" s="56"/>
      <c r="V789" s="42"/>
      <c r="W789" s="57"/>
      <c r="X789" s="58"/>
      <c r="Y789" s="75"/>
      <c r="Z789" s="59"/>
      <c r="AA789" s="61"/>
      <c r="AB789" s="61"/>
      <c r="AC789" s="61"/>
      <c r="AD789" s="62"/>
      <c r="AE789" s="62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34"/>
      <c r="AR789" s="34"/>
      <c r="AS789" s="34"/>
      <c r="AT789" s="34"/>
      <c r="AU789" s="34"/>
      <c r="AV789" s="34"/>
      <c r="AW789" s="34"/>
      <c r="AX789" s="34"/>
      <c r="AY789" s="34"/>
      <c r="AZ789" s="34"/>
      <c r="BA789" s="34"/>
      <c r="BB789" s="34"/>
      <c r="BD789" s="34"/>
      <c r="BE789" s="34"/>
      <c r="BF789" s="34"/>
      <c r="BG789" s="34"/>
      <c r="BH789" s="34"/>
      <c r="BI789" s="34"/>
      <c r="BJ789" s="34"/>
      <c r="BK789" s="34"/>
      <c r="BL789" s="34"/>
      <c r="BM789" s="34"/>
      <c r="BN789" s="34"/>
      <c r="BO789" s="34"/>
      <c r="BP789" s="34"/>
      <c r="BQ789" s="34"/>
      <c r="BR789" s="34"/>
      <c r="BS789" s="34"/>
      <c r="BT789" s="34"/>
      <c r="BU789" s="34"/>
      <c r="BV789" s="34"/>
      <c r="BW789" s="34"/>
      <c r="BX789" s="34"/>
      <c r="BY789" s="34"/>
    </row>
    <row r="790" spans="1:77" x14ac:dyDescent="0.3">
      <c r="A790" s="39"/>
      <c r="B790" s="42"/>
      <c r="C790" s="42"/>
      <c r="D790" s="75"/>
      <c r="E790" s="75"/>
      <c r="F790" s="76"/>
      <c r="G790" s="47"/>
      <c r="H790" s="47"/>
      <c r="I790" s="75"/>
      <c r="J790" s="76"/>
      <c r="K790" s="76"/>
      <c r="L790" s="75"/>
      <c r="M790" s="49"/>
      <c r="N790" s="76"/>
      <c r="O790" s="49"/>
      <c r="P790" s="77"/>
      <c r="Q790" s="53"/>
      <c r="R790" s="54"/>
      <c r="S790" s="55"/>
      <c r="T790" s="56"/>
      <c r="U790" s="56"/>
      <c r="V790" s="42"/>
      <c r="W790" s="57"/>
      <c r="X790" s="58"/>
      <c r="Y790" s="75"/>
      <c r="Z790" s="59"/>
      <c r="AA790" s="61"/>
      <c r="AB790" s="61"/>
      <c r="AC790" s="61"/>
      <c r="AD790" s="62"/>
      <c r="AE790" s="62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34"/>
      <c r="AR790" s="34"/>
      <c r="AS790" s="34"/>
      <c r="AT790" s="34"/>
      <c r="AU790" s="34"/>
      <c r="AV790" s="34"/>
      <c r="AW790" s="34"/>
      <c r="AX790" s="34"/>
      <c r="AY790" s="34"/>
      <c r="AZ790" s="34"/>
      <c r="BA790" s="34"/>
      <c r="BB790" s="34"/>
      <c r="BD790" s="34"/>
      <c r="BE790" s="34"/>
      <c r="BF790" s="34"/>
      <c r="BG790" s="34"/>
      <c r="BH790" s="34"/>
      <c r="BI790" s="34"/>
      <c r="BJ790" s="34"/>
      <c r="BK790" s="34"/>
      <c r="BL790" s="34"/>
      <c r="BM790" s="34"/>
      <c r="BN790" s="34"/>
      <c r="BO790" s="34"/>
      <c r="BP790" s="34"/>
      <c r="BQ790" s="34"/>
      <c r="BR790" s="34"/>
      <c r="BS790" s="34"/>
      <c r="BT790" s="34"/>
      <c r="BU790" s="34"/>
      <c r="BV790" s="34"/>
      <c r="BW790" s="34"/>
      <c r="BX790" s="34"/>
      <c r="BY790" s="34"/>
    </row>
    <row r="791" spans="1:77" x14ac:dyDescent="0.3">
      <c r="A791" s="39"/>
      <c r="B791" s="42"/>
      <c r="C791" s="42"/>
      <c r="D791" s="75"/>
      <c r="E791" s="75"/>
      <c r="F791" s="76"/>
      <c r="G791" s="47"/>
      <c r="H791" s="47"/>
      <c r="I791" s="75"/>
      <c r="J791" s="76"/>
      <c r="K791" s="76"/>
      <c r="L791" s="75"/>
      <c r="M791" s="49"/>
      <c r="N791" s="76"/>
      <c r="O791" s="49"/>
      <c r="P791" s="77"/>
      <c r="Q791" s="53"/>
      <c r="R791" s="54"/>
      <c r="S791" s="55"/>
      <c r="T791" s="56"/>
      <c r="U791" s="56"/>
      <c r="V791" s="42"/>
      <c r="W791" s="57"/>
      <c r="X791" s="58"/>
      <c r="Y791" s="75"/>
      <c r="Z791" s="59"/>
      <c r="AA791" s="61"/>
      <c r="AB791" s="61"/>
      <c r="AC791" s="61"/>
      <c r="AD791" s="62"/>
      <c r="AE791" s="62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34"/>
      <c r="AR791" s="34"/>
      <c r="AS791" s="34"/>
      <c r="AT791" s="34"/>
      <c r="AU791" s="34"/>
      <c r="AV791" s="34"/>
      <c r="AW791" s="34"/>
      <c r="AX791" s="34"/>
      <c r="AY791" s="34"/>
      <c r="AZ791" s="34"/>
      <c r="BA791" s="34"/>
      <c r="BB791" s="34"/>
      <c r="BD791" s="34"/>
      <c r="BE791" s="34"/>
      <c r="BF791" s="34"/>
      <c r="BG791" s="34"/>
      <c r="BH791" s="34"/>
      <c r="BI791" s="34"/>
      <c r="BJ791" s="34"/>
      <c r="BK791" s="34"/>
      <c r="BL791" s="34"/>
      <c r="BM791" s="34"/>
      <c r="BN791" s="34"/>
      <c r="BO791" s="34"/>
      <c r="BP791" s="34"/>
      <c r="BQ791" s="34"/>
      <c r="BR791" s="34"/>
      <c r="BS791" s="34"/>
      <c r="BT791" s="34"/>
      <c r="BU791" s="34"/>
      <c r="BV791" s="34"/>
      <c r="BW791" s="34"/>
      <c r="BX791" s="34"/>
      <c r="BY791" s="34"/>
    </row>
    <row r="792" spans="1:77" x14ac:dyDescent="0.3">
      <c r="A792" s="39"/>
      <c r="B792" s="42"/>
      <c r="C792" s="42"/>
      <c r="D792" s="75"/>
      <c r="E792" s="75"/>
      <c r="F792" s="76"/>
      <c r="G792" s="47"/>
      <c r="H792" s="47"/>
      <c r="I792" s="75"/>
      <c r="J792" s="76"/>
      <c r="K792" s="76"/>
      <c r="L792" s="75"/>
      <c r="M792" s="49"/>
      <c r="N792" s="76"/>
      <c r="O792" s="49"/>
      <c r="P792" s="77"/>
      <c r="Q792" s="53"/>
      <c r="R792" s="54"/>
      <c r="S792" s="55"/>
      <c r="T792" s="56"/>
      <c r="U792" s="56"/>
      <c r="V792" s="42"/>
      <c r="W792" s="57"/>
      <c r="X792" s="58"/>
      <c r="Y792" s="75"/>
      <c r="Z792" s="59"/>
      <c r="AA792" s="61"/>
      <c r="AB792" s="61"/>
      <c r="AC792" s="61"/>
      <c r="AD792" s="62"/>
      <c r="AE792" s="62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34"/>
      <c r="BA792" s="34"/>
      <c r="BB792" s="34"/>
      <c r="BD792" s="34"/>
      <c r="BE792" s="34"/>
      <c r="BF792" s="34"/>
      <c r="BG792" s="34"/>
      <c r="BH792" s="34"/>
      <c r="BI792" s="34"/>
      <c r="BJ792" s="34"/>
      <c r="BK792" s="34"/>
      <c r="BL792" s="34"/>
      <c r="BM792" s="34"/>
      <c r="BN792" s="34"/>
      <c r="BO792" s="34"/>
      <c r="BP792" s="34"/>
      <c r="BQ792" s="34"/>
      <c r="BR792" s="34"/>
      <c r="BS792" s="34"/>
      <c r="BT792" s="34"/>
      <c r="BU792" s="34"/>
      <c r="BV792" s="34"/>
      <c r="BW792" s="34"/>
      <c r="BX792" s="34"/>
      <c r="BY792" s="34"/>
    </row>
    <row r="793" spans="1:77" x14ac:dyDescent="0.3">
      <c r="A793" s="39"/>
      <c r="B793" s="42"/>
      <c r="C793" s="42"/>
      <c r="D793" s="75"/>
      <c r="E793" s="75"/>
      <c r="F793" s="76"/>
      <c r="G793" s="47"/>
      <c r="H793" s="47"/>
      <c r="I793" s="75"/>
      <c r="J793" s="76"/>
      <c r="K793" s="76"/>
      <c r="L793" s="75"/>
      <c r="M793" s="49"/>
      <c r="N793" s="76"/>
      <c r="O793" s="49"/>
      <c r="P793" s="77"/>
      <c r="Q793" s="53"/>
      <c r="R793" s="54"/>
      <c r="S793" s="55"/>
      <c r="T793" s="56"/>
      <c r="U793" s="56"/>
      <c r="V793" s="42"/>
      <c r="W793" s="57"/>
      <c r="X793" s="58"/>
      <c r="Y793" s="75"/>
      <c r="Z793" s="59"/>
      <c r="AA793" s="61"/>
      <c r="AB793" s="61"/>
      <c r="AC793" s="61"/>
      <c r="AD793" s="62"/>
      <c r="AE793" s="62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34"/>
      <c r="AR793" s="34"/>
      <c r="AS793" s="34"/>
      <c r="AT793" s="34"/>
      <c r="AU793" s="34"/>
      <c r="AV793" s="34"/>
      <c r="AW793" s="34"/>
      <c r="AX793" s="34"/>
      <c r="AY793" s="34"/>
      <c r="AZ793" s="34"/>
      <c r="BA793" s="34"/>
      <c r="BB793" s="34"/>
      <c r="BD793" s="34"/>
      <c r="BE793" s="34"/>
      <c r="BF793" s="34"/>
      <c r="BG793" s="34"/>
      <c r="BH793" s="34"/>
      <c r="BI793" s="34"/>
      <c r="BJ793" s="34"/>
      <c r="BK793" s="34"/>
      <c r="BL793" s="34"/>
      <c r="BM793" s="34"/>
      <c r="BN793" s="34"/>
      <c r="BO793" s="34"/>
      <c r="BP793" s="34"/>
      <c r="BQ793" s="34"/>
      <c r="BR793" s="34"/>
      <c r="BS793" s="34"/>
      <c r="BT793" s="34"/>
      <c r="BU793" s="34"/>
      <c r="BV793" s="34"/>
      <c r="BW793" s="34"/>
      <c r="BX793" s="34"/>
      <c r="BY793" s="34"/>
    </row>
    <row r="794" spans="1:77" x14ac:dyDescent="0.3">
      <c r="A794" s="39"/>
      <c r="B794" s="42"/>
      <c r="C794" s="42"/>
      <c r="D794" s="75"/>
      <c r="E794" s="75"/>
      <c r="F794" s="76"/>
      <c r="G794" s="47"/>
      <c r="H794" s="47"/>
      <c r="I794" s="75"/>
      <c r="J794" s="76"/>
      <c r="K794" s="76"/>
      <c r="L794" s="75"/>
      <c r="M794" s="49"/>
      <c r="N794" s="76"/>
      <c r="O794" s="49"/>
      <c r="P794" s="77"/>
      <c r="Q794" s="53"/>
      <c r="R794" s="54"/>
      <c r="S794" s="55"/>
      <c r="T794" s="56"/>
      <c r="U794" s="56"/>
      <c r="V794" s="42"/>
      <c r="W794" s="57"/>
      <c r="X794" s="58"/>
      <c r="Y794" s="75"/>
      <c r="Z794" s="59"/>
      <c r="AA794" s="61"/>
      <c r="AB794" s="61"/>
      <c r="AC794" s="61"/>
      <c r="AD794" s="62"/>
      <c r="AE794" s="62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34"/>
      <c r="AR794" s="34"/>
      <c r="AS794" s="34"/>
      <c r="AT794" s="34"/>
      <c r="AU794" s="34"/>
      <c r="AV794" s="34"/>
      <c r="AW794" s="34"/>
      <c r="AX794" s="34"/>
      <c r="AY794" s="34"/>
      <c r="AZ794" s="34"/>
      <c r="BA794" s="34"/>
      <c r="BB794" s="34"/>
      <c r="BD794" s="34"/>
      <c r="BE794" s="34"/>
      <c r="BF794" s="34"/>
      <c r="BG794" s="34"/>
      <c r="BH794" s="34"/>
      <c r="BI794" s="34"/>
      <c r="BJ794" s="34"/>
      <c r="BK794" s="34"/>
      <c r="BL794" s="34"/>
      <c r="BM794" s="34"/>
      <c r="BN794" s="34"/>
      <c r="BO794" s="34"/>
      <c r="BP794" s="34"/>
      <c r="BQ794" s="34"/>
      <c r="BR794" s="34"/>
      <c r="BS794" s="34"/>
      <c r="BT794" s="34"/>
      <c r="BU794" s="34"/>
      <c r="BV794" s="34"/>
      <c r="BW794" s="34"/>
      <c r="BX794" s="34"/>
      <c r="BY794" s="34"/>
    </row>
    <row r="795" spans="1:77" x14ac:dyDescent="0.3">
      <c r="A795" s="39"/>
      <c r="B795" s="42"/>
      <c r="C795" s="42"/>
      <c r="D795" s="75"/>
      <c r="E795" s="75"/>
      <c r="F795" s="76"/>
      <c r="G795" s="47"/>
      <c r="H795" s="47"/>
      <c r="I795" s="75"/>
      <c r="J795" s="76"/>
      <c r="K795" s="76"/>
      <c r="L795" s="75"/>
      <c r="M795" s="49"/>
      <c r="N795" s="76"/>
      <c r="O795" s="49"/>
      <c r="P795" s="77"/>
      <c r="Q795" s="53"/>
      <c r="R795" s="54"/>
      <c r="S795" s="55"/>
      <c r="T795" s="56"/>
      <c r="U795" s="56"/>
      <c r="V795" s="42"/>
      <c r="W795" s="57"/>
      <c r="X795" s="58"/>
      <c r="Y795" s="75"/>
      <c r="Z795" s="59"/>
      <c r="AA795" s="61"/>
      <c r="AB795" s="61"/>
      <c r="AC795" s="61"/>
      <c r="AD795" s="62"/>
      <c r="AE795" s="62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34"/>
      <c r="AR795" s="34"/>
      <c r="AS795" s="34"/>
      <c r="AT795" s="34"/>
      <c r="AU795" s="34"/>
      <c r="AV795" s="34"/>
      <c r="AW795" s="34"/>
      <c r="AX795" s="34"/>
      <c r="AY795" s="34"/>
      <c r="AZ795" s="34"/>
      <c r="BA795" s="34"/>
      <c r="BB795" s="34"/>
      <c r="BD795" s="34"/>
      <c r="BE795" s="34"/>
      <c r="BF795" s="34"/>
      <c r="BG795" s="34"/>
      <c r="BH795" s="34"/>
      <c r="BI795" s="34"/>
      <c r="BJ795" s="34"/>
      <c r="BK795" s="34"/>
      <c r="BL795" s="34"/>
      <c r="BM795" s="34"/>
      <c r="BN795" s="34"/>
      <c r="BO795" s="34"/>
      <c r="BP795" s="34"/>
      <c r="BQ795" s="34"/>
      <c r="BR795" s="34"/>
      <c r="BS795" s="34"/>
      <c r="BT795" s="34"/>
      <c r="BU795" s="34"/>
      <c r="BV795" s="34"/>
      <c r="BW795" s="34"/>
      <c r="BX795" s="34"/>
      <c r="BY795" s="34"/>
    </row>
    <row r="796" spans="1:77" x14ac:dyDescent="0.3">
      <c r="A796" s="39"/>
      <c r="B796" s="42"/>
      <c r="C796" s="42"/>
      <c r="D796" s="75"/>
      <c r="E796" s="75"/>
      <c r="F796" s="76"/>
      <c r="G796" s="47"/>
      <c r="H796" s="47"/>
      <c r="I796" s="75"/>
      <c r="J796" s="76"/>
      <c r="K796" s="76"/>
      <c r="L796" s="75"/>
      <c r="M796" s="49"/>
      <c r="N796" s="76"/>
      <c r="O796" s="49"/>
      <c r="P796" s="77"/>
      <c r="Q796" s="53"/>
      <c r="R796" s="54"/>
      <c r="S796" s="55"/>
      <c r="T796" s="56"/>
      <c r="U796" s="56"/>
      <c r="V796" s="42"/>
      <c r="W796" s="57"/>
      <c r="X796" s="58"/>
      <c r="Y796" s="75"/>
      <c r="Z796" s="59"/>
      <c r="AA796" s="61"/>
      <c r="AB796" s="61"/>
      <c r="AC796" s="61"/>
      <c r="AD796" s="62"/>
      <c r="AE796" s="62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  <c r="AR796" s="34"/>
      <c r="AS796" s="34"/>
      <c r="AT796" s="34"/>
      <c r="AU796" s="34"/>
      <c r="AV796" s="34"/>
      <c r="AW796" s="34"/>
      <c r="AX796" s="34"/>
      <c r="AY796" s="34"/>
      <c r="AZ796" s="34"/>
      <c r="BA796" s="34"/>
      <c r="BB796" s="34"/>
      <c r="BD796" s="34"/>
      <c r="BE796" s="34"/>
      <c r="BF796" s="34"/>
      <c r="BG796" s="34"/>
      <c r="BH796" s="34"/>
      <c r="BI796" s="34"/>
      <c r="BJ796" s="34"/>
      <c r="BK796" s="34"/>
      <c r="BL796" s="34"/>
      <c r="BM796" s="34"/>
      <c r="BN796" s="34"/>
      <c r="BO796" s="34"/>
      <c r="BP796" s="34"/>
      <c r="BQ796" s="34"/>
      <c r="BR796" s="34"/>
      <c r="BS796" s="34"/>
      <c r="BT796" s="34"/>
      <c r="BU796" s="34"/>
      <c r="BV796" s="34"/>
      <c r="BW796" s="34"/>
      <c r="BX796" s="34"/>
      <c r="BY796" s="34"/>
    </row>
    <row r="797" spans="1:77" x14ac:dyDescent="0.3">
      <c r="A797" s="39"/>
      <c r="B797" s="42"/>
      <c r="C797" s="42"/>
      <c r="D797" s="75"/>
      <c r="E797" s="75"/>
      <c r="F797" s="76"/>
      <c r="G797" s="47"/>
      <c r="H797" s="47"/>
      <c r="I797" s="75"/>
      <c r="J797" s="76"/>
      <c r="K797" s="76"/>
      <c r="L797" s="75"/>
      <c r="M797" s="49"/>
      <c r="N797" s="76"/>
      <c r="O797" s="49"/>
      <c r="P797" s="77"/>
      <c r="Q797" s="53"/>
      <c r="R797" s="54"/>
      <c r="S797" s="55"/>
      <c r="T797" s="56"/>
      <c r="U797" s="56"/>
      <c r="V797" s="42"/>
      <c r="W797" s="57"/>
      <c r="X797" s="58"/>
      <c r="Y797" s="75"/>
      <c r="Z797" s="59"/>
      <c r="AA797" s="61"/>
      <c r="AB797" s="61"/>
      <c r="AC797" s="61"/>
      <c r="AD797" s="62"/>
      <c r="AE797" s="62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34"/>
      <c r="AR797" s="34"/>
      <c r="AS797" s="34"/>
      <c r="AT797" s="34"/>
      <c r="AU797" s="34"/>
      <c r="AV797" s="34"/>
      <c r="AW797" s="34"/>
      <c r="AX797" s="34"/>
      <c r="AY797" s="34"/>
      <c r="AZ797" s="34"/>
      <c r="BA797" s="34"/>
      <c r="BB797" s="34"/>
      <c r="BD797" s="34"/>
      <c r="BE797" s="34"/>
      <c r="BF797" s="34"/>
      <c r="BG797" s="34"/>
      <c r="BH797" s="34"/>
      <c r="BI797" s="34"/>
      <c r="BJ797" s="34"/>
      <c r="BK797" s="34"/>
      <c r="BL797" s="34"/>
      <c r="BM797" s="34"/>
      <c r="BN797" s="34"/>
      <c r="BO797" s="34"/>
      <c r="BP797" s="34"/>
      <c r="BQ797" s="34"/>
      <c r="BR797" s="34"/>
      <c r="BS797" s="34"/>
      <c r="BT797" s="34"/>
      <c r="BU797" s="34"/>
      <c r="BV797" s="34"/>
      <c r="BW797" s="34"/>
      <c r="BX797" s="34"/>
      <c r="BY797" s="34"/>
    </row>
    <row r="798" spans="1:77" x14ac:dyDescent="0.3">
      <c r="A798" s="39"/>
      <c r="B798" s="42"/>
      <c r="C798" s="42"/>
      <c r="D798" s="75"/>
      <c r="E798" s="75"/>
      <c r="F798" s="76"/>
      <c r="G798" s="47"/>
      <c r="H798" s="47"/>
      <c r="I798" s="75"/>
      <c r="J798" s="76"/>
      <c r="K798" s="76"/>
      <c r="L798" s="75"/>
      <c r="M798" s="49"/>
      <c r="N798" s="76"/>
      <c r="O798" s="49"/>
      <c r="P798" s="77"/>
      <c r="Q798" s="53"/>
      <c r="R798" s="54"/>
      <c r="S798" s="55"/>
      <c r="T798" s="56"/>
      <c r="U798" s="56"/>
      <c r="V798" s="42"/>
      <c r="W798" s="57"/>
      <c r="X798" s="58"/>
      <c r="Y798" s="75"/>
      <c r="Z798" s="59"/>
      <c r="AA798" s="61"/>
      <c r="AB798" s="61"/>
      <c r="AC798" s="61"/>
      <c r="AD798" s="62"/>
      <c r="AE798" s="62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34"/>
      <c r="AR798" s="34"/>
      <c r="AS798" s="34"/>
      <c r="AT798" s="34"/>
      <c r="AU798" s="34"/>
      <c r="AV798" s="34"/>
      <c r="AW798" s="34"/>
      <c r="AX798" s="34"/>
      <c r="AY798" s="34"/>
      <c r="AZ798" s="34"/>
      <c r="BA798" s="34"/>
      <c r="BB798" s="34"/>
      <c r="BD798" s="34"/>
      <c r="BE798" s="34"/>
      <c r="BF798" s="34"/>
      <c r="BG798" s="34"/>
      <c r="BH798" s="34"/>
      <c r="BI798" s="34"/>
      <c r="BJ798" s="34"/>
      <c r="BK798" s="34"/>
      <c r="BL798" s="34"/>
      <c r="BM798" s="34"/>
      <c r="BN798" s="34"/>
      <c r="BO798" s="34"/>
      <c r="BP798" s="34"/>
      <c r="BQ798" s="34"/>
      <c r="BR798" s="34"/>
      <c r="BS798" s="34"/>
      <c r="BT798" s="34"/>
      <c r="BU798" s="34"/>
      <c r="BV798" s="34"/>
      <c r="BW798" s="34"/>
      <c r="BX798" s="34"/>
      <c r="BY798" s="34"/>
    </row>
    <row r="799" spans="1:77" x14ac:dyDescent="0.3">
      <c r="A799" s="39"/>
      <c r="B799" s="42"/>
      <c r="C799" s="42"/>
      <c r="D799" s="75"/>
      <c r="E799" s="75"/>
      <c r="F799" s="76"/>
      <c r="G799" s="47"/>
      <c r="H799" s="47"/>
      <c r="I799" s="75"/>
      <c r="J799" s="76"/>
      <c r="K799" s="76"/>
      <c r="L799" s="75"/>
      <c r="M799" s="49"/>
      <c r="N799" s="76"/>
      <c r="O799" s="49"/>
      <c r="P799" s="77"/>
      <c r="Q799" s="53"/>
      <c r="R799" s="54"/>
      <c r="S799" s="55"/>
      <c r="T799" s="56"/>
      <c r="U799" s="56"/>
      <c r="V799" s="42"/>
      <c r="W799" s="57"/>
      <c r="X799" s="58"/>
      <c r="Y799" s="75"/>
      <c r="Z799" s="59"/>
      <c r="AA799" s="61"/>
      <c r="AB799" s="61"/>
      <c r="AC799" s="61"/>
      <c r="AD799" s="62"/>
      <c r="AE799" s="62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  <c r="AZ799" s="34"/>
      <c r="BA799" s="34"/>
      <c r="BB799" s="34"/>
      <c r="BD799" s="34"/>
      <c r="BE799" s="34"/>
      <c r="BF799" s="34"/>
      <c r="BG799" s="34"/>
      <c r="BH799" s="34"/>
      <c r="BI799" s="34"/>
      <c r="BJ799" s="34"/>
      <c r="BK799" s="34"/>
      <c r="BL799" s="34"/>
      <c r="BM799" s="34"/>
      <c r="BN799" s="34"/>
      <c r="BO799" s="34"/>
      <c r="BP799" s="34"/>
      <c r="BQ799" s="34"/>
      <c r="BR799" s="34"/>
      <c r="BS799" s="34"/>
      <c r="BT799" s="34"/>
      <c r="BU799" s="34"/>
      <c r="BV799" s="34"/>
      <c r="BW799" s="34"/>
      <c r="BX799" s="34"/>
      <c r="BY799" s="34"/>
    </row>
    <row r="800" spans="1:77" x14ac:dyDescent="0.3">
      <c r="A800" s="39"/>
      <c r="B800" s="42"/>
      <c r="C800" s="42"/>
      <c r="D800" s="75"/>
      <c r="E800" s="75"/>
      <c r="F800" s="76"/>
      <c r="G800" s="47"/>
      <c r="H800" s="47"/>
      <c r="I800" s="75"/>
      <c r="J800" s="76"/>
      <c r="K800" s="76"/>
      <c r="L800" s="75"/>
      <c r="M800" s="49"/>
      <c r="N800" s="76"/>
      <c r="O800" s="49"/>
      <c r="P800" s="77"/>
      <c r="Q800" s="53"/>
      <c r="R800" s="54"/>
      <c r="S800" s="55"/>
      <c r="T800" s="56"/>
      <c r="U800" s="56"/>
      <c r="V800" s="42"/>
      <c r="W800" s="57"/>
      <c r="X800" s="58"/>
      <c r="Y800" s="75"/>
      <c r="Z800" s="59"/>
      <c r="AA800" s="61"/>
      <c r="AB800" s="61"/>
      <c r="AC800" s="61"/>
      <c r="AD800" s="62"/>
      <c r="AE800" s="62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34"/>
      <c r="AR800" s="34"/>
      <c r="AS800" s="34"/>
      <c r="AT800" s="34"/>
      <c r="AU800" s="34"/>
      <c r="AV800" s="34"/>
      <c r="AW800" s="34"/>
      <c r="AX800" s="34"/>
      <c r="AY800" s="34"/>
      <c r="AZ800" s="34"/>
      <c r="BA800" s="34"/>
      <c r="BB800" s="34"/>
      <c r="BD800" s="34"/>
      <c r="BE800" s="34"/>
      <c r="BF800" s="34"/>
      <c r="BG800" s="34"/>
      <c r="BH800" s="34"/>
      <c r="BI800" s="34"/>
      <c r="BJ800" s="34"/>
      <c r="BK800" s="34"/>
      <c r="BL800" s="34"/>
      <c r="BM800" s="34"/>
      <c r="BN800" s="34"/>
      <c r="BO800" s="34"/>
      <c r="BP800" s="34"/>
      <c r="BQ800" s="34"/>
      <c r="BR800" s="34"/>
      <c r="BS800" s="34"/>
      <c r="BT800" s="34"/>
      <c r="BU800" s="34"/>
      <c r="BV800" s="34"/>
      <c r="BW800" s="34"/>
      <c r="BX800" s="34"/>
      <c r="BY800" s="34"/>
    </row>
    <row r="801" spans="1:77" x14ac:dyDescent="0.3">
      <c r="A801" s="39"/>
      <c r="B801" s="42"/>
      <c r="C801" s="42"/>
      <c r="D801" s="75"/>
      <c r="E801" s="75"/>
      <c r="F801" s="76"/>
      <c r="G801" s="47"/>
      <c r="H801" s="47"/>
      <c r="I801" s="75"/>
      <c r="J801" s="76"/>
      <c r="K801" s="76"/>
      <c r="L801" s="75"/>
      <c r="M801" s="49"/>
      <c r="N801" s="76"/>
      <c r="O801" s="49"/>
      <c r="P801" s="77"/>
      <c r="Q801" s="53"/>
      <c r="R801" s="54"/>
      <c r="S801" s="55"/>
      <c r="T801" s="56"/>
      <c r="U801" s="56"/>
      <c r="V801" s="42"/>
      <c r="W801" s="57"/>
      <c r="X801" s="58"/>
      <c r="Y801" s="75"/>
      <c r="Z801" s="59"/>
      <c r="AA801" s="61"/>
      <c r="AB801" s="61"/>
      <c r="AC801" s="61"/>
      <c r="AD801" s="62"/>
      <c r="AE801" s="62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  <c r="AQ801" s="34"/>
      <c r="AR801" s="34"/>
      <c r="AS801" s="34"/>
      <c r="AT801" s="34"/>
      <c r="AU801" s="34"/>
      <c r="AV801" s="34"/>
      <c r="AW801" s="34"/>
      <c r="AX801" s="34"/>
      <c r="AY801" s="34"/>
      <c r="AZ801" s="34"/>
      <c r="BA801" s="34"/>
      <c r="BB801" s="34"/>
      <c r="BD801" s="34"/>
      <c r="BE801" s="34"/>
      <c r="BF801" s="34"/>
      <c r="BG801" s="34"/>
      <c r="BH801" s="34"/>
      <c r="BI801" s="34"/>
      <c r="BJ801" s="34"/>
      <c r="BK801" s="34"/>
      <c r="BL801" s="34"/>
      <c r="BM801" s="34"/>
      <c r="BN801" s="34"/>
      <c r="BO801" s="34"/>
      <c r="BP801" s="34"/>
      <c r="BQ801" s="34"/>
      <c r="BR801" s="34"/>
      <c r="BS801" s="34"/>
      <c r="BT801" s="34"/>
      <c r="BU801" s="34"/>
      <c r="BV801" s="34"/>
      <c r="BW801" s="34"/>
      <c r="BX801" s="34"/>
      <c r="BY801" s="34"/>
    </row>
    <row r="802" spans="1:77" x14ac:dyDescent="0.3">
      <c r="A802" s="39"/>
      <c r="B802" s="42"/>
      <c r="C802" s="42"/>
      <c r="D802" s="75"/>
      <c r="E802" s="75"/>
      <c r="F802" s="76"/>
      <c r="G802" s="47"/>
      <c r="H802" s="47"/>
      <c r="I802" s="75"/>
      <c r="J802" s="76"/>
      <c r="K802" s="76"/>
      <c r="L802" s="75"/>
      <c r="M802" s="49"/>
      <c r="N802" s="76"/>
      <c r="O802" s="49"/>
      <c r="P802" s="77"/>
      <c r="Q802" s="53"/>
      <c r="R802" s="54"/>
      <c r="S802" s="55"/>
      <c r="T802" s="56"/>
      <c r="U802" s="56"/>
      <c r="V802" s="42"/>
      <c r="W802" s="57"/>
      <c r="X802" s="58"/>
      <c r="Y802" s="75"/>
      <c r="Z802" s="59"/>
      <c r="AA802" s="61"/>
      <c r="AB802" s="61"/>
      <c r="AC802" s="61"/>
      <c r="AD802" s="62"/>
      <c r="AE802" s="62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34"/>
      <c r="AR802" s="34"/>
      <c r="AS802" s="34"/>
      <c r="AT802" s="34"/>
      <c r="AU802" s="34"/>
      <c r="AV802" s="34"/>
      <c r="AW802" s="34"/>
      <c r="AX802" s="34"/>
      <c r="AY802" s="34"/>
      <c r="AZ802" s="34"/>
      <c r="BA802" s="34"/>
      <c r="BB802" s="34"/>
      <c r="BD802" s="34"/>
      <c r="BE802" s="34"/>
      <c r="BF802" s="34"/>
      <c r="BG802" s="34"/>
      <c r="BH802" s="34"/>
      <c r="BI802" s="34"/>
      <c r="BJ802" s="34"/>
      <c r="BK802" s="34"/>
      <c r="BL802" s="34"/>
      <c r="BM802" s="34"/>
      <c r="BN802" s="34"/>
      <c r="BO802" s="34"/>
      <c r="BP802" s="34"/>
      <c r="BQ802" s="34"/>
      <c r="BR802" s="34"/>
      <c r="BS802" s="34"/>
      <c r="BT802" s="34"/>
      <c r="BU802" s="34"/>
      <c r="BV802" s="34"/>
      <c r="BW802" s="34"/>
      <c r="BX802" s="34"/>
      <c r="BY802" s="34"/>
    </row>
    <row r="803" spans="1:77" x14ac:dyDescent="0.3">
      <c r="A803" s="39"/>
      <c r="B803" s="42"/>
      <c r="C803" s="42"/>
      <c r="D803" s="75"/>
      <c r="E803" s="75"/>
      <c r="F803" s="76"/>
      <c r="G803" s="47"/>
      <c r="H803" s="47"/>
      <c r="I803" s="75"/>
      <c r="J803" s="76"/>
      <c r="K803" s="76"/>
      <c r="L803" s="75"/>
      <c r="M803" s="49"/>
      <c r="N803" s="76"/>
      <c r="O803" s="49"/>
      <c r="P803" s="77"/>
      <c r="Q803" s="53"/>
      <c r="R803" s="54"/>
      <c r="S803" s="55"/>
      <c r="T803" s="56"/>
      <c r="U803" s="56"/>
      <c r="V803" s="42"/>
      <c r="W803" s="57"/>
      <c r="X803" s="58"/>
      <c r="Y803" s="75"/>
      <c r="Z803" s="59"/>
      <c r="AA803" s="61"/>
      <c r="AB803" s="61"/>
      <c r="AC803" s="61"/>
      <c r="AD803" s="62"/>
      <c r="AE803" s="62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34"/>
      <c r="AR803" s="34"/>
      <c r="AS803" s="34"/>
      <c r="AT803" s="34"/>
      <c r="AU803" s="34"/>
      <c r="AV803" s="34"/>
      <c r="AW803" s="34"/>
      <c r="AX803" s="34"/>
      <c r="AY803" s="34"/>
      <c r="AZ803" s="34"/>
      <c r="BA803" s="34"/>
      <c r="BB803" s="34"/>
      <c r="BD803" s="34"/>
      <c r="BE803" s="34"/>
      <c r="BF803" s="34"/>
      <c r="BG803" s="34"/>
      <c r="BH803" s="34"/>
      <c r="BI803" s="34"/>
      <c r="BJ803" s="34"/>
      <c r="BK803" s="34"/>
      <c r="BL803" s="34"/>
      <c r="BM803" s="34"/>
      <c r="BN803" s="34"/>
      <c r="BO803" s="34"/>
      <c r="BP803" s="34"/>
      <c r="BQ803" s="34"/>
      <c r="BR803" s="34"/>
      <c r="BS803" s="34"/>
      <c r="BT803" s="34"/>
      <c r="BU803" s="34"/>
      <c r="BV803" s="34"/>
      <c r="BW803" s="34"/>
      <c r="BX803" s="34"/>
      <c r="BY803" s="34"/>
    </row>
    <row r="804" spans="1:77" x14ac:dyDescent="0.3">
      <c r="A804" s="39"/>
      <c r="B804" s="42"/>
      <c r="C804" s="42"/>
      <c r="D804" s="75"/>
      <c r="E804" s="75"/>
      <c r="F804" s="76"/>
      <c r="G804" s="47"/>
      <c r="H804" s="47"/>
      <c r="I804" s="75"/>
      <c r="J804" s="76"/>
      <c r="K804" s="76"/>
      <c r="L804" s="75"/>
      <c r="M804" s="49"/>
      <c r="N804" s="76"/>
      <c r="O804" s="49"/>
      <c r="P804" s="77"/>
      <c r="Q804" s="53"/>
      <c r="R804" s="54"/>
      <c r="S804" s="55"/>
      <c r="T804" s="56"/>
      <c r="U804" s="56"/>
      <c r="V804" s="42"/>
      <c r="W804" s="57"/>
      <c r="X804" s="58"/>
      <c r="Y804" s="75"/>
      <c r="Z804" s="59"/>
      <c r="AA804" s="61"/>
      <c r="AB804" s="61"/>
      <c r="AC804" s="61"/>
      <c r="AD804" s="62"/>
      <c r="AE804" s="62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34"/>
      <c r="AR804" s="34"/>
      <c r="AS804" s="34"/>
      <c r="AT804" s="34"/>
      <c r="AU804" s="34"/>
      <c r="AV804" s="34"/>
      <c r="AW804" s="34"/>
      <c r="AX804" s="34"/>
      <c r="AY804" s="34"/>
      <c r="AZ804" s="34"/>
      <c r="BA804" s="34"/>
      <c r="BB804" s="34"/>
      <c r="BD804" s="34"/>
      <c r="BE804" s="34"/>
      <c r="BF804" s="34"/>
      <c r="BG804" s="34"/>
      <c r="BH804" s="34"/>
      <c r="BI804" s="34"/>
      <c r="BJ804" s="34"/>
      <c r="BK804" s="34"/>
      <c r="BL804" s="34"/>
      <c r="BM804" s="34"/>
      <c r="BN804" s="34"/>
      <c r="BO804" s="34"/>
      <c r="BP804" s="34"/>
      <c r="BQ804" s="34"/>
      <c r="BR804" s="34"/>
      <c r="BS804" s="34"/>
      <c r="BT804" s="34"/>
      <c r="BU804" s="34"/>
      <c r="BV804" s="34"/>
      <c r="BW804" s="34"/>
      <c r="BX804" s="34"/>
      <c r="BY804" s="34"/>
    </row>
    <row r="805" spans="1:77" x14ac:dyDescent="0.3">
      <c r="A805" s="39"/>
      <c r="B805" s="42"/>
      <c r="C805" s="42"/>
      <c r="D805" s="75"/>
      <c r="E805" s="75"/>
      <c r="F805" s="76"/>
      <c r="G805" s="47"/>
      <c r="H805" s="47"/>
      <c r="I805" s="75"/>
      <c r="J805" s="76"/>
      <c r="K805" s="76"/>
      <c r="L805" s="75"/>
      <c r="M805" s="49"/>
      <c r="N805" s="76"/>
      <c r="O805" s="49"/>
      <c r="P805" s="77"/>
      <c r="Q805" s="53"/>
      <c r="R805" s="54"/>
      <c r="S805" s="55"/>
      <c r="T805" s="56"/>
      <c r="U805" s="56"/>
      <c r="V805" s="42"/>
      <c r="W805" s="57"/>
      <c r="X805" s="58"/>
      <c r="Y805" s="75"/>
      <c r="Z805" s="59"/>
      <c r="AA805" s="61"/>
      <c r="AB805" s="61"/>
      <c r="AC805" s="61"/>
      <c r="AD805" s="62"/>
      <c r="AE805" s="62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34"/>
      <c r="AR805" s="34"/>
      <c r="AS805" s="34"/>
      <c r="AT805" s="34"/>
      <c r="AU805" s="34"/>
      <c r="AV805" s="34"/>
      <c r="AW805" s="34"/>
      <c r="AX805" s="34"/>
      <c r="AY805" s="34"/>
      <c r="AZ805" s="34"/>
      <c r="BA805" s="34"/>
      <c r="BB805" s="34"/>
      <c r="BD805" s="34"/>
      <c r="BE805" s="34"/>
      <c r="BF805" s="34"/>
      <c r="BG805" s="34"/>
      <c r="BH805" s="34"/>
      <c r="BI805" s="34"/>
      <c r="BJ805" s="34"/>
      <c r="BK805" s="34"/>
      <c r="BL805" s="34"/>
      <c r="BM805" s="34"/>
      <c r="BN805" s="34"/>
      <c r="BO805" s="34"/>
      <c r="BP805" s="34"/>
      <c r="BQ805" s="34"/>
      <c r="BR805" s="34"/>
      <c r="BS805" s="34"/>
      <c r="BT805" s="34"/>
      <c r="BU805" s="34"/>
      <c r="BV805" s="34"/>
      <c r="BW805" s="34"/>
      <c r="BX805" s="34"/>
      <c r="BY805" s="34"/>
    </row>
    <row r="806" spans="1:77" x14ac:dyDescent="0.3">
      <c r="A806" s="39"/>
      <c r="B806" s="42"/>
      <c r="C806" s="42"/>
      <c r="D806" s="75"/>
      <c r="E806" s="75"/>
      <c r="F806" s="76"/>
      <c r="G806" s="47"/>
      <c r="H806" s="47"/>
      <c r="I806" s="75"/>
      <c r="J806" s="76"/>
      <c r="K806" s="76"/>
      <c r="L806" s="75"/>
      <c r="M806" s="49"/>
      <c r="N806" s="76"/>
      <c r="O806" s="49"/>
      <c r="P806" s="77"/>
      <c r="Q806" s="53"/>
      <c r="R806" s="54"/>
      <c r="S806" s="55"/>
      <c r="T806" s="56"/>
      <c r="U806" s="56"/>
      <c r="V806" s="42"/>
      <c r="W806" s="57"/>
      <c r="X806" s="58"/>
      <c r="Y806" s="75"/>
      <c r="Z806" s="59"/>
      <c r="AA806" s="61"/>
      <c r="AB806" s="61"/>
      <c r="AC806" s="61"/>
      <c r="AD806" s="62"/>
      <c r="AE806" s="62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34"/>
      <c r="AR806" s="34"/>
      <c r="AS806" s="34"/>
      <c r="AT806" s="34"/>
      <c r="AU806" s="34"/>
      <c r="AV806" s="34"/>
      <c r="AW806" s="34"/>
      <c r="AX806" s="34"/>
      <c r="AY806" s="34"/>
      <c r="AZ806" s="34"/>
      <c r="BA806" s="34"/>
      <c r="BB806" s="34"/>
      <c r="BD806" s="34"/>
      <c r="BE806" s="34"/>
      <c r="BF806" s="34"/>
      <c r="BG806" s="34"/>
      <c r="BH806" s="34"/>
      <c r="BI806" s="34"/>
      <c r="BJ806" s="34"/>
      <c r="BK806" s="34"/>
      <c r="BL806" s="34"/>
      <c r="BM806" s="34"/>
      <c r="BN806" s="34"/>
      <c r="BO806" s="34"/>
      <c r="BP806" s="34"/>
      <c r="BQ806" s="34"/>
      <c r="BR806" s="34"/>
      <c r="BS806" s="34"/>
      <c r="BT806" s="34"/>
      <c r="BU806" s="34"/>
      <c r="BV806" s="34"/>
      <c r="BW806" s="34"/>
      <c r="BX806" s="34"/>
      <c r="BY806" s="34"/>
    </row>
    <row r="807" spans="1:77" x14ac:dyDescent="0.3">
      <c r="A807" s="39"/>
      <c r="B807" s="42"/>
      <c r="C807" s="42"/>
      <c r="D807" s="75"/>
      <c r="E807" s="75"/>
      <c r="F807" s="76"/>
      <c r="G807" s="47"/>
      <c r="H807" s="47"/>
      <c r="I807" s="75"/>
      <c r="J807" s="76"/>
      <c r="K807" s="76"/>
      <c r="L807" s="75"/>
      <c r="M807" s="49"/>
      <c r="N807" s="76"/>
      <c r="O807" s="49"/>
      <c r="P807" s="77"/>
      <c r="Q807" s="53"/>
      <c r="R807" s="54"/>
      <c r="S807" s="55"/>
      <c r="T807" s="56"/>
      <c r="U807" s="56"/>
      <c r="V807" s="42"/>
      <c r="W807" s="57"/>
      <c r="X807" s="58"/>
      <c r="Y807" s="75"/>
      <c r="Z807" s="59"/>
      <c r="AA807" s="61"/>
      <c r="AB807" s="61"/>
      <c r="AC807" s="61"/>
      <c r="AD807" s="62"/>
      <c r="AE807" s="62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  <c r="AQ807" s="34"/>
      <c r="AR807" s="34"/>
      <c r="AS807" s="34"/>
      <c r="AT807" s="34"/>
      <c r="AU807" s="34"/>
      <c r="AV807" s="34"/>
      <c r="AW807" s="34"/>
      <c r="AX807" s="34"/>
      <c r="AY807" s="34"/>
      <c r="AZ807" s="34"/>
      <c r="BA807" s="34"/>
      <c r="BB807" s="34"/>
      <c r="BD807" s="34"/>
      <c r="BE807" s="34"/>
      <c r="BF807" s="34"/>
      <c r="BG807" s="34"/>
      <c r="BH807" s="34"/>
      <c r="BI807" s="34"/>
      <c r="BJ807" s="34"/>
      <c r="BK807" s="34"/>
      <c r="BL807" s="34"/>
      <c r="BM807" s="34"/>
      <c r="BN807" s="34"/>
      <c r="BO807" s="34"/>
      <c r="BP807" s="34"/>
      <c r="BQ807" s="34"/>
      <c r="BR807" s="34"/>
      <c r="BS807" s="34"/>
      <c r="BT807" s="34"/>
      <c r="BU807" s="34"/>
      <c r="BV807" s="34"/>
      <c r="BW807" s="34"/>
      <c r="BX807" s="34"/>
      <c r="BY807" s="34"/>
    </row>
    <row r="808" spans="1:77" x14ac:dyDescent="0.3">
      <c r="A808" s="39"/>
      <c r="B808" s="42"/>
      <c r="C808" s="42"/>
      <c r="D808" s="75"/>
      <c r="E808" s="75"/>
      <c r="F808" s="76"/>
      <c r="G808" s="47"/>
      <c r="H808" s="47"/>
      <c r="I808" s="75"/>
      <c r="J808" s="76"/>
      <c r="K808" s="76"/>
      <c r="L808" s="75"/>
      <c r="M808" s="49"/>
      <c r="N808" s="76"/>
      <c r="O808" s="49"/>
      <c r="P808" s="77"/>
      <c r="Q808" s="53"/>
      <c r="R808" s="54"/>
      <c r="S808" s="55"/>
      <c r="T808" s="56"/>
      <c r="U808" s="56"/>
      <c r="V808" s="42"/>
      <c r="W808" s="57"/>
      <c r="X808" s="58"/>
      <c r="Y808" s="75"/>
      <c r="Z808" s="59"/>
      <c r="AA808" s="61"/>
      <c r="AB808" s="61"/>
      <c r="AC808" s="61"/>
      <c r="AD808" s="62"/>
      <c r="AE808" s="62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  <c r="AQ808" s="34"/>
      <c r="AR808" s="34"/>
      <c r="AS808" s="34"/>
      <c r="AT808" s="34"/>
      <c r="AU808" s="34"/>
      <c r="AV808" s="34"/>
      <c r="AW808" s="34"/>
      <c r="AX808" s="34"/>
      <c r="AY808" s="34"/>
      <c r="AZ808" s="34"/>
      <c r="BA808" s="34"/>
      <c r="BB808" s="34"/>
      <c r="BD808" s="34"/>
      <c r="BE808" s="34"/>
      <c r="BF808" s="34"/>
      <c r="BG808" s="34"/>
      <c r="BH808" s="34"/>
      <c r="BI808" s="34"/>
      <c r="BJ808" s="34"/>
      <c r="BK808" s="34"/>
      <c r="BL808" s="34"/>
      <c r="BM808" s="34"/>
      <c r="BN808" s="34"/>
      <c r="BO808" s="34"/>
      <c r="BP808" s="34"/>
      <c r="BQ808" s="34"/>
      <c r="BR808" s="34"/>
      <c r="BS808" s="34"/>
      <c r="BT808" s="34"/>
      <c r="BU808" s="34"/>
      <c r="BV808" s="34"/>
      <c r="BW808" s="34"/>
      <c r="BX808" s="34"/>
      <c r="BY808" s="34"/>
    </row>
    <row r="809" spans="1:77" x14ac:dyDescent="0.3">
      <c r="A809" s="39"/>
      <c r="B809" s="42"/>
      <c r="C809" s="42"/>
      <c r="D809" s="75"/>
      <c r="E809" s="75"/>
      <c r="F809" s="76"/>
      <c r="G809" s="47"/>
      <c r="H809" s="47"/>
      <c r="I809" s="75"/>
      <c r="J809" s="76"/>
      <c r="K809" s="76"/>
      <c r="L809" s="75"/>
      <c r="M809" s="49"/>
      <c r="N809" s="76"/>
      <c r="O809" s="49"/>
      <c r="P809" s="77"/>
      <c r="Q809" s="53"/>
      <c r="R809" s="54"/>
      <c r="S809" s="55"/>
      <c r="T809" s="56"/>
      <c r="U809" s="56"/>
      <c r="V809" s="42"/>
      <c r="W809" s="57"/>
      <c r="X809" s="58"/>
      <c r="Y809" s="75"/>
      <c r="Z809" s="59"/>
      <c r="AA809" s="61"/>
      <c r="AB809" s="61"/>
      <c r="AC809" s="61"/>
      <c r="AD809" s="62"/>
      <c r="AE809" s="62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34"/>
      <c r="AR809" s="34"/>
      <c r="AS809" s="34"/>
      <c r="AT809" s="34"/>
      <c r="AU809" s="34"/>
      <c r="AV809" s="34"/>
      <c r="AW809" s="34"/>
      <c r="AX809" s="34"/>
      <c r="AY809" s="34"/>
      <c r="AZ809" s="34"/>
      <c r="BA809" s="34"/>
      <c r="BB809" s="34"/>
      <c r="BD809" s="34"/>
      <c r="BE809" s="34"/>
      <c r="BF809" s="34"/>
      <c r="BG809" s="34"/>
      <c r="BH809" s="34"/>
      <c r="BI809" s="34"/>
      <c r="BJ809" s="34"/>
      <c r="BK809" s="34"/>
      <c r="BL809" s="34"/>
      <c r="BM809" s="34"/>
      <c r="BN809" s="34"/>
      <c r="BO809" s="34"/>
      <c r="BP809" s="34"/>
      <c r="BQ809" s="34"/>
      <c r="BR809" s="34"/>
      <c r="BS809" s="34"/>
      <c r="BT809" s="34"/>
      <c r="BU809" s="34"/>
      <c r="BV809" s="34"/>
      <c r="BW809" s="34"/>
      <c r="BX809" s="34"/>
      <c r="BY809" s="34"/>
    </row>
    <row r="810" spans="1:77" x14ac:dyDescent="0.3">
      <c r="A810" s="39"/>
      <c r="B810" s="42"/>
      <c r="C810" s="42"/>
      <c r="D810" s="75"/>
      <c r="E810" s="75"/>
      <c r="F810" s="76"/>
      <c r="G810" s="47"/>
      <c r="H810" s="47"/>
      <c r="I810" s="75"/>
      <c r="J810" s="76"/>
      <c r="K810" s="76"/>
      <c r="L810" s="75"/>
      <c r="M810" s="49"/>
      <c r="N810" s="76"/>
      <c r="O810" s="49"/>
      <c r="P810" s="77"/>
      <c r="Q810" s="53"/>
      <c r="R810" s="54"/>
      <c r="S810" s="55"/>
      <c r="T810" s="56"/>
      <c r="U810" s="56"/>
      <c r="V810" s="42"/>
      <c r="W810" s="57"/>
      <c r="X810" s="58"/>
      <c r="Y810" s="75"/>
      <c r="Z810" s="59"/>
      <c r="AA810" s="61"/>
      <c r="AB810" s="61"/>
      <c r="AC810" s="61"/>
      <c r="AD810" s="62"/>
      <c r="AE810" s="62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34"/>
      <c r="AR810" s="34"/>
      <c r="AS810" s="34"/>
      <c r="AT810" s="34"/>
      <c r="AU810" s="34"/>
      <c r="AV810" s="34"/>
      <c r="AW810" s="34"/>
      <c r="AX810" s="34"/>
      <c r="AY810" s="34"/>
      <c r="AZ810" s="34"/>
      <c r="BA810" s="34"/>
      <c r="BB810" s="34"/>
      <c r="BD810" s="34"/>
      <c r="BE810" s="34"/>
      <c r="BF810" s="34"/>
      <c r="BG810" s="34"/>
      <c r="BH810" s="34"/>
      <c r="BI810" s="34"/>
      <c r="BJ810" s="34"/>
      <c r="BK810" s="34"/>
      <c r="BL810" s="34"/>
      <c r="BM810" s="34"/>
      <c r="BN810" s="34"/>
      <c r="BO810" s="34"/>
      <c r="BP810" s="34"/>
      <c r="BQ810" s="34"/>
      <c r="BR810" s="34"/>
      <c r="BS810" s="34"/>
      <c r="BT810" s="34"/>
      <c r="BU810" s="34"/>
      <c r="BV810" s="34"/>
      <c r="BW810" s="34"/>
      <c r="BX810" s="34"/>
      <c r="BY810" s="34"/>
    </row>
    <row r="811" spans="1:77" x14ac:dyDescent="0.3">
      <c r="A811" s="39"/>
      <c r="B811" s="42"/>
      <c r="C811" s="42"/>
      <c r="D811" s="75"/>
      <c r="E811" s="75"/>
      <c r="F811" s="76"/>
      <c r="G811" s="47"/>
      <c r="H811" s="47"/>
      <c r="I811" s="75"/>
      <c r="J811" s="76"/>
      <c r="K811" s="76"/>
      <c r="L811" s="75"/>
      <c r="M811" s="49"/>
      <c r="N811" s="76"/>
      <c r="O811" s="49"/>
      <c r="P811" s="77"/>
      <c r="Q811" s="53"/>
      <c r="R811" s="54"/>
      <c r="S811" s="55"/>
      <c r="T811" s="56"/>
      <c r="U811" s="56"/>
      <c r="V811" s="42"/>
      <c r="W811" s="57"/>
      <c r="X811" s="58"/>
      <c r="Y811" s="75"/>
      <c r="Z811" s="59"/>
      <c r="AA811" s="61"/>
      <c r="AB811" s="61"/>
      <c r="AC811" s="61"/>
      <c r="AD811" s="62"/>
      <c r="AE811" s="62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34"/>
      <c r="AR811" s="34"/>
      <c r="AS811" s="34"/>
      <c r="AT811" s="34"/>
      <c r="AU811" s="34"/>
      <c r="AV811" s="34"/>
      <c r="AW811" s="34"/>
      <c r="AX811" s="34"/>
      <c r="AY811" s="34"/>
      <c r="AZ811" s="34"/>
      <c r="BA811" s="34"/>
      <c r="BB811" s="34"/>
      <c r="BD811" s="34"/>
      <c r="BE811" s="34"/>
      <c r="BF811" s="34"/>
      <c r="BG811" s="34"/>
      <c r="BH811" s="34"/>
      <c r="BI811" s="34"/>
      <c r="BJ811" s="34"/>
      <c r="BK811" s="34"/>
      <c r="BL811" s="34"/>
      <c r="BM811" s="34"/>
      <c r="BN811" s="34"/>
      <c r="BO811" s="34"/>
      <c r="BP811" s="34"/>
      <c r="BQ811" s="34"/>
      <c r="BR811" s="34"/>
      <c r="BS811" s="34"/>
      <c r="BT811" s="34"/>
      <c r="BU811" s="34"/>
      <c r="BV811" s="34"/>
      <c r="BW811" s="34"/>
      <c r="BX811" s="34"/>
      <c r="BY811" s="34"/>
    </row>
    <row r="812" spans="1:77" x14ac:dyDescent="0.3">
      <c r="A812" s="39"/>
      <c r="B812" s="42"/>
      <c r="C812" s="42"/>
      <c r="D812" s="75"/>
      <c r="E812" s="75"/>
      <c r="F812" s="76"/>
      <c r="G812" s="47"/>
      <c r="H812" s="47"/>
      <c r="I812" s="75"/>
      <c r="J812" s="76"/>
      <c r="K812" s="76"/>
      <c r="L812" s="75"/>
      <c r="M812" s="49"/>
      <c r="N812" s="76"/>
      <c r="O812" s="49"/>
      <c r="P812" s="77"/>
      <c r="Q812" s="53"/>
      <c r="R812" s="54"/>
      <c r="S812" s="55"/>
      <c r="T812" s="56"/>
      <c r="U812" s="56"/>
      <c r="V812" s="42"/>
      <c r="W812" s="57"/>
      <c r="X812" s="58"/>
      <c r="Y812" s="75"/>
      <c r="Z812" s="59"/>
      <c r="AA812" s="61"/>
      <c r="AB812" s="61"/>
      <c r="AC812" s="61"/>
      <c r="AD812" s="62"/>
      <c r="AE812" s="62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/>
      <c r="AZ812" s="34"/>
      <c r="BA812" s="34"/>
      <c r="BB812" s="34"/>
      <c r="BD812" s="34"/>
      <c r="BE812" s="34"/>
      <c r="BF812" s="34"/>
      <c r="BG812" s="34"/>
      <c r="BH812" s="34"/>
      <c r="BI812" s="34"/>
      <c r="BJ812" s="34"/>
      <c r="BK812" s="34"/>
      <c r="BL812" s="34"/>
      <c r="BM812" s="34"/>
      <c r="BN812" s="34"/>
      <c r="BO812" s="34"/>
      <c r="BP812" s="34"/>
      <c r="BQ812" s="34"/>
      <c r="BR812" s="34"/>
      <c r="BS812" s="34"/>
      <c r="BT812" s="34"/>
      <c r="BU812" s="34"/>
      <c r="BV812" s="34"/>
      <c r="BW812" s="34"/>
      <c r="BX812" s="34"/>
      <c r="BY812" s="34"/>
    </row>
    <row r="813" spans="1:77" x14ac:dyDescent="0.3">
      <c r="A813" s="39"/>
      <c r="B813" s="42"/>
      <c r="C813" s="42"/>
      <c r="D813" s="75"/>
      <c r="E813" s="75"/>
      <c r="F813" s="76"/>
      <c r="G813" s="47"/>
      <c r="H813" s="47"/>
      <c r="I813" s="75"/>
      <c r="J813" s="76"/>
      <c r="K813" s="76"/>
      <c r="L813" s="75"/>
      <c r="M813" s="49"/>
      <c r="N813" s="76"/>
      <c r="O813" s="49"/>
      <c r="P813" s="77"/>
      <c r="Q813" s="53"/>
      <c r="R813" s="54"/>
      <c r="S813" s="55"/>
      <c r="T813" s="56"/>
      <c r="U813" s="56"/>
      <c r="V813" s="42"/>
      <c r="W813" s="57"/>
      <c r="X813" s="58"/>
      <c r="Y813" s="75"/>
      <c r="Z813" s="59"/>
      <c r="AA813" s="61"/>
      <c r="AB813" s="61"/>
      <c r="AC813" s="61"/>
      <c r="AD813" s="62"/>
      <c r="AE813" s="62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34"/>
      <c r="AR813" s="34"/>
      <c r="AS813" s="34"/>
      <c r="AT813" s="34"/>
      <c r="AU813" s="34"/>
      <c r="AV813" s="34"/>
      <c r="AW813" s="34"/>
      <c r="AX813" s="34"/>
      <c r="AY813" s="34"/>
      <c r="AZ813" s="34"/>
      <c r="BA813" s="34"/>
      <c r="BB813" s="34"/>
      <c r="BD813" s="34"/>
      <c r="BE813" s="34"/>
      <c r="BF813" s="34"/>
      <c r="BG813" s="34"/>
      <c r="BH813" s="34"/>
      <c r="BI813" s="34"/>
      <c r="BJ813" s="34"/>
      <c r="BK813" s="34"/>
      <c r="BL813" s="34"/>
      <c r="BM813" s="34"/>
      <c r="BN813" s="34"/>
      <c r="BO813" s="34"/>
      <c r="BP813" s="34"/>
      <c r="BQ813" s="34"/>
      <c r="BR813" s="34"/>
      <c r="BS813" s="34"/>
      <c r="BT813" s="34"/>
      <c r="BU813" s="34"/>
      <c r="BV813" s="34"/>
      <c r="BW813" s="34"/>
      <c r="BX813" s="34"/>
      <c r="BY813" s="34"/>
    </row>
    <row r="814" spans="1:77" x14ac:dyDescent="0.3">
      <c r="A814" s="39"/>
      <c r="B814" s="42"/>
      <c r="C814" s="42"/>
      <c r="D814" s="75"/>
      <c r="E814" s="75"/>
      <c r="F814" s="76"/>
      <c r="G814" s="47"/>
      <c r="H814" s="47"/>
      <c r="I814" s="75"/>
      <c r="J814" s="76"/>
      <c r="K814" s="76"/>
      <c r="L814" s="75"/>
      <c r="M814" s="49"/>
      <c r="N814" s="76"/>
      <c r="O814" s="49"/>
      <c r="P814" s="77"/>
      <c r="Q814" s="53"/>
      <c r="R814" s="54"/>
      <c r="S814" s="55"/>
      <c r="T814" s="56"/>
      <c r="U814" s="56"/>
      <c r="V814" s="42"/>
      <c r="W814" s="57"/>
      <c r="X814" s="58"/>
      <c r="Y814" s="75"/>
      <c r="Z814" s="59"/>
      <c r="AA814" s="61"/>
      <c r="AB814" s="61"/>
      <c r="AC814" s="61"/>
      <c r="AD814" s="62"/>
      <c r="AE814" s="62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34"/>
      <c r="AR814" s="34"/>
      <c r="AS814" s="34"/>
      <c r="AT814" s="34"/>
      <c r="AU814" s="34"/>
      <c r="AV814" s="34"/>
      <c r="AW814" s="34"/>
      <c r="AX814" s="34"/>
      <c r="AY814" s="34"/>
      <c r="AZ814" s="34"/>
      <c r="BA814" s="34"/>
      <c r="BB814" s="34"/>
      <c r="BD814" s="34"/>
      <c r="BE814" s="34"/>
      <c r="BF814" s="34"/>
      <c r="BG814" s="34"/>
      <c r="BH814" s="34"/>
      <c r="BI814" s="34"/>
      <c r="BJ814" s="34"/>
      <c r="BK814" s="34"/>
      <c r="BL814" s="34"/>
      <c r="BM814" s="34"/>
      <c r="BN814" s="34"/>
      <c r="BO814" s="34"/>
      <c r="BP814" s="34"/>
      <c r="BQ814" s="34"/>
      <c r="BR814" s="34"/>
      <c r="BS814" s="34"/>
      <c r="BT814" s="34"/>
      <c r="BU814" s="34"/>
      <c r="BV814" s="34"/>
      <c r="BW814" s="34"/>
      <c r="BX814" s="34"/>
      <c r="BY814" s="34"/>
    </row>
    <row r="815" spans="1:77" x14ac:dyDescent="0.3">
      <c r="A815" s="39"/>
      <c r="B815" s="42"/>
      <c r="C815" s="42"/>
      <c r="D815" s="75"/>
      <c r="E815" s="75"/>
      <c r="F815" s="76"/>
      <c r="G815" s="47"/>
      <c r="H815" s="47"/>
      <c r="I815" s="75"/>
      <c r="J815" s="76"/>
      <c r="K815" s="76"/>
      <c r="L815" s="75"/>
      <c r="M815" s="49"/>
      <c r="N815" s="76"/>
      <c r="O815" s="49"/>
      <c r="P815" s="77"/>
      <c r="Q815" s="53"/>
      <c r="R815" s="54"/>
      <c r="S815" s="55"/>
      <c r="T815" s="56"/>
      <c r="U815" s="56"/>
      <c r="V815" s="42"/>
      <c r="W815" s="57"/>
      <c r="X815" s="58"/>
      <c r="Y815" s="75"/>
      <c r="Z815" s="59"/>
      <c r="AA815" s="61"/>
      <c r="AB815" s="61"/>
      <c r="AC815" s="61"/>
      <c r="AD815" s="62"/>
      <c r="AE815" s="62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34"/>
      <c r="AR815" s="34"/>
      <c r="AS815" s="34"/>
      <c r="AT815" s="34"/>
      <c r="AU815" s="34"/>
      <c r="AV815" s="34"/>
      <c r="AW815" s="34"/>
      <c r="AX815" s="34"/>
      <c r="AY815" s="34"/>
      <c r="AZ815" s="34"/>
      <c r="BA815" s="34"/>
      <c r="BB815" s="34"/>
      <c r="BD815" s="34"/>
      <c r="BE815" s="34"/>
      <c r="BF815" s="34"/>
      <c r="BG815" s="34"/>
      <c r="BH815" s="34"/>
      <c r="BI815" s="34"/>
      <c r="BJ815" s="34"/>
      <c r="BK815" s="34"/>
      <c r="BL815" s="34"/>
      <c r="BM815" s="34"/>
      <c r="BN815" s="34"/>
      <c r="BO815" s="34"/>
      <c r="BP815" s="34"/>
      <c r="BQ815" s="34"/>
      <c r="BR815" s="34"/>
      <c r="BS815" s="34"/>
      <c r="BT815" s="34"/>
      <c r="BU815" s="34"/>
      <c r="BV815" s="34"/>
      <c r="BW815" s="34"/>
      <c r="BX815" s="34"/>
      <c r="BY815" s="34"/>
    </row>
    <row r="816" spans="1:77" x14ac:dyDescent="0.3">
      <c r="A816" s="39"/>
      <c r="B816" s="42"/>
      <c r="C816" s="42"/>
      <c r="D816" s="75"/>
      <c r="E816" s="75"/>
      <c r="F816" s="76"/>
      <c r="G816" s="47"/>
      <c r="H816" s="47"/>
      <c r="I816" s="75"/>
      <c r="J816" s="76"/>
      <c r="K816" s="76"/>
      <c r="L816" s="75"/>
      <c r="M816" s="49"/>
      <c r="N816" s="76"/>
      <c r="O816" s="49"/>
      <c r="P816" s="77"/>
      <c r="Q816" s="53"/>
      <c r="R816" s="54"/>
      <c r="S816" s="55"/>
      <c r="T816" s="56"/>
      <c r="U816" s="56"/>
      <c r="V816" s="42"/>
      <c r="W816" s="57"/>
      <c r="X816" s="58"/>
      <c r="Y816" s="75"/>
      <c r="Z816" s="59"/>
      <c r="AA816" s="61"/>
      <c r="AB816" s="61"/>
      <c r="AC816" s="61"/>
      <c r="AD816" s="62"/>
      <c r="AE816" s="62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34"/>
      <c r="AR816" s="34"/>
      <c r="AS816" s="34"/>
      <c r="AT816" s="34"/>
      <c r="AU816" s="34"/>
      <c r="AV816" s="34"/>
      <c r="AW816" s="34"/>
      <c r="AX816" s="34"/>
      <c r="AY816" s="34"/>
      <c r="AZ816" s="34"/>
      <c r="BA816" s="34"/>
      <c r="BB816" s="34"/>
      <c r="BD816" s="34"/>
      <c r="BE816" s="34"/>
      <c r="BF816" s="34"/>
      <c r="BG816" s="34"/>
      <c r="BH816" s="34"/>
      <c r="BI816" s="34"/>
      <c r="BJ816" s="34"/>
      <c r="BK816" s="34"/>
      <c r="BL816" s="34"/>
      <c r="BM816" s="34"/>
      <c r="BN816" s="34"/>
      <c r="BO816" s="34"/>
      <c r="BP816" s="34"/>
      <c r="BQ816" s="34"/>
      <c r="BR816" s="34"/>
      <c r="BS816" s="34"/>
      <c r="BT816" s="34"/>
      <c r="BU816" s="34"/>
      <c r="BV816" s="34"/>
      <c r="BW816" s="34"/>
      <c r="BX816" s="34"/>
      <c r="BY816" s="34"/>
    </row>
    <row r="817" spans="1:77" x14ac:dyDescent="0.3">
      <c r="A817" s="39"/>
      <c r="B817" s="42"/>
      <c r="C817" s="42"/>
      <c r="D817" s="75"/>
      <c r="E817" s="75"/>
      <c r="F817" s="76"/>
      <c r="G817" s="47"/>
      <c r="H817" s="47"/>
      <c r="I817" s="75"/>
      <c r="J817" s="76"/>
      <c r="K817" s="76"/>
      <c r="L817" s="75"/>
      <c r="M817" s="49"/>
      <c r="N817" s="76"/>
      <c r="O817" s="49"/>
      <c r="P817" s="77"/>
      <c r="Q817" s="53"/>
      <c r="R817" s="54"/>
      <c r="S817" s="55"/>
      <c r="T817" s="56"/>
      <c r="U817" s="56"/>
      <c r="V817" s="42"/>
      <c r="W817" s="57"/>
      <c r="X817" s="58"/>
      <c r="Y817" s="75"/>
      <c r="Z817" s="59"/>
      <c r="AA817" s="61"/>
      <c r="AB817" s="61"/>
      <c r="AC817" s="61"/>
      <c r="AD817" s="62"/>
      <c r="AE817" s="62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34"/>
      <c r="AR817" s="34"/>
      <c r="AS817" s="34"/>
      <c r="AT817" s="34"/>
      <c r="AU817" s="34"/>
      <c r="AV817" s="34"/>
      <c r="AW817" s="34"/>
      <c r="AX817" s="34"/>
      <c r="AY817" s="34"/>
      <c r="AZ817" s="34"/>
      <c r="BA817" s="34"/>
      <c r="BB817" s="34"/>
      <c r="BD817" s="34"/>
      <c r="BE817" s="34"/>
      <c r="BF817" s="34"/>
      <c r="BG817" s="34"/>
      <c r="BH817" s="34"/>
      <c r="BI817" s="34"/>
      <c r="BJ817" s="34"/>
      <c r="BK817" s="34"/>
      <c r="BL817" s="34"/>
      <c r="BM817" s="34"/>
      <c r="BN817" s="34"/>
      <c r="BO817" s="34"/>
      <c r="BP817" s="34"/>
      <c r="BQ817" s="34"/>
      <c r="BR817" s="34"/>
      <c r="BS817" s="34"/>
      <c r="BT817" s="34"/>
      <c r="BU817" s="34"/>
      <c r="BV817" s="34"/>
      <c r="BW817" s="34"/>
      <c r="BX817" s="34"/>
      <c r="BY817" s="34"/>
    </row>
    <row r="818" spans="1:77" x14ac:dyDescent="0.3">
      <c r="A818" s="39"/>
      <c r="B818" s="42"/>
      <c r="C818" s="42"/>
      <c r="D818" s="75"/>
      <c r="E818" s="75"/>
      <c r="F818" s="76"/>
      <c r="G818" s="47"/>
      <c r="H818" s="47"/>
      <c r="I818" s="75"/>
      <c r="J818" s="76"/>
      <c r="K818" s="76"/>
      <c r="L818" s="75"/>
      <c r="M818" s="49"/>
      <c r="N818" s="76"/>
      <c r="O818" s="49"/>
      <c r="P818" s="77"/>
      <c r="Q818" s="53"/>
      <c r="R818" s="54"/>
      <c r="S818" s="55"/>
      <c r="T818" s="56"/>
      <c r="U818" s="56"/>
      <c r="V818" s="42"/>
      <c r="W818" s="57"/>
      <c r="X818" s="58"/>
      <c r="Y818" s="75"/>
      <c r="Z818" s="59"/>
      <c r="AA818" s="61"/>
      <c r="AB818" s="61"/>
      <c r="AC818" s="61"/>
      <c r="AD818" s="62"/>
      <c r="AE818" s="62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34"/>
      <c r="AR818" s="34"/>
      <c r="AS818" s="34"/>
      <c r="AT818" s="34"/>
      <c r="AU818" s="34"/>
      <c r="AV818" s="34"/>
      <c r="AW818" s="34"/>
      <c r="AX818" s="34"/>
      <c r="AY818" s="34"/>
      <c r="AZ818" s="34"/>
      <c r="BA818" s="34"/>
      <c r="BB818" s="34"/>
      <c r="BD818" s="34"/>
      <c r="BE818" s="34"/>
      <c r="BF818" s="34"/>
      <c r="BG818" s="34"/>
      <c r="BH818" s="34"/>
      <c r="BI818" s="34"/>
      <c r="BJ818" s="34"/>
      <c r="BK818" s="34"/>
      <c r="BL818" s="34"/>
      <c r="BM818" s="34"/>
      <c r="BN818" s="34"/>
      <c r="BO818" s="34"/>
      <c r="BP818" s="34"/>
      <c r="BQ818" s="34"/>
      <c r="BR818" s="34"/>
      <c r="BS818" s="34"/>
      <c r="BT818" s="34"/>
      <c r="BU818" s="34"/>
      <c r="BV818" s="34"/>
      <c r="BW818" s="34"/>
      <c r="BX818" s="34"/>
      <c r="BY818" s="34"/>
    </row>
    <row r="819" spans="1:77" x14ac:dyDescent="0.3">
      <c r="A819" s="39"/>
      <c r="B819" s="42"/>
      <c r="C819" s="42"/>
      <c r="D819" s="75"/>
      <c r="E819" s="75"/>
      <c r="F819" s="76"/>
      <c r="G819" s="47"/>
      <c r="H819" s="47"/>
      <c r="I819" s="75"/>
      <c r="J819" s="76"/>
      <c r="K819" s="76"/>
      <c r="L819" s="75"/>
      <c r="M819" s="49"/>
      <c r="N819" s="76"/>
      <c r="O819" s="49"/>
      <c r="P819" s="77"/>
      <c r="Q819" s="53"/>
      <c r="R819" s="54"/>
      <c r="S819" s="55"/>
      <c r="T819" s="56"/>
      <c r="U819" s="56"/>
      <c r="V819" s="42"/>
      <c r="W819" s="57"/>
      <c r="X819" s="58"/>
      <c r="Y819" s="75"/>
      <c r="Z819" s="59"/>
      <c r="AA819" s="61"/>
      <c r="AB819" s="61"/>
      <c r="AC819" s="61"/>
      <c r="AD819" s="62"/>
      <c r="AE819" s="62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34"/>
      <c r="AR819" s="34"/>
      <c r="AS819" s="34"/>
      <c r="AT819" s="34"/>
      <c r="AU819" s="34"/>
      <c r="AV819" s="34"/>
      <c r="AW819" s="34"/>
      <c r="AX819" s="34"/>
      <c r="AY819" s="34"/>
      <c r="AZ819" s="34"/>
      <c r="BA819" s="34"/>
      <c r="BB819" s="34"/>
      <c r="BD819" s="34"/>
      <c r="BE819" s="34"/>
      <c r="BF819" s="34"/>
      <c r="BG819" s="34"/>
      <c r="BH819" s="34"/>
      <c r="BI819" s="34"/>
      <c r="BJ819" s="34"/>
      <c r="BK819" s="34"/>
      <c r="BL819" s="34"/>
      <c r="BM819" s="34"/>
      <c r="BN819" s="34"/>
      <c r="BO819" s="34"/>
      <c r="BP819" s="34"/>
      <c r="BQ819" s="34"/>
      <c r="BR819" s="34"/>
      <c r="BS819" s="34"/>
      <c r="BT819" s="34"/>
      <c r="BU819" s="34"/>
      <c r="BV819" s="34"/>
      <c r="BW819" s="34"/>
      <c r="BX819" s="34"/>
      <c r="BY819" s="34"/>
    </row>
    <row r="820" spans="1:77" x14ac:dyDescent="0.3">
      <c r="A820" s="39"/>
      <c r="B820" s="42"/>
      <c r="C820" s="42"/>
      <c r="D820" s="75"/>
      <c r="E820" s="75"/>
      <c r="F820" s="76"/>
      <c r="G820" s="47"/>
      <c r="H820" s="47"/>
      <c r="I820" s="75"/>
      <c r="J820" s="76"/>
      <c r="K820" s="76"/>
      <c r="L820" s="75"/>
      <c r="M820" s="49"/>
      <c r="N820" s="76"/>
      <c r="O820" s="49"/>
      <c r="P820" s="77"/>
      <c r="Q820" s="53"/>
      <c r="R820" s="54"/>
      <c r="S820" s="55"/>
      <c r="T820" s="56"/>
      <c r="U820" s="56"/>
      <c r="V820" s="42"/>
      <c r="W820" s="57"/>
      <c r="X820" s="58"/>
      <c r="Y820" s="75"/>
      <c r="Z820" s="59"/>
      <c r="AA820" s="61"/>
      <c r="AB820" s="61"/>
      <c r="AC820" s="61"/>
      <c r="AD820" s="62"/>
      <c r="AE820" s="62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  <c r="AQ820" s="34"/>
      <c r="AR820" s="34"/>
      <c r="AS820" s="34"/>
      <c r="AT820" s="34"/>
      <c r="AU820" s="34"/>
      <c r="AV820" s="34"/>
      <c r="AW820" s="34"/>
      <c r="AX820" s="34"/>
      <c r="AY820" s="34"/>
      <c r="AZ820" s="34"/>
      <c r="BA820" s="34"/>
      <c r="BB820" s="34"/>
      <c r="BD820" s="34"/>
      <c r="BE820" s="34"/>
      <c r="BF820" s="34"/>
      <c r="BG820" s="34"/>
      <c r="BH820" s="34"/>
      <c r="BI820" s="34"/>
      <c r="BJ820" s="34"/>
      <c r="BK820" s="34"/>
      <c r="BL820" s="34"/>
      <c r="BM820" s="34"/>
      <c r="BN820" s="34"/>
      <c r="BO820" s="34"/>
      <c r="BP820" s="34"/>
      <c r="BQ820" s="34"/>
      <c r="BR820" s="34"/>
      <c r="BS820" s="34"/>
      <c r="BT820" s="34"/>
      <c r="BU820" s="34"/>
      <c r="BV820" s="34"/>
      <c r="BW820" s="34"/>
      <c r="BX820" s="34"/>
      <c r="BY820" s="34"/>
    </row>
    <row r="821" spans="1:77" x14ac:dyDescent="0.3">
      <c r="A821" s="39"/>
      <c r="B821" s="42"/>
      <c r="C821" s="42"/>
      <c r="D821" s="75"/>
      <c r="E821" s="75"/>
      <c r="F821" s="76"/>
      <c r="G821" s="47"/>
      <c r="H821" s="47"/>
      <c r="I821" s="75"/>
      <c r="J821" s="76"/>
      <c r="K821" s="76"/>
      <c r="L821" s="75"/>
      <c r="M821" s="49"/>
      <c r="N821" s="76"/>
      <c r="O821" s="49"/>
      <c r="P821" s="77"/>
      <c r="Q821" s="53"/>
      <c r="R821" s="54"/>
      <c r="S821" s="55"/>
      <c r="T821" s="56"/>
      <c r="U821" s="56"/>
      <c r="V821" s="42"/>
      <c r="W821" s="57"/>
      <c r="X821" s="58"/>
      <c r="Y821" s="75"/>
      <c r="Z821" s="59"/>
      <c r="AA821" s="61"/>
      <c r="AB821" s="61"/>
      <c r="AC821" s="61"/>
      <c r="AD821" s="62"/>
      <c r="AE821" s="62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34"/>
      <c r="BA821" s="34"/>
      <c r="BB821" s="34"/>
      <c r="BD821" s="34"/>
      <c r="BE821" s="34"/>
      <c r="BF821" s="34"/>
      <c r="BG821" s="34"/>
      <c r="BH821" s="34"/>
      <c r="BI821" s="34"/>
      <c r="BJ821" s="34"/>
      <c r="BK821" s="34"/>
      <c r="BL821" s="34"/>
      <c r="BM821" s="34"/>
      <c r="BN821" s="34"/>
      <c r="BO821" s="34"/>
      <c r="BP821" s="34"/>
      <c r="BQ821" s="34"/>
      <c r="BR821" s="34"/>
      <c r="BS821" s="34"/>
      <c r="BT821" s="34"/>
      <c r="BU821" s="34"/>
      <c r="BV821" s="34"/>
      <c r="BW821" s="34"/>
      <c r="BX821" s="34"/>
      <c r="BY821" s="34"/>
    </row>
    <row r="822" spans="1:77" x14ac:dyDescent="0.3">
      <c r="A822" s="39"/>
      <c r="B822" s="42"/>
      <c r="C822" s="42"/>
      <c r="D822" s="75"/>
      <c r="E822" s="75"/>
      <c r="F822" s="76"/>
      <c r="G822" s="47"/>
      <c r="H822" s="47"/>
      <c r="I822" s="75"/>
      <c r="J822" s="76"/>
      <c r="K822" s="76"/>
      <c r="L822" s="75"/>
      <c r="M822" s="49"/>
      <c r="N822" s="76"/>
      <c r="O822" s="49"/>
      <c r="P822" s="77"/>
      <c r="Q822" s="53"/>
      <c r="R822" s="54"/>
      <c r="S822" s="55"/>
      <c r="T822" s="56"/>
      <c r="U822" s="56"/>
      <c r="V822" s="42"/>
      <c r="W822" s="57"/>
      <c r="X822" s="58"/>
      <c r="Y822" s="75"/>
      <c r="Z822" s="59"/>
      <c r="AA822" s="61"/>
      <c r="AB822" s="61"/>
      <c r="AC822" s="61"/>
      <c r="AD822" s="62"/>
      <c r="AE822" s="62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  <c r="AQ822" s="34"/>
      <c r="AR822" s="34"/>
      <c r="AS822" s="34"/>
      <c r="AT822" s="34"/>
      <c r="AU822" s="34"/>
      <c r="AV822" s="34"/>
      <c r="AW822" s="34"/>
      <c r="AX822" s="34"/>
      <c r="AY822" s="34"/>
      <c r="AZ822" s="34"/>
      <c r="BA822" s="34"/>
      <c r="BB822" s="34"/>
      <c r="BD822" s="34"/>
      <c r="BE822" s="34"/>
      <c r="BF822" s="34"/>
      <c r="BG822" s="34"/>
      <c r="BH822" s="34"/>
      <c r="BI822" s="34"/>
      <c r="BJ822" s="34"/>
      <c r="BK822" s="34"/>
      <c r="BL822" s="34"/>
      <c r="BM822" s="34"/>
      <c r="BN822" s="34"/>
      <c r="BO822" s="34"/>
      <c r="BP822" s="34"/>
      <c r="BQ822" s="34"/>
      <c r="BR822" s="34"/>
      <c r="BS822" s="34"/>
      <c r="BT822" s="34"/>
      <c r="BU822" s="34"/>
      <c r="BV822" s="34"/>
      <c r="BW822" s="34"/>
      <c r="BX822" s="34"/>
      <c r="BY822" s="34"/>
    </row>
    <row r="823" spans="1:77" x14ac:dyDescent="0.3">
      <c r="A823" s="39"/>
      <c r="B823" s="42"/>
      <c r="C823" s="42"/>
      <c r="D823" s="75"/>
      <c r="E823" s="75"/>
      <c r="F823" s="76"/>
      <c r="G823" s="47"/>
      <c r="H823" s="47"/>
      <c r="I823" s="75"/>
      <c r="J823" s="76"/>
      <c r="K823" s="76"/>
      <c r="L823" s="75"/>
      <c r="M823" s="49"/>
      <c r="N823" s="76"/>
      <c r="O823" s="49"/>
      <c r="P823" s="77"/>
      <c r="Q823" s="53"/>
      <c r="R823" s="54"/>
      <c r="S823" s="55"/>
      <c r="T823" s="56"/>
      <c r="U823" s="56"/>
      <c r="V823" s="42"/>
      <c r="W823" s="57"/>
      <c r="X823" s="58"/>
      <c r="Y823" s="75"/>
      <c r="Z823" s="59"/>
      <c r="AA823" s="61"/>
      <c r="AB823" s="61"/>
      <c r="AC823" s="61"/>
      <c r="AD823" s="62"/>
      <c r="AE823" s="62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/>
      <c r="BB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/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</row>
    <row r="824" spans="1:77" x14ac:dyDescent="0.3">
      <c r="A824" s="39"/>
      <c r="B824" s="42"/>
      <c r="C824" s="42"/>
      <c r="D824" s="75"/>
      <c r="E824" s="75"/>
      <c r="F824" s="76"/>
      <c r="G824" s="47"/>
      <c r="H824" s="47"/>
      <c r="I824" s="75"/>
      <c r="J824" s="76"/>
      <c r="K824" s="76"/>
      <c r="L824" s="75"/>
      <c r="M824" s="49"/>
      <c r="N824" s="76"/>
      <c r="O824" s="49"/>
      <c r="P824" s="77"/>
      <c r="Q824" s="53"/>
      <c r="R824" s="54"/>
      <c r="S824" s="55"/>
      <c r="T824" s="56"/>
      <c r="U824" s="56"/>
      <c r="V824" s="42"/>
      <c r="W824" s="57"/>
      <c r="X824" s="58"/>
      <c r="Y824" s="75"/>
      <c r="Z824" s="59"/>
      <c r="AA824" s="61"/>
      <c r="AB824" s="61"/>
      <c r="AC824" s="61"/>
      <c r="AD824" s="62"/>
      <c r="AE824" s="62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/>
      <c r="BB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/>
      <c r="BP824" s="34"/>
      <c r="BQ824" s="34"/>
      <c r="BR824" s="34"/>
      <c r="BS824" s="34"/>
      <c r="BT824" s="34"/>
      <c r="BU824" s="34"/>
      <c r="BV824" s="34"/>
      <c r="BW824" s="34"/>
      <c r="BX824" s="34"/>
      <c r="BY824" s="34"/>
    </row>
    <row r="825" spans="1:77" x14ac:dyDescent="0.3">
      <c r="A825" s="39"/>
      <c r="B825" s="42"/>
      <c r="C825" s="42"/>
      <c r="D825" s="75"/>
      <c r="E825" s="75"/>
      <c r="F825" s="76"/>
      <c r="G825" s="47"/>
      <c r="H825" s="47"/>
      <c r="I825" s="75"/>
      <c r="J825" s="76"/>
      <c r="K825" s="76"/>
      <c r="L825" s="75"/>
      <c r="M825" s="49"/>
      <c r="N825" s="76"/>
      <c r="O825" s="49"/>
      <c r="P825" s="77"/>
      <c r="Q825" s="53"/>
      <c r="R825" s="54"/>
      <c r="S825" s="55"/>
      <c r="T825" s="56"/>
      <c r="U825" s="56"/>
      <c r="V825" s="42"/>
      <c r="W825" s="57"/>
      <c r="X825" s="58"/>
      <c r="Y825" s="75"/>
      <c r="Z825" s="59"/>
      <c r="AA825" s="61"/>
      <c r="AB825" s="61"/>
      <c r="AC825" s="61"/>
      <c r="AD825" s="62"/>
      <c r="AE825" s="62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34"/>
      <c r="BA825" s="34"/>
      <c r="BB825" s="34"/>
      <c r="BD825" s="34"/>
      <c r="BE825" s="34"/>
      <c r="BF825" s="34"/>
      <c r="BG825" s="34"/>
      <c r="BH825" s="34"/>
      <c r="BI825" s="34"/>
      <c r="BJ825" s="34"/>
      <c r="BK825" s="34"/>
      <c r="BL825" s="34"/>
      <c r="BM825" s="34"/>
      <c r="BN825" s="34"/>
      <c r="BO825" s="34"/>
      <c r="BP825" s="34"/>
      <c r="BQ825" s="34"/>
      <c r="BR825" s="34"/>
      <c r="BS825" s="34"/>
      <c r="BT825" s="34"/>
      <c r="BU825" s="34"/>
      <c r="BV825" s="34"/>
      <c r="BW825" s="34"/>
      <c r="BX825" s="34"/>
      <c r="BY825" s="34"/>
    </row>
    <row r="826" spans="1:77" x14ac:dyDescent="0.3">
      <c r="A826" s="39"/>
      <c r="B826" s="42"/>
      <c r="C826" s="42"/>
      <c r="D826" s="75"/>
      <c r="E826" s="75"/>
      <c r="F826" s="76"/>
      <c r="G826" s="47"/>
      <c r="H826" s="47"/>
      <c r="I826" s="75"/>
      <c r="J826" s="76"/>
      <c r="K826" s="76"/>
      <c r="L826" s="75"/>
      <c r="M826" s="49"/>
      <c r="N826" s="76"/>
      <c r="O826" s="49"/>
      <c r="P826" s="77"/>
      <c r="Q826" s="53"/>
      <c r="R826" s="54"/>
      <c r="S826" s="55"/>
      <c r="T826" s="56"/>
      <c r="U826" s="56"/>
      <c r="V826" s="42"/>
      <c r="W826" s="57"/>
      <c r="X826" s="58"/>
      <c r="Y826" s="75"/>
      <c r="Z826" s="59"/>
      <c r="AA826" s="61"/>
      <c r="AB826" s="61"/>
      <c r="AC826" s="61"/>
      <c r="AD826" s="62"/>
      <c r="AE826" s="62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/>
      <c r="BB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/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</row>
    <row r="827" spans="1:77" x14ac:dyDescent="0.3">
      <c r="A827" s="39"/>
      <c r="B827" s="42"/>
      <c r="C827" s="42"/>
      <c r="D827" s="75"/>
      <c r="E827" s="75"/>
      <c r="F827" s="76"/>
      <c r="G827" s="47"/>
      <c r="H827" s="47"/>
      <c r="I827" s="75"/>
      <c r="J827" s="76"/>
      <c r="K827" s="76"/>
      <c r="L827" s="75"/>
      <c r="M827" s="49"/>
      <c r="N827" s="76"/>
      <c r="O827" s="49"/>
      <c r="P827" s="77"/>
      <c r="Q827" s="53"/>
      <c r="R827" s="54"/>
      <c r="S827" s="55"/>
      <c r="T827" s="56"/>
      <c r="U827" s="56"/>
      <c r="V827" s="42"/>
      <c r="W827" s="57"/>
      <c r="X827" s="58"/>
      <c r="Y827" s="75"/>
      <c r="Z827" s="59"/>
      <c r="AA827" s="61"/>
      <c r="AB827" s="61"/>
      <c r="AC827" s="61"/>
      <c r="AD827" s="62"/>
      <c r="AE827" s="62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34"/>
      <c r="BA827" s="34"/>
      <c r="BB827" s="34"/>
      <c r="BD827" s="34"/>
      <c r="BE827" s="34"/>
      <c r="BF827" s="34"/>
      <c r="BG827" s="34"/>
      <c r="BH827" s="34"/>
      <c r="BI827" s="34"/>
      <c r="BJ827" s="34"/>
      <c r="BK827" s="34"/>
      <c r="BL827" s="34"/>
      <c r="BM827" s="34"/>
      <c r="BN827" s="34"/>
      <c r="BO827" s="34"/>
      <c r="BP827" s="34"/>
      <c r="BQ827" s="34"/>
      <c r="BR827" s="34"/>
      <c r="BS827" s="34"/>
      <c r="BT827" s="34"/>
      <c r="BU827" s="34"/>
      <c r="BV827" s="34"/>
      <c r="BW827" s="34"/>
      <c r="BX827" s="34"/>
      <c r="BY827" s="34"/>
    </row>
    <row r="828" spans="1:77" x14ac:dyDescent="0.3">
      <c r="A828" s="39"/>
      <c r="B828" s="42"/>
      <c r="C828" s="42"/>
      <c r="D828" s="75"/>
      <c r="E828" s="75"/>
      <c r="F828" s="76"/>
      <c r="G828" s="47"/>
      <c r="H828" s="47"/>
      <c r="I828" s="75"/>
      <c r="J828" s="76"/>
      <c r="K828" s="76"/>
      <c r="L828" s="75"/>
      <c r="M828" s="49"/>
      <c r="N828" s="76"/>
      <c r="O828" s="49"/>
      <c r="P828" s="77"/>
      <c r="Q828" s="53"/>
      <c r="R828" s="54"/>
      <c r="S828" s="55"/>
      <c r="T828" s="56"/>
      <c r="U828" s="56"/>
      <c r="V828" s="42"/>
      <c r="W828" s="57"/>
      <c r="X828" s="58"/>
      <c r="Y828" s="75"/>
      <c r="Z828" s="59"/>
      <c r="AA828" s="61"/>
      <c r="AB828" s="61"/>
      <c r="AC828" s="61"/>
      <c r="AD828" s="62"/>
      <c r="AE828" s="62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  <c r="AZ828" s="34"/>
      <c r="BA828" s="34"/>
      <c r="BB828" s="34"/>
      <c r="BD828" s="34"/>
      <c r="BE828" s="34"/>
      <c r="BF828" s="34"/>
      <c r="BG828" s="34"/>
      <c r="BH828" s="34"/>
      <c r="BI828" s="34"/>
      <c r="BJ828" s="34"/>
      <c r="BK828" s="34"/>
      <c r="BL828" s="34"/>
      <c r="BM828" s="34"/>
      <c r="BN828" s="34"/>
      <c r="BO828" s="34"/>
      <c r="BP828" s="34"/>
      <c r="BQ828" s="34"/>
      <c r="BR828" s="34"/>
      <c r="BS828" s="34"/>
      <c r="BT828" s="34"/>
      <c r="BU828" s="34"/>
      <c r="BV828" s="34"/>
      <c r="BW828" s="34"/>
      <c r="BX828" s="34"/>
      <c r="BY828" s="34"/>
    </row>
    <row r="829" spans="1:77" x14ac:dyDescent="0.3">
      <c r="A829" s="39"/>
      <c r="B829" s="42"/>
      <c r="C829" s="42"/>
      <c r="D829" s="75"/>
      <c r="E829" s="75"/>
      <c r="F829" s="76"/>
      <c r="G829" s="47"/>
      <c r="H829" s="47"/>
      <c r="I829" s="75"/>
      <c r="J829" s="76"/>
      <c r="K829" s="76"/>
      <c r="L829" s="75"/>
      <c r="M829" s="49"/>
      <c r="N829" s="76"/>
      <c r="O829" s="49"/>
      <c r="P829" s="77"/>
      <c r="Q829" s="53"/>
      <c r="R829" s="54"/>
      <c r="S829" s="55"/>
      <c r="T829" s="56"/>
      <c r="U829" s="56"/>
      <c r="V829" s="42"/>
      <c r="W829" s="57"/>
      <c r="X829" s="58"/>
      <c r="Y829" s="75"/>
      <c r="Z829" s="59"/>
      <c r="AA829" s="61"/>
      <c r="AB829" s="61"/>
      <c r="AC829" s="61"/>
      <c r="AD829" s="62"/>
      <c r="AE829" s="62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34"/>
      <c r="AR829" s="34"/>
      <c r="AS829" s="34"/>
      <c r="AT829" s="34"/>
      <c r="AU829" s="34"/>
      <c r="AV829" s="34"/>
      <c r="AW829" s="34"/>
      <c r="AX829" s="34"/>
      <c r="AY829" s="34"/>
      <c r="AZ829" s="34"/>
      <c r="BA829" s="34"/>
      <c r="BB829" s="34"/>
      <c r="BD829" s="34"/>
      <c r="BE829" s="34"/>
      <c r="BF829" s="34"/>
      <c r="BG829" s="34"/>
      <c r="BH829" s="34"/>
      <c r="BI829" s="34"/>
      <c r="BJ829" s="34"/>
      <c r="BK829" s="34"/>
      <c r="BL829" s="34"/>
      <c r="BM829" s="34"/>
      <c r="BN829" s="34"/>
      <c r="BO829" s="34"/>
      <c r="BP829" s="34"/>
      <c r="BQ829" s="34"/>
      <c r="BR829" s="34"/>
      <c r="BS829" s="34"/>
      <c r="BT829" s="34"/>
      <c r="BU829" s="34"/>
      <c r="BV829" s="34"/>
      <c r="BW829" s="34"/>
      <c r="BX829" s="34"/>
      <c r="BY829" s="34"/>
    </row>
    <row r="830" spans="1:77" x14ac:dyDescent="0.3">
      <c r="A830" s="39"/>
      <c r="B830" s="42"/>
      <c r="C830" s="42"/>
      <c r="D830" s="75"/>
      <c r="E830" s="75"/>
      <c r="F830" s="76"/>
      <c r="G830" s="47"/>
      <c r="H830" s="47"/>
      <c r="I830" s="75"/>
      <c r="J830" s="76"/>
      <c r="K830" s="76"/>
      <c r="L830" s="75"/>
      <c r="M830" s="49"/>
      <c r="N830" s="76"/>
      <c r="O830" s="49"/>
      <c r="P830" s="77"/>
      <c r="Q830" s="53"/>
      <c r="R830" s="54"/>
      <c r="S830" s="55"/>
      <c r="T830" s="56"/>
      <c r="U830" s="56"/>
      <c r="V830" s="42"/>
      <c r="W830" s="57"/>
      <c r="X830" s="58"/>
      <c r="Y830" s="75"/>
      <c r="Z830" s="59"/>
      <c r="AA830" s="61"/>
      <c r="AB830" s="61"/>
      <c r="AC830" s="61"/>
      <c r="AD830" s="62"/>
      <c r="AE830" s="62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34"/>
      <c r="AR830" s="34"/>
      <c r="AS830" s="34"/>
      <c r="AT830" s="34"/>
      <c r="AU830" s="34"/>
      <c r="AV830" s="34"/>
      <c r="AW830" s="34"/>
      <c r="AX830" s="34"/>
      <c r="AY830" s="34"/>
      <c r="AZ830" s="34"/>
      <c r="BA830" s="34"/>
      <c r="BB830" s="34"/>
      <c r="BD830" s="34"/>
      <c r="BE830" s="34"/>
      <c r="BF830" s="34"/>
      <c r="BG830" s="34"/>
      <c r="BH830" s="34"/>
      <c r="BI830" s="34"/>
      <c r="BJ830" s="34"/>
      <c r="BK830" s="34"/>
      <c r="BL830" s="34"/>
      <c r="BM830" s="34"/>
      <c r="BN830" s="34"/>
      <c r="BO830" s="34"/>
      <c r="BP830" s="34"/>
      <c r="BQ830" s="34"/>
      <c r="BR830" s="34"/>
      <c r="BS830" s="34"/>
      <c r="BT830" s="34"/>
      <c r="BU830" s="34"/>
      <c r="BV830" s="34"/>
      <c r="BW830" s="34"/>
      <c r="BX830" s="34"/>
      <c r="BY830" s="34"/>
    </row>
    <row r="831" spans="1:77" x14ac:dyDescent="0.3">
      <c r="A831" s="39"/>
      <c r="B831" s="42"/>
      <c r="C831" s="42"/>
      <c r="D831" s="75"/>
      <c r="E831" s="75"/>
      <c r="F831" s="76"/>
      <c r="G831" s="47"/>
      <c r="H831" s="47"/>
      <c r="I831" s="75"/>
      <c r="J831" s="76"/>
      <c r="K831" s="76"/>
      <c r="L831" s="75"/>
      <c r="M831" s="49"/>
      <c r="N831" s="76"/>
      <c r="O831" s="49"/>
      <c r="P831" s="77"/>
      <c r="Q831" s="53"/>
      <c r="R831" s="54"/>
      <c r="S831" s="55"/>
      <c r="T831" s="56"/>
      <c r="U831" s="56"/>
      <c r="V831" s="42"/>
      <c r="W831" s="57"/>
      <c r="X831" s="58"/>
      <c r="Y831" s="75"/>
      <c r="Z831" s="59"/>
      <c r="AA831" s="61"/>
      <c r="AB831" s="61"/>
      <c r="AC831" s="61"/>
      <c r="AD831" s="62"/>
      <c r="AE831" s="62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34"/>
      <c r="AR831" s="34"/>
      <c r="AS831" s="34"/>
      <c r="AT831" s="34"/>
      <c r="AU831" s="34"/>
      <c r="AV831" s="34"/>
      <c r="AW831" s="34"/>
      <c r="AX831" s="34"/>
      <c r="AY831" s="34"/>
      <c r="AZ831" s="34"/>
      <c r="BA831" s="34"/>
      <c r="BB831" s="34"/>
      <c r="BD831" s="34"/>
      <c r="BE831" s="34"/>
      <c r="BF831" s="34"/>
      <c r="BG831" s="34"/>
      <c r="BH831" s="34"/>
      <c r="BI831" s="34"/>
      <c r="BJ831" s="34"/>
      <c r="BK831" s="34"/>
      <c r="BL831" s="34"/>
      <c r="BM831" s="34"/>
      <c r="BN831" s="34"/>
      <c r="BO831" s="34"/>
      <c r="BP831" s="34"/>
      <c r="BQ831" s="34"/>
      <c r="BR831" s="34"/>
      <c r="BS831" s="34"/>
      <c r="BT831" s="34"/>
      <c r="BU831" s="34"/>
      <c r="BV831" s="34"/>
      <c r="BW831" s="34"/>
      <c r="BX831" s="34"/>
      <c r="BY831" s="34"/>
    </row>
    <row r="832" spans="1:77" x14ac:dyDescent="0.3">
      <c r="A832" s="39"/>
      <c r="B832" s="42"/>
      <c r="C832" s="42"/>
      <c r="D832" s="75"/>
      <c r="E832" s="75"/>
      <c r="F832" s="76"/>
      <c r="G832" s="47"/>
      <c r="H832" s="47"/>
      <c r="I832" s="75"/>
      <c r="J832" s="76"/>
      <c r="K832" s="76"/>
      <c r="L832" s="75"/>
      <c r="M832" s="49"/>
      <c r="N832" s="76"/>
      <c r="O832" s="49"/>
      <c r="P832" s="77"/>
      <c r="Q832" s="53"/>
      <c r="R832" s="54"/>
      <c r="S832" s="55"/>
      <c r="T832" s="56"/>
      <c r="U832" s="56"/>
      <c r="V832" s="42"/>
      <c r="W832" s="57"/>
      <c r="X832" s="58"/>
      <c r="Y832" s="75"/>
      <c r="Z832" s="59"/>
      <c r="AA832" s="61"/>
      <c r="AB832" s="61"/>
      <c r="AC832" s="61"/>
      <c r="AD832" s="62"/>
      <c r="AE832" s="62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34"/>
      <c r="BA832" s="34"/>
      <c r="BB832" s="34"/>
      <c r="BD832" s="34"/>
      <c r="BE832" s="34"/>
      <c r="BF832" s="34"/>
      <c r="BG832" s="34"/>
      <c r="BH832" s="34"/>
      <c r="BI832" s="34"/>
      <c r="BJ832" s="34"/>
      <c r="BK832" s="34"/>
      <c r="BL832" s="34"/>
      <c r="BM832" s="34"/>
      <c r="BN832" s="34"/>
      <c r="BO832" s="34"/>
      <c r="BP832" s="34"/>
      <c r="BQ832" s="34"/>
      <c r="BR832" s="34"/>
      <c r="BS832" s="34"/>
      <c r="BT832" s="34"/>
      <c r="BU832" s="34"/>
      <c r="BV832" s="34"/>
      <c r="BW832" s="34"/>
      <c r="BX832" s="34"/>
      <c r="BY832" s="34"/>
    </row>
    <row r="833" spans="1:77" x14ac:dyDescent="0.3">
      <c r="A833" s="39"/>
      <c r="B833" s="42"/>
      <c r="C833" s="42"/>
      <c r="D833" s="75"/>
      <c r="E833" s="75"/>
      <c r="F833" s="76"/>
      <c r="G833" s="47"/>
      <c r="H833" s="47"/>
      <c r="I833" s="75"/>
      <c r="J833" s="76"/>
      <c r="K833" s="76"/>
      <c r="L833" s="75"/>
      <c r="M833" s="49"/>
      <c r="N833" s="76"/>
      <c r="O833" s="49"/>
      <c r="P833" s="77"/>
      <c r="Q833" s="53"/>
      <c r="R833" s="54"/>
      <c r="S833" s="55"/>
      <c r="T833" s="56"/>
      <c r="U833" s="56"/>
      <c r="V833" s="42"/>
      <c r="W833" s="57"/>
      <c r="X833" s="58"/>
      <c r="Y833" s="75"/>
      <c r="Z833" s="59"/>
      <c r="AA833" s="61"/>
      <c r="AB833" s="61"/>
      <c r="AC833" s="61"/>
      <c r="AD833" s="62"/>
      <c r="AE833" s="62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34"/>
      <c r="AR833" s="34"/>
      <c r="AS833" s="34"/>
      <c r="AT833" s="34"/>
      <c r="AU833" s="34"/>
      <c r="AV833" s="34"/>
      <c r="AW833" s="34"/>
      <c r="AX833" s="34"/>
      <c r="AY833" s="34"/>
      <c r="AZ833" s="34"/>
      <c r="BA833" s="34"/>
      <c r="BB833" s="34"/>
      <c r="BD833" s="34"/>
      <c r="BE833" s="34"/>
      <c r="BF833" s="34"/>
      <c r="BG833" s="34"/>
      <c r="BH833" s="34"/>
      <c r="BI833" s="34"/>
      <c r="BJ833" s="34"/>
      <c r="BK833" s="34"/>
      <c r="BL833" s="34"/>
      <c r="BM833" s="34"/>
      <c r="BN833" s="34"/>
      <c r="BO833" s="34"/>
      <c r="BP833" s="34"/>
      <c r="BQ833" s="34"/>
      <c r="BR833" s="34"/>
      <c r="BS833" s="34"/>
      <c r="BT833" s="34"/>
      <c r="BU833" s="34"/>
      <c r="BV833" s="34"/>
      <c r="BW833" s="34"/>
      <c r="BX833" s="34"/>
      <c r="BY833" s="34"/>
    </row>
    <row r="834" spans="1:77" x14ac:dyDescent="0.3">
      <c r="A834" s="39"/>
      <c r="B834" s="42"/>
      <c r="C834" s="42"/>
      <c r="D834" s="75"/>
      <c r="E834" s="75"/>
      <c r="F834" s="76"/>
      <c r="G834" s="47"/>
      <c r="H834" s="47"/>
      <c r="I834" s="75"/>
      <c r="J834" s="76"/>
      <c r="K834" s="76"/>
      <c r="L834" s="75"/>
      <c r="M834" s="49"/>
      <c r="N834" s="76"/>
      <c r="O834" s="49"/>
      <c r="P834" s="77"/>
      <c r="Q834" s="53"/>
      <c r="R834" s="54"/>
      <c r="S834" s="55"/>
      <c r="T834" s="56"/>
      <c r="U834" s="56"/>
      <c r="V834" s="42"/>
      <c r="W834" s="57"/>
      <c r="X834" s="58"/>
      <c r="Y834" s="75"/>
      <c r="Z834" s="59"/>
      <c r="AA834" s="61"/>
      <c r="AB834" s="61"/>
      <c r="AC834" s="61"/>
      <c r="AD834" s="62"/>
      <c r="AE834" s="62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34"/>
      <c r="AR834" s="34"/>
      <c r="AS834" s="34"/>
      <c r="AT834" s="34"/>
      <c r="AU834" s="34"/>
      <c r="AV834" s="34"/>
      <c r="AW834" s="34"/>
      <c r="AX834" s="34"/>
      <c r="AY834" s="34"/>
      <c r="AZ834" s="34"/>
      <c r="BA834" s="34"/>
      <c r="BB834" s="34"/>
      <c r="BD834" s="34"/>
      <c r="BE834" s="34"/>
      <c r="BF834" s="34"/>
      <c r="BG834" s="34"/>
      <c r="BH834" s="34"/>
      <c r="BI834" s="34"/>
      <c r="BJ834" s="34"/>
      <c r="BK834" s="34"/>
      <c r="BL834" s="34"/>
      <c r="BM834" s="34"/>
      <c r="BN834" s="34"/>
      <c r="BO834" s="34"/>
      <c r="BP834" s="34"/>
      <c r="BQ834" s="34"/>
      <c r="BR834" s="34"/>
      <c r="BS834" s="34"/>
      <c r="BT834" s="34"/>
      <c r="BU834" s="34"/>
      <c r="BV834" s="34"/>
      <c r="BW834" s="34"/>
      <c r="BX834" s="34"/>
      <c r="BY834" s="34"/>
    </row>
    <row r="835" spans="1:77" x14ac:dyDescent="0.3">
      <c r="A835" s="39"/>
      <c r="B835" s="42"/>
      <c r="C835" s="42"/>
      <c r="D835" s="75"/>
      <c r="E835" s="75"/>
      <c r="F835" s="76"/>
      <c r="G835" s="47"/>
      <c r="H835" s="47"/>
      <c r="I835" s="75"/>
      <c r="J835" s="76"/>
      <c r="K835" s="76"/>
      <c r="L835" s="75"/>
      <c r="M835" s="49"/>
      <c r="N835" s="76"/>
      <c r="O835" s="49"/>
      <c r="P835" s="77"/>
      <c r="Q835" s="53"/>
      <c r="R835" s="54"/>
      <c r="S835" s="55"/>
      <c r="T835" s="56"/>
      <c r="U835" s="56"/>
      <c r="V835" s="42"/>
      <c r="W835" s="57"/>
      <c r="X835" s="58"/>
      <c r="Y835" s="75"/>
      <c r="Z835" s="59"/>
      <c r="AA835" s="61"/>
      <c r="AB835" s="61"/>
      <c r="AC835" s="61"/>
      <c r="AD835" s="62"/>
      <c r="AE835" s="62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34"/>
      <c r="AR835" s="34"/>
      <c r="AS835" s="34"/>
      <c r="AT835" s="34"/>
      <c r="AU835" s="34"/>
      <c r="AV835" s="34"/>
      <c r="AW835" s="34"/>
      <c r="AX835" s="34"/>
      <c r="AY835" s="34"/>
      <c r="AZ835" s="34"/>
      <c r="BA835" s="34"/>
      <c r="BB835" s="34"/>
      <c r="BD835" s="34"/>
      <c r="BE835" s="34"/>
      <c r="BF835" s="34"/>
      <c r="BG835" s="34"/>
      <c r="BH835" s="34"/>
      <c r="BI835" s="34"/>
      <c r="BJ835" s="34"/>
      <c r="BK835" s="34"/>
      <c r="BL835" s="34"/>
      <c r="BM835" s="34"/>
      <c r="BN835" s="34"/>
      <c r="BO835" s="34"/>
      <c r="BP835" s="34"/>
      <c r="BQ835" s="34"/>
      <c r="BR835" s="34"/>
      <c r="BS835" s="34"/>
      <c r="BT835" s="34"/>
      <c r="BU835" s="34"/>
      <c r="BV835" s="34"/>
      <c r="BW835" s="34"/>
      <c r="BX835" s="34"/>
      <c r="BY835" s="34"/>
    </row>
    <row r="836" spans="1:77" x14ac:dyDescent="0.3">
      <c r="A836" s="39"/>
      <c r="B836" s="42"/>
      <c r="C836" s="42"/>
      <c r="D836" s="75"/>
      <c r="E836" s="75"/>
      <c r="F836" s="76"/>
      <c r="G836" s="47"/>
      <c r="H836" s="47"/>
      <c r="I836" s="75"/>
      <c r="J836" s="76"/>
      <c r="K836" s="76"/>
      <c r="L836" s="75"/>
      <c r="M836" s="49"/>
      <c r="N836" s="76"/>
      <c r="O836" s="49"/>
      <c r="P836" s="77"/>
      <c r="Q836" s="53"/>
      <c r="R836" s="54"/>
      <c r="S836" s="55"/>
      <c r="T836" s="56"/>
      <c r="U836" s="56"/>
      <c r="V836" s="42"/>
      <c r="W836" s="57"/>
      <c r="X836" s="58"/>
      <c r="Y836" s="75"/>
      <c r="Z836" s="59"/>
      <c r="AA836" s="61"/>
      <c r="AB836" s="61"/>
      <c r="AC836" s="61"/>
      <c r="AD836" s="62"/>
      <c r="AE836" s="62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34"/>
      <c r="AR836" s="34"/>
      <c r="AS836" s="34"/>
      <c r="AT836" s="34"/>
      <c r="AU836" s="34"/>
      <c r="AV836" s="34"/>
      <c r="AW836" s="34"/>
      <c r="AX836" s="34"/>
      <c r="AY836" s="34"/>
      <c r="AZ836" s="34"/>
      <c r="BA836" s="34"/>
      <c r="BB836" s="34"/>
      <c r="BD836" s="34"/>
      <c r="BE836" s="34"/>
      <c r="BF836" s="34"/>
      <c r="BG836" s="34"/>
      <c r="BH836" s="34"/>
      <c r="BI836" s="34"/>
      <c r="BJ836" s="34"/>
      <c r="BK836" s="34"/>
      <c r="BL836" s="34"/>
      <c r="BM836" s="34"/>
      <c r="BN836" s="34"/>
      <c r="BO836" s="34"/>
      <c r="BP836" s="34"/>
      <c r="BQ836" s="34"/>
      <c r="BR836" s="34"/>
      <c r="BS836" s="34"/>
      <c r="BT836" s="34"/>
      <c r="BU836" s="34"/>
      <c r="BV836" s="34"/>
      <c r="BW836" s="34"/>
      <c r="BX836" s="34"/>
      <c r="BY836" s="34"/>
    </row>
    <row r="837" spans="1:77" x14ac:dyDescent="0.3">
      <c r="A837" s="39"/>
      <c r="B837" s="42"/>
      <c r="C837" s="42"/>
      <c r="D837" s="75"/>
      <c r="E837" s="75"/>
      <c r="F837" s="76"/>
      <c r="G837" s="47"/>
      <c r="H837" s="47"/>
      <c r="I837" s="75"/>
      <c r="J837" s="76"/>
      <c r="K837" s="76"/>
      <c r="L837" s="75"/>
      <c r="M837" s="49"/>
      <c r="N837" s="76"/>
      <c r="O837" s="49"/>
      <c r="P837" s="77"/>
      <c r="Q837" s="53"/>
      <c r="R837" s="54"/>
      <c r="S837" s="55"/>
      <c r="T837" s="56"/>
      <c r="U837" s="56"/>
      <c r="V837" s="42"/>
      <c r="W837" s="57"/>
      <c r="X837" s="58"/>
      <c r="Y837" s="75"/>
      <c r="Z837" s="59"/>
      <c r="AA837" s="61"/>
      <c r="AB837" s="61"/>
      <c r="AC837" s="61"/>
      <c r="AD837" s="62"/>
      <c r="AE837" s="62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34"/>
      <c r="AR837" s="34"/>
      <c r="AS837" s="34"/>
      <c r="AT837" s="34"/>
      <c r="AU837" s="34"/>
      <c r="AV837" s="34"/>
      <c r="AW837" s="34"/>
      <c r="AX837" s="34"/>
      <c r="AY837" s="34"/>
      <c r="AZ837" s="34"/>
      <c r="BA837" s="34"/>
      <c r="BB837" s="34"/>
      <c r="BD837" s="34"/>
      <c r="BE837" s="34"/>
      <c r="BF837" s="34"/>
      <c r="BG837" s="34"/>
      <c r="BH837" s="34"/>
      <c r="BI837" s="34"/>
      <c r="BJ837" s="34"/>
      <c r="BK837" s="34"/>
      <c r="BL837" s="34"/>
      <c r="BM837" s="34"/>
      <c r="BN837" s="34"/>
      <c r="BO837" s="34"/>
      <c r="BP837" s="34"/>
      <c r="BQ837" s="34"/>
      <c r="BR837" s="34"/>
      <c r="BS837" s="34"/>
      <c r="BT837" s="34"/>
      <c r="BU837" s="34"/>
      <c r="BV837" s="34"/>
      <c r="BW837" s="34"/>
      <c r="BX837" s="34"/>
      <c r="BY837" s="34"/>
    </row>
    <row r="838" spans="1:77" x14ac:dyDescent="0.3">
      <c r="A838" s="39"/>
      <c r="B838" s="42"/>
      <c r="C838" s="42"/>
      <c r="D838" s="75"/>
      <c r="E838" s="75"/>
      <c r="F838" s="76"/>
      <c r="G838" s="47"/>
      <c r="H838" s="47"/>
      <c r="I838" s="75"/>
      <c r="J838" s="76"/>
      <c r="K838" s="76"/>
      <c r="L838" s="75"/>
      <c r="M838" s="49"/>
      <c r="N838" s="76"/>
      <c r="O838" s="49"/>
      <c r="P838" s="77"/>
      <c r="Q838" s="53"/>
      <c r="R838" s="54"/>
      <c r="S838" s="55"/>
      <c r="T838" s="56"/>
      <c r="U838" s="56"/>
      <c r="V838" s="42"/>
      <c r="W838" s="57"/>
      <c r="X838" s="58"/>
      <c r="Y838" s="75"/>
      <c r="Z838" s="59"/>
      <c r="AA838" s="61"/>
      <c r="AB838" s="61"/>
      <c r="AC838" s="61"/>
      <c r="AD838" s="62"/>
      <c r="AE838" s="62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  <c r="AQ838" s="34"/>
      <c r="AR838" s="34"/>
      <c r="AS838" s="34"/>
      <c r="AT838" s="34"/>
      <c r="AU838" s="34"/>
      <c r="AV838" s="34"/>
      <c r="AW838" s="34"/>
      <c r="AX838" s="34"/>
      <c r="AY838" s="34"/>
      <c r="AZ838" s="34"/>
      <c r="BA838" s="34"/>
      <c r="BB838" s="34"/>
      <c r="BD838" s="34"/>
      <c r="BE838" s="34"/>
      <c r="BF838" s="34"/>
      <c r="BG838" s="34"/>
      <c r="BH838" s="34"/>
      <c r="BI838" s="34"/>
      <c r="BJ838" s="34"/>
      <c r="BK838" s="34"/>
      <c r="BL838" s="34"/>
      <c r="BM838" s="34"/>
      <c r="BN838" s="34"/>
      <c r="BO838" s="34"/>
      <c r="BP838" s="34"/>
      <c r="BQ838" s="34"/>
      <c r="BR838" s="34"/>
      <c r="BS838" s="34"/>
      <c r="BT838" s="34"/>
      <c r="BU838" s="34"/>
      <c r="BV838" s="34"/>
      <c r="BW838" s="34"/>
      <c r="BX838" s="34"/>
      <c r="BY838" s="34"/>
    </row>
    <row r="839" spans="1:77" x14ac:dyDescent="0.3">
      <c r="A839" s="39"/>
      <c r="B839" s="42"/>
      <c r="C839" s="42"/>
      <c r="D839" s="75"/>
      <c r="E839" s="75"/>
      <c r="F839" s="76"/>
      <c r="G839" s="47"/>
      <c r="H839" s="47"/>
      <c r="I839" s="75"/>
      <c r="J839" s="76"/>
      <c r="K839" s="76"/>
      <c r="L839" s="75"/>
      <c r="M839" s="49"/>
      <c r="N839" s="76"/>
      <c r="O839" s="49"/>
      <c r="P839" s="77"/>
      <c r="Q839" s="53"/>
      <c r="R839" s="54"/>
      <c r="S839" s="55"/>
      <c r="T839" s="56"/>
      <c r="U839" s="56"/>
      <c r="V839" s="42"/>
      <c r="W839" s="57"/>
      <c r="X839" s="58"/>
      <c r="Y839" s="75"/>
      <c r="Z839" s="59"/>
      <c r="AA839" s="61"/>
      <c r="AB839" s="61"/>
      <c r="AC839" s="61"/>
      <c r="AD839" s="62"/>
      <c r="AE839" s="62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  <c r="AQ839" s="34"/>
      <c r="AR839" s="34"/>
      <c r="AS839" s="34"/>
      <c r="AT839" s="34"/>
      <c r="AU839" s="34"/>
      <c r="AV839" s="34"/>
      <c r="AW839" s="34"/>
      <c r="AX839" s="34"/>
      <c r="AY839" s="34"/>
      <c r="AZ839" s="34"/>
      <c r="BA839" s="34"/>
      <c r="BB839" s="34"/>
      <c r="BD839" s="34"/>
      <c r="BE839" s="34"/>
      <c r="BF839" s="34"/>
      <c r="BG839" s="34"/>
      <c r="BH839" s="34"/>
      <c r="BI839" s="34"/>
      <c r="BJ839" s="34"/>
      <c r="BK839" s="34"/>
      <c r="BL839" s="34"/>
      <c r="BM839" s="34"/>
      <c r="BN839" s="34"/>
      <c r="BO839" s="34"/>
      <c r="BP839" s="34"/>
      <c r="BQ839" s="34"/>
      <c r="BR839" s="34"/>
      <c r="BS839" s="34"/>
      <c r="BT839" s="34"/>
      <c r="BU839" s="34"/>
      <c r="BV839" s="34"/>
      <c r="BW839" s="34"/>
      <c r="BX839" s="34"/>
      <c r="BY839" s="34"/>
    </row>
    <row r="840" spans="1:77" x14ac:dyDescent="0.3">
      <c r="A840" s="39"/>
      <c r="B840" s="42"/>
      <c r="C840" s="42"/>
      <c r="D840" s="75"/>
      <c r="E840" s="75"/>
      <c r="F840" s="76"/>
      <c r="G840" s="47"/>
      <c r="H840" s="47"/>
      <c r="I840" s="75"/>
      <c r="J840" s="76"/>
      <c r="K840" s="76"/>
      <c r="L840" s="75"/>
      <c r="M840" s="49"/>
      <c r="N840" s="76"/>
      <c r="O840" s="49"/>
      <c r="P840" s="77"/>
      <c r="Q840" s="53"/>
      <c r="R840" s="54"/>
      <c r="S840" s="55"/>
      <c r="T840" s="56"/>
      <c r="U840" s="56"/>
      <c r="V840" s="42"/>
      <c r="W840" s="57"/>
      <c r="X840" s="58"/>
      <c r="Y840" s="75"/>
      <c r="Z840" s="59"/>
      <c r="AA840" s="61"/>
      <c r="AB840" s="61"/>
      <c r="AC840" s="61"/>
      <c r="AD840" s="62"/>
      <c r="AE840" s="62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  <c r="AR840" s="34"/>
      <c r="AS840" s="34"/>
      <c r="AT840" s="34"/>
      <c r="AU840" s="34"/>
      <c r="AV840" s="34"/>
      <c r="AW840" s="34"/>
      <c r="AX840" s="34"/>
      <c r="AY840" s="34"/>
      <c r="AZ840" s="34"/>
      <c r="BA840" s="34"/>
      <c r="BB840" s="34"/>
      <c r="BD840" s="34"/>
      <c r="BE840" s="34"/>
      <c r="BF840" s="34"/>
      <c r="BG840" s="34"/>
      <c r="BH840" s="34"/>
      <c r="BI840" s="34"/>
      <c r="BJ840" s="34"/>
      <c r="BK840" s="34"/>
      <c r="BL840" s="34"/>
      <c r="BM840" s="34"/>
      <c r="BN840" s="34"/>
      <c r="BO840" s="34"/>
      <c r="BP840" s="34"/>
      <c r="BQ840" s="34"/>
      <c r="BR840" s="34"/>
      <c r="BS840" s="34"/>
      <c r="BT840" s="34"/>
      <c r="BU840" s="34"/>
      <c r="BV840" s="34"/>
      <c r="BW840" s="34"/>
      <c r="BX840" s="34"/>
      <c r="BY840" s="34"/>
    </row>
    <row r="841" spans="1:77" x14ac:dyDescent="0.3">
      <c r="A841" s="39"/>
      <c r="B841" s="42"/>
      <c r="C841" s="42"/>
      <c r="D841" s="75"/>
      <c r="E841" s="75"/>
      <c r="F841" s="76"/>
      <c r="G841" s="47"/>
      <c r="H841" s="47"/>
      <c r="I841" s="75"/>
      <c r="J841" s="76"/>
      <c r="K841" s="76"/>
      <c r="L841" s="75"/>
      <c r="M841" s="49"/>
      <c r="N841" s="76"/>
      <c r="O841" s="49"/>
      <c r="P841" s="77"/>
      <c r="Q841" s="53"/>
      <c r="R841" s="54"/>
      <c r="S841" s="55"/>
      <c r="T841" s="56"/>
      <c r="U841" s="56"/>
      <c r="V841" s="42"/>
      <c r="W841" s="57"/>
      <c r="X841" s="58"/>
      <c r="Y841" s="75"/>
      <c r="Z841" s="59"/>
      <c r="AA841" s="61"/>
      <c r="AB841" s="61"/>
      <c r="AC841" s="61"/>
      <c r="AD841" s="62"/>
      <c r="AE841" s="62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34"/>
      <c r="AR841" s="34"/>
      <c r="AS841" s="34"/>
      <c r="AT841" s="34"/>
      <c r="AU841" s="34"/>
      <c r="AV841" s="34"/>
      <c r="AW841" s="34"/>
      <c r="AX841" s="34"/>
      <c r="AY841" s="34"/>
      <c r="AZ841" s="34"/>
      <c r="BA841" s="34"/>
      <c r="BB841" s="34"/>
      <c r="BD841" s="34"/>
      <c r="BE841" s="34"/>
      <c r="BF841" s="34"/>
      <c r="BG841" s="34"/>
      <c r="BH841" s="34"/>
      <c r="BI841" s="34"/>
      <c r="BJ841" s="34"/>
      <c r="BK841" s="34"/>
      <c r="BL841" s="34"/>
      <c r="BM841" s="34"/>
      <c r="BN841" s="34"/>
      <c r="BO841" s="34"/>
      <c r="BP841" s="34"/>
      <c r="BQ841" s="34"/>
      <c r="BR841" s="34"/>
      <c r="BS841" s="34"/>
      <c r="BT841" s="34"/>
      <c r="BU841" s="34"/>
      <c r="BV841" s="34"/>
      <c r="BW841" s="34"/>
      <c r="BX841" s="34"/>
      <c r="BY841" s="34"/>
    </row>
    <row r="842" spans="1:77" x14ac:dyDescent="0.3">
      <c r="A842" s="39"/>
      <c r="B842" s="42"/>
      <c r="C842" s="42"/>
      <c r="D842" s="75"/>
      <c r="E842" s="75"/>
      <c r="F842" s="76"/>
      <c r="G842" s="47"/>
      <c r="H842" s="47"/>
      <c r="I842" s="75"/>
      <c r="J842" s="76"/>
      <c r="K842" s="76"/>
      <c r="L842" s="75"/>
      <c r="M842" s="49"/>
      <c r="N842" s="76"/>
      <c r="O842" s="49"/>
      <c r="P842" s="77"/>
      <c r="Q842" s="53"/>
      <c r="R842" s="54"/>
      <c r="S842" s="55"/>
      <c r="T842" s="56"/>
      <c r="U842" s="56"/>
      <c r="V842" s="42"/>
      <c r="W842" s="57"/>
      <c r="X842" s="58"/>
      <c r="Y842" s="75"/>
      <c r="Z842" s="59"/>
      <c r="AA842" s="61"/>
      <c r="AB842" s="61"/>
      <c r="AC842" s="61"/>
      <c r="AD842" s="62"/>
      <c r="AE842" s="62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34"/>
      <c r="AR842" s="34"/>
      <c r="AS842" s="34"/>
      <c r="AT842" s="34"/>
      <c r="AU842" s="34"/>
      <c r="AV842" s="34"/>
      <c r="AW842" s="34"/>
      <c r="AX842" s="34"/>
      <c r="AY842" s="34"/>
      <c r="AZ842" s="34"/>
      <c r="BA842" s="34"/>
      <c r="BB842" s="34"/>
      <c r="BD842" s="34"/>
      <c r="BE842" s="34"/>
      <c r="BF842" s="34"/>
      <c r="BG842" s="34"/>
      <c r="BH842" s="34"/>
      <c r="BI842" s="34"/>
      <c r="BJ842" s="34"/>
      <c r="BK842" s="34"/>
      <c r="BL842" s="34"/>
      <c r="BM842" s="34"/>
      <c r="BN842" s="34"/>
      <c r="BO842" s="34"/>
      <c r="BP842" s="34"/>
      <c r="BQ842" s="34"/>
      <c r="BR842" s="34"/>
      <c r="BS842" s="34"/>
      <c r="BT842" s="34"/>
      <c r="BU842" s="34"/>
      <c r="BV842" s="34"/>
      <c r="BW842" s="34"/>
      <c r="BX842" s="34"/>
      <c r="BY842" s="34"/>
    </row>
    <row r="843" spans="1:77" x14ac:dyDescent="0.3">
      <c r="A843" s="39"/>
      <c r="B843" s="42"/>
      <c r="C843" s="42"/>
      <c r="D843" s="75"/>
      <c r="E843" s="75"/>
      <c r="F843" s="76"/>
      <c r="G843" s="47"/>
      <c r="H843" s="47"/>
      <c r="I843" s="75"/>
      <c r="J843" s="76"/>
      <c r="K843" s="76"/>
      <c r="L843" s="75"/>
      <c r="M843" s="49"/>
      <c r="N843" s="76"/>
      <c r="O843" s="49"/>
      <c r="P843" s="77"/>
      <c r="Q843" s="53"/>
      <c r="R843" s="54"/>
      <c r="S843" s="55"/>
      <c r="T843" s="56"/>
      <c r="U843" s="56"/>
      <c r="V843" s="42"/>
      <c r="W843" s="57"/>
      <c r="X843" s="58"/>
      <c r="Y843" s="75"/>
      <c r="Z843" s="59"/>
      <c r="AA843" s="61"/>
      <c r="AB843" s="61"/>
      <c r="AC843" s="61"/>
      <c r="AD843" s="62"/>
      <c r="AE843" s="62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34"/>
      <c r="AR843" s="34"/>
      <c r="AS843" s="34"/>
      <c r="AT843" s="34"/>
      <c r="AU843" s="34"/>
      <c r="AV843" s="34"/>
      <c r="AW843" s="34"/>
      <c r="AX843" s="34"/>
      <c r="AY843" s="34"/>
      <c r="AZ843" s="34"/>
      <c r="BA843" s="34"/>
      <c r="BB843" s="34"/>
      <c r="BD843" s="34"/>
      <c r="BE843" s="34"/>
      <c r="BF843" s="34"/>
      <c r="BG843" s="34"/>
      <c r="BH843" s="34"/>
      <c r="BI843" s="34"/>
      <c r="BJ843" s="34"/>
      <c r="BK843" s="34"/>
      <c r="BL843" s="34"/>
      <c r="BM843" s="34"/>
      <c r="BN843" s="34"/>
      <c r="BO843" s="34"/>
      <c r="BP843" s="34"/>
      <c r="BQ843" s="34"/>
      <c r="BR843" s="34"/>
      <c r="BS843" s="34"/>
      <c r="BT843" s="34"/>
      <c r="BU843" s="34"/>
      <c r="BV843" s="34"/>
      <c r="BW843" s="34"/>
      <c r="BX843" s="34"/>
      <c r="BY843" s="34"/>
    </row>
    <row r="844" spans="1:77" x14ac:dyDescent="0.3">
      <c r="A844" s="39"/>
      <c r="B844" s="42"/>
      <c r="C844" s="42"/>
      <c r="D844" s="75"/>
      <c r="E844" s="75"/>
      <c r="F844" s="76"/>
      <c r="G844" s="47"/>
      <c r="H844" s="47"/>
      <c r="I844" s="75"/>
      <c r="J844" s="76"/>
      <c r="K844" s="76"/>
      <c r="L844" s="75"/>
      <c r="M844" s="49"/>
      <c r="N844" s="76"/>
      <c r="O844" s="49"/>
      <c r="P844" s="77"/>
      <c r="Q844" s="53"/>
      <c r="R844" s="54"/>
      <c r="S844" s="55"/>
      <c r="T844" s="56"/>
      <c r="U844" s="56"/>
      <c r="V844" s="42"/>
      <c r="W844" s="57"/>
      <c r="X844" s="58"/>
      <c r="Y844" s="75"/>
      <c r="Z844" s="59"/>
      <c r="AA844" s="61"/>
      <c r="AB844" s="61"/>
      <c r="AC844" s="61"/>
      <c r="AD844" s="62"/>
      <c r="AE844" s="62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  <c r="AQ844" s="34"/>
      <c r="AR844" s="34"/>
      <c r="AS844" s="34"/>
      <c r="AT844" s="34"/>
      <c r="AU844" s="34"/>
      <c r="AV844" s="34"/>
      <c r="AW844" s="34"/>
      <c r="AX844" s="34"/>
      <c r="AY844" s="34"/>
      <c r="AZ844" s="34"/>
      <c r="BA844" s="34"/>
      <c r="BB844" s="34"/>
      <c r="BD844" s="34"/>
      <c r="BE844" s="34"/>
      <c r="BF844" s="34"/>
      <c r="BG844" s="34"/>
      <c r="BH844" s="34"/>
      <c r="BI844" s="34"/>
      <c r="BJ844" s="34"/>
      <c r="BK844" s="34"/>
      <c r="BL844" s="34"/>
      <c r="BM844" s="34"/>
      <c r="BN844" s="34"/>
      <c r="BO844" s="34"/>
      <c r="BP844" s="34"/>
      <c r="BQ844" s="34"/>
      <c r="BR844" s="34"/>
      <c r="BS844" s="34"/>
      <c r="BT844" s="34"/>
      <c r="BU844" s="34"/>
      <c r="BV844" s="34"/>
      <c r="BW844" s="34"/>
      <c r="BX844" s="34"/>
      <c r="BY844" s="34"/>
    </row>
    <row r="845" spans="1:77" x14ac:dyDescent="0.3">
      <c r="A845" s="39"/>
      <c r="B845" s="42"/>
      <c r="C845" s="42"/>
      <c r="D845" s="75"/>
      <c r="E845" s="75"/>
      <c r="F845" s="76"/>
      <c r="G845" s="47"/>
      <c r="H845" s="47"/>
      <c r="I845" s="75"/>
      <c r="J845" s="76"/>
      <c r="K845" s="76"/>
      <c r="L845" s="75"/>
      <c r="M845" s="49"/>
      <c r="N845" s="76"/>
      <c r="O845" s="49"/>
      <c r="P845" s="77"/>
      <c r="Q845" s="53"/>
      <c r="R845" s="54"/>
      <c r="S845" s="55"/>
      <c r="T845" s="56"/>
      <c r="U845" s="56"/>
      <c r="V845" s="42"/>
      <c r="W845" s="57"/>
      <c r="X845" s="58"/>
      <c r="Y845" s="75"/>
      <c r="Z845" s="59"/>
      <c r="AA845" s="61"/>
      <c r="AB845" s="61"/>
      <c r="AC845" s="61"/>
      <c r="AD845" s="62"/>
      <c r="AE845" s="62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  <c r="AQ845" s="34"/>
      <c r="AR845" s="34"/>
      <c r="AS845" s="34"/>
      <c r="AT845" s="34"/>
      <c r="AU845" s="34"/>
      <c r="AV845" s="34"/>
      <c r="AW845" s="34"/>
      <c r="AX845" s="34"/>
      <c r="AY845" s="34"/>
      <c r="AZ845" s="34"/>
      <c r="BA845" s="34"/>
      <c r="BB845" s="34"/>
      <c r="BD845" s="34"/>
      <c r="BE845" s="34"/>
      <c r="BF845" s="34"/>
      <c r="BG845" s="34"/>
      <c r="BH845" s="34"/>
      <c r="BI845" s="34"/>
      <c r="BJ845" s="34"/>
      <c r="BK845" s="34"/>
      <c r="BL845" s="34"/>
      <c r="BM845" s="34"/>
      <c r="BN845" s="34"/>
      <c r="BO845" s="34"/>
      <c r="BP845" s="34"/>
      <c r="BQ845" s="34"/>
      <c r="BR845" s="34"/>
      <c r="BS845" s="34"/>
      <c r="BT845" s="34"/>
      <c r="BU845" s="34"/>
      <c r="BV845" s="34"/>
      <c r="BW845" s="34"/>
      <c r="BX845" s="34"/>
      <c r="BY845" s="34"/>
    </row>
    <row r="846" spans="1:77" x14ac:dyDescent="0.3">
      <c r="A846" s="39"/>
      <c r="B846" s="42"/>
      <c r="C846" s="42"/>
      <c r="D846" s="75"/>
      <c r="E846" s="75"/>
      <c r="F846" s="76"/>
      <c r="G846" s="47"/>
      <c r="H846" s="47"/>
      <c r="I846" s="75"/>
      <c r="J846" s="76"/>
      <c r="K846" s="76"/>
      <c r="L846" s="75"/>
      <c r="M846" s="49"/>
      <c r="N846" s="76"/>
      <c r="O846" s="49"/>
      <c r="P846" s="77"/>
      <c r="Q846" s="53"/>
      <c r="R846" s="54"/>
      <c r="S846" s="55"/>
      <c r="T846" s="56"/>
      <c r="U846" s="56"/>
      <c r="V846" s="42"/>
      <c r="W846" s="57"/>
      <c r="X846" s="58"/>
      <c r="Y846" s="75"/>
      <c r="Z846" s="59"/>
      <c r="AA846" s="61"/>
      <c r="AB846" s="61"/>
      <c r="AC846" s="61"/>
      <c r="AD846" s="62"/>
      <c r="AE846" s="62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34"/>
      <c r="AR846" s="34"/>
      <c r="AS846" s="34"/>
      <c r="AT846" s="34"/>
      <c r="AU846" s="34"/>
      <c r="AV846" s="34"/>
      <c r="AW846" s="34"/>
      <c r="AX846" s="34"/>
      <c r="AY846" s="34"/>
      <c r="AZ846" s="34"/>
      <c r="BA846" s="34"/>
      <c r="BB846" s="34"/>
      <c r="BD846" s="34"/>
      <c r="BE846" s="34"/>
      <c r="BF846" s="34"/>
      <c r="BG846" s="34"/>
      <c r="BH846" s="34"/>
      <c r="BI846" s="34"/>
      <c r="BJ846" s="34"/>
      <c r="BK846" s="34"/>
      <c r="BL846" s="34"/>
      <c r="BM846" s="34"/>
      <c r="BN846" s="34"/>
      <c r="BO846" s="34"/>
      <c r="BP846" s="34"/>
      <c r="BQ846" s="34"/>
      <c r="BR846" s="34"/>
      <c r="BS846" s="34"/>
      <c r="BT846" s="34"/>
      <c r="BU846" s="34"/>
      <c r="BV846" s="34"/>
      <c r="BW846" s="34"/>
      <c r="BX846" s="34"/>
      <c r="BY846" s="34"/>
    </row>
    <row r="847" spans="1:77" x14ac:dyDescent="0.3">
      <c r="A847" s="39"/>
      <c r="B847" s="42"/>
      <c r="C847" s="42"/>
      <c r="D847" s="75"/>
      <c r="E847" s="75"/>
      <c r="F847" s="76"/>
      <c r="G847" s="47"/>
      <c r="H847" s="47"/>
      <c r="I847" s="75"/>
      <c r="J847" s="76"/>
      <c r="K847" s="76"/>
      <c r="L847" s="75"/>
      <c r="M847" s="49"/>
      <c r="N847" s="76"/>
      <c r="O847" s="49"/>
      <c r="P847" s="77"/>
      <c r="Q847" s="53"/>
      <c r="R847" s="54"/>
      <c r="S847" s="55"/>
      <c r="T847" s="56"/>
      <c r="U847" s="56"/>
      <c r="V847" s="42"/>
      <c r="W847" s="57"/>
      <c r="X847" s="58"/>
      <c r="Y847" s="75"/>
      <c r="Z847" s="59"/>
      <c r="AA847" s="61"/>
      <c r="AB847" s="61"/>
      <c r="AC847" s="61"/>
      <c r="AD847" s="62"/>
      <c r="AE847" s="62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  <c r="AQ847" s="34"/>
      <c r="AR847" s="34"/>
      <c r="AS847" s="34"/>
      <c r="AT847" s="34"/>
      <c r="AU847" s="34"/>
      <c r="AV847" s="34"/>
      <c r="AW847" s="34"/>
      <c r="AX847" s="34"/>
      <c r="AY847" s="34"/>
      <c r="AZ847" s="34"/>
      <c r="BA847" s="34"/>
      <c r="BB847" s="34"/>
      <c r="BD847" s="34"/>
      <c r="BE847" s="34"/>
      <c r="BF847" s="34"/>
      <c r="BG847" s="34"/>
      <c r="BH847" s="34"/>
      <c r="BI847" s="34"/>
      <c r="BJ847" s="34"/>
      <c r="BK847" s="34"/>
      <c r="BL847" s="34"/>
      <c r="BM847" s="34"/>
      <c r="BN847" s="34"/>
      <c r="BO847" s="34"/>
      <c r="BP847" s="34"/>
      <c r="BQ847" s="34"/>
      <c r="BR847" s="34"/>
      <c r="BS847" s="34"/>
      <c r="BT847" s="34"/>
      <c r="BU847" s="34"/>
      <c r="BV847" s="34"/>
      <c r="BW847" s="34"/>
      <c r="BX847" s="34"/>
      <c r="BY847" s="34"/>
    </row>
    <row r="848" spans="1:77" x14ac:dyDescent="0.3">
      <c r="A848" s="39"/>
      <c r="B848" s="42"/>
      <c r="C848" s="42"/>
      <c r="D848" s="75"/>
      <c r="E848" s="75"/>
      <c r="F848" s="76"/>
      <c r="G848" s="47"/>
      <c r="H848" s="47"/>
      <c r="I848" s="75"/>
      <c r="J848" s="76"/>
      <c r="K848" s="76"/>
      <c r="L848" s="75"/>
      <c r="M848" s="49"/>
      <c r="N848" s="76"/>
      <c r="O848" s="49"/>
      <c r="P848" s="77"/>
      <c r="Q848" s="53"/>
      <c r="R848" s="54"/>
      <c r="S848" s="55"/>
      <c r="T848" s="56"/>
      <c r="U848" s="56"/>
      <c r="V848" s="42"/>
      <c r="W848" s="57"/>
      <c r="X848" s="58"/>
      <c r="Y848" s="75"/>
      <c r="Z848" s="59"/>
      <c r="AA848" s="61"/>
      <c r="AB848" s="61"/>
      <c r="AC848" s="61"/>
      <c r="AD848" s="62"/>
      <c r="AE848" s="62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  <c r="AQ848" s="34"/>
      <c r="AR848" s="34"/>
      <c r="AS848" s="34"/>
      <c r="AT848" s="34"/>
      <c r="AU848" s="34"/>
      <c r="AV848" s="34"/>
      <c r="AW848" s="34"/>
      <c r="AX848" s="34"/>
      <c r="AY848" s="34"/>
      <c r="AZ848" s="34"/>
      <c r="BA848" s="34"/>
      <c r="BB848" s="34"/>
      <c r="BD848" s="34"/>
      <c r="BE848" s="34"/>
      <c r="BF848" s="34"/>
      <c r="BG848" s="34"/>
      <c r="BH848" s="34"/>
      <c r="BI848" s="34"/>
      <c r="BJ848" s="34"/>
      <c r="BK848" s="34"/>
      <c r="BL848" s="34"/>
      <c r="BM848" s="34"/>
      <c r="BN848" s="34"/>
      <c r="BO848" s="34"/>
      <c r="BP848" s="34"/>
      <c r="BQ848" s="34"/>
      <c r="BR848" s="34"/>
      <c r="BS848" s="34"/>
      <c r="BT848" s="34"/>
      <c r="BU848" s="34"/>
      <c r="BV848" s="34"/>
      <c r="BW848" s="34"/>
      <c r="BX848" s="34"/>
      <c r="BY848" s="34"/>
    </row>
    <row r="849" spans="1:77" x14ac:dyDescent="0.3">
      <c r="A849" s="39"/>
      <c r="B849" s="42"/>
      <c r="C849" s="42"/>
      <c r="D849" s="75"/>
      <c r="E849" s="75"/>
      <c r="F849" s="76"/>
      <c r="G849" s="47"/>
      <c r="H849" s="47"/>
      <c r="I849" s="75"/>
      <c r="J849" s="76"/>
      <c r="K849" s="76"/>
      <c r="L849" s="75"/>
      <c r="M849" s="49"/>
      <c r="N849" s="76"/>
      <c r="O849" s="49"/>
      <c r="P849" s="77"/>
      <c r="Q849" s="53"/>
      <c r="R849" s="54"/>
      <c r="S849" s="55"/>
      <c r="T849" s="56"/>
      <c r="U849" s="56"/>
      <c r="V849" s="42"/>
      <c r="W849" s="57"/>
      <c r="X849" s="58"/>
      <c r="Y849" s="75"/>
      <c r="Z849" s="59"/>
      <c r="AA849" s="61"/>
      <c r="AB849" s="61"/>
      <c r="AC849" s="61"/>
      <c r="AD849" s="62"/>
      <c r="AE849" s="62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34"/>
      <c r="AR849" s="34"/>
      <c r="AS849" s="34"/>
      <c r="AT849" s="34"/>
      <c r="AU849" s="34"/>
      <c r="AV849" s="34"/>
      <c r="AW849" s="34"/>
      <c r="AX849" s="34"/>
      <c r="AY849" s="34"/>
      <c r="AZ849" s="34"/>
      <c r="BA849" s="34"/>
      <c r="BB849" s="34"/>
      <c r="BD849" s="34"/>
      <c r="BE849" s="34"/>
      <c r="BF849" s="34"/>
      <c r="BG849" s="34"/>
      <c r="BH849" s="34"/>
      <c r="BI849" s="34"/>
      <c r="BJ849" s="34"/>
      <c r="BK849" s="34"/>
      <c r="BL849" s="34"/>
      <c r="BM849" s="34"/>
      <c r="BN849" s="34"/>
      <c r="BO849" s="34"/>
      <c r="BP849" s="34"/>
      <c r="BQ849" s="34"/>
      <c r="BR849" s="34"/>
      <c r="BS849" s="34"/>
      <c r="BT849" s="34"/>
      <c r="BU849" s="34"/>
      <c r="BV849" s="34"/>
      <c r="BW849" s="34"/>
      <c r="BX849" s="34"/>
      <c r="BY849" s="34"/>
    </row>
    <row r="850" spans="1:77" x14ac:dyDescent="0.3">
      <c r="A850" s="39"/>
      <c r="B850" s="42"/>
      <c r="C850" s="42"/>
      <c r="D850" s="75"/>
      <c r="E850" s="75"/>
      <c r="F850" s="76"/>
      <c r="G850" s="47"/>
      <c r="H850" s="47"/>
      <c r="I850" s="75"/>
      <c r="J850" s="76"/>
      <c r="K850" s="76"/>
      <c r="L850" s="75"/>
      <c r="M850" s="49"/>
      <c r="N850" s="76"/>
      <c r="O850" s="49"/>
      <c r="P850" s="77"/>
      <c r="Q850" s="53"/>
      <c r="R850" s="54"/>
      <c r="S850" s="55"/>
      <c r="T850" s="56"/>
      <c r="U850" s="56"/>
      <c r="V850" s="42"/>
      <c r="W850" s="57"/>
      <c r="X850" s="58"/>
      <c r="Y850" s="75"/>
      <c r="Z850" s="59"/>
      <c r="AA850" s="61"/>
      <c r="AB850" s="61"/>
      <c r="AC850" s="61"/>
      <c r="AD850" s="62"/>
      <c r="AE850" s="62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34"/>
      <c r="AR850" s="34"/>
      <c r="AS850" s="34"/>
      <c r="AT850" s="34"/>
      <c r="AU850" s="34"/>
      <c r="AV850" s="34"/>
      <c r="AW850" s="34"/>
      <c r="AX850" s="34"/>
      <c r="AY850" s="34"/>
      <c r="AZ850" s="34"/>
      <c r="BA850" s="34"/>
      <c r="BB850" s="34"/>
      <c r="BD850" s="34"/>
      <c r="BE850" s="34"/>
      <c r="BF850" s="34"/>
      <c r="BG850" s="34"/>
      <c r="BH850" s="34"/>
      <c r="BI850" s="34"/>
      <c r="BJ850" s="34"/>
      <c r="BK850" s="34"/>
      <c r="BL850" s="34"/>
      <c r="BM850" s="34"/>
      <c r="BN850" s="34"/>
      <c r="BO850" s="34"/>
      <c r="BP850" s="34"/>
      <c r="BQ850" s="34"/>
      <c r="BR850" s="34"/>
      <c r="BS850" s="34"/>
      <c r="BT850" s="34"/>
      <c r="BU850" s="34"/>
      <c r="BV850" s="34"/>
      <c r="BW850" s="34"/>
      <c r="BX850" s="34"/>
      <c r="BY850" s="34"/>
    </row>
    <row r="851" spans="1:77" x14ac:dyDescent="0.3">
      <c r="A851" s="39"/>
      <c r="B851" s="42"/>
      <c r="C851" s="42"/>
      <c r="D851" s="75"/>
      <c r="E851" s="75"/>
      <c r="F851" s="76"/>
      <c r="G851" s="47"/>
      <c r="H851" s="47"/>
      <c r="I851" s="75"/>
      <c r="J851" s="76"/>
      <c r="K851" s="76"/>
      <c r="L851" s="75"/>
      <c r="M851" s="49"/>
      <c r="N851" s="76"/>
      <c r="O851" s="49"/>
      <c r="P851" s="77"/>
      <c r="Q851" s="53"/>
      <c r="R851" s="54"/>
      <c r="S851" s="55"/>
      <c r="T851" s="56"/>
      <c r="U851" s="56"/>
      <c r="V851" s="42"/>
      <c r="W851" s="57"/>
      <c r="X851" s="58"/>
      <c r="Y851" s="75"/>
      <c r="Z851" s="59"/>
      <c r="AA851" s="61"/>
      <c r="AB851" s="61"/>
      <c r="AC851" s="61"/>
      <c r="AD851" s="62"/>
      <c r="AE851" s="62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34"/>
      <c r="AR851" s="34"/>
      <c r="AS851" s="34"/>
      <c r="AT851" s="34"/>
      <c r="AU851" s="34"/>
      <c r="AV851" s="34"/>
      <c r="AW851" s="34"/>
      <c r="AX851" s="34"/>
      <c r="AY851" s="34"/>
      <c r="AZ851" s="34"/>
      <c r="BA851" s="34"/>
      <c r="BB851" s="34"/>
      <c r="BD851" s="34"/>
      <c r="BE851" s="34"/>
      <c r="BF851" s="34"/>
      <c r="BG851" s="34"/>
      <c r="BH851" s="34"/>
      <c r="BI851" s="34"/>
      <c r="BJ851" s="34"/>
      <c r="BK851" s="34"/>
      <c r="BL851" s="34"/>
      <c r="BM851" s="34"/>
      <c r="BN851" s="34"/>
      <c r="BO851" s="34"/>
      <c r="BP851" s="34"/>
      <c r="BQ851" s="34"/>
      <c r="BR851" s="34"/>
      <c r="BS851" s="34"/>
      <c r="BT851" s="34"/>
      <c r="BU851" s="34"/>
      <c r="BV851" s="34"/>
      <c r="BW851" s="34"/>
      <c r="BX851" s="34"/>
      <c r="BY851" s="34"/>
    </row>
    <row r="852" spans="1:77" x14ac:dyDescent="0.3">
      <c r="A852" s="39"/>
      <c r="B852" s="42"/>
      <c r="C852" s="42"/>
      <c r="D852" s="75"/>
      <c r="E852" s="75"/>
      <c r="F852" s="76"/>
      <c r="G852" s="47"/>
      <c r="H852" s="47"/>
      <c r="I852" s="75"/>
      <c r="J852" s="76"/>
      <c r="K852" s="76"/>
      <c r="L852" s="75"/>
      <c r="M852" s="49"/>
      <c r="N852" s="76"/>
      <c r="O852" s="49"/>
      <c r="P852" s="77"/>
      <c r="Q852" s="53"/>
      <c r="R852" s="54"/>
      <c r="S852" s="55"/>
      <c r="T852" s="56"/>
      <c r="U852" s="56"/>
      <c r="V852" s="42"/>
      <c r="W852" s="57"/>
      <c r="X852" s="58"/>
      <c r="Y852" s="75"/>
      <c r="Z852" s="59"/>
      <c r="AA852" s="61"/>
      <c r="AB852" s="61"/>
      <c r="AC852" s="61"/>
      <c r="AD852" s="62"/>
      <c r="AE852" s="62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  <c r="AQ852" s="34"/>
      <c r="AR852" s="34"/>
      <c r="AS852" s="34"/>
      <c r="AT852" s="34"/>
      <c r="AU852" s="34"/>
      <c r="AV852" s="34"/>
      <c r="AW852" s="34"/>
      <c r="AX852" s="34"/>
      <c r="AY852" s="34"/>
      <c r="AZ852" s="34"/>
      <c r="BA852" s="34"/>
      <c r="BB852" s="34"/>
      <c r="BD852" s="34"/>
      <c r="BE852" s="34"/>
      <c r="BF852" s="34"/>
      <c r="BG852" s="34"/>
      <c r="BH852" s="34"/>
      <c r="BI852" s="34"/>
      <c r="BJ852" s="34"/>
      <c r="BK852" s="34"/>
      <c r="BL852" s="34"/>
      <c r="BM852" s="34"/>
      <c r="BN852" s="34"/>
      <c r="BO852" s="34"/>
      <c r="BP852" s="34"/>
      <c r="BQ852" s="34"/>
      <c r="BR852" s="34"/>
      <c r="BS852" s="34"/>
      <c r="BT852" s="34"/>
      <c r="BU852" s="34"/>
      <c r="BV852" s="34"/>
      <c r="BW852" s="34"/>
      <c r="BX852" s="34"/>
      <c r="BY852" s="34"/>
    </row>
    <row r="853" spans="1:77" x14ac:dyDescent="0.3">
      <c r="A853" s="39"/>
      <c r="B853" s="42"/>
      <c r="C853" s="42"/>
      <c r="D853" s="75"/>
      <c r="E853" s="75"/>
      <c r="F853" s="76"/>
      <c r="G853" s="47"/>
      <c r="H853" s="47"/>
      <c r="I853" s="75"/>
      <c r="J853" s="76"/>
      <c r="K853" s="76"/>
      <c r="L853" s="75"/>
      <c r="M853" s="49"/>
      <c r="N853" s="76"/>
      <c r="O853" s="49"/>
      <c r="P853" s="77"/>
      <c r="Q853" s="53"/>
      <c r="R853" s="54"/>
      <c r="S853" s="55"/>
      <c r="T853" s="56"/>
      <c r="U853" s="56"/>
      <c r="V853" s="42"/>
      <c r="W853" s="57"/>
      <c r="X853" s="58"/>
      <c r="Y853" s="75"/>
      <c r="Z853" s="59"/>
      <c r="AA853" s="61"/>
      <c r="AB853" s="61"/>
      <c r="AC853" s="61"/>
      <c r="AD853" s="62"/>
      <c r="AE853" s="62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34"/>
      <c r="AR853" s="34"/>
      <c r="AS853" s="34"/>
      <c r="AT853" s="34"/>
      <c r="AU853" s="34"/>
      <c r="AV853" s="34"/>
      <c r="AW853" s="34"/>
      <c r="AX853" s="34"/>
      <c r="AY853" s="34"/>
      <c r="AZ853" s="34"/>
      <c r="BA853" s="34"/>
      <c r="BB853" s="34"/>
      <c r="BD853" s="34"/>
      <c r="BE853" s="34"/>
      <c r="BF853" s="34"/>
      <c r="BG853" s="34"/>
      <c r="BH853" s="34"/>
      <c r="BI853" s="34"/>
      <c r="BJ853" s="34"/>
      <c r="BK853" s="34"/>
      <c r="BL853" s="34"/>
      <c r="BM853" s="34"/>
      <c r="BN853" s="34"/>
      <c r="BO853" s="34"/>
      <c r="BP853" s="34"/>
      <c r="BQ853" s="34"/>
      <c r="BR853" s="34"/>
      <c r="BS853" s="34"/>
      <c r="BT853" s="34"/>
      <c r="BU853" s="34"/>
      <c r="BV853" s="34"/>
      <c r="BW853" s="34"/>
      <c r="BX853" s="34"/>
      <c r="BY853" s="34"/>
    </row>
    <row r="854" spans="1:77" x14ac:dyDescent="0.3">
      <c r="A854" s="39"/>
      <c r="B854" s="42"/>
      <c r="C854" s="42"/>
      <c r="D854" s="75"/>
      <c r="E854" s="75"/>
      <c r="F854" s="76"/>
      <c r="G854" s="47"/>
      <c r="H854" s="47"/>
      <c r="I854" s="75"/>
      <c r="J854" s="76"/>
      <c r="K854" s="76"/>
      <c r="L854" s="75"/>
      <c r="M854" s="49"/>
      <c r="N854" s="76"/>
      <c r="O854" s="49"/>
      <c r="P854" s="77"/>
      <c r="Q854" s="53"/>
      <c r="R854" s="54"/>
      <c r="S854" s="55"/>
      <c r="T854" s="56"/>
      <c r="U854" s="56"/>
      <c r="V854" s="42"/>
      <c r="W854" s="57"/>
      <c r="X854" s="58"/>
      <c r="Y854" s="75"/>
      <c r="Z854" s="59"/>
      <c r="AA854" s="61"/>
      <c r="AB854" s="61"/>
      <c r="AC854" s="61"/>
      <c r="AD854" s="62"/>
      <c r="AE854" s="62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34"/>
      <c r="AR854" s="34"/>
      <c r="AS854" s="34"/>
      <c r="AT854" s="34"/>
      <c r="AU854" s="34"/>
      <c r="AV854" s="34"/>
      <c r="AW854" s="34"/>
      <c r="AX854" s="34"/>
      <c r="AY854" s="34"/>
      <c r="AZ854" s="34"/>
      <c r="BA854" s="34"/>
      <c r="BB854" s="34"/>
      <c r="BD854" s="34"/>
      <c r="BE854" s="34"/>
      <c r="BF854" s="34"/>
      <c r="BG854" s="34"/>
      <c r="BH854" s="34"/>
      <c r="BI854" s="34"/>
      <c r="BJ854" s="34"/>
      <c r="BK854" s="34"/>
      <c r="BL854" s="34"/>
      <c r="BM854" s="34"/>
      <c r="BN854" s="34"/>
      <c r="BO854" s="34"/>
      <c r="BP854" s="34"/>
      <c r="BQ854" s="34"/>
      <c r="BR854" s="34"/>
      <c r="BS854" s="34"/>
      <c r="BT854" s="34"/>
      <c r="BU854" s="34"/>
      <c r="BV854" s="34"/>
      <c r="BW854" s="34"/>
      <c r="BX854" s="34"/>
      <c r="BY854" s="34"/>
    </row>
    <row r="855" spans="1:77" x14ac:dyDescent="0.3">
      <c r="A855" s="39"/>
      <c r="B855" s="42"/>
      <c r="C855" s="42"/>
      <c r="D855" s="75"/>
      <c r="E855" s="75"/>
      <c r="F855" s="76"/>
      <c r="G855" s="47"/>
      <c r="H855" s="47"/>
      <c r="I855" s="75"/>
      <c r="J855" s="76"/>
      <c r="K855" s="76"/>
      <c r="L855" s="75"/>
      <c r="M855" s="49"/>
      <c r="N855" s="76"/>
      <c r="O855" s="49"/>
      <c r="P855" s="77"/>
      <c r="Q855" s="53"/>
      <c r="R855" s="54"/>
      <c r="S855" s="55"/>
      <c r="T855" s="56"/>
      <c r="U855" s="56"/>
      <c r="V855" s="42"/>
      <c r="W855" s="57"/>
      <c r="X855" s="58"/>
      <c r="Y855" s="75"/>
      <c r="Z855" s="59"/>
      <c r="AA855" s="61"/>
      <c r="AB855" s="61"/>
      <c r="AC855" s="61"/>
      <c r="AD855" s="62"/>
      <c r="AE855" s="62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34"/>
      <c r="AR855" s="34"/>
      <c r="AS855" s="34"/>
      <c r="AT855" s="34"/>
      <c r="AU855" s="34"/>
      <c r="AV855" s="34"/>
      <c r="AW855" s="34"/>
      <c r="AX855" s="34"/>
      <c r="AY855" s="34"/>
      <c r="AZ855" s="34"/>
      <c r="BA855" s="34"/>
      <c r="BB855" s="34"/>
      <c r="BD855" s="34"/>
      <c r="BE855" s="34"/>
      <c r="BF855" s="34"/>
      <c r="BG855" s="34"/>
      <c r="BH855" s="34"/>
      <c r="BI855" s="34"/>
      <c r="BJ855" s="34"/>
      <c r="BK855" s="34"/>
      <c r="BL855" s="34"/>
      <c r="BM855" s="34"/>
      <c r="BN855" s="34"/>
      <c r="BO855" s="34"/>
      <c r="BP855" s="34"/>
      <c r="BQ855" s="34"/>
      <c r="BR855" s="34"/>
      <c r="BS855" s="34"/>
      <c r="BT855" s="34"/>
      <c r="BU855" s="34"/>
      <c r="BV855" s="34"/>
      <c r="BW855" s="34"/>
      <c r="BX855" s="34"/>
      <c r="BY855" s="34"/>
    </row>
    <row r="856" spans="1:77" x14ac:dyDescent="0.3">
      <c r="A856" s="39"/>
      <c r="B856" s="42"/>
      <c r="C856" s="42"/>
      <c r="D856" s="75"/>
      <c r="E856" s="75"/>
      <c r="F856" s="76"/>
      <c r="G856" s="47"/>
      <c r="H856" s="47"/>
      <c r="I856" s="75"/>
      <c r="J856" s="76"/>
      <c r="K856" s="76"/>
      <c r="L856" s="75"/>
      <c r="M856" s="49"/>
      <c r="N856" s="76"/>
      <c r="O856" s="49"/>
      <c r="P856" s="77"/>
      <c r="Q856" s="53"/>
      <c r="R856" s="54"/>
      <c r="S856" s="55"/>
      <c r="T856" s="56"/>
      <c r="U856" s="56"/>
      <c r="V856" s="42"/>
      <c r="W856" s="57"/>
      <c r="X856" s="58"/>
      <c r="Y856" s="75"/>
      <c r="Z856" s="59"/>
      <c r="AA856" s="61"/>
      <c r="AB856" s="61"/>
      <c r="AC856" s="61"/>
      <c r="AD856" s="62"/>
      <c r="AE856" s="62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34"/>
      <c r="AR856" s="34"/>
      <c r="AS856" s="34"/>
      <c r="AT856" s="34"/>
      <c r="AU856" s="34"/>
      <c r="AV856" s="34"/>
      <c r="AW856" s="34"/>
      <c r="AX856" s="34"/>
      <c r="AY856" s="34"/>
      <c r="AZ856" s="34"/>
      <c r="BA856" s="34"/>
      <c r="BB856" s="34"/>
      <c r="BD856" s="34"/>
      <c r="BE856" s="34"/>
      <c r="BF856" s="34"/>
      <c r="BG856" s="34"/>
      <c r="BH856" s="34"/>
      <c r="BI856" s="34"/>
      <c r="BJ856" s="34"/>
      <c r="BK856" s="34"/>
      <c r="BL856" s="34"/>
      <c r="BM856" s="34"/>
      <c r="BN856" s="34"/>
      <c r="BO856" s="34"/>
      <c r="BP856" s="34"/>
      <c r="BQ856" s="34"/>
      <c r="BR856" s="34"/>
      <c r="BS856" s="34"/>
      <c r="BT856" s="34"/>
      <c r="BU856" s="34"/>
      <c r="BV856" s="34"/>
      <c r="BW856" s="34"/>
      <c r="BX856" s="34"/>
      <c r="BY856" s="34"/>
    </row>
    <row r="857" spans="1:77" x14ac:dyDescent="0.3">
      <c r="A857" s="39"/>
      <c r="B857" s="42"/>
      <c r="C857" s="42"/>
      <c r="D857" s="75"/>
      <c r="E857" s="75"/>
      <c r="F857" s="76"/>
      <c r="G857" s="47"/>
      <c r="H857" s="47"/>
      <c r="I857" s="75"/>
      <c r="J857" s="76"/>
      <c r="K857" s="76"/>
      <c r="L857" s="75"/>
      <c r="M857" s="49"/>
      <c r="N857" s="76"/>
      <c r="O857" s="49"/>
      <c r="P857" s="77"/>
      <c r="Q857" s="53"/>
      <c r="R857" s="54"/>
      <c r="S857" s="55"/>
      <c r="T857" s="56"/>
      <c r="U857" s="56"/>
      <c r="V857" s="42"/>
      <c r="W857" s="57"/>
      <c r="X857" s="58"/>
      <c r="Y857" s="75"/>
      <c r="Z857" s="59"/>
      <c r="AA857" s="61"/>
      <c r="AB857" s="61"/>
      <c r="AC857" s="61"/>
      <c r="AD857" s="62"/>
      <c r="AE857" s="62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34"/>
      <c r="AR857" s="34"/>
      <c r="AS857" s="34"/>
      <c r="AT857" s="34"/>
      <c r="AU857" s="34"/>
      <c r="AV857" s="34"/>
      <c r="AW857" s="34"/>
      <c r="AX857" s="34"/>
      <c r="AY857" s="34"/>
      <c r="AZ857" s="34"/>
      <c r="BA857" s="34"/>
      <c r="BB857" s="34"/>
      <c r="BD857" s="34"/>
      <c r="BE857" s="34"/>
      <c r="BF857" s="34"/>
      <c r="BG857" s="34"/>
      <c r="BH857" s="34"/>
      <c r="BI857" s="34"/>
      <c r="BJ857" s="34"/>
      <c r="BK857" s="34"/>
      <c r="BL857" s="34"/>
      <c r="BM857" s="34"/>
      <c r="BN857" s="34"/>
      <c r="BO857" s="34"/>
      <c r="BP857" s="34"/>
      <c r="BQ857" s="34"/>
      <c r="BR857" s="34"/>
      <c r="BS857" s="34"/>
      <c r="BT857" s="34"/>
      <c r="BU857" s="34"/>
      <c r="BV857" s="34"/>
      <c r="BW857" s="34"/>
      <c r="BX857" s="34"/>
      <c r="BY857" s="34"/>
    </row>
    <row r="858" spans="1:77" x14ac:dyDescent="0.3">
      <c r="A858" s="39"/>
      <c r="B858" s="42"/>
      <c r="C858" s="42"/>
      <c r="D858" s="75"/>
      <c r="E858" s="75"/>
      <c r="F858" s="76"/>
      <c r="G858" s="47"/>
      <c r="H858" s="47"/>
      <c r="I858" s="75"/>
      <c r="J858" s="76"/>
      <c r="K858" s="76"/>
      <c r="L858" s="75"/>
      <c r="M858" s="49"/>
      <c r="N858" s="76"/>
      <c r="O858" s="49"/>
      <c r="P858" s="77"/>
      <c r="Q858" s="53"/>
      <c r="R858" s="54"/>
      <c r="S858" s="55"/>
      <c r="T858" s="56"/>
      <c r="U858" s="56"/>
      <c r="V858" s="42"/>
      <c r="W858" s="57"/>
      <c r="X858" s="58"/>
      <c r="Y858" s="75"/>
      <c r="Z858" s="59"/>
      <c r="AA858" s="61"/>
      <c r="AB858" s="61"/>
      <c r="AC858" s="61"/>
      <c r="AD858" s="62"/>
      <c r="AE858" s="62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34"/>
      <c r="AR858" s="34"/>
      <c r="AS858" s="34"/>
      <c r="AT858" s="34"/>
      <c r="AU858" s="34"/>
      <c r="AV858" s="34"/>
      <c r="AW858" s="34"/>
      <c r="AX858" s="34"/>
      <c r="AY858" s="34"/>
      <c r="AZ858" s="34"/>
      <c r="BA858" s="34"/>
      <c r="BB858" s="34"/>
      <c r="BD858" s="34"/>
      <c r="BE858" s="34"/>
      <c r="BF858" s="34"/>
      <c r="BG858" s="34"/>
      <c r="BH858" s="34"/>
      <c r="BI858" s="34"/>
      <c r="BJ858" s="34"/>
      <c r="BK858" s="34"/>
      <c r="BL858" s="34"/>
      <c r="BM858" s="34"/>
      <c r="BN858" s="34"/>
      <c r="BO858" s="34"/>
      <c r="BP858" s="34"/>
      <c r="BQ858" s="34"/>
      <c r="BR858" s="34"/>
      <c r="BS858" s="34"/>
      <c r="BT858" s="34"/>
      <c r="BU858" s="34"/>
      <c r="BV858" s="34"/>
      <c r="BW858" s="34"/>
      <c r="BX858" s="34"/>
      <c r="BY858" s="34"/>
    </row>
    <row r="859" spans="1:77" x14ac:dyDescent="0.3">
      <c r="A859" s="39"/>
      <c r="B859" s="42"/>
      <c r="C859" s="42"/>
      <c r="D859" s="75"/>
      <c r="E859" s="75"/>
      <c r="F859" s="76"/>
      <c r="G859" s="47"/>
      <c r="H859" s="47"/>
      <c r="I859" s="75"/>
      <c r="J859" s="76"/>
      <c r="K859" s="76"/>
      <c r="L859" s="75"/>
      <c r="M859" s="49"/>
      <c r="N859" s="76"/>
      <c r="O859" s="49"/>
      <c r="P859" s="77"/>
      <c r="Q859" s="53"/>
      <c r="R859" s="54"/>
      <c r="S859" s="55"/>
      <c r="T859" s="56"/>
      <c r="U859" s="56"/>
      <c r="V859" s="42"/>
      <c r="W859" s="57"/>
      <c r="X859" s="58"/>
      <c r="Y859" s="75"/>
      <c r="Z859" s="59"/>
      <c r="AA859" s="61"/>
      <c r="AB859" s="61"/>
      <c r="AC859" s="61"/>
      <c r="AD859" s="62"/>
      <c r="AE859" s="62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34"/>
      <c r="BA859" s="34"/>
      <c r="BB859" s="34"/>
      <c r="BD859" s="34"/>
      <c r="BE859" s="34"/>
      <c r="BF859" s="34"/>
      <c r="BG859" s="34"/>
      <c r="BH859" s="34"/>
      <c r="BI859" s="34"/>
      <c r="BJ859" s="34"/>
      <c r="BK859" s="34"/>
      <c r="BL859" s="34"/>
      <c r="BM859" s="34"/>
      <c r="BN859" s="34"/>
      <c r="BO859" s="34"/>
      <c r="BP859" s="34"/>
      <c r="BQ859" s="34"/>
      <c r="BR859" s="34"/>
      <c r="BS859" s="34"/>
      <c r="BT859" s="34"/>
      <c r="BU859" s="34"/>
      <c r="BV859" s="34"/>
      <c r="BW859" s="34"/>
      <c r="BX859" s="34"/>
      <c r="BY859" s="34"/>
    </row>
    <row r="860" spans="1:77" x14ac:dyDescent="0.3">
      <c r="A860" s="39"/>
      <c r="B860" s="42"/>
      <c r="C860" s="42"/>
      <c r="D860" s="75"/>
      <c r="E860" s="75"/>
      <c r="F860" s="76"/>
      <c r="G860" s="47"/>
      <c r="H860" s="47"/>
      <c r="I860" s="75"/>
      <c r="J860" s="76"/>
      <c r="K860" s="76"/>
      <c r="L860" s="75"/>
      <c r="M860" s="49"/>
      <c r="N860" s="76"/>
      <c r="O860" s="49"/>
      <c r="P860" s="77"/>
      <c r="Q860" s="53"/>
      <c r="R860" s="54"/>
      <c r="S860" s="55"/>
      <c r="T860" s="56"/>
      <c r="U860" s="56"/>
      <c r="V860" s="42"/>
      <c r="W860" s="57"/>
      <c r="X860" s="58"/>
      <c r="Y860" s="75"/>
      <c r="Z860" s="59"/>
      <c r="AA860" s="61"/>
      <c r="AB860" s="61"/>
      <c r="AC860" s="61"/>
      <c r="AD860" s="62"/>
      <c r="AE860" s="62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34"/>
      <c r="AR860" s="34"/>
      <c r="AS860" s="34"/>
      <c r="AT860" s="34"/>
      <c r="AU860" s="34"/>
      <c r="AV860" s="34"/>
      <c r="AW860" s="34"/>
      <c r="AX860" s="34"/>
      <c r="AY860" s="34"/>
      <c r="AZ860" s="34"/>
      <c r="BA860" s="34"/>
      <c r="BB860" s="34"/>
      <c r="BD860" s="34"/>
      <c r="BE860" s="34"/>
      <c r="BF860" s="34"/>
      <c r="BG860" s="34"/>
      <c r="BH860" s="34"/>
      <c r="BI860" s="34"/>
      <c r="BJ860" s="34"/>
      <c r="BK860" s="34"/>
      <c r="BL860" s="34"/>
      <c r="BM860" s="34"/>
      <c r="BN860" s="34"/>
      <c r="BO860" s="34"/>
      <c r="BP860" s="34"/>
      <c r="BQ860" s="34"/>
      <c r="BR860" s="34"/>
      <c r="BS860" s="34"/>
      <c r="BT860" s="34"/>
      <c r="BU860" s="34"/>
      <c r="BV860" s="34"/>
      <c r="BW860" s="34"/>
      <c r="BX860" s="34"/>
      <c r="BY860" s="34"/>
    </row>
    <row r="861" spans="1:77" x14ac:dyDescent="0.3">
      <c r="A861" s="39"/>
      <c r="B861" s="42"/>
      <c r="C861" s="42"/>
      <c r="D861" s="75"/>
      <c r="E861" s="75"/>
      <c r="F861" s="76"/>
      <c r="G861" s="47"/>
      <c r="H861" s="47"/>
      <c r="I861" s="75"/>
      <c r="J861" s="76"/>
      <c r="K861" s="76"/>
      <c r="L861" s="75"/>
      <c r="M861" s="49"/>
      <c r="N861" s="76"/>
      <c r="O861" s="49"/>
      <c r="P861" s="77"/>
      <c r="Q861" s="53"/>
      <c r="R861" s="54"/>
      <c r="S861" s="55"/>
      <c r="T861" s="56"/>
      <c r="U861" s="56"/>
      <c r="V861" s="42"/>
      <c r="W861" s="57"/>
      <c r="X861" s="58"/>
      <c r="Y861" s="75"/>
      <c r="Z861" s="59"/>
      <c r="AA861" s="61"/>
      <c r="AB861" s="61"/>
      <c r="AC861" s="61"/>
      <c r="AD861" s="62"/>
      <c r="AE861" s="62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34"/>
      <c r="AR861" s="34"/>
      <c r="AS861" s="34"/>
      <c r="AT861" s="34"/>
      <c r="AU861" s="34"/>
      <c r="AV861" s="34"/>
      <c r="AW861" s="34"/>
      <c r="AX861" s="34"/>
      <c r="AY861" s="34"/>
      <c r="AZ861" s="34"/>
      <c r="BA861" s="34"/>
      <c r="BB861" s="34"/>
      <c r="BD861" s="34"/>
      <c r="BE861" s="34"/>
      <c r="BF861" s="34"/>
      <c r="BG861" s="34"/>
      <c r="BH861" s="34"/>
      <c r="BI861" s="34"/>
      <c r="BJ861" s="34"/>
      <c r="BK861" s="34"/>
      <c r="BL861" s="34"/>
      <c r="BM861" s="34"/>
      <c r="BN861" s="34"/>
      <c r="BO861" s="34"/>
      <c r="BP861" s="34"/>
      <c r="BQ861" s="34"/>
      <c r="BR861" s="34"/>
      <c r="BS861" s="34"/>
      <c r="BT861" s="34"/>
      <c r="BU861" s="34"/>
      <c r="BV861" s="34"/>
      <c r="BW861" s="34"/>
      <c r="BX861" s="34"/>
      <c r="BY861" s="34"/>
    </row>
    <row r="862" spans="1:77" x14ac:dyDescent="0.3">
      <c r="A862" s="39"/>
      <c r="B862" s="42"/>
      <c r="C862" s="42"/>
      <c r="D862" s="75"/>
      <c r="E862" s="75"/>
      <c r="F862" s="76"/>
      <c r="G862" s="47"/>
      <c r="H862" s="47"/>
      <c r="I862" s="75"/>
      <c r="J862" s="76"/>
      <c r="K862" s="76"/>
      <c r="L862" s="75"/>
      <c r="M862" s="49"/>
      <c r="N862" s="76"/>
      <c r="O862" s="49"/>
      <c r="P862" s="77"/>
      <c r="Q862" s="53"/>
      <c r="R862" s="54"/>
      <c r="S862" s="55"/>
      <c r="T862" s="56"/>
      <c r="U862" s="56"/>
      <c r="V862" s="42"/>
      <c r="W862" s="57"/>
      <c r="X862" s="58"/>
      <c r="Y862" s="75"/>
      <c r="Z862" s="59"/>
      <c r="AA862" s="61"/>
      <c r="AB862" s="61"/>
      <c r="AC862" s="61"/>
      <c r="AD862" s="62"/>
      <c r="AE862" s="62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34"/>
      <c r="BA862" s="34"/>
      <c r="BB862" s="34"/>
      <c r="BD862" s="34"/>
      <c r="BE862" s="34"/>
      <c r="BF862" s="34"/>
      <c r="BG862" s="34"/>
      <c r="BH862" s="34"/>
      <c r="BI862" s="34"/>
      <c r="BJ862" s="34"/>
      <c r="BK862" s="34"/>
      <c r="BL862" s="34"/>
      <c r="BM862" s="34"/>
      <c r="BN862" s="34"/>
      <c r="BO862" s="34"/>
      <c r="BP862" s="34"/>
      <c r="BQ862" s="34"/>
      <c r="BR862" s="34"/>
      <c r="BS862" s="34"/>
      <c r="BT862" s="34"/>
      <c r="BU862" s="34"/>
      <c r="BV862" s="34"/>
      <c r="BW862" s="34"/>
      <c r="BX862" s="34"/>
      <c r="BY862" s="34"/>
    </row>
    <row r="863" spans="1:77" x14ac:dyDescent="0.3">
      <c r="A863" s="39"/>
      <c r="B863" s="42"/>
      <c r="C863" s="42"/>
      <c r="D863" s="75"/>
      <c r="E863" s="75"/>
      <c r="F863" s="76"/>
      <c r="G863" s="47"/>
      <c r="H863" s="47"/>
      <c r="I863" s="75"/>
      <c r="J863" s="76"/>
      <c r="K863" s="76"/>
      <c r="L863" s="75"/>
      <c r="M863" s="49"/>
      <c r="N863" s="76"/>
      <c r="O863" s="49"/>
      <c r="P863" s="77"/>
      <c r="Q863" s="53"/>
      <c r="R863" s="54"/>
      <c r="S863" s="55"/>
      <c r="T863" s="56"/>
      <c r="U863" s="56"/>
      <c r="V863" s="42"/>
      <c r="W863" s="57"/>
      <c r="X863" s="58"/>
      <c r="Y863" s="75"/>
      <c r="Z863" s="59"/>
      <c r="AA863" s="61"/>
      <c r="AB863" s="61"/>
      <c r="AC863" s="61"/>
      <c r="AD863" s="62"/>
      <c r="AE863" s="62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/>
      <c r="BB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/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</row>
    <row r="864" spans="1:77" x14ac:dyDescent="0.3">
      <c r="A864" s="39"/>
      <c r="B864" s="42"/>
      <c r="C864" s="42"/>
      <c r="D864" s="75"/>
      <c r="E864" s="75"/>
      <c r="F864" s="76"/>
      <c r="G864" s="47"/>
      <c r="H864" s="47"/>
      <c r="I864" s="75"/>
      <c r="J864" s="76"/>
      <c r="K864" s="76"/>
      <c r="L864" s="75"/>
      <c r="M864" s="49"/>
      <c r="N864" s="76"/>
      <c r="O864" s="49"/>
      <c r="P864" s="77"/>
      <c r="Q864" s="53"/>
      <c r="R864" s="54"/>
      <c r="S864" s="55"/>
      <c r="T864" s="56"/>
      <c r="U864" s="56"/>
      <c r="V864" s="42"/>
      <c r="W864" s="57"/>
      <c r="X864" s="58"/>
      <c r="Y864" s="75"/>
      <c r="Z864" s="59"/>
      <c r="AA864" s="61"/>
      <c r="AB864" s="61"/>
      <c r="AC864" s="61"/>
      <c r="AD864" s="62"/>
      <c r="AE864" s="62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34"/>
      <c r="BA864" s="34"/>
      <c r="BB864" s="34"/>
      <c r="BD864" s="34"/>
      <c r="BE864" s="34"/>
      <c r="BF864" s="34"/>
      <c r="BG864" s="34"/>
      <c r="BH864" s="34"/>
      <c r="BI864" s="34"/>
      <c r="BJ864" s="34"/>
      <c r="BK864" s="34"/>
      <c r="BL864" s="34"/>
      <c r="BM864" s="34"/>
      <c r="BN864" s="34"/>
      <c r="BO864" s="34"/>
      <c r="BP864" s="34"/>
      <c r="BQ864" s="34"/>
      <c r="BR864" s="34"/>
      <c r="BS864" s="34"/>
      <c r="BT864" s="34"/>
      <c r="BU864" s="34"/>
      <c r="BV864" s="34"/>
      <c r="BW864" s="34"/>
      <c r="BX864" s="34"/>
      <c r="BY864" s="34"/>
    </row>
    <row r="865" spans="1:77" x14ac:dyDescent="0.3">
      <c r="A865" s="39"/>
      <c r="B865" s="42"/>
      <c r="C865" s="42"/>
      <c r="D865" s="75"/>
      <c r="E865" s="75"/>
      <c r="F865" s="76"/>
      <c r="G865" s="47"/>
      <c r="H865" s="47"/>
      <c r="I865" s="75"/>
      <c r="J865" s="76"/>
      <c r="K865" s="76"/>
      <c r="L865" s="75"/>
      <c r="M865" s="49"/>
      <c r="N865" s="76"/>
      <c r="O865" s="49"/>
      <c r="P865" s="77"/>
      <c r="Q865" s="53"/>
      <c r="R865" s="54"/>
      <c r="S865" s="55"/>
      <c r="T865" s="56"/>
      <c r="U865" s="56"/>
      <c r="V865" s="42"/>
      <c r="W865" s="57"/>
      <c r="X865" s="58"/>
      <c r="Y865" s="75"/>
      <c r="Z865" s="59"/>
      <c r="AA865" s="61"/>
      <c r="AB865" s="61"/>
      <c r="AC865" s="61"/>
      <c r="AD865" s="62"/>
      <c r="AE865" s="62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  <c r="AZ865" s="34"/>
      <c r="BA865" s="34"/>
      <c r="BB865" s="34"/>
      <c r="BD865" s="34"/>
      <c r="BE865" s="34"/>
      <c r="BF865" s="34"/>
      <c r="BG865" s="34"/>
      <c r="BH865" s="34"/>
      <c r="BI865" s="34"/>
      <c r="BJ865" s="34"/>
      <c r="BK865" s="34"/>
      <c r="BL865" s="34"/>
      <c r="BM865" s="34"/>
      <c r="BN865" s="34"/>
      <c r="BO865" s="34"/>
      <c r="BP865" s="34"/>
      <c r="BQ865" s="34"/>
      <c r="BR865" s="34"/>
      <c r="BS865" s="34"/>
      <c r="BT865" s="34"/>
      <c r="BU865" s="34"/>
      <c r="BV865" s="34"/>
      <c r="BW865" s="34"/>
      <c r="BX865" s="34"/>
      <c r="BY865" s="34"/>
    </row>
    <row r="866" spans="1:77" x14ac:dyDescent="0.3">
      <c r="A866" s="39"/>
      <c r="B866" s="42"/>
      <c r="C866" s="42"/>
      <c r="D866" s="75"/>
      <c r="E866" s="75"/>
      <c r="F866" s="76"/>
      <c r="G866" s="47"/>
      <c r="H866" s="47"/>
      <c r="I866" s="75"/>
      <c r="J866" s="76"/>
      <c r="K866" s="76"/>
      <c r="L866" s="75"/>
      <c r="M866" s="49"/>
      <c r="N866" s="76"/>
      <c r="O866" s="49"/>
      <c r="P866" s="77"/>
      <c r="Q866" s="53"/>
      <c r="R866" s="54"/>
      <c r="S866" s="55"/>
      <c r="T866" s="56"/>
      <c r="U866" s="56"/>
      <c r="V866" s="42"/>
      <c r="W866" s="57"/>
      <c r="X866" s="58"/>
      <c r="Y866" s="75"/>
      <c r="Z866" s="59"/>
      <c r="AA866" s="61"/>
      <c r="AB866" s="61"/>
      <c r="AC866" s="61"/>
      <c r="AD866" s="62"/>
      <c r="AE866" s="62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/>
      <c r="BB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/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</row>
    <row r="867" spans="1:77" x14ac:dyDescent="0.3">
      <c r="A867" s="39"/>
      <c r="B867" s="42"/>
      <c r="C867" s="42"/>
      <c r="D867" s="75"/>
      <c r="E867" s="75"/>
      <c r="F867" s="76"/>
      <c r="G867" s="47"/>
      <c r="H867" s="47"/>
      <c r="I867" s="75"/>
      <c r="J867" s="76"/>
      <c r="K867" s="76"/>
      <c r="L867" s="75"/>
      <c r="M867" s="49"/>
      <c r="N867" s="76"/>
      <c r="O867" s="49"/>
      <c r="P867" s="77"/>
      <c r="Q867" s="53"/>
      <c r="R867" s="54"/>
      <c r="S867" s="55"/>
      <c r="T867" s="56"/>
      <c r="U867" s="56"/>
      <c r="V867" s="42"/>
      <c r="W867" s="57"/>
      <c r="X867" s="58"/>
      <c r="Y867" s="75"/>
      <c r="Z867" s="59"/>
      <c r="AA867" s="61"/>
      <c r="AB867" s="61"/>
      <c r="AC867" s="61"/>
      <c r="AD867" s="62"/>
      <c r="AE867" s="62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  <c r="AZ867" s="34"/>
      <c r="BA867" s="34"/>
      <c r="BB867" s="34"/>
      <c r="BD867" s="34"/>
      <c r="BE867" s="34"/>
      <c r="BF867" s="34"/>
      <c r="BG867" s="34"/>
      <c r="BH867" s="34"/>
      <c r="BI867" s="34"/>
      <c r="BJ867" s="34"/>
      <c r="BK867" s="34"/>
      <c r="BL867" s="34"/>
      <c r="BM867" s="34"/>
      <c r="BN867" s="34"/>
      <c r="BO867" s="34"/>
      <c r="BP867" s="34"/>
      <c r="BQ867" s="34"/>
      <c r="BR867" s="34"/>
      <c r="BS867" s="34"/>
      <c r="BT867" s="34"/>
      <c r="BU867" s="34"/>
      <c r="BV867" s="34"/>
      <c r="BW867" s="34"/>
      <c r="BX867" s="34"/>
      <c r="BY867" s="34"/>
    </row>
    <row r="868" spans="1:77" x14ac:dyDescent="0.3">
      <c r="A868" s="39"/>
      <c r="B868" s="42"/>
      <c r="C868" s="42"/>
      <c r="D868" s="75"/>
      <c r="E868" s="75"/>
      <c r="F868" s="76"/>
      <c r="G868" s="47"/>
      <c r="H868" s="47"/>
      <c r="I868" s="75"/>
      <c r="J868" s="76"/>
      <c r="K868" s="76"/>
      <c r="L868" s="75"/>
      <c r="M868" s="49"/>
      <c r="N868" s="76"/>
      <c r="O868" s="49"/>
      <c r="P868" s="77"/>
      <c r="Q868" s="53"/>
      <c r="R868" s="54"/>
      <c r="S868" s="55"/>
      <c r="T868" s="56"/>
      <c r="U868" s="56"/>
      <c r="V868" s="42"/>
      <c r="W868" s="57"/>
      <c r="X868" s="58"/>
      <c r="Y868" s="75"/>
      <c r="Z868" s="59"/>
      <c r="AA868" s="61"/>
      <c r="AB868" s="61"/>
      <c r="AC868" s="61"/>
      <c r="AD868" s="62"/>
      <c r="AE868" s="62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  <c r="AZ868" s="34"/>
      <c r="BA868" s="34"/>
      <c r="BB868" s="34"/>
      <c r="BD868" s="34"/>
      <c r="BE868" s="34"/>
      <c r="BF868" s="34"/>
      <c r="BG868" s="34"/>
      <c r="BH868" s="34"/>
      <c r="BI868" s="34"/>
      <c r="BJ868" s="34"/>
      <c r="BK868" s="34"/>
      <c r="BL868" s="34"/>
      <c r="BM868" s="34"/>
      <c r="BN868" s="34"/>
      <c r="BO868" s="34"/>
      <c r="BP868" s="34"/>
      <c r="BQ868" s="34"/>
      <c r="BR868" s="34"/>
      <c r="BS868" s="34"/>
      <c r="BT868" s="34"/>
      <c r="BU868" s="34"/>
      <c r="BV868" s="34"/>
      <c r="BW868" s="34"/>
      <c r="BX868" s="34"/>
      <c r="BY868" s="34"/>
    </row>
    <row r="869" spans="1:77" x14ac:dyDescent="0.3">
      <c r="A869" s="39"/>
      <c r="B869" s="42"/>
      <c r="C869" s="42"/>
      <c r="D869" s="75"/>
      <c r="E869" s="75"/>
      <c r="F869" s="76"/>
      <c r="G869" s="47"/>
      <c r="H869" s="47"/>
      <c r="I869" s="75"/>
      <c r="J869" s="76"/>
      <c r="K869" s="76"/>
      <c r="L869" s="75"/>
      <c r="M869" s="49"/>
      <c r="N869" s="76"/>
      <c r="O869" s="49"/>
      <c r="P869" s="77"/>
      <c r="Q869" s="53"/>
      <c r="R869" s="54"/>
      <c r="S869" s="55"/>
      <c r="T869" s="56"/>
      <c r="U869" s="56"/>
      <c r="V869" s="42"/>
      <c r="W869" s="57"/>
      <c r="X869" s="58"/>
      <c r="Y869" s="75"/>
      <c r="Z869" s="59"/>
      <c r="AA869" s="61"/>
      <c r="AB869" s="61"/>
      <c r="AC869" s="61"/>
      <c r="AD869" s="62"/>
      <c r="AE869" s="62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34"/>
      <c r="AR869" s="34"/>
      <c r="AS869" s="34"/>
      <c r="AT869" s="34"/>
      <c r="AU869" s="34"/>
      <c r="AV869" s="34"/>
      <c r="AW869" s="34"/>
      <c r="AX869" s="34"/>
      <c r="AY869" s="34"/>
      <c r="AZ869" s="34"/>
      <c r="BA869" s="34"/>
      <c r="BB869" s="34"/>
      <c r="BD869" s="34"/>
      <c r="BE869" s="34"/>
      <c r="BF869" s="34"/>
      <c r="BG869" s="34"/>
      <c r="BH869" s="34"/>
      <c r="BI869" s="34"/>
      <c r="BJ869" s="34"/>
      <c r="BK869" s="34"/>
      <c r="BL869" s="34"/>
      <c r="BM869" s="34"/>
      <c r="BN869" s="34"/>
      <c r="BO869" s="34"/>
      <c r="BP869" s="34"/>
      <c r="BQ869" s="34"/>
      <c r="BR869" s="34"/>
      <c r="BS869" s="34"/>
      <c r="BT869" s="34"/>
      <c r="BU869" s="34"/>
      <c r="BV869" s="34"/>
      <c r="BW869" s="34"/>
      <c r="BX869" s="34"/>
      <c r="BY869" s="34"/>
    </row>
    <row r="870" spans="1:77" x14ac:dyDescent="0.3">
      <c r="A870" s="39"/>
      <c r="B870" s="42"/>
      <c r="C870" s="42"/>
      <c r="D870" s="75"/>
      <c r="E870" s="75"/>
      <c r="F870" s="76"/>
      <c r="G870" s="47"/>
      <c r="H870" s="47"/>
      <c r="I870" s="75"/>
      <c r="J870" s="76"/>
      <c r="K870" s="76"/>
      <c r="L870" s="75"/>
      <c r="M870" s="49"/>
      <c r="N870" s="76"/>
      <c r="O870" s="49"/>
      <c r="P870" s="77"/>
      <c r="Q870" s="53"/>
      <c r="R870" s="54"/>
      <c r="S870" s="55"/>
      <c r="T870" s="56"/>
      <c r="U870" s="56"/>
      <c r="V870" s="42"/>
      <c r="W870" s="57"/>
      <c r="X870" s="58"/>
      <c r="Y870" s="75"/>
      <c r="Z870" s="59"/>
      <c r="AA870" s="61"/>
      <c r="AB870" s="61"/>
      <c r="AC870" s="61"/>
      <c r="AD870" s="62"/>
      <c r="AE870" s="62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34"/>
      <c r="AR870" s="34"/>
      <c r="AS870" s="34"/>
      <c r="AT870" s="34"/>
      <c r="AU870" s="34"/>
      <c r="AV870" s="34"/>
      <c r="AW870" s="34"/>
      <c r="AX870" s="34"/>
      <c r="AY870" s="34"/>
      <c r="AZ870" s="34"/>
      <c r="BA870" s="34"/>
      <c r="BB870" s="34"/>
      <c r="BD870" s="34"/>
      <c r="BE870" s="34"/>
      <c r="BF870" s="34"/>
      <c r="BG870" s="34"/>
      <c r="BH870" s="34"/>
      <c r="BI870" s="34"/>
      <c r="BJ870" s="34"/>
      <c r="BK870" s="34"/>
      <c r="BL870" s="34"/>
      <c r="BM870" s="34"/>
      <c r="BN870" s="34"/>
      <c r="BO870" s="34"/>
      <c r="BP870" s="34"/>
      <c r="BQ870" s="34"/>
      <c r="BR870" s="34"/>
      <c r="BS870" s="34"/>
      <c r="BT870" s="34"/>
      <c r="BU870" s="34"/>
      <c r="BV870" s="34"/>
      <c r="BW870" s="34"/>
      <c r="BX870" s="34"/>
      <c r="BY870" s="34"/>
    </row>
    <row r="871" spans="1:77" x14ac:dyDescent="0.3">
      <c r="A871" s="39"/>
      <c r="B871" s="42"/>
      <c r="C871" s="42"/>
      <c r="D871" s="75"/>
      <c r="E871" s="75"/>
      <c r="F871" s="76"/>
      <c r="G871" s="47"/>
      <c r="H871" s="47"/>
      <c r="I871" s="75"/>
      <c r="J871" s="76"/>
      <c r="K871" s="76"/>
      <c r="L871" s="75"/>
      <c r="M871" s="49"/>
      <c r="N871" s="76"/>
      <c r="O871" s="49"/>
      <c r="P871" s="77"/>
      <c r="Q871" s="53"/>
      <c r="R871" s="54"/>
      <c r="S871" s="55"/>
      <c r="T871" s="56"/>
      <c r="U871" s="56"/>
      <c r="V871" s="42"/>
      <c r="W871" s="57"/>
      <c r="X871" s="58"/>
      <c r="Y871" s="75"/>
      <c r="Z871" s="59"/>
      <c r="AA871" s="61"/>
      <c r="AB871" s="61"/>
      <c r="AC871" s="61"/>
      <c r="AD871" s="62"/>
      <c r="AE871" s="62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34"/>
      <c r="AR871" s="34"/>
      <c r="AS871" s="34"/>
      <c r="AT871" s="34"/>
      <c r="AU871" s="34"/>
      <c r="AV871" s="34"/>
      <c r="AW871" s="34"/>
      <c r="AX871" s="34"/>
      <c r="AY871" s="34"/>
      <c r="AZ871" s="34"/>
      <c r="BA871" s="34"/>
      <c r="BB871" s="34"/>
      <c r="BD871" s="34"/>
      <c r="BE871" s="34"/>
      <c r="BF871" s="34"/>
      <c r="BG871" s="34"/>
      <c r="BH871" s="34"/>
      <c r="BI871" s="34"/>
      <c r="BJ871" s="34"/>
      <c r="BK871" s="34"/>
      <c r="BL871" s="34"/>
      <c r="BM871" s="34"/>
      <c r="BN871" s="34"/>
      <c r="BO871" s="34"/>
      <c r="BP871" s="34"/>
      <c r="BQ871" s="34"/>
      <c r="BR871" s="34"/>
      <c r="BS871" s="34"/>
      <c r="BT871" s="34"/>
      <c r="BU871" s="34"/>
      <c r="BV871" s="34"/>
      <c r="BW871" s="34"/>
      <c r="BX871" s="34"/>
      <c r="BY871" s="34"/>
    </row>
    <row r="872" spans="1:77" x14ac:dyDescent="0.3">
      <c r="A872" s="39"/>
      <c r="B872" s="42"/>
      <c r="C872" s="42"/>
      <c r="D872" s="75"/>
      <c r="E872" s="75"/>
      <c r="F872" s="76"/>
      <c r="G872" s="47"/>
      <c r="H872" s="47"/>
      <c r="I872" s="75"/>
      <c r="J872" s="76"/>
      <c r="K872" s="76"/>
      <c r="L872" s="75"/>
      <c r="M872" s="49"/>
      <c r="N872" s="76"/>
      <c r="O872" s="49"/>
      <c r="P872" s="77"/>
      <c r="Q872" s="53"/>
      <c r="R872" s="54"/>
      <c r="S872" s="55"/>
      <c r="T872" s="56"/>
      <c r="U872" s="56"/>
      <c r="V872" s="42"/>
      <c r="W872" s="57"/>
      <c r="X872" s="58"/>
      <c r="Y872" s="75"/>
      <c r="Z872" s="59"/>
      <c r="AA872" s="61"/>
      <c r="AB872" s="61"/>
      <c r="AC872" s="61"/>
      <c r="AD872" s="62"/>
      <c r="AE872" s="62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34"/>
      <c r="BA872" s="34"/>
      <c r="BB872" s="34"/>
      <c r="BD872" s="34"/>
      <c r="BE872" s="34"/>
      <c r="BF872" s="34"/>
      <c r="BG872" s="34"/>
      <c r="BH872" s="34"/>
      <c r="BI872" s="34"/>
      <c r="BJ872" s="34"/>
      <c r="BK872" s="34"/>
      <c r="BL872" s="34"/>
      <c r="BM872" s="34"/>
      <c r="BN872" s="34"/>
      <c r="BO872" s="34"/>
      <c r="BP872" s="34"/>
      <c r="BQ872" s="34"/>
      <c r="BR872" s="34"/>
      <c r="BS872" s="34"/>
      <c r="BT872" s="34"/>
      <c r="BU872" s="34"/>
      <c r="BV872" s="34"/>
      <c r="BW872" s="34"/>
      <c r="BX872" s="34"/>
      <c r="BY872" s="34"/>
    </row>
    <row r="873" spans="1:77" x14ac:dyDescent="0.3">
      <c r="A873" s="39"/>
      <c r="B873" s="42"/>
      <c r="C873" s="42"/>
      <c r="D873" s="75"/>
      <c r="E873" s="75"/>
      <c r="F873" s="76"/>
      <c r="G873" s="47"/>
      <c r="H873" s="47"/>
      <c r="I873" s="75"/>
      <c r="J873" s="76"/>
      <c r="K873" s="76"/>
      <c r="L873" s="75"/>
      <c r="M873" s="49"/>
      <c r="N873" s="76"/>
      <c r="O873" s="49"/>
      <c r="P873" s="77"/>
      <c r="Q873" s="53"/>
      <c r="R873" s="54"/>
      <c r="S873" s="55"/>
      <c r="T873" s="56"/>
      <c r="U873" s="56"/>
      <c r="V873" s="42"/>
      <c r="W873" s="57"/>
      <c r="X873" s="58"/>
      <c r="Y873" s="75"/>
      <c r="Z873" s="59"/>
      <c r="AA873" s="61"/>
      <c r="AB873" s="61"/>
      <c r="AC873" s="61"/>
      <c r="AD873" s="62"/>
      <c r="AE873" s="62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34"/>
      <c r="AR873" s="34"/>
      <c r="AS873" s="34"/>
      <c r="AT873" s="34"/>
      <c r="AU873" s="34"/>
      <c r="AV873" s="34"/>
      <c r="AW873" s="34"/>
      <c r="AX873" s="34"/>
      <c r="AY873" s="34"/>
      <c r="AZ873" s="34"/>
      <c r="BA873" s="34"/>
      <c r="BB873" s="34"/>
      <c r="BD873" s="34"/>
      <c r="BE873" s="34"/>
      <c r="BF873" s="34"/>
      <c r="BG873" s="34"/>
      <c r="BH873" s="34"/>
      <c r="BI873" s="34"/>
      <c r="BJ873" s="34"/>
      <c r="BK873" s="34"/>
      <c r="BL873" s="34"/>
      <c r="BM873" s="34"/>
      <c r="BN873" s="34"/>
      <c r="BO873" s="34"/>
      <c r="BP873" s="34"/>
      <c r="BQ873" s="34"/>
      <c r="BR873" s="34"/>
      <c r="BS873" s="34"/>
      <c r="BT873" s="34"/>
      <c r="BU873" s="34"/>
      <c r="BV873" s="34"/>
      <c r="BW873" s="34"/>
      <c r="BX873" s="34"/>
      <c r="BY873" s="34"/>
    </row>
    <row r="874" spans="1:77" x14ac:dyDescent="0.3">
      <c r="A874" s="39"/>
      <c r="B874" s="42"/>
      <c r="C874" s="42"/>
      <c r="D874" s="75"/>
      <c r="E874" s="75"/>
      <c r="F874" s="76"/>
      <c r="G874" s="47"/>
      <c r="H874" s="47"/>
      <c r="I874" s="75"/>
      <c r="J874" s="76"/>
      <c r="K874" s="76"/>
      <c r="L874" s="75"/>
      <c r="M874" s="49"/>
      <c r="N874" s="76"/>
      <c r="O874" s="49"/>
      <c r="P874" s="77"/>
      <c r="Q874" s="53"/>
      <c r="R874" s="54"/>
      <c r="S874" s="55"/>
      <c r="T874" s="56"/>
      <c r="U874" s="56"/>
      <c r="V874" s="42"/>
      <c r="W874" s="57"/>
      <c r="X874" s="58"/>
      <c r="Y874" s="75"/>
      <c r="Z874" s="59"/>
      <c r="AA874" s="61"/>
      <c r="AB874" s="61"/>
      <c r="AC874" s="61"/>
      <c r="AD874" s="62"/>
      <c r="AE874" s="62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  <c r="AQ874" s="34"/>
      <c r="AR874" s="34"/>
      <c r="AS874" s="34"/>
      <c r="AT874" s="34"/>
      <c r="AU874" s="34"/>
      <c r="AV874" s="34"/>
      <c r="AW874" s="34"/>
      <c r="AX874" s="34"/>
      <c r="AY874" s="34"/>
      <c r="AZ874" s="34"/>
      <c r="BA874" s="34"/>
      <c r="BB874" s="34"/>
      <c r="BD874" s="34"/>
      <c r="BE874" s="34"/>
      <c r="BF874" s="34"/>
      <c r="BG874" s="34"/>
      <c r="BH874" s="34"/>
      <c r="BI874" s="34"/>
      <c r="BJ874" s="34"/>
      <c r="BK874" s="34"/>
      <c r="BL874" s="34"/>
      <c r="BM874" s="34"/>
      <c r="BN874" s="34"/>
      <c r="BO874" s="34"/>
      <c r="BP874" s="34"/>
      <c r="BQ874" s="34"/>
      <c r="BR874" s="34"/>
      <c r="BS874" s="34"/>
      <c r="BT874" s="34"/>
      <c r="BU874" s="34"/>
      <c r="BV874" s="34"/>
      <c r="BW874" s="34"/>
      <c r="BX874" s="34"/>
      <c r="BY874" s="34"/>
    </row>
    <row r="875" spans="1:77" x14ac:dyDescent="0.3">
      <c r="A875" s="39"/>
      <c r="B875" s="42"/>
      <c r="C875" s="42"/>
      <c r="D875" s="75"/>
      <c r="E875" s="75"/>
      <c r="F875" s="76"/>
      <c r="G875" s="47"/>
      <c r="H875" s="47"/>
      <c r="I875" s="75"/>
      <c r="J875" s="76"/>
      <c r="K875" s="76"/>
      <c r="L875" s="75"/>
      <c r="M875" s="49"/>
      <c r="N875" s="76"/>
      <c r="O875" s="49"/>
      <c r="P875" s="77"/>
      <c r="Q875" s="53"/>
      <c r="R875" s="54"/>
      <c r="S875" s="55"/>
      <c r="T875" s="56"/>
      <c r="U875" s="56"/>
      <c r="V875" s="42"/>
      <c r="W875" s="57"/>
      <c r="X875" s="58"/>
      <c r="Y875" s="75"/>
      <c r="Z875" s="59"/>
      <c r="AA875" s="61"/>
      <c r="AB875" s="61"/>
      <c r="AC875" s="61"/>
      <c r="AD875" s="62"/>
      <c r="AE875" s="62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34"/>
      <c r="AR875" s="34"/>
      <c r="AS875" s="34"/>
      <c r="AT875" s="34"/>
      <c r="AU875" s="34"/>
      <c r="AV875" s="34"/>
      <c r="AW875" s="34"/>
      <c r="AX875" s="34"/>
      <c r="AY875" s="34"/>
      <c r="AZ875" s="34"/>
      <c r="BA875" s="34"/>
      <c r="BB875" s="34"/>
      <c r="BD875" s="34"/>
      <c r="BE875" s="34"/>
      <c r="BF875" s="34"/>
      <c r="BG875" s="34"/>
      <c r="BH875" s="34"/>
      <c r="BI875" s="34"/>
      <c r="BJ875" s="34"/>
      <c r="BK875" s="34"/>
      <c r="BL875" s="34"/>
      <c r="BM875" s="34"/>
      <c r="BN875" s="34"/>
      <c r="BO875" s="34"/>
      <c r="BP875" s="34"/>
      <c r="BQ875" s="34"/>
      <c r="BR875" s="34"/>
      <c r="BS875" s="34"/>
      <c r="BT875" s="34"/>
      <c r="BU875" s="34"/>
      <c r="BV875" s="34"/>
      <c r="BW875" s="34"/>
      <c r="BX875" s="34"/>
      <c r="BY875" s="34"/>
    </row>
    <row r="876" spans="1:77" x14ac:dyDescent="0.3">
      <c r="A876" s="39"/>
      <c r="B876" s="42"/>
      <c r="C876" s="42"/>
      <c r="D876" s="75"/>
      <c r="E876" s="75"/>
      <c r="F876" s="76"/>
      <c r="G876" s="47"/>
      <c r="H876" s="47"/>
      <c r="I876" s="75"/>
      <c r="J876" s="76"/>
      <c r="K876" s="76"/>
      <c r="L876" s="75"/>
      <c r="M876" s="49"/>
      <c r="N876" s="76"/>
      <c r="O876" s="49"/>
      <c r="P876" s="77"/>
      <c r="Q876" s="53"/>
      <c r="R876" s="54"/>
      <c r="S876" s="55"/>
      <c r="T876" s="56"/>
      <c r="U876" s="56"/>
      <c r="V876" s="42"/>
      <c r="W876" s="57"/>
      <c r="X876" s="58"/>
      <c r="Y876" s="75"/>
      <c r="Z876" s="59"/>
      <c r="AA876" s="61"/>
      <c r="AB876" s="61"/>
      <c r="AC876" s="61"/>
      <c r="AD876" s="62"/>
      <c r="AE876" s="62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34"/>
      <c r="AR876" s="34"/>
      <c r="AS876" s="34"/>
      <c r="AT876" s="34"/>
      <c r="AU876" s="34"/>
      <c r="AV876" s="34"/>
      <c r="AW876" s="34"/>
      <c r="AX876" s="34"/>
      <c r="AY876" s="34"/>
      <c r="AZ876" s="34"/>
      <c r="BA876" s="34"/>
      <c r="BB876" s="34"/>
      <c r="BD876" s="34"/>
      <c r="BE876" s="34"/>
      <c r="BF876" s="34"/>
      <c r="BG876" s="34"/>
      <c r="BH876" s="34"/>
      <c r="BI876" s="34"/>
      <c r="BJ876" s="34"/>
      <c r="BK876" s="34"/>
      <c r="BL876" s="34"/>
      <c r="BM876" s="34"/>
      <c r="BN876" s="34"/>
      <c r="BO876" s="34"/>
      <c r="BP876" s="34"/>
      <c r="BQ876" s="34"/>
      <c r="BR876" s="34"/>
      <c r="BS876" s="34"/>
      <c r="BT876" s="34"/>
      <c r="BU876" s="34"/>
      <c r="BV876" s="34"/>
      <c r="BW876" s="34"/>
      <c r="BX876" s="34"/>
      <c r="BY876" s="34"/>
    </row>
    <row r="877" spans="1:77" x14ac:dyDescent="0.3">
      <c r="A877" s="39"/>
      <c r="B877" s="42"/>
      <c r="C877" s="42"/>
      <c r="D877" s="75"/>
      <c r="E877" s="75"/>
      <c r="F877" s="76"/>
      <c r="G877" s="47"/>
      <c r="H877" s="47"/>
      <c r="I877" s="75"/>
      <c r="J877" s="76"/>
      <c r="K877" s="76"/>
      <c r="L877" s="75"/>
      <c r="M877" s="49"/>
      <c r="N877" s="76"/>
      <c r="O877" s="49"/>
      <c r="P877" s="77"/>
      <c r="Q877" s="53"/>
      <c r="R877" s="54"/>
      <c r="S877" s="55"/>
      <c r="T877" s="56"/>
      <c r="U877" s="56"/>
      <c r="V877" s="42"/>
      <c r="W877" s="57"/>
      <c r="X877" s="58"/>
      <c r="Y877" s="75"/>
      <c r="Z877" s="59"/>
      <c r="AA877" s="61"/>
      <c r="AB877" s="61"/>
      <c r="AC877" s="61"/>
      <c r="AD877" s="62"/>
      <c r="AE877" s="62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  <c r="AQ877" s="34"/>
      <c r="AR877" s="34"/>
      <c r="AS877" s="34"/>
      <c r="AT877" s="34"/>
      <c r="AU877" s="34"/>
      <c r="AV877" s="34"/>
      <c r="AW877" s="34"/>
      <c r="AX877" s="34"/>
      <c r="AY877" s="34"/>
      <c r="AZ877" s="34"/>
      <c r="BA877" s="34"/>
      <c r="BB877" s="34"/>
      <c r="BD877" s="34"/>
      <c r="BE877" s="34"/>
      <c r="BF877" s="34"/>
      <c r="BG877" s="34"/>
      <c r="BH877" s="34"/>
      <c r="BI877" s="34"/>
      <c r="BJ877" s="34"/>
      <c r="BK877" s="34"/>
      <c r="BL877" s="34"/>
      <c r="BM877" s="34"/>
      <c r="BN877" s="34"/>
      <c r="BO877" s="34"/>
      <c r="BP877" s="34"/>
      <c r="BQ877" s="34"/>
      <c r="BR877" s="34"/>
      <c r="BS877" s="34"/>
      <c r="BT877" s="34"/>
      <c r="BU877" s="34"/>
      <c r="BV877" s="34"/>
      <c r="BW877" s="34"/>
      <c r="BX877" s="34"/>
      <c r="BY877" s="34"/>
    </row>
    <row r="878" spans="1:77" x14ac:dyDescent="0.3">
      <c r="A878" s="39"/>
      <c r="B878" s="42"/>
      <c r="C878" s="42"/>
      <c r="D878" s="75"/>
      <c r="E878" s="75"/>
      <c r="F878" s="76"/>
      <c r="G878" s="47"/>
      <c r="H878" s="47"/>
      <c r="I878" s="75"/>
      <c r="J878" s="76"/>
      <c r="K878" s="76"/>
      <c r="L878" s="75"/>
      <c r="M878" s="49"/>
      <c r="N878" s="76"/>
      <c r="O878" s="49"/>
      <c r="P878" s="77"/>
      <c r="Q878" s="53"/>
      <c r="R878" s="54"/>
      <c r="S878" s="55"/>
      <c r="T878" s="56"/>
      <c r="U878" s="56"/>
      <c r="V878" s="42"/>
      <c r="W878" s="57"/>
      <c r="X878" s="58"/>
      <c r="Y878" s="75"/>
      <c r="Z878" s="59"/>
      <c r="AA878" s="61"/>
      <c r="AB878" s="61"/>
      <c r="AC878" s="61"/>
      <c r="AD878" s="62"/>
      <c r="AE878" s="62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34"/>
      <c r="AR878" s="34"/>
      <c r="AS878" s="34"/>
      <c r="AT878" s="34"/>
      <c r="AU878" s="34"/>
      <c r="AV878" s="34"/>
      <c r="AW878" s="34"/>
      <c r="AX878" s="34"/>
      <c r="AY878" s="34"/>
      <c r="AZ878" s="34"/>
      <c r="BA878" s="34"/>
      <c r="BB878" s="34"/>
      <c r="BD878" s="34"/>
      <c r="BE878" s="34"/>
      <c r="BF878" s="34"/>
      <c r="BG878" s="34"/>
      <c r="BH878" s="34"/>
      <c r="BI878" s="34"/>
      <c r="BJ878" s="34"/>
      <c r="BK878" s="34"/>
      <c r="BL878" s="34"/>
      <c r="BM878" s="34"/>
      <c r="BN878" s="34"/>
      <c r="BO878" s="34"/>
      <c r="BP878" s="34"/>
      <c r="BQ878" s="34"/>
      <c r="BR878" s="34"/>
      <c r="BS878" s="34"/>
      <c r="BT878" s="34"/>
      <c r="BU878" s="34"/>
      <c r="BV878" s="34"/>
      <c r="BW878" s="34"/>
      <c r="BX878" s="34"/>
      <c r="BY878" s="34"/>
    </row>
    <row r="879" spans="1:77" x14ac:dyDescent="0.3">
      <c r="A879" s="39"/>
      <c r="B879" s="42"/>
      <c r="C879" s="42"/>
      <c r="D879" s="75"/>
      <c r="E879" s="75"/>
      <c r="F879" s="76"/>
      <c r="G879" s="47"/>
      <c r="H879" s="47"/>
      <c r="I879" s="75"/>
      <c r="J879" s="76"/>
      <c r="K879" s="76"/>
      <c r="L879" s="75"/>
      <c r="M879" s="49"/>
      <c r="N879" s="76"/>
      <c r="O879" s="49"/>
      <c r="P879" s="77"/>
      <c r="Q879" s="53"/>
      <c r="R879" s="54"/>
      <c r="S879" s="55"/>
      <c r="T879" s="56"/>
      <c r="U879" s="56"/>
      <c r="V879" s="42"/>
      <c r="W879" s="57"/>
      <c r="X879" s="58"/>
      <c r="Y879" s="75"/>
      <c r="Z879" s="59"/>
      <c r="AA879" s="61"/>
      <c r="AB879" s="61"/>
      <c r="AC879" s="61"/>
      <c r="AD879" s="62"/>
      <c r="AE879" s="62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34"/>
      <c r="AR879" s="34"/>
      <c r="AS879" s="34"/>
      <c r="AT879" s="34"/>
      <c r="AU879" s="34"/>
      <c r="AV879" s="34"/>
      <c r="AW879" s="34"/>
      <c r="AX879" s="34"/>
      <c r="AY879" s="34"/>
      <c r="AZ879" s="34"/>
      <c r="BA879" s="34"/>
      <c r="BB879" s="34"/>
      <c r="BD879" s="34"/>
      <c r="BE879" s="34"/>
      <c r="BF879" s="34"/>
      <c r="BG879" s="34"/>
      <c r="BH879" s="34"/>
      <c r="BI879" s="34"/>
      <c r="BJ879" s="34"/>
      <c r="BK879" s="34"/>
      <c r="BL879" s="34"/>
      <c r="BM879" s="34"/>
      <c r="BN879" s="34"/>
      <c r="BO879" s="34"/>
      <c r="BP879" s="34"/>
      <c r="BQ879" s="34"/>
      <c r="BR879" s="34"/>
      <c r="BS879" s="34"/>
      <c r="BT879" s="34"/>
      <c r="BU879" s="34"/>
      <c r="BV879" s="34"/>
      <c r="BW879" s="34"/>
      <c r="BX879" s="34"/>
      <c r="BY879" s="34"/>
    </row>
    <row r="880" spans="1:77" x14ac:dyDescent="0.3">
      <c r="A880" s="39"/>
      <c r="B880" s="42"/>
      <c r="C880" s="42"/>
      <c r="D880" s="75"/>
      <c r="E880" s="75"/>
      <c r="F880" s="76"/>
      <c r="G880" s="47"/>
      <c r="H880" s="47"/>
      <c r="I880" s="75"/>
      <c r="J880" s="76"/>
      <c r="K880" s="76"/>
      <c r="L880" s="75"/>
      <c r="M880" s="49"/>
      <c r="N880" s="76"/>
      <c r="O880" s="49"/>
      <c r="P880" s="77"/>
      <c r="Q880" s="53"/>
      <c r="R880" s="54"/>
      <c r="S880" s="55"/>
      <c r="T880" s="56"/>
      <c r="U880" s="56"/>
      <c r="V880" s="42"/>
      <c r="W880" s="57"/>
      <c r="X880" s="58"/>
      <c r="Y880" s="75"/>
      <c r="Z880" s="59"/>
      <c r="AA880" s="61"/>
      <c r="AB880" s="61"/>
      <c r="AC880" s="61"/>
      <c r="AD880" s="62"/>
      <c r="AE880" s="62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  <c r="AQ880" s="34"/>
      <c r="AR880" s="34"/>
      <c r="AS880" s="34"/>
      <c r="AT880" s="34"/>
      <c r="AU880" s="34"/>
      <c r="AV880" s="34"/>
      <c r="AW880" s="34"/>
      <c r="AX880" s="34"/>
      <c r="AY880" s="34"/>
      <c r="AZ880" s="34"/>
      <c r="BA880" s="34"/>
      <c r="BB880" s="34"/>
      <c r="BD880" s="34"/>
      <c r="BE880" s="34"/>
      <c r="BF880" s="34"/>
      <c r="BG880" s="34"/>
      <c r="BH880" s="34"/>
      <c r="BI880" s="34"/>
      <c r="BJ880" s="34"/>
      <c r="BK880" s="34"/>
      <c r="BL880" s="34"/>
      <c r="BM880" s="34"/>
      <c r="BN880" s="34"/>
      <c r="BO880" s="34"/>
      <c r="BP880" s="34"/>
      <c r="BQ880" s="34"/>
      <c r="BR880" s="34"/>
      <c r="BS880" s="34"/>
      <c r="BT880" s="34"/>
      <c r="BU880" s="34"/>
      <c r="BV880" s="34"/>
      <c r="BW880" s="34"/>
      <c r="BX880" s="34"/>
      <c r="BY880" s="34"/>
    </row>
    <row r="881" spans="1:77" x14ac:dyDescent="0.3">
      <c r="A881" s="39"/>
      <c r="B881" s="42"/>
      <c r="C881" s="42"/>
      <c r="D881" s="75"/>
      <c r="E881" s="75"/>
      <c r="F881" s="76"/>
      <c r="G881" s="47"/>
      <c r="H881" s="47"/>
      <c r="I881" s="75"/>
      <c r="J881" s="76"/>
      <c r="K881" s="76"/>
      <c r="L881" s="75"/>
      <c r="M881" s="49"/>
      <c r="N881" s="76"/>
      <c r="O881" s="49"/>
      <c r="P881" s="77"/>
      <c r="Q881" s="53"/>
      <c r="R881" s="54"/>
      <c r="S881" s="55"/>
      <c r="T881" s="56"/>
      <c r="U881" s="56"/>
      <c r="V881" s="42"/>
      <c r="W881" s="57"/>
      <c r="X881" s="58"/>
      <c r="Y881" s="75"/>
      <c r="Z881" s="59"/>
      <c r="AA881" s="61"/>
      <c r="AB881" s="61"/>
      <c r="AC881" s="61"/>
      <c r="AD881" s="62"/>
      <c r="AE881" s="62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  <c r="AQ881" s="34"/>
      <c r="AR881" s="34"/>
      <c r="AS881" s="34"/>
      <c r="AT881" s="34"/>
      <c r="AU881" s="34"/>
      <c r="AV881" s="34"/>
      <c r="AW881" s="34"/>
      <c r="AX881" s="34"/>
      <c r="AY881" s="34"/>
      <c r="AZ881" s="34"/>
      <c r="BA881" s="34"/>
      <c r="BB881" s="34"/>
      <c r="BD881" s="34"/>
      <c r="BE881" s="34"/>
      <c r="BF881" s="34"/>
      <c r="BG881" s="34"/>
      <c r="BH881" s="34"/>
      <c r="BI881" s="34"/>
      <c r="BJ881" s="34"/>
      <c r="BK881" s="34"/>
      <c r="BL881" s="34"/>
      <c r="BM881" s="34"/>
      <c r="BN881" s="34"/>
      <c r="BO881" s="34"/>
      <c r="BP881" s="34"/>
      <c r="BQ881" s="34"/>
      <c r="BR881" s="34"/>
      <c r="BS881" s="34"/>
      <c r="BT881" s="34"/>
      <c r="BU881" s="34"/>
      <c r="BV881" s="34"/>
      <c r="BW881" s="34"/>
      <c r="BX881" s="34"/>
      <c r="BY881" s="34"/>
    </row>
    <row r="882" spans="1:77" x14ac:dyDescent="0.3">
      <c r="A882" s="39"/>
      <c r="B882" s="42"/>
      <c r="C882" s="42"/>
      <c r="D882" s="75"/>
      <c r="E882" s="75"/>
      <c r="F882" s="76"/>
      <c r="G882" s="47"/>
      <c r="H882" s="47"/>
      <c r="I882" s="75"/>
      <c r="J882" s="76"/>
      <c r="K882" s="76"/>
      <c r="L882" s="75"/>
      <c r="M882" s="49"/>
      <c r="N882" s="76"/>
      <c r="O882" s="49"/>
      <c r="P882" s="77"/>
      <c r="Q882" s="53"/>
      <c r="R882" s="54"/>
      <c r="S882" s="55"/>
      <c r="T882" s="56"/>
      <c r="U882" s="56"/>
      <c r="V882" s="42"/>
      <c r="W882" s="57"/>
      <c r="X882" s="58"/>
      <c r="Y882" s="75"/>
      <c r="Z882" s="59"/>
      <c r="AA882" s="61"/>
      <c r="AB882" s="61"/>
      <c r="AC882" s="61"/>
      <c r="AD882" s="62"/>
      <c r="AE882" s="62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  <c r="AQ882" s="34"/>
      <c r="AR882" s="34"/>
      <c r="AS882" s="34"/>
      <c r="AT882" s="34"/>
      <c r="AU882" s="34"/>
      <c r="AV882" s="34"/>
      <c r="AW882" s="34"/>
      <c r="AX882" s="34"/>
      <c r="AY882" s="34"/>
      <c r="AZ882" s="34"/>
      <c r="BA882" s="34"/>
      <c r="BB882" s="34"/>
      <c r="BD882" s="34"/>
      <c r="BE882" s="34"/>
      <c r="BF882" s="34"/>
      <c r="BG882" s="34"/>
      <c r="BH882" s="34"/>
      <c r="BI882" s="34"/>
      <c r="BJ882" s="34"/>
      <c r="BK882" s="34"/>
      <c r="BL882" s="34"/>
      <c r="BM882" s="34"/>
      <c r="BN882" s="34"/>
      <c r="BO882" s="34"/>
      <c r="BP882" s="34"/>
      <c r="BQ882" s="34"/>
      <c r="BR882" s="34"/>
      <c r="BS882" s="34"/>
      <c r="BT882" s="34"/>
      <c r="BU882" s="34"/>
      <c r="BV882" s="34"/>
      <c r="BW882" s="34"/>
      <c r="BX882" s="34"/>
      <c r="BY882" s="34"/>
    </row>
    <row r="883" spans="1:77" x14ac:dyDescent="0.3">
      <c r="A883" s="39"/>
      <c r="B883" s="42"/>
      <c r="C883" s="42"/>
      <c r="D883" s="75"/>
      <c r="E883" s="75"/>
      <c r="F883" s="76"/>
      <c r="G883" s="47"/>
      <c r="H883" s="47"/>
      <c r="I883" s="75"/>
      <c r="J883" s="76"/>
      <c r="K883" s="76"/>
      <c r="L883" s="75"/>
      <c r="M883" s="49"/>
      <c r="N883" s="76"/>
      <c r="O883" s="49"/>
      <c r="P883" s="77"/>
      <c r="Q883" s="53"/>
      <c r="R883" s="54"/>
      <c r="S883" s="55"/>
      <c r="T883" s="56"/>
      <c r="U883" s="56"/>
      <c r="V883" s="42"/>
      <c r="W883" s="57"/>
      <c r="X883" s="58"/>
      <c r="Y883" s="75"/>
      <c r="Z883" s="59"/>
      <c r="AA883" s="61"/>
      <c r="AB883" s="61"/>
      <c r="AC883" s="61"/>
      <c r="AD883" s="62"/>
      <c r="AE883" s="62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34"/>
      <c r="AR883" s="34"/>
      <c r="AS883" s="34"/>
      <c r="AT883" s="34"/>
      <c r="AU883" s="34"/>
      <c r="AV883" s="34"/>
      <c r="AW883" s="34"/>
      <c r="AX883" s="34"/>
      <c r="AY883" s="34"/>
      <c r="AZ883" s="34"/>
      <c r="BA883" s="34"/>
      <c r="BB883" s="34"/>
      <c r="BD883" s="34"/>
      <c r="BE883" s="34"/>
      <c r="BF883" s="34"/>
      <c r="BG883" s="34"/>
      <c r="BH883" s="34"/>
      <c r="BI883" s="34"/>
      <c r="BJ883" s="34"/>
      <c r="BK883" s="34"/>
      <c r="BL883" s="34"/>
      <c r="BM883" s="34"/>
      <c r="BN883" s="34"/>
      <c r="BO883" s="34"/>
      <c r="BP883" s="34"/>
      <c r="BQ883" s="34"/>
      <c r="BR883" s="34"/>
      <c r="BS883" s="34"/>
      <c r="BT883" s="34"/>
      <c r="BU883" s="34"/>
      <c r="BV883" s="34"/>
      <c r="BW883" s="34"/>
      <c r="BX883" s="34"/>
      <c r="BY883" s="34"/>
    </row>
    <row r="884" spans="1:77" x14ac:dyDescent="0.3">
      <c r="A884" s="39"/>
      <c r="B884" s="42"/>
      <c r="C884" s="42"/>
      <c r="D884" s="75"/>
      <c r="E884" s="75"/>
      <c r="F884" s="76"/>
      <c r="G884" s="47"/>
      <c r="H884" s="47"/>
      <c r="I884" s="75"/>
      <c r="J884" s="76"/>
      <c r="K884" s="76"/>
      <c r="L884" s="75"/>
      <c r="M884" s="49"/>
      <c r="N884" s="76"/>
      <c r="O884" s="49"/>
      <c r="P884" s="77"/>
      <c r="Q884" s="53"/>
      <c r="R884" s="54"/>
      <c r="S884" s="55"/>
      <c r="T884" s="56"/>
      <c r="U884" s="56"/>
      <c r="V884" s="42"/>
      <c r="W884" s="57"/>
      <c r="X884" s="58"/>
      <c r="Y884" s="75"/>
      <c r="Z884" s="59"/>
      <c r="AA884" s="61"/>
      <c r="AB884" s="61"/>
      <c r="AC884" s="61"/>
      <c r="AD884" s="62"/>
      <c r="AE884" s="62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34"/>
      <c r="AR884" s="34"/>
      <c r="AS884" s="34"/>
      <c r="AT884" s="34"/>
      <c r="AU884" s="34"/>
      <c r="AV884" s="34"/>
      <c r="AW884" s="34"/>
      <c r="AX884" s="34"/>
      <c r="AY884" s="34"/>
      <c r="AZ884" s="34"/>
      <c r="BA884" s="34"/>
      <c r="BB884" s="34"/>
      <c r="BD884" s="34"/>
      <c r="BE884" s="34"/>
      <c r="BF884" s="34"/>
      <c r="BG884" s="34"/>
      <c r="BH884" s="34"/>
      <c r="BI884" s="34"/>
      <c r="BJ884" s="34"/>
      <c r="BK884" s="34"/>
      <c r="BL884" s="34"/>
      <c r="BM884" s="34"/>
      <c r="BN884" s="34"/>
      <c r="BO884" s="34"/>
      <c r="BP884" s="34"/>
      <c r="BQ884" s="34"/>
      <c r="BR884" s="34"/>
      <c r="BS884" s="34"/>
      <c r="BT884" s="34"/>
      <c r="BU884" s="34"/>
      <c r="BV884" s="34"/>
      <c r="BW884" s="34"/>
      <c r="BX884" s="34"/>
      <c r="BY884" s="34"/>
    </row>
    <row r="885" spans="1:77" x14ac:dyDescent="0.3">
      <c r="A885" s="39"/>
      <c r="B885" s="42"/>
      <c r="C885" s="42"/>
      <c r="D885" s="75"/>
      <c r="E885" s="75"/>
      <c r="F885" s="76"/>
      <c r="G885" s="47"/>
      <c r="H885" s="47"/>
      <c r="I885" s="75"/>
      <c r="J885" s="76"/>
      <c r="K885" s="76"/>
      <c r="L885" s="75"/>
      <c r="M885" s="49"/>
      <c r="N885" s="76"/>
      <c r="O885" s="49"/>
      <c r="P885" s="77"/>
      <c r="Q885" s="53"/>
      <c r="R885" s="54"/>
      <c r="S885" s="55"/>
      <c r="T885" s="56"/>
      <c r="U885" s="56"/>
      <c r="V885" s="42"/>
      <c r="W885" s="57"/>
      <c r="X885" s="58"/>
      <c r="Y885" s="75"/>
      <c r="Z885" s="59"/>
      <c r="AA885" s="61"/>
      <c r="AB885" s="61"/>
      <c r="AC885" s="61"/>
      <c r="AD885" s="62"/>
      <c r="AE885" s="62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34"/>
      <c r="AR885" s="34"/>
      <c r="AS885" s="34"/>
      <c r="AT885" s="34"/>
      <c r="AU885" s="34"/>
      <c r="AV885" s="34"/>
      <c r="AW885" s="34"/>
      <c r="AX885" s="34"/>
      <c r="AY885" s="34"/>
      <c r="AZ885" s="34"/>
      <c r="BA885" s="34"/>
      <c r="BB885" s="34"/>
      <c r="BD885" s="34"/>
      <c r="BE885" s="34"/>
      <c r="BF885" s="34"/>
      <c r="BG885" s="34"/>
      <c r="BH885" s="34"/>
      <c r="BI885" s="34"/>
      <c r="BJ885" s="34"/>
      <c r="BK885" s="34"/>
      <c r="BL885" s="34"/>
      <c r="BM885" s="34"/>
      <c r="BN885" s="34"/>
      <c r="BO885" s="34"/>
      <c r="BP885" s="34"/>
      <c r="BQ885" s="34"/>
      <c r="BR885" s="34"/>
      <c r="BS885" s="34"/>
      <c r="BT885" s="34"/>
      <c r="BU885" s="34"/>
      <c r="BV885" s="34"/>
      <c r="BW885" s="34"/>
      <c r="BX885" s="34"/>
      <c r="BY885" s="34"/>
    </row>
    <row r="886" spans="1:77" x14ac:dyDescent="0.3">
      <c r="A886" s="39"/>
      <c r="B886" s="42"/>
      <c r="C886" s="42"/>
      <c r="D886" s="75"/>
      <c r="E886" s="75"/>
      <c r="F886" s="76"/>
      <c r="G886" s="47"/>
      <c r="H886" s="47"/>
      <c r="I886" s="75"/>
      <c r="J886" s="76"/>
      <c r="K886" s="76"/>
      <c r="L886" s="75"/>
      <c r="M886" s="49"/>
      <c r="N886" s="76"/>
      <c r="O886" s="49"/>
      <c r="P886" s="77"/>
      <c r="Q886" s="53"/>
      <c r="R886" s="54"/>
      <c r="S886" s="55"/>
      <c r="T886" s="56"/>
      <c r="U886" s="56"/>
      <c r="V886" s="42"/>
      <c r="W886" s="57"/>
      <c r="X886" s="58"/>
      <c r="Y886" s="75"/>
      <c r="Z886" s="59"/>
      <c r="AA886" s="61"/>
      <c r="AB886" s="61"/>
      <c r="AC886" s="61"/>
      <c r="AD886" s="62"/>
      <c r="AE886" s="62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34"/>
      <c r="AR886" s="34"/>
      <c r="AS886" s="34"/>
      <c r="AT886" s="34"/>
      <c r="AU886" s="34"/>
      <c r="AV886" s="34"/>
      <c r="AW886" s="34"/>
      <c r="AX886" s="34"/>
      <c r="AY886" s="34"/>
      <c r="AZ886" s="34"/>
      <c r="BA886" s="34"/>
      <c r="BB886" s="34"/>
      <c r="BD886" s="34"/>
      <c r="BE886" s="34"/>
      <c r="BF886" s="34"/>
      <c r="BG886" s="34"/>
      <c r="BH886" s="34"/>
      <c r="BI886" s="34"/>
      <c r="BJ886" s="34"/>
      <c r="BK886" s="34"/>
      <c r="BL886" s="34"/>
      <c r="BM886" s="34"/>
      <c r="BN886" s="34"/>
      <c r="BO886" s="34"/>
      <c r="BP886" s="34"/>
      <c r="BQ886" s="34"/>
      <c r="BR886" s="34"/>
      <c r="BS886" s="34"/>
      <c r="BT886" s="34"/>
      <c r="BU886" s="34"/>
      <c r="BV886" s="34"/>
      <c r="BW886" s="34"/>
      <c r="BX886" s="34"/>
      <c r="BY886" s="34"/>
    </row>
    <row r="887" spans="1:77" x14ac:dyDescent="0.3">
      <c r="A887" s="39"/>
      <c r="B887" s="42"/>
      <c r="C887" s="42"/>
      <c r="D887" s="75"/>
      <c r="E887" s="75"/>
      <c r="F887" s="76"/>
      <c r="G887" s="47"/>
      <c r="H887" s="47"/>
      <c r="I887" s="75"/>
      <c r="J887" s="76"/>
      <c r="K887" s="76"/>
      <c r="L887" s="75"/>
      <c r="M887" s="49"/>
      <c r="N887" s="76"/>
      <c r="O887" s="49"/>
      <c r="P887" s="77"/>
      <c r="Q887" s="53"/>
      <c r="R887" s="54"/>
      <c r="S887" s="55"/>
      <c r="T887" s="56"/>
      <c r="U887" s="56"/>
      <c r="V887" s="42"/>
      <c r="W887" s="57"/>
      <c r="X887" s="58"/>
      <c r="Y887" s="75"/>
      <c r="Z887" s="59"/>
      <c r="AA887" s="61"/>
      <c r="AB887" s="61"/>
      <c r="AC887" s="61"/>
      <c r="AD887" s="62"/>
      <c r="AE887" s="62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34"/>
      <c r="AR887" s="34"/>
      <c r="AS887" s="34"/>
      <c r="AT887" s="34"/>
      <c r="AU887" s="34"/>
      <c r="AV887" s="34"/>
      <c r="AW887" s="34"/>
      <c r="AX887" s="34"/>
      <c r="AY887" s="34"/>
      <c r="AZ887" s="34"/>
      <c r="BA887" s="34"/>
      <c r="BB887" s="34"/>
      <c r="BD887" s="34"/>
      <c r="BE887" s="34"/>
      <c r="BF887" s="34"/>
      <c r="BG887" s="34"/>
      <c r="BH887" s="34"/>
      <c r="BI887" s="34"/>
      <c r="BJ887" s="34"/>
      <c r="BK887" s="34"/>
      <c r="BL887" s="34"/>
      <c r="BM887" s="34"/>
      <c r="BN887" s="34"/>
      <c r="BO887" s="34"/>
      <c r="BP887" s="34"/>
      <c r="BQ887" s="34"/>
      <c r="BR887" s="34"/>
      <c r="BS887" s="34"/>
      <c r="BT887" s="34"/>
      <c r="BU887" s="34"/>
      <c r="BV887" s="34"/>
      <c r="BW887" s="34"/>
      <c r="BX887" s="34"/>
      <c r="BY887" s="34"/>
    </row>
    <row r="888" spans="1:77" x14ac:dyDescent="0.3">
      <c r="A888" s="39"/>
      <c r="B888" s="42"/>
      <c r="C888" s="42"/>
      <c r="D888" s="75"/>
      <c r="E888" s="75"/>
      <c r="F888" s="76"/>
      <c r="G888" s="47"/>
      <c r="H888" s="47"/>
      <c r="I888" s="75"/>
      <c r="J888" s="76"/>
      <c r="K888" s="76"/>
      <c r="L888" s="75"/>
      <c r="M888" s="49"/>
      <c r="N888" s="76"/>
      <c r="O888" s="49"/>
      <c r="P888" s="77"/>
      <c r="Q888" s="53"/>
      <c r="R888" s="54"/>
      <c r="S888" s="55"/>
      <c r="T888" s="56"/>
      <c r="U888" s="56"/>
      <c r="V888" s="42"/>
      <c r="W888" s="57"/>
      <c r="X888" s="58"/>
      <c r="Y888" s="75"/>
      <c r="Z888" s="59"/>
      <c r="AA888" s="61"/>
      <c r="AB888" s="61"/>
      <c r="AC888" s="61"/>
      <c r="AD888" s="62"/>
      <c r="AE888" s="62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34"/>
      <c r="AR888" s="34"/>
      <c r="AS888" s="34"/>
      <c r="AT888" s="34"/>
      <c r="AU888" s="34"/>
      <c r="AV888" s="34"/>
      <c r="AW888" s="34"/>
      <c r="AX888" s="34"/>
      <c r="AY888" s="34"/>
      <c r="AZ888" s="34"/>
      <c r="BA888" s="34"/>
      <c r="BB888" s="34"/>
      <c r="BD888" s="34"/>
      <c r="BE888" s="34"/>
      <c r="BF888" s="34"/>
      <c r="BG888" s="34"/>
      <c r="BH888" s="34"/>
      <c r="BI888" s="34"/>
      <c r="BJ888" s="34"/>
      <c r="BK888" s="34"/>
      <c r="BL888" s="34"/>
      <c r="BM888" s="34"/>
      <c r="BN888" s="34"/>
      <c r="BO888" s="34"/>
      <c r="BP888" s="34"/>
      <c r="BQ888" s="34"/>
      <c r="BR888" s="34"/>
      <c r="BS888" s="34"/>
      <c r="BT888" s="34"/>
      <c r="BU888" s="34"/>
      <c r="BV888" s="34"/>
      <c r="BW888" s="34"/>
      <c r="BX888" s="34"/>
      <c r="BY888" s="34"/>
    </row>
    <row r="889" spans="1:77" x14ac:dyDescent="0.3">
      <c r="A889" s="39"/>
      <c r="B889" s="42"/>
      <c r="C889" s="42"/>
      <c r="D889" s="75"/>
      <c r="E889" s="75"/>
      <c r="F889" s="76"/>
      <c r="G889" s="47"/>
      <c r="H889" s="47"/>
      <c r="I889" s="75"/>
      <c r="J889" s="76"/>
      <c r="K889" s="76"/>
      <c r="L889" s="75"/>
      <c r="M889" s="49"/>
      <c r="N889" s="76"/>
      <c r="O889" s="49"/>
      <c r="P889" s="77"/>
      <c r="Q889" s="53"/>
      <c r="R889" s="54"/>
      <c r="S889" s="55"/>
      <c r="T889" s="56"/>
      <c r="U889" s="56"/>
      <c r="V889" s="42"/>
      <c r="W889" s="57"/>
      <c r="X889" s="58"/>
      <c r="Y889" s="75"/>
      <c r="Z889" s="59"/>
      <c r="AA889" s="61"/>
      <c r="AB889" s="61"/>
      <c r="AC889" s="61"/>
      <c r="AD889" s="62"/>
      <c r="AE889" s="62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  <c r="AQ889" s="34"/>
      <c r="AR889" s="34"/>
      <c r="AS889" s="34"/>
      <c r="AT889" s="34"/>
      <c r="AU889" s="34"/>
      <c r="AV889" s="34"/>
      <c r="AW889" s="34"/>
      <c r="AX889" s="34"/>
      <c r="AY889" s="34"/>
      <c r="AZ889" s="34"/>
      <c r="BA889" s="34"/>
      <c r="BB889" s="34"/>
      <c r="BD889" s="34"/>
      <c r="BE889" s="34"/>
      <c r="BF889" s="34"/>
      <c r="BG889" s="34"/>
      <c r="BH889" s="34"/>
      <c r="BI889" s="34"/>
      <c r="BJ889" s="34"/>
      <c r="BK889" s="34"/>
      <c r="BL889" s="34"/>
      <c r="BM889" s="34"/>
      <c r="BN889" s="34"/>
      <c r="BO889" s="34"/>
      <c r="BP889" s="34"/>
      <c r="BQ889" s="34"/>
      <c r="BR889" s="34"/>
      <c r="BS889" s="34"/>
      <c r="BT889" s="34"/>
      <c r="BU889" s="34"/>
      <c r="BV889" s="34"/>
      <c r="BW889" s="34"/>
      <c r="BX889" s="34"/>
      <c r="BY889" s="34"/>
    </row>
    <row r="890" spans="1:77" x14ac:dyDescent="0.3">
      <c r="A890" s="39"/>
      <c r="B890" s="42"/>
      <c r="C890" s="42"/>
      <c r="D890" s="75"/>
      <c r="E890" s="75"/>
      <c r="F890" s="76"/>
      <c r="G890" s="47"/>
      <c r="H890" s="47"/>
      <c r="I890" s="75"/>
      <c r="J890" s="76"/>
      <c r="K890" s="76"/>
      <c r="L890" s="75"/>
      <c r="M890" s="49"/>
      <c r="N890" s="76"/>
      <c r="O890" s="49"/>
      <c r="P890" s="77"/>
      <c r="Q890" s="53"/>
      <c r="R890" s="54"/>
      <c r="S890" s="55"/>
      <c r="T890" s="56"/>
      <c r="U890" s="56"/>
      <c r="V890" s="42"/>
      <c r="W890" s="57"/>
      <c r="X890" s="58"/>
      <c r="Y890" s="75"/>
      <c r="Z890" s="59"/>
      <c r="AA890" s="61"/>
      <c r="AB890" s="61"/>
      <c r="AC890" s="61"/>
      <c r="AD890" s="62"/>
      <c r="AE890" s="62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  <c r="AQ890" s="34"/>
      <c r="AR890" s="34"/>
      <c r="AS890" s="34"/>
      <c r="AT890" s="34"/>
      <c r="AU890" s="34"/>
      <c r="AV890" s="34"/>
      <c r="AW890" s="34"/>
      <c r="AX890" s="34"/>
      <c r="AY890" s="34"/>
      <c r="AZ890" s="34"/>
      <c r="BA890" s="34"/>
      <c r="BB890" s="34"/>
      <c r="BD890" s="34"/>
      <c r="BE890" s="34"/>
      <c r="BF890" s="34"/>
      <c r="BG890" s="34"/>
      <c r="BH890" s="34"/>
      <c r="BI890" s="34"/>
      <c r="BJ890" s="34"/>
      <c r="BK890" s="34"/>
      <c r="BL890" s="34"/>
      <c r="BM890" s="34"/>
      <c r="BN890" s="34"/>
      <c r="BO890" s="34"/>
      <c r="BP890" s="34"/>
      <c r="BQ890" s="34"/>
      <c r="BR890" s="34"/>
      <c r="BS890" s="34"/>
      <c r="BT890" s="34"/>
      <c r="BU890" s="34"/>
      <c r="BV890" s="34"/>
      <c r="BW890" s="34"/>
      <c r="BX890" s="34"/>
      <c r="BY890" s="34"/>
    </row>
    <row r="891" spans="1:77" x14ac:dyDescent="0.3">
      <c r="A891" s="39"/>
      <c r="B891" s="42"/>
      <c r="C891" s="42"/>
      <c r="D891" s="75"/>
      <c r="E891" s="75"/>
      <c r="F891" s="76"/>
      <c r="G891" s="47"/>
      <c r="H891" s="47"/>
      <c r="I891" s="75"/>
      <c r="J891" s="76"/>
      <c r="K891" s="76"/>
      <c r="L891" s="75"/>
      <c r="M891" s="49"/>
      <c r="N891" s="76"/>
      <c r="O891" s="49"/>
      <c r="P891" s="77"/>
      <c r="Q891" s="53"/>
      <c r="R891" s="54"/>
      <c r="S891" s="55"/>
      <c r="T891" s="56"/>
      <c r="U891" s="56"/>
      <c r="V891" s="42"/>
      <c r="W891" s="57"/>
      <c r="X891" s="58"/>
      <c r="Y891" s="75"/>
      <c r="Z891" s="59"/>
      <c r="AA891" s="61"/>
      <c r="AB891" s="61"/>
      <c r="AC891" s="61"/>
      <c r="AD891" s="62"/>
      <c r="AE891" s="62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  <c r="AQ891" s="34"/>
      <c r="AR891" s="34"/>
      <c r="AS891" s="34"/>
      <c r="AT891" s="34"/>
      <c r="AU891" s="34"/>
      <c r="AV891" s="34"/>
      <c r="AW891" s="34"/>
      <c r="AX891" s="34"/>
      <c r="AY891" s="34"/>
      <c r="AZ891" s="34"/>
      <c r="BA891" s="34"/>
      <c r="BB891" s="34"/>
      <c r="BD891" s="34"/>
      <c r="BE891" s="34"/>
      <c r="BF891" s="34"/>
      <c r="BG891" s="34"/>
      <c r="BH891" s="34"/>
      <c r="BI891" s="34"/>
      <c r="BJ891" s="34"/>
      <c r="BK891" s="34"/>
      <c r="BL891" s="34"/>
      <c r="BM891" s="34"/>
      <c r="BN891" s="34"/>
      <c r="BO891" s="34"/>
      <c r="BP891" s="34"/>
      <c r="BQ891" s="34"/>
      <c r="BR891" s="34"/>
      <c r="BS891" s="34"/>
      <c r="BT891" s="34"/>
      <c r="BU891" s="34"/>
      <c r="BV891" s="34"/>
      <c r="BW891" s="34"/>
      <c r="BX891" s="34"/>
      <c r="BY891" s="34"/>
    </row>
    <row r="892" spans="1:77" x14ac:dyDescent="0.3">
      <c r="A892" s="39"/>
      <c r="B892" s="42"/>
      <c r="C892" s="42"/>
      <c r="D892" s="75"/>
      <c r="E892" s="75"/>
      <c r="F892" s="76"/>
      <c r="G892" s="47"/>
      <c r="H892" s="47"/>
      <c r="I892" s="75"/>
      <c r="J892" s="76"/>
      <c r="K892" s="76"/>
      <c r="L892" s="75"/>
      <c r="M892" s="49"/>
      <c r="N892" s="76"/>
      <c r="O892" s="49"/>
      <c r="P892" s="77"/>
      <c r="Q892" s="53"/>
      <c r="R892" s="54"/>
      <c r="S892" s="55"/>
      <c r="T892" s="56"/>
      <c r="U892" s="56"/>
      <c r="V892" s="42"/>
      <c r="W892" s="57"/>
      <c r="X892" s="58"/>
      <c r="Y892" s="75"/>
      <c r="Z892" s="59"/>
      <c r="AA892" s="61"/>
      <c r="AB892" s="61"/>
      <c r="AC892" s="61"/>
      <c r="AD892" s="62"/>
      <c r="AE892" s="62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/>
      <c r="AR892" s="34"/>
      <c r="AS892" s="34"/>
      <c r="AT892" s="34"/>
      <c r="AU892" s="34"/>
      <c r="AV892" s="34"/>
      <c r="AW892" s="34"/>
      <c r="AX892" s="34"/>
      <c r="AY892" s="34"/>
      <c r="AZ892" s="34"/>
      <c r="BA892" s="34"/>
      <c r="BB892" s="34"/>
      <c r="BD892" s="34"/>
      <c r="BE892" s="34"/>
      <c r="BF892" s="34"/>
      <c r="BG892" s="34"/>
      <c r="BH892" s="34"/>
      <c r="BI892" s="34"/>
      <c r="BJ892" s="34"/>
      <c r="BK892" s="34"/>
      <c r="BL892" s="34"/>
      <c r="BM892" s="34"/>
      <c r="BN892" s="34"/>
      <c r="BO892" s="34"/>
      <c r="BP892" s="34"/>
      <c r="BQ892" s="34"/>
      <c r="BR892" s="34"/>
      <c r="BS892" s="34"/>
      <c r="BT892" s="34"/>
      <c r="BU892" s="34"/>
      <c r="BV892" s="34"/>
      <c r="BW892" s="34"/>
      <c r="BX892" s="34"/>
      <c r="BY892" s="34"/>
    </row>
    <row r="893" spans="1:77" x14ac:dyDescent="0.3">
      <c r="A893" s="39"/>
      <c r="B893" s="42"/>
      <c r="C893" s="42"/>
      <c r="D893" s="75"/>
      <c r="E893" s="75"/>
      <c r="F893" s="76"/>
      <c r="G893" s="47"/>
      <c r="H893" s="47"/>
      <c r="I893" s="75"/>
      <c r="J893" s="76"/>
      <c r="K893" s="76"/>
      <c r="L893" s="75"/>
      <c r="M893" s="49"/>
      <c r="N893" s="76"/>
      <c r="O893" s="49"/>
      <c r="P893" s="77"/>
      <c r="Q893" s="53"/>
      <c r="R893" s="54"/>
      <c r="S893" s="55"/>
      <c r="T893" s="56"/>
      <c r="U893" s="56"/>
      <c r="V893" s="42"/>
      <c r="W893" s="57"/>
      <c r="X893" s="58"/>
      <c r="Y893" s="75"/>
      <c r="Z893" s="59"/>
      <c r="AA893" s="61"/>
      <c r="AB893" s="61"/>
      <c r="AC893" s="61"/>
      <c r="AD893" s="62"/>
      <c r="AE893" s="62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  <c r="AQ893" s="34"/>
      <c r="AR893" s="34"/>
      <c r="AS893" s="34"/>
      <c r="AT893" s="34"/>
      <c r="AU893" s="34"/>
      <c r="AV893" s="34"/>
      <c r="AW893" s="34"/>
      <c r="AX893" s="34"/>
      <c r="AY893" s="34"/>
      <c r="AZ893" s="34"/>
      <c r="BA893" s="34"/>
      <c r="BB893" s="34"/>
      <c r="BD893" s="34"/>
      <c r="BE893" s="34"/>
      <c r="BF893" s="34"/>
      <c r="BG893" s="34"/>
      <c r="BH893" s="34"/>
      <c r="BI893" s="34"/>
      <c r="BJ893" s="34"/>
      <c r="BK893" s="34"/>
      <c r="BL893" s="34"/>
      <c r="BM893" s="34"/>
      <c r="BN893" s="34"/>
      <c r="BO893" s="34"/>
      <c r="BP893" s="34"/>
      <c r="BQ893" s="34"/>
      <c r="BR893" s="34"/>
      <c r="BS893" s="34"/>
      <c r="BT893" s="34"/>
      <c r="BU893" s="34"/>
      <c r="BV893" s="34"/>
      <c r="BW893" s="34"/>
      <c r="BX893" s="34"/>
      <c r="BY893" s="34"/>
    </row>
    <row r="894" spans="1:77" x14ac:dyDescent="0.3">
      <c r="A894" s="39"/>
      <c r="B894" s="42"/>
      <c r="C894" s="42"/>
      <c r="D894" s="75"/>
      <c r="E894" s="75"/>
      <c r="F894" s="76"/>
      <c r="G894" s="47"/>
      <c r="H894" s="47"/>
      <c r="I894" s="75"/>
      <c r="J894" s="76"/>
      <c r="K894" s="76"/>
      <c r="L894" s="75"/>
      <c r="M894" s="49"/>
      <c r="N894" s="76"/>
      <c r="O894" s="49"/>
      <c r="P894" s="77"/>
      <c r="Q894" s="53"/>
      <c r="R894" s="54"/>
      <c r="S894" s="55"/>
      <c r="T894" s="56"/>
      <c r="U894" s="56"/>
      <c r="V894" s="42"/>
      <c r="W894" s="57"/>
      <c r="X894" s="58"/>
      <c r="Y894" s="75"/>
      <c r="Z894" s="59"/>
      <c r="AA894" s="61"/>
      <c r="AB894" s="61"/>
      <c r="AC894" s="61"/>
      <c r="AD894" s="62"/>
      <c r="AE894" s="62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  <c r="AQ894" s="34"/>
      <c r="AR894" s="34"/>
      <c r="AS894" s="34"/>
      <c r="AT894" s="34"/>
      <c r="AU894" s="34"/>
      <c r="AV894" s="34"/>
      <c r="AW894" s="34"/>
      <c r="AX894" s="34"/>
      <c r="AY894" s="34"/>
      <c r="AZ894" s="34"/>
      <c r="BA894" s="34"/>
      <c r="BB894" s="34"/>
      <c r="BD894" s="34"/>
      <c r="BE894" s="34"/>
      <c r="BF894" s="34"/>
      <c r="BG894" s="34"/>
      <c r="BH894" s="34"/>
      <c r="BI894" s="34"/>
      <c r="BJ894" s="34"/>
      <c r="BK894" s="34"/>
      <c r="BL894" s="34"/>
      <c r="BM894" s="34"/>
      <c r="BN894" s="34"/>
      <c r="BO894" s="34"/>
      <c r="BP894" s="34"/>
      <c r="BQ894" s="34"/>
      <c r="BR894" s="34"/>
      <c r="BS894" s="34"/>
      <c r="BT894" s="34"/>
      <c r="BU894" s="34"/>
      <c r="BV894" s="34"/>
      <c r="BW894" s="34"/>
      <c r="BX894" s="34"/>
      <c r="BY894" s="34"/>
    </row>
    <row r="895" spans="1:77" x14ac:dyDescent="0.3">
      <c r="A895" s="39"/>
      <c r="B895" s="42"/>
      <c r="C895" s="42"/>
      <c r="D895" s="75"/>
      <c r="E895" s="75"/>
      <c r="F895" s="76"/>
      <c r="G895" s="47"/>
      <c r="H895" s="47"/>
      <c r="I895" s="75"/>
      <c r="J895" s="76"/>
      <c r="K895" s="76"/>
      <c r="L895" s="75"/>
      <c r="M895" s="49"/>
      <c r="N895" s="76"/>
      <c r="O895" s="49"/>
      <c r="P895" s="77"/>
      <c r="Q895" s="53"/>
      <c r="R895" s="54"/>
      <c r="S895" s="55"/>
      <c r="T895" s="56"/>
      <c r="U895" s="56"/>
      <c r="V895" s="42"/>
      <c r="W895" s="57"/>
      <c r="X895" s="58"/>
      <c r="Y895" s="75"/>
      <c r="Z895" s="59"/>
      <c r="AA895" s="61"/>
      <c r="AB895" s="61"/>
      <c r="AC895" s="61"/>
      <c r="AD895" s="62"/>
      <c r="AE895" s="62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  <c r="AQ895" s="34"/>
      <c r="AR895" s="34"/>
      <c r="AS895" s="34"/>
      <c r="AT895" s="34"/>
      <c r="AU895" s="34"/>
      <c r="AV895" s="34"/>
      <c r="AW895" s="34"/>
      <c r="AX895" s="34"/>
      <c r="AY895" s="34"/>
      <c r="AZ895" s="34"/>
      <c r="BA895" s="34"/>
      <c r="BB895" s="34"/>
      <c r="BD895" s="34"/>
      <c r="BE895" s="34"/>
      <c r="BF895" s="34"/>
      <c r="BG895" s="34"/>
      <c r="BH895" s="34"/>
      <c r="BI895" s="34"/>
      <c r="BJ895" s="34"/>
      <c r="BK895" s="34"/>
      <c r="BL895" s="34"/>
      <c r="BM895" s="34"/>
      <c r="BN895" s="34"/>
      <c r="BO895" s="34"/>
      <c r="BP895" s="34"/>
      <c r="BQ895" s="34"/>
      <c r="BR895" s="34"/>
      <c r="BS895" s="34"/>
      <c r="BT895" s="34"/>
      <c r="BU895" s="34"/>
      <c r="BV895" s="34"/>
      <c r="BW895" s="34"/>
      <c r="BX895" s="34"/>
      <c r="BY895" s="34"/>
    </row>
    <row r="896" spans="1:77" x14ac:dyDescent="0.3">
      <c r="A896" s="39"/>
      <c r="B896" s="42"/>
      <c r="C896" s="42"/>
      <c r="D896" s="75"/>
      <c r="E896" s="75"/>
      <c r="F896" s="76"/>
      <c r="G896" s="47"/>
      <c r="H896" s="47"/>
      <c r="I896" s="75"/>
      <c r="J896" s="76"/>
      <c r="K896" s="76"/>
      <c r="L896" s="75"/>
      <c r="M896" s="49"/>
      <c r="N896" s="76"/>
      <c r="O896" s="49"/>
      <c r="P896" s="77"/>
      <c r="Q896" s="53"/>
      <c r="R896" s="54"/>
      <c r="S896" s="55"/>
      <c r="T896" s="56"/>
      <c r="U896" s="56"/>
      <c r="V896" s="42"/>
      <c r="W896" s="57"/>
      <c r="X896" s="58"/>
      <c r="Y896" s="75"/>
      <c r="Z896" s="59"/>
      <c r="AA896" s="61"/>
      <c r="AB896" s="61"/>
      <c r="AC896" s="61"/>
      <c r="AD896" s="62"/>
      <c r="AE896" s="62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  <c r="AQ896" s="34"/>
      <c r="AR896" s="34"/>
      <c r="AS896" s="34"/>
      <c r="AT896" s="34"/>
      <c r="AU896" s="34"/>
      <c r="AV896" s="34"/>
      <c r="AW896" s="34"/>
      <c r="AX896" s="34"/>
      <c r="AY896" s="34"/>
      <c r="AZ896" s="34"/>
      <c r="BA896" s="34"/>
      <c r="BB896" s="34"/>
      <c r="BD896" s="34"/>
      <c r="BE896" s="34"/>
      <c r="BF896" s="34"/>
      <c r="BG896" s="34"/>
      <c r="BH896" s="34"/>
      <c r="BI896" s="34"/>
      <c r="BJ896" s="34"/>
      <c r="BK896" s="34"/>
      <c r="BL896" s="34"/>
      <c r="BM896" s="34"/>
      <c r="BN896" s="34"/>
      <c r="BO896" s="34"/>
      <c r="BP896" s="34"/>
      <c r="BQ896" s="34"/>
      <c r="BR896" s="34"/>
      <c r="BS896" s="34"/>
      <c r="BT896" s="34"/>
      <c r="BU896" s="34"/>
      <c r="BV896" s="34"/>
      <c r="BW896" s="34"/>
      <c r="BX896" s="34"/>
      <c r="BY896" s="34"/>
    </row>
    <row r="897" spans="1:77" x14ac:dyDescent="0.3">
      <c r="A897" s="39"/>
      <c r="B897" s="42"/>
      <c r="C897" s="42"/>
      <c r="D897" s="75"/>
      <c r="E897" s="75"/>
      <c r="F897" s="76"/>
      <c r="G897" s="47"/>
      <c r="H897" s="47"/>
      <c r="I897" s="75"/>
      <c r="J897" s="76"/>
      <c r="K897" s="76"/>
      <c r="L897" s="75"/>
      <c r="M897" s="49"/>
      <c r="N897" s="76"/>
      <c r="O897" s="49"/>
      <c r="P897" s="77"/>
      <c r="Q897" s="53"/>
      <c r="R897" s="54"/>
      <c r="S897" s="55"/>
      <c r="T897" s="56"/>
      <c r="U897" s="56"/>
      <c r="V897" s="42"/>
      <c r="W897" s="57"/>
      <c r="X897" s="58"/>
      <c r="Y897" s="75"/>
      <c r="Z897" s="59"/>
      <c r="AA897" s="61"/>
      <c r="AB897" s="61"/>
      <c r="AC897" s="61"/>
      <c r="AD897" s="62"/>
      <c r="AE897" s="62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34"/>
      <c r="BA897" s="34"/>
      <c r="BB897" s="34"/>
      <c r="BD897" s="34"/>
      <c r="BE897" s="34"/>
      <c r="BF897" s="34"/>
      <c r="BG897" s="34"/>
      <c r="BH897" s="34"/>
      <c r="BI897" s="34"/>
      <c r="BJ897" s="34"/>
      <c r="BK897" s="34"/>
      <c r="BL897" s="34"/>
      <c r="BM897" s="34"/>
      <c r="BN897" s="34"/>
      <c r="BO897" s="34"/>
      <c r="BP897" s="34"/>
      <c r="BQ897" s="34"/>
      <c r="BR897" s="34"/>
      <c r="BS897" s="34"/>
      <c r="BT897" s="34"/>
      <c r="BU897" s="34"/>
      <c r="BV897" s="34"/>
      <c r="BW897" s="34"/>
      <c r="BX897" s="34"/>
      <c r="BY897" s="34"/>
    </row>
    <row r="898" spans="1:77" x14ac:dyDescent="0.3">
      <c r="A898" s="39"/>
      <c r="B898" s="42"/>
      <c r="C898" s="42"/>
      <c r="D898" s="75"/>
      <c r="E898" s="75"/>
      <c r="F898" s="76"/>
      <c r="G898" s="47"/>
      <c r="H898" s="47"/>
      <c r="I898" s="75"/>
      <c r="J898" s="76"/>
      <c r="K898" s="76"/>
      <c r="L898" s="75"/>
      <c r="M898" s="49"/>
      <c r="N898" s="76"/>
      <c r="O898" s="49"/>
      <c r="P898" s="77"/>
      <c r="Q898" s="53"/>
      <c r="R898" s="54"/>
      <c r="S898" s="55"/>
      <c r="T898" s="56"/>
      <c r="U898" s="56"/>
      <c r="V898" s="42"/>
      <c r="W898" s="57"/>
      <c r="X898" s="58"/>
      <c r="Y898" s="75"/>
      <c r="Z898" s="59"/>
      <c r="AA898" s="61"/>
      <c r="AB898" s="61"/>
      <c r="AC898" s="61"/>
      <c r="AD898" s="62"/>
      <c r="AE898" s="62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  <c r="AQ898" s="34"/>
      <c r="AR898" s="34"/>
      <c r="AS898" s="34"/>
      <c r="AT898" s="34"/>
      <c r="AU898" s="34"/>
      <c r="AV898" s="34"/>
      <c r="AW898" s="34"/>
      <c r="AX898" s="34"/>
      <c r="AY898" s="34"/>
      <c r="AZ898" s="34"/>
      <c r="BA898" s="34"/>
      <c r="BB898" s="34"/>
      <c r="BD898" s="34"/>
      <c r="BE898" s="34"/>
      <c r="BF898" s="34"/>
      <c r="BG898" s="34"/>
      <c r="BH898" s="34"/>
      <c r="BI898" s="34"/>
      <c r="BJ898" s="34"/>
      <c r="BK898" s="34"/>
      <c r="BL898" s="34"/>
      <c r="BM898" s="34"/>
      <c r="BN898" s="34"/>
      <c r="BO898" s="34"/>
      <c r="BP898" s="34"/>
      <c r="BQ898" s="34"/>
      <c r="BR898" s="34"/>
      <c r="BS898" s="34"/>
      <c r="BT898" s="34"/>
      <c r="BU898" s="34"/>
      <c r="BV898" s="34"/>
      <c r="BW898" s="34"/>
      <c r="BX898" s="34"/>
      <c r="BY898" s="34"/>
    </row>
    <row r="899" spans="1:77" x14ac:dyDescent="0.3">
      <c r="A899" s="39"/>
      <c r="B899" s="42"/>
      <c r="C899" s="42"/>
      <c r="D899" s="75"/>
      <c r="E899" s="75"/>
      <c r="F899" s="76"/>
      <c r="G899" s="47"/>
      <c r="H899" s="47"/>
      <c r="I899" s="75"/>
      <c r="J899" s="76"/>
      <c r="K899" s="76"/>
      <c r="L899" s="75"/>
      <c r="M899" s="49"/>
      <c r="N899" s="76"/>
      <c r="O899" s="49"/>
      <c r="P899" s="77"/>
      <c r="Q899" s="53"/>
      <c r="R899" s="54"/>
      <c r="S899" s="55"/>
      <c r="T899" s="56"/>
      <c r="U899" s="56"/>
      <c r="V899" s="42"/>
      <c r="W899" s="57"/>
      <c r="X899" s="58"/>
      <c r="Y899" s="75"/>
      <c r="Z899" s="59"/>
      <c r="AA899" s="61"/>
      <c r="AB899" s="61"/>
      <c r="AC899" s="61"/>
      <c r="AD899" s="62"/>
      <c r="AE899" s="62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34"/>
      <c r="AR899" s="34"/>
      <c r="AS899" s="34"/>
      <c r="AT899" s="34"/>
      <c r="AU899" s="34"/>
      <c r="AV899" s="34"/>
      <c r="AW899" s="34"/>
      <c r="AX899" s="34"/>
      <c r="AY899" s="34"/>
      <c r="AZ899" s="34"/>
      <c r="BA899" s="34"/>
      <c r="BB899" s="34"/>
      <c r="BD899" s="34"/>
      <c r="BE899" s="34"/>
      <c r="BF899" s="34"/>
      <c r="BG899" s="34"/>
      <c r="BH899" s="34"/>
      <c r="BI899" s="34"/>
      <c r="BJ899" s="34"/>
      <c r="BK899" s="34"/>
      <c r="BL899" s="34"/>
      <c r="BM899" s="34"/>
      <c r="BN899" s="34"/>
      <c r="BO899" s="34"/>
      <c r="BP899" s="34"/>
      <c r="BQ899" s="34"/>
      <c r="BR899" s="34"/>
      <c r="BS899" s="34"/>
      <c r="BT899" s="34"/>
      <c r="BU899" s="34"/>
      <c r="BV899" s="34"/>
      <c r="BW899" s="34"/>
      <c r="BX899" s="34"/>
      <c r="BY899" s="34"/>
    </row>
    <row r="900" spans="1:77" x14ac:dyDescent="0.3">
      <c r="A900" s="39"/>
      <c r="B900" s="42"/>
      <c r="C900" s="42"/>
      <c r="D900" s="75"/>
      <c r="E900" s="75"/>
      <c r="F900" s="76"/>
      <c r="G900" s="47"/>
      <c r="H900" s="47"/>
      <c r="I900" s="75"/>
      <c r="J900" s="76"/>
      <c r="K900" s="76"/>
      <c r="L900" s="75"/>
      <c r="M900" s="49"/>
      <c r="N900" s="76"/>
      <c r="O900" s="49"/>
      <c r="P900" s="77"/>
      <c r="Q900" s="53"/>
      <c r="R900" s="54"/>
      <c r="S900" s="55"/>
      <c r="T900" s="56"/>
      <c r="U900" s="56"/>
      <c r="V900" s="42"/>
      <c r="W900" s="57"/>
      <c r="X900" s="58"/>
      <c r="Y900" s="75"/>
      <c r="Z900" s="59"/>
      <c r="AA900" s="61"/>
      <c r="AB900" s="61"/>
      <c r="AC900" s="61"/>
      <c r="AD900" s="62"/>
      <c r="AE900" s="62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34"/>
      <c r="BA900" s="34"/>
      <c r="BB900" s="34"/>
      <c r="BD900" s="34"/>
      <c r="BE900" s="34"/>
      <c r="BF900" s="34"/>
      <c r="BG900" s="34"/>
      <c r="BH900" s="34"/>
      <c r="BI900" s="34"/>
      <c r="BJ900" s="34"/>
      <c r="BK900" s="34"/>
      <c r="BL900" s="34"/>
      <c r="BM900" s="34"/>
      <c r="BN900" s="34"/>
      <c r="BO900" s="34"/>
      <c r="BP900" s="34"/>
      <c r="BQ900" s="34"/>
      <c r="BR900" s="34"/>
      <c r="BS900" s="34"/>
      <c r="BT900" s="34"/>
      <c r="BU900" s="34"/>
      <c r="BV900" s="34"/>
      <c r="BW900" s="34"/>
      <c r="BX900" s="34"/>
      <c r="BY900" s="34"/>
    </row>
    <row r="901" spans="1:77" x14ac:dyDescent="0.3">
      <c r="A901" s="39"/>
      <c r="B901" s="42"/>
      <c r="C901" s="42"/>
      <c r="D901" s="75"/>
      <c r="E901" s="75"/>
      <c r="F901" s="76"/>
      <c r="G901" s="47"/>
      <c r="H901" s="47"/>
      <c r="I901" s="75"/>
      <c r="J901" s="76"/>
      <c r="K901" s="76"/>
      <c r="L901" s="75"/>
      <c r="M901" s="49"/>
      <c r="N901" s="76"/>
      <c r="O901" s="49"/>
      <c r="P901" s="77"/>
      <c r="Q901" s="53"/>
      <c r="R901" s="54"/>
      <c r="S901" s="55"/>
      <c r="T901" s="56"/>
      <c r="U901" s="56"/>
      <c r="V901" s="42"/>
      <c r="W901" s="57"/>
      <c r="X901" s="58"/>
      <c r="Y901" s="75"/>
      <c r="Z901" s="59"/>
      <c r="AA901" s="61"/>
      <c r="AB901" s="61"/>
      <c r="AC901" s="61"/>
      <c r="AD901" s="62"/>
      <c r="AE901" s="62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  <c r="AR901" s="34"/>
      <c r="AS901" s="34"/>
      <c r="AT901" s="34"/>
      <c r="AU901" s="34"/>
      <c r="AV901" s="34"/>
      <c r="AW901" s="34"/>
      <c r="AX901" s="34"/>
      <c r="AY901" s="34"/>
      <c r="AZ901" s="34"/>
      <c r="BA901" s="34"/>
      <c r="BB901" s="34"/>
      <c r="BD901" s="34"/>
      <c r="BE901" s="34"/>
      <c r="BF901" s="34"/>
      <c r="BG901" s="34"/>
      <c r="BH901" s="34"/>
      <c r="BI901" s="34"/>
      <c r="BJ901" s="34"/>
      <c r="BK901" s="34"/>
      <c r="BL901" s="34"/>
      <c r="BM901" s="34"/>
      <c r="BN901" s="34"/>
      <c r="BO901" s="34"/>
      <c r="BP901" s="34"/>
      <c r="BQ901" s="34"/>
      <c r="BR901" s="34"/>
      <c r="BS901" s="34"/>
      <c r="BT901" s="34"/>
      <c r="BU901" s="34"/>
      <c r="BV901" s="34"/>
      <c r="BW901" s="34"/>
      <c r="BX901" s="34"/>
      <c r="BY901" s="34"/>
    </row>
    <row r="902" spans="1:77" x14ac:dyDescent="0.3">
      <c r="A902" s="39"/>
      <c r="B902" s="42"/>
      <c r="C902" s="42"/>
      <c r="D902" s="75"/>
      <c r="E902" s="75"/>
      <c r="F902" s="76"/>
      <c r="G902" s="47"/>
      <c r="H902" s="47"/>
      <c r="I902" s="75"/>
      <c r="J902" s="76"/>
      <c r="K902" s="76"/>
      <c r="L902" s="75"/>
      <c r="M902" s="49"/>
      <c r="N902" s="76"/>
      <c r="O902" s="49"/>
      <c r="P902" s="77"/>
      <c r="Q902" s="53"/>
      <c r="R902" s="54"/>
      <c r="S902" s="55"/>
      <c r="T902" s="56"/>
      <c r="U902" s="56"/>
      <c r="V902" s="42"/>
      <c r="W902" s="57"/>
      <c r="X902" s="58"/>
      <c r="Y902" s="75"/>
      <c r="Z902" s="59"/>
      <c r="AA902" s="61"/>
      <c r="AB902" s="61"/>
      <c r="AC902" s="61"/>
      <c r="AD902" s="62"/>
      <c r="AE902" s="62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/>
      <c r="AZ902" s="34"/>
      <c r="BA902" s="34"/>
      <c r="BB902" s="34"/>
      <c r="BD902" s="34"/>
      <c r="BE902" s="34"/>
      <c r="BF902" s="34"/>
      <c r="BG902" s="34"/>
      <c r="BH902" s="34"/>
      <c r="BI902" s="34"/>
      <c r="BJ902" s="34"/>
      <c r="BK902" s="34"/>
      <c r="BL902" s="34"/>
      <c r="BM902" s="34"/>
      <c r="BN902" s="34"/>
      <c r="BO902" s="34"/>
      <c r="BP902" s="34"/>
      <c r="BQ902" s="34"/>
      <c r="BR902" s="34"/>
      <c r="BS902" s="34"/>
      <c r="BT902" s="34"/>
      <c r="BU902" s="34"/>
      <c r="BV902" s="34"/>
      <c r="BW902" s="34"/>
      <c r="BX902" s="34"/>
      <c r="BY902" s="34"/>
    </row>
    <row r="903" spans="1:77" x14ac:dyDescent="0.3">
      <c r="A903" s="39"/>
      <c r="B903" s="42"/>
      <c r="C903" s="42"/>
      <c r="D903" s="75"/>
      <c r="E903" s="75"/>
      <c r="F903" s="76"/>
      <c r="G903" s="47"/>
      <c r="H903" s="47"/>
      <c r="I903" s="75"/>
      <c r="J903" s="76"/>
      <c r="K903" s="76"/>
      <c r="L903" s="75"/>
      <c r="M903" s="49"/>
      <c r="N903" s="76"/>
      <c r="O903" s="49"/>
      <c r="P903" s="77"/>
      <c r="Q903" s="53"/>
      <c r="R903" s="54"/>
      <c r="S903" s="55"/>
      <c r="T903" s="56"/>
      <c r="U903" s="56"/>
      <c r="V903" s="42"/>
      <c r="W903" s="57"/>
      <c r="X903" s="58"/>
      <c r="Y903" s="75"/>
      <c r="Z903" s="59"/>
      <c r="AA903" s="61"/>
      <c r="AB903" s="61"/>
      <c r="AC903" s="61"/>
      <c r="AD903" s="62"/>
      <c r="AE903" s="62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/>
      <c r="BB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/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</row>
    <row r="904" spans="1:77" x14ac:dyDescent="0.3">
      <c r="A904" s="39"/>
      <c r="B904" s="42"/>
      <c r="C904" s="42"/>
      <c r="D904" s="75"/>
      <c r="E904" s="75"/>
      <c r="F904" s="76"/>
      <c r="G904" s="47"/>
      <c r="H904" s="47"/>
      <c r="I904" s="75"/>
      <c r="J904" s="76"/>
      <c r="K904" s="76"/>
      <c r="L904" s="75"/>
      <c r="M904" s="49"/>
      <c r="N904" s="76"/>
      <c r="O904" s="49"/>
      <c r="P904" s="77"/>
      <c r="Q904" s="53"/>
      <c r="R904" s="54"/>
      <c r="S904" s="55"/>
      <c r="T904" s="56"/>
      <c r="U904" s="56"/>
      <c r="V904" s="42"/>
      <c r="W904" s="57"/>
      <c r="X904" s="58"/>
      <c r="Y904" s="75"/>
      <c r="Z904" s="59"/>
      <c r="AA904" s="61"/>
      <c r="AB904" s="61"/>
      <c r="AC904" s="61"/>
      <c r="AD904" s="62"/>
      <c r="AE904" s="62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34"/>
      <c r="BA904" s="34"/>
      <c r="BB904" s="34"/>
      <c r="BD904" s="34"/>
      <c r="BE904" s="34"/>
      <c r="BF904" s="34"/>
      <c r="BG904" s="34"/>
      <c r="BH904" s="34"/>
      <c r="BI904" s="34"/>
      <c r="BJ904" s="34"/>
      <c r="BK904" s="34"/>
      <c r="BL904" s="34"/>
      <c r="BM904" s="34"/>
      <c r="BN904" s="34"/>
      <c r="BO904" s="34"/>
      <c r="BP904" s="34"/>
      <c r="BQ904" s="34"/>
      <c r="BR904" s="34"/>
      <c r="BS904" s="34"/>
      <c r="BT904" s="34"/>
      <c r="BU904" s="34"/>
      <c r="BV904" s="34"/>
      <c r="BW904" s="34"/>
      <c r="BX904" s="34"/>
      <c r="BY904" s="34"/>
    </row>
    <row r="905" spans="1:77" x14ac:dyDescent="0.3">
      <c r="A905" s="39"/>
      <c r="B905" s="42"/>
      <c r="C905" s="42"/>
      <c r="D905" s="75"/>
      <c r="E905" s="75"/>
      <c r="F905" s="76"/>
      <c r="G905" s="47"/>
      <c r="H905" s="47"/>
      <c r="I905" s="75"/>
      <c r="J905" s="76"/>
      <c r="K905" s="76"/>
      <c r="L905" s="75"/>
      <c r="M905" s="49"/>
      <c r="N905" s="76"/>
      <c r="O905" s="49"/>
      <c r="P905" s="77"/>
      <c r="Q905" s="53"/>
      <c r="R905" s="54"/>
      <c r="S905" s="55"/>
      <c r="T905" s="56"/>
      <c r="U905" s="56"/>
      <c r="V905" s="42"/>
      <c r="W905" s="57"/>
      <c r="X905" s="58"/>
      <c r="Y905" s="75"/>
      <c r="Z905" s="59"/>
      <c r="AA905" s="61"/>
      <c r="AB905" s="61"/>
      <c r="AC905" s="61"/>
      <c r="AD905" s="62"/>
      <c r="AE905" s="62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  <c r="AZ905" s="34"/>
      <c r="BA905" s="34"/>
      <c r="BB905" s="34"/>
      <c r="BD905" s="34"/>
      <c r="BE905" s="34"/>
      <c r="BF905" s="34"/>
      <c r="BG905" s="34"/>
      <c r="BH905" s="34"/>
      <c r="BI905" s="34"/>
      <c r="BJ905" s="34"/>
      <c r="BK905" s="34"/>
      <c r="BL905" s="34"/>
      <c r="BM905" s="34"/>
      <c r="BN905" s="34"/>
      <c r="BO905" s="34"/>
      <c r="BP905" s="34"/>
      <c r="BQ905" s="34"/>
      <c r="BR905" s="34"/>
      <c r="BS905" s="34"/>
      <c r="BT905" s="34"/>
      <c r="BU905" s="34"/>
      <c r="BV905" s="34"/>
      <c r="BW905" s="34"/>
      <c r="BX905" s="34"/>
      <c r="BY905" s="34"/>
    </row>
    <row r="906" spans="1:77" x14ac:dyDescent="0.3">
      <c r="A906" s="39"/>
      <c r="B906" s="42"/>
      <c r="C906" s="42"/>
      <c r="D906" s="75"/>
      <c r="E906" s="75"/>
      <c r="F906" s="76"/>
      <c r="G906" s="47"/>
      <c r="H906" s="47"/>
      <c r="I906" s="75"/>
      <c r="J906" s="76"/>
      <c r="K906" s="76"/>
      <c r="L906" s="75"/>
      <c r="M906" s="49"/>
      <c r="N906" s="76"/>
      <c r="O906" s="49"/>
      <c r="P906" s="77"/>
      <c r="Q906" s="53"/>
      <c r="R906" s="54"/>
      <c r="S906" s="55"/>
      <c r="T906" s="56"/>
      <c r="U906" s="56"/>
      <c r="V906" s="42"/>
      <c r="W906" s="57"/>
      <c r="X906" s="58"/>
      <c r="Y906" s="75"/>
      <c r="Z906" s="59"/>
      <c r="AA906" s="61"/>
      <c r="AB906" s="61"/>
      <c r="AC906" s="61"/>
      <c r="AD906" s="62"/>
      <c r="AE906" s="62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/>
      <c r="BB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/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</row>
    <row r="907" spans="1:77" x14ac:dyDescent="0.3">
      <c r="A907" s="39"/>
      <c r="B907" s="42"/>
      <c r="C907" s="42"/>
      <c r="D907" s="75"/>
      <c r="E907" s="75"/>
      <c r="F907" s="76"/>
      <c r="G907" s="47"/>
      <c r="H907" s="47"/>
      <c r="I907" s="75"/>
      <c r="J907" s="76"/>
      <c r="K907" s="76"/>
      <c r="L907" s="75"/>
      <c r="M907" s="49"/>
      <c r="N907" s="76"/>
      <c r="O907" s="49"/>
      <c r="P907" s="77"/>
      <c r="Q907" s="53"/>
      <c r="R907" s="54"/>
      <c r="S907" s="55"/>
      <c r="T907" s="56"/>
      <c r="U907" s="56"/>
      <c r="V907" s="42"/>
      <c r="W907" s="57"/>
      <c r="X907" s="58"/>
      <c r="Y907" s="75"/>
      <c r="Z907" s="59"/>
      <c r="AA907" s="61"/>
      <c r="AB907" s="61"/>
      <c r="AC907" s="61"/>
      <c r="AD907" s="62"/>
      <c r="AE907" s="62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  <c r="AZ907" s="34"/>
      <c r="BA907" s="34"/>
      <c r="BB907" s="34"/>
      <c r="BD907" s="34"/>
      <c r="BE907" s="34"/>
      <c r="BF907" s="34"/>
      <c r="BG907" s="34"/>
      <c r="BH907" s="34"/>
      <c r="BI907" s="34"/>
      <c r="BJ907" s="34"/>
      <c r="BK907" s="34"/>
      <c r="BL907" s="34"/>
      <c r="BM907" s="34"/>
      <c r="BN907" s="34"/>
      <c r="BO907" s="34"/>
      <c r="BP907" s="34"/>
      <c r="BQ907" s="34"/>
      <c r="BR907" s="34"/>
      <c r="BS907" s="34"/>
      <c r="BT907" s="34"/>
      <c r="BU907" s="34"/>
      <c r="BV907" s="34"/>
      <c r="BW907" s="34"/>
      <c r="BX907" s="34"/>
      <c r="BY907" s="34"/>
    </row>
    <row r="908" spans="1:77" x14ac:dyDescent="0.3">
      <c r="A908" s="39"/>
      <c r="B908" s="42"/>
      <c r="C908" s="42"/>
      <c r="D908" s="75"/>
      <c r="E908" s="75"/>
      <c r="F908" s="76"/>
      <c r="G908" s="47"/>
      <c r="H908" s="47"/>
      <c r="I908" s="75"/>
      <c r="J908" s="76"/>
      <c r="K908" s="76"/>
      <c r="L908" s="75"/>
      <c r="M908" s="49"/>
      <c r="N908" s="76"/>
      <c r="O908" s="49"/>
      <c r="P908" s="77"/>
      <c r="Q908" s="53"/>
      <c r="R908" s="54"/>
      <c r="S908" s="55"/>
      <c r="T908" s="56"/>
      <c r="U908" s="56"/>
      <c r="V908" s="42"/>
      <c r="W908" s="57"/>
      <c r="X908" s="58"/>
      <c r="Y908" s="75"/>
      <c r="Z908" s="59"/>
      <c r="AA908" s="61"/>
      <c r="AB908" s="61"/>
      <c r="AC908" s="61"/>
      <c r="AD908" s="62"/>
      <c r="AE908" s="62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34"/>
      <c r="BA908" s="34"/>
      <c r="BB908" s="34"/>
      <c r="BD908" s="34"/>
      <c r="BE908" s="34"/>
      <c r="BF908" s="34"/>
      <c r="BG908" s="34"/>
      <c r="BH908" s="34"/>
      <c r="BI908" s="34"/>
      <c r="BJ908" s="34"/>
      <c r="BK908" s="34"/>
      <c r="BL908" s="34"/>
      <c r="BM908" s="34"/>
      <c r="BN908" s="34"/>
      <c r="BO908" s="34"/>
      <c r="BP908" s="34"/>
      <c r="BQ908" s="34"/>
      <c r="BR908" s="34"/>
      <c r="BS908" s="34"/>
      <c r="BT908" s="34"/>
      <c r="BU908" s="34"/>
      <c r="BV908" s="34"/>
      <c r="BW908" s="34"/>
      <c r="BX908" s="34"/>
      <c r="BY908" s="34"/>
    </row>
    <row r="909" spans="1:77" x14ac:dyDescent="0.3">
      <c r="A909" s="39"/>
      <c r="B909" s="42"/>
      <c r="C909" s="42"/>
      <c r="D909" s="75"/>
      <c r="E909" s="75"/>
      <c r="F909" s="76"/>
      <c r="G909" s="47"/>
      <c r="H909" s="47"/>
      <c r="I909" s="75"/>
      <c r="J909" s="76"/>
      <c r="K909" s="76"/>
      <c r="L909" s="75"/>
      <c r="M909" s="49"/>
      <c r="N909" s="76"/>
      <c r="O909" s="49"/>
      <c r="P909" s="77"/>
      <c r="Q909" s="53"/>
      <c r="R909" s="54"/>
      <c r="S909" s="55"/>
      <c r="T909" s="56"/>
      <c r="U909" s="56"/>
      <c r="V909" s="42"/>
      <c r="W909" s="57"/>
      <c r="X909" s="58"/>
      <c r="Y909" s="75"/>
      <c r="Z909" s="59"/>
      <c r="AA909" s="61"/>
      <c r="AB909" s="61"/>
      <c r="AC909" s="61"/>
      <c r="AD909" s="62"/>
      <c r="AE909" s="62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34"/>
      <c r="AR909" s="34"/>
      <c r="AS909" s="34"/>
      <c r="AT909" s="34"/>
      <c r="AU909" s="34"/>
      <c r="AV909" s="34"/>
      <c r="AW909" s="34"/>
      <c r="AX909" s="34"/>
      <c r="AY909" s="34"/>
      <c r="AZ909" s="34"/>
      <c r="BA909" s="34"/>
      <c r="BB909" s="34"/>
      <c r="BD909" s="34"/>
      <c r="BE909" s="34"/>
      <c r="BF909" s="34"/>
      <c r="BG909" s="34"/>
      <c r="BH909" s="34"/>
      <c r="BI909" s="34"/>
      <c r="BJ909" s="34"/>
      <c r="BK909" s="34"/>
      <c r="BL909" s="34"/>
      <c r="BM909" s="34"/>
      <c r="BN909" s="34"/>
      <c r="BO909" s="34"/>
      <c r="BP909" s="34"/>
      <c r="BQ909" s="34"/>
      <c r="BR909" s="34"/>
      <c r="BS909" s="34"/>
      <c r="BT909" s="34"/>
      <c r="BU909" s="34"/>
      <c r="BV909" s="34"/>
      <c r="BW909" s="34"/>
      <c r="BX909" s="34"/>
      <c r="BY909" s="34"/>
    </row>
    <row r="910" spans="1:77" x14ac:dyDescent="0.3">
      <c r="A910" s="39"/>
      <c r="B910" s="42"/>
      <c r="C910" s="42"/>
      <c r="D910" s="75"/>
      <c r="E910" s="75"/>
      <c r="F910" s="76"/>
      <c r="G910" s="47"/>
      <c r="H910" s="47"/>
      <c r="I910" s="75"/>
      <c r="J910" s="76"/>
      <c r="K910" s="76"/>
      <c r="L910" s="75"/>
      <c r="M910" s="49"/>
      <c r="N910" s="76"/>
      <c r="O910" s="49"/>
      <c r="P910" s="77"/>
      <c r="Q910" s="53"/>
      <c r="R910" s="54"/>
      <c r="S910" s="55"/>
      <c r="T910" s="56"/>
      <c r="U910" s="56"/>
      <c r="V910" s="42"/>
      <c r="W910" s="57"/>
      <c r="X910" s="58"/>
      <c r="Y910" s="75"/>
      <c r="Z910" s="59"/>
      <c r="AA910" s="61"/>
      <c r="AB910" s="61"/>
      <c r="AC910" s="61"/>
      <c r="AD910" s="62"/>
      <c r="AE910" s="62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34"/>
      <c r="AR910" s="34"/>
      <c r="AS910" s="34"/>
      <c r="AT910" s="34"/>
      <c r="AU910" s="34"/>
      <c r="AV910" s="34"/>
      <c r="AW910" s="34"/>
      <c r="AX910" s="34"/>
      <c r="AY910" s="34"/>
      <c r="AZ910" s="34"/>
      <c r="BA910" s="34"/>
      <c r="BB910" s="34"/>
      <c r="BD910" s="34"/>
      <c r="BE910" s="34"/>
      <c r="BF910" s="34"/>
      <c r="BG910" s="34"/>
      <c r="BH910" s="34"/>
      <c r="BI910" s="34"/>
      <c r="BJ910" s="34"/>
      <c r="BK910" s="34"/>
      <c r="BL910" s="34"/>
      <c r="BM910" s="34"/>
      <c r="BN910" s="34"/>
      <c r="BO910" s="34"/>
      <c r="BP910" s="34"/>
      <c r="BQ910" s="34"/>
      <c r="BR910" s="34"/>
      <c r="BS910" s="34"/>
      <c r="BT910" s="34"/>
      <c r="BU910" s="34"/>
      <c r="BV910" s="34"/>
      <c r="BW910" s="34"/>
      <c r="BX910" s="34"/>
      <c r="BY910" s="34"/>
    </row>
    <row r="911" spans="1:77" x14ac:dyDescent="0.3">
      <c r="A911" s="39"/>
      <c r="B911" s="42"/>
      <c r="C911" s="42"/>
      <c r="D911" s="75"/>
      <c r="E911" s="75"/>
      <c r="F911" s="76"/>
      <c r="G911" s="47"/>
      <c r="H911" s="47"/>
      <c r="I911" s="75"/>
      <c r="J911" s="76"/>
      <c r="K911" s="76"/>
      <c r="L911" s="75"/>
      <c r="M911" s="49"/>
      <c r="N911" s="76"/>
      <c r="O911" s="49"/>
      <c r="P911" s="77"/>
      <c r="Q911" s="53"/>
      <c r="R911" s="54"/>
      <c r="S911" s="55"/>
      <c r="T911" s="56"/>
      <c r="U911" s="56"/>
      <c r="V911" s="42"/>
      <c r="W911" s="57"/>
      <c r="X911" s="58"/>
      <c r="Y911" s="75"/>
      <c r="Z911" s="59"/>
      <c r="AA911" s="61"/>
      <c r="AB911" s="61"/>
      <c r="AC911" s="61"/>
      <c r="AD911" s="62"/>
      <c r="AE911" s="62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34"/>
      <c r="AR911" s="34"/>
      <c r="AS911" s="34"/>
      <c r="AT911" s="34"/>
      <c r="AU911" s="34"/>
      <c r="AV911" s="34"/>
      <c r="AW911" s="34"/>
      <c r="AX911" s="34"/>
      <c r="AY911" s="34"/>
      <c r="AZ911" s="34"/>
      <c r="BA911" s="34"/>
      <c r="BB911" s="34"/>
      <c r="BD911" s="34"/>
      <c r="BE911" s="34"/>
      <c r="BF911" s="34"/>
      <c r="BG911" s="34"/>
      <c r="BH911" s="34"/>
      <c r="BI911" s="34"/>
      <c r="BJ911" s="34"/>
      <c r="BK911" s="34"/>
      <c r="BL911" s="34"/>
      <c r="BM911" s="34"/>
      <c r="BN911" s="34"/>
      <c r="BO911" s="34"/>
      <c r="BP911" s="34"/>
      <c r="BQ911" s="34"/>
      <c r="BR911" s="34"/>
      <c r="BS911" s="34"/>
      <c r="BT911" s="34"/>
      <c r="BU911" s="34"/>
      <c r="BV911" s="34"/>
      <c r="BW911" s="34"/>
      <c r="BX911" s="34"/>
      <c r="BY911" s="34"/>
    </row>
    <row r="912" spans="1:77" x14ac:dyDescent="0.3">
      <c r="A912" s="39"/>
      <c r="B912" s="42"/>
      <c r="C912" s="42"/>
      <c r="D912" s="75"/>
      <c r="E912" s="75"/>
      <c r="F912" s="76"/>
      <c r="G912" s="47"/>
      <c r="H912" s="47"/>
      <c r="I912" s="75"/>
      <c r="J912" s="76"/>
      <c r="K912" s="76"/>
      <c r="L912" s="75"/>
      <c r="M912" s="49"/>
      <c r="N912" s="76"/>
      <c r="O912" s="49"/>
      <c r="P912" s="77"/>
      <c r="Q912" s="53"/>
      <c r="R912" s="54"/>
      <c r="S912" s="55"/>
      <c r="T912" s="56"/>
      <c r="U912" s="56"/>
      <c r="V912" s="42"/>
      <c r="W912" s="57"/>
      <c r="X912" s="58"/>
      <c r="Y912" s="75"/>
      <c r="Z912" s="59"/>
      <c r="AA912" s="61"/>
      <c r="AB912" s="61"/>
      <c r="AC912" s="61"/>
      <c r="AD912" s="62"/>
      <c r="AE912" s="62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  <c r="AZ912" s="34"/>
      <c r="BA912" s="34"/>
      <c r="BB912" s="34"/>
      <c r="BD912" s="34"/>
      <c r="BE912" s="34"/>
      <c r="BF912" s="34"/>
      <c r="BG912" s="34"/>
      <c r="BH912" s="34"/>
      <c r="BI912" s="34"/>
      <c r="BJ912" s="34"/>
      <c r="BK912" s="34"/>
      <c r="BL912" s="34"/>
      <c r="BM912" s="34"/>
      <c r="BN912" s="34"/>
      <c r="BO912" s="34"/>
      <c r="BP912" s="34"/>
      <c r="BQ912" s="34"/>
      <c r="BR912" s="34"/>
      <c r="BS912" s="34"/>
      <c r="BT912" s="34"/>
      <c r="BU912" s="34"/>
      <c r="BV912" s="34"/>
      <c r="BW912" s="34"/>
      <c r="BX912" s="34"/>
      <c r="BY912" s="34"/>
    </row>
    <row r="913" spans="1:77" x14ac:dyDescent="0.3">
      <c r="A913" s="39"/>
      <c r="B913" s="42"/>
      <c r="C913" s="42"/>
      <c r="D913" s="75"/>
      <c r="E913" s="75"/>
      <c r="F913" s="76"/>
      <c r="G913" s="47"/>
      <c r="H913" s="47"/>
      <c r="I913" s="75"/>
      <c r="J913" s="76"/>
      <c r="K913" s="76"/>
      <c r="L913" s="75"/>
      <c r="M913" s="49"/>
      <c r="N913" s="76"/>
      <c r="O913" s="49"/>
      <c r="P913" s="77"/>
      <c r="Q913" s="53"/>
      <c r="R913" s="54"/>
      <c r="S913" s="55"/>
      <c r="T913" s="56"/>
      <c r="U913" s="56"/>
      <c r="V913" s="42"/>
      <c r="W913" s="57"/>
      <c r="X913" s="58"/>
      <c r="Y913" s="75"/>
      <c r="Z913" s="59"/>
      <c r="AA913" s="61"/>
      <c r="AB913" s="61"/>
      <c r="AC913" s="61"/>
      <c r="AD913" s="62"/>
      <c r="AE913" s="62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  <c r="AQ913" s="34"/>
      <c r="AR913" s="34"/>
      <c r="AS913" s="34"/>
      <c r="AT913" s="34"/>
      <c r="AU913" s="34"/>
      <c r="AV913" s="34"/>
      <c r="AW913" s="34"/>
      <c r="AX913" s="34"/>
      <c r="AY913" s="34"/>
      <c r="AZ913" s="34"/>
      <c r="BA913" s="34"/>
      <c r="BB913" s="34"/>
      <c r="BD913" s="34"/>
      <c r="BE913" s="34"/>
      <c r="BF913" s="34"/>
      <c r="BG913" s="34"/>
      <c r="BH913" s="34"/>
      <c r="BI913" s="34"/>
      <c r="BJ913" s="34"/>
      <c r="BK913" s="34"/>
      <c r="BL913" s="34"/>
      <c r="BM913" s="34"/>
      <c r="BN913" s="34"/>
      <c r="BO913" s="34"/>
      <c r="BP913" s="34"/>
      <c r="BQ913" s="34"/>
      <c r="BR913" s="34"/>
      <c r="BS913" s="34"/>
      <c r="BT913" s="34"/>
      <c r="BU913" s="34"/>
      <c r="BV913" s="34"/>
      <c r="BW913" s="34"/>
      <c r="BX913" s="34"/>
      <c r="BY913" s="34"/>
    </row>
    <row r="914" spans="1:77" x14ac:dyDescent="0.3">
      <c r="A914" s="39"/>
      <c r="B914" s="42"/>
      <c r="C914" s="42"/>
      <c r="D914" s="75"/>
      <c r="E914" s="75"/>
      <c r="F914" s="76"/>
      <c r="G914" s="47"/>
      <c r="H914" s="47"/>
      <c r="I914" s="75"/>
      <c r="J914" s="76"/>
      <c r="K914" s="76"/>
      <c r="L914" s="75"/>
      <c r="M914" s="49"/>
      <c r="N914" s="76"/>
      <c r="O914" s="49"/>
      <c r="P914" s="77"/>
      <c r="Q914" s="53"/>
      <c r="R914" s="54"/>
      <c r="S914" s="55"/>
      <c r="T914" s="56"/>
      <c r="U914" s="56"/>
      <c r="V914" s="42"/>
      <c r="W914" s="57"/>
      <c r="X914" s="58"/>
      <c r="Y914" s="75"/>
      <c r="Z914" s="59"/>
      <c r="AA914" s="61"/>
      <c r="AB914" s="61"/>
      <c r="AC914" s="61"/>
      <c r="AD914" s="62"/>
      <c r="AE914" s="62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  <c r="AQ914" s="34"/>
      <c r="AR914" s="34"/>
      <c r="AS914" s="34"/>
      <c r="AT914" s="34"/>
      <c r="AU914" s="34"/>
      <c r="AV914" s="34"/>
      <c r="AW914" s="34"/>
      <c r="AX914" s="34"/>
      <c r="AY914" s="34"/>
      <c r="AZ914" s="34"/>
      <c r="BA914" s="34"/>
      <c r="BB914" s="34"/>
      <c r="BD914" s="34"/>
      <c r="BE914" s="34"/>
      <c r="BF914" s="34"/>
      <c r="BG914" s="34"/>
      <c r="BH914" s="34"/>
      <c r="BI914" s="34"/>
      <c r="BJ914" s="34"/>
      <c r="BK914" s="34"/>
      <c r="BL914" s="34"/>
      <c r="BM914" s="34"/>
      <c r="BN914" s="34"/>
      <c r="BO914" s="34"/>
      <c r="BP914" s="34"/>
      <c r="BQ914" s="34"/>
      <c r="BR914" s="34"/>
      <c r="BS914" s="34"/>
      <c r="BT914" s="34"/>
      <c r="BU914" s="34"/>
      <c r="BV914" s="34"/>
      <c r="BW914" s="34"/>
      <c r="BX914" s="34"/>
      <c r="BY914" s="34"/>
    </row>
    <row r="915" spans="1:77" x14ac:dyDescent="0.3">
      <c r="A915" s="39"/>
      <c r="B915" s="42"/>
      <c r="C915" s="42"/>
      <c r="D915" s="75"/>
      <c r="E915" s="75"/>
      <c r="F915" s="76"/>
      <c r="G915" s="47"/>
      <c r="H915" s="47"/>
      <c r="I915" s="75"/>
      <c r="J915" s="76"/>
      <c r="K915" s="76"/>
      <c r="L915" s="75"/>
      <c r="M915" s="49"/>
      <c r="N915" s="76"/>
      <c r="O915" s="49"/>
      <c r="P915" s="77"/>
      <c r="Q915" s="53"/>
      <c r="R915" s="54"/>
      <c r="S915" s="55"/>
      <c r="T915" s="56"/>
      <c r="U915" s="56"/>
      <c r="V915" s="42"/>
      <c r="W915" s="57"/>
      <c r="X915" s="58"/>
      <c r="Y915" s="75"/>
      <c r="Z915" s="59"/>
      <c r="AA915" s="61"/>
      <c r="AB915" s="61"/>
      <c r="AC915" s="61"/>
      <c r="AD915" s="62"/>
      <c r="AE915" s="62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  <c r="AQ915" s="34"/>
      <c r="AR915" s="34"/>
      <c r="AS915" s="34"/>
      <c r="AT915" s="34"/>
      <c r="AU915" s="34"/>
      <c r="AV915" s="34"/>
      <c r="AW915" s="34"/>
      <c r="AX915" s="34"/>
      <c r="AY915" s="34"/>
      <c r="AZ915" s="34"/>
      <c r="BA915" s="34"/>
      <c r="BB915" s="34"/>
      <c r="BD915" s="34"/>
      <c r="BE915" s="34"/>
      <c r="BF915" s="34"/>
      <c r="BG915" s="34"/>
      <c r="BH915" s="34"/>
      <c r="BI915" s="34"/>
      <c r="BJ915" s="34"/>
      <c r="BK915" s="34"/>
      <c r="BL915" s="34"/>
      <c r="BM915" s="34"/>
      <c r="BN915" s="34"/>
      <c r="BO915" s="34"/>
      <c r="BP915" s="34"/>
      <c r="BQ915" s="34"/>
      <c r="BR915" s="34"/>
      <c r="BS915" s="34"/>
      <c r="BT915" s="34"/>
      <c r="BU915" s="34"/>
      <c r="BV915" s="34"/>
      <c r="BW915" s="34"/>
      <c r="BX915" s="34"/>
      <c r="BY915" s="34"/>
    </row>
    <row r="916" spans="1:77" x14ac:dyDescent="0.3">
      <c r="A916" s="39"/>
      <c r="B916" s="42"/>
      <c r="C916" s="42"/>
      <c r="D916" s="75"/>
      <c r="E916" s="75"/>
      <c r="F916" s="76"/>
      <c r="G916" s="47"/>
      <c r="H916" s="47"/>
      <c r="I916" s="75"/>
      <c r="J916" s="76"/>
      <c r="K916" s="76"/>
      <c r="L916" s="75"/>
      <c r="M916" s="49"/>
      <c r="N916" s="76"/>
      <c r="O916" s="49"/>
      <c r="P916" s="77"/>
      <c r="Q916" s="53"/>
      <c r="R916" s="54"/>
      <c r="S916" s="55"/>
      <c r="T916" s="56"/>
      <c r="U916" s="56"/>
      <c r="V916" s="42"/>
      <c r="W916" s="57"/>
      <c r="X916" s="58"/>
      <c r="Y916" s="75"/>
      <c r="Z916" s="59"/>
      <c r="AA916" s="61"/>
      <c r="AB916" s="61"/>
      <c r="AC916" s="61"/>
      <c r="AD916" s="62"/>
      <c r="AE916" s="62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  <c r="AQ916" s="34"/>
      <c r="AR916" s="34"/>
      <c r="AS916" s="34"/>
      <c r="AT916" s="34"/>
      <c r="AU916" s="34"/>
      <c r="AV916" s="34"/>
      <c r="AW916" s="34"/>
      <c r="AX916" s="34"/>
      <c r="AY916" s="34"/>
      <c r="AZ916" s="34"/>
      <c r="BA916" s="34"/>
      <c r="BB916" s="34"/>
      <c r="BD916" s="34"/>
      <c r="BE916" s="34"/>
      <c r="BF916" s="34"/>
      <c r="BG916" s="34"/>
      <c r="BH916" s="34"/>
      <c r="BI916" s="34"/>
      <c r="BJ916" s="34"/>
      <c r="BK916" s="34"/>
      <c r="BL916" s="34"/>
      <c r="BM916" s="34"/>
      <c r="BN916" s="34"/>
      <c r="BO916" s="34"/>
      <c r="BP916" s="34"/>
      <c r="BQ916" s="34"/>
      <c r="BR916" s="34"/>
      <c r="BS916" s="34"/>
      <c r="BT916" s="34"/>
      <c r="BU916" s="34"/>
      <c r="BV916" s="34"/>
      <c r="BW916" s="34"/>
      <c r="BX916" s="34"/>
      <c r="BY916" s="34"/>
    </row>
    <row r="917" spans="1:77" x14ac:dyDescent="0.3">
      <c r="A917" s="39"/>
      <c r="B917" s="42"/>
      <c r="C917" s="42"/>
      <c r="D917" s="75"/>
      <c r="E917" s="75"/>
      <c r="F917" s="76"/>
      <c r="G917" s="47"/>
      <c r="H917" s="47"/>
      <c r="I917" s="75"/>
      <c r="J917" s="76"/>
      <c r="K917" s="76"/>
      <c r="L917" s="75"/>
      <c r="M917" s="49"/>
      <c r="N917" s="76"/>
      <c r="O917" s="49"/>
      <c r="P917" s="77"/>
      <c r="Q917" s="53"/>
      <c r="R917" s="54"/>
      <c r="S917" s="55"/>
      <c r="T917" s="56"/>
      <c r="U917" s="56"/>
      <c r="V917" s="42"/>
      <c r="W917" s="57"/>
      <c r="X917" s="58"/>
      <c r="Y917" s="75"/>
      <c r="Z917" s="59"/>
      <c r="AA917" s="61"/>
      <c r="AB917" s="61"/>
      <c r="AC917" s="61"/>
      <c r="AD917" s="62"/>
      <c r="AE917" s="62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34"/>
      <c r="AR917" s="34"/>
      <c r="AS917" s="34"/>
      <c r="AT917" s="34"/>
      <c r="AU917" s="34"/>
      <c r="AV917" s="34"/>
      <c r="AW917" s="34"/>
      <c r="AX917" s="34"/>
      <c r="AY917" s="34"/>
      <c r="AZ917" s="34"/>
      <c r="BA917" s="34"/>
      <c r="BB917" s="34"/>
      <c r="BD917" s="34"/>
      <c r="BE917" s="34"/>
      <c r="BF917" s="34"/>
      <c r="BG917" s="34"/>
      <c r="BH917" s="34"/>
      <c r="BI917" s="34"/>
      <c r="BJ917" s="34"/>
      <c r="BK917" s="34"/>
      <c r="BL917" s="34"/>
      <c r="BM917" s="34"/>
      <c r="BN917" s="34"/>
      <c r="BO917" s="34"/>
      <c r="BP917" s="34"/>
      <c r="BQ917" s="34"/>
      <c r="BR917" s="34"/>
      <c r="BS917" s="34"/>
      <c r="BT917" s="34"/>
      <c r="BU917" s="34"/>
      <c r="BV917" s="34"/>
      <c r="BW917" s="34"/>
      <c r="BX917" s="34"/>
      <c r="BY917" s="34"/>
    </row>
    <row r="918" spans="1:77" x14ac:dyDescent="0.3">
      <c r="A918" s="39"/>
      <c r="B918" s="42"/>
      <c r="C918" s="42"/>
      <c r="D918" s="75"/>
      <c r="E918" s="75"/>
      <c r="F918" s="76"/>
      <c r="G918" s="47"/>
      <c r="H918" s="47"/>
      <c r="I918" s="75"/>
      <c r="J918" s="76"/>
      <c r="K918" s="76"/>
      <c r="L918" s="75"/>
      <c r="M918" s="49"/>
      <c r="N918" s="76"/>
      <c r="O918" s="49"/>
      <c r="P918" s="77"/>
      <c r="Q918" s="53"/>
      <c r="R918" s="54"/>
      <c r="S918" s="55"/>
      <c r="T918" s="56"/>
      <c r="U918" s="56"/>
      <c r="V918" s="42"/>
      <c r="W918" s="57"/>
      <c r="X918" s="58"/>
      <c r="Y918" s="75"/>
      <c r="Z918" s="59"/>
      <c r="AA918" s="61"/>
      <c r="AB918" s="61"/>
      <c r="AC918" s="61"/>
      <c r="AD918" s="62"/>
      <c r="AE918" s="62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34"/>
      <c r="AR918" s="34"/>
      <c r="AS918" s="34"/>
      <c r="AT918" s="34"/>
      <c r="AU918" s="34"/>
      <c r="AV918" s="34"/>
      <c r="AW918" s="34"/>
      <c r="AX918" s="34"/>
      <c r="AY918" s="34"/>
      <c r="AZ918" s="34"/>
      <c r="BA918" s="34"/>
      <c r="BB918" s="34"/>
      <c r="BD918" s="34"/>
      <c r="BE918" s="34"/>
      <c r="BF918" s="34"/>
      <c r="BG918" s="34"/>
      <c r="BH918" s="34"/>
      <c r="BI918" s="34"/>
      <c r="BJ918" s="34"/>
      <c r="BK918" s="34"/>
      <c r="BL918" s="34"/>
      <c r="BM918" s="34"/>
      <c r="BN918" s="34"/>
      <c r="BO918" s="34"/>
      <c r="BP918" s="34"/>
      <c r="BQ918" s="34"/>
      <c r="BR918" s="34"/>
      <c r="BS918" s="34"/>
      <c r="BT918" s="34"/>
      <c r="BU918" s="34"/>
      <c r="BV918" s="34"/>
      <c r="BW918" s="34"/>
      <c r="BX918" s="34"/>
      <c r="BY918" s="34"/>
    </row>
    <row r="919" spans="1:77" x14ac:dyDescent="0.3">
      <c r="A919" s="39"/>
      <c r="B919" s="42"/>
      <c r="C919" s="42"/>
      <c r="D919" s="75"/>
      <c r="E919" s="75"/>
      <c r="F919" s="76"/>
      <c r="G919" s="47"/>
      <c r="H919" s="47"/>
      <c r="I919" s="75"/>
      <c r="J919" s="76"/>
      <c r="K919" s="76"/>
      <c r="L919" s="75"/>
      <c r="M919" s="49"/>
      <c r="N919" s="76"/>
      <c r="O919" s="49"/>
      <c r="P919" s="77"/>
      <c r="Q919" s="53"/>
      <c r="R919" s="54"/>
      <c r="S919" s="55"/>
      <c r="T919" s="56"/>
      <c r="U919" s="56"/>
      <c r="V919" s="42"/>
      <c r="W919" s="57"/>
      <c r="X919" s="58"/>
      <c r="Y919" s="75"/>
      <c r="Z919" s="59"/>
      <c r="AA919" s="61"/>
      <c r="AB919" s="61"/>
      <c r="AC919" s="61"/>
      <c r="AD919" s="62"/>
      <c r="AE919" s="62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  <c r="AQ919" s="34"/>
      <c r="AR919" s="34"/>
      <c r="AS919" s="34"/>
      <c r="AT919" s="34"/>
      <c r="AU919" s="34"/>
      <c r="AV919" s="34"/>
      <c r="AW919" s="34"/>
      <c r="AX919" s="34"/>
      <c r="AY919" s="34"/>
      <c r="AZ919" s="34"/>
      <c r="BA919" s="34"/>
      <c r="BB919" s="34"/>
      <c r="BD919" s="34"/>
      <c r="BE919" s="34"/>
      <c r="BF919" s="34"/>
      <c r="BG919" s="34"/>
      <c r="BH919" s="34"/>
      <c r="BI919" s="34"/>
      <c r="BJ919" s="34"/>
      <c r="BK919" s="34"/>
      <c r="BL919" s="34"/>
      <c r="BM919" s="34"/>
      <c r="BN919" s="34"/>
      <c r="BO919" s="34"/>
      <c r="BP919" s="34"/>
      <c r="BQ919" s="34"/>
      <c r="BR919" s="34"/>
      <c r="BS919" s="34"/>
      <c r="BT919" s="34"/>
      <c r="BU919" s="34"/>
      <c r="BV919" s="34"/>
      <c r="BW919" s="34"/>
      <c r="BX919" s="34"/>
      <c r="BY919" s="34"/>
    </row>
    <row r="920" spans="1:77" x14ac:dyDescent="0.3">
      <c r="A920" s="39"/>
      <c r="B920" s="42"/>
      <c r="C920" s="42"/>
      <c r="D920" s="75"/>
      <c r="E920" s="75"/>
      <c r="F920" s="76"/>
      <c r="G920" s="47"/>
      <c r="H920" s="47"/>
      <c r="I920" s="75"/>
      <c r="J920" s="76"/>
      <c r="K920" s="76"/>
      <c r="L920" s="75"/>
      <c r="M920" s="49"/>
      <c r="N920" s="76"/>
      <c r="O920" s="49"/>
      <c r="P920" s="77"/>
      <c r="Q920" s="53"/>
      <c r="R920" s="54"/>
      <c r="S920" s="55"/>
      <c r="T920" s="56"/>
      <c r="U920" s="56"/>
      <c r="V920" s="42"/>
      <c r="W920" s="57"/>
      <c r="X920" s="58"/>
      <c r="Y920" s="75"/>
      <c r="Z920" s="59"/>
      <c r="AA920" s="61"/>
      <c r="AB920" s="61"/>
      <c r="AC920" s="61"/>
      <c r="AD920" s="62"/>
      <c r="AE920" s="62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34"/>
      <c r="AR920" s="34"/>
      <c r="AS920" s="34"/>
      <c r="AT920" s="34"/>
      <c r="AU920" s="34"/>
      <c r="AV920" s="34"/>
      <c r="AW920" s="34"/>
      <c r="AX920" s="34"/>
      <c r="AY920" s="34"/>
      <c r="AZ920" s="34"/>
      <c r="BA920" s="34"/>
      <c r="BB920" s="34"/>
      <c r="BD920" s="34"/>
      <c r="BE920" s="34"/>
      <c r="BF920" s="34"/>
      <c r="BG920" s="34"/>
      <c r="BH920" s="34"/>
      <c r="BI920" s="34"/>
      <c r="BJ920" s="34"/>
      <c r="BK920" s="34"/>
      <c r="BL920" s="34"/>
      <c r="BM920" s="34"/>
      <c r="BN920" s="34"/>
      <c r="BO920" s="34"/>
      <c r="BP920" s="34"/>
      <c r="BQ920" s="34"/>
      <c r="BR920" s="34"/>
      <c r="BS920" s="34"/>
      <c r="BT920" s="34"/>
      <c r="BU920" s="34"/>
      <c r="BV920" s="34"/>
      <c r="BW920" s="34"/>
      <c r="BX920" s="34"/>
      <c r="BY920" s="34"/>
    </row>
    <row r="921" spans="1:77" x14ac:dyDescent="0.3">
      <c r="A921" s="39"/>
      <c r="B921" s="42"/>
      <c r="C921" s="42"/>
      <c r="D921" s="75"/>
      <c r="E921" s="75"/>
      <c r="F921" s="76"/>
      <c r="G921" s="47"/>
      <c r="H921" s="47"/>
      <c r="I921" s="75"/>
      <c r="J921" s="76"/>
      <c r="K921" s="76"/>
      <c r="L921" s="75"/>
      <c r="M921" s="49"/>
      <c r="N921" s="76"/>
      <c r="O921" s="49"/>
      <c r="P921" s="77"/>
      <c r="Q921" s="53"/>
      <c r="R921" s="54"/>
      <c r="S921" s="55"/>
      <c r="T921" s="56"/>
      <c r="U921" s="56"/>
      <c r="V921" s="42"/>
      <c r="W921" s="57"/>
      <c r="X921" s="58"/>
      <c r="Y921" s="75"/>
      <c r="Z921" s="59"/>
      <c r="AA921" s="61"/>
      <c r="AB921" s="61"/>
      <c r="AC921" s="61"/>
      <c r="AD921" s="62"/>
      <c r="AE921" s="62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34"/>
      <c r="AR921" s="34"/>
      <c r="AS921" s="34"/>
      <c r="AT921" s="34"/>
      <c r="AU921" s="34"/>
      <c r="AV921" s="34"/>
      <c r="AW921" s="34"/>
      <c r="AX921" s="34"/>
      <c r="AY921" s="34"/>
      <c r="AZ921" s="34"/>
      <c r="BA921" s="34"/>
      <c r="BB921" s="34"/>
      <c r="BD921" s="34"/>
      <c r="BE921" s="34"/>
      <c r="BF921" s="34"/>
      <c r="BG921" s="34"/>
      <c r="BH921" s="34"/>
      <c r="BI921" s="34"/>
      <c r="BJ921" s="34"/>
      <c r="BK921" s="34"/>
      <c r="BL921" s="34"/>
      <c r="BM921" s="34"/>
      <c r="BN921" s="34"/>
      <c r="BO921" s="34"/>
      <c r="BP921" s="34"/>
      <c r="BQ921" s="34"/>
      <c r="BR921" s="34"/>
      <c r="BS921" s="34"/>
      <c r="BT921" s="34"/>
      <c r="BU921" s="34"/>
      <c r="BV921" s="34"/>
      <c r="BW921" s="34"/>
      <c r="BX921" s="34"/>
      <c r="BY921" s="34"/>
    </row>
    <row r="922" spans="1:77" x14ac:dyDescent="0.3">
      <c r="A922" s="39"/>
      <c r="B922" s="42"/>
      <c r="C922" s="42"/>
      <c r="D922" s="75"/>
      <c r="E922" s="75"/>
      <c r="F922" s="76"/>
      <c r="G922" s="47"/>
      <c r="H922" s="47"/>
      <c r="I922" s="75"/>
      <c r="J922" s="76"/>
      <c r="K922" s="76"/>
      <c r="L922" s="75"/>
      <c r="M922" s="49"/>
      <c r="N922" s="76"/>
      <c r="O922" s="49"/>
      <c r="P922" s="77"/>
      <c r="Q922" s="53"/>
      <c r="R922" s="54"/>
      <c r="S922" s="55"/>
      <c r="T922" s="56"/>
      <c r="U922" s="56"/>
      <c r="V922" s="42"/>
      <c r="W922" s="57"/>
      <c r="X922" s="58"/>
      <c r="Y922" s="75"/>
      <c r="Z922" s="59"/>
      <c r="AA922" s="61"/>
      <c r="AB922" s="61"/>
      <c r="AC922" s="61"/>
      <c r="AD922" s="62"/>
      <c r="AE922" s="62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34"/>
      <c r="AR922" s="34"/>
      <c r="AS922" s="34"/>
      <c r="AT922" s="34"/>
      <c r="AU922" s="34"/>
      <c r="AV922" s="34"/>
      <c r="AW922" s="34"/>
      <c r="AX922" s="34"/>
      <c r="AY922" s="34"/>
      <c r="AZ922" s="34"/>
      <c r="BA922" s="34"/>
      <c r="BB922" s="34"/>
      <c r="BD922" s="34"/>
      <c r="BE922" s="34"/>
      <c r="BF922" s="34"/>
      <c r="BG922" s="34"/>
      <c r="BH922" s="34"/>
      <c r="BI922" s="34"/>
      <c r="BJ922" s="34"/>
      <c r="BK922" s="34"/>
      <c r="BL922" s="34"/>
      <c r="BM922" s="34"/>
      <c r="BN922" s="34"/>
      <c r="BO922" s="34"/>
      <c r="BP922" s="34"/>
      <c r="BQ922" s="34"/>
      <c r="BR922" s="34"/>
      <c r="BS922" s="34"/>
      <c r="BT922" s="34"/>
      <c r="BU922" s="34"/>
      <c r="BV922" s="34"/>
      <c r="BW922" s="34"/>
      <c r="BX922" s="34"/>
      <c r="BY922" s="34"/>
    </row>
    <row r="923" spans="1:77" x14ac:dyDescent="0.3">
      <c r="A923" s="39"/>
      <c r="B923" s="42"/>
      <c r="C923" s="42"/>
      <c r="D923" s="75"/>
      <c r="E923" s="75"/>
      <c r="F923" s="76"/>
      <c r="G923" s="47"/>
      <c r="H923" s="47"/>
      <c r="I923" s="75"/>
      <c r="J923" s="76"/>
      <c r="K923" s="76"/>
      <c r="L923" s="75"/>
      <c r="M923" s="49"/>
      <c r="N923" s="76"/>
      <c r="O923" s="49"/>
      <c r="P923" s="77"/>
      <c r="Q923" s="53"/>
      <c r="R923" s="54"/>
      <c r="S923" s="55"/>
      <c r="T923" s="56"/>
      <c r="U923" s="56"/>
      <c r="V923" s="42"/>
      <c r="W923" s="57"/>
      <c r="X923" s="58"/>
      <c r="Y923" s="75"/>
      <c r="Z923" s="59"/>
      <c r="AA923" s="61"/>
      <c r="AB923" s="61"/>
      <c r="AC923" s="61"/>
      <c r="AD923" s="62"/>
      <c r="AE923" s="62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34"/>
      <c r="AR923" s="34"/>
      <c r="AS923" s="34"/>
      <c r="AT923" s="34"/>
      <c r="AU923" s="34"/>
      <c r="AV923" s="34"/>
      <c r="AW923" s="34"/>
      <c r="AX923" s="34"/>
      <c r="AY923" s="34"/>
      <c r="AZ923" s="34"/>
      <c r="BA923" s="34"/>
      <c r="BB923" s="34"/>
      <c r="BD923" s="34"/>
      <c r="BE923" s="34"/>
      <c r="BF923" s="34"/>
      <c r="BG923" s="34"/>
      <c r="BH923" s="34"/>
      <c r="BI923" s="34"/>
      <c r="BJ923" s="34"/>
      <c r="BK923" s="34"/>
      <c r="BL923" s="34"/>
      <c r="BM923" s="34"/>
      <c r="BN923" s="34"/>
      <c r="BO923" s="34"/>
      <c r="BP923" s="34"/>
      <c r="BQ923" s="34"/>
      <c r="BR923" s="34"/>
      <c r="BS923" s="34"/>
      <c r="BT923" s="34"/>
      <c r="BU923" s="34"/>
      <c r="BV923" s="34"/>
      <c r="BW923" s="34"/>
      <c r="BX923" s="34"/>
      <c r="BY923" s="34"/>
    </row>
    <row r="924" spans="1:77" x14ac:dyDescent="0.3">
      <c r="A924" s="39"/>
      <c r="B924" s="42"/>
      <c r="C924" s="42"/>
      <c r="D924" s="75"/>
      <c r="E924" s="75"/>
      <c r="F924" s="76"/>
      <c r="G924" s="47"/>
      <c r="H924" s="47"/>
      <c r="I924" s="75"/>
      <c r="J924" s="76"/>
      <c r="K924" s="76"/>
      <c r="L924" s="75"/>
      <c r="M924" s="49"/>
      <c r="N924" s="76"/>
      <c r="O924" s="49"/>
      <c r="P924" s="77"/>
      <c r="Q924" s="53"/>
      <c r="R924" s="54"/>
      <c r="S924" s="55"/>
      <c r="T924" s="56"/>
      <c r="U924" s="56"/>
      <c r="V924" s="42"/>
      <c r="W924" s="57"/>
      <c r="X924" s="58"/>
      <c r="Y924" s="75"/>
      <c r="Z924" s="59"/>
      <c r="AA924" s="61"/>
      <c r="AB924" s="61"/>
      <c r="AC924" s="61"/>
      <c r="AD924" s="62"/>
      <c r="AE924" s="62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34"/>
      <c r="AR924" s="34"/>
      <c r="AS924" s="34"/>
      <c r="AT924" s="34"/>
      <c r="AU924" s="34"/>
      <c r="AV924" s="34"/>
      <c r="AW924" s="34"/>
      <c r="AX924" s="34"/>
      <c r="AY924" s="34"/>
      <c r="AZ924" s="34"/>
      <c r="BA924" s="34"/>
      <c r="BB924" s="34"/>
      <c r="BD924" s="34"/>
      <c r="BE924" s="34"/>
      <c r="BF924" s="34"/>
      <c r="BG924" s="34"/>
      <c r="BH924" s="34"/>
      <c r="BI924" s="34"/>
      <c r="BJ924" s="34"/>
      <c r="BK924" s="34"/>
      <c r="BL924" s="34"/>
      <c r="BM924" s="34"/>
      <c r="BN924" s="34"/>
      <c r="BO924" s="34"/>
      <c r="BP924" s="34"/>
      <c r="BQ924" s="34"/>
      <c r="BR924" s="34"/>
      <c r="BS924" s="34"/>
      <c r="BT924" s="34"/>
      <c r="BU924" s="34"/>
      <c r="BV924" s="34"/>
      <c r="BW924" s="34"/>
      <c r="BX924" s="34"/>
      <c r="BY924" s="34"/>
    </row>
    <row r="925" spans="1:77" x14ac:dyDescent="0.3">
      <c r="A925" s="39"/>
      <c r="B925" s="42"/>
      <c r="C925" s="42"/>
      <c r="D925" s="75"/>
      <c r="E925" s="75"/>
      <c r="F925" s="76"/>
      <c r="G925" s="47"/>
      <c r="H925" s="47"/>
      <c r="I925" s="75"/>
      <c r="J925" s="76"/>
      <c r="K925" s="76"/>
      <c r="L925" s="75"/>
      <c r="M925" s="49"/>
      <c r="N925" s="76"/>
      <c r="O925" s="49"/>
      <c r="P925" s="77"/>
      <c r="Q925" s="53"/>
      <c r="R925" s="54"/>
      <c r="S925" s="55"/>
      <c r="T925" s="56"/>
      <c r="U925" s="56"/>
      <c r="V925" s="42"/>
      <c r="W925" s="57"/>
      <c r="X925" s="58"/>
      <c r="Y925" s="75"/>
      <c r="Z925" s="59"/>
      <c r="AA925" s="61"/>
      <c r="AB925" s="61"/>
      <c r="AC925" s="61"/>
      <c r="AD925" s="62"/>
      <c r="AE925" s="62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34"/>
      <c r="AR925" s="34"/>
      <c r="AS925" s="34"/>
      <c r="AT925" s="34"/>
      <c r="AU925" s="34"/>
      <c r="AV925" s="34"/>
      <c r="AW925" s="34"/>
      <c r="AX925" s="34"/>
      <c r="AY925" s="34"/>
      <c r="AZ925" s="34"/>
      <c r="BA925" s="34"/>
      <c r="BB925" s="34"/>
      <c r="BD925" s="34"/>
      <c r="BE925" s="34"/>
      <c r="BF925" s="34"/>
      <c r="BG925" s="34"/>
      <c r="BH925" s="34"/>
      <c r="BI925" s="34"/>
      <c r="BJ925" s="34"/>
      <c r="BK925" s="34"/>
      <c r="BL925" s="34"/>
      <c r="BM925" s="34"/>
      <c r="BN925" s="34"/>
      <c r="BO925" s="34"/>
      <c r="BP925" s="34"/>
      <c r="BQ925" s="34"/>
      <c r="BR925" s="34"/>
      <c r="BS925" s="34"/>
      <c r="BT925" s="34"/>
      <c r="BU925" s="34"/>
      <c r="BV925" s="34"/>
      <c r="BW925" s="34"/>
      <c r="BX925" s="34"/>
      <c r="BY925" s="34"/>
    </row>
    <row r="926" spans="1:77" x14ac:dyDescent="0.3">
      <c r="A926" s="39"/>
      <c r="B926" s="42"/>
      <c r="C926" s="42"/>
      <c r="D926" s="75"/>
      <c r="E926" s="75"/>
      <c r="F926" s="76"/>
      <c r="G926" s="47"/>
      <c r="H926" s="47"/>
      <c r="I926" s="75"/>
      <c r="J926" s="76"/>
      <c r="K926" s="76"/>
      <c r="L926" s="75"/>
      <c r="M926" s="49"/>
      <c r="N926" s="76"/>
      <c r="O926" s="49"/>
      <c r="P926" s="77"/>
      <c r="Q926" s="53"/>
      <c r="R926" s="54"/>
      <c r="S926" s="55"/>
      <c r="T926" s="56"/>
      <c r="U926" s="56"/>
      <c r="V926" s="42"/>
      <c r="W926" s="57"/>
      <c r="X926" s="58"/>
      <c r="Y926" s="75"/>
      <c r="Z926" s="59"/>
      <c r="AA926" s="61"/>
      <c r="AB926" s="61"/>
      <c r="AC926" s="61"/>
      <c r="AD926" s="62"/>
      <c r="AE926" s="62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  <c r="AQ926" s="34"/>
      <c r="AR926" s="34"/>
      <c r="AS926" s="34"/>
      <c r="AT926" s="34"/>
      <c r="AU926" s="34"/>
      <c r="AV926" s="34"/>
      <c r="AW926" s="34"/>
      <c r="AX926" s="34"/>
      <c r="AY926" s="34"/>
      <c r="AZ926" s="34"/>
      <c r="BA926" s="34"/>
      <c r="BB926" s="34"/>
      <c r="BD926" s="34"/>
      <c r="BE926" s="34"/>
      <c r="BF926" s="34"/>
      <c r="BG926" s="34"/>
      <c r="BH926" s="34"/>
      <c r="BI926" s="34"/>
      <c r="BJ926" s="34"/>
      <c r="BK926" s="34"/>
      <c r="BL926" s="34"/>
      <c r="BM926" s="34"/>
      <c r="BN926" s="34"/>
      <c r="BO926" s="34"/>
      <c r="BP926" s="34"/>
      <c r="BQ926" s="34"/>
      <c r="BR926" s="34"/>
      <c r="BS926" s="34"/>
      <c r="BT926" s="34"/>
      <c r="BU926" s="34"/>
      <c r="BV926" s="34"/>
      <c r="BW926" s="34"/>
      <c r="BX926" s="34"/>
      <c r="BY926" s="34"/>
    </row>
    <row r="927" spans="1:77" x14ac:dyDescent="0.3">
      <c r="A927" s="39"/>
      <c r="B927" s="42"/>
      <c r="C927" s="42"/>
      <c r="D927" s="75"/>
      <c r="E927" s="75"/>
      <c r="F927" s="76"/>
      <c r="G927" s="47"/>
      <c r="H927" s="47"/>
      <c r="I927" s="75"/>
      <c r="J927" s="76"/>
      <c r="K927" s="76"/>
      <c r="L927" s="75"/>
      <c r="M927" s="49"/>
      <c r="N927" s="76"/>
      <c r="O927" s="49"/>
      <c r="P927" s="77"/>
      <c r="Q927" s="53"/>
      <c r="R927" s="54"/>
      <c r="S927" s="55"/>
      <c r="T927" s="56"/>
      <c r="U927" s="56"/>
      <c r="V927" s="42"/>
      <c r="W927" s="57"/>
      <c r="X927" s="58"/>
      <c r="Y927" s="75"/>
      <c r="Z927" s="59"/>
      <c r="AA927" s="61"/>
      <c r="AB927" s="61"/>
      <c r="AC927" s="61"/>
      <c r="AD927" s="62"/>
      <c r="AE927" s="62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34"/>
      <c r="AR927" s="34"/>
      <c r="AS927" s="34"/>
      <c r="AT927" s="34"/>
      <c r="AU927" s="34"/>
      <c r="AV927" s="34"/>
      <c r="AW927" s="34"/>
      <c r="AX927" s="34"/>
      <c r="AY927" s="34"/>
      <c r="AZ927" s="34"/>
      <c r="BA927" s="34"/>
      <c r="BB927" s="34"/>
      <c r="BD927" s="34"/>
      <c r="BE927" s="34"/>
      <c r="BF927" s="34"/>
      <c r="BG927" s="34"/>
      <c r="BH927" s="34"/>
      <c r="BI927" s="34"/>
      <c r="BJ927" s="34"/>
      <c r="BK927" s="34"/>
      <c r="BL927" s="34"/>
      <c r="BM927" s="34"/>
      <c r="BN927" s="34"/>
      <c r="BO927" s="34"/>
      <c r="BP927" s="34"/>
      <c r="BQ927" s="34"/>
      <c r="BR927" s="34"/>
      <c r="BS927" s="34"/>
      <c r="BT927" s="34"/>
      <c r="BU927" s="34"/>
      <c r="BV927" s="34"/>
      <c r="BW927" s="34"/>
      <c r="BX927" s="34"/>
      <c r="BY927" s="34"/>
    </row>
    <row r="928" spans="1:77" x14ac:dyDescent="0.3">
      <c r="A928" s="39"/>
      <c r="B928" s="42"/>
      <c r="C928" s="42"/>
      <c r="D928" s="75"/>
      <c r="E928" s="75"/>
      <c r="F928" s="76"/>
      <c r="G928" s="47"/>
      <c r="H928" s="47"/>
      <c r="I928" s="75"/>
      <c r="J928" s="76"/>
      <c r="K928" s="76"/>
      <c r="L928" s="75"/>
      <c r="M928" s="49"/>
      <c r="N928" s="76"/>
      <c r="O928" s="49"/>
      <c r="P928" s="77"/>
      <c r="Q928" s="53"/>
      <c r="R928" s="54"/>
      <c r="S928" s="55"/>
      <c r="T928" s="56"/>
      <c r="U928" s="56"/>
      <c r="V928" s="42"/>
      <c r="W928" s="57"/>
      <c r="X928" s="58"/>
      <c r="Y928" s="75"/>
      <c r="Z928" s="59"/>
      <c r="AA928" s="61"/>
      <c r="AB928" s="61"/>
      <c r="AC928" s="61"/>
      <c r="AD928" s="62"/>
      <c r="AE928" s="62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34"/>
      <c r="AR928" s="34"/>
      <c r="AS928" s="34"/>
      <c r="AT928" s="34"/>
      <c r="AU928" s="34"/>
      <c r="AV928" s="34"/>
      <c r="AW928" s="34"/>
      <c r="AX928" s="34"/>
      <c r="AY928" s="34"/>
      <c r="AZ928" s="34"/>
      <c r="BA928" s="34"/>
      <c r="BB928" s="34"/>
      <c r="BD928" s="34"/>
      <c r="BE928" s="34"/>
      <c r="BF928" s="34"/>
      <c r="BG928" s="34"/>
      <c r="BH928" s="34"/>
      <c r="BI928" s="34"/>
      <c r="BJ928" s="34"/>
      <c r="BK928" s="34"/>
      <c r="BL928" s="34"/>
      <c r="BM928" s="34"/>
      <c r="BN928" s="34"/>
      <c r="BO928" s="34"/>
      <c r="BP928" s="34"/>
      <c r="BQ928" s="34"/>
      <c r="BR928" s="34"/>
      <c r="BS928" s="34"/>
      <c r="BT928" s="34"/>
      <c r="BU928" s="34"/>
      <c r="BV928" s="34"/>
      <c r="BW928" s="34"/>
      <c r="BX928" s="34"/>
      <c r="BY928" s="34"/>
    </row>
    <row r="929" spans="1:77" x14ac:dyDescent="0.3">
      <c r="A929" s="39"/>
      <c r="B929" s="42"/>
      <c r="C929" s="42"/>
      <c r="D929" s="75"/>
      <c r="E929" s="75"/>
      <c r="F929" s="76"/>
      <c r="G929" s="47"/>
      <c r="H929" s="47"/>
      <c r="I929" s="75"/>
      <c r="J929" s="76"/>
      <c r="K929" s="76"/>
      <c r="L929" s="75"/>
      <c r="M929" s="49"/>
      <c r="N929" s="76"/>
      <c r="O929" s="49"/>
      <c r="P929" s="77"/>
      <c r="Q929" s="53"/>
      <c r="R929" s="54"/>
      <c r="S929" s="55"/>
      <c r="T929" s="56"/>
      <c r="U929" s="56"/>
      <c r="V929" s="42"/>
      <c r="W929" s="57"/>
      <c r="X929" s="58"/>
      <c r="Y929" s="75"/>
      <c r="Z929" s="59"/>
      <c r="AA929" s="61"/>
      <c r="AB929" s="61"/>
      <c r="AC929" s="61"/>
      <c r="AD929" s="62"/>
      <c r="AE929" s="62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34"/>
      <c r="AR929" s="34"/>
      <c r="AS929" s="34"/>
      <c r="AT929" s="34"/>
      <c r="AU929" s="34"/>
      <c r="AV929" s="34"/>
      <c r="AW929" s="34"/>
      <c r="AX929" s="34"/>
      <c r="AY929" s="34"/>
      <c r="AZ929" s="34"/>
      <c r="BA929" s="34"/>
      <c r="BB929" s="34"/>
      <c r="BD929" s="34"/>
      <c r="BE929" s="34"/>
      <c r="BF929" s="34"/>
      <c r="BG929" s="34"/>
      <c r="BH929" s="34"/>
      <c r="BI929" s="34"/>
      <c r="BJ929" s="34"/>
      <c r="BK929" s="34"/>
      <c r="BL929" s="34"/>
      <c r="BM929" s="34"/>
      <c r="BN929" s="34"/>
      <c r="BO929" s="34"/>
      <c r="BP929" s="34"/>
      <c r="BQ929" s="34"/>
      <c r="BR929" s="34"/>
      <c r="BS929" s="34"/>
      <c r="BT929" s="34"/>
      <c r="BU929" s="34"/>
      <c r="BV929" s="34"/>
      <c r="BW929" s="34"/>
      <c r="BX929" s="34"/>
      <c r="BY929" s="34"/>
    </row>
    <row r="930" spans="1:77" x14ac:dyDescent="0.3">
      <c r="A930" s="39"/>
      <c r="B930" s="42"/>
      <c r="C930" s="42"/>
      <c r="D930" s="75"/>
      <c r="E930" s="75"/>
      <c r="F930" s="76"/>
      <c r="G930" s="47"/>
      <c r="H930" s="47"/>
      <c r="I930" s="75"/>
      <c r="J930" s="76"/>
      <c r="K930" s="76"/>
      <c r="L930" s="75"/>
      <c r="M930" s="49"/>
      <c r="N930" s="76"/>
      <c r="O930" s="49"/>
      <c r="P930" s="77"/>
      <c r="Q930" s="53"/>
      <c r="R930" s="54"/>
      <c r="S930" s="55"/>
      <c r="T930" s="56"/>
      <c r="U930" s="56"/>
      <c r="V930" s="42"/>
      <c r="W930" s="57"/>
      <c r="X930" s="58"/>
      <c r="Y930" s="75"/>
      <c r="Z930" s="59"/>
      <c r="AA930" s="61"/>
      <c r="AB930" s="61"/>
      <c r="AC930" s="61"/>
      <c r="AD930" s="62"/>
      <c r="AE930" s="62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  <c r="AQ930" s="34"/>
      <c r="AR930" s="34"/>
      <c r="AS930" s="34"/>
      <c r="AT930" s="34"/>
      <c r="AU930" s="34"/>
      <c r="AV930" s="34"/>
      <c r="AW930" s="34"/>
      <c r="AX930" s="34"/>
      <c r="AY930" s="34"/>
      <c r="AZ930" s="34"/>
      <c r="BA930" s="34"/>
      <c r="BB930" s="34"/>
      <c r="BD930" s="34"/>
      <c r="BE930" s="34"/>
      <c r="BF930" s="34"/>
      <c r="BG930" s="34"/>
      <c r="BH930" s="34"/>
      <c r="BI930" s="34"/>
      <c r="BJ930" s="34"/>
      <c r="BK930" s="34"/>
      <c r="BL930" s="34"/>
      <c r="BM930" s="34"/>
      <c r="BN930" s="34"/>
      <c r="BO930" s="34"/>
      <c r="BP930" s="34"/>
      <c r="BQ930" s="34"/>
      <c r="BR930" s="34"/>
      <c r="BS930" s="34"/>
      <c r="BT930" s="34"/>
      <c r="BU930" s="34"/>
      <c r="BV930" s="34"/>
      <c r="BW930" s="34"/>
      <c r="BX930" s="34"/>
      <c r="BY930" s="34"/>
    </row>
    <row r="931" spans="1:77" x14ac:dyDescent="0.3">
      <c r="A931" s="39"/>
      <c r="B931" s="42"/>
      <c r="C931" s="42"/>
      <c r="D931" s="75"/>
      <c r="E931" s="75"/>
      <c r="F931" s="76"/>
      <c r="G931" s="47"/>
      <c r="H931" s="47"/>
      <c r="I931" s="75"/>
      <c r="J931" s="76"/>
      <c r="K931" s="76"/>
      <c r="L931" s="75"/>
      <c r="M931" s="49"/>
      <c r="N931" s="76"/>
      <c r="O931" s="49"/>
      <c r="P931" s="77"/>
      <c r="Q931" s="53"/>
      <c r="R931" s="54"/>
      <c r="S931" s="55"/>
      <c r="T931" s="56"/>
      <c r="U931" s="56"/>
      <c r="V931" s="42"/>
      <c r="W931" s="57"/>
      <c r="X931" s="58"/>
      <c r="Y931" s="75"/>
      <c r="Z931" s="59"/>
      <c r="AA931" s="61"/>
      <c r="AB931" s="61"/>
      <c r="AC931" s="61"/>
      <c r="AD931" s="62"/>
      <c r="AE931" s="62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  <c r="AQ931" s="34"/>
      <c r="AR931" s="34"/>
      <c r="AS931" s="34"/>
      <c r="AT931" s="34"/>
      <c r="AU931" s="34"/>
      <c r="AV931" s="34"/>
      <c r="AW931" s="34"/>
      <c r="AX931" s="34"/>
      <c r="AY931" s="34"/>
      <c r="AZ931" s="34"/>
      <c r="BA931" s="34"/>
      <c r="BB931" s="34"/>
      <c r="BD931" s="34"/>
      <c r="BE931" s="34"/>
      <c r="BF931" s="34"/>
      <c r="BG931" s="34"/>
      <c r="BH931" s="34"/>
      <c r="BI931" s="34"/>
      <c r="BJ931" s="34"/>
      <c r="BK931" s="34"/>
      <c r="BL931" s="34"/>
      <c r="BM931" s="34"/>
      <c r="BN931" s="34"/>
      <c r="BO931" s="34"/>
      <c r="BP931" s="34"/>
      <c r="BQ931" s="34"/>
      <c r="BR931" s="34"/>
      <c r="BS931" s="34"/>
      <c r="BT931" s="34"/>
      <c r="BU931" s="34"/>
      <c r="BV931" s="34"/>
      <c r="BW931" s="34"/>
      <c r="BX931" s="34"/>
      <c r="BY931" s="34"/>
    </row>
    <row r="932" spans="1:77" x14ac:dyDescent="0.3">
      <c r="A932" s="39"/>
      <c r="B932" s="42"/>
      <c r="C932" s="42"/>
      <c r="D932" s="75"/>
      <c r="E932" s="75"/>
      <c r="F932" s="76"/>
      <c r="G932" s="47"/>
      <c r="H932" s="47"/>
      <c r="I932" s="75"/>
      <c r="J932" s="76"/>
      <c r="K932" s="76"/>
      <c r="L932" s="75"/>
      <c r="M932" s="49"/>
      <c r="N932" s="76"/>
      <c r="O932" s="49"/>
      <c r="P932" s="77"/>
      <c r="Q932" s="53"/>
      <c r="R932" s="54"/>
      <c r="S932" s="55"/>
      <c r="T932" s="56"/>
      <c r="U932" s="56"/>
      <c r="V932" s="42"/>
      <c r="W932" s="57"/>
      <c r="X932" s="58"/>
      <c r="Y932" s="75"/>
      <c r="Z932" s="59"/>
      <c r="AA932" s="61"/>
      <c r="AB932" s="61"/>
      <c r="AC932" s="61"/>
      <c r="AD932" s="62"/>
      <c r="AE932" s="62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  <c r="AQ932" s="34"/>
      <c r="AR932" s="34"/>
      <c r="AS932" s="34"/>
      <c r="AT932" s="34"/>
      <c r="AU932" s="34"/>
      <c r="AV932" s="34"/>
      <c r="AW932" s="34"/>
      <c r="AX932" s="34"/>
      <c r="AY932" s="34"/>
      <c r="AZ932" s="34"/>
      <c r="BA932" s="34"/>
      <c r="BB932" s="34"/>
      <c r="BD932" s="34"/>
      <c r="BE932" s="34"/>
      <c r="BF932" s="34"/>
      <c r="BG932" s="34"/>
      <c r="BH932" s="34"/>
      <c r="BI932" s="34"/>
      <c r="BJ932" s="34"/>
      <c r="BK932" s="34"/>
      <c r="BL932" s="34"/>
      <c r="BM932" s="34"/>
      <c r="BN932" s="34"/>
      <c r="BO932" s="34"/>
      <c r="BP932" s="34"/>
      <c r="BQ932" s="34"/>
      <c r="BR932" s="34"/>
      <c r="BS932" s="34"/>
      <c r="BT932" s="34"/>
      <c r="BU932" s="34"/>
      <c r="BV932" s="34"/>
      <c r="BW932" s="34"/>
      <c r="BX932" s="34"/>
      <c r="BY932" s="34"/>
    </row>
    <row r="933" spans="1:77" x14ac:dyDescent="0.3">
      <c r="A933" s="39"/>
      <c r="B933" s="42"/>
      <c r="C933" s="42"/>
      <c r="D933" s="75"/>
      <c r="E933" s="75"/>
      <c r="F933" s="76"/>
      <c r="G933" s="47"/>
      <c r="H933" s="47"/>
      <c r="I933" s="75"/>
      <c r="J933" s="76"/>
      <c r="K933" s="76"/>
      <c r="L933" s="75"/>
      <c r="M933" s="49"/>
      <c r="N933" s="76"/>
      <c r="O933" s="49"/>
      <c r="P933" s="77"/>
      <c r="Q933" s="53"/>
      <c r="R933" s="54"/>
      <c r="S933" s="55"/>
      <c r="T933" s="56"/>
      <c r="U933" s="56"/>
      <c r="V933" s="42"/>
      <c r="W933" s="57"/>
      <c r="X933" s="58"/>
      <c r="Y933" s="75"/>
      <c r="Z933" s="59"/>
      <c r="AA933" s="61"/>
      <c r="AB933" s="61"/>
      <c r="AC933" s="61"/>
      <c r="AD933" s="62"/>
      <c r="AE933" s="62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34"/>
      <c r="AR933" s="34"/>
      <c r="AS933" s="34"/>
      <c r="AT933" s="34"/>
      <c r="AU933" s="34"/>
      <c r="AV933" s="34"/>
      <c r="AW933" s="34"/>
      <c r="AX933" s="34"/>
      <c r="AY933" s="34"/>
      <c r="AZ933" s="34"/>
      <c r="BA933" s="34"/>
      <c r="BB933" s="34"/>
      <c r="BD933" s="34"/>
      <c r="BE933" s="34"/>
      <c r="BF933" s="34"/>
      <c r="BG933" s="34"/>
      <c r="BH933" s="34"/>
      <c r="BI933" s="34"/>
      <c r="BJ933" s="34"/>
      <c r="BK933" s="34"/>
      <c r="BL933" s="34"/>
      <c r="BM933" s="34"/>
      <c r="BN933" s="34"/>
      <c r="BO933" s="34"/>
      <c r="BP933" s="34"/>
      <c r="BQ933" s="34"/>
      <c r="BR933" s="34"/>
      <c r="BS933" s="34"/>
      <c r="BT933" s="34"/>
      <c r="BU933" s="34"/>
      <c r="BV933" s="34"/>
      <c r="BW933" s="34"/>
      <c r="BX933" s="34"/>
      <c r="BY933" s="34"/>
    </row>
    <row r="934" spans="1:77" x14ac:dyDescent="0.3">
      <c r="A934" s="39"/>
      <c r="B934" s="42"/>
      <c r="C934" s="42"/>
      <c r="D934" s="75"/>
      <c r="E934" s="75"/>
      <c r="F934" s="76"/>
      <c r="G934" s="47"/>
      <c r="H934" s="47"/>
      <c r="I934" s="75"/>
      <c r="J934" s="76"/>
      <c r="K934" s="76"/>
      <c r="L934" s="75"/>
      <c r="M934" s="49"/>
      <c r="N934" s="76"/>
      <c r="O934" s="49"/>
      <c r="P934" s="77"/>
      <c r="Q934" s="53"/>
      <c r="R934" s="54"/>
      <c r="S934" s="55"/>
      <c r="T934" s="56"/>
      <c r="U934" s="56"/>
      <c r="V934" s="42"/>
      <c r="W934" s="57"/>
      <c r="X934" s="58"/>
      <c r="Y934" s="75"/>
      <c r="Z934" s="59"/>
      <c r="AA934" s="61"/>
      <c r="AB934" s="61"/>
      <c r="AC934" s="61"/>
      <c r="AD934" s="62"/>
      <c r="AE934" s="62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34"/>
      <c r="AR934" s="34"/>
      <c r="AS934" s="34"/>
      <c r="AT934" s="34"/>
      <c r="AU934" s="34"/>
      <c r="AV934" s="34"/>
      <c r="AW934" s="34"/>
      <c r="AX934" s="34"/>
      <c r="AY934" s="34"/>
      <c r="AZ934" s="34"/>
      <c r="BA934" s="34"/>
      <c r="BB934" s="34"/>
      <c r="BD934" s="34"/>
      <c r="BE934" s="34"/>
      <c r="BF934" s="34"/>
      <c r="BG934" s="34"/>
      <c r="BH934" s="34"/>
      <c r="BI934" s="34"/>
      <c r="BJ934" s="34"/>
      <c r="BK934" s="34"/>
      <c r="BL934" s="34"/>
      <c r="BM934" s="34"/>
      <c r="BN934" s="34"/>
      <c r="BO934" s="34"/>
      <c r="BP934" s="34"/>
      <c r="BQ934" s="34"/>
      <c r="BR934" s="34"/>
      <c r="BS934" s="34"/>
      <c r="BT934" s="34"/>
      <c r="BU934" s="34"/>
      <c r="BV934" s="34"/>
      <c r="BW934" s="34"/>
      <c r="BX934" s="34"/>
      <c r="BY934" s="34"/>
    </row>
    <row r="935" spans="1:77" x14ac:dyDescent="0.3">
      <c r="A935" s="39"/>
      <c r="B935" s="42"/>
      <c r="C935" s="42"/>
      <c r="D935" s="75"/>
      <c r="E935" s="75"/>
      <c r="F935" s="76"/>
      <c r="G935" s="47"/>
      <c r="H935" s="47"/>
      <c r="I935" s="75"/>
      <c r="J935" s="76"/>
      <c r="K935" s="76"/>
      <c r="L935" s="75"/>
      <c r="M935" s="49"/>
      <c r="N935" s="76"/>
      <c r="O935" s="49"/>
      <c r="P935" s="77"/>
      <c r="Q935" s="53"/>
      <c r="R935" s="54"/>
      <c r="S935" s="55"/>
      <c r="T935" s="56"/>
      <c r="U935" s="56"/>
      <c r="V935" s="42"/>
      <c r="W935" s="57"/>
      <c r="X935" s="58"/>
      <c r="Y935" s="75"/>
      <c r="Z935" s="59"/>
      <c r="AA935" s="61"/>
      <c r="AB935" s="61"/>
      <c r="AC935" s="61"/>
      <c r="AD935" s="62"/>
      <c r="AE935" s="62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  <c r="AZ935" s="34"/>
      <c r="BA935" s="34"/>
      <c r="BB935" s="34"/>
      <c r="BD935" s="34"/>
      <c r="BE935" s="34"/>
      <c r="BF935" s="34"/>
      <c r="BG935" s="34"/>
      <c r="BH935" s="34"/>
      <c r="BI935" s="34"/>
      <c r="BJ935" s="34"/>
      <c r="BK935" s="34"/>
      <c r="BL935" s="34"/>
      <c r="BM935" s="34"/>
      <c r="BN935" s="34"/>
      <c r="BO935" s="34"/>
      <c r="BP935" s="34"/>
      <c r="BQ935" s="34"/>
      <c r="BR935" s="34"/>
      <c r="BS935" s="34"/>
      <c r="BT935" s="34"/>
      <c r="BU935" s="34"/>
      <c r="BV935" s="34"/>
      <c r="BW935" s="34"/>
      <c r="BX935" s="34"/>
      <c r="BY935" s="34"/>
    </row>
    <row r="936" spans="1:77" x14ac:dyDescent="0.3">
      <c r="A936" s="39"/>
      <c r="B936" s="42"/>
      <c r="C936" s="42"/>
      <c r="D936" s="75"/>
      <c r="E936" s="75"/>
      <c r="F936" s="76"/>
      <c r="G936" s="47"/>
      <c r="H936" s="47"/>
      <c r="I936" s="75"/>
      <c r="J936" s="76"/>
      <c r="K936" s="76"/>
      <c r="L936" s="75"/>
      <c r="M936" s="49"/>
      <c r="N936" s="76"/>
      <c r="O936" s="49"/>
      <c r="P936" s="77"/>
      <c r="Q936" s="53"/>
      <c r="R936" s="54"/>
      <c r="S936" s="55"/>
      <c r="T936" s="56"/>
      <c r="U936" s="56"/>
      <c r="V936" s="42"/>
      <c r="W936" s="57"/>
      <c r="X936" s="58"/>
      <c r="Y936" s="75"/>
      <c r="Z936" s="59"/>
      <c r="AA936" s="61"/>
      <c r="AB936" s="61"/>
      <c r="AC936" s="61"/>
      <c r="AD936" s="62"/>
      <c r="AE936" s="62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  <c r="AQ936" s="34"/>
      <c r="AR936" s="34"/>
      <c r="AS936" s="34"/>
      <c r="AT936" s="34"/>
      <c r="AU936" s="34"/>
      <c r="AV936" s="34"/>
      <c r="AW936" s="34"/>
      <c r="AX936" s="34"/>
      <c r="AY936" s="34"/>
      <c r="AZ936" s="34"/>
      <c r="BA936" s="34"/>
      <c r="BB936" s="34"/>
      <c r="BD936" s="34"/>
      <c r="BE936" s="34"/>
      <c r="BF936" s="34"/>
      <c r="BG936" s="34"/>
      <c r="BH936" s="34"/>
      <c r="BI936" s="34"/>
      <c r="BJ936" s="34"/>
      <c r="BK936" s="34"/>
      <c r="BL936" s="34"/>
      <c r="BM936" s="34"/>
      <c r="BN936" s="34"/>
      <c r="BO936" s="34"/>
      <c r="BP936" s="34"/>
      <c r="BQ936" s="34"/>
      <c r="BR936" s="34"/>
      <c r="BS936" s="34"/>
      <c r="BT936" s="34"/>
      <c r="BU936" s="34"/>
      <c r="BV936" s="34"/>
      <c r="BW936" s="34"/>
      <c r="BX936" s="34"/>
      <c r="BY936" s="34"/>
    </row>
    <row r="937" spans="1:77" x14ac:dyDescent="0.3">
      <c r="A937" s="39"/>
      <c r="B937" s="42"/>
      <c r="C937" s="42"/>
      <c r="D937" s="75"/>
      <c r="E937" s="75"/>
      <c r="F937" s="76"/>
      <c r="G937" s="47"/>
      <c r="H937" s="47"/>
      <c r="I937" s="75"/>
      <c r="J937" s="76"/>
      <c r="K937" s="76"/>
      <c r="L937" s="75"/>
      <c r="M937" s="49"/>
      <c r="N937" s="76"/>
      <c r="O937" s="49"/>
      <c r="P937" s="77"/>
      <c r="Q937" s="53"/>
      <c r="R937" s="54"/>
      <c r="S937" s="55"/>
      <c r="T937" s="56"/>
      <c r="U937" s="56"/>
      <c r="V937" s="42"/>
      <c r="W937" s="57"/>
      <c r="X937" s="58"/>
      <c r="Y937" s="75"/>
      <c r="Z937" s="59"/>
      <c r="AA937" s="61"/>
      <c r="AB937" s="61"/>
      <c r="AC937" s="61"/>
      <c r="AD937" s="62"/>
      <c r="AE937" s="62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  <c r="AQ937" s="34"/>
      <c r="AR937" s="34"/>
      <c r="AS937" s="34"/>
      <c r="AT937" s="34"/>
      <c r="AU937" s="34"/>
      <c r="AV937" s="34"/>
      <c r="AW937" s="34"/>
      <c r="AX937" s="34"/>
      <c r="AY937" s="34"/>
      <c r="AZ937" s="34"/>
      <c r="BA937" s="34"/>
      <c r="BB937" s="34"/>
      <c r="BD937" s="34"/>
      <c r="BE937" s="34"/>
      <c r="BF937" s="34"/>
      <c r="BG937" s="34"/>
      <c r="BH937" s="34"/>
      <c r="BI937" s="34"/>
      <c r="BJ937" s="34"/>
      <c r="BK937" s="34"/>
      <c r="BL937" s="34"/>
      <c r="BM937" s="34"/>
      <c r="BN937" s="34"/>
      <c r="BO937" s="34"/>
      <c r="BP937" s="34"/>
      <c r="BQ937" s="34"/>
      <c r="BR937" s="34"/>
      <c r="BS937" s="34"/>
      <c r="BT937" s="34"/>
      <c r="BU937" s="34"/>
      <c r="BV937" s="34"/>
      <c r="BW937" s="34"/>
      <c r="BX937" s="34"/>
      <c r="BY937" s="34"/>
    </row>
    <row r="938" spans="1:77" x14ac:dyDescent="0.3">
      <c r="A938" s="39"/>
      <c r="B938" s="42"/>
      <c r="C938" s="42"/>
      <c r="D938" s="75"/>
      <c r="E938" s="75"/>
      <c r="F938" s="76"/>
      <c r="G938" s="47"/>
      <c r="H938" s="47"/>
      <c r="I938" s="75"/>
      <c r="J938" s="76"/>
      <c r="K938" s="76"/>
      <c r="L938" s="75"/>
      <c r="M938" s="49"/>
      <c r="N938" s="76"/>
      <c r="O938" s="49"/>
      <c r="P938" s="77"/>
      <c r="Q938" s="53"/>
      <c r="R938" s="54"/>
      <c r="S938" s="55"/>
      <c r="T938" s="56"/>
      <c r="U938" s="56"/>
      <c r="V938" s="42"/>
      <c r="W938" s="57"/>
      <c r="X938" s="58"/>
      <c r="Y938" s="75"/>
      <c r="Z938" s="59"/>
      <c r="AA938" s="61"/>
      <c r="AB938" s="61"/>
      <c r="AC938" s="61"/>
      <c r="AD938" s="62"/>
      <c r="AE938" s="62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34"/>
      <c r="BA938" s="34"/>
      <c r="BB938" s="34"/>
      <c r="BD938" s="34"/>
      <c r="BE938" s="34"/>
      <c r="BF938" s="34"/>
      <c r="BG938" s="34"/>
      <c r="BH938" s="34"/>
      <c r="BI938" s="34"/>
      <c r="BJ938" s="34"/>
      <c r="BK938" s="34"/>
      <c r="BL938" s="34"/>
      <c r="BM938" s="34"/>
      <c r="BN938" s="34"/>
      <c r="BO938" s="34"/>
      <c r="BP938" s="34"/>
      <c r="BQ938" s="34"/>
      <c r="BR938" s="34"/>
      <c r="BS938" s="34"/>
      <c r="BT938" s="34"/>
      <c r="BU938" s="34"/>
      <c r="BV938" s="34"/>
      <c r="BW938" s="34"/>
      <c r="BX938" s="34"/>
      <c r="BY938" s="34"/>
    </row>
    <row r="939" spans="1:77" x14ac:dyDescent="0.3">
      <c r="A939" s="39"/>
      <c r="B939" s="42"/>
      <c r="C939" s="42"/>
      <c r="D939" s="75"/>
      <c r="E939" s="75"/>
      <c r="F939" s="76"/>
      <c r="G939" s="47"/>
      <c r="H939" s="47"/>
      <c r="I939" s="75"/>
      <c r="J939" s="76"/>
      <c r="K939" s="76"/>
      <c r="L939" s="75"/>
      <c r="M939" s="49"/>
      <c r="N939" s="76"/>
      <c r="O939" s="49"/>
      <c r="P939" s="77"/>
      <c r="Q939" s="53"/>
      <c r="R939" s="54"/>
      <c r="S939" s="55"/>
      <c r="T939" s="56"/>
      <c r="U939" s="56"/>
      <c r="V939" s="42"/>
      <c r="W939" s="57"/>
      <c r="X939" s="58"/>
      <c r="Y939" s="75"/>
      <c r="Z939" s="59"/>
      <c r="AA939" s="61"/>
      <c r="AB939" s="61"/>
      <c r="AC939" s="61"/>
      <c r="AD939" s="62"/>
      <c r="AE939" s="62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34"/>
      <c r="AR939" s="34"/>
      <c r="AS939" s="34"/>
      <c r="AT939" s="34"/>
      <c r="AU939" s="34"/>
      <c r="AV939" s="34"/>
      <c r="AW939" s="34"/>
      <c r="AX939" s="34"/>
      <c r="AY939" s="34"/>
      <c r="AZ939" s="34"/>
      <c r="BA939" s="34"/>
      <c r="BB939" s="34"/>
      <c r="BD939" s="34"/>
      <c r="BE939" s="34"/>
      <c r="BF939" s="34"/>
      <c r="BG939" s="34"/>
      <c r="BH939" s="34"/>
      <c r="BI939" s="34"/>
      <c r="BJ939" s="34"/>
      <c r="BK939" s="34"/>
      <c r="BL939" s="34"/>
      <c r="BM939" s="34"/>
      <c r="BN939" s="34"/>
      <c r="BO939" s="34"/>
      <c r="BP939" s="34"/>
      <c r="BQ939" s="34"/>
      <c r="BR939" s="34"/>
      <c r="BS939" s="34"/>
      <c r="BT939" s="34"/>
      <c r="BU939" s="34"/>
      <c r="BV939" s="34"/>
      <c r="BW939" s="34"/>
      <c r="BX939" s="34"/>
      <c r="BY939" s="34"/>
    </row>
    <row r="940" spans="1:77" x14ac:dyDescent="0.3">
      <c r="A940" s="39"/>
      <c r="B940" s="42"/>
      <c r="C940" s="42"/>
      <c r="D940" s="75"/>
      <c r="E940" s="75"/>
      <c r="F940" s="76"/>
      <c r="G940" s="47"/>
      <c r="H940" s="47"/>
      <c r="I940" s="75"/>
      <c r="J940" s="76"/>
      <c r="K940" s="76"/>
      <c r="L940" s="75"/>
      <c r="M940" s="49"/>
      <c r="N940" s="76"/>
      <c r="O940" s="49"/>
      <c r="P940" s="77"/>
      <c r="Q940" s="53"/>
      <c r="R940" s="54"/>
      <c r="S940" s="55"/>
      <c r="T940" s="56"/>
      <c r="U940" s="56"/>
      <c r="V940" s="42"/>
      <c r="W940" s="57"/>
      <c r="X940" s="58"/>
      <c r="Y940" s="75"/>
      <c r="Z940" s="59"/>
      <c r="AA940" s="61"/>
      <c r="AB940" s="61"/>
      <c r="AC940" s="61"/>
      <c r="AD940" s="62"/>
      <c r="AE940" s="62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  <c r="AQ940" s="34"/>
      <c r="AR940" s="34"/>
      <c r="AS940" s="34"/>
      <c r="AT940" s="34"/>
      <c r="AU940" s="34"/>
      <c r="AV940" s="34"/>
      <c r="AW940" s="34"/>
      <c r="AX940" s="34"/>
      <c r="AY940" s="34"/>
      <c r="AZ940" s="34"/>
      <c r="BA940" s="34"/>
      <c r="BB940" s="34"/>
      <c r="BD940" s="34"/>
      <c r="BE940" s="34"/>
      <c r="BF940" s="34"/>
      <c r="BG940" s="34"/>
      <c r="BH940" s="34"/>
      <c r="BI940" s="34"/>
      <c r="BJ940" s="34"/>
      <c r="BK940" s="34"/>
      <c r="BL940" s="34"/>
      <c r="BM940" s="34"/>
      <c r="BN940" s="34"/>
      <c r="BO940" s="34"/>
      <c r="BP940" s="34"/>
      <c r="BQ940" s="34"/>
      <c r="BR940" s="34"/>
      <c r="BS940" s="34"/>
      <c r="BT940" s="34"/>
      <c r="BU940" s="34"/>
      <c r="BV940" s="34"/>
      <c r="BW940" s="34"/>
      <c r="BX940" s="34"/>
      <c r="BY940" s="34"/>
    </row>
    <row r="941" spans="1:77" x14ac:dyDescent="0.3">
      <c r="A941" s="39"/>
      <c r="B941" s="42"/>
      <c r="C941" s="42"/>
      <c r="D941" s="75"/>
      <c r="E941" s="75"/>
      <c r="F941" s="76"/>
      <c r="G941" s="47"/>
      <c r="H941" s="47"/>
      <c r="I941" s="75"/>
      <c r="J941" s="76"/>
      <c r="K941" s="76"/>
      <c r="L941" s="75"/>
      <c r="M941" s="49"/>
      <c r="N941" s="76"/>
      <c r="O941" s="49"/>
      <c r="P941" s="77"/>
      <c r="Q941" s="53"/>
      <c r="R941" s="54"/>
      <c r="S941" s="55"/>
      <c r="T941" s="56"/>
      <c r="U941" s="56"/>
      <c r="V941" s="42"/>
      <c r="W941" s="57"/>
      <c r="X941" s="58"/>
      <c r="Y941" s="75"/>
      <c r="Z941" s="59"/>
      <c r="AA941" s="61"/>
      <c r="AB941" s="61"/>
      <c r="AC941" s="61"/>
      <c r="AD941" s="62"/>
      <c r="AE941" s="62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34"/>
      <c r="AR941" s="34"/>
      <c r="AS941" s="34"/>
      <c r="AT941" s="34"/>
      <c r="AU941" s="34"/>
      <c r="AV941" s="34"/>
      <c r="AW941" s="34"/>
      <c r="AX941" s="34"/>
      <c r="AY941" s="34"/>
      <c r="AZ941" s="34"/>
      <c r="BA941" s="34"/>
      <c r="BB941" s="34"/>
      <c r="BD941" s="34"/>
      <c r="BE941" s="34"/>
      <c r="BF941" s="34"/>
      <c r="BG941" s="34"/>
      <c r="BH941" s="34"/>
      <c r="BI941" s="34"/>
      <c r="BJ941" s="34"/>
      <c r="BK941" s="34"/>
      <c r="BL941" s="34"/>
      <c r="BM941" s="34"/>
      <c r="BN941" s="34"/>
      <c r="BO941" s="34"/>
      <c r="BP941" s="34"/>
      <c r="BQ941" s="34"/>
      <c r="BR941" s="34"/>
      <c r="BS941" s="34"/>
      <c r="BT941" s="34"/>
      <c r="BU941" s="34"/>
      <c r="BV941" s="34"/>
      <c r="BW941" s="34"/>
      <c r="BX941" s="34"/>
      <c r="BY941" s="34"/>
    </row>
    <row r="942" spans="1:77" x14ac:dyDescent="0.3">
      <c r="A942" s="39"/>
      <c r="B942" s="42"/>
      <c r="C942" s="42"/>
      <c r="D942" s="75"/>
      <c r="E942" s="75"/>
      <c r="F942" s="76"/>
      <c r="G942" s="47"/>
      <c r="H942" s="47"/>
      <c r="I942" s="75"/>
      <c r="J942" s="76"/>
      <c r="K942" s="76"/>
      <c r="L942" s="75"/>
      <c r="M942" s="49"/>
      <c r="N942" s="76"/>
      <c r="O942" s="49"/>
      <c r="P942" s="77"/>
      <c r="Q942" s="53"/>
      <c r="R942" s="54"/>
      <c r="S942" s="55"/>
      <c r="T942" s="56"/>
      <c r="U942" s="56"/>
      <c r="V942" s="42"/>
      <c r="W942" s="57"/>
      <c r="X942" s="58"/>
      <c r="Y942" s="75"/>
      <c r="Z942" s="59"/>
      <c r="AA942" s="61"/>
      <c r="AB942" s="61"/>
      <c r="AC942" s="61"/>
      <c r="AD942" s="62"/>
      <c r="AE942" s="62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  <c r="AQ942" s="34"/>
      <c r="AR942" s="34"/>
      <c r="AS942" s="34"/>
      <c r="AT942" s="34"/>
      <c r="AU942" s="34"/>
      <c r="AV942" s="34"/>
      <c r="AW942" s="34"/>
      <c r="AX942" s="34"/>
      <c r="AY942" s="34"/>
      <c r="AZ942" s="34"/>
      <c r="BA942" s="34"/>
      <c r="BB942" s="34"/>
      <c r="BD942" s="34"/>
      <c r="BE942" s="34"/>
      <c r="BF942" s="34"/>
      <c r="BG942" s="34"/>
      <c r="BH942" s="34"/>
      <c r="BI942" s="34"/>
      <c r="BJ942" s="34"/>
      <c r="BK942" s="34"/>
      <c r="BL942" s="34"/>
      <c r="BM942" s="34"/>
      <c r="BN942" s="34"/>
      <c r="BO942" s="34"/>
      <c r="BP942" s="34"/>
      <c r="BQ942" s="34"/>
      <c r="BR942" s="34"/>
      <c r="BS942" s="34"/>
      <c r="BT942" s="34"/>
      <c r="BU942" s="34"/>
      <c r="BV942" s="34"/>
      <c r="BW942" s="34"/>
      <c r="BX942" s="34"/>
      <c r="BY942" s="34"/>
    </row>
    <row r="943" spans="1:77" x14ac:dyDescent="0.3">
      <c r="A943" s="39"/>
      <c r="B943" s="42"/>
      <c r="C943" s="42"/>
      <c r="D943" s="75"/>
      <c r="E943" s="75"/>
      <c r="F943" s="76"/>
      <c r="G943" s="47"/>
      <c r="H943" s="47"/>
      <c r="I943" s="75"/>
      <c r="J943" s="76"/>
      <c r="K943" s="76"/>
      <c r="L943" s="75"/>
      <c r="M943" s="49"/>
      <c r="N943" s="76"/>
      <c r="O943" s="49"/>
      <c r="P943" s="77"/>
      <c r="Q943" s="53"/>
      <c r="R943" s="54"/>
      <c r="S943" s="55"/>
      <c r="T943" s="56"/>
      <c r="U943" s="56"/>
      <c r="V943" s="42"/>
      <c r="W943" s="57"/>
      <c r="X943" s="58"/>
      <c r="Y943" s="75"/>
      <c r="Z943" s="59"/>
      <c r="AA943" s="61"/>
      <c r="AB943" s="61"/>
      <c r="AC943" s="61"/>
      <c r="AD943" s="62"/>
      <c r="AE943" s="62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/>
      <c r="BB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/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</row>
    <row r="944" spans="1:77" x14ac:dyDescent="0.3">
      <c r="A944" s="39"/>
      <c r="B944" s="42"/>
      <c r="C944" s="42"/>
      <c r="D944" s="75"/>
      <c r="E944" s="75"/>
      <c r="F944" s="76"/>
      <c r="G944" s="47"/>
      <c r="H944" s="47"/>
      <c r="I944" s="75"/>
      <c r="J944" s="76"/>
      <c r="K944" s="76"/>
      <c r="L944" s="75"/>
      <c r="M944" s="49"/>
      <c r="N944" s="76"/>
      <c r="O944" s="49"/>
      <c r="P944" s="77"/>
      <c r="Q944" s="53"/>
      <c r="R944" s="54"/>
      <c r="S944" s="55"/>
      <c r="T944" s="56"/>
      <c r="U944" s="56"/>
      <c r="V944" s="42"/>
      <c r="W944" s="57"/>
      <c r="X944" s="58"/>
      <c r="Y944" s="75"/>
      <c r="Z944" s="59"/>
      <c r="AA944" s="61"/>
      <c r="AB944" s="61"/>
      <c r="AC944" s="61"/>
      <c r="AD944" s="62"/>
      <c r="AE944" s="62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34"/>
      <c r="BA944" s="34"/>
      <c r="BB944" s="34"/>
      <c r="BD944" s="34"/>
      <c r="BE944" s="34"/>
      <c r="BF944" s="34"/>
      <c r="BG944" s="34"/>
      <c r="BH944" s="34"/>
      <c r="BI944" s="34"/>
      <c r="BJ944" s="34"/>
      <c r="BK944" s="34"/>
      <c r="BL944" s="34"/>
      <c r="BM944" s="34"/>
      <c r="BN944" s="34"/>
      <c r="BO944" s="34"/>
      <c r="BP944" s="34"/>
      <c r="BQ944" s="34"/>
      <c r="BR944" s="34"/>
      <c r="BS944" s="34"/>
      <c r="BT944" s="34"/>
      <c r="BU944" s="34"/>
      <c r="BV944" s="34"/>
      <c r="BW944" s="34"/>
      <c r="BX944" s="34"/>
      <c r="BY944" s="34"/>
    </row>
    <row r="945" spans="1:77" x14ac:dyDescent="0.3">
      <c r="A945" s="39"/>
      <c r="B945" s="42"/>
      <c r="C945" s="42"/>
      <c r="D945" s="75"/>
      <c r="E945" s="75"/>
      <c r="F945" s="76"/>
      <c r="G945" s="47"/>
      <c r="H945" s="47"/>
      <c r="I945" s="75"/>
      <c r="J945" s="76"/>
      <c r="K945" s="76"/>
      <c r="L945" s="75"/>
      <c r="M945" s="49"/>
      <c r="N945" s="76"/>
      <c r="O945" s="49"/>
      <c r="P945" s="77"/>
      <c r="Q945" s="53"/>
      <c r="R945" s="54"/>
      <c r="S945" s="55"/>
      <c r="T945" s="56"/>
      <c r="U945" s="56"/>
      <c r="V945" s="42"/>
      <c r="W945" s="57"/>
      <c r="X945" s="58"/>
      <c r="Y945" s="75"/>
      <c r="Z945" s="59"/>
      <c r="AA945" s="61"/>
      <c r="AB945" s="61"/>
      <c r="AC945" s="61"/>
      <c r="AD945" s="62"/>
      <c r="AE945" s="62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34"/>
      <c r="AR945" s="34"/>
      <c r="AS945" s="34"/>
      <c r="AT945" s="34"/>
      <c r="AU945" s="34"/>
      <c r="AV945" s="34"/>
      <c r="AW945" s="34"/>
      <c r="AX945" s="34"/>
      <c r="AY945" s="34"/>
      <c r="AZ945" s="34"/>
      <c r="BA945" s="34"/>
      <c r="BB945" s="34"/>
      <c r="BD945" s="34"/>
      <c r="BE945" s="34"/>
      <c r="BF945" s="34"/>
      <c r="BG945" s="34"/>
      <c r="BH945" s="34"/>
      <c r="BI945" s="34"/>
      <c r="BJ945" s="34"/>
      <c r="BK945" s="34"/>
      <c r="BL945" s="34"/>
      <c r="BM945" s="34"/>
      <c r="BN945" s="34"/>
      <c r="BO945" s="34"/>
      <c r="BP945" s="34"/>
      <c r="BQ945" s="34"/>
      <c r="BR945" s="34"/>
      <c r="BS945" s="34"/>
      <c r="BT945" s="34"/>
      <c r="BU945" s="34"/>
      <c r="BV945" s="34"/>
      <c r="BW945" s="34"/>
      <c r="BX945" s="34"/>
      <c r="BY945" s="34"/>
    </row>
    <row r="946" spans="1:77" x14ac:dyDescent="0.3">
      <c r="A946" s="39"/>
      <c r="B946" s="42"/>
      <c r="C946" s="42"/>
      <c r="D946" s="75"/>
      <c r="E946" s="75"/>
      <c r="F946" s="76"/>
      <c r="G946" s="47"/>
      <c r="H946" s="47"/>
      <c r="I946" s="75"/>
      <c r="J946" s="76"/>
      <c r="K946" s="76"/>
      <c r="L946" s="75"/>
      <c r="M946" s="49"/>
      <c r="N946" s="76"/>
      <c r="O946" s="49"/>
      <c r="P946" s="77"/>
      <c r="Q946" s="53"/>
      <c r="R946" s="54"/>
      <c r="S946" s="55"/>
      <c r="T946" s="56"/>
      <c r="U946" s="56"/>
      <c r="V946" s="42"/>
      <c r="W946" s="57"/>
      <c r="X946" s="58"/>
      <c r="Y946" s="75"/>
      <c r="Z946" s="59"/>
      <c r="AA946" s="61"/>
      <c r="AB946" s="61"/>
      <c r="AC946" s="61"/>
      <c r="AD946" s="62"/>
      <c r="AE946" s="62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/>
      <c r="BB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/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</row>
    <row r="947" spans="1:77" x14ac:dyDescent="0.3">
      <c r="A947" s="39"/>
      <c r="B947" s="42"/>
      <c r="C947" s="42"/>
      <c r="D947" s="75"/>
      <c r="E947" s="75"/>
      <c r="F947" s="76"/>
      <c r="G947" s="47"/>
      <c r="H947" s="47"/>
      <c r="I947" s="75"/>
      <c r="J947" s="76"/>
      <c r="K947" s="76"/>
      <c r="L947" s="75"/>
      <c r="M947" s="49"/>
      <c r="N947" s="76"/>
      <c r="O947" s="49"/>
      <c r="P947" s="77"/>
      <c r="Q947" s="53"/>
      <c r="R947" s="54"/>
      <c r="S947" s="55"/>
      <c r="T947" s="56"/>
      <c r="U947" s="56"/>
      <c r="V947" s="42"/>
      <c r="W947" s="57"/>
      <c r="X947" s="58"/>
      <c r="Y947" s="75"/>
      <c r="Z947" s="59"/>
      <c r="AA947" s="61"/>
      <c r="AB947" s="61"/>
      <c r="AC947" s="61"/>
      <c r="AD947" s="62"/>
      <c r="AE947" s="62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34"/>
      <c r="AR947" s="34"/>
      <c r="AS947" s="34"/>
      <c r="AT947" s="34"/>
      <c r="AU947" s="34"/>
      <c r="AV947" s="34"/>
      <c r="AW947" s="34"/>
      <c r="AX947" s="34"/>
      <c r="AY947" s="34"/>
      <c r="AZ947" s="34"/>
      <c r="BA947" s="34"/>
      <c r="BB947" s="34"/>
      <c r="BD947" s="34"/>
      <c r="BE947" s="34"/>
      <c r="BF947" s="34"/>
      <c r="BG947" s="34"/>
      <c r="BH947" s="34"/>
      <c r="BI947" s="34"/>
      <c r="BJ947" s="34"/>
      <c r="BK947" s="34"/>
      <c r="BL947" s="34"/>
      <c r="BM947" s="34"/>
      <c r="BN947" s="34"/>
      <c r="BO947" s="34"/>
      <c r="BP947" s="34"/>
      <c r="BQ947" s="34"/>
      <c r="BR947" s="34"/>
      <c r="BS947" s="34"/>
      <c r="BT947" s="34"/>
      <c r="BU947" s="34"/>
      <c r="BV947" s="34"/>
      <c r="BW947" s="34"/>
      <c r="BX947" s="34"/>
      <c r="BY947" s="34"/>
    </row>
    <row r="948" spans="1:77" x14ac:dyDescent="0.3">
      <c r="A948" s="39"/>
      <c r="B948" s="42"/>
      <c r="C948" s="42"/>
      <c r="D948" s="75"/>
      <c r="E948" s="75"/>
      <c r="F948" s="76"/>
      <c r="G948" s="47"/>
      <c r="H948" s="47"/>
      <c r="I948" s="75"/>
      <c r="J948" s="76"/>
      <c r="K948" s="76"/>
      <c r="L948" s="75"/>
      <c r="M948" s="49"/>
      <c r="N948" s="76"/>
      <c r="O948" s="49"/>
      <c r="P948" s="77"/>
      <c r="Q948" s="53"/>
      <c r="R948" s="54"/>
      <c r="S948" s="55"/>
      <c r="T948" s="56"/>
      <c r="U948" s="56"/>
      <c r="V948" s="42"/>
      <c r="W948" s="57"/>
      <c r="X948" s="58"/>
      <c r="Y948" s="75"/>
      <c r="Z948" s="59"/>
      <c r="AA948" s="61"/>
      <c r="AB948" s="61"/>
      <c r="AC948" s="61"/>
      <c r="AD948" s="62"/>
      <c r="AE948" s="62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  <c r="AZ948" s="34"/>
      <c r="BA948" s="34"/>
      <c r="BB948" s="34"/>
      <c r="BD948" s="34"/>
      <c r="BE948" s="34"/>
      <c r="BF948" s="34"/>
      <c r="BG948" s="34"/>
      <c r="BH948" s="34"/>
      <c r="BI948" s="34"/>
      <c r="BJ948" s="34"/>
      <c r="BK948" s="34"/>
      <c r="BL948" s="34"/>
      <c r="BM948" s="34"/>
      <c r="BN948" s="34"/>
      <c r="BO948" s="34"/>
      <c r="BP948" s="34"/>
      <c r="BQ948" s="34"/>
      <c r="BR948" s="34"/>
      <c r="BS948" s="34"/>
      <c r="BT948" s="34"/>
      <c r="BU948" s="34"/>
      <c r="BV948" s="34"/>
      <c r="BW948" s="34"/>
      <c r="BX948" s="34"/>
      <c r="BY948" s="34"/>
    </row>
    <row r="949" spans="1:77" x14ac:dyDescent="0.3">
      <c r="A949" s="39"/>
      <c r="B949" s="42"/>
      <c r="C949" s="42"/>
      <c r="D949" s="75"/>
      <c r="E949" s="75"/>
      <c r="F949" s="76"/>
      <c r="G949" s="47"/>
      <c r="H949" s="47"/>
      <c r="I949" s="75"/>
      <c r="J949" s="76"/>
      <c r="K949" s="76"/>
      <c r="L949" s="75"/>
      <c r="M949" s="49"/>
      <c r="N949" s="76"/>
      <c r="O949" s="49"/>
      <c r="P949" s="77"/>
      <c r="Q949" s="53"/>
      <c r="R949" s="54"/>
      <c r="S949" s="55"/>
      <c r="T949" s="56"/>
      <c r="U949" s="56"/>
      <c r="V949" s="42"/>
      <c r="W949" s="57"/>
      <c r="X949" s="58"/>
      <c r="Y949" s="75"/>
      <c r="Z949" s="59"/>
      <c r="AA949" s="61"/>
      <c r="AB949" s="61"/>
      <c r="AC949" s="61"/>
      <c r="AD949" s="62"/>
      <c r="AE949" s="62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34"/>
      <c r="AR949" s="34"/>
      <c r="AS949" s="34"/>
      <c r="AT949" s="34"/>
      <c r="AU949" s="34"/>
      <c r="AV949" s="34"/>
      <c r="AW949" s="34"/>
      <c r="AX949" s="34"/>
      <c r="AY949" s="34"/>
      <c r="AZ949" s="34"/>
      <c r="BA949" s="34"/>
      <c r="BB949" s="34"/>
      <c r="BD949" s="34"/>
      <c r="BE949" s="34"/>
      <c r="BF949" s="34"/>
      <c r="BG949" s="34"/>
      <c r="BH949" s="34"/>
      <c r="BI949" s="34"/>
      <c r="BJ949" s="34"/>
      <c r="BK949" s="34"/>
      <c r="BL949" s="34"/>
      <c r="BM949" s="34"/>
      <c r="BN949" s="34"/>
      <c r="BO949" s="34"/>
      <c r="BP949" s="34"/>
      <c r="BQ949" s="34"/>
      <c r="BR949" s="34"/>
      <c r="BS949" s="34"/>
      <c r="BT949" s="34"/>
      <c r="BU949" s="34"/>
      <c r="BV949" s="34"/>
      <c r="BW949" s="34"/>
      <c r="BX949" s="34"/>
      <c r="BY949" s="34"/>
    </row>
    <row r="950" spans="1:77" x14ac:dyDescent="0.3">
      <c r="A950" s="39"/>
      <c r="B950" s="42"/>
      <c r="C950" s="42"/>
      <c r="D950" s="75"/>
      <c r="E950" s="75"/>
      <c r="F950" s="76"/>
      <c r="G950" s="47"/>
      <c r="H950" s="47"/>
      <c r="I950" s="75"/>
      <c r="J950" s="76"/>
      <c r="K950" s="76"/>
      <c r="L950" s="75"/>
      <c r="M950" s="49"/>
      <c r="N950" s="76"/>
      <c r="O950" s="49"/>
      <c r="P950" s="77"/>
      <c r="Q950" s="53"/>
      <c r="R950" s="54"/>
      <c r="S950" s="55"/>
      <c r="T950" s="56"/>
      <c r="U950" s="56"/>
      <c r="V950" s="42"/>
      <c r="W950" s="57"/>
      <c r="X950" s="58"/>
      <c r="Y950" s="75"/>
      <c r="Z950" s="59"/>
      <c r="AA950" s="61"/>
      <c r="AB950" s="61"/>
      <c r="AC950" s="61"/>
      <c r="AD950" s="62"/>
      <c r="AE950" s="62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/>
      <c r="AR950" s="34"/>
      <c r="AS950" s="34"/>
      <c r="AT950" s="34"/>
      <c r="AU950" s="34"/>
      <c r="AV950" s="34"/>
      <c r="AW950" s="34"/>
      <c r="AX950" s="34"/>
      <c r="AY950" s="34"/>
      <c r="AZ950" s="34"/>
      <c r="BA950" s="34"/>
      <c r="BB950" s="34"/>
      <c r="BD950" s="34"/>
      <c r="BE950" s="34"/>
      <c r="BF950" s="34"/>
      <c r="BG950" s="34"/>
      <c r="BH950" s="34"/>
      <c r="BI950" s="34"/>
      <c r="BJ950" s="34"/>
      <c r="BK950" s="34"/>
      <c r="BL950" s="34"/>
      <c r="BM950" s="34"/>
      <c r="BN950" s="34"/>
      <c r="BO950" s="34"/>
      <c r="BP950" s="34"/>
      <c r="BQ950" s="34"/>
      <c r="BR950" s="34"/>
      <c r="BS950" s="34"/>
      <c r="BT950" s="34"/>
      <c r="BU950" s="34"/>
      <c r="BV950" s="34"/>
      <c r="BW950" s="34"/>
      <c r="BX950" s="34"/>
      <c r="BY950" s="34"/>
    </row>
    <row r="951" spans="1:77" x14ac:dyDescent="0.3">
      <c r="A951" s="39"/>
      <c r="B951" s="42"/>
      <c r="C951" s="42"/>
      <c r="D951" s="75"/>
      <c r="E951" s="75"/>
      <c r="F951" s="76"/>
      <c r="G951" s="47"/>
      <c r="H951" s="47"/>
      <c r="I951" s="75"/>
      <c r="J951" s="76"/>
      <c r="K951" s="76"/>
      <c r="L951" s="75"/>
      <c r="M951" s="49"/>
      <c r="N951" s="76"/>
      <c r="O951" s="49"/>
      <c r="P951" s="77"/>
      <c r="Q951" s="53"/>
      <c r="R951" s="54"/>
      <c r="S951" s="55"/>
      <c r="T951" s="56"/>
      <c r="U951" s="56"/>
      <c r="V951" s="42"/>
      <c r="W951" s="57"/>
      <c r="X951" s="58"/>
      <c r="Y951" s="75"/>
      <c r="Z951" s="59"/>
      <c r="AA951" s="61"/>
      <c r="AB951" s="61"/>
      <c r="AC951" s="61"/>
      <c r="AD951" s="62"/>
      <c r="AE951" s="62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34"/>
      <c r="AR951" s="34"/>
      <c r="AS951" s="34"/>
      <c r="AT951" s="34"/>
      <c r="AU951" s="34"/>
      <c r="AV951" s="34"/>
      <c r="AW951" s="34"/>
      <c r="AX951" s="34"/>
      <c r="AY951" s="34"/>
      <c r="AZ951" s="34"/>
      <c r="BA951" s="34"/>
      <c r="BB951" s="34"/>
      <c r="BD951" s="34"/>
      <c r="BE951" s="34"/>
      <c r="BF951" s="34"/>
      <c r="BG951" s="34"/>
      <c r="BH951" s="34"/>
      <c r="BI951" s="34"/>
      <c r="BJ951" s="34"/>
      <c r="BK951" s="34"/>
      <c r="BL951" s="34"/>
      <c r="BM951" s="34"/>
      <c r="BN951" s="34"/>
      <c r="BO951" s="34"/>
      <c r="BP951" s="34"/>
      <c r="BQ951" s="34"/>
      <c r="BR951" s="34"/>
      <c r="BS951" s="34"/>
      <c r="BT951" s="34"/>
      <c r="BU951" s="34"/>
      <c r="BV951" s="34"/>
      <c r="BW951" s="34"/>
      <c r="BX951" s="34"/>
      <c r="BY951" s="34"/>
    </row>
    <row r="952" spans="1:77" x14ac:dyDescent="0.3">
      <c r="A952" s="39"/>
      <c r="B952" s="42"/>
      <c r="C952" s="42"/>
      <c r="D952" s="75"/>
      <c r="E952" s="75"/>
      <c r="F952" s="76"/>
      <c r="G952" s="47"/>
      <c r="H952" s="47"/>
      <c r="I952" s="75"/>
      <c r="J952" s="76"/>
      <c r="K952" s="76"/>
      <c r="L952" s="75"/>
      <c r="M952" s="49"/>
      <c r="N952" s="76"/>
      <c r="O952" s="49"/>
      <c r="P952" s="77"/>
      <c r="Q952" s="53"/>
      <c r="R952" s="54"/>
      <c r="S952" s="55"/>
      <c r="T952" s="56"/>
      <c r="U952" s="56"/>
      <c r="V952" s="42"/>
      <c r="W952" s="57"/>
      <c r="X952" s="58"/>
      <c r="Y952" s="75"/>
      <c r="Z952" s="59"/>
      <c r="AA952" s="61"/>
      <c r="AB952" s="61"/>
      <c r="AC952" s="61"/>
      <c r="AD952" s="62"/>
      <c r="AE952" s="62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  <c r="AZ952" s="34"/>
      <c r="BA952" s="34"/>
      <c r="BB952" s="34"/>
      <c r="BD952" s="34"/>
      <c r="BE952" s="34"/>
      <c r="BF952" s="34"/>
      <c r="BG952" s="34"/>
      <c r="BH952" s="34"/>
      <c r="BI952" s="34"/>
      <c r="BJ952" s="34"/>
      <c r="BK952" s="34"/>
      <c r="BL952" s="34"/>
      <c r="BM952" s="34"/>
      <c r="BN952" s="34"/>
      <c r="BO952" s="34"/>
      <c r="BP952" s="34"/>
      <c r="BQ952" s="34"/>
      <c r="BR952" s="34"/>
      <c r="BS952" s="34"/>
      <c r="BT952" s="34"/>
      <c r="BU952" s="34"/>
      <c r="BV952" s="34"/>
      <c r="BW952" s="34"/>
      <c r="BX952" s="34"/>
      <c r="BY952" s="34"/>
    </row>
    <row r="953" spans="1:77" x14ac:dyDescent="0.3">
      <c r="A953" s="39"/>
      <c r="B953" s="42"/>
      <c r="C953" s="42"/>
      <c r="D953" s="75"/>
      <c r="E953" s="75"/>
      <c r="F953" s="76"/>
      <c r="G953" s="47"/>
      <c r="H953" s="47"/>
      <c r="I953" s="75"/>
      <c r="J953" s="76"/>
      <c r="K953" s="76"/>
      <c r="L953" s="75"/>
      <c r="M953" s="49"/>
      <c r="N953" s="76"/>
      <c r="O953" s="49"/>
      <c r="P953" s="77"/>
      <c r="Q953" s="53"/>
      <c r="R953" s="54"/>
      <c r="S953" s="55"/>
      <c r="T953" s="56"/>
      <c r="U953" s="56"/>
      <c r="V953" s="42"/>
      <c r="W953" s="57"/>
      <c r="X953" s="58"/>
      <c r="Y953" s="75"/>
      <c r="Z953" s="59"/>
      <c r="AA953" s="61"/>
      <c r="AB953" s="61"/>
      <c r="AC953" s="61"/>
      <c r="AD953" s="62"/>
      <c r="AE953" s="62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  <c r="AQ953" s="34"/>
      <c r="AR953" s="34"/>
      <c r="AS953" s="34"/>
      <c r="AT953" s="34"/>
      <c r="AU953" s="34"/>
      <c r="AV953" s="34"/>
      <c r="AW953" s="34"/>
      <c r="AX953" s="34"/>
      <c r="AY953" s="34"/>
      <c r="AZ953" s="34"/>
      <c r="BA953" s="34"/>
      <c r="BB953" s="34"/>
      <c r="BD953" s="34"/>
      <c r="BE953" s="34"/>
      <c r="BF953" s="34"/>
      <c r="BG953" s="34"/>
      <c r="BH953" s="34"/>
      <c r="BI953" s="34"/>
      <c r="BJ953" s="34"/>
      <c r="BK953" s="34"/>
      <c r="BL953" s="34"/>
      <c r="BM953" s="34"/>
      <c r="BN953" s="34"/>
      <c r="BO953" s="34"/>
      <c r="BP953" s="34"/>
      <c r="BQ953" s="34"/>
      <c r="BR953" s="34"/>
      <c r="BS953" s="34"/>
      <c r="BT953" s="34"/>
      <c r="BU953" s="34"/>
      <c r="BV953" s="34"/>
      <c r="BW953" s="34"/>
      <c r="BX953" s="34"/>
      <c r="BY953" s="34"/>
    </row>
    <row r="954" spans="1:77" x14ac:dyDescent="0.3">
      <c r="A954" s="39"/>
      <c r="B954" s="42"/>
      <c r="C954" s="42"/>
      <c r="D954" s="75"/>
      <c r="E954" s="75"/>
      <c r="F954" s="76"/>
      <c r="G954" s="47"/>
      <c r="H954" s="47"/>
      <c r="I954" s="75"/>
      <c r="J954" s="76"/>
      <c r="K954" s="76"/>
      <c r="L954" s="75"/>
      <c r="M954" s="49"/>
      <c r="N954" s="76"/>
      <c r="O954" s="49"/>
      <c r="P954" s="77"/>
      <c r="Q954" s="53"/>
      <c r="R954" s="54"/>
      <c r="S954" s="55"/>
      <c r="T954" s="56"/>
      <c r="U954" s="56"/>
      <c r="V954" s="42"/>
      <c r="W954" s="57"/>
      <c r="X954" s="58"/>
      <c r="Y954" s="75"/>
      <c r="Z954" s="59"/>
      <c r="AA954" s="61"/>
      <c r="AB954" s="61"/>
      <c r="AC954" s="61"/>
      <c r="AD954" s="62"/>
      <c r="AE954" s="62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  <c r="AQ954" s="34"/>
      <c r="AR954" s="34"/>
      <c r="AS954" s="34"/>
      <c r="AT954" s="34"/>
      <c r="AU954" s="34"/>
      <c r="AV954" s="34"/>
      <c r="AW954" s="34"/>
      <c r="AX954" s="34"/>
      <c r="AY954" s="34"/>
      <c r="AZ954" s="34"/>
      <c r="BA954" s="34"/>
      <c r="BB954" s="34"/>
      <c r="BD954" s="34"/>
      <c r="BE954" s="34"/>
      <c r="BF954" s="34"/>
      <c r="BG954" s="34"/>
      <c r="BH954" s="34"/>
      <c r="BI954" s="34"/>
      <c r="BJ954" s="34"/>
      <c r="BK954" s="34"/>
      <c r="BL954" s="34"/>
      <c r="BM954" s="34"/>
      <c r="BN954" s="34"/>
      <c r="BO954" s="34"/>
      <c r="BP954" s="34"/>
      <c r="BQ954" s="34"/>
      <c r="BR954" s="34"/>
      <c r="BS954" s="34"/>
      <c r="BT954" s="34"/>
      <c r="BU954" s="34"/>
      <c r="BV954" s="34"/>
      <c r="BW954" s="34"/>
      <c r="BX954" s="34"/>
      <c r="BY954" s="34"/>
    </row>
    <row r="955" spans="1:77" x14ac:dyDescent="0.3">
      <c r="A955" s="39"/>
      <c r="B955" s="42"/>
      <c r="C955" s="42"/>
      <c r="D955" s="75"/>
      <c r="E955" s="75"/>
      <c r="F955" s="76"/>
      <c r="G955" s="47"/>
      <c r="H955" s="47"/>
      <c r="I955" s="75"/>
      <c r="J955" s="76"/>
      <c r="K955" s="76"/>
      <c r="L955" s="75"/>
      <c r="M955" s="49"/>
      <c r="N955" s="76"/>
      <c r="O955" s="49"/>
      <c r="P955" s="77"/>
      <c r="Q955" s="53"/>
      <c r="R955" s="54"/>
      <c r="S955" s="55"/>
      <c r="T955" s="56"/>
      <c r="U955" s="56"/>
      <c r="V955" s="42"/>
      <c r="W955" s="57"/>
      <c r="X955" s="58"/>
      <c r="Y955" s="75"/>
      <c r="Z955" s="59"/>
      <c r="AA955" s="61"/>
      <c r="AB955" s="61"/>
      <c r="AC955" s="61"/>
      <c r="AD955" s="62"/>
      <c r="AE955" s="62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34"/>
      <c r="AR955" s="34"/>
      <c r="AS955" s="34"/>
      <c r="AT955" s="34"/>
      <c r="AU955" s="34"/>
      <c r="AV955" s="34"/>
      <c r="AW955" s="34"/>
      <c r="AX955" s="34"/>
      <c r="AY955" s="34"/>
      <c r="AZ955" s="34"/>
      <c r="BA955" s="34"/>
      <c r="BB955" s="34"/>
      <c r="BD955" s="34"/>
      <c r="BE955" s="34"/>
      <c r="BF955" s="34"/>
      <c r="BG955" s="34"/>
      <c r="BH955" s="34"/>
      <c r="BI955" s="34"/>
      <c r="BJ955" s="34"/>
      <c r="BK955" s="34"/>
      <c r="BL955" s="34"/>
      <c r="BM955" s="34"/>
      <c r="BN955" s="34"/>
      <c r="BO955" s="34"/>
      <c r="BP955" s="34"/>
      <c r="BQ955" s="34"/>
      <c r="BR955" s="34"/>
      <c r="BS955" s="34"/>
      <c r="BT955" s="34"/>
      <c r="BU955" s="34"/>
      <c r="BV955" s="34"/>
      <c r="BW955" s="34"/>
      <c r="BX955" s="34"/>
      <c r="BY955" s="34"/>
    </row>
    <row r="956" spans="1:77" x14ac:dyDescent="0.3">
      <c r="A956" s="39"/>
      <c r="B956" s="42"/>
      <c r="C956" s="42"/>
      <c r="D956" s="75"/>
      <c r="E956" s="75"/>
      <c r="F956" s="76"/>
      <c r="G956" s="47"/>
      <c r="H956" s="47"/>
      <c r="I956" s="75"/>
      <c r="J956" s="76"/>
      <c r="K956" s="76"/>
      <c r="L956" s="75"/>
      <c r="M956" s="49"/>
      <c r="N956" s="76"/>
      <c r="O956" s="49"/>
      <c r="P956" s="77"/>
      <c r="Q956" s="53"/>
      <c r="R956" s="54"/>
      <c r="S956" s="55"/>
      <c r="T956" s="56"/>
      <c r="U956" s="56"/>
      <c r="V956" s="42"/>
      <c r="W956" s="57"/>
      <c r="X956" s="58"/>
      <c r="Y956" s="75"/>
      <c r="Z956" s="59"/>
      <c r="AA956" s="61"/>
      <c r="AB956" s="61"/>
      <c r="AC956" s="61"/>
      <c r="AD956" s="62"/>
      <c r="AE956" s="62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34"/>
      <c r="AR956" s="34"/>
      <c r="AS956" s="34"/>
      <c r="AT956" s="34"/>
      <c r="AU956" s="34"/>
      <c r="AV956" s="34"/>
      <c r="AW956" s="34"/>
      <c r="AX956" s="34"/>
      <c r="AY956" s="34"/>
      <c r="AZ956" s="34"/>
      <c r="BA956" s="34"/>
      <c r="BB956" s="34"/>
      <c r="BD956" s="34"/>
      <c r="BE956" s="34"/>
      <c r="BF956" s="34"/>
      <c r="BG956" s="34"/>
      <c r="BH956" s="34"/>
      <c r="BI956" s="34"/>
      <c r="BJ956" s="34"/>
      <c r="BK956" s="34"/>
      <c r="BL956" s="34"/>
      <c r="BM956" s="34"/>
      <c r="BN956" s="34"/>
      <c r="BO956" s="34"/>
      <c r="BP956" s="34"/>
      <c r="BQ956" s="34"/>
      <c r="BR956" s="34"/>
      <c r="BS956" s="34"/>
      <c r="BT956" s="34"/>
      <c r="BU956" s="34"/>
      <c r="BV956" s="34"/>
      <c r="BW956" s="34"/>
      <c r="BX956" s="34"/>
      <c r="BY956" s="34"/>
    </row>
    <row r="957" spans="1:77" x14ac:dyDescent="0.3">
      <c r="A957" s="39"/>
      <c r="B957" s="42"/>
      <c r="C957" s="42"/>
      <c r="D957" s="75"/>
      <c r="E957" s="75"/>
      <c r="F957" s="76"/>
      <c r="G957" s="47"/>
      <c r="H957" s="47"/>
      <c r="I957" s="75"/>
      <c r="J957" s="76"/>
      <c r="K957" s="76"/>
      <c r="L957" s="75"/>
      <c r="M957" s="49"/>
      <c r="N957" s="76"/>
      <c r="O957" s="49"/>
      <c r="P957" s="77"/>
      <c r="Q957" s="53"/>
      <c r="R957" s="54"/>
      <c r="S957" s="55"/>
      <c r="T957" s="56"/>
      <c r="U957" s="56"/>
      <c r="V957" s="42"/>
      <c r="W957" s="57"/>
      <c r="X957" s="58"/>
      <c r="Y957" s="75"/>
      <c r="Z957" s="59"/>
      <c r="AA957" s="61"/>
      <c r="AB957" s="61"/>
      <c r="AC957" s="61"/>
      <c r="AD957" s="62"/>
      <c r="AE957" s="62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  <c r="AQ957" s="34"/>
      <c r="AR957" s="34"/>
      <c r="AS957" s="34"/>
      <c r="AT957" s="34"/>
      <c r="AU957" s="34"/>
      <c r="AV957" s="34"/>
      <c r="AW957" s="34"/>
      <c r="AX957" s="34"/>
      <c r="AY957" s="34"/>
      <c r="AZ957" s="34"/>
      <c r="BA957" s="34"/>
      <c r="BB957" s="34"/>
      <c r="BD957" s="34"/>
      <c r="BE957" s="34"/>
      <c r="BF957" s="34"/>
      <c r="BG957" s="34"/>
      <c r="BH957" s="34"/>
      <c r="BI957" s="34"/>
      <c r="BJ957" s="34"/>
      <c r="BK957" s="34"/>
      <c r="BL957" s="34"/>
      <c r="BM957" s="34"/>
      <c r="BN957" s="34"/>
      <c r="BO957" s="34"/>
      <c r="BP957" s="34"/>
      <c r="BQ957" s="34"/>
      <c r="BR957" s="34"/>
      <c r="BS957" s="34"/>
      <c r="BT957" s="34"/>
      <c r="BU957" s="34"/>
      <c r="BV957" s="34"/>
      <c r="BW957" s="34"/>
      <c r="BX957" s="34"/>
      <c r="BY957" s="34"/>
    </row>
    <row r="958" spans="1:77" x14ac:dyDescent="0.3">
      <c r="A958" s="39"/>
      <c r="B958" s="42"/>
      <c r="C958" s="42"/>
      <c r="D958" s="75"/>
      <c r="E958" s="75"/>
      <c r="F958" s="76"/>
      <c r="G958" s="47"/>
      <c r="H958" s="47"/>
      <c r="I958" s="75"/>
      <c r="J958" s="76"/>
      <c r="K958" s="76"/>
      <c r="L958" s="75"/>
      <c r="M958" s="49"/>
      <c r="N958" s="76"/>
      <c r="O958" s="49"/>
      <c r="P958" s="77"/>
      <c r="Q958" s="53"/>
      <c r="R958" s="54"/>
      <c r="S958" s="55"/>
      <c r="T958" s="56"/>
      <c r="U958" s="56"/>
      <c r="V958" s="42"/>
      <c r="W958" s="57"/>
      <c r="X958" s="58"/>
      <c r="Y958" s="75"/>
      <c r="Z958" s="59"/>
      <c r="AA958" s="61"/>
      <c r="AB958" s="61"/>
      <c r="AC958" s="61"/>
      <c r="AD958" s="62"/>
      <c r="AE958" s="62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  <c r="AR958" s="34"/>
      <c r="AS958" s="34"/>
      <c r="AT958" s="34"/>
      <c r="AU958" s="34"/>
      <c r="AV958" s="34"/>
      <c r="AW958" s="34"/>
      <c r="AX958" s="34"/>
      <c r="AY958" s="34"/>
      <c r="AZ958" s="34"/>
      <c r="BA958" s="34"/>
      <c r="BB958" s="34"/>
      <c r="BD958" s="34"/>
      <c r="BE958" s="34"/>
      <c r="BF958" s="34"/>
      <c r="BG958" s="34"/>
      <c r="BH958" s="34"/>
      <c r="BI958" s="34"/>
      <c r="BJ958" s="34"/>
      <c r="BK958" s="34"/>
      <c r="BL958" s="34"/>
      <c r="BM958" s="34"/>
      <c r="BN958" s="34"/>
      <c r="BO958" s="34"/>
      <c r="BP958" s="34"/>
      <c r="BQ958" s="34"/>
      <c r="BR958" s="34"/>
      <c r="BS958" s="34"/>
      <c r="BT958" s="34"/>
      <c r="BU958" s="34"/>
      <c r="BV958" s="34"/>
      <c r="BW958" s="34"/>
      <c r="BX958" s="34"/>
      <c r="BY958" s="34"/>
    </row>
    <row r="959" spans="1:77" x14ac:dyDescent="0.3">
      <c r="A959" s="39"/>
      <c r="B959" s="42"/>
      <c r="C959" s="42"/>
      <c r="D959" s="75"/>
      <c r="E959" s="75"/>
      <c r="F959" s="76"/>
      <c r="G959" s="47"/>
      <c r="H959" s="47"/>
      <c r="I959" s="75"/>
      <c r="J959" s="76"/>
      <c r="K959" s="76"/>
      <c r="L959" s="75"/>
      <c r="M959" s="49"/>
      <c r="N959" s="76"/>
      <c r="O959" s="49"/>
      <c r="P959" s="77"/>
      <c r="Q959" s="53"/>
      <c r="R959" s="54"/>
      <c r="S959" s="55"/>
      <c r="T959" s="56"/>
      <c r="U959" s="56"/>
      <c r="V959" s="42"/>
      <c r="W959" s="57"/>
      <c r="X959" s="58"/>
      <c r="Y959" s="75"/>
      <c r="Z959" s="59"/>
      <c r="AA959" s="61"/>
      <c r="AB959" s="61"/>
      <c r="AC959" s="61"/>
      <c r="AD959" s="62"/>
      <c r="AE959" s="62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  <c r="AQ959" s="34"/>
      <c r="AR959" s="34"/>
      <c r="AS959" s="34"/>
      <c r="AT959" s="34"/>
      <c r="AU959" s="34"/>
      <c r="AV959" s="34"/>
      <c r="AW959" s="34"/>
      <c r="AX959" s="34"/>
      <c r="AY959" s="34"/>
      <c r="AZ959" s="34"/>
      <c r="BA959" s="34"/>
      <c r="BB959" s="34"/>
      <c r="BD959" s="34"/>
      <c r="BE959" s="34"/>
      <c r="BF959" s="34"/>
      <c r="BG959" s="34"/>
      <c r="BH959" s="34"/>
      <c r="BI959" s="34"/>
      <c r="BJ959" s="34"/>
      <c r="BK959" s="34"/>
      <c r="BL959" s="34"/>
      <c r="BM959" s="34"/>
      <c r="BN959" s="34"/>
      <c r="BO959" s="34"/>
      <c r="BP959" s="34"/>
      <c r="BQ959" s="34"/>
      <c r="BR959" s="34"/>
      <c r="BS959" s="34"/>
      <c r="BT959" s="34"/>
      <c r="BU959" s="34"/>
      <c r="BV959" s="34"/>
      <c r="BW959" s="34"/>
      <c r="BX959" s="34"/>
      <c r="BY959" s="34"/>
    </row>
    <row r="960" spans="1:77" x14ac:dyDescent="0.3">
      <c r="A960" s="39"/>
      <c r="B960" s="42"/>
      <c r="C960" s="42"/>
      <c r="D960" s="75"/>
      <c r="E960" s="75"/>
      <c r="F960" s="76"/>
      <c r="G960" s="47"/>
      <c r="H960" s="47"/>
      <c r="I960" s="75"/>
      <c r="J960" s="76"/>
      <c r="K960" s="76"/>
      <c r="L960" s="75"/>
      <c r="M960" s="49"/>
      <c r="N960" s="76"/>
      <c r="O960" s="49"/>
      <c r="P960" s="77"/>
      <c r="Q960" s="53"/>
      <c r="R960" s="54"/>
      <c r="S960" s="55"/>
      <c r="T960" s="56"/>
      <c r="U960" s="56"/>
      <c r="V960" s="42"/>
      <c r="W960" s="57"/>
      <c r="X960" s="58"/>
      <c r="Y960" s="75"/>
      <c r="Z960" s="59"/>
      <c r="AA960" s="61"/>
      <c r="AB960" s="61"/>
      <c r="AC960" s="61"/>
      <c r="AD960" s="62"/>
      <c r="AE960" s="62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  <c r="AQ960" s="34"/>
      <c r="AR960" s="34"/>
      <c r="AS960" s="34"/>
      <c r="AT960" s="34"/>
      <c r="AU960" s="34"/>
      <c r="AV960" s="34"/>
      <c r="AW960" s="34"/>
      <c r="AX960" s="34"/>
      <c r="AY960" s="34"/>
      <c r="AZ960" s="34"/>
      <c r="BA960" s="34"/>
      <c r="BB960" s="34"/>
      <c r="BD960" s="34"/>
      <c r="BE960" s="34"/>
      <c r="BF960" s="34"/>
      <c r="BG960" s="34"/>
      <c r="BH960" s="34"/>
      <c r="BI960" s="34"/>
      <c r="BJ960" s="34"/>
      <c r="BK960" s="34"/>
      <c r="BL960" s="34"/>
      <c r="BM960" s="34"/>
      <c r="BN960" s="34"/>
      <c r="BO960" s="34"/>
      <c r="BP960" s="34"/>
      <c r="BQ960" s="34"/>
      <c r="BR960" s="34"/>
      <c r="BS960" s="34"/>
      <c r="BT960" s="34"/>
      <c r="BU960" s="34"/>
      <c r="BV960" s="34"/>
      <c r="BW960" s="34"/>
      <c r="BX960" s="34"/>
      <c r="BY960" s="34"/>
    </row>
    <row r="961" spans="1:77" x14ac:dyDescent="0.3">
      <c r="A961" s="39"/>
      <c r="B961" s="42"/>
      <c r="C961" s="42"/>
      <c r="D961" s="75"/>
      <c r="E961" s="75"/>
      <c r="F961" s="76"/>
      <c r="G961" s="47"/>
      <c r="H961" s="47"/>
      <c r="I961" s="75"/>
      <c r="J961" s="76"/>
      <c r="K961" s="76"/>
      <c r="L961" s="75"/>
      <c r="M961" s="49"/>
      <c r="N961" s="76"/>
      <c r="O961" s="49"/>
      <c r="P961" s="77"/>
      <c r="Q961" s="53"/>
      <c r="R961" s="54"/>
      <c r="S961" s="55"/>
      <c r="T961" s="56"/>
      <c r="U961" s="56"/>
      <c r="V961" s="42"/>
      <c r="W961" s="57"/>
      <c r="X961" s="58"/>
      <c r="Y961" s="75"/>
      <c r="Z961" s="59"/>
      <c r="AA961" s="61"/>
      <c r="AB961" s="61"/>
      <c r="AC961" s="61"/>
      <c r="AD961" s="62"/>
      <c r="AE961" s="62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  <c r="AQ961" s="34"/>
      <c r="AR961" s="34"/>
      <c r="AS961" s="34"/>
      <c r="AT961" s="34"/>
      <c r="AU961" s="34"/>
      <c r="AV961" s="34"/>
      <c r="AW961" s="34"/>
      <c r="AX961" s="34"/>
      <c r="AY961" s="34"/>
      <c r="AZ961" s="34"/>
      <c r="BA961" s="34"/>
      <c r="BB961" s="34"/>
      <c r="BD961" s="34"/>
      <c r="BE961" s="34"/>
      <c r="BF961" s="34"/>
      <c r="BG961" s="34"/>
      <c r="BH961" s="34"/>
      <c r="BI961" s="34"/>
      <c r="BJ961" s="34"/>
      <c r="BK961" s="34"/>
      <c r="BL961" s="34"/>
      <c r="BM961" s="34"/>
      <c r="BN961" s="34"/>
      <c r="BO961" s="34"/>
      <c r="BP961" s="34"/>
      <c r="BQ961" s="34"/>
      <c r="BR961" s="34"/>
      <c r="BS961" s="34"/>
      <c r="BT961" s="34"/>
      <c r="BU961" s="34"/>
      <c r="BV961" s="34"/>
      <c r="BW961" s="34"/>
      <c r="BX961" s="34"/>
      <c r="BY961" s="34"/>
    </row>
    <row r="962" spans="1:77" x14ac:dyDescent="0.3">
      <c r="A962" s="39"/>
      <c r="B962" s="42"/>
      <c r="C962" s="42"/>
      <c r="D962" s="75"/>
      <c r="E962" s="75"/>
      <c r="F962" s="76"/>
      <c r="G962" s="47"/>
      <c r="H962" s="47"/>
      <c r="I962" s="75"/>
      <c r="J962" s="76"/>
      <c r="K962" s="76"/>
      <c r="L962" s="75"/>
      <c r="M962" s="49"/>
      <c r="N962" s="76"/>
      <c r="O962" s="49"/>
      <c r="P962" s="77"/>
      <c r="Q962" s="53"/>
      <c r="R962" s="54"/>
      <c r="S962" s="55"/>
      <c r="T962" s="56"/>
      <c r="U962" s="56"/>
      <c r="V962" s="42"/>
      <c r="W962" s="57"/>
      <c r="X962" s="58"/>
      <c r="Y962" s="75"/>
      <c r="Z962" s="59"/>
      <c r="AA962" s="61"/>
      <c r="AB962" s="61"/>
      <c r="AC962" s="61"/>
      <c r="AD962" s="62"/>
      <c r="AE962" s="62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  <c r="AQ962" s="34"/>
      <c r="AR962" s="34"/>
      <c r="AS962" s="34"/>
      <c r="AT962" s="34"/>
      <c r="AU962" s="34"/>
      <c r="AV962" s="34"/>
      <c r="AW962" s="34"/>
      <c r="AX962" s="34"/>
      <c r="AY962" s="34"/>
      <c r="AZ962" s="34"/>
      <c r="BA962" s="34"/>
      <c r="BB962" s="34"/>
      <c r="BD962" s="34"/>
      <c r="BE962" s="34"/>
      <c r="BF962" s="34"/>
      <c r="BG962" s="34"/>
      <c r="BH962" s="34"/>
      <c r="BI962" s="34"/>
      <c r="BJ962" s="34"/>
      <c r="BK962" s="34"/>
      <c r="BL962" s="34"/>
      <c r="BM962" s="34"/>
      <c r="BN962" s="34"/>
      <c r="BO962" s="34"/>
      <c r="BP962" s="34"/>
      <c r="BQ962" s="34"/>
      <c r="BR962" s="34"/>
      <c r="BS962" s="34"/>
      <c r="BT962" s="34"/>
      <c r="BU962" s="34"/>
      <c r="BV962" s="34"/>
      <c r="BW962" s="34"/>
      <c r="BX962" s="34"/>
      <c r="BY962" s="34"/>
    </row>
    <row r="963" spans="1:77" x14ac:dyDescent="0.3">
      <c r="A963" s="39"/>
      <c r="B963" s="42"/>
      <c r="C963" s="42"/>
      <c r="D963" s="75"/>
      <c r="E963" s="75"/>
      <c r="F963" s="76"/>
      <c r="G963" s="47"/>
      <c r="H963" s="47"/>
      <c r="I963" s="75"/>
      <c r="J963" s="76"/>
      <c r="K963" s="76"/>
      <c r="L963" s="75"/>
      <c r="M963" s="49"/>
      <c r="N963" s="76"/>
      <c r="O963" s="49"/>
      <c r="P963" s="77"/>
      <c r="Q963" s="53"/>
      <c r="R963" s="54"/>
      <c r="S963" s="55"/>
      <c r="T963" s="56"/>
      <c r="U963" s="56"/>
      <c r="V963" s="42"/>
      <c r="W963" s="57"/>
      <c r="X963" s="58"/>
      <c r="Y963" s="75"/>
      <c r="Z963" s="59"/>
      <c r="AA963" s="61"/>
      <c r="AB963" s="61"/>
      <c r="AC963" s="61"/>
      <c r="AD963" s="62"/>
      <c r="AE963" s="62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34"/>
      <c r="AR963" s="34"/>
      <c r="AS963" s="34"/>
      <c r="AT963" s="34"/>
      <c r="AU963" s="34"/>
      <c r="AV963" s="34"/>
      <c r="AW963" s="34"/>
      <c r="AX963" s="34"/>
      <c r="AY963" s="34"/>
      <c r="AZ963" s="34"/>
      <c r="BA963" s="34"/>
      <c r="BB963" s="34"/>
      <c r="BD963" s="34"/>
      <c r="BE963" s="34"/>
      <c r="BF963" s="34"/>
      <c r="BG963" s="34"/>
      <c r="BH963" s="34"/>
      <c r="BI963" s="34"/>
      <c r="BJ963" s="34"/>
      <c r="BK963" s="34"/>
      <c r="BL963" s="34"/>
      <c r="BM963" s="34"/>
      <c r="BN963" s="34"/>
      <c r="BO963" s="34"/>
      <c r="BP963" s="34"/>
      <c r="BQ963" s="34"/>
      <c r="BR963" s="34"/>
      <c r="BS963" s="34"/>
      <c r="BT963" s="34"/>
      <c r="BU963" s="34"/>
      <c r="BV963" s="34"/>
      <c r="BW963" s="34"/>
      <c r="BX963" s="34"/>
      <c r="BY963" s="34"/>
    </row>
    <row r="964" spans="1:77" x14ac:dyDescent="0.3">
      <c r="A964" s="39"/>
      <c r="B964" s="42"/>
      <c r="C964" s="42"/>
      <c r="D964" s="75"/>
      <c r="E964" s="75"/>
      <c r="F964" s="76"/>
      <c r="G964" s="47"/>
      <c r="H964" s="47"/>
      <c r="I964" s="75"/>
      <c r="J964" s="76"/>
      <c r="K964" s="76"/>
      <c r="L964" s="75"/>
      <c r="M964" s="49"/>
      <c r="N964" s="76"/>
      <c r="O964" s="49"/>
      <c r="P964" s="77"/>
      <c r="Q964" s="53"/>
      <c r="R964" s="54"/>
      <c r="S964" s="55"/>
      <c r="T964" s="56"/>
      <c r="U964" s="56"/>
      <c r="V964" s="42"/>
      <c r="W964" s="57"/>
      <c r="X964" s="58"/>
      <c r="Y964" s="75"/>
      <c r="Z964" s="59"/>
      <c r="AA964" s="61"/>
      <c r="AB964" s="61"/>
      <c r="AC964" s="61"/>
      <c r="AD964" s="62"/>
      <c r="AE964" s="62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34"/>
      <c r="AR964" s="34"/>
      <c r="AS964" s="34"/>
      <c r="AT964" s="34"/>
      <c r="AU964" s="34"/>
      <c r="AV964" s="34"/>
      <c r="AW964" s="34"/>
      <c r="AX964" s="34"/>
      <c r="AY964" s="34"/>
      <c r="AZ964" s="34"/>
      <c r="BA964" s="34"/>
      <c r="BB964" s="34"/>
      <c r="BD964" s="34"/>
      <c r="BE964" s="34"/>
      <c r="BF964" s="34"/>
      <c r="BG964" s="34"/>
      <c r="BH964" s="34"/>
      <c r="BI964" s="34"/>
      <c r="BJ964" s="34"/>
      <c r="BK964" s="34"/>
      <c r="BL964" s="34"/>
      <c r="BM964" s="34"/>
      <c r="BN964" s="34"/>
      <c r="BO964" s="34"/>
      <c r="BP964" s="34"/>
      <c r="BQ964" s="34"/>
      <c r="BR964" s="34"/>
      <c r="BS964" s="34"/>
      <c r="BT964" s="34"/>
      <c r="BU964" s="34"/>
      <c r="BV964" s="34"/>
      <c r="BW964" s="34"/>
      <c r="BX964" s="34"/>
      <c r="BY964" s="34"/>
    </row>
    <row r="965" spans="1:77" x14ac:dyDescent="0.3">
      <c r="A965" s="39"/>
      <c r="B965" s="42"/>
      <c r="C965" s="42"/>
      <c r="D965" s="75"/>
      <c r="E965" s="75"/>
      <c r="F965" s="76"/>
      <c r="G965" s="47"/>
      <c r="H965" s="47"/>
      <c r="I965" s="75"/>
      <c r="J965" s="76"/>
      <c r="K965" s="76"/>
      <c r="L965" s="75"/>
      <c r="M965" s="49"/>
      <c r="N965" s="76"/>
      <c r="O965" s="49"/>
      <c r="P965" s="77"/>
      <c r="Q965" s="53"/>
      <c r="R965" s="54"/>
      <c r="S965" s="55"/>
      <c r="T965" s="56"/>
      <c r="U965" s="56"/>
      <c r="V965" s="42"/>
      <c r="W965" s="57"/>
      <c r="X965" s="58"/>
      <c r="Y965" s="75"/>
      <c r="Z965" s="59"/>
      <c r="AA965" s="61"/>
      <c r="AB965" s="61"/>
      <c r="AC965" s="61"/>
      <c r="AD965" s="62"/>
      <c r="AE965" s="62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34"/>
      <c r="AR965" s="34"/>
      <c r="AS965" s="34"/>
      <c r="AT965" s="34"/>
      <c r="AU965" s="34"/>
      <c r="AV965" s="34"/>
      <c r="AW965" s="34"/>
      <c r="AX965" s="34"/>
      <c r="AY965" s="34"/>
      <c r="AZ965" s="34"/>
      <c r="BA965" s="34"/>
      <c r="BB965" s="34"/>
      <c r="BD965" s="34"/>
      <c r="BE965" s="34"/>
      <c r="BF965" s="34"/>
      <c r="BG965" s="34"/>
      <c r="BH965" s="34"/>
      <c r="BI965" s="34"/>
      <c r="BJ965" s="34"/>
      <c r="BK965" s="34"/>
      <c r="BL965" s="34"/>
      <c r="BM965" s="34"/>
      <c r="BN965" s="34"/>
      <c r="BO965" s="34"/>
      <c r="BP965" s="34"/>
      <c r="BQ965" s="34"/>
      <c r="BR965" s="34"/>
      <c r="BS965" s="34"/>
      <c r="BT965" s="34"/>
      <c r="BU965" s="34"/>
      <c r="BV965" s="34"/>
      <c r="BW965" s="34"/>
      <c r="BX965" s="34"/>
      <c r="BY965" s="34"/>
    </row>
    <row r="966" spans="1:77" x14ac:dyDescent="0.3">
      <c r="A966" s="39"/>
      <c r="B966" s="42"/>
      <c r="C966" s="42"/>
      <c r="D966" s="75"/>
      <c r="E966" s="75"/>
      <c r="F966" s="76"/>
      <c r="G966" s="47"/>
      <c r="H966" s="47"/>
      <c r="I966" s="75"/>
      <c r="J966" s="76"/>
      <c r="K966" s="76"/>
      <c r="L966" s="75"/>
      <c r="M966" s="49"/>
      <c r="N966" s="76"/>
      <c r="O966" s="49"/>
      <c r="P966" s="77"/>
      <c r="Q966" s="53"/>
      <c r="R966" s="54"/>
      <c r="S966" s="55"/>
      <c r="T966" s="56"/>
      <c r="U966" s="56"/>
      <c r="V966" s="42"/>
      <c r="W966" s="57"/>
      <c r="X966" s="58"/>
      <c r="Y966" s="75"/>
      <c r="Z966" s="59"/>
      <c r="AA966" s="61"/>
      <c r="AB966" s="61"/>
      <c r="AC966" s="61"/>
      <c r="AD966" s="62"/>
      <c r="AE966" s="62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34"/>
      <c r="AR966" s="34"/>
      <c r="AS966" s="34"/>
      <c r="AT966" s="34"/>
      <c r="AU966" s="34"/>
      <c r="AV966" s="34"/>
      <c r="AW966" s="34"/>
      <c r="AX966" s="34"/>
      <c r="AY966" s="34"/>
      <c r="AZ966" s="34"/>
      <c r="BA966" s="34"/>
      <c r="BB966" s="34"/>
      <c r="BD966" s="34"/>
      <c r="BE966" s="34"/>
      <c r="BF966" s="34"/>
      <c r="BG966" s="34"/>
      <c r="BH966" s="34"/>
      <c r="BI966" s="34"/>
      <c r="BJ966" s="34"/>
      <c r="BK966" s="34"/>
      <c r="BL966" s="34"/>
      <c r="BM966" s="34"/>
      <c r="BN966" s="34"/>
      <c r="BO966" s="34"/>
      <c r="BP966" s="34"/>
      <c r="BQ966" s="34"/>
      <c r="BR966" s="34"/>
      <c r="BS966" s="34"/>
      <c r="BT966" s="34"/>
      <c r="BU966" s="34"/>
      <c r="BV966" s="34"/>
      <c r="BW966" s="34"/>
      <c r="BX966" s="34"/>
      <c r="BY966" s="34"/>
    </row>
    <row r="967" spans="1:77" x14ac:dyDescent="0.3">
      <c r="A967" s="39"/>
      <c r="B967" s="42"/>
      <c r="C967" s="42"/>
      <c r="D967" s="75"/>
      <c r="E967" s="75"/>
      <c r="F967" s="76"/>
      <c r="G967" s="47"/>
      <c r="H967" s="47"/>
      <c r="I967" s="75"/>
      <c r="J967" s="76"/>
      <c r="K967" s="76"/>
      <c r="L967" s="75"/>
      <c r="M967" s="49"/>
      <c r="N967" s="76"/>
      <c r="O967" s="49"/>
      <c r="P967" s="77"/>
      <c r="Q967" s="53"/>
      <c r="R967" s="54"/>
      <c r="S967" s="55"/>
      <c r="T967" s="56"/>
      <c r="U967" s="56"/>
      <c r="V967" s="42"/>
      <c r="W967" s="57"/>
      <c r="X967" s="58"/>
      <c r="Y967" s="75"/>
      <c r="Z967" s="59"/>
      <c r="AA967" s="61"/>
      <c r="AB967" s="61"/>
      <c r="AC967" s="61"/>
      <c r="AD967" s="62"/>
      <c r="AE967" s="62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34"/>
      <c r="AR967" s="34"/>
      <c r="AS967" s="34"/>
      <c r="AT967" s="34"/>
      <c r="AU967" s="34"/>
      <c r="AV967" s="34"/>
      <c r="AW967" s="34"/>
      <c r="AX967" s="34"/>
      <c r="AY967" s="34"/>
      <c r="AZ967" s="34"/>
      <c r="BA967" s="34"/>
      <c r="BB967" s="34"/>
      <c r="BD967" s="34"/>
      <c r="BE967" s="34"/>
      <c r="BF967" s="34"/>
      <c r="BG967" s="34"/>
      <c r="BH967" s="34"/>
      <c r="BI967" s="34"/>
      <c r="BJ967" s="34"/>
      <c r="BK967" s="34"/>
      <c r="BL967" s="34"/>
      <c r="BM967" s="34"/>
      <c r="BN967" s="34"/>
      <c r="BO967" s="34"/>
      <c r="BP967" s="34"/>
      <c r="BQ967" s="34"/>
      <c r="BR967" s="34"/>
      <c r="BS967" s="34"/>
      <c r="BT967" s="34"/>
      <c r="BU967" s="34"/>
      <c r="BV967" s="34"/>
      <c r="BW967" s="34"/>
      <c r="BX967" s="34"/>
      <c r="BY967" s="34"/>
    </row>
    <row r="968" spans="1:77" x14ac:dyDescent="0.3">
      <c r="A968" s="39"/>
      <c r="B968" s="42"/>
      <c r="C968" s="42"/>
      <c r="D968" s="75"/>
      <c r="E968" s="75"/>
      <c r="F968" s="76"/>
      <c r="G968" s="47"/>
      <c r="H968" s="47"/>
      <c r="I968" s="75"/>
      <c r="J968" s="76"/>
      <c r="K968" s="76"/>
      <c r="L968" s="75"/>
      <c r="M968" s="49"/>
      <c r="N968" s="76"/>
      <c r="O968" s="49"/>
      <c r="P968" s="77"/>
      <c r="Q968" s="53"/>
      <c r="R968" s="54"/>
      <c r="S968" s="55"/>
      <c r="T968" s="56"/>
      <c r="U968" s="56"/>
      <c r="V968" s="42"/>
      <c r="W968" s="57"/>
      <c r="X968" s="58"/>
      <c r="Y968" s="75"/>
      <c r="Z968" s="59"/>
      <c r="AA968" s="61"/>
      <c r="AB968" s="61"/>
      <c r="AC968" s="61"/>
      <c r="AD968" s="62"/>
      <c r="AE968" s="62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  <c r="AQ968" s="34"/>
      <c r="AR968" s="34"/>
      <c r="AS968" s="34"/>
      <c r="AT968" s="34"/>
      <c r="AU968" s="34"/>
      <c r="AV968" s="34"/>
      <c r="AW968" s="34"/>
      <c r="AX968" s="34"/>
      <c r="AY968" s="34"/>
      <c r="AZ968" s="34"/>
      <c r="BA968" s="34"/>
      <c r="BB968" s="34"/>
      <c r="BD968" s="34"/>
      <c r="BE968" s="34"/>
      <c r="BF968" s="34"/>
      <c r="BG968" s="34"/>
      <c r="BH968" s="34"/>
      <c r="BI968" s="34"/>
      <c r="BJ968" s="34"/>
      <c r="BK968" s="34"/>
      <c r="BL968" s="34"/>
      <c r="BM968" s="34"/>
      <c r="BN968" s="34"/>
      <c r="BO968" s="34"/>
      <c r="BP968" s="34"/>
      <c r="BQ968" s="34"/>
      <c r="BR968" s="34"/>
      <c r="BS968" s="34"/>
      <c r="BT968" s="34"/>
      <c r="BU968" s="34"/>
      <c r="BV968" s="34"/>
      <c r="BW968" s="34"/>
      <c r="BX968" s="34"/>
      <c r="BY968" s="34"/>
    </row>
    <row r="969" spans="1:77" x14ac:dyDescent="0.3">
      <c r="A969" s="39"/>
      <c r="B969" s="42"/>
      <c r="C969" s="42"/>
      <c r="D969" s="75"/>
      <c r="E969" s="75"/>
      <c r="F969" s="76"/>
      <c r="G969" s="47"/>
      <c r="H969" s="47"/>
      <c r="I969" s="75"/>
      <c r="J969" s="76"/>
      <c r="K969" s="76"/>
      <c r="L969" s="75"/>
      <c r="M969" s="49"/>
      <c r="N969" s="76"/>
      <c r="O969" s="49"/>
      <c r="P969" s="77"/>
      <c r="Q969" s="53"/>
      <c r="R969" s="54"/>
      <c r="S969" s="55"/>
      <c r="T969" s="56"/>
      <c r="U969" s="56"/>
      <c r="V969" s="42"/>
      <c r="W969" s="57"/>
      <c r="X969" s="58"/>
      <c r="Y969" s="75"/>
      <c r="Z969" s="59"/>
      <c r="AA969" s="61"/>
      <c r="AB969" s="61"/>
      <c r="AC969" s="61"/>
      <c r="AD969" s="62"/>
      <c r="AE969" s="62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  <c r="AQ969" s="34"/>
      <c r="AR969" s="34"/>
      <c r="AS969" s="34"/>
      <c r="AT969" s="34"/>
      <c r="AU969" s="34"/>
      <c r="AV969" s="34"/>
      <c r="AW969" s="34"/>
      <c r="AX969" s="34"/>
      <c r="AY969" s="34"/>
      <c r="AZ969" s="34"/>
      <c r="BA969" s="34"/>
      <c r="BB969" s="34"/>
      <c r="BD969" s="34"/>
      <c r="BE969" s="34"/>
      <c r="BF969" s="34"/>
      <c r="BG969" s="34"/>
      <c r="BH969" s="34"/>
      <c r="BI969" s="34"/>
      <c r="BJ969" s="34"/>
      <c r="BK969" s="34"/>
      <c r="BL969" s="34"/>
      <c r="BM969" s="34"/>
      <c r="BN969" s="34"/>
      <c r="BO969" s="34"/>
      <c r="BP969" s="34"/>
      <c r="BQ969" s="34"/>
      <c r="BR969" s="34"/>
      <c r="BS969" s="34"/>
      <c r="BT969" s="34"/>
      <c r="BU969" s="34"/>
      <c r="BV969" s="34"/>
      <c r="BW969" s="34"/>
      <c r="BX969" s="34"/>
      <c r="BY969" s="34"/>
    </row>
    <row r="970" spans="1:77" x14ac:dyDescent="0.3">
      <c r="A970" s="39"/>
      <c r="B970" s="42"/>
      <c r="C970" s="42"/>
      <c r="D970" s="75"/>
      <c r="E970" s="75"/>
      <c r="F970" s="76"/>
      <c r="G970" s="47"/>
      <c r="H970" s="47"/>
      <c r="I970" s="75"/>
      <c r="J970" s="76"/>
      <c r="K970" s="76"/>
      <c r="L970" s="75"/>
      <c r="M970" s="49"/>
      <c r="N970" s="76"/>
      <c r="O970" s="49"/>
      <c r="P970" s="77"/>
      <c r="Q970" s="53"/>
      <c r="R970" s="54"/>
      <c r="S970" s="55"/>
      <c r="T970" s="56"/>
      <c r="U970" s="56"/>
      <c r="V970" s="42"/>
      <c r="W970" s="57"/>
      <c r="X970" s="58"/>
      <c r="Y970" s="75"/>
      <c r="Z970" s="59"/>
      <c r="AA970" s="61"/>
      <c r="AB970" s="61"/>
      <c r="AC970" s="61"/>
      <c r="AD970" s="62"/>
      <c r="AE970" s="62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34"/>
      <c r="AR970" s="34"/>
      <c r="AS970" s="34"/>
      <c r="AT970" s="34"/>
      <c r="AU970" s="34"/>
      <c r="AV970" s="34"/>
      <c r="AW970" s="34"/>
      <c r="AX970" s="34"/>
      <c r="AY970" s="34"/>
      <c r="AZ970" s="34"/>
      <c r="BA970" s="34"/>
      <c r="BB970" s="34"/>
      <c r="BD970" s="34"/>
      <c r="BE970" s="34"/>
      <c r="BF970" s="34"/>
      <c r="BG970" s="34"/>
      <c r="BH970" s="34"/>
      <c r="BI970" s="34"/>
      <c r="BJ970" s="34"/>
      <c r="BK970" s="34"/>
      <c r="BL970" s="34"/>
      <c r="BM970" s="34"/>
      <c r="BN970" s="34"/>
      <c r="BO970" s="34"/>
      <c r="BP970" s="34"/>
      <c r="BQ970" s="34"/>
      <c r="BR970" s="34"/>
      <c r="BS970" s="34"/>
      <c r="BT970" s="34"/>
      <c r="BU970" s="34"/>
      <c r="BV970" s="34"/>
      <c r="BW970" s="34"/>
      <c r="BX970" s="34"/>
      <c r="BY970" s="34"/>
    </row>
    <row r="971" spans="1:77" x14ac:dyDescent="0.3">
      <c r="A971" s="39"/>
      <c r="B971" s="42"/>
      <c r="C971" s="42"/>
      <c r="D971" s="75"/>
      <c r="E971" s="75"/>
      <c r="F971" s="76"/>
      <c r="G971" s="47"/>
      <c r="H971" s="47"/>
      <c r="I971" s="75"/>
      <c r="J971" s="76"/>
      <c r="K971" s="76"/>
      <c r="L971" s="75"/>
      <c r="M971" s="49"/>
      <c r="N971" s="76"/>
      <c r="O971" s="49"/>
      <c r="P971" s="77"/>
      <c r="Q971" s="53"/>
      <c r="R971" s="54"/>
      <c r="S971" s="55"/>
      <c r="T971" s="56"/>
      <c r="U971" s="56"/>
      <c r="V971" s="42"/>
      <c r="W971" s="57"/>
      <c r="X971" s="58"/>
      <c r="Y971" s="75"/>
      <c r="Z971" s="59"/>
      <c r="AA971" s="61"/>
      <c r="AB971" s="61"/>
      <c r="AC971" s="61"/>
      <c r="AD971" s="62"/>
      <c r="AE971" s="62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  <c r="AQ971" s="34"/>
      <c r="AR971" s="34"/>
      <c r="AS971" s="34"/>
      <c r="AT971" s="34"/>
      <c r="AU971" s="34"/>
      <c r="AV971" s="34"/>
      <c r="AW971" s="34"/>
      <c r="AX971" s="34"/>
      <c r="AY971" s="34"/>
      <c r="AZ971" s="34"/>
      <c r="BA971" s="34"/>
      <c r="BB971" s="34"/>
      <c r="BD971" s="34"/>
      <c r="BE971" s="34"/>
      <c r="BF971" s="34"/>
      <c r="BG971" s="34"/>
      <c r="BH971" s="34"/>
      <c r="BI971" s="34"/>
      <c r="BJ971" s="34"/>
      <c r="BK971" s="34"/>
      <c r="BL971" s="34"/>
      <c r="BM971" s="34"/>
      <c r="BN971" s="34"/>
      <c r="BO971" s="34"/>
      <c r="BP971" s="34"/>
      <c r="BQ971" s="34"/>
      <c r="BR971" s="34"/>
      <c r="BS971" s="34"/>
      <c r="BT971" s="34"/>
      <c r="BU971" s="34"/>
      <c r="BV971" s="34"/>
      <c r="BW971" s="34"/>
      <c r="BX971" s="34"/>
      <c r="BY971" s="34"/>
    </row>
    <row r="972" spans="1:77" x14ac:dyDescent="0.3">
      <c r="A972" s="39"/>
      <c r="B972" s="42"/>
      <c r="C972" s="42"/>
      <c r="D972" s="75"/>
      <c r="E972" s="75"/>
      <c r="F972" s="76"/>
      <c r="G972" s="47"/>
      <c r="H972" s="47"/>
      <c r="I972" s="75"/>
      <c r="J972" s="76"/>
      <c r="K972" s="76"/>
      <c r="L972" s="75"/>
      <c r="M972" s="49"/>
      <c r="N972" s="76"/>
      <c r="O972" s="49"/>
      <c r="P972" s="77"/>
      <c r="Q972" s="53"/>
      <c r="R972" s="54"/>
      <c r="S972" s="55"/>
      <c r="T972" s="56"/>
      <c r="U972" s="56"/>
      <c r="V972" s="42"/>
      <c r="W972" s="57"/>
      <c r="X972" s="58"/>
      <c r="Y972" s="75"/>
      <c r="Z972" s="59"/>
      <c r="AA972" s="61"/>
      <c r="AB972" s="61"/>
      <c r="AC972" s="61"/>
      <c r="AD972" s="62"/>
      <c r="AE972" s="62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  <c r="AQ972" s="34"/>
      <c r="AR972" s="34"/>
      <c r="AS972" s="34"/>
      <c r="AT972" s="34"/>
      <c r="AU972" s="34"/>
      <c r="AV972" s="34"/>
      <c r="AW972" s="34"/>
      <c r="AX972" s="34"/>
      <c r="AY972" s="34"/>
      <c r="AZ972" s="34"/>
      <c r="BA972" s="34"/>
      <c r="BB972" s="34"/>
      <c r="BD972" s="34"/>
      <c r="BE972" s="34"/>
      <c r="BF972" s="34"/>
      <c r="BG972" s="34"/>
      <c r="BH972" s="34"/>
      <c r="BI972" s="34"/>
      <c r="BJ972" s="34"/>
      <c r="BK972" s="34"/>
      <c r="BL972" s="34"/>
      <c r="BM972" s="34"/>
      <c r="BN972" s="34"/>
      <c r="BO972" s="34"/>
      <c r="BP972" s="34"/>
      <c r="BQ972" s="34"/>
      <c r="BR972" s="34"/>
      <c r="BS972" s="34"/>
      <c r="BT972" s="34"/>
      <c r="BU972" s="34"/>
      <c r="BV972" s="34"/>
      <c r="BW972" s="34"/>
      <c r="BX972" s="34"/>
      <c r="BY972" s="34"/>
    </row>
    <row r="973" spans="1:77" x14ac:dyDescent="0.3">
      <c r="A973" s="39"/>
      <c r="B973" s="42"/>
      <c r="C973" s="42"/>
      <c r="D973" s="75"/>
      <c r="E973" s="75"/>
      <c r="F973" s="76"/>
      <c r="G973" s="47"/>
      <c r="H973" s="47"/>
      <c r="I973" s="75"/>
      <c r="J973" s="76"/>
      <c r="K973" s="76"/>
      <c r="L973" s="75"/>
      <c r="M973" s="49"/>
      <c r="N973" s="76"/>
      <c r="O973" s="49"/>
      <c r="P973" s="77"/>
      <c r="Q973" s="53"/>
      <c r="R973" s="54"/>
      <c r="S973" s="55"/>
      <c r="T973" s="56"/>
      <c r="U973" s="56"/>
      <c r="V973" s="42"/>
      <c r="W973" s="57"/>
      <c r="X973" s="58"/>
      <c r="Y973" s="75"/>
      <c r="Z973" s="59"/>
      <c r="AA973" s="61"/>
      <c r="AB973" s="61"/>
      <c r="AC973" s="61"/>
      <c r="AD973" s="62"/>
      <c r="AE973" s="62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  <c r="AQ973" s="34"/>
      <c r="AR973" s="34"/>
      <c r="AS973" s="34"/>
      <c r="AT973" s="34"/>
      <c r="AU973" s="34"/>
      <c r="AV973" s="34"/>
      <c r="AW973" s="34"/>
      <c r="AX973" s="34"/>
      <c r="AY973" s="34"/>
      <c r="AZ973" s="34"/>
      <c r="BA973" s="34"/>
      <c r="BB973" s="34"/>
      <c r="BD973" s="34"/>
      <c r="BE973" s="34"/>
      <c r="BF973" s="34"/>
      <c r="BG973" s="34"/>
      <c r="BH973" s="34"/>
      <c r="BI973" s="34"/>
      <c r="BJ973" s="34"/>
      <c r="BK973" s="34"/>
      <c r="BL973" s="34"/>
      <c r="BM973" s="34"/>
      <c r="BN973" s="34"/>
      <c r="BO973" s="34"/>
      <c r="BP973" s="34"/>
      <c r="BQ973" s="34"/>
      <c r="BR973" s="34"/>
      <c r="BS973" s="34"/>
      <c r="BT973" s="34"/>
      <c r="BU973" s="34"/>
      <c r="BV973" s="34"/>
      <c r="BW973" s="34"/>
      <c r="BX973" s="34"/>
      <c r="BY973" s="34"/>
    </row>
    <row r="974" spans="1:77" x14ac:dyDescent="0.3">
      <c r="A974" s="39"/>
      <c r="B974" s="42"/>
      <c r="C974" s="42"/>
      <c r="D974" s="75"/>
      <c r="E974" s="75"/>
      <c r="F974" s="76"/>
      <c r="G974" s="47"/>
      <c r="H974" s="47"/>
      <c r="I974" s="75"/>
      <c r="J974" s="76"/>
      <c r="K974" s="76"/>
      <c r="L974" s="75"/>
      <c r="M974" s="49"/>
      <c r="N974" s="76"/>
      <c r="O974" s="49"/>
      <c r="P974" s="77"/>
      <c r="Q974" s="53"/>
      <c r="R974" s="54"/>
      <c r="S974" s="55"/>
      <c r="T974" s="56"/>
      <c r="U974" s="56"/>
      <c r="V974" s="42"/>
      <c r="W974" s="57"/>
      <c r="X974" s="58"/>
      <c r="Y974" s="75"/>
      <c r="Z974" s="59"/>
      <c r="AA974" s="61"/>
      <c r="AB974" s="61"/>
      <c r="AC974" s="61"/>
      <c r="AD974" s="62"/>
      <c r="AE974" s="62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  <c r="AQ974" s="34"/>
      <c r="AR974" s="34"/>
      <c r="AS974" s="34"/>
      <c r="AT974" s="34"/>
      <c r="AU974" s="34"/>
      <c r="AV974" s="34"/>
      <c r="AW974" s="34"/>
      <c r="AX974" s="34"/>
      <c r="AY974" s="34"/>
      <c r="AZ974" s="34"/>
      <c r="BA974" s="34"/>
      <c r="BB974" s="34"/>
      <c r="BD974" s="34"/>
      <c r="BE974" s="34"/>
      <c r="BF974" s="34"/>
      <c r="BG974" s="34"/>
      <c r="BH974" s="34"/>
      <c r="BI974" s="34"/>
      <c r="BJ974" s="34"/>
      <c r="BK974" s="34"/>
      <c r="BL974" s="34"/>
      <c r="BM974" s="34"/>
      <c r="BN974" s="34"/>
      <c r="BO974" s="34"/>
      <c r="BP974" s="34"/>
      <c r="BQ974" s="34"/>
      <c r="BR974" s="34"/>
      <c r="BS974" s="34"/>
      <c r="BT974" s="34"/>
      <c r="BU974" s="34"/>
      <c r="BV974" s="34"/>
      <c r="BW974" s="34"/>
      <c r="BX974" s="34"/>
      <c r="BY974" s="34"/>
    </row>
    <row r="975" spans="1:77" x14ac:dyDescent="0.3">
      <c r="A975" s="39"/>
      <c r="B975" s="42"/>
      <c r="C975" s="42"/>
      <c r="D975" s="75"/>
      <c r="E975" s="75"/>
      <c r="F975" s="76"/>
      <c r="G975" s="47"/>
      <c r="H975" s="47"/>
      <c r="I975" s="75"/>
      <c r="J975" s="76"/>
      <c r="K975" s="76"/>
      <c r="L975" s="75"/>
      <c r="M975" s="49"/>
      <c r="N975" s="76"/>
      <c r="O975" s="49"/>
      <c r="P975" s="77"/>
      <c r="Q975" s="53"/>
      <c r="R975" s="54"/>
      <c r="S975" s="55"/>
      <c r="T975" s="56"/>
      <c r="U975" s="56"/>
      <c r="V975" s="42"/>
      <c r="W975" s="57"/>
      <c r="X975" s="58"/>
      <c r="Y975" s="75"/>
      <c r="Z975" s="59"/>
      <c r="AA975" s="61"/>
      <c r="AB975" s="61"/>
      <c r="AC975" s="61"/>
      <c r="AD975" s="62"/>
      <c r="AE975" s="62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  <c r="AQ975" s="34"/>
      <c r="AR975" s="34"/>
      <c r="AS975" s="34"/>
      <c r="AT975" s="34"/>
      <c r="AU975" s="34"/>
      <c r="AV975" s="34"/>
      <c r="AW975" s="34"/>
      <c r="AX975" s="34"/>
      <c r="AY975" s="34"/>
      <c r="AZ975" s="34"/>
      <c r="BA975" s="34"/>
      <c r="BB975" s="34"/>
      <c r="BD975" s="34"/>
      <c r="BE975" s="34"/>
      <c r="BF975" s="34"/>
      <c r="BG975" s="34"/>
      <c r="BH975" s="34"/>
      <c r="BI975" s="34"/>
      <c r="BJ975" s="34"/>
      <c r="BK975" s="34"/>
      <c r="BL975" s="34"/>
      <c r="BM975" s="34"/>
      <c r="BN975" s="34"/>
      <c r="BO975" s="34"/>
      <c r="BP975" s="34"/>
      <c r="BQ975" s="34"/>
      <c r="BR975" s="34"/>
      <c r="BS975" s="34"/>
      <c r="BT975" s="34"/>
      <c r="BU975" s="34"/>
      <c r="BV975" s="34"/>
      <c r="BW975" s="34"/>
      <c r="BX975" s="34"/>
      <c r="BY975" s="34"/>
    </row>
    <row r="976" spans="1:77" x14ac:dyDescent="0.3">
      <c r="A976" s="39"/>
      <c r="B976" s="42"/>
      <c r="C976" s="42"/>
      <c r="D976" s="75"/>
      <c r="E976" s="75"/>
      <c r="F976" s="76"/>
      <c r="G976" s="47"/>
      <c r="H976" s="47"/>
      <c r="I976" s="75"/>
      <c r="J976" s="76"/>
      <c r="K976" s="76"/>
      <c r="L976" s="75"/>
      <c r="M976" s="49"/>
      <c r="N976" s="76"/>
      <c r="O976" s="49"/>
      <c r="P976" s="77"/>
      <c r="Q976" s="53"/>
      <c r="R976" s="54"/>
      <c r="S976" s="55"/>
      <c r="T976" s="56"/>
      <c r="U976" s="56"/>
      <c r="V976" s="42"/>
      <c r="W976" s="57"/>
      <c r="X976" s="58"/>
      <c r="Y976" s="75"/>
      <c r="Z976" s="59"/>
      <c r="AA976" s="61"/>
      <c r="AB976" s="61"/>
      <c r="AC976" s="61"/>
      <c r="AD976" s="62"/>
      <c r="AE976" s="62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  <c r="AQ976" s="34"/>
      <c r="AR976" s="34"/>
      <c r="AS976" s="34"/>
      <c r="AT976" s="34"/>
      <c r="AU976" s="34"/>
      <c r="AV976" s="34"/>
      <c r="AW976" s="34"/>
      <c r="AX976" s="34"/>
      <c r="AY976" s="34"/>
      <c r="AZ976" s="34"/>
      <c r="BA976" s="34"/>
      <c r="BB976" s="34"/>
      <c r="BD976" s="34"/>
      <c r="BE976" s="34"/>
      <c r="BF976" s="34"/>
      <c r="BG976" s="34"/>
      <c r="BH976" s="34"/>
      <c r="BI976" s="34"/>
      <c r="BJ976" s="34"/>
      <c r="BK976" s="34"/>
      <c r="BL976" s="34"/>
      <c r="BM976" s="34"/>
      <c r="BN976" s="34"/>
      <c r="BO976" s="34"/>
      <c r="BP976" s="34"/>
      <c r="BQ976" s="34"/>
      <c r="BR976" s="34"/>
      <c r="BS976" s="34"/>
      <c r="BT976" s="34"/>
      <c r="BU976" s="34"/>
      <c r="BV976" s="34"/>
      <c r="BW976" s="34"/>
      <c r="BX976" s="34"/>
      <c r="BY976" s="34"/>
    </row>
    <row r="977" spans="1:77" x14ac:dyDescent="0.3">
      <c r="A977" s="39"/>
      <c r="B977" s="42"/>
      <c r="C977" s="42"/>
      <c r="D977" s="75"/>
      <c r="E977" s="75"/>
      <c r="F977" s="76"/>
      <c r="G977" s="47"/>
      <c r="H977" s="47"/>
      <c r="I977" s="75"/>
      <c r="J977" s="76"/>
      <c r="K977" s="76"/>
      <c r="L977" s="75"/>
      <c r="M977" s="49"/>
      <c r="N977" s="76"/>
      <c r="O977" s="49"/>
      <c r="P977" s="77"/>
      <c r="Q977" s="53"/>
      <c r="R977" s="54"/>
      <c r="S977" s="55"/>
      <c r="T977" s="56"/>
      <c r="U977" s="56"/>
      <c r="V977" s="42"/>
      <c r="W977" s="57"/>
      <c r="X977" s="58"/>
      <c r="Y977" s="75"/>
      <c r="Z977" s="59"/>
      <c r="AA977" s="61"/>
      <c r="AB977" s="61"/>
      <c r="AC977" s="61"/>
      <c r="AD977" s="62"/>
      <c r="AE977" s="62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  <c r="AQ977" s="34"/>
      <c r="AR977" s="34"/>
      <c r="AS977" s="34"/>
      <c r="AT977" s="34"/>
      <c r="AU977" s="34"/>
      <c r="AV977" s="34"/>
      <c r="AW977" s="34"/>
      <c r="AX977" s="34"/>
      <c r="AY977" s="34"/>
      <c r="AZ977" s="34"/>
      <c r="BA977" s="34"/>
      <c r="BB977" s="34"/>
      <c r="BD977" s="34"/>
      <c r="BE977" s="34"/>
      <c r="BF977" s="34"/>
      <c r="BG977" s="34"/>
      <c r="BH977" s="34"/>
      <c r="BI977" s="34"/>
      <c r="BJ977" s="34"/>
      <c r="BK977" s="34"/>
      <c r="BL977" s="34"/>
      <c r="BM977" s="34"/>
      <c r="BN977" s="34"/>
      <c r="BO977" s="34"/>
      <c r="BP977" s="34"/>
      <c r="BQ977" s="34"/>
      <c r="BR977" s="34"/>
      <c r="BS977" s="34"/>
      <c r="BT977" s="34"/>
      <c r="BU977" s="34"/>
      <c r="BV977" s="34"/>
      <c r="BW977" s="34"/>
      <c r="BX977" s="34"/>
      <c r="BY977" s="34"/>
    </row>
    <row r="978" spans="1:77" x14ac:dyDescent="0.3">
      <c r="A978" s="39"/>
      <c r="B978" s="42"/>
      <c r="C978" s="42"/>
      <c r="D978" s="75"/>
      <c r="E978" s="75"/>
      <c r="F978" s="76"/>
      <c r="G978" s="47"/>
      <c r="H978" s="47"/>
      <c r="I978" s="75"/>
      <c r="J978" s="76"/>
      <c r="K978" s="76"/>
      <c r="L978" s="75"/>
      <c r="M978" s="49"/>
      <c r="N978" s="76"/>
      <c r="O978" s="49"/>
      <c r="P978" s="77"/>
      <c r="Q978" s="53"/>
      <c r="R978" s="54"/>
      <c r="S978" s="55"/>
      <c r="T978" s="56"/>
      <c r="U978" s="56"/>
      <c r="V978" s="42"/>
      <c r="W978" s="57"/>
      <c r="X978" s="58"/>
      <c r="Y978" s="75"/>
      <c r="Z978" s="59"/>
      <c r="AA978" s="61"/>
      <c r="AB978" s="61"/>
      <c r="AC978" s="61"/>
      <c r="AD978" s="62"/>
      <c r="AE978" s="62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  <c r="AQ978" s="34"/>
      <c r="AR978" s="34"/>
      <c r="AS978" s="34"/>
      <c r="AT978" s="34"/>
      <c r="AU978" s="34"/>
      <c r="AV978" s="34"/>
      <c r="AW978" s="34"/>
      <c r="AX978" s="34"/>
      <c r="AY978" s="34"/>
      <c r="AZ978" s="34"/>
      <c r="BA978" s="34"/>
      <c r="BB978" s="34"/>
      <c r="BD978" s="34"/>
      <c r="BE978" s="34"/>
      <c r="BF978" s="34"/>
      <c r="BG978" s="34"/>
      <c r="BH978" s="34"/>
      <c r="BI978" s="34"/>
      <c r="BJ978" s="34"/>
      <c r="BK978" s="34"/>
      <c r="BL978" s="34"/>
      <c r="BM978" s="34"/>
      <c r="BN978" s="34"/>
      <c r="BO978" s="34"/>
      <c r="BP978" s="34"/>
      <c r="BQ978" s="34"/>
      <c r="BR978" s="34"/>
      <c r="BS978" s="34"/>
      <c r="BT978" s="34"/>
      <c r="BU978" s="34"/>
      <c r="BV978" s="34"/>
      <c r="BW978" s="34"/>
      <c r="BX978" s="34"/>
      <c r="BY978" s="34"/>
    </row>
    <row r="979" spans="1:77" x14ac:dyDescent="0.3">
      <c r="A979" s="39"/>
      <c r="B979" s="42"/>
      <c r="C979" s="42"/>
      <c r="D979" s="75"/>
      <c r="E979" s="75"/>
      <c r="F979" s="76"/>
      <c r="G979" s="47"/>
      <c r="H979" s="47"/>
      <c r="I979" s="75"/>
      <c r="J979" s="76"/>
      <c r="K979" s="76"/>
      <c r="L979" s="75"/>
      <c r="M979" s="49"/>
      <c r="N979" s="76"/>
      <c r="O979" s="49"/>
      <c r="P979" s="77"/>
      <c r="Q979" s="53"/>
      <c r="R979" s="54"/>
      <c r="S979" s="55"/>
      <c r="T979" s="56"/>
      <c r="U979" s="56"/>
      <c r="V979" s="42"/>
      <c r="W979" s="57"/>
      <c r="X979" s="58"/>
      <c r="Y979" s="75"/>
      <c r="Z979" s="59"/>
      <c r="AA979" s="61"/>
      <c r="AB979" s="61"/>
      <c r="AC979" s="61"/>
      <c r="AD979" s="62"/>
      <c r="AE979" s="62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  <c r="AQ979" s="34"/>
      <c r="AR979" s="34"/>
      <c r="AS979" s="34"/>
      <c r="AT979" s="34"/>
      <c r="AU979" s="34"/>
      <c r="AV979" s="34"/>
      <c r="AW979" s="34"/>
      <c r="AX979" s="34"/>
      <c r="AY979" s="34"/>
      <c r="AZ979" s="34"/>
      <c r="BA979" s="34"/>
      <c r="BB979" s="34"/>
      <c r="BD979" s="34"/>
      <c r="BE979" s="34"/>
      <c r="BF979" s="34"/>
      <c r="BG979" s="34"/>
      <c r="BH979" s="34"/>
      <c r="BI979" s="34"/>
      <c r="BJ979" s="34"/>
      <c r="BK979" s="34"/>
      <c r="BL979" s="34"/>
      <c r="BM979" s="34"/>
      <c r="BN979" s="34"/>
      <c r="BO979" s="34"/>
      <c r="BP979" s="34"/>
      <c r="BQ979" s="34"/>
      <c r="BR979" s="34"/>
      <c r="BS979" s="34"/>
      <c r="BT979" s="34"/>
      <c r="BU979" s="34"/>
      <c r="BV979" s="34"/>
      <c r="BW979" s="34"/>
      <c r="BX979" s="34"/>
      <c r="BY979" s="34"/>
    </row>
    <row r="980" spans="1:77" x14ac:dyDescent="0.3">
      <c r="A980" s="39"/>
      <c r="B980" s="42"/>
      <c r="C980" s="42"/>
      <c r="D980" s="75"/>
      <c r="E980" s="75"/>
      <c r="F980" s="76"/>
      <c r="G980" s="47"/>
      <c r="H980" s="47"/>
      <c r="I980" s="75"/>
      <c r="J980" s="76"/>
      <c r="K980" s="76"/>
      <c r="L980" s="75"/>
      <c r="M980" s="49"/>
      <c r="N980" s="76"/>
      <c r="O980" s="49"/>
      <c r="P980" s="77"/>
      <c r="Q980" s="53"/>
      <c r="R980" s="54"/>
      <c r="S980" s="55"/>
      <c r="T980" s="56"/>
      <c r="U980" s="56"/>
      <c r="V980" s="42"/>
      <c r="W980" s="57"/>
      <c r="X980" s="58"/>
      <c r="Y980" s="75"/>
      <c r="Z980" s="59"/>
      <c r="AA980" s="61"/>
      <c r="AB980" s="61"/>
      <c r="AC980" s="61"/>
      <c r="AD980" s="62"/>
      <c r="AE980" s="62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  <c r="AQ980" s="34"/>
      <c r="AR980" s="34"/>
      <c r="AS980" s="34"/>
      <c r="AT980" s="34"/>
      <c r="AU980" s="34"/>
      <c r="AV980" s="34"/>
      <c r="AW980" s="34"/>
      <c r="AX980" s="34"/>
      <c r="AY980" s="34"/>
      <c r="AZ980" s="34"/>
      <c r="BA980" s="34"/>
      <c r="BB980" s="34"/>
      <c r="BD980" s="34"/>
      <c r="BE980" s="34"/>
      <c r="BF980" s="34"/>
      <c r="BG980" s="34"/>
      <c r="BH980" s="34"/>
      <c r="BI980" s="34"/>
      <c r="BJ980" s="34"/>
      <c r="BK980" s="34"/>
      <c r="BL980" s="34"/>
      <c r="BM980" s="34"/>
      <c r="BN980" s="34"/>
      <c r="BO980" s="34"/>
      <c r="BP980" s="34"/>
      <c r="BQ980" s="34"/>
      <c r="BR980" s="34"/>
      <c r="BS980" s="34"/>
      <c r="BT980" s="34"/>
      <c r="BU980" s="34"/>
      <c r="BV980" s="34"/>
      <c r="BW980" s="34"/>
      <c r="BX980" s="34"/>
      <c r="BY980" s="34"/>
    </row>
    <row r="981" spans="1:77" x14ac:dyDescent="0.3">
      <c r="A981" s="39"/>
      <c r="B981" s="42"/>
      <c r="C981" s="42"/>
      <c r="D981" s="75"/>
      <c r="E981" s="75"/>
      <c r="F981" s="76"/>
      <c r="G981" s="47"/>
      <c r="H981" s="47"/>
      <c r="I981" s="75"/>
      <c r="J981" s="76"/>
      <c r="K981" s="76"/>
      <c r="L981" s="75"/>
      <c r="M981" s="49"/>
      <c r="N981" s="76"/>
      <c r="O981" s="49"/>
      <c r="P981" s="77"/>
      <c r="Q981" s="53"/>
      <c r="R981" s="54"/>
      <c r="S981" s="55"/>
      <c r="T981" s="56"/>
      <c r="U981" s="56"/>
      <c r="V981" s="42"/>
      <c r="W981" s="57"/>
      <c r="X981" s="58"/>
      <c r="Y981" s="75"/>
      <c r="Z981" s="59"/>
      <c r="AA981" s="61"/>
      <c r="AB981" s="61"/>
      <c r="AC981" s="61"/>
      <c r="AD981" s="62"/>
      <c r="AE981" s="62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  <c r="AQ981" s="34"/>
      <c r="AR981" s="34"/>
      <c r="AS981" s="34"/>
      <c r="AT981" s="34"/>
      <c r="AU981" s="34"/>
      <c r="AV981" s="34"/>
      <c r="AW981" s="34"/>
      <c r="AX981" s="34"/>
      <c r="AY981" s="34"/>
      <c r="AZ981" s="34"/>
      <c r="BA981" s="34"/>
      <c r="BB981" s="34"/>
      <c r="BD981" s="34"/>
      <c r="BE981" s="34"/>
      <c r="BF981" s="34"/>
      <c r="BG981" s="34"/>
      <c r="BH981" s="34"/>
      <c r="BI981" s="34"/>
      <c r="BJ981" s="34"/>
      <c r="BK981" s="34"/>
      <c r="BL981" s="34"/>
      <c r="BM981" s="34"/>
      <c r="BN981" s="34"/>
      <c r="BO981" s="34"/>
      <c r="BP981" s="34"/>
      <c r="BQ981" s="34"/>
      <c r="BR981" s="34"/>
      <c r="BS981" s="34"/>
      <c r="BT981" s="34"/>
      <c r="BU981" s="34"/>
      <c r="BV981" s="34"/>
      <c r="BW981" s="34"/>
      <c r="BX981" s="34"/>
      <c r="BY981" s="34"/>
    </row>
    <row r="982" spans="1:77" x14ac:dyDescent="0.3">
      <c r="A982" s="39"/>
      <c r="B982" s="42"/>
      <c r="C982" s="42"/>
      <c r="D982" s="75"/>
      <c r="E982" s="75"/>
      <c r="F982" s="76"/>
      <c r="G982" s="47"/>
      <c r="H982" s="47"/>
      <c r="I982" s="75"/>
      <c r="J982" s="76"/>
      <c r="K982" s="76"/>
      <c r="L982" s="75"/>
      <c r="M982" s="49"/>
      <c r="N982" s="76"/>
      <c r="O982" s="49"/>
      <c r="P982" s="77"/>
      <c r="Q982" s="53"/>
      <c r="R982" s="54"/>
      <c r="S982" s="55"/>
      <c r="T982" s="56"/>
      <c r="U982" s="56"/>
      <c r="V982" s="42"/>
      <c r="W982" s="57"/>
      <c r="X982" s="58"/>
      <c r="Y982" s="75"/>
      <c r="Z982" s="59"/>
      <c r="AA982" s="61"/>
      <c r="AB982" s="61"/>
      <c r="AC982" s="61"/>
      <c r="AD982" s="62"/>
      <c r="AE982" s="62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  <c r="AQ982" s="34"/>
      <c r="AR982" s="34"/>
      <c r="AS982" s="34"/>
      <c r="AT982" s="34"/>
      <c r="AU982" s="34"/>
      <c r="AV982" s="34"/>
      <c r="AW982" s="34"/>
      <c r="AX982" s="34"/>
      <c r="AY982" s="34"/>
      <c r="AZ982" s="34"/>
      <c r="BA982" s="34"/>
      <c r="BB982" s="34"/>
      <c r="BD982" s="34"/>
      <c r="BE982" s="34"/>
      <c r="BF982" s="34"/>
      <c r="BG982" s="34"/>
      <c r="BH982" s="34"/>
      <c r="BI982" s="34"/>
      <c r="BJ982" s="34"/>
      <c r="BK982" s="34"/>
      <c r="BL982" s="34"/>
      <c r="BM982" s="34"/>
      <c r="BN982" s="34"/>
      <c r="BO982" s="34"/>
      <c r="BP982" s="34"/>
      <c r="BQ982" s="34"/>
      <c r="BR982" s="34"/>
      <c r="BS982" s="34"/>
      <c r="BT982" s="34"/>
      <c r="BU982" s="34"/>
      <c r="BV982" s="34"/>
      <c r="BW982" s="34"/>
      <c r="BX982" s="34"/>
      <c r="BY982" s="34"/>
    </row>
    <row r="983" spans="1:77" x14ac:dyDescent="0.3">
      <c r="A983" s="39"/>
      <c r="B983" s="42"/>
      <c r="C983" s="42"/>
      <c r="D983" s="75"/>
      <c r="E983" s="75"/>
      <c r="F983" s="76"/>
      <c r="G983" s="47"/>
      <c r="H983" s="47"/>
      <c r="I983" s="75"/>
      <c r="J983" s="76"/>
      <c r="K983" s="76"/>
      <c r="L983" s="75"/>
      <c r="M983" s="49"/>
      <c r="N983" s="76"/>
      <c r="O983" s="49"/>
      <c r="P983" s="77"/>
      <c r="Q983" s="53"/>
      <c r="R983" s="54"/>
      <c r="S983" s="55"/>
      <c r="T983" s="56"/>
      <c r="U983" s="56"/>
      <c r="V983" s="42"/>
      <c r="W983" s="57"/>
      <c r="X983" s="58"/>
      <c r="Y983" s="75"/>
      <c r="Z983" s="59"/>
      <c r="AA983" s="61"/>
      <c r="AB983" s="61"/>
      <c r="AC983" s="61"/>
      <c r="AD983" s="62"/>
      <c r="AE983" s="62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/>
      <c r="BB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/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</row>
    <row r="984" spans="1:77" x14ac:dyDescent="0.3">
      <c r="A984" s="39"/>
      <c r="B984" s="42"/>
      <c r="C984" s="42"/>
      <c r="D984" s="75"/>
      <c r="E984" s="75"/>
      <c r="F984" s="76"/>
      <c r="G984" s="47"/>
      <c r="H984" s="47"/>
      <c r="I984" s="75"/>
      <c r="J984" s="76"/>
      <c r="K984" s="76"/>
      <c r="L984" s="75"/>
      <c r="M984" s="49"/>
      <c r="N984" s="76"/>
      <c r="O984" s="49"/>
      <c r="P984" s="77"/>
      <c r="Q984" s="53"/>
      <c r="R984" s="54"/>
      <c r="S984" s="55"/>
      <c r="T984" s="56"/>
      <c r="U984" s="56"/>
      <c r="V984" s="42"/>
      <c r="W984" s="57"/>
      <c r="X984" s="58"/>
      <c r="Y984" s="75"/>
      <c r="Z984" s="59"/>
      <c r="AA984" s="61"/>
      <c r="AB984" s="61"/>
      <c r="AC984" s="61"/>
      <c r="AD984" s="62"/>
      <c r="AE984" s="62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  <c r="AZ984" s="34"/>
      <c r="BA984" s="34"/>
      <c r="BB984" s="34"/>
      <c r="BD984" s="34"/>
      <c r="BE984" s="34"/>
      <c r="BF984" s="34"/>
      <c r="BG984" s="34"/>
      <c r="BH984" s="34"/>
      <c r="BI984" s="34"/>
      <c r="BJ984" s="34"/>
      <c r="BK984" s="34"/>
      <c r="BL984" s="34"/>
      <c r="BM984" s="34"/>
      <c r="BN984" s="34"/>
      <c r="BO984" s="34"/>
      <c r="BP984" s="34"/>
      <c r="BQ984" s="34"/>
      <c r="BR984" s="34"/>
      <c r="BS984" s="34"/>
      <c r="BT984" s="34"/>
      <c r="BU984" s="34"/>
      <c r="BV984" s="34"/>
      <c r="BW984" s="34"/>
      <c r="BX984" s="34"/>
      <c r="BY984" s="34"/>
    </row>
    <row r="985" spans="1:77" x14ac:dyDescent="0.3">
      <c r="A985" s="39"/>
      <c r="B985" s="42"/>
      <c r="C985" s="42"/>
      <c r="D985" s="75"/>
      <c r="E985" s="75"/>
      <c r="F985" s="76"/>
      <c r="G985" s="47"/>
      <c r="H985" s="47"/>
      <c r="I985" s="75"/>
      <c r="J985" s="76"/>
      <c r="K985" s="76"/>
      <c r="L985" s="75"/>
      <c r="M985" s="49"/>
      <c r="N985" s="76"/>
      <c r="O985" s="49"/>
      <c r="P985" s="77"/>
      <c r="Q985" s="53"/>
      <c r="R985" s="54"/>
      <c r="S985" s="55"/>
      <c r="T985" s="56"/>
      <c r="U985" s="56"/>
      <c r="V985" s="42"/>
      <c r="W985" s="57"/>
      <c r="X985" s="58"/>
      <c r="Y985" s="75"/>
      <c r="Z985" s="59"/>
      <c r="AA985" s="61"/>
      <c r="AB985" s="61"/>
      <c r="AC985" s="61"/>
      <c r="AD985" s="62"/>
      <c r="AE985" s="62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  <c r="AQ985" s="34"/>
      <c r="AR985" s="34"/>
      <c r="AS985" s="34"/>
      <c r="AT985" s="34"/>
      <c r="AU985" s="34"/>
      <c r="AV985" s="34"/>
      <c r="AW985" s="34"/>
      <c r="AX985" s="34"/>
      <c r="AY985" s="34"/>
      <c r="AZ985" s="34"/>
      <c r="BA985" s="34"/>
      <c r="BB985" s="34"/>
      <c r="BD985" s="34"/>
      <c r="BE985" s="34"/>
      <c r="BF985" s="34"/>
      <c r="BG985" s="34"/>
      <c r="BH985" s="34"/>
      <c r="BI985" s="34"/>
      <c r="BJ985" s="34"/>
      <c r="BK985" s="34"/>
      <c r="BL985" s="34"/>
      <c r="BM985" s="34"/>
      <c r="BN985" s="34"/>
      <c r="BO985" s="34"/>
      <c r="BP985" s="34"/>
      <c r="BQ985" s="34"/>
      <c r="BR985" s="34"/>
      <c r="BS985" s="34"/>
      <c r="BT985" s="34"/>
      <c r="BU985" s="34"/>
      <c r="BV985" s="34"/>
      <c r="BW985" s="34"/>
      <c r="BX985" s="34"/>
      <c r="BY985" s="34"/>
    </row>
    <row r="986" spans="1:77" x14ac:dyDescent="0.3">
      <c r="A986" s="39"/>
      <c r="B986" s="42"/>
      <c r="C986" s="42"/>
      <c r="D986" s="75"/>
      <c r="E986" s="75"/>
      <c r="F986" s="76"/>
      <c r="G986" s="47"/>
      <c r="H986" s="47"/>
      <c r="I986" s="75"/>
      <c r="J986" s="76"/>
      <c r="K986" s="76"/>
      <c r="L986" s="75"/>
      <c r="M986" s="49"/>
      <c r="N986" s="76"/>
      <c r="O986" s="49"/>
      <c r="P986" s="77"/>
      <c r="Q986" s="53"/>
      <c r="R986" s="54"/>
      <c r="S986" s="55"/>
      <c r="T986" s="56"/>
      <c r="U986" s="56"/>
      <c r="V986" s="42"/>
      <c r="W986" s="57"/>
      <c r="X986" s="58"/>
      <c r="Y986" s="75"/>
      <c r="Z986" s="59"/>
      <c r="AA986" s="61"/>
      <c r="AB986" s="61"/>
      <c r="AC986" s="61"/>
      <c r="AD986" s="62"/>
      <c r="AE986" s="62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/>
      <c r="BB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/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</row>
    <row r="987" spans="1:77" x14ac:dyDescent="0.3">
      <c r="A987" s="39"/>
      <c r="B987" s="42"/>
      <c r="C987" s="42"/>
      <c r="D987" s="75"/>
      <c r="E987" s="75"/>
      <c r="F987" s="76"/>
      <c r="G987" s="47"/>
      <c r="H987" s="47"/>
      <c r="I987" s="75"/>
      <c r="J987" s="76"/>
      <c r="K987" s="76"/>
      <c r="L987" s="75"/>
      <c r="M987" s="49"/>
      <c r="N987" s="76"/>
      <c r="O987" s="49"/>
      <c r="P987" s="77"/>
      <c r="Q987" s="53"/>
      <c r="R987" s="54"/>
      <c r="S987" s="55"/>
      <c r="T987" s="56"/>
      <c r="U987" s="56"/>
      <c r="V987" s="42"/>
      <c r="W987" s="57"/>
      <c r="X987" s="58"/>
      <c r="Y987" s="75"/>
      <c r="Z987" s="59"/>
      <c r="AA987" s="61"/>
      <c r="AB987" s="61"/>
      <c r="AC987" s="61"/>
      <c r="AD987" s="62"/>
      <c r="AE987" s="62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  <c r="AQ987" s="34"/>
      <c r="AR987" s="34"/>
      <c r="AS987" s="34"/>
      <c r="AT987" s="34"/>
      <c r="AU987" s="34"/>
      <c r="AV987" s="34"/>
      <c r="AW987" s="34"/>
      <c r="AX987" s="34"/>
      <c r="AY987" s="34"/>
      <c r="AZ987" s="34"/>
      <c r="BA987" s="34"/>
      <c r="BB987" s="34"/>
      <c r="BD987" s="34"/>
      <c r="BE987" s="34"/>
      <c r="BF987" s="34"/>
      <c r="BG987" s="34"/>
      <c r="BH987" s="34"/>
      <c r="BI987" s="34"/>
      <c r="BJ987" s="34"/>
      <c r="BK987" s="34"/>
      <c r="BL987" s="34"/>
      <c r="BM987" s="34"/>
      <c r="BN987" s="34"/>
      <c r="BO987" s="34"/>
      <c r="BP987" s="34"/>
      <c r="BQ987" s="34"/>
      <c r="BR987" s="34"/>
      <c r="BS987" s="34"/>
      <c r="BT987" s="34"/>
      <c r="BU987" s="34"/>
      <c r="BV987" s="34"/>
      <c r="BW987" s="34"/>
      <c r="BX987" s="34"/>
      <c r="BY987" s="34"/>
    </row>
    <row r="988" spans="1:77" x14ac:dyDescent="0.3">
      <c r="A988" s="39"/>
      <c r="B988" s="42"/>
      <c r="C988" s="42"/>
      <c r="D988" s="75"/>
      <c r="E988" s="75"/>
      <c r="F988" s="76"/>
      <c r="G988" s="47"/>
      <c r="H988" s="47"/>
      <c r="I988" s="75"/>
      <c r="J988" s="76"/>
      <c r="K988" s="76"/>
      <c r="L988" s="75"/>
      <c r="M988" s="49"/>
      <c r="N988" s="76"/>
      <c r="O988" s="49"/>
      <c r="P988" s="77"/>
      <c r="Q988" s="53"/>
      <c r="R988" s="54"/>
      <c r="S988" s="55"/>
      <c r="T988" s="56"/>
      <c r="U988" s="56"/>
      <c r="V988" s="42"/>
      <c r="W988" s="57"/>
      <c r="X988" s="58"/>
      <c r="Y988" s="75"/>
      <c r="Z988" s="59"/>
      <c r="AA988" s="61"/>
      <c r="AB988" s="61"/>
      <c r="AC988" s="61"/>
      <c r="AD988" s="62"/>
      <c r="AE988" s="62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  <c r="AQ988" s="34"/>
      <c r="AR988" s="34"/>
      <c r="AS988" s="34"/>
      <c r="AT988" s="34"/>
      <c r="AU988" s="34"/>
      <c r="AV988" s="34"/>
      <c r="AW988" s="34"/>
      <c r="AX988" s="34"/>
      <c r="AY988" s="34"/>
      <c r="AZ988" s="34"/>
      <c r="BA988" s="34"/>
      <c r="BB988" s="34"/>
      <c r="BD988" s="34"/>
      <c r="BE988" s="34"/>
      <c r="BF988" s="34"/>
      <c r="BG988" s="34"/>
      <c r="BH988" s="34"/>
      <c r="BI988" s="34"/>
      <c r="BJ988" s="34"/>
      <c r="BK988" s="34"/>
      <c r="BL988" s="34"/>
      <c r="BM988" s="34"/>
      <c r="BN988" s="34"/>
      <c r="BO988" s="34"/>
      <c r="BP988" s="34"/>
      <c r="BQ988" s="34"/>
      <c r="BR988" s="34"/>
      <c r="BS988" s="34"/>
      <c r="BT988" s="34"/>
      <c r="BU988" s="34"/>
      <c r="BV988" s="34"/>
      <c r="BW988" s="34"/>
      <c r="BX988" s="34"/>
      <c r="BY988" s="34"/>
    </row>
    <row r="989" spans="1:77" x14ac:dyDescent="0.3">
      <c r="A989" s="39"/>
      <c r="B989" s="42"/>
      <c r="C989" s="42"/>
      <c r="D989" s="75"/>
      <c r="E989" s="75"/>
      <c r="F989" s="76"/>
      <c r="G989" s="47"/>
      <c r="H989" s="47"/>
      <c r="I989" s="75"/>
      <c r="J989" s="76"/>
      <c r="K989" s="76"/>
      <c r="L989" s="75"/>
      <c r="M989" s="49"/>
      <c r="N989" s="76"/>
      <c r="O989" s="49"/>
      <c r="P989" s="77"/>
      <c r="Q989" s="53"/>
      <c r="R989" s="54"/>
      <c r="S989" s="55"/>
      <c r="T989" s="56"/>
      <c r="U989" s="56"/>
      <c r="V989" s="42"/>
      <c r="W989" s="57"/>
      <c r="X989" s="58"/>
      <c r="Y989" s="75"/>
      <c r="Z989" s="59"/>
      <c r="AA989" s="61"/>
      <c r="AB989" s="61"/>
      <c r="AC989" s="61"/>
      <c r="AD989" s="62"/>
      <c r="AE989" s="62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  <c r="AQ989" s="34"/>
      <c r="AR989" s="34"/>
      <c r="AS989" s="34"/>
      <c r="AT989" s="34"/>
      <c r="AU989" s="34"/>
      <c r="AV989" s="34"/>
      <c r="AW989" s="34"/>
      <c r="AX989" s="34"/>
      <c r="AY989" s="34"/>
      <c r="AZ989" s="34"/>
      <c r="BA989" s="34"/>
      <c r="BB989" s="34"/>
      <c r="BD989" s="34"/>
      <c r="BE989" s="34"/>
      <c r="BF989" s="34"/>
      <c r="BG989" s="34"/>
      <c r="BH989" s="34"/>
      <c r="BI989" s="34"/>
      <c r="BJ989" s="34"/>
      <c r="BK989" s="34"/>
      <c r="BL989" s="34"/>
      <c r="BM989" s="34"/>
      <c r="BN989" s="34"/>
      <c r="BO989" s="34"/>
      <c r="BP989" s="34"/>
      <c r="BQ989" s="34"/>
      <c r="BR989" s="34"/>
      <c r="BS989" s="34"/>
      <c r="BT989" s="34"/>
      <c r="BU989" s="34"/>
      <c r="BV989" s="34"/>
      <c r="BW989" s="34"/>
      <c r="BX989" s="34"/>
      <c r="BY989" s="34"/>
    </row>
    <row r="990" spans="1:77" x14ac:dyDescent="0.3">
      <c r="A990" s="39"/>
      <c r="B990" s="42"/>
      <c r="C990" s="42"/>
      <c r="D990" s="75"/>
      <c r="E990" s="75"/>
      <c r="F990" s="76"/>
      <c r="G990" s="47"/>
      <c r="H990" s="47"/>
      <c r="I990" s="75"/>
      <c r="J990" s="76"/>
      <c r="K990" s="76"/>
      <c r="L990" s="75"/>
      <c r="M990" s="49"/>
      <c r="N990" s="76"/>
      <c r="O990" s="49"/>
      <c r="P990" s="77"/>
      <c r="Q990" s="53"/>
      <c r="R990" s="54"/>
      <c r="S990" s="55"/>
      <c r="T990" s="56"/>
      <c r="U990" s="56"/>
      <c r="V990" s="42"/>
      <c r="W990" s="57"/>
      <c r="X990" s="58"/>
      <c r="Y990" s="75"/>
      <c r="Z990" s="59"/>
      <c r="AA990" s="61"/>
      <c r="AB990" s="61"/>
      <c r="AC990" s="61"/>
      <c r="AD990" s="62"/>
      <c r="AE990" s="62"/>
      <c r="AF990" s="34"/>
      <c r="AG990" s="34"/>
      <c r="AH990" s="34"/>
      <c r="AI990" s="34"/>
      <c r="AJ990" s="34"/>
      <c r="AK990" s="34"/>
      <c r="AL990" s="34"/>
      <c r="AM990" s="34"/>
      <c r="AN990" s="34"/>
      <c r="AO990" s="34"/>
      <c r="AP990" s="34"/>
      <c r="AQ990" s="34"/>
      <c r="AR990" s="34"/>
      <c r="AS990" s="34"/>
      <c r="AT990" s="34"/>
      <c r="AU990" s="34"/>
      <c r="AV990" s="34"/>
      <c r="AW990" s="34"/>
      <c r="AX990" s="34"/>
      <c r="AY990" s="34"/>
      <c r="AZ990" s="34"/>
      <c r="BA990" s="34"/>
      <c r="BB990" s="34"/>
      <c r="BD990" s="34"/>
      <c r="BE990" s="34"/>
      <c r="BF990" s="34"/>
      <c r="BG990" s="34"/>
      <c r="BH990" s="34"/>
      <c r="BI990" s="34"/>
      <c r="BJ990" s="34"/>
      <c r="BK990" s="34"/>
      <c r="BL990" s="34"/>
      <c r="BM990" s="34"/>
      <c r="BN990" s="34"/>
      <c r="BO990" s="34"/>
      <c r="BP990" s="34"/>
      <c r="BQ990" s="34"/>
      <c r="BR990" s="34"/>
      <c r="BS990" s="34"/>
      <c r="BT990" s="34"/>
      <c r="BU990" s="34"/>
      <c r="BV990" s="34"/>
      <c r="BW990" s="34"/>
      <c r="BX990" s="34"/>
      <c r="BY990" s="34"/>
    </row>
    <row r="991" spans="1:77" x14ac:dyDescent="0.3">
      <c r="A991" s="39"/>
      <c r="B991" s="42"/>
      <c r="C991" s="42"/>
      <c r="D991" s="75"/>
      <c r="E991" s="75"/>
      <c r="F991" s="76"/>
      <c r="G991" s="47"/>
      <c r="H991" s="47"/>
      <c r="I991" s="75"/>
      <c r="J991" s="76"/>
      <c r="K991" s="76"/>
      <c r="L991" s="75"/>
      <c r="M991" s="49"/>
      <c r="N991" s="76"/>
      <c r="O991" s="49"/>
      <c r="P991" s="77"/>
      <c r="Q991" s="53"/>
      <c r="R991" s="54"/>
      <c r="S991" s="55"/>
      <c r="T991" s="56"/>
      <c r="U991" s="56"/>
      <c r="V991" s="42"/>
      <c r="W991" s="57"/>
      <c r="X991" s="58"/>
      <c r="Y991" s="75"/>
      <c r="Z991" s="59"/>
      <c r="AA991" s="61"/>
      <c r="AB991" s="61"/>
      <c r="AC991" s="61"/>
      <c r="AD991" s="62"/>
      <c r="AE991" s="62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  <c r="AQ991" s="34"/>
      <c r="AR991" s="34"/>
      <c r="AS991" s="34"/>
      <c r="AT991" s="34"/>
      <c r="AU991" s="34"/>
      <c r="AV991" s="34"/>
      <c r="AW991" s="34"/>
      <c r="AX991" s="34"/>
      <c r="AY991" s="34"/>
      <c r="AZ991" s="34"/>
      <c r="BA991" s="34"/>
      <c r="BB991" s="34"/>
      <c r="BD991" s="34"/>
      <c r="BE991" s="34"/>
      <c r="BF991" s="34"/>
      <c r="BG991" s="34"/>
      <c r="BH991" s="34"/>
      <c r="BI991" s="34"/>
      <c r="BJ991" s="34"/>
      <c r="BK991" s="34"/>
      <c r="BL991" s="34"/>
      <c r="BM991" s="34"/>
      <c r="BN991" s="34"/>
      <c r="BO991" s="34"/>
      <c r="BP991" s="34"/>
      <c r="BQ991" s="34"/>
      <c r="BR991" s="34"/>
      <c r="BS991" s="34"/>
      <c r="BT991" s="34"/>
      <c r="BU991" s="34"/>
      <c r="BV991" s="34"/>
      <c r="BW991" s="34"/>
      <c r="BX991" s="34"/>
      <c r="BY991" s="34"/>
    </row>
    <row r="992" spans="1:77" x14ac:dyDescent="0.3">
      <c r="A992" s="39"/>
      <c r="B992" s="42"/>
      <c r="C992" s="42"/>
      <c r="D992" s="75"/>
      <c r="E992" s="75"/>
      <c r="F992" s="76"/>
      <c r="G992" s="47"/>
      <c r="H992" s="47"/>
      <c r="I992" s="75"/>
      <c r="J992" s="76"/>
      <c r="K992" s="76"/>
      <c r="L992" s="75"/>
      <c r="M992" s="49"/>
      <c r="N992" s="76"/>
      <c r="O992" s="49"/>
      <c r="P992" s="77"/>
      <c r="Q992" s="53"/>
      <c r="R992" s="54"/>
      <c r="S992" s="55"/>
      <c r="T992" s="56"/>
      <c r="U992" s="56"/>
      <c r="V992" s="42"/>
      <c r="W992" s="57"/>
      <c r="X992" s="58"/>
      <c r="Y992" s="75"/>
      <c r="Z992" s="59"/>
      <c r="AA992" s="61"/>
      <c r="AB992" s="61"/>
      <c r="AC992" s="61"/>
      <c r="AD992" s="62"/>
      <c r="AE992" s="62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  <c r="AQ992" s="34"/>
      <c r="AR992" s="34"/>
      <c r="AS992" s="34"/>
      <c r="AT992" s="34"/>
      <c r="AU992" s="34"/>
      <c r="AV992" s="34"/>
      <c r="AW992" s="34"/>
      <c r="AX992" s="34"/>
      <c r="AY992" s="34"/>
      <c r="AZ992" s="34"/>
      <c r="BA992" s="34"/>
      <c r="BB992" s="34"/>
      <c r="BD992" s="34"/>
      <c r="BE992" s="34"/>
      <c r="BF992" s="34"/>
      <c r="BG992" s="34"/>
      <c r="BH992" s="34"/>
      <c r="BI992" s="34"/>
      <c r="BJ992" s="34"/>
      <c r="BK992" s="34"/>
      <c r="BL992" s="34"/>
      <c r="BM992" s="34"/>
      <c r="BN992" s="34"/>
      <c r="BO992" s="34"/>
      <c r="BP992" s="34"/>
      <c r="BQ992" s="34"/>
      <c r="BR992" s="34"/>
      <c r="BS992" s="34"/>
      <c r="BT992" s="34"/>
      <c r="BU992" s="34"/>
      <c r="BV992" s="34"/>
      <c r="BW992" s="34"/>
      <c r="BX992" s="34"/>
      <c r="BY992" s="34"/>
    </row>
    <row r="993" spans="1:77" x14ac:dyDescent="0.3">
      <c r="A993" s="39"/>
      <c r="B993" s="42"/>
      <c r="C993" s="42"/>
      <c r="D993" s="75"/>
      <c r="E993" s="75"/>
      <c r="F993" s="76"/>
      <c r="G993" s="47"/>
      <c r="H993" s="47"/>
      <c r="I993" s="75"/>
      <c r="J993" s="76"/>
      <c r="K993" s="76"/>
      <c r="L993" s="75"/>
      <c r="M993" s="49"/>
      <c r="N993" s="76"/>
      <c r="O993" s="49"/>
      <c r="P993" s="77"/>
      <c r="Q993" s="53"/>
      <c r="R993" s="54"/>
      <c r="S993" s="55"/>
      <c r="T993" s="56"/>
      <c r="U993" s="56"/>
      <c r="V993" s="42"/>
      <c r="W993" s="57"/>
      <c r="X993" s="58"/>
      <c r="Y993" s="75"/>
      <c r="Z993" s="59"/>
      <c r="AA993" s="61"/>
      <c r="AB993" s="61"/>
      <c r="AC993" s="61"/>
      <c r="AD993" s="62"/>
      <c r="AE993" s="62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  <c r="AQ993" s="34"/>
      <c r="AR993" s="34"/>
      <c r="AS993" s="34"/>
      <c r="AT993" s="34"/>
      <c r="AU993" s="34"/>
      <c r="AV993" s="34"/>
      <c r="AW993" s="34"/>
      <c r="AX993" s="34"/>
      <c r="AY993" s="34"/>
      <c r="AZ993" s="34"/>
      <c r="BA993" s="34"/>
      <c r="BB993" s="34"/>
      <c r="BD993" s="34"/>
      <c r="BE993" s="34"/>
      <c r="BF993" s="34"/>
      <c r="BG993" s="34"/>
      <c r="BH993" s="34"/>
      <c r="BI993" s="34"/>
      <c r="BJ993" s="34"/>
      <c r="BK993" s="34"/>
      <c r="BL993" s="34"/>
      <c r="BM993" s="34"/>
      <c r="BN993" s="34"/>
      <c r="BO993" s="34"/>
      <c r="BP993" s="34"/>
      <c r="BQ993" s="34"/>
      <c r="BR993" s="34"/>
      <c r="BS993" s="34"/>
      <c r="BT993" s="34"/>
      <c r="BU993" s="34"/>
      <c r="BV993" s="34"/>
      <c r="BW993" s="34"/>
      <c r="BX993" s="34"/>
      <c r="BY993" s="34"/>
    </row>
    <row r="994" spans="1:77" x14ac:dyDescent="0.3">
      <c r="A994" s="39"/>
      <c r="B994" s="42"/>
      <c r="C994" s="42"/>
      <c r="D994" s="75"/>
      <c r="E994" s="75"/>
      <c r="F994" s="76"/>
      <c r="G994" s="47"/>
      <c r="H994" s="47"/>
      <c r="I994" s="75"/>
      <c r="J994" s="76"/>
      <c r="K994" s="76"/>
      <c r="L994" s="75"/>
      <c r="M994" s="49"/>
      <c r="N994" s="76"/>
      <c r="O994" s="49"/>
      <c r="P994" s="77"/>
      <c r="Q994" s="53"/>
      <c r="R994" s="54"/>
      <c r="S994" s="55"/>
      <c r="T994" s="56"/>
      <c r="U994" s="56"/>
      <c r="V994" s="42"/>
      <c r="W994" s="57"/>
      <c r="X994" s="58"/>
      <c r="Y994" s="75"/>
      <c r="Z994" s="59"/>
      <c r="AA994" s="61"/>
      <c r="AB994" s="61"/>
      <c r="AC994" s="61"/>
      <c r="AD994" s="62"/>
      <c r="AE994" s="62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  <c r="AQ994" s="34"/>
      <c r="AR994" s="34"/>
      <c r="AS994" s="34"/>
      <c r="AT994" s="34"/>
      <c r="AU994" s="34"/>
      <c r="AV994" s="34"/>
      <c r="AW994" s="34"/>
      <c r="AX994" s="34"/>
      <c r="AY994" s="34"/>
      <c r="AZ994" s="34"/>
      <c r="BA994" s="34"/>
      <c r="BB994" s="34"/>
      <c r="BD994" s="34"/>
      <c r="BE994" s="34"/>
      <c r="BF994" s="34"/>
      <c r="BG994" s="34"/>
      <c r="BH994" s="34"/>
      <c r="BI994" s="34"/>
      <c r="BJ994" s="34"/>
      <c r="BK994" s="34"/>
      <c r="BL994" s="34"/>
      <c r="BM994" s="34"/>
      <c r="BN994" s="34"/>
      <c r="BO994" s="34"/>
      <c r="BP994" s="34"/>
      <c r="BQ994" s="34"/>
      <c r="BR994" s="34"/>
      <c r="BS994" s="34"/>
      <c r="BT994" s="34"/>
      <c r="BU994" s="34"/>
      <c r="BV994" s="34"/>
      <c r="BW994" s="34"/>
      <c r="BX994" s="34"/>
      <c r="BY994" s="34"/>
    </row>
    <row r="995" spans="1:77" x14ac:dyDescent="0.3">
      <c r="A995" s="39"/>
      <c r="B995" s="42"/>
      <c r="C995" s="42"/>
      <c r="D995" s="75"/>
      <c r="E995" s="75"/>
      <c r="F995" s="76"/>
      <c r="G995" s="47"/>
      <c r="H995" s="47"/>
      <c r="I995" s="75"/>
      <c r="J995" s="76"/>
      <c r="K995" s="76"/>
      <c r="L995" s="75"/>
      <c r="M995" s="49"/>
      <c r="N995" s="76"/>
      <c r="O995" s="49"/>
      <c r="P995" s="77"/>
      <c r="Q995" s="53"/>
      <c r="R995" s="54"/>
      <c r="S995" s="55"/>
      <c r="T995" s="56"/>
      <c r="U995" s="56"/>
      <c r="V995" s="42"/>
      <c r="W995" s="57"/>
      <c r="X995" s="58"/>
      <c r="Y995" s="75"/>
      <c r="Z995" s="59"/>
      <c r="AA995" s="61"/>
      <c r="AB995" s="61"/>
      <c r="AC995" s="61"/>
      <c r="AD995" s="62"/>
      <c r="AE995" s="62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  <c r="AQ995" s="34"/>
      <c r="AR995" s="34"/>
      <c r="AS995" s="34"/>
      <c r="AT995" s="34"/>
      <c r="AU995" s="34"/>
      <c r="AV995" s="34"/>
      <c r="AW995" s="34"/>
      <c r="AX995" s="34"/>
      <c r="AY995" s="34"/>
      <c r="AZ995" s="34"/>
      <c r="BA995" s="34"/>
      <c r="BB995" s="34"/>
      <c r="BD995" s="34"/>
      <c r="BE995" s="34"/>
      <c r="BF995" s="34"/>
      <c r="BG995" s="34"/>
      <c r="BH995" s="34"/>
      <c r="BI995" s="34"/>
      <c r="BJ995" s="34"/>
      <c r="BK995" s="34"/>
      <c r="BL995" s="34"/>
      <c r="BM995" s="34"/>
      <c r="BN995" s="34"/>
      <c r="BO995" s="34"/>
      <c r="BP995" s="34"/>
      <c r="BQ995" s="34"/>
      <c r="BR995" s="34"/>
      <c r="BS995" s="34"/>
      <c r="BT995" s="34"/>
      <c r="BU995" s="34"/>
      <c r="BV995" s="34"/>
      <c r="BW995" s="34"/>
      <c r="BX995" s="34"/>
      <c r="BY995" s="34"/>
    </row>
    <row r="996" spans="1:77" x14ac:dyDescent="0.3">
      <c r="A996" s="39"/>
      <c r="B996" s="42"/>
      <c r="C996" s="42"/>
      <c r="D996" s="75"/>
      <c r="E996" s="75"/>
      <c r="F996" s="76"/>
      <c r="G996" s="47"/>
      <c r="H996" s="47"/>
      <c r="I996" s="75"/>
      <c r="J996" s="76"/>
      <c r="K996" s="76"/>
      <c r="L996" s="75"/>
      <c r="M996" s="49"/>
      <c r="N996" s="76"/>
      <c r="O996" s="49"/>
      <c r="P996" s="77"/>
      <c r="Q996" s="53"/>
      <c r="R996" s="54"/>
      <c r="S996" s="55"/>
      <c r="T996" s="56"/>
      <c r="U996" s="56"/>
      <c r="V996" s="42"/>
      <c r="W996" s="57"/>
      <c r="X996" s="58"/>
      <c r="Y996" s="75"/>
      <c r="Z996" s="59"/>
      <c r="AA996" s="61"/>
      <c r="AB996" s="61"/>
      <c r="AC996" s="61"/>
      <c r="AD996" s="62"/>
      <c r="AE996" s="62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  <c r="AQ996" s="34"/>
      <c r="AR996" s="34"/>
      <c r="AS996" s="34"/>
      <c r="AT996" s="34"/>
      <c r="AU996" s="34"/>
      <c r="AV996" s="34"/>
      <c r="AW996" s="34"/>
      <c r="AX996" s="34"/>
      <c r="AY996" s="34"/>
      <c r="AZ996" s="34"/>
      <c r="BA996" s="34"/>
      <c r="BB996" s="34"/>
      <c r="BD996" s="34"/>
      <c r="BE996" s="34"/>
      <c r="BF996" s="34"/>
      <c r="BG996" s="34"/>
      <c r="BH996" s="34"/>
      <c r="BI996" s="34"/>
      <c r="BJ996" s="34"/>
      <c r="BK996" s="34"/>
      <c r="BL996" s="34"/>
      <c r="BM996" s="34"/>
      <c r="BN996" s="34"/>
      <c r="BO996" s="34"/>
      <c r="BP996" s="34"/>
      <c r="BQ996" s="34"/>
      <c r="BR996" s="34"/>
      <c r="BS996" s="34"/>
      <c r="BT996" s="34"/>
      <c r="BU996" s="34"/>
      <c r="BV996" s="34"/>
      <c r="BW996" s="34"/>
      <c r="BX996" s="34"/>
      <c r="BY996" s="34"/>
    </row>
    <row r="997" spans="1:77" x14ac:dyDescent="0.3">
      <c r="A997" s="39"/>
      <c r="B997" s="42"/>
      <c r="C997" s="42"/>
      <c r="D997" s="75"/>
      <c r="E997" s="75"/>
      <c r="F997" s="76"/>
      <c r="G997" s="47"/>
      <c r="H997" s="47"/>
      <c r="I997" s="75"/>
      <c r="J997" s="76"/>
      <c r="K997" s="76"/>
      <c r="L997" s="75"/>
      <c r="M997" s="49"/>
      <c r="N997" s="76"/>
      <c r="O997" s="49"/>
      <c r="P997" s="77"/>
      <c r="Q997" s="53"/>
      <c r="R997" s="54"/>
      <c r="S997" s="55"/>
      <c r="T997" s="56"/>
      <c r="U997" s="56"/>
      <c r="V997" s="42"/>
      <c r="W997" s="57"/>
      <c r="X997" s="58"/>
      <c r="Y997" s="75"/>
      <c r="Z997" s="59"/>
      <c r="AA997" s="61"/>
      <c r="AB997" s="61"/>
      <c r="AC997" s="61"/>
      <c r="AD997" s="62"/>
      <c r="AE997" s="62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4"/>
      <c r="AQ997" s="34"/>
      <c r="AR997" s="34"/>
      <c r="AS997" s="34"/>
      <c r="AT997" s="34"/>
      <c r="AU997" s="34"/>
      <c r="AV997" s="34"/>
      <c r="AW997" s="34"/>
      <c r="AX997" s="34"/>
      <c r="AY997" s="34"/>
      <c r="AZ997" s="34"/>
      <c r="BA997" s="34"/>
      <c r="BB997" s="34"/>
      <c r="BD997" s="34"/>
      <c r="BE997" s="34"/>
      <c r="BF997" s="34"/>
      <c r="BG997" s="34"/>
      <c r="BH997" s="34"/>
      <c r="BI997" s="34"/>
      <c r="BJ997" s="34"/>
      <c r="BK997" s="34"/>
      <c r="BL997" s="34"/>
      <c r="BM997" s="34"/>
      <c r="BN997" s="34"/>
      <c r="BO997" s="34"/>
      <c r="BP997" s="34"/>
      <c r="BQ997" s="34"/>
      <c r="BR997" s="34"/>
      <c r="BS997" s="34"/>
      <c r="BT997" s="34"/>
      <c r="BU997" s="34"/>
      <c r="BV997" s="34"/>
      <c r="BW997" s="34"/>
      <c r="BX997" s="34"/>
      <c r="BY997" s="34"/>
    </row>
    <row r="998" spans="1:77" x14ac:dyDescent="0.3">
      <c r="A998" s="39"/>
      <c r="B998" s="42"/>
      <c r="C998" s="42"/>
      <c r="D998" s="75"/>
      <c r="E998" s="75"/>
      <c r="F998" s="76"/>
      <c r="G998" s="47"/>
      <c r="H998" s="47"/>
      <c r="I998" s="75"/>
      <c r="J998" s="76"/>
      <c r="K998" s="76"/>
      <c r="L998" s="75"/>
      <c r="M998" s="49"/>
      <c r="N998" s="76"/>
      <c r="O998" s="49"/>
      <c r="P998" s="77"/>
      <c r="Q998" s="53"/>
      <c r="R998" s="54"/>
      <c r="S998" s="55"/>
      <c r="T998" s="56"/>
      <c r="U998" s="56"/>
      <c r="V998" s="42"/>
      <c r="W998" s="57"/>
      <c r="X998" s="58"/>
      <c r="Y998" s="75"/>
      <c r="Z998" s="59"/>
      <c r="AA998" s="61"/>
      <c r="AB998" s="61"/>
      <c r="AC998" s="61"/>
      <c r="AD998" s="62"/>
      <c r="AE998" s="62"/>
      <c r="AF998" s="34"/>
      <c r="AG998" s="34"/>
      <c r="AH998" s="34"/>
      <c r="AI998" s="34"/>
      <c r="AJ998" s="34"/>
      <c r="AK998" s="34"/>
      <c r="AL998" s="34"/>
      <c r="AM998" s="34"/>
      <c r="AN998" s="34"/>
      <c r="AO998" s="34"/>
      <c r="AP998" s="34"/>
      <c r="AQ998" s="34"/>
      <c r="AR998" s="34"/>
      <c r="AS998" s="34"/>
      <c r="AT998" s="34"/>
      <c r="AU998" s="34"/>
      <c r="AV998" s="34"/>
      <c r="AW998" s="34"/>
      <c r="AX998" s="34"/>
      <c r="AY998" s="34"/>
      <c r="AZ998" s="34"/>
      <c r="BA998" s="34"/>
      <c r="BB998" s="34"/>
      <c r="BD998" s="34"/>
      <c r="BE998" s="34"/>
      <c r="BF998" s="34"/>
      <c r="BG998" s="34"/>
      <c r="BH998" s="34"/>
      <c r="BI998" s="34"/>
      <c r="BJ998" s="34"/>
      <c r="BK998" s="34"/>
      <c r="BL998" s="34"/>
      <c r="BM998" s="34"/>
      <c r="BN998" s="34"/>
      <c r="BO998" s="34"/>
      <c r="BP998" s="34"/>
      <c r="BQ998" s="34"/>
      <c r="BR998" s="34"/>
      <c r="BS998" s="34"/>
      <c r="BT998" s="34"/>
      <c r="BU998" s="34"/>
      <c r="BV998" s="34"/>
      <c r="BW998" s="34"/>
      <c r="BX998" s="34"/>
      <c r="BY998" s="34"/>
    </row>
    <row r="999" spans="1:77" x14ac:dyDescent="0.3">
      <c r="A999" s="39"/>
      <c r="B999" s="42"/>
      <c r="C999" s="42"/>
      <c r="D999" s="75"/>
      <c r="E999" s="75"/>
      <c r="F999" s="76"/>
      <c r="G999" s="47"/>
      <c r="H999" s="47"/>
      <c r="I999" s="75"/>
      <c r="J999" s="76"/>
      <c r="K999" s="76"/>
      <c r="L999" s="75"/>
      <c r="M999" s="49"/>
      <c r="N999" s="76"/>
      <c r="O999" s="49"/>
      <c r="P999" s="77"/>
      <c r="Q999" s="53"/>
      <c r="R999" s="54"/>
      <c r="S999" s="55"/>
      <c r="T999" s="56"/>
      <c r="U999" s="56"/>
      <c r="V999" s="42"/>
      <c r="W999" s="57"/>
      <c r="X999" s="58"/>
      <c r="Y999" s="75"/>
      <c r="Z999" s="59"/>
      <c r="AA999" s="61"/>
      <c r="AB999" s="61"/>
      <c r="AC999" s="61"/>
      <c r="AD999" s="62"/>
      <c r="AE999" s="62"/>
      <c r="AF999" s="34"/>
      <c r="AG999" s="34"/>
      <c r="AH999" s="34"/>
      <c r="AI999" s="34"/>
      <c r="AJ999" s="34"/>
      <c r="AK999" s="34"/>
      <c r="AL999" s="34"/>
      <c r="AM999" s="34"/>
      <c r="AN999" s="34"/>
      <c r="AO999" s="34"/>
      <c r="AP999" s="34"/>
      <c r="AQ999" s="34"/>
      <c r="AR999" s="34"/>
      <c r="AS999" s="34"/>
      <c r="AT999" s="34"/>
      <c r="AU999" s="34"/>
      <c r="AV999" s="34"/>
      <c r="AW999" s="34"/>
      <c r="AX999" s="34"/>
      <c r="AY999" s="34"/>
      <c r="AZ999" s="34"/>
      <c r="BA999" s="34"/>
      <c r="BB999" s="34"/>
      <c r="BD999" s="34"/>
      <c r="BE999" s="34"/>
      <c r="BF999" s="34"/>
      <c r="BG999" s="34"/>
      <c r="BH999" s="34"/>
      <c r="BI999" s="34"/>
      <c r="BJ999" s="34"/>
      <c r="BK999" s="34"/>
      <c r="BL999" s="34"/>
      <c r="BM999" s="34"/>
      <c r="BN999" s="34"/>
      <c r="BO999" s="34"/>
      <c r="BP999" s="34"/>
      <c r="BQ999" s="34"/>
      <c r="BR999" s="34"/>
      <c r="BS999" s="34"/>
      <c r="BT999" s="34"/>
      <c r="BU999" s="34"/>
      <c r="BV999" s="34"/>
      <c r="BW999" s="34"/>
      <c r="BX999" s="34"/>
      <c r="BY999" s="34"/>
    </row>
    <row r="1000" spans="1:77" x14ac:dyDescent="0.3">
      <c r="A1000" s="39"/>
      <c r="B1000" s="42"/>
      <c r="C1000" s="42"/>
      <c r="D1000" s="75"/>
      <c r="E1000" s="75"/>
      <c r="F1000" s="76"/>
      <c r="G1000" s="47"/>
      <c r="H1000" s="47"/>
      <c r="I1000" s="75"/>
      <c r="J1000" s="76"/>
      <c r="K1000" s="76"/>
      <c r="L1000" s="75"/>
      <c r="M1000" s="49"/>
      <c r="N1000" s="76"/>
      <c r="O1000" s="49"/>
      <c r="P1000" s="77"/>
      <c r="Q1000" s="53"/>
      <c r="R1000" s="54"/>
      <c r="S1000" s="55"/>
      <c r="T1000" s="56"/>
      <c r="U1000" s="56"/>
      <c r="V1000" s="42"/>
      <c r="W1000" s="57"/>
      <c r="X1000" s="58"/>
      <c r="Y1000" s="75"/>
      <c r="Z1000" s="59"/>
      <c r="AA1000" s="61"/>
      <c r="AB1000" s="61"/>
      <c r="AC1000" s="61"/>
      <c r="AD1000" s="62"/>
      <c r="AE1000" s="62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4"/>
      <c r="AQ1000" s="34"/>
      <c r="AR1000" s="34"/>
      <c r="AS1000" s="34"/>
      <c r="AT1000" s="34"/>
      <c r="AU1000" s="34"/>
      <c r="AV1000" s="34"/>
      <c r="AW1000" s="34"/>
      <c r="AX1000" s="34"/>
      <c r="AY1000" s="34"/>
      <c r="AZ1000" s="34"/>
      <c r="BA1000" s="34"/>
      <c r="BB1000" s="34"/>
      <c r="BD1000" s="34"/>
      <c r="BE1000" s="34"/>
      <c r="BF1000" s="34"/>
      <c r="BG1000" s="34"/>
      <c r="BH1000" s="34"/>
      <c r="BI1000" s="34"/>
      <c r="BJ1000" s="34"/>
      <c r="BK1000" s="34"/>
      <c r="BL1000" s="34"/>
      <c r="BM1000" s="34"/>
      <c r="BN1000" s="34"/>
      <c r="BO1000" s="34"/>
      <c r="BP1000" s="34"/>
      <c r="BQ1000" s="34"/>
      <c r="BR1000" s="34"/>
      <c r="BS1000" s="34"/>
      <c r="BT1000" s="34"/>
      <c r="BU1000" s="34"/>
      <c r="BV1000" s="34"/>
      <c r="BW1000" s="34"/>
      <c r="BX1000" s="34"/>
      <c r="BY1000" s="34"/>
    </row>
  </sheetData>
  <sheetProtection formatCells="0" formatColumns="0" formatRows="0" sort="0" autoFilter="0"/>
  <autoFilter ref="A2:AD1000" xr:uid="{00000000-0009-0000-0000-000004000000}"/>
  <mergeCells count="7">
    <mergeCell ref="W1:X1"/>
    <mergeCell ref="Y1:AD1"/>
    <mergeCell ref="A1:C1"/>
    <mergeCell ref="E1:H1"/>
    <mergeCell ref="I1:K1"/>
    <mergeCell ref="L1:O1"/>
    <mergeCell ref="R1:V1"/>
  </mergeCells>
  <phoneticPr fontId="3" type="noConversion"/>
  <conditionalFormatting sqref="A3:CA3000">
    <cfRule type="expression" dxfId="3" priority="1" stopIfTrue="1">
      <formula>$CA3="вводной узел"</formula>
    </cfRule>
    <cfRule type="expression" dxfId="2" priority="2" stopIfTrue="1">
      <formula>ODD($BZ3)</formula>
    </cfRule>
    <cfRule type="expression" dxfId="1" priority="3" stopIfTrue="1">
      <formula>AND($A3&lt;&gt;"",$A3&lt;&gt;$A2)</formula>
    </cfRule>
  </conditionalFormatting>
  <dataValidations count="6">
    <dataValidation type="list" allowBlank="1" sqref="E3:E1000" xr:uid="{00000000-0002-0000-0500-000000000000}">
      <formula1>Список_автоматов</formula1>
    </dataValidation>
    <dataValidation type="list" allowBlank="1" sqref="F3:F1000" xr:uid="{00000000-0002-0000-0500-000001000000}">
      <formula1>"да,нет"</formula1>
    </dataValidation>
    <dataValidation type="list" allowBlank="1" sqref="I3:K1000" xr:uid="{00000000-0002-0000-0500-000002000000}">
      <formula1>Список_аппаратов</formula1>
    </dataValidation>
    <dataValidation type="list" allowBlank="1" sqref="L3:L1000" xr:uid="{00000000-0002-0000-0500-000003000000}">
      <formula1>Список_модулей</formula1>
    </dataValidation>
    <dataValidation type="list" allowBlank="1" sqref="N3:N1000" xr:uid="{00000000-0002-0000-0500-000004000000}">
      <formula1>"+,=,р,б/к"</formula1>
    </dataValidation>
    <dataValidation type="list" allowBlank="1" sqref="Y3:Y1000" xr:uid="{00000000-0002-0000-0500-000005000000}">
      <formula1>"вручную"</formula1>
    </dataValidation>
  </dataValidations>
  <pageMargins left="0.4" right="0.4" top="0.5" bottom="0.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AH500"/>
  <sheetViews>
    <sheetView workbookViewId="0">
      <pane xSplit="3" ySplit="3" topLeftCell="D4" activePane="bottomRight" state="frozen"/>
      <selection pane="topRight"/>
      <selection pane="bottomLeft"/>
      <selection pane="bottomRight" activeCell="D4" sqref="D4"/>
    </sheetView>
  </sheetViews>
  <sheetFormatPr defaultRowHeight="14.4" outlineLevelCol="1" x14ac:dyDescent="0.3"/>
  <cols>
    <col min="1" max="1" width="13" customWidth="1"/>
    <col min="2" max="2" width="12" customWidth="1"/>
    <col min="3" max="3" width="24" customWidth="1"/>
    <col min="4" max="5" width="8" customWidth="1"/>
    <col min="6" max="6" width="11" customWidth="1"/>
    <col min="7" max="7" width="56" customWidth="1"/>
    <col min="8" max="8" width="18" customWidth="1"/>
    <col min="9" max="9" width="7" customWidth="1"/>
    <col min="10" max="10" width="8" customWidth="1"/>
    <col min="11" max="11" width="6" customWidth="1"/>
    <col min="12" max="12" width="8" customWidth="1"/>
    <col min="13" max="13" width="7" customWidth="1"/>
    <col min="14" max="16" width="11" customWidth="1"/>
    <col min="17" max="17" width="2" customWidth="1"/>
    <col min="18" max="18" width="46" customWidth="1"/>
    <col min="19" max="19" width="22" customWidth="1"/>
    <col min="20" max="20" width="2" customWidth="1"/>
    <col min="21" max="34" width="10" hidden="1" customWidth="1" outlineLevel="1"/>
  </cols>
  <sheetData>
    <row r="1" spans="1:34" x14ac:dyDescent="0.3">
      <c r="A1" s="36" t="s">
        <v>640</v>
      </c>
    </row>
    <row r="2" spans="1:34" ht="27.6" x14ac:dyDescent="0.3">
      <c r="X2" s="35" t="s">
        <v>641</v>
      </c>
      <c r="Z2" s="35" t="s">
        <v>642</v>
      </c>
      <c r="AB2" s="35" t="s">
        <v>643</v>
      </c>
      <c r="AD2" s="35" t="s">
        <v>644</v>
      </c>
    </row>
    <row r="3" spans="1:34" ht="82.8" x14ac:dyDescent="0.3">
      <c r="A3" s="35" t="s">
        <v>645</v>
      </c>
      <c r="B3" s="35" t="s">
        <v>646</v>
      </c>
      <c r="C3" s="35" t="s">
        <v>647</v>
      </c>
      <c r="D3" s="35" t="s">
        <v>648</v>
      </c>
      <c r="E3" s="35" t="s">
        <v>485</v>
      </c>
      <c r="F3" s="35" t="s">
        <v>649</v>
      </c>
      <c r="G3" s="35" t="s">
        <v>650</v>
      </c>
      <c r="H3" s="35" t="s">
        <v>64</v>
      </c>
      <c r="I3" s="35" t="s">
        <v>651</v>
      </c>
      <c r="J3" s="35" t="s">
        <v>652</v>
      </c>
      <c r="K3" s="35" t="s">
        <v>1071</v>
      </c>
      <c r="L3" s="35" t="s">
        <v>653</v>
      </c>
      <c r="M3" s="35" t="s">
        <v>654</v>
      </c>
      <c r="N3" s="35" t="s">
        <v>1750</v>
      </c>
      <c r="O3" s="35" t="s">
        <v>655</v>
      </c>
      <c r="P3" s="35" t="s">
        <v>656</v>
      </c>
      <c r="R3" s="35" t="s">
        <v>587</v>
      </c>
      <c r="S3" s="35" t="s">
        <v>657</v>
      </c>
      <c r="U3" s="35" t="s">
        <v>658</v>
      </c>
      <c r="V3" s="35" t="s">
        <v>659</v>
      </c>
      <c r="W3" s="35" t="s">
        <v>660</v>
      </c>
      <c r="X3" s="38" t="s">
        <v>517</v>
      </c>
      <c r="Y3" s="35" t="s">
        <v>661</v>
      </c>
      <c r="Z3" s="35" t="s">
        <v>642</v>
      </c>
      <c r="AA3" s="35" t="s">
        <v>662</v>
      </c>
      <c r="AB3" s="38" t="s">
        <v>531</v>
      </c>
      <c r="AC3" s="35" t="s">
        <v>663</v>
      </c>
      <c r="AD3" s="38" t="s">
        <v>664</v>
      </c>
      <c r="AE3" s="35" t="s">
        <v>665</v>
      </c>
      <c r="AF3" s="35" t="s">
        <v>666</v>
      </c>
      <c r="AG3" s="35" t="s">
        <v>667</v>
      </c>
      <c r="AH3" s="35" t="s">
        <v>668</v>
      </c>
    </row>
    <row r="4" spans="1:34" x14ac:dyDescent="0.3">
      <c r="A4" s="74" t="s">
        <v>7</v>
      </c>
      <c r="B4" s="74" t="s">
        <v>288</v>
      </c>
      <c r="C4" s="74" t="s">
        <v>669</v>
      </c>
      <c r="D4" s="74"/>
      <c r="E4" s="74"/>
      <c r="F4" s="74"/>
      <c r="G4" s="74" t="s">
        <v>670</v>
      </c>
      <c r="H4" s="74" t="s">
        <v>293</v>
      </c>
      <c r="I4" s="74" t="s">
        <v>671</v>
      </c>
      <c r="J4" s="74">
        <v>10</v>
      </c>
      <c r="K4" s="74" t="s">
        <v>488</v>
      </c>
      <c r="L4" s="74">
        <v>1</v>
      </c>
      <c r="M4" s="74" t="s">
        <v>284</v>
      </c>
      <c r="N4" s="38">
        <f>IF(OR(A4="Автомат",A4="Дифавтомат"),IF(W4="","",COUNTIFS(Однолинейка!$H$3:$H$3000,U4,Однолинейка!$A$3:$A$3000,Щит_спец)),IF(A4="Аппарат",IF(C4="","",COUNTIFS(Однолинейка!$I$3:$I$3000,C4,Однолинейка!$A$3:$A$3000,Щит_спец)+COUNTIFS(Однолинейка!$J$3:$J$3000,C4,Однолинейка!$A$3:$A$3000,Щит_спец)+COUNTIFS(Однолинейка!$K$3:$K$3000,C4,Однолинейка!$A$3:$A$3000,Щит_спец)),IF(A4="Модуль",IF(C4="","",COUNTIFS(Однолинейка!$AW$3:$AW$3000,"?*",Однолинейка!$AI$3:$AI$3000,C4,Однолинейка!$A$3:$A$3000,Щит_спец)),IF(A4="Клемма",IF(C4="","",IF(C4=$S$7,SUMIFS(Однолинейка!$BW$3:$BW$3000,Однолинейка!$A$3:$A$3000,Щит_спец),IF(C4=$S$8,SUMIFS(Однолинейка!$BX$3:$BX$3000,Однолинейка!$A$3:$A$3000,Щит_спец),""))),""))))</f>
        <v>52</v>
      </c>
      <c r="O4" s="74"/>
      <c r="P4" s="38">
        <f t="shared" ref="P4:P67" si="0">IF(COUNT(N4,O4)=0,"",SUM(N4,O4))</f>
        <v>52</v>
      </c>
      <c r="R4" s="38" t="s">
        <v>672</v>
      </c>
      <c r="S4" s="74" t="s">
        <v>288</v>
      </c>
      <c r="U4" s="38" t="str">
        <f t="shared" ref="U4:U67" si="1">IF(OR(A4="Автомат",A4="Дифавтомат"),I4&amp;" С"&amp;J4&amp;"А"&amp;IF(K4="да"," 30мА",IF(ISNUMBER(K4)," "&amp;K4&amp;"мА","")),"")</f>
        <v>1P С10А</v>
      </c>
      <c r="V4" s="38" t="str">
        <f t="shared" ref="V4:V67" si="2">IF(U4="","",B4&amp;"|"&amp;U4)</f>
        <v>Chint|1P С10А</v>
      </c>
      <c r="W4" s="38">
        <f>IF(AND(U4&lt;&gt;"",OR($S$4="(все)",B4=$S$4),IF($S$4="(все)",COUNTIF($U$4:U4,U4),COUNTIFS($U$4:U4,U4,$B$4:B4,B4))=1),MAX($W$3:W3)+1,"")</f>
        <v>1</v>
      </c>
      <c r="X4" s="38" t="str">
        <f t="shared" ref="X4:X67" si="3">IFERROR(INDEX($U$4:$U$500,MATCH(ROW()-3,$W$4:$W$500,0)),"")</f>
        <v>1P С10А</v>
      </c>
      <c r="Y4" s="38" t="str">
        <f>IF(AND(A4="Аппарат",C4&lt;&gt;"",OR($S$5="(все)",B4=$S$5)),MAX($Y$3:Y3)+1,"")</f>
        <v/>
      </c>
      <c r="Z4" s="38" t="str">
        <f t="shared" ref="Z4:Z67" si="4">IFERROR(INDEX($C$4:$C$500,MATCH(ROW()-3,$Y$4:$Y$500,0)),"")</f>
        <v>МК-5-1</v>
      </c>
      <c r="AA4" s="38" t="str">
        <f>IF(AND(A4="Модуль",C4&lt;&gt;"",OR($S$6="(все)",B4=$S$6)),MAX($AA$3:AA3)+1,"")</f>
        <v/>
      </c>
      <c r="AB4" s="38" t="str">
        <f t="shared" ref="AB4:AB67" si="5">IFERROR(INDEX($C$4:$C$500,MATCH(ROW()-3,$AA$4:$AA$500,0)),"")</f>
        <v>ZIOMB24V2</v>
      </c>
      <c r="AC4" s="38">
        <f>IF(OR(B4="",COUNTIF($B$4:B4,B4)&gt;1),"",MAX($AC$3:AC3)+1)</f>
        <v>1</v>
      </c>
      <c r="AD4" s="38" t="str">
        <f t="shared" ref="AD4:AD67" si="6">IFERROR(INDEX($B$4:$B$500,MATCH(ROW()-3,$AC$4:$AC$500,0)),"")</f>
        <v>Chint</v>
      </c>
      <c r="AE4" s="38">
        <f t="shared" ref="AE4:AE67" si="7">IF(AND(A4&lt;&gt;"",N(P4)&gt;0),IFERROR(MATCH(A4,$R$12:$R$25,0),99)*1000+ROW(),"")</f>
        <v>2004</v>
      </c>
      <c r="AF4" s="38">
        <f t="shared" ref="AF4:AF67" si="8">IF(AE4="","",COUNTIF($AE$4:$AE$500,"&lt;="&amp;AE4))</f>
        <v>1</v>
      </c>
      <c r="AG4" s="38" t="str">
        <f>IF(Спецификация_авто!$L$4="","",IF(IF($S$4="(все)",COUNTIF($U$4:$U$500,Спецификация_авто!$L$4),COUNTIF($V$4:$V$500,$S$4&amp;"|"&amp;Спецификация_авто!$L$4))=0,Спецификация_авто!$L$4,""))</f>
        <v>1P С6А</v>
      </c>
      <c r="AH4" s="38">
        <f>IF(AG4="","",COUNTIF($AG$4:AG4,"?*"))</f>
        <v>1</v>
      </c>
    </row>
    <row r="5" spans="1:34" x14ac:dyDescent="0.3">
      <c r="A5" s="74" t="s">
        <v>7</v>
      </c>
      <c r="B5" s="74" t="s">
        <v>288</v>
      </c>
      <c r="C5" s="74" t="s">
        <v>673</v>
      </c>
      <c r="D5" s="74"/>
      <c r="E5" s="74"/>
      <c r="F5" s="74"/>
      <c r="G5" s="74" t="s">
        <v>674</v>
      </c>
      <c r="H5" s="74" t="s">
        <v>292</v>
      </c>
      <c r="I5" s="74" t="s">
        <v>671</v>
      </c>
      <c r="J5" s="74">
        <v>16</v>
      </c>
      <c r="K5" s="74" t="s">
        <v>488</v>
      </c>
      <c r="L5" s="74">
        <v>1</v>
      </c>
      <c r="M5" s="74" t="s">
        <v>284</v>
      </c>
      <c r="N5" s="38">
        <f>IF(OR(A5="Автомат",A5="Дифавтомат"),IF(W5="","",COUNTIFS(Однолинейка!$H$3:$H$3000,U5,Однолинейка!$A$3:$A$3000,Щит_спец)),IF(A5="Аппарат",IF(C5="","",COUNTIFS(Однолинейка!$I$3:$I$3000,C5,Однолинейка!$A$3:$A$3000,Щит_спец)+COUNTIFS(Однолинейка!$J$3:$J$3000,C5,Однолинейка!$A$3:$A$3000,Щит_спец)+COUNTIFS(Однолинейка!$K$3:$K$3000,C5,Однолинейка!$A$3:$A$3000,Щит_спец)),IF(A5="Модуль",IF(C5="","",COUNTIFS(Однолинейка!$AW$3:$AW$3000,"?*",Однолинейка!$AI$3:$AI$3000,C5,Однолинейка!$A$3:$A$3000,Щит_спец)),IF(A5="Клемма",IF(C5="","",IF(C5=$S$7,SUMIFS(Однолинейка!$BW$3:$BW$3000,Однолинейка!$A$3:$A$3000,Щит_спец),IF(C5=$S$8,SUMIFS(Однолинейка!$BX$3:$BX$3000,Однолинейка!$A$3:$A$3000,Щит_спец),""))),""))))</f>
        <v>52</v>
      </c>
      <c r="O5" s="74"/>
      <c r="P5" s="38">
        <f t="shared" si="0"/>
        <v>52</v>
      </c>
      <c r="R5" s="38" t="s">
        <v>675</v>
      </c>
      <c r="S5" s="74" t="s">
        <v>664</v>
      </c>
      <c r="U5" s="38" t="str">
        <f t="shared" si="1"/>
        <v>1P С16А</v>
      </c>
      <c r="V5" s="38" t="str">
        <f t="shared" si="2"/>
        <v>Chint|1P С16А</v>
      </c>
      <c r="W5" s="38">
        <f>IF(AND(U5&lt;&gt;"",OR($S$4="(все)",B5=$S$4),IF($S$4="(все)",COUNTIF($U$4:U5,U5),COUNTIFS($U$4:U5,U5,$B$4:B5,B5))=1),MAX($W$3:W4)+1,"")</f>
        <v>2</v>
      </c>
      <c r="X5" s="38" t="str">
        <f t="shared" si="3"/>
        <v>1P С16А</v>
      </c>
      <c r="Y5" s="38" t="str">
        <f>IF(AND(A5="Аппарат",C5&lt;&gt;"",OR($S$5="(все)",B5=$S$5)),MAX($Y$3:Y4)+1,"")</f>
        <v/>
      </c>
      <c r="Z5" s="38" t="str">
        <f t="shared" si="4"/>
        <v>КМ NCH8-63/40</v>
      </c>
      <c r="AA5" s="38" t="str">
        <f>IF(AND(A5="Модуль",C5&lt;&gt;"",OR($S$6="(все)",B5=$S$6)),MAX($AA$3:AA4)+1,"")</f>
        <v/>
      </c>
      <c r="AB5" s="38" t="str">
        <f t="shared" si="5"/>
        <v>ZIO-MB24</v>
      </c>
      <c r="AC5" s="38" t="str">
        <f>IF(OR(B5="",COUNTIF($B$4:B5,B5)&gt;1),"",MAX($AC$3:AC4)+1)</f>
        <v/>
      </c>
      <c r="AD5" s="38" t="str">
        <f t="shared" si="6"/>
        <v>Россия</v>
      </c>
      <c r="AE5" s="38">
        <f t="shared" si="7"/>
        <v>2005</v>
      </c>
      <c r="AF5" s="38">
        <f t="shared" si="8"/>
        <v>2</v>
      </c>
      <c r="AG5" s="38" t="str">
        <f>IF(Спецификация_авто!$L$5="","",IF(IF($S$4="(все)",COUNTIF($U$4:$U$500,Спецификация_авто!$L$5),COUNTIF($V$4:$V$500,$S$4&amp;"|"&amp;Спецификация_авто!$L$5))=0,Спецификация_авто!$L$5,""))</f>
        <v>3P С6А</v>
      </c>
      <c r="AH5" s="38">
        <f>IF(AG5="","",COUNTIF($AG$4:AG5,"?*"))</f>
        <v>2</v>
      </c>
    </row>
    <row r="6" spans="1:34" x14ac:dyDescent="0.3">
      <c r="A6" s="74" t="s">
        <v>7</v>
      </c>
      <c r="B6" s="74" t="s">
        <v>288</v>
      </c>
      <c r="C6" s="74" t="s">
        <v>676</v>
      </c>
      <c r="D6" s="74"/>
      <c r="E6" s="74"/>
      <c r="F6" s="74"/>
      <c r="G6" s="74" t="s">
        <v>677</v>
      </c>
      <c r="H6" s="74" t="s">
        <v>678</v>
      </c>
      <c r="I6" s="74" t="s">
        <v>679</v>
      </c>
      <c r="J6" s="74">
        <v>20</v>
      </c>
      <c r="K6" s="74" t="s">
        <v>488</v>
      </c>
      <c r="L6" s="74">
        <v>3</v>
      </c>
      <c r="M6" s="74" t="s">
        <v>284</v>
      </c>
      <c r="N6" s="38">
        <f>IF(OR(A6="Автомат",A6="Дифавтомат"),IF(W6="","",COUNTIFS(Однолинейка!$H$3:$H$3000,U6,Однолинейка!$A$3:$A$3000,Щит_спец)),IF(A6="Аппарат",IF(C6="","",COUNTIFS(Однолинейка!$I$3:$I$3000,C6,Однолинейка!$A$3:$A$3000,Щит_спец)+COUNTIFS(Однолинейка!$J$3:$J$3000,C6,Однолинейка!$A$3:$A$3000,Щит_спец)+COUNTIFS(Однолинейка!$K$3:$K$3000,C6,Однолинейка!$A$3:$A$3000,Щит_спец)),IF(A6="Модуль",IF(C6="","",COUNTIFS(Однолинейка!$AW$3:$AW$3000,"?*",Однолинейка!$AI$3:$AI$3000,C6,Однолинейка!$A$3:$A$3000,Щит_спец)),IF(A6="Клемма",IF(C6="","",IF(C6=$S$7,SUMIFS(Однолинейка!$BW$3:$BW$3000,Однолинейка!$A$3:$A$3000,Щит_спец),IF(C6=$S$8,SUMIFS(Однолинейка!$BX$3:$BX$3000,Однолинейка!$A$3:$A$3000,Щит_спец),""))),""))))</f>
        <v>0</v>
      </c>
      <c r="O6" s="74"/>
      <c r="P6" s="38">
        <f t="shared" si="0"/>
        <v>0</v>
      </c>
      <c r="R6" s="38" t="s">
        <v>680</v>
      </c>
      <c r="S6" s="74" t="s">
        <v>664</v>
      </c>
      <c r="U6" s="38" t="str">
        <f t="shared" si="1"/>
        <v>3P С20А</v>
      </c>
      <c r="V6" s="38" t="str">
        <f t="shared" si="2"/>
        <v>Chint|3P С20А</v>
      </c>
      <c r="W6" s="38">
        <f>IF(AND(U6&lt;&gt;"",OR($S$4="(все)",B6=$S$4),IF($S$4="(все)",COUNTIF($U$4:U6,U6),COUNTIFS($U$4:U6,U6,$B$4:B6,B6))=1),MAX($W$3:W5)+1,"")</f>
        <v>3</v>
      </c>
      <c r="X6" s="38" t="str">
        <f t="shared" si="3"/>
        <v>3P С20А</v>
      </c>
      <c r="Y6" s="38" t="str">
        <f>IF(AND(A6="Аппарат",C6&lt;&gt;"",OR($S$5="(все)",B6=$S$5)),MAX($Y$3:Y5)+1,"")</f>
        <v/>
      </c>
      <c r="Z6" s="38" t="str">
        <f t="shared" si="4"/>
        <v>КМ NCH8-40/40</v>
      </c>
      <c r="AA6" s="38" t="str">
        <f>IF(AND(A6="Модуль",C6&lt;&gt;"",OR($S$6="(все)",B6=$S$6)),MAX($AA$3:AA5)+1,"")</f>
        <v/>
      </c>
      <c r="AB6" s="38" t="str">
        <f t="shared" si="5"/>
        <v>ZIOMB16V3</v>
      </c>
      <c r="AC6" s="38" t="str">
        <f>IF(OR(B6="",COUNTIF($B$4:B6,B6)&gt;1),"",MAX($AC$3:AC5)+1)</f>
        <v/>
      </c>
      <c r="AD6" s="38" t="str">
        <f t="shared" si="6"/>
        <v>Arlight</v>
      </c>
      <c r="AE6" s="38" t="str">
        <f t="shared" si="7"/>
        <v/>
      </c>
      <c r="AF6" s="38" t="str">
        <f t="shared" si="8"/>
        <v/>
      </c>
      <c r="AG6" s="38" t="str">
        <f>IF(Спецификация_авто!$L$6="","",IF(IF($S$4="(все)",COUNTIF($U$4:$U$500,Спецификация_авто!$L$6),COUNTIF($V$4:$V$500,$S$4&amp;"|"&amp;Спецификация_авто!$L$6))=0,Спецификация_авто!$L$6,""))</f>
        <v/>
      </c>
      <c r="AH6" s="38" t="str">
        <f>IF(AG6="","",COUNTIF($AG$4:AG6,"?*"))</f>
        <v/>
      </c>
    </row>
    <row r="7" spans="1:34" x14ac:dyDescent="0.3">
      <c r="A7" s="74" t="s">
        <v>7</v>
      </c>
      <c r="B7" s="74" t="s">
        <v>288</v>
      </c>
      <c r="C7" s="74" t="s">
        <v>681</v>
      </c>
      <c r="D7" s="74"/>
      <c r="E7" s="74"/>
      <c r="F7" s="74"/>
      <c r="G7" s="74" t="s">
        <v>682</v>
      </c>
      <c r="H7" s="74" t="s">
        <v>683</v>
      </c>
      <c r="I7" s="74" t="s">
        <v>684</v>
      </c>
      <c r="J7" s="74">
        <v>50</v>
      </c>
      <c r="K7" s="74" t="s">
        <v>488</v>
      </c>
      <c r="L7" s="74">
        <v>4</v>
      </c>
      <c r="M7" s="74" t="s">
        <v>284</v>
      </c>
      <c r="N7" s="38">
        <f>IF(OR(A7="Автомат",A7="Дифавтомат"),IF(W7="","",COUNTIFS(Однолинейка!$H$3:$H$3000,U7,Однолинейка!$A$3:$A$3000,Щит_спец)),IF(A7="Аппарат",IF(C7="","",COUNTIFS(Однолинейка!$I$3:$I$3000,C7,Однолинейка!$A$3:$A$3000,Щит_спец)+COUNTIFS(Однолинейка!$J$3:$J$3000,C7,Однолинейка!$A$3:$A$3000,Щит_спец)+COUNTIFS(Однолинейка!$K$3:$K$3000,C7,Однолинейка!$A$3:$A$3000,Щит_спец)),IF(A7="Модуль",IF(C7="","",COUNTIFS(Однолинейка!$AW$3:$AW$3000,"?*",Однолинейка!$AI$3:$AI$3000,C7,Однолинейка!$A$3:$A$3000,Щит_спец)),IF(A7="Клемма",IF(C7="","",IF(C7=$S$7,SUMIFS(Однолинейка!$BW$3:$BW$3000,Однолинейка!$A$3:$A$3000,Щит_спец),IF(C7=$S$8,SUMIFS(Однолинейка!$BX$3:$BX$3000,Однолинейка!$A$3:$A$3000,Щит_спец),""))),""))))</f>
        <v>0</v>
      </c>
      <c r="O7" s="74"/>
      <c r="P7" s="38">
        <f t="shared" si="0"/>
        <v>0</v>
      </c>
      <c r="R7" s="38" t="s">
        <v>685</v>
      </c>
      <c r="S7" s="74" t="s">
        <v>319</v>
      </c>
      <c r="U7" s="38" t="str">
        <f t="shared" si="1"/>
        <v>4P С50А</v>
      </c>
      <c r="V7" s="38" t="str">
        <f t="shared" si="2"/>
        <v>Chint|4P С50А</v>
      </c>
      <c r="W7" s="38">
        <f>IF(AND(U7&lt;&gt;"",OR($S$4="(все)",B7=$S$4),IF($S$4="(все)",COUNTIF($U$4:U7,U7),COUNTIFS($U$4:U7,U7,$B$4:B7,B7))=1),MAX($W$3:W6)+1,"")</f>
        <v>4</v>
      </c>
      <c r="X7" s="38" t="str">
        <f t="shared" si="3"/>
        <v>4P С50А</v>
      </c>
      <c r="Y7" s="38" t="str">
        <f>IF(AND(A7="Аппарат",C7&lt;&gt;"",OR($S$5="(все)",B7=$S$5)),MAX($Y$3:Y6)+1,"")</f>
        <v/>
      </c>
      <c r="Z7" s="38" t="str">
        <f t="shared" si="4"/>
        <v>NJVA1-100</v>
      </c>
      <c r="AA7" s="38" t="str">
        <f>IF(AND(A7="Модуль",C7&lt;&gt;"",OR($S$6="(все)",B7=$S$6)),MAX($AA$3:AA6)+1,"")</f>
        <v/>
      </c>
      <c r="AB7" s="38" t="str">
        <f t="shared" si="5"/>
        <v>ZIOMB8V3</v>
      </c>
      <c r="AC7" s="38" t="str">
        <f>IF(OR(B7="",COUNTIF($B$4:B7,B7)&gt;1),"",MAX($AC$3:AC6)+1)</f>
        <v/>
      </c>
      <c r="AD7" s="38" t="str">
        <f t="shared" si="6"/>
        <v>Zennio</v>
      </c>
      <c r="AE7" s="38" t="str">
        <f t="shared" si="7"/>
        <v/>
      </c>
      <c r="AF7" s="38" t="str">
        <f t="shared" si="8"/>
        <v/>
      </c>
      <c r="AG7" s="38" t="str">
        <f>IF(Спецификация_авто!$L$7="","",IF(IF($S$4="(все)",COUNTIF($U$4:$U$500,Спецификация_авто!$L$7),COUNTIF($V$4:$V$500,$S$4&amp;"|"&amp;Спецификация_авто!$L$7))=0,Спецификация_авто!$L$7,""))</f>
        <v/>
      </c>
      <c r="AH7" s="38" t="str">
        <f>IF(AG7="","",COUNTIF($AG$4:AG7,"?*"))</f>
        <v/>
      </c>
    </row>
    <row r="8" spans="1:34" x14ac:dyDescent="0.3">
      <c r="A8" s="74" t="s">
        <v>7</v>
      </c>
      <c r="B8" s="74" t="s">
        <v>288</v>
      </c>
      <c r="C8" s="74" t="s">
        <v>686</v>
      </c>
      <c r="D8" s="74"/>
      <c r="E8" s="74"/>
      <c r="F8" s="74"/>
      <c r="G8" s="74" t="s">
        <v>687</v>
      </c>
      <c r="H8" s="74" t="s">
        <v>369</v>
      </c>
      <c r="I8" s="74" t="s">
        <v>679</v>
      </c>
      <c r="J8" s="74">
        <v>80</v>
      </c>
      <c r="K8" s="74" t="s">
        <v>488</v>
      </c>
      <c r="L8" s="74">
        <v>4.5</v>
      </c>
      <c r="M8" s="74" t="s">
        <v>284</v>
      </c>
      <c r="N8" s="38">
        <f>IF(OR(A8="Автомат",A8="Дифавтомат"),IF(W8="","",COUNTIFS(Однолинейка!$H$3:$H$3000,U8,Однолинейка!$A$3:$A$3000,Щит_спец)),IF(A8="Аппарат",IF(C8="","",COUNTIFS(Однолинейка!$I$3:$I$3000,C8,Однолинейка!$A$3:$A$3000,Щит_спец)+COUNTIFS(Однолинейка!$J$3:$J$3000,C8,Однолинейка!$A$3:$A$3000,Щит_спец)+COUNTIFS(Однолинейка!$K$3:$K$3000,C8,Однолинейка!$A$3:$A$3000,Щит_спец)),IF(A8="Модуль",IF(C8="","",COUNTIFS(Однолинейка!$AW$3:$AW$3000,"?*",Однолинейка!$AI$3:$AI$3000,C8,Однолинейка!$A$3:$A$3000,Щит_спец)),IF(A8="Клемма",IF(C8="","",IF(C8=$S$7,SUMIFS(Однолинейка!$BW$3:$BW$3000,Однолинейка!$A$3:$A$3000,Щит_спец),IF(C8=$S$8,SUMIFS(Однолинейка!$BX$3:$BX$3000,Однолинейка!$A$3:$A$3000,Щит_спец),""))),""))))</f>
        <v>0</v>
      </c>
      <c r="O8" s="74"/>
      <c r="P8" s="38">
        <f t="shared" si="0"/>
        <v>0</v>
      </c>
      <c r="R8" s="38" t="s">
        <v>688</v>
      </c>
      <c r="S8" s="74" t="s">
        <v>400</v>
      </c>
      <c r="U8" s="38" t="str">
        <f t="shared" si="1"/>
        <v>3P С80А</v>
      </c>
      <c r="V8" s="38" t="str">
        <f t="shared" si="2"/>
        <v>Chint|3P С80А</v>
      </c>
      <c r="W8" s="38">
        <f>IF(AND(U8&lt;&gt;"",OR($S$4="(все)",B8=$S$4),IF($S$4="(все)",COUNTIF($U$4:U8,U8),COUNTIFS($U$4:U8,U8,$B$4:B8,B8))=1),MAX($W$3:W7)+1,"")</f>
        <v>5</v>
      </c>
      <c r="X8" s="38" t="str">
        <f t="shared" si="3"/>
        <v>3P С80А</v>
      </c>
      <c r="Y8" s="38" t="str">
        <f>IF(AND(A8="Аппарат",C8&lt;&gt;"",OR($S$5="(все)",B8=$S$5)),MAX($Y$3:Y7)+1,"")</f>
        <v/>
      </c>
      <c r="Z8" s="38" t="str">
        <f t="shared" si="4"/>
        <v>NZK1-32 2P</v>
      </c>
      <c r="AA8" s="38" t="str">
        <f>IF(AND(A8="Модуль",C8&lt;&gt;"",OR($S$6="(все)",B8=$S$6)),MAX($AA$3:AA7)+1,"")</f>
        <v/>
      </c>
      <c r="AB8" s="38" t="str">
        <f t="shared" si="5"/>
        <v>ZCL-8HT230</v>
      </c>
      <c r="AC8" s="38" t="str">
        <f>IF(OR(B8="",COUNTIF($B$4:B8,B8)&gt;1),"",MAX($AC$3:AC7)+1)</f>
        <v/>
      </c>
      <c r="AD8" s="38" t="str">
        <f t="shared" si="6"/>
        <v>—</v>
      </c>
      <c r="AE8" s="38" t="str">
        <f t="shared" si="7"/>
        <v/>
      </c>
      <c r="AF8" s="38" t="str">
        <f t="shared" si="8"/>
        <v/>
      </c>
      <c r="AG8" s="38" t="str">
        <f>IF(Спецификация_авто!$L$8="","",IF(IF($S$4="(все)",COUNTIF($U$4:$U$500,Спецификация_авто!$L$8),COUNTIF($V$4:$V$500,$S$4&amp;"|"&amp;Спецификация_авто!$L$8))=0,Спецификация_авто!$L$8,""))</f>
        <v>3P С63А</v>
      </c>
      <c r="AH8" s="38">
        <f>IF(AG8="","",COUNTIF($AG$4:AG8,"?*"))</f>
        <v>3</v>
      </c>
    </row>
    <row r="9" spans="1:34" x14ac:dyDescent="0.3">
      <c r="A9" s="74" t="s">
        <v>689</v>
      </c>
      <c r="B9" s="74" t="s">
        <v>288</v>
      </c>
      <c r="C9" s="74" t="s">
        <v>690</v>
      </c>
      <c r="D9" s="74"/>
      <c r="E9" s="74"/>
      <c r="F9" s="74"/>
      <c r="G9" s="74" t="s">
        <v>691</v>
      </c>
      <c r="H9" s="74" t="s">
        <v>295</v>
      </c>
      <c r="I9" s="74" t="s">
        <v>692</v>
      </c>
      <c r="J9" s="74">
        <v>16</v>
      </c>
      <c r="K9" s="74" t="s">
        <v>492</v>
      </c>
      <c r="L9" s="74">
        <v>2</v>
      </c>
      <c r="M9" s="74" t="s">
        <v>284</v>
      </c>
      <c r="N9" s="38">
        <f>IF(OR(A9="Автомат",A9="Дифавтомат"),IF(W9="","",COUNTIFS(Однолинейка!$H$3:$H$3000,U9,Однолинейка!$A$3:$A$3000,Щит_спец)),IF(A9="Аппарат",IF(C9="","",COUNTIFS(Однолинейка!$I$3:$I$3000,C9,Однолинейка!$A$3:$A$3000,Щит_спец)+COUNTIFS(Однолинейка!$J$3:$J$3000,C9,Однолинейка!$A$3:$A$3000,Щит_спец)+COUNTIFS(Однолинейка!$K$3:$K$3000,C9,Однолинейка!$A$3:$A$3000,Щит_спец)),IF(A9="Модуль",IF(C9="","",COUNTIFS(Однолинейка!$AW$3:$AW$3000,"?*",Однолинейка!$AI$3:$AI$3000,C9,Однолинейка!$A$3:$A$3000,Щит_спец)),IF(A9="Клемма",IF(C9="","",IF(C9=$S$7,SUMIFS(Однолинейка!$BW$3:$BW$3000,Однолинейка!$A$3:$A$3000,Щит_спец),IF(C9=$S$8,SUMIFS(Однолинейка!$BX$3:$BX$3000,Однолинейка!$A$3:$A$3000,Щит_спец),""))),""))))</f>
        <v>139</v>
      </c>
      <c r="O9" s="74"/>
      <c r="P9" s="38">
        <f t="shared" si="0"/>
        <v>139</v>
      </c>
      <c r="R9" s="38" t="s">
        <v>693</v>
      </c>
      <c r="S9" s="74">
        <v>1</v>
      </c>
      <c r="U9" s="38" t="str">
        <f t="shared" si="1"/>
        <v>2P С16А 30мА</v>
      </c>
      <c r="V9" s="38" t="str">
        <f t="shared" si="2"/>
        <v>Chint|2P С16А 30мА</v>
      </c>
      <c r="W9" s="38">
        <f>IF(AND(U9&lt;&gt;"",OR($S$4="(все)",B9=$S$4),IF($S$4="(все)",COUNTIF($U$4:U9,U9),COUNTIFS($U$4:U9,U9,$B$4:B9,B9))=1),MAX($W$3:W8)+1,"")</f>
        <v>6</v>
      </c>
      <c r="X9" s="38" t="str">
        <f t="shared" si="3"/>
        <v>2P С16А 30мА</v>
      </c>
      <c r="Y9" s="38" t="str">
        <f>IF(AND(A9="Аппарат",C9&lt;&gt;"",OR($S$5="(все)",B9=$S$5)),MAX($Y$3:Y8)+1,"")</f>
        <v/>
      </c>
      <c r="Z9" s="38" t="str">
        <f t="shared" si="4"/>
        <v>БП 24V 480W</v>
      </c>
      <c r="AA9" s="38" t="str">
        <f>IF(AND(A9="Модуль",C9&lt;&gt;"",OR($S$6="(все)",B9=$S$6)),MAX($AA$3:AA8)+1,"")</f>
        <v/>
      </c>
      <c r="AB9" s="38" t="str">
        <f t="shared" si="5"/>
        <v>ZDINDX4</v>
      </c>
      <c r="AC9" s="38" t="str">
        <f>IF(OR(B9="",COUNTIF($B$4:B9,B9)&gt;1),"",MAX($AC$3:AC8)+1)</f>
        <v/>
      </c>
      <c r="AD9" s="38" t="str">
        <f t="shared" si="6"/>
        <v>DKC</v>
      </c>
      <c r="AE9" s="38">
        <f t="shared" si="7"/>
        <v>3009</v>
      </c>
      <c r="AF9" s="38">
        <f t="shared" si="8"/>
        <v>3</v>
      </c>
      <c r="AG9" s="38" t="str">
        <f>IF(Спецификация_авто!$L$9="","",IF(IF($S$4="(все)",COUNTIF($U$4:$U$500,Спецификация_авто!$L$9),COUNTIF($V$4:$V$500,$S$4&amp;"|"&amp;Спецификация_авто!$L$9))=0,Спецификация_авто!$L$9,""))</f>
        <v>3P С25А</v>
      </c>
      <c r="AH9" s="38">
        <f>IF(AG9="","",COUNTIF($AG$4:AG9,"?*"))</f>
        <v>4</v>
      </c>
    </row>
    <row r="10" spans="1:34" x14ac:dyDescent="0.3">
      <c r="A10" s="74" t="s">
        <v>689</v>
      </c>
      <c r="B10" s="74" t="s">
        <v>288</v>
      </c>
      <c r="C10" s="74" t="s">
        <v>694</v>
      </c>
      <c r="D10" s="74"/>
      <c r="E10" s="74"/>
      <c r="F10" s="74"/>
      <c r="G10" s="74" t="s">
        <v>695</v>
      </c>
      <c r="H10" s="74" t="s">
        <v>385</v>
      </c>
      <c r="I10" s="74" t="s">
        <v>692</v>
      </c>
      <c r="J10" s="74">
        <v>20</v>
      </c>
      <c r="K10" s="74" t="s">
        <v>492</v>
      </c>
      <c r="L10" s="74">
        <v>2</v>
      </c>
      <c r="M10" s="74" t="s">
        <v>284</v>
      </c>
      <c r="N10" s="38">
        <f>IF(OR(A10="Автомат",A10="Дифавтомат"),IF(W10="","",COUNTIFS(Однолинейка!$H$3:$H$3000,U10,Однолинейка!$A$3:$A$3000,Щит_спец)),IF(A10="Аппарат",IF(C10="","",COUNTIFS(Однолинейка!$I$3:$I$3000,C10,Однолинейка!$A$3:$A$3000,Щит_спец)+COUNTIFS(Однолинейка!$J$3:$J$3000,C10,Однолинейка!$A$3:$A$3000,Щит_спец)+COUNTIFS(Однолинейка!$K$3:$K$3000,C10,Однолинейка!$A$3:$A$3000,Щит_спец)),IF(A10="Модуль",IF(C10="","",COUNTIFS(Однолинейка!$AW$3:$AW$3000,"?*",Однолинейка!$AI$3:$AI$3000,C10,Однолинейка!$A$3:$A$3000,Щит_спец)),IF(A10="Клемма",IF(C10="","",IF(C10=$S$7,SUMIFS(Однолинейка!$BW$3:$BW$3000,Однолинейка!$A$3:$A$3000,Щит_спец),IF(C10=$S$8,SUMIFS(Однолинейка!$BX$3:$BX$3000,Однолинейка!$A$3:$A$3000,Щит_спец),""))),""))))</f>
        <v>3</v>
      </c>
      <c r="O10" s="74"/>
      <c r="P10" s="38">
        <f t="shared" si="0"/>
        <v>3</v>
      </c>
      <c r="U10" s="38" t="str">
        <f t="shared" si="1"/>
        <v>2P С20А 30мА</v>
      </c>
      <c r="V10" s="38" t="str">
        <f t="shared" si="2"/>
        <v>Chint|2P С20А 30мА</v>
      </c>
      <c r="W10" s="38">
        <f>IF(AND(U10&lt;&gt;"",OR($S$4="(все)",B10=$S$4),IF($S$4="(все)",COUNTIF($U$4:U10,U10),COUNTIFS($U$4:U10,U10,$B$4:B10,B10))=1),MAX($W$3:W9)+1,"")</f>
        <v>7</v>
      </c>
      <c r="X10" s="38" t="str">
        <f t="shared" si="3"/>
        <v>2P С20А 30мА</v>
      </c>
      <c r="Y10" s="38" t="str">
        <f>IF(AND(A10="Аппарат",C10&lt;&gt;"",OR($S$5="(все)",B10=$S$5)),MAX($Y$3:Y9)+1,"")</f>
        <v/>
      </c>
      <c r="Z10" s="38" t="str">
        <f t="shared" si="4"/>
        <v>БП 24V 75W</v>
      </c>
      <c r="AA10" s="38" t="str">
        <f>IF(AND(A10="Модуль",C10&lt;&gt;"",OR($S$6="(все)",B10=$S$6)),MAX($AA$3:AA9)+1,"")</f>
        <v/>
      </c>
      <c r="AB10" s="38" t="str">
        <f t="shared" si="5"/>
        <v>ZDID64X2</v>
      </c>
      <c r="AC10" s="38" t="str">
        <f>IF(OR(B10="",COUNTIF($B$4:B10,B10)&gt;1),"",MAX($AC$3:AC9)+1)</f>
        <v/>
      </c>
      <c r="AD10" s="38" t="str">
        <f t="shared" si="6"/>
        <v>EKF</v>
      </c>
      <c r="AE10" s="38">
        <f t="shared" si="7"/>
        <v>3010</v>
      </c>
      <c r="AF10" s="38">
        <f t="shared" si="8"/>
        <v>4</v>
      </c>
      <c r="AG10" s="38" t="str">
        <f>IF(Спецификация_авто!$L$10="","",IF(IF($S$4="(все)",COUNTIF($U$4:$U$500,Спецификация_авто!$L$10),COUNTIF($V$4:$V$500,$S$4&amp;"|"&amp;Спецификация_авто!$L$10))=0,Спецификация_авто!$L$10,""))</f>
        <v>3P С16А</v>
      </c>
      <c r="AH10" s="38">
        <f>IF(AG10="","",COUNTIF($AG$4:AG10,"?*"))</f>
        <v>5</v>
      </c>
    </row>
    <row r="11" spans="1:34" ht="27.6" x14ac:dyDescent="0.3">
      <c r="A11" s="74" t="s">
        <v>689</v>
      </c>
      <c r="B11" s="74" t="s">
        <v>288</v>
      </c>
      <c r="C11" s="74" t="s">
        <v>696</v>
      </c>
      <c r="D11" s="74"/>
      <c r="E11" s="74"/>
      <c r="F11" s="74"/>
      <c r="G11" s="74" t="s">
        <v>697</v>
      </c>
      <c r="H11" s="74" t="s">
        <v>294</v>
      </c>
      <c r="I11" s="74" t="s">
        <v>692</v>
      </c>
      <c r="J11" s="74">
        <v>32</v>
      </c>
      <c r="K11" s="74" t="s">
        <v>492</v>
      </c>
      <c r="L11" s="74">
        <v>2</v>
      </c>
      <c r="M11" s="74" t="s">
        <v>284</v>
      </c>
      <c r="N11" s="38">
        <f>IF(OR(A11="Автомат",A11="Дифавтомат"),IF(W11="","",COUNTIFS(Однолинейка!$H$3:$H$3000,U11,Однолинейка!$A$3:$A$3000,Щит_спец)),IF(A11="Аппарат",IF(C11="","",COUNTIFS(Однолинейка!$I$3:$I$3000,C11,Однолинейка!$A$3:$A$3000,Щит_спец)+COUNTIFS(Однолинейка!$J$3:$J$3000,C11,Однолинейка!$A$3:$A$3000,Щит_спец)+COUNTIFS(Однолинейка!$K$3:$K$3000,C11,Однолинейка!$A$3:$A$3000,Щит_спец)),IF(A11="Модуль",IF(C11="","",COUNTIFS(Однолинейка!$AW$3:$AW$3000,"?*",Однолинейка!$AI$3:$AI$3000,C11,Однолинейка!$A$3:$A$3000,Щит_спец)),IF(A11="Клемма",IF(C11="","",IF(C11=$S$7,SUMIFS(Однолинейка!$BW$3:$BW$3000,Однолинейка!$A$3:$A$3000,Щит_спец),IF(C11=$S$8,SUMIFS(Однолинейка!$BX$3:$BX$3000,Однолинейка!$A$3:$A$3000,Щит_спец),""))),""))))</f>
        <v>0</v>
      </c>
      <c r="O11" s="74"/>
      <c r="P11" s="38">
        <f t="shared" si="0"/>
        <v>0</v>
      </c>
      <c r="R11" s="35" t="s">
        <v>698</v>
      </c>
      <c r="S11" s="35"/>
      <c r="U11" s="38" t="str">
        <f t="shared" si="1"/>
        <v>2P С32А 30мА</v>
      </c>
      <c r="V11" s="38" t="str">
        <f t="shared" si="2"/>
        <v>Chint|2P С32А 30мА</v>
      </c>
      <c r="W11" s="38">
        <f>IF(AND(U11&lt;&gt;"",OR($S$4="(все)",B11=$S$4),IF($S$4="(все)",COUNTIF($U$4:U11,U11),COUNTIFS($U$4:U11,U11,$B$4:B11,B11))=1),MAX($W$3:W10)+1,"")</f>
        <v>8</v>
      </c>
      <c r="X11" s="38" t="str">
        <f t="shared" si="3"/>
        <v>2P С32А 30мА</v>
      </c>
      <c r="Y11" s="38" t="str">
        <f>IF(AND(A11="Аппарат",C11&lt;&gt;"",OR($S$5="(все)",B11=$S$5)),MAX($Y$3:Y10)+1,"")</f>
        <v/>
      </c>
      <c r="Z11" s="38" t="str">
        <f t="shared" si="4"/>
        <v>БП 12V 135W</v>
      </c>
      <c r="AA11" s="38" t="str">
        <f>IF(AND(A11="Модуль",C11&lt;&gt;"",OR($S$6="(все)",B11=$S$6)),MAX($AA$3:AA10)+1,"")</f>
        <v/>
      </c>
      <c r="AB11" s="38" t="str">
        <f t="shared" si="5"/>
        <v>ZIO-RQUAD8</v>
      </c>
      <c r="AC11" s="38" t="str">
        <f>IF(OR(B11="",COUNTIF($B$4:B11,B11)&gt;1),"",MAX($AC$3:AC10)+1)</f>
        <v/>
      </c>
      <c r="AD11" s="38" t="str">
        <f t="shared" si="6"/>
        <v>РЭК</v>
      </c>
      <c r="AE11" s="38" t="str">
        <f t="shared" si="7"/>
        <v/>
      </c>
      <c r="AF11" s="38" t="str">
        <f t="shared" si="8"/>
        <v/>
      </c>
      <c r="AG11" s="38" t="str">
        <f>IF(Спецификация_авто!$L$11="","",IF(IF($S$4="(все)",COUNTIF($U$4:$U$500,Спецификация_авто!$L$11),COUNTIF($V$4:$V$500,$S$4&amp;"|"&amp;Спецификация_авто!$L$11))=0,Спецификация_авто!$L$11,""))</f>
        <v>1P С20А</v>
      </c>
      <c r="AH11" s="38">
        <f>IF(AG11="","",COUNTIF($AG$4:AG11,"?*"))</f>
        <v>6</v>
      </c>
    </row>
    <row r="12" spans="1:34" x14ac:dyDescent="0.3">
      <c r="A12" s="74" t="s">
        <v>699</v>
      </c>
      <c r="B12" s="74" t="s">
        <v>301</v>
      </c>
      <c r="C12" s="74" t="s">
        <v>532</v>
      </c>
      <c r="D12" s="74"/>
      <c r="E12" s="74"/>
      <c r="F12" s="74"/>
      <c r="G12" s="74" t="s">
        <v>299</v>
      </c>
      <c r="H12" s="74" t="s">
        <v>300</v>
      </c>
      <c r="I12" s="74"/>
      <c r="J12" s="74"/>
      <c r="K12" s="74"/>
      <c r="L12" s="74">
        <v>1</v>
      </c>
      <c r="M12" s="74" t="s">
        <v>284</v>
      </c>
      <c r="N12" s="38">
        <f>IF(OR(A12="Автомат",A12="Дифавтомат"),IF(W12="","",COUNTIFS(Однолинейка!$H$3:$H$3000,U12,Однолинейка!$A$3:$A$3000,Щит_спец)),IF(A12="Аппарат",IF(C12="","",COUNTIFS(Однолинейка!$I$3:$I$3000,C12,Однолинейка!$A$3:$A$3000,Щит_спец)+COUNTIFS(Однолинейка!$J$3:$J$3000,C12,Однолинейка!$A$3:$A$3000,Щит_спец)+COUNTIFS(Однолинейка!$K$3:$K$3000,C12,Однолинейка!$A$3:$A$3000,Щит_спец)),IF(A12="Модуль",IF(C12="","",COUNTIFS(Однолинейка!$AW$3:$AW$3000,"?*",Однолинейка!$AI$3:$AI$3000,C12,Однолинейка!$A$3:$A$3000,Щит_спец)),IF(A12="Клемма",IF(C12="","",IF(C12=$S$7,SUMIFS(Однолинейка!$BW$3:$BW$3000,Однолинейка!$A$3:$A$3000,Щит_спец),IF(C12=$S$8,SUMIFS(Однолинейка!$BX$3:$BX$3000,Однолинейка!$A$3:$A$3000,Щит_спец),""))),""))))</f>
        <v>0</v>
      </c>
      <c r="O12" s="74"/>
      <c r="P12" s="38">
        <f t="shared" si="0"/>
        <v>0</v>
      </c>
      <c r="R12" s="74" t="s">
        <v>700</v>
      </c>
      <c r="U12" s="38" t="str">
        <f t="shared" si="1"/>
        <v/>
      </c>
      <c r="V12" s="38" t="str">
        <f t="shared" si="2"/>
        <v/>
      </c>
      <c r="W12" s="38" t="str">
        <f>IF(AND(U12&lt;&gt;"",OR($S$4="(все)",B12=$S$4),IF($S$4="(все)",COUNTIF($U$4:U12,U12),COUNTIFS($U$4:U12,U12,$B$4:B12,B12))=1),MAX($W$3:W11)+1,"")</f>
        <v/>
      </c>
      <c r="X12" s="38" t="str">
        <f t="shared" si="3"/>
        <v/>
      </c>
      <c r="Y12" s="38">
        <f>IF(AND(A12="Аппарат",C12&lt;&gt;"",OR($S$5="(все)",B12=$S$5)),MAX($Y$3:Y11)+1,"")</f>
        <v>1</v>
      </c>
      <c r="Z12" s="38" t="str">
        <f t="shared" si="4"/>
        <v>БП 12V 15W</v>
      </c>
      <c r="AA12" s="38" t="str">
        <f>IF(AND(A12="Модуль",C12&lt;&gt;"",OR($S$6="(все)",B12=$S$6)),MAX($AA$3:AA11)+1,"")</f>
        <v/>
      </c>
      <c r="AB12" s="38" t="str">
        <f t="shared" si="5"/>
        <v>SMART-DALI-104</v>
      </c>
      <c r="AC12" s="38">
        <f>IF(OR(B12="",COUNTIF($B$4:B12,B12)&gt;1),"",MAX($AC$3:AC11)+1)</f>
        <v>2</v>
      </c>
      <c r="AD12" s="38" t="str">
        <f t="shared" si="6"/>
        <v>КВТ</v>
      </c>
      <c r="AE12" s="38" t="str">
        <f t="shared" si="7"/>
        <v/>
      </c>
      <c r="AF12" s="38" t="str">
        <f t="shared" si="8"/>
        <v/>
      </c>
      <c r="AG12" s="38" t="str">
        <f>IF(Спецификация_авто!$L$12="","",IF(IF($S$4="(все)",COUNTIF($U$4:$U$500,Спецификация_авто!$L$12),COUNTIF($V$4:$V$500,$S$4&amp;"|"&amp;Спецификация_авто!$L$12))=0,Спецификация_авто!$L$12,""))</f>
        <v/>
      </c>
      <c r="AH12" s="38" t="str">
        <f>IF(AG12="","",COUNTIF($AG$4:AG12,"?*"))</f>
        <v/>
      </c>
    </row>
    <row r="13" spans="1:34" x14ac:dyDescent="0.3">
      <c r="A13" s="74" t="s">
        <v>699</v>
      </c>
      <c r="B13" s="74" t="s">
        <v>288</v>
      </c>
      <c r="C13" s="74" t="s">
        <v>701</v>
      </c>
      <c r="D13" s="74"/>
      <c r="E13" s="74"/>
      <c r="F13" s="74"/>
      <c r="G13" s="74" t="s">
        <v>702</v>
      </c>
      <c r="H13" s="74" t="s">
        <v>290</v>
      </c>
      <c r="I13" s="74"/>
      <c r="J13" s="74"/>
      <c r="K13" s="74"/>
      <c r="L13" s="74">
        <v>3</v>
      </c>
      <c r="M13" s="74" t="s">
        <v>284</v>
      </c>
      <c r="N13" s="38">
        <f>IF(OR(A13="Автомат",A13="Дифавтомат"),IF(W13="","",COUNTIFS(Однолинейка!$H$3:$H$3000,U13,Однолинейка!$A$3:$A$3000,Щит_спец)),IF(A13="Аппарат",IF(C13="","",COUNTIFS(Однолинейка!$I$3:$I$3000,C13,Однолинейка!$A$3:$A$3000,Щит_спец)+COUNTIFS(Однолинейка!$J$3:$J$3000,C13,Однолинейка!$A$3:$A$3000,Щит_спец)+COUNTIFS(Однолинейка!$K$3:$K$3000,C13,Однолинейка!$A$3:$A$3000,Щит_спец)),IF(A13="Модуль",IF(C13="","",COUNTIFS(Однолинейка!$AW$3:$AW$3000,"?*",Однолинейка!$AI$3:$AI$3000,C13,Однолинейка!$A$3:$A$3000,Щит_спец)),IF(A13="Клемма",IF(C13="","",IF(C13=$S$7,SUMIFS(Однолинейка!$BW$3:$BW$3000,Однолинейка!$A$3:$A$3000,Щит_спец),IF(C13=$S$8,SUMIFS(Однолинейка!$BX$3:$BX$3000,Однолинейка!$A$3:$A$3000,Щит_спец),""))),""))))</f>
        <v>0</v>
      </c>
      <c r="O13" s="74"/>
      <c r="P13" s="38">
        <f t="shared" si="0"/>
        <v>0</v>
      </c>
      <c r="R13" s="74" t="s">
        <v>7</v>
      </c>
      <c r="U13" s="38" t="str">
        <f t="shared" si="1"/>
        <v/>
      </c>
      <c r="V13" s="38" t="str">
        <f t="shared" si="2"/>
        <v/>
      </c>
      <c r="W13" s="38" t="str">
        <f>IF(AND(U13&lt;&gt;"",OR($S$4="(все)",B13=$S$4),IF($S$4="(все)",COUNTIF($U$4:U13,U13),COUNTIFS($U$4:U13,U13,$B$4:B13,B13))=1),MAX($W$3:W12)+1,"")</f>
        <v/>
      </c>
      <c r="X13" s="38" t="str">
        <f t="shared" si="3"/>
        <v/>
      </c>
      <c r="Y13" s="38">
        <f>IF(AND(A13="Аппарат",C13&lt;&gt;"",OR($S$5="(все)",B13=$S$5)),MAX($Y$3:Y12)+1,"")</f>
        <v>2</v>
      </c>
      <c r="Z13" s="38" t="str">
        <f t="shared" si="4"/>
        <v>ZPSU640</v>
      </c>
      <c r="AA13" s="38" t="str">
        <f>IF(AND(A13="Модуль",C13&lt;&gt;"",OR($S$6="(все)",B13=$S$6)),MAX($AA$3:AA12)+1,"")</f>
        <v/>
      </c>
      <c r="AB13" s="38" t="str">
        <f t="shared" si="5"/>
        <v>уточнить-R</v>
      </c>
      <c r="AC13" s="38" t="str">
        <f>IF(OR(B13="",COUNTIF($B$4:B13,B13)&gt;1),"",MAX($AC$3:AC12)+1)</f>
        <v/>
      </c>
      <c r="AD13" s="38" t="str">
        <f t="shared" si="6"/>
        <v/>
      </c>
      <c r="AE13" s="38" t="str">
        <f t="shared" si="7"/>
        <v/>
      </c>
      <c r="AF13" s="38" t="str">
        <f t="shared" si="8"/>
        <v/>
      </c>
      <c r="AG13" s="38" t="str">
        <f>IF(Спецификация_авто!$L$13="","",IF(IF($S$4="(все)",COUNTIF($U$4:$U$500,Спецификация_авто!$L$13),COUNTIF($V$4:$V$500,$S$4&amp;"|"&amp;Спецификация_авто!$L$13))=0,Спецификация_авто!$L$13,""))</f>
        <v>1P С25А</v>
      </c>
      <c r="AH13" s="38">
        <f>IF(AG13="","",COUNTIF($AG$4:AG13,"?*"))</f>
        <v>7</v>
      </c>
    </row>
    <row r="14" spans="1:34" x14ac:dyDescent="0.3">
      <c r="A14" s="74" t="s">
        <v>699</v>
      </c>
      <c r="B14" s="74" t="s">
        <v>288</v>
      </c>
      <c r="C14" s="74" t="s">
        <v>703</v>
      </c>
      <c r="D14" s="74"/>
      <c r="E14" s="74"/>
      <c r="F14" s="74"/>
      <c r="G14" s="74" t="s">
        <v>704</v>
      </c>
      <c r="H14" s="74" t="s">
        <v>296</v>
      </c>
      <c r="I14" s="74"/>
      <c r="J14" s="74"/>
      <c r="K14" s="74"/>
      <c r="L14" s="74">
        <v>3</v>
      </c>
      <c r="M14" s="74" t="s">
        <v>284</v>
      </c>
      <c r="N14" s="38">
        <f>IF(OR(A14="Автомат",A14="Дифавтомат"),IF(W14="","",COUNTIFS(Однолинейка!$H$3:$H$3000,U14,Однолинейка!$A$3:$A$3000,Щит_спец)),IF(A14="Аппарат",IF(C14="","",COUNTIFS(Однолинейка!$I$3:$I$3000,C14,Однолинейка!$A$3:$A$3000,Щит_спец)+COUNTIFS(Однолинейка!$J$3:$J$3000,C14,Однолинейка!$A$3:$A$3000,Щит_спец)+COUNTIFS(Однолинейка!$K$3:$K$3000,C14,Однолинейка!$A$3:$A$3000,Щит_спец)),IF(A14="Модуль",IF(C14="","",COUNTIFS(Однолинейка!$AW$3:$AW$3000,"?*",Однолинейка!$AI$3:$AI$3000,C14,Однолинейка!$A$3:$A$3000,Щит_спец)),IF(A14="Клемма",IF(C14="","",IF(C14=$S$7,SUMIFS(Однолинейка!$BW$3:$BW$3000,Однолинейка!$A$3:$A$3000,Щит_спец),IF(C14=$S$8,SUMIFS(Однолинейка!$BX$3:$BX$3000,Однолинейка!$A$3:$A$3000,Щит_спец),""))),""))))</f>
        <v>0</v>
      </c>
      <c r="O14" s="74"/>
      <c r="P14" s="38">
        <f t="shared" si="0"/>
        <v>0</v>
      </c>
      <c r="R14" s="74" t="s">
        <v>689</v>
      </c>
      <c r="U14" s="38" t="str">
        <f t="shared" si="1"/>
        <v/>
      </c>
      <c r="V14" s="38" t="str">
        <f t="shared" si="2"/>
        <v/>
      </c>
      <c r="W14" s="38" t="str">
        <f>IF(AND(U14&lt;&gt;"",OR($S$4="(все)",B14=$S$4),IF($S$4="(все)",COUNTIF($U$4:U14,U14),COUNTIFS($U$4:U14,U14,$B$4:B14,B14))=1),MAX($W$3:W13)+1,"")</f>
        <v/>
      </c>
      <c r="X14" s="38" t="str">
        <f t="shared" si="3"/>
        <v/>
      </c>
      <c r="Y14" s="38">
        <f>IF(AND(A14="Аппарат",C14&lt;&gt;"",OR($S$5="(все)",B14=$S$5)),MAX($Y$3:Y13)+1,"")</f>
        <v>3</v>
      </c>
      <c r="Z14" s="38" t="str">
        <f t="shared" si="4"/>
        <v/>
      </c>
      <c r="AA14" s="38" t="str">
        <f>IF(AND(A14="Модуль",C14&lt;&gt;"",OR($S$6="(все)",B14=$S$6)),MAX($AA$3:AA13)+1,"")</f>
        <v/>
      </c>
      <c r="AB14" s="38" t="str">
        <f t="shared" si="5"/>
        <v>уточнить-Z</v>
      </c>
      <c r="AC14" s="38" t="str">
        <f>IF(OR(B14="",COUNTIF($B$4:B14,B14)&gt;1),"",MAX($AC$3:AC13)+1)</f>
        <v/>
      </c>
      <c r="AD14" s="38" t="str">
        <f t="shared" si="6"/>
        <v/>
      </c>
      <c r="AE14" s="38" t="str">
        <f t="shared" si="7"/>
        <v/>
      </c>
      <c r="AF14" s="38" t="str">
        <f t="shared" si="8"/>
        <v/>
      </c>
      <c r="AG14" s="38" t="str">
        <f>IF(Спецификация_авто!$L$14="","",IF(IF($S$4="(все)",COUNTIF($U$4:$U$500,Спецификация_авто!$L$14),COUNTIF($V$4:$V$500,$S$4&amp;"|"&amp;Спецификация_авто!$L$14))=0,Спецификация_авто!$L$14,""))</f>
        <v/>
      </c>
      <c r="AH14" s="38" t="str">
        <f>IF(AG14="","",COUNTIF($AG$4:AG14,"?*"))</f>
        <v/>
      </c>
    </row>
    <row r="15" spans="1:34" x14ac:dyDescent="0.3">
      <c r="A15" s="74" t="s">
        <v>699</v>
      </c>
      <c r="B15" s="74" t="s">
        <v>288</v>
      </c>
      <c r="C15" s="74" t="s">
        <v>705</v>
      </c>
      <c r="D15" s="74"/>
      <c r="E15" s="74"/>
      <c r="F15" s="74"/>
      <c r="G15" s="74" t="s">
        <v>366</v>
      </c>
      <c r="H15" s="74" t="s">
        <v>367</v>
      </c>
      <c r="I15" s="74"/>
      <c r="J15" s="74"/>
      <c r="K15" s="74"/>
      <c r="L15" s="74"/>
      <c r="M15" s="74" t="s">
        <v>284</v>
      </c>
      <c r="N15" s="38">
        <f>IF(OR(A15="Автомат",A15="Дифавтомат"),IF(W15="","",COUNTIFS(Однолинейка!$H$3:$H$3000,U15,Однолинейка!$A$3:$A$3000,Щит_спец)),IF(A15="Аппарат",IF(C15="","",COUNTIFS(Однолинейка!$I$3:$I$3000,C15,Однолинейка!$A$3:$A$3000,Щит_спец)+COUNTIFS(Однолинейка!$J$3:$J$3000,C15,Однолинейка!$A$3:$A$3000,Щит_спец)+COUNTIFS(Однолинейка!$K$3:$K$3000,C15,Однолинейка!$A$3:$A$3000,Щит_спец)),IF(A15="Модуль",IF(C15="","",COUNTIFS(Однолинейка!$AW$3:$AW$3000,"?*",Однолинейка!$AI$3:$AI$3000,C15,Однолинейка!$A$3:$A$3000,Щит_спец)),IF(A15="Клемма",IF(C15="","",IF(C15=$S$7,SUMIFS(Однолинейка!$BW$3:$BW$3000,Однолинейка!$A$3:$A$3000,Щит_спец),IF(C15=$S$8,SUMIFS(Однолинейка!$BX$3:$BX$3000,Однолинейка!$A$3:$A$3000,Щит_спец),""))),""))))</f>
        <v>0</v>
      </c>
      <c r="O15" s="74"/>
      <c r="P15" s="38">
        <f t="shared" si="0"/>
        <v>0</v>
      </c>
      <c r="R15" s="74" t="s">
        <v>699</v>
      </c>
      <c r="U15" s="38" t="str">
        <f t="shared" si="1"/>
        <v/>
      </c>
      <c r="V15" s="38" t="str">
        <f t="shared" si="2"/>
        <v/>
      </c>
      <c r="W15" s="38" t="str">
        <f>IF(AND(U15&lt;&gt;"",OR($S$4="(все)",B15=$S$4),IF($S$4="(все)",COUNTIF($U$4:U15,U15),COUNTIFS($U$4:U15,U15,$B$4:B15,B15))=1),MAX($W$3:W14)+1,"")</f>
        <v/>
      </c>
      <c r="X15" s="38" t="str">
        <f t="shared" si="3"/>
        <v/>
      </c>
      <c r="Y15" s="38">
        <f>IF(AND(A15="Аппарат",C15&lt;&gt;"",OR($S$5="(все)",B15=$S$5)),MAX($Y$3:Y14)+1,"")</f>
        <v>4</v>
      </c>
      <c r="Z15" s="38" t="str">
        <f t="shared" si="4"/>
        <v/>
      </c>
      <c r="AA15" s="38" t="str">
        <f>IF(AND(A15="Модуль",C15&lt;&gt;"",OR($S$6="(все)",B15=$S$6)),MAX($AA$3:AA14)+1,"")</f>
        <v/>
      </c>
      <c r="AB15" s="38" t="str">
        <f t="shared" si="5"/>
        <v/>
      </c>
      <c r="AC15" s="38" t="str">
        <f>IF(OR(B15="",COUNTIF($B$4:B15,B15)&gt;1),"",MAX($AC$3:AC14)+1)</f>
        <v/>
      </c>
      <c r="AD15" s="38" t="str">
        <f t="shared" si="6"/>
        <v/>
      </c>
      <c r="AE15" s="38" t="str">
        <f t="shared" si="7"/>
        <v/>
      </c>
      <c r="AF15" s="38" t="str">
        <f t="shared" si="8"/>
        <v/>
      </c>
      <c r="AG15" s="38" t="str">
        <f>IF(Спецификация_авто!$L$15="","",IF(IF($S$4="(все)",COUNTIF($U$4:$U$500,Спецификация_авто!$L$15),COUNTIF($V$4:$V$500,$S$4&amp;"|"&amp;Спецификация_авто!$L$15))=0,Спецификация_авто!$L$15,""))</f>
        <v>4P С16А 30мА</v>
      </c>
      <c r="AH15" s="38">
        <f>IF(AG15="","",COUNTIF($AG$4:AG15,"?*"))</f>
        <v>8</v>
      </c>
    </row>
    <row r="16" spans="1:34" x14ac:dyDescent="0.3">
      <c r="A16" s="74" t="s">
        <v>699</v>
      </c>
      <c r="B16" s="74" t="s">
        <v>288</v>
      </c>
      <c r="C16" s="74" t="s">
        <v>706</v>
      </c>
      <c r="D16" s="74"/>
      <c r="E16" s="74"/>
      <c r="F16" s="74"/>
      <c r="G16" s="74" t="s">
        <v>707</v>
      </c>
      <c r="H16" s="74" t="s">
        <v>291</v>
      </c>
      <c r="I16" s="74"/>
      <c r="J16" s="74"/>
      <c r="K16" s="74"/>
      <c r="L16" s="74"/>
      <c r="M16" s="74" t="s">
        <v>284</v>
      </c>
      <c r="N16" s="38">
        <f>IF(OR(A16="Автомат",A16="Дифавтомат"),IF(W16="","",COUNTIFS(Однолинейка!$H$3:$H$3000,U16,Однолинейка!$A$3:$A$3000,Щит_спец)),IF(A16="Аппарат",IF(C16="","",COUNTIFS(Однолинейка!$I$3:$I$3000,C16,Однолинейка!$A$3:$A$3000,Щит_спец)+COUNTIFS(Однолинейка!$J$3:$J$3000,C16,Однолинейка!$A$3:$A$3000,Щит_спец)+COUNTIFS(Однолинейка!$K$3:$K$3000,C16,Однолинейка!$A$3:$A$3000,Щит_спец)),IF(A16="Модуль",IF(C16="","",COUNTIFS(Однолинейка!$AW$3:$AW$3000,"?*",Однолинейка!$AI$3:$AI$3000,C16,Однолинейка!$A$3:$A$3000,Щит_спец)),IF(A16="Клемма",IF(C16="","",IF(C16=$S$7,SUMIFS(Однолинейка!$BW$3:$BW$3000,Однолинейка!$A$3:$A$3000,Щит_спец),IF(C16=$S$8,SUMIFS(Однолинейка!$BX$3:$BX$3000,Однолинейка!$A$3:$A$3000,Щит_спец),""))),""))))</f>
        <v>0</v>
      </c>
      <c r="O16" s="74"/>
      <c r="P16" s="38">
        <f t="shared" si="0"/>
        <v>0</v>
      </c>
      <c r="R16" s="74" t="s">
        <v>436</v>
      </c>
      <c r="U16" s="38" t="str">
        <f t="shared" si="1"/>
        <v/>
      </c>
      <c r="V16" s="38" t="str">
        <f t="shared" si="2"/>
        <v/>
      </c>
      <c r="W16" s="38" t="str">
        <f>IF(AND(U16&lt;&gt;"",OR($S$4="(все)",B16=$S$4),IF($S$4="(все)",COUNTIF($U$4:U16,U16),COUNTIFS($U$4:U16,U16,$B$4:B16,B16))=1),MAX($W$3:W15)+1,"")</f>
        <v/>
      </c>
      <c r="X16" s="38" t="str">
        <f t="shared" si="3"/>
        <v/>
      </c>
      <c r="Y16" s="38">
        <f>IF(AND(A16="Аппарат",C16&lt;&gt;"",OR($S$5="(все)",B16=$S$5)),MAX($Y$3:Y15)+1,"")</f>
        <v>5</v>
      </c>
      <c r="Z16" s="38" t="str">
        <f t="shared" si="4"/>
        <v/>
      </c>
      <c r="AA16" s="38" t="str">
        <f>IF(AND(A16="Модуль",C16&lt;&gt;"",OR($S$6="(все)",B16=$S$6)),MAX($AA$3:AA15)+1,"")</f>
        <v/>
      </c>
      <c r="AB16" s="38" t="str">
        <f t="shared" si="5"/>
        <v/>
      </c>
      <c r="AC16" s="38" t="str">
        <f>IF(OR(B16="",COUNTIF($B$4:B16,B16)&gt;1),"",MAX($AC$3:AC15)+1)</f>
        <v/>
      </c>
      <c r="AD16" s="38" t="str">
        <f t="shared" si="6"/>
        <v/>
      </c>
      <c r="AE16" s="38" t="str">
        <f t="shared" si="7"/>
        <v/>
      </c>
      <c r="AF16" s="38" t="str">
        <f t="shared" si="8"/>
        <v/>
      </c>
      <c r="AG16" s="38" t="str">
        <f>IF(Спецификация_авто!$L$16="","",IF(IF($S$4="(все)",COUNTIF($U$4:$U$500,Спецификация_авто!$L$16),COUNTIF($V$4:$V$500,$S$4&amp;"|"&amp;Спецификация_авто!$L$16))=0,Спецификация_авто!$L$16,""))</f>
        <v/>
      </c>
      <c r="AH16" s="38" t="str">
        <f>IF(AG16="","",COUNTIF($AG$4:AG16,"?*"))</f>
        <v/>
      </c>
    </row>
    <row r="17" spans="1:34" x14ac:dyDescent="0.3">
      <c r="A17" s="74" t="s">
        <v>699</v>
      </c>
      <c r="B17" s="74" t="s">
        <v>297</v>
      </c>
      <c r="C17" s="74" t="s">
        <v>708</v>
      </c>
      <c r="D17" s="74"/>
      <c r="E17" s="74"/>
      <c r="F17" s="74"/>
      <c r="G17" s="74" t="s">
        <v>709</v>
      </c>
      <c r="H17" s="74" t="s">
        <v>365</v>
      </c>
      <c r="I17" s="74"/>
      <c r="J17" s="74"/>
      <c r="K17" s="74"/>
      <c r="L17" s="74"/>
      <c r="M17" s="74" t="s">
        <v>284</v>
      </c>
      <c r="N17" s="38">
        <f>IF(OR(A17="Автомат",A17="Дифавтомат"),IF(W17="","",COUNTIFS(Однолинейка!$H$3:$H$3000,U17,Однолинейка!$A$3:$A$3000,Щит_спец)),IF(A17="Аппарат",IF(C17="","",COUNTIFS(Однолинейка!$I$3:$I$3000,C17,Однолинейка!$A$3:$A$3000,Щит_спец)+COUNTIFS(Однолинейка!$J$3:$J$3000,C17,Однолинейка!$A$3:$A$3000,Щит_спец)+COUNTIFS(Однолинейка!$K$3:$K$3000,C17,Однолинейка!$A$3:$A$3000,Щит_спец)),IF(A17="Модуль",IF(C17="","",COUNTIFS(Однолинейка!$AW$3:$AW$3000,"?*",Однолинейка!$AI$3:$AI$3000,C17,Однолинейка!$A$3:$A$3000,Щит_спец)),IF(A17="Клемма",IF(C17="","",IF(C17=$S$7,SUMIFS(Однолинейка!$BW$3:$BW$3000,Однолинейка!$A$3:$A$3000,Щит_спец),IF(C17=$S$8,SUMIFS(Однолинейка!$BX$3:$BX$3000,Однолинейка!$A$3:$A$3000,Щит_спец),""))),""))))</f>
        <v>0</v>
      </c>
      <c r="O17" s="74"/>
      <c r="P17" s="38">
        <f t="shared" si="0"/>
        <v>0</v>
      </c>
      <c r="R17" s="74" t="s">
        <v>710</v>
      </c>
      <c r="U17" s="38" t="str">
        <f t="shared" si="1"/>
        <v/>
      </c>
      <c r="V17" s="38" t="str">
        <f t="shared" si="2"/>
        <v/>
      </c>
      <c r="W17" s="38" t="str">
        <f>IF(AND(U17&lt;&gt;"",OR($S$4="(все)",B17=$S$4),IF($S$4="(все)",COUNTIF($U$4:U17,U17),COUNTIFS($U$4:U17,U17,$B$4:B17,B17))=1),MAX($W$3:W16)+1,"")</f>
        <v/>
      </c>
      <c r="X17" s="38" t="str">
        <f t="shared" si="3"/>
        <v/>
      </c>
      <c r="Y17" s="38">
        <f>IF(AND(A17="Аппарат",C17&lt;&gt;"",OR($S$5="(все)",B17=$S$5)),MAX($Y$3:Y16)+1,"")</f>
        <v>6</v>
      </c>
      <c r="Z17" s="38" t="str">
        <f t="shared" si="4"/>
        <v/>
      </c>
      <c r="AA17" s="38" t="str">
        <f>IF(AND(A17="Модуль",C17&lt;&gt;"",OR($S$6="(все)",B17=$S$6)),MAX($AA$3:AA16)+1,"")</f>
        <v/>
      </c>
      <c r="AB17" s="38" t="str">
        <f t="shared" si="5"/>
        <v/>
      </c>
      <c r="AC17" s="38">
        <f>IF(OR(B17="",COUNTIF($B$4:B17,B17)&gt;1),"",MAX($AC$3:AC16)+1)</f>
        <v>3</v>
      </c>
      <c r="AD17" s="38" t="str">
        <f t="shared" si="6"/>
        <v/>
      </c>
      <c r="AE17" s="38" t="str">
        <f t="shared" si="7"/>
        <v/>
      </c>
      <c r="AF17" s="38" t="str">
        <f t="shared" si="8"/>
        <v/>
      </c>
      <c r="AG17" s="38" t="str">
        <f>IF(Спецификация_авто!$L$17="","",IF(IF($S$4="(все)",COUNTIF($U$4:$U$500,Спецификация_авто!$L$17),COUNTIF($V$4:$V$500,$S$4&amp;"|"&amp;Спецификация_авто!$L$17))=0,Спецификация_авто!$L$17,""))</f>
        <v/>
      </c>
      <c r="AH17" s="38" t="str">
        <f>IF(AG17="","",COUNTIF($AG$4:AG17,"?*"))</f>
        <v/>
      </c>
    </row>
    <row r="18" spans="1:34" x14ac:dyDescent="0.3">
      <c r="A18" s="74" t="s">
        <v>699</v>
      </c>
      <c r="B18" s="74" t="s">
        <v>297</v>
      </c>
      <c r="C18" s="74" t="s">
        <v>711</v>
      </c>
      <c r="D18" s="74"/>
      <c r="E18" s="74"/>
      <c r="F18" s="74"/>
      <c r="G18" s="74" t="s">
        <v>407</v>
      </c>
      <c r="H18" s="74" t="s">
        <v>408</v>
      </c>
      <c r="I18" s="74"/>
      <c r="J18" s="74"/>
      <c r="K18" s="74"/>
      <c r="L18" s="74"/>
      <c r="M18" s="74" t="s">
        <v>284</v>
      </c>
      <c r="N18" s="38">
        <f>IF(OR(A18="Автомат",A18="Дифавтомат"),IF(W18="","",COUNTIFS(Однолинейка!$H$3:$H$3000,U18,Однолинейка!$A$3:$A$3000,Щит_спец)),IF(A18="Аппарат",IF(C18="","",COUNTIFS(Однолинейка!$I$3:$I$3000,C18,Однолинейка!$A$3:$A$3000,Щит_спец)+COUNTIFS(Однолинейка!$J$3:$J$3000,C18,Однолинейка!$A$3:$A$3000,Щит_спец)+COUNTIFS(Однолинейка!$K$3:$K$3000,C18,Однолинейка!$A$3:$A$3000,Щит_спец)),IF(A18="Модуль",IF(C18="","",COUNTIFS(Однолинейка!$AW$3:$AW$3000,"?*",Однолинейка!$AI$3:$AI$3000,C18,Однолинейка!$A$3:$A$3000,Щит_спец)),IF(A18="Клемма",IF(C18="","",IF(C18=$S$7,SUMIFS(Однолинейка!$BW$3:$BW$3000,Однолинейка!$A$3:$A$3000,Щит_спец),IF(C18=$S$8,SUMIFS(Однолинейка!$BX$3:$BX$3000,Однолинейка!$A$3:$A$3000,Щит_спец),""))),""))))</f>
        <v>0</v>
      </c>
      <c r="O18" s="74"/>
      <c r="P18" s="38">
        <f t="shared" si="0"/>
        <v>0</v>
      </c>
      <c r="R18" s="74" t="s">
        <v>439</v>
      </c>
      <c r="U18" s="38" t="str">
        <f t="shared" si="1"/>
        <v/>
      </c>
      <c r="V18" s="38" t="str">
        <f t="shared" si="2"/>
        <v/>
      </c>
      <c r="W18" s="38" t="str">
        <f>IF(AND(U18&lt;&gt;"",OR($S$4="(все)",B18=$S$4),IF($S$4="(все)",COUNTIF($U$4:U18,U18),COUNTIFS($U$4:U18,U18,$B$4:B18,B18))=1),MAX($W$3:W17)+1,"")</f>
        <v/>
      </c>
      <c r="X18" s="38" t="str">
        <f t="shared" si="3"/>
        <v/>
      </c>
      <c r="Y18" s="38">
        <f>IF(AND(A18="Аппарат",C18&lt;&gt;"",OR($S$5="(все)",B18=$S$5)),MAX($Y$3:Y17)+1,"")</f>
        <v>7</v>
      </c>
      <c r="Z18" s="38" t="str">
        <f t="shared" si="4"/>
        <v/>
      </c>
      <c r="AA18" s="38" t="str">
        <f>IF(AND(A18="Модуль",C18&lt;&gt;"",OR($S$6="(все)",B18=$S$6)),MAX($AA$3:AA17)+1,"")</f>
        <v/>
      </c>
      <c r="AB18" s="38" t="str">
        <f t="shared" si="5"/>
        <v/>
      </c>
      <c r="AC18" s="38" t="str">
        <f>IF(OR(B18="",COUNTIF($B$4:B18,B18)&gt;1),"",MAX($AC$3:AC17)+1)</f>
        <v/>
      </c>
      <c r="AD18" s="38" t="str">
        <f t="shared" si="6"/>
        <v/>
      </c>
      <c r="AE18" s="38" t="str">
        <f t="shared" si="7"/>
        <v/>
      </c>
      <c r="AF18" s="38" t="str">
        <f t="shared" si="8"/>
        <v/>
      </c>
      <c r="AG18" s="38" t="str">
        <f>IF(Спецификация_авто!$L$18="","",IF(IF($S$4="(все)",COUNTIF($U$4:$U$500,Спецификация_авто!$L$18),COUNTIF($V$4:$V$500,$S$4&amp;"|"&amp;Спецификация_авто!$L$18))=0,Спецификация_авто!$L$18,""))</f>
        <v/>
      </c>
      <c r="AH18" s="38" t="str">
        <f>IF(AG18="","",COUNTIF($AG$4:AG18,"?*"))</f>
        <v/>
      </c>
    </row>
    <row r="19" spans="1:34" x14ac:dyDescent="0.3">
      <c r="A19" s="74" t="s">
        <v>699</v>
      </c>
      <c r="B19" s="74" t="s">
        <v>297</v>
      </c>
      <c r="C19" s="74" t="s">
        <v>712</v>
      </c>
      <c r="D19" s="74"/>
      <c r="E19" s="74"/>
      <c r="F19" s="74"/>
      <c r="G19" s="74" t="s">
        <v>409</v>
      </c>
      <c r="H19" s="74" t="s">
        <v>410</v>
      </c>
      <c r="I19" s="74"/>
      <c r="J19" s="74"/>
      <c r="K19" s="74"/>
      <c r="L19" s="74"/>
      <c r="M19" s="74" t="s">
        <v>284</v>
      </c>
      <c r="N19" s="38">
        <f>IF(OR(A19="Автомат",A19="Дифавтомат"),IF(W19="","",COUNTIFS(Однолинейка!$H$3:$H$3000,U19,Однолинейка!$A$3:$A$3000,Щит_спец)),IF(A19="Аппарат",IF(C19="","",COUNTIFS(Однолинейка!$I$3:$I$3000,C19,Однолинейка!$A$3:$A$3000,Щит_спец)+COUNTIFS(Однолинейка!$J$3:$J$3000,C19,Однолинейка!$A$3:$A$3000,Щит_спец)+COUNTIFS(Однолинейка!$K$3:$K$3000,C19,Однолинейка!$A$3:$A$3000,Щит_спец)),IF(A19="Модуль",IF(C19="","",COUNTIFS(Однолинейка!$AW$3:$AW$3000,"?*",Однолинейка!$AI$3:$AI$3000,C19,Однолинейка!$A$3:$A$3000,Щит_спец)),IF(A19="Клемма",IF(C19="","",IF(C19=$S$7,SUMIFS(Однолинейка!$BW$3:$BW$3000,Однолинейка!$A$3:$A$3000,Щит_спец),IF(C19=$S$8,SUMIFS(Однолинейка!$BX$3:$BX$3000,Однолинейка!$A$3:$A$3000,Щит_спец),""))),""))))</f>
        <v>0</v>
      </c>
      <c r="O19" s="74"/>
      <c r="P19" s="38">
        <f t="shared" si="0"/>
        <v>0</v>
      </c>
      <c r="R19" s="74" t="s">
        <v>713</v>
      </c>
      <c r="U19" s="38" t="str">
        <f t="shared" si="1"/>
        <v/>
      </c>
      <c r="V19" s="38" t="str">
        <f t="shared" si="2"/>
        <v/>
      </c>
      <c r="W19" s="38" t="str">
        <f>IF(AND(U19&lt;&gt;"",OR($S$4="(все)",B19=$S$4),IF($S$4="(все)",COUNTIF($U$4:U19,U19),COUNTIFS($U$4:U19,U19,$B$4:B19,B19))=1),MAX($W$3:W18)+1,"")</f>
        <v/>
      </c>
      <c r="X19" s="38" t="str">
        <f t="shared" si="3"/>
        <v/>
      </c>
      <c r="Y19" s="38">
        <f>IF(AND(A19="Аппарат",C19&lt;&gt;"",OR($S$5="(все)",B19=$S$5)),MAX($Y$3:Y18)+1,"")</f>
        <v>8</v>
      </c>
      <c r="Z19" s="38" t="str">
        <f t="shared" si="4"/>
        <v/>
      </c>
      <c r="AA19" s="38" t="str">
        <f>IF(AND(A19="Модуль",C19&lt;&gt;"",OR($S$6="(все)",B19=$S$6)),MAX($AA$3:AA18)+1,"")</f>
        <v/>
      </c>
      <c r="AB19" s="38" t="str">
        <f t="shared" si="5"/>
        <v/>
      </c>
      <c r="AC19" s="38" t="str">
        <f>IF(OR(B19="",COUNTIF($B$4:B19,B19)&gt;1),"",MAX($AC$3:AC18)+1)</f>
        <v/>
      </c>
      <c r="AD19" s="38" t="str">
        <f t="shared" si="6"/>
        <v/>
      </c>
      <c r="AE19" s="38" t="str">
        <f t="shared" si="7"/>
        <v/>
      </c>
      <c r="AF19" s="38" t="str">
        <f t="shared" si="8"/>
        <v/>
      </c>
      <c r="AG19" s="38" t="str">
        <f>IF(Спецификация_авто!$L$19="","",IF(IF($S$4="(все)",COUNTIF($U$4:$U$500,Спецификация_авто!$L$19),COUNTIF($V$4:$V$500,$S$4&amp;"|"&amp;Спецификация_авто!$L$19))=0,Спецификация_авто!$L$19,""))</f>
        <v/>
      </c>
      <c r="AH19" s="38" t="str">
        <f>IF(AG19="","",COUNTIF($AG$4:AG19,"?*"))</f>
        <v/>
      </c>
    </row>
    <row r="20" spans="1:34" x14ac:dyDescent="0.3">
      <c r="A20" s="74" t="s">
        <v>699</v>
      </c>
      <c r="B20" s="74" t="s">
        <v>297</v>
      </c>
      <c r="C20" s="74" t="s">
        <v>714</v>
      </c>
      <c r="D20" s="74"/>
      <c r="E20" s="74"/>
      <c r="F20" s="74"/>
      <c r="G20" s="74" t="s">
        <v>411</v>
      </c>
      <c r="H20" s="74" t="s">
        <v>412</v>
      </c>
      <c r="I20" s="74"/>
      <c r="J20" s="74"/>
      <c r="K20" s="74"/>
      <c r="L20" s="74"/>
      <c r="M20" s="74" t="s">
        <v>284</v>
      </c>
      <c r="N20" s="38">
        <f>IF(OR(A20="Автомат",A20="Дифавтомат"),IF(W20="","",COUNTIFS(Однолинейка!$H$3:$H$3000,U20,Однолинейка!$A$3:$A$3000,Щит_спец)),IF(A20="Аппарат",IF(C20="","",COUNTIFS(Однолинейка!$I$3:$I$3000,C20,Однолинейка!$A$3:$A$3000,Щит_спец)+COUNTIFS(Однолинейка!$J$3:$J$3000,C20,Однолинейка!$A$3:$A$3000,Щит_спец)+COUNTIFS(Однолинейка!$K$3:$K$3000,C20,Однолинейка!$A$3:$A$3000,Щит_спец)),IF(A20="Модуль",IF(C20="","",COUNTIFS(Однолинейка!$AW$3:$AW$3000,"?*",Однолинейка!$AI$3:$AI$3000,C20,Однолинейка!$A$3:$A$3000,Щит_спец)),IF(A20="Клемма",IF(C20="","",IF(C20=$S$7,SUMIFS(Однолинейка!$BW$3:$BW$3000,Однолинейка!$A$3:$A$3000,Щит_спец),IF(C20=$S$8,SUMIFS(Однолинейка!$BX$3:$BX$3000,Однолинейка!$A$3:$A$3000,Щит_спец),""))),""))))</f>
        <v>0</v>
      </c>
      <c r="O20" s="74"/>
      <c r="P20" s="38">
        <f t="shared" si="0"/>
        <v>0</v>
      </c>
      <c r="R20" s="74" t="s">
        <v>624</v>
      </c>
      <c r="U20" s="38" t="str">
        <f t="shared" si="1"/>
        <v/>
      </c>
      <c r="V20" s="38" t="str">
        <f t="shared" si="2"/>
        <v/>
      </c>
      <c r="W20" s="38" t="str">
        <f>IF(AND(U20&lt;&gt;"",OR($S$4="(все)",B20=$S$4),IF($S$4="(все)",COUNTIF($U$4:U20,U20),COUNTIFS($U$4:U20,U20,$B$4:B20,B20))=1),MAX($W$3:W19)+1,"")</f>
        <v/>
      </c>
      <c r="X20" s="38" t="str">
        <f t="shared" si="3"/>
        <v/>
      </c>
      <c r="Y20" s="38">
        <f>IF(AND(A20="Аппарат",C20&lt;&gt;"",OR($S$5="(все)",B20=$S$5)),MAX($Y$3:Y19)+1,"")</f>
        <v>9</v>
      </c>
      <c r="Z20" s="38" t="str">
        <f t="shared" si="4"/>
        <v/>
      </c>
      <c r="AA20" s="38" t="str">
        <f>IF(AND(A20="Модуль",C20&lt;&gt;"",OR($S$6="(все)",B20=$S$6)),MAX($AA$3:AA19)+1,"")</f>
        <v/>
      </c>
      <c r="AB20" s="38" t="str">
        <f t="shared" si="5"/>
        <v/>
      </c>
      <c r="AC20" s="38" t="str">
        <f>IF(OR(B20="",COUNTIF($B$4:B20,B20)&gt;1),"",MAX($AC$3:AC19)+1)</f>
        <v/>
      </c>
      <c r="AD20" s="38" t="str">
        <f t="shared" si="6"/>
        <v/>
      </c>
      <c r="AE20" s="38" t="str">
        <f t="shared" si="7"/>
        <v/>
      </c>
      <c r="AF20" s="38" t="str">
        <f t="shared" si="8"/>
        <v/>
      </c>
      <c r="AG20" s="38" t="str">
        <f>IF(Спецификация_авто!$L$20="","",IF(IF($S$4="(все)",COUNTIF($U$4:$U$500,Спецификация_авто!$L$20),COUNTIF($V$4:$V$500,$S$4&amp;"|"&amp;Спецификация_авто!$L$20))=0,Спецификация_авто!$L$20,""))</f>
        <v/>
      </c>
      <c r="AH20" s="38" t="str">
        <f>IF(AG20="","",COUNTIF($AG$4:AG20,"?*"))</f>
        <v/>
      </c>
    </row>
    <row r="21" spans="1:34" x14ac:dyDescent="0.3">
      <c r="A21" s="74" t="s">
        <v>699</v>
      </c>
      <c r="B21" s="74" t="s">
        <v>304</v>
      </c>
      <c r="C21" s="74" t="s">
        <v>303</v>
      </c>
      <c r="D21" s="74"/>
      <c r="E21" s="74"/>
      <c r="F21" s="74"/>
      <c r="G21" s="74" t="s">
        <v>715</v>
      </c>
      <c r="H21" s="74" t="s">
        <v>303</v>
      </c>
      <c r="I21" s="74"/>
      <c r="J21" s="74"/>
      <c r="K21" s="74"/>
      <c r="L21" s="74"/>
      <c r="M21" s="74" t="s">
        <v>284</v>
      </c>
      <c r="N21" s="38">
        <f>IF(OR(A21="Автомат",A21="Дифавтомат"),IF(W21="","",COUNTIFS(Однолинейка!$H$3:$H$3000,U21,Однолинейка!$A$3:$A$3000,Щит_спец)),IF(A21="Аппарат",IF(C21="","",COUNTIFS(Однолинейка!$I$3:$I$3000,C21,Однолинейка!$A$3:$A$3000,Щит_спец)+COUNTIFS(Однолинейка!$J$3:$J$3000,C21,Однолинейка!$A$3:$A$3000,Щит_спец)+COUNTIFS(Однолинейка!$K$3:$K$3000,C21,Однолинейка!$A$3:$A$3000,Щит_спец)),IF(A21="Модуль",IF(C21="","",COUNTIFS(Однолинейка!$AW$3:$AW$3000,"?*",Однолинейка!$AI$3:$AI$3000,C21,Однолинейка!$A$3:$A$3000,Щит_спец)),IF(A21="Клемма",IF(C21="","",IF(C21=$S$7,SUMIFS(Однолинейка!$BW$3:$BW$3000,Однолинейка!$A$3:$A$3000,Щит_спец),IF(C21=$S$8,SUMIFS(Однолинейка!$BX$3:$BX$3000,Однолинейка!$A$3:$A$3000,Щит_спец),""))),""))))</f>
        <v>0</v>
      </c>
      <c r="O21" s="74"/>
      <c r="P21" s="38">
        <f t="shared" si="0"/>
        <v>0</v>
      </c>
      <c r="R21" s="74"/>
      <c r="U21" s="38" t="str">
        <f t="shared" si="1"/>
        <v/>
      </c>
      <c r="V21" s="38" t="str">
        <f t="shared" si="2"/>
        <v/>
      </c>
      <c r="W21" s="38" t="str">
        <f>IF(AND(U21&lt;&gt;"",OR($S$4="(все)",B21=$S$4),IF($S$4="(все)",COUNTIF($U$4:U21,U21),COUNTIFS($U$4:U21,U21,$B$4:B21,B21))=1),MAX($W$3:W20)+1,"")</f>
        <v/>
      </c>
      <c r="X21" s="38" t="str">
        <f t="shared" si="3"/>
        <v/>
      </c>
      <c r="Y21" s="38">
        <f>IF(AND(A21="Аппарат",C21&lt;&gt;"",OR($S$5="(все)",B21=$S$5)),MAX($Y$3:Y20)+1,"")</f>
        <v>10</v>
      </c>
      <c r="Z21" s="38" t="str">
        <f t="shared" si="4"/>
        <v/>
      </c>
      <c r="AA21" s="38" t="str">
        <f>IF(AND(A21="Модуль",C21&lt;&gt;"",OR($S$6="(все)",B21=$S$6)),MAX($AA$3:AA20)+1,"")</f>
        <v/>
      </c>
      <c r="AB21" s="38" t="str">
        <f t="shared" si="5"/>
        <v/>
      </c>
      <c r="AC21" s="38">
        <f>IF(OR(B21="",COUNTIF($B$4:B21,B21)&gt;1),"",MAX($AC$3:AC20)+1)</f>
        <v>4</v>
      </c>
      <c r="AD21" s="38" t="str">
        <f t="shared" si="6"/>
        <v/>
      </c>
      <c r="AE21" s="38" t="str">
        <f t="shared" si="7"/>
        <v/>
      </c>
      <c r="AF21" s="38" t="str">
        <f t="shared" si="8"/>
        <v/>
      </c>
      <c r="AG21" s="38" t="str">
        <f>IF(Спецификация_авто!$L$21="","",IF(IF($S$4="(все)",COUNTIF($U$4:$U$500,Спецификация_авто!$L$21),COUNTIF($V$4:$V$500,$S$4&amp;"|"&amp;Спецификация_авто!$L$21))=0,Спецификация_авто!$L$21,""))</f>
        <v/>
      </c>
      <c r="AH21" s="38" t="str">
        <f>IF(AG21="","",COUNTIF($AG$4:AG21,"?*"))</f>
        <v/>
      </c>
    </row>
    <row r="22" spans="1:34" x14ac:dyDescent="0.3">
      <c r="A22" s="74" t="s">
        <v>436</v>
      </c>
      <c r="B22" s="74" t="s">
        <v>304</v>
      </c>
      <c r="C22" s="74" t="s">
        <v>306</v>
      </c>
      <c r="D22" s="74" t="s">
        <v>32</v>
      </c>
      <c r="E22" s="74">
        <v>24</v>
      </c>
      <c r="F22" s="74" t="s">
        <v>491</v>
      </c>
      <c r="G22" s="74" t="s">
        <v>305</v>
      </c>
      <c r="H22" s="74" t="s">
        <v>306</v>
      </c>
      <c r="I22" s="74"/>
      <c r="J22" s="74"/>
      <c r="K22" s="74"/>
      <c r="L22" s="74"/>
      <c r="M22" s="74" t="s">
        <v>284</v>
      </c>
      <c r="N22" s="38">
        <f>IF(OR(A22="Автомат",A22="Дифавтомат"),IF(W22="","",COUNTIFS(Однолинейка!$H$3:$H$3000,U22,Однолинейка!$A$3:$A$3000,Щит_спец)),IF(A22="Аппарат",IF(C22="","",COUNTIFS(Однолинейка!$I$3:$I$3000,C22,Однолинейка!$A$3:$A$3000,Щит_спец)+COUNTIFS(Однолинейка!$J$3:$J$3000,C22,Однолинейка!$A$3:$A$3000,Щит_спец)+COUNTIFS(Однолинейка!$K$3:$K$3000,C22,Однолинейка!$A$3:$A$3000,Щит_спец)),IF(A22="Модуль",IF(C22="","",COUNTIFS(Однолинейка!$AW$3:$AW$3000,"?*",Однолинейка!$AI$3:$AI$3000,C22,Однолинейка!$A$3:$A$3000,Щит_спец)),IF(A22="Клемма",IF(C22="","",IF(C22=$S$7,SUMIFS(Однолинейка!$BW$3:$BW$3000,Однолинейка!$A$3:$A$3000,Щит_спец),IF(C22=$S$8,SUMIFS(Однолинейка!$BX$3:$BX$3000,Однолинейка!$A$3:$A$3000,Щит_спец),""))),""))))</f>
        <v>0</v>
      </c>
      <c r="O22" s="74"/>
      <c r="P22" s="38">
        <f t="shared" si="0"/>
        <v>0</v>
      </c>
      <c r="R22" s="74"/>
      <c r="U22" s="38" t="str">
        <f t="shared" si="1"/>
        <v/>
      </c>
      <c r="V22" s="38" t="str">
        <f t="shared" si="2"/>
        <v/>
      </c>
      <c r="W22" s="38" t="str">
        <f>IF(AND(U22&lt;&gt;"",OR($S$4="(все)",B22=$S$4),IF($S$4="(все)",COUNTIF($U$4:U22,U22),COUNTIFS($U$4:U22,U22,$B$4:B22,B22))=1),MAX($W$3:W21)+1,"")</f>
        <v/>
      </c>
      <c r="X22" s="38" t="str">
        <f t="shared" si="3"/>
        <v/>
      </c>
      <c r="Y22" s="38" t="str">
        <f>IF(AND(A22="Аппарат",C22&lt;&gt;"",OR($S$5="(все)",B22=$S$5)),MAX($Y$3:Y21)+1,"")</f>
        <v/>
      </c>
      <c r="Z22" s="38" t="str">
        <f t="shared" si="4"/>
        <v/>
      </c>
      <c r="AA22" s="38">
        <f>IF(AND(A22="Модуль",C22&lt;&gt;"",OR($S$6="(все)",B22=$S$6)),MAX($AA$3:AA21)+1,"")</f>
        <v>1</v>
      </c>
      <c r="AB22" s="38" t="str">
        <f t="shared" si="5"/>
        <v/>
      </c>
      <c r="AC22" s="38" t="str">
        <f>IF(OR(B22="",COUNTIF($B$4:B22,B22)&gt;1),"",MAX($AC$3:AC21)+1)</f>
        <v/>
      </c>
      <c r="AD22" s="38" t="str">
        <f t="shared" si="6"/>
        <v/>
      </c>
      <c r="AE22" s="38" t="str">
        <f t="shared" si="7"/>
        <v/>
      </c>
      <c r="AF22" s="38" t="str">
        <f t="shared" si="8"/>
        <v/>
      </c>
      <c r="AG22" s="38" t="str">
        <f>IF(Спецификация_авто!$L$22="","",IF(IF($S$4="(все)",COUNTIF($U$4:$U$500,Спецификация_авто!$L$22),COUNTIF($V$4:$V$500,$S$4&amp;"|"&amp;Спецификация_авто!$L$22))=0,Спецификация_авто!$L$22,""))</f>
        <v/>
      </c>
      <c r="AH22" s="38" t="str">
        <f>IF(AG22="","",COUNTIF($AG$4:AG22,"?*"))</f>
        <v/>
      </c>
    </row>
    <row r="23" spans="1:34" x14ac:dyDescent="0.3">
      <c r="A23" s="74" t="s">
        <v>436</v>
      </c>
      <c r="B23" s="74" t="s">
        <v>304</v>
      </c>
      <c r="C23" s="74" t="s">
        <v>480</v>
      </c>
      <c r="D23" s="74" t="s">
        <v>32</v>
      </c>
      <c r="E23" s="74">
        <v>24</v>
      </c>
      <c r="F23" s="74" t="s">
        <v>491</v>
      </c>
      <c r="G23" s="74" t="s">
        <v>305</v>
      </c>
      <c r="H23" s="74" t="s">
        <v>480</v>
      </c>
      <c r="I23" s="74"/>
      <c r="J23" s="74"/>
      <c r="K23" s="74"/>
      <c r="L23" s="74"/>
      <c r="M23" s="74" t="s">
        <v>284</v>
      </c>
      <c r="N23" s="38">
        <f>IF(OR(A23="Автомат",A23="Дифавтомат"),IF(W23="","",COUNTIFS(Однолинейка!$H$3:$H$3000,U23,Однолинейка!$A$3:$A$3000,Щит_спец)),IF(A23="Аппарат",IF(C23="","",COUNTIFS(Однолинейка!$I$3:$I$3000,C23,Однолинейка!$A$3:$A$3000,Щит_спец)+COUNTIFS(Однолинейка!$J$3:$J$3000,C23,Однолинейка!$A$3:$A$3000,Щит_спец)+COUNTIFS(Однолинейка!$K$3:$K$3000,C23,Однолинейка!$A$3:$A$3000,Щит_спец)),IF(A23="Модуль",IF(C23="","",COUNTIFS(Однолинейка!$AW$3:$AW$3000,"?*",Однолинейка!$AI$3:$AI$3000,C23,Однолинейка!$A$3:$A$3000,Щит_спец)),IF(A23="Клемма",IF(C23="","",IF(C23=$S$7,SUMIFS(Однолинейка!$BW$3:$BW$3000,Однолинейка!$A$3:$A$3000,Щит_спец),IF(C23=$S$8,SUMIFS(Однолинейка!$BX$3:$BX$3000,Однолинейка!$A$3:$A$3000,Щит_спец),""))),""))))</f>
        <v>0</v>
      </c>
      <c r="O23" s="74"/>
      <c r="P23" s="38">
        <f t="shared" si="0"/>
        <v>0</v>
      </c>
      <c r="R23" s="74"/>
      <c r="U23" s="38" t="str">
        <f t="shared" si="1"/>
        <v/>
      </c>
      <c r="V23" s="38" t="str">
        <f t="shared" si="2"/>
        <v/>
      </c>
      <c r="W23" s="38" t="str">
        <f>IF(AND(U23&lt;&gt;"",OR($S$4="(все)",B23=$S$4),IF($S$4="(все)",COUNTIF($U$4:U23,U23),COUNTIFS($U$4:U23,U23,$B$4:B23,B23))=1),MAX($W$3:W22)+1,"")</f>
        <v/>
      </c>
      <c r="X23" s="38" t="str">
        <f t="shared" si="3"/>
        <v/>
      </c>
      <c r="Y23" s="38" t="str">
        <f>IF(AND(A23="Аппарат",C23&lt;&gt;"",OR($S$5="(все)",B23=$S$5)),MAX($Y$3:Y22)+1,"")</f>
        <v/>
      </c>
      <c r="Z23" s="38" t="str">
        <f t="shared" si="4"/>
        <v/>
      </c>
      <c r="AA23" s="38">
        <f>IF(AND(A23="Модуль",C23&lt;&gt;"",OR($S$6="(все)",B23=$S$6)),MAX($AA$3:AA22)+1,"")</f>
        <v>2</v>
      </c>
      <c r="AB23" s="38" t="str">
        <f t="shared" si="5"/>
        <v/>
      </c>
      <c r="AC23" s="38" t="str">
        <f>IF(OR(B23="",COUNTIF($B$4:B23,B23)&gt;1),"",MAX($AC$3:AC22)+1)</f>
        <v/>
      </c>
      <c r="AD23" s="38" t="str">
        <f t="shared" si="6"/>
        <v/>
      </c>
      <c r="AE23" s="38" t="str">
        <f t="shared" si="7"/>
        <v/>
      </c>
      <c r="AF23" s="38" t="str">
        <f t="shared" si="8"/>
        <v/>
      </c>
      <c r="AG23" s="38" t="str">
        <f>IF(Спецификация_авто!$L$23="","",IF(IF($S$4="(все)",COUNTIF($U$4:$U$500,Спецификация_авто!$L$23),COUNTIF($V$4:$V$500,$S$4&amp;"|"&amp;Спецификация_авто!$L$23))=0,Спецификация_авто!$L$23,""))</f>
        <v/>
      </c>
      <c r="AH23" s="38" t="str">
        <f>IF(AG23="","",COUNTIF($AG$4:AG23,"?*"))</f>
        <v/>
      </c>
    </row>
    <row r="24" spans="1:34" x14ac:dyDescent="0.3">
      <c r="A24" s="74" t="s">
        <v>436</v>
      </c>
      <c r="B24" s="74" t="s">
        <v>304</v>
      </c>
      <c r="C24" s="74" t="s">
        <v>490</v>
      </c>
      <c r="D24" s="74" t="s">
        <v>32</v>
      </c>
      <c r="E24" s="74">
        <v>16</v>
      </c>
      <c r="F24" s="74" t="s">
        <v>491</v>
      </c>
      <c r="G24" s="74" t="s">
        <v>305</v>
      </c>
      <c r="H24" s="74" t="s">
        <v>490</v>
      </c>
      <c r="I24" s="74"/>
      <c r="J24" s="74"/>
      <c r="K24" s="74"/>
      <c r="L24" s="74"/>
      <c r="M24" s="74" t="s">
        <v>284</v>
      </c>
      <c r="N24" s="38">
        <f>IF(OR(A24="Автомат",A24="Дифавтомат"),IF(W24="","",COUNTIFS(Однолинейка!$H$3:$H$3000,U24,Однолинейка!$A$3:$A$3000,Щит_спец)),IF(A24="Аппарат",IF(C24="","",COUNTIFS(Однолинейка!$I$3:$I$3000,C24,Однолинейка!$A$3:$A$3000,Щит_спец)+COUNTIFS(Однолинейка!$J$3:$J$3000,C24,Однолинейка!$A$3:$A$3000,Щит_спец)+COUNTIFS(Однолинейка!$K$3:$K$3000,C24,Однолинейка!$A$3:$A$3000,Щит_спец)),IF(A24="Модуль",IF(C24="","",COUNTIFS(Однолинейка!$AW$3:$AW$3000,"?*",Однолинейка!$AI$3:$AI$3000,C24,Однолинейка!$A$3:$A$3000,Щит_спец)),IF(A24="Клемма",IF(C24="","",IF(C24=$S$7,SUMIFS(Однолинейка!$BW$3:$BW$3000,Однолинейка!$A$3:$A$3000,Щит_спец),IF(C24=$S$8,SUMIFS(Однолинейка!$BX$3:$BX$3000,Однолинейка!$A$3:$A$3000,Щит_спец),""))),""))))</f>
        <v>0</v>
      </c>
      <c r="O24" s="74"/>
      <c r="P24" s="38">
        <f t="shared" si="0"/>
        <v>0</v>
      </c>
      <c r="R24" s="74"/>
      <c r="U24" s="38" t="str">
        <f t="shared" si="1"/>
        <v/>
      </c>
      <c r="V24" s="38" t="str">
        <f t="shared" si="2"/>
        <v/>
      </c>
      <c r="W24" s="38" t="str">
        <f>IF(AND(U24&lt;&gt;"",OR($S$4="(все)",B24=$S$4),IF($S$4="(все)",COUNTIF($U$4:U24,U24),COUNTIFS($U$4:U24,U24,$B$4:B24,B24))=1),MAX($W$3:W23)+1,"")</f>
        <v/>
      </c>
      <c r="X24" s="38" t="str">
        <f t="shared" si="3"/>
        <v/>
      </c>
      <c r="Y24" s="38" t="str">
        <f>IF(AND(A24="Аппарат",C24&lt;&gt;"",OR($S$5="(все)",B24=$S$5)),MAX($Y$3:Y23)+1,"")</f>
        <v/>
      </c>
      <c r="Z24" s="38" t="str">
        <f t="shared" si="4"/>
        <v/>
      </c>
      <c r="AA24" s="38">
        <f>IF(AND(A24="Модуль",C24&lt;&gt;"",OR($S$6="(все)",B24=$S$6)),MAX($AA$3:AA23)+1,"")</f>
        <v>3</v>
      </c>
      <c r="AB24" s="38" t="str">
        <f t="shared" si="5"/>
        <v/>
      </c>
      <c r="AC24" s="38" t="str">
        <f>IF(OR(B24="",COUNTIF($B$4:B24,B24)&gt;1),"",MAX($AC$3:AC23)+1)</f>
        <v/>
      </c>
      <c r="AD24" s="38" t="str">
        <f t="shared" si="6"/>
        <v/>
      </c>
      <c r="AE24" s="38" t="str">
        <f t="shared" si="7"/>
        <v/>
      </c>
      <c r="AF24" s="38" t="str">
        <f t="shared" si="8"/>
        <v/>
      </c>
      <c r="AG24" s="38" t="str">
        <f>IF(Спецификация_авто!$L$27="","",IF(COUNTIF($C$4:$C$500,Спецификация_авто!$L$27)=0,Спецификация_авто!$L$27,""))</f>
        <v/>
      </c>
      <c r="AH24" s="38" t="str">
        <f>IF(AG24="","",COUNTIF($AG$4:AG24,"?*"))</f>
        <v/>
      </c>
    </row>
    <row r="25" spans="1:34" x14ac:dyDescent="0.3">
      <c r="A25" s="74" t="s">
        <v>436</v>
      </c>
      <c r="B25" s="74" t="s">
        <v>304</v>
      </c>
      <c r="C25" s="74" t="s">
        <v>481</v>
      </c>
      <c r="D25" s="74" t="s">
        <v>32</v>
      </c>
      <c r="E25" s="74">
        <v>8</v>
      </c>
      <c r="F25" s="74" t="s">
        <v>491</v>
      </c>
      <c r="G25" s="74" t="s">
        <v>305</v>
      </c>
      <c r="H25" s="74" t="s">
        <v>481</v>
      </c>
      <c r="I25" s="74"/>
      <c r="J25" s="74"/>
      <c r="K25" s="74"/>
      <c r="L25" s="74"/>
      <c r="M25" s="74" t="s">
        <v>284</v>
      </c>
      <c r="N25" s="38">
        <f>IF(OR(A25="Автомат",A25="Дифавтомат"),IF(W25="","",COUNTIFS(Однолинейка!$H$3:$H$3000,U25,Однолинейка!$A$3:$A$3000,Щит_спец)),IF(A25="Аппарат",IF(C25="","",COUNTIFS(Однолинейка!$I$3:$I$3000,C25,Однолинейка!$A$3:$A$3000,Щит_спец)+COUNTIFS(Однолинейка!$J$3:$J$3000,C25,Однолинейка!$A$3:$A$3000,Щит_спец)+COUNTIFS(Однолинейка!$K$3:$K$3000,C25,Однолинейка!$A$3:$A$3000,Щит_спец)),IF(A25="Модуль",IF(C25="","",COUNTIFS(Однолинейка!$AW$3:$AW$3000,"?*",Однолинейка!$AI$3:$AI$3000,C25,Однолинейка!$A$3:$A$3000,Щит_спец)),IF(A25="Клемма",IF(C25="","",IF(C25=$S$7,SUMIFS(Однолинейка!$BW$3:$BW$3000,Однолинейка!$A$3:$A$3000,Щит_спец),IF(C25=$S$8,SUMIFS(Однолинейка!$BX$3:$BX$3000,Однолинейка!$A$3:$A$3000,Щит_спец),""))),""))))</f>
        <v>0</v>
      </c>
      <c r="O25" s="74"/>
      <c r="P25" s="38">
        <f t="shared" si="0"/>
        <v>0</v>
      </c>
      <c r="R25" s="74"/>
      <c r="U25" s="38" t="str">
        <f t="shared" si="1"/>
        <v/>
      </c>
      <c r="V25" s="38" t="str">
        <f t="shared" si="2"/>
        <v/>
      </c>
      <c r="W25" s="38" t="str">
        <f>IF(AND(U25&lt;&gt;"",OR($S$4="(все)",B25=$S$4),IF($S$4="(все)",COUNTIF($U$4:U25,U25),COUNTIFS($U$4:U25,U25,$B$4:B25,B25))=1),MAX($W$3:W24)+1,"")</f>
        <v/>
      </c>
      <c r="X25" s="38" t="str">
        <f t="shared" si="3"/>
        <v/>
      </c>
      <c r="Y25" s="38" t="str">
        <f>IF(AND(A25="Аппарат",C25&lt;&gt;"",OR($S$5="(все)",B25=$S$5)),MAX($Y$3:Y24)+1,"")</f>
        <v/>
      </c>
      <c r="Z25" s="38" t="str">
        <f t="shared" si="4"/>
        <v/>
      </c>
      <c r="AA25" s="38">
        <f>IF(AND(A25="Модуль",C25&lt;&gt;"",OR($S$6="(все)",B25=$S$6)),MAX($AA$3:AA24)+1,"")</f>
        <v>4</v>
      </c>
      <c r="AB25" s="38" t="str">
        <f t="shared" si="5"/>
        <v/>
      </c>
      <c r="AC25" s="38" t="str">
        <f>IF(OR(B25="",COUNTIF($B$4:B25,B25)&gt;1),"",MAX($AC$3:AC24)+1)</f>
        <v/>
      </c>
      <c r="AD25" s="38" t="str">
        <f t="shared" si="6"/>
        <v/>
      </c>
      <c r="AE25" s="38" t="str">
        <f t="shared" si="7"/>
        <v/>
      </c>
      <c r="AF25" s="38" t="str">
        <f t="shared" si="8"/>
        <v/>
      </c>
      <c r="AG25" s="38" t="str">
        <f>IF(Спецификация_авто!$L$28="","",IF(COUNTIF($C$4:$C$500,Спецификация_авто!$L$28)=0,Спецификация_авто!$L$28,""))</f>
        <v/>
      </c>
      <c r="AH25" s="38" t="str">
        <f>IF(AG25="","",COUNTIF($AG$4:AG25,"?*"))</f>
        <v/>
      </c>
    </row>
    <row r="26" spans="1:34" x14ac:dyDescent="0.3">
      <c r="A26" s="74" t="s">
        <v>436</v>
      </c>
      <c r="B26" s="74" t="s">
        <v>304</v>
      </c>
      <c r="C26" s="74" t="s">
        <v>494</v>
      </c>
      <c r="D26" s="74" t="s">
        <v>32</v>
      </c>
      <c r="E26" s="74">
        <v>8</v>
      </c>
      <c r="F26" s="74" t="s">
        <v>495</v>
      </c>
      <c r="G26" s="74" t="s">
        <v>716</v>
      </c>
      <c r="H26" s="74" t="s">
        <v>494</v>
      </c>
      <c r="I26" s="74"/>
      <c r="J26" s="74"/>
      <c r="K26" s="74"/>
      <c r="L26" s="74"/>
      <c r="M26" s="74" t="s">
        <v>284</v>
      </c>
      <c r="N26" s="38">
        <f>IF(OR(A26="Автомат",A26="Дифавтомат"),IF(W26="","",COUNTIFS(Однолинейка!$H$3:$H$3000,U26,Однолинейка!$A$3:$A$3000,Щит_спец)),IF(A26="Аппарат",IF(C26="","",COUNTIFS(Однолинейка!$I$3:$I$3000,C26,Однолинейка!$A$3:$A$3000,Щит_спец)+COUNTIFS(Однолинейка!$J$3:$J$3000,C26,Однолинейка!$A$3:$A$3000,Щит_спец)+COUNTIFS(Однолинейка!$K$3:$K$3000,C26,Однолинейка!$A$3:$A$3000,Щит_спец)),IF(A26="Модуль",IF(C26="","",COUNTIFS(Однолинейка!$AW$3:$AW$3000,"?*",Однолинейка!$AI$3:$AI$3000,C26,Однолинейка!$A$3:$A$3000,Щит_спец)),IF(A26="Клемма",IF(C26="","",IF(C26=$S$7,SUMIFS(Однолинейка!$BW$3:$BW$3000,Однолинейка!$A$3:$A$3000,Щит_спец),IF(C26=$S$8,SUMIFS(Однолинейка!$BX$3:$BX$3000,Однолинейка!$A$3:$A$3000,Щит_спец),""))),""))))</f>
        <v>0</v>
      </c>
      <c r="O26" s="74"/>
      <c r="P26" s="38">
        <f t="shared" si="0"/>
        <v>0</v>
      </c>
      <c r="U26" s="38" t="str">
        <f t="shared" si="1"/>
        <v/>
      </c>
      <c r="V26" s="38" t="str">
        <f t="shared" si="2"/>
        <v/>
      </c>
      <c r="W26" s="38" t="str">
        <f>IF(AND(U26&lt;&gt;"",OR($S$4="(все)",B26=$S$4),IF($S$4="(все)",COUNTIF($U$4:U26,U26),COUNTIFS($U$4:U26,U26,$B$4:B26,B26))=1),MAX($W$3:W25)+1,"")</f>
        <v/>
      </c>
      <c r="X26" s="38" t="str">
        <f t="shared" si="3"/>
        <v/>
      </c>
      <c r="Y26" s="38" t="str">
        <f>IF(AND(A26="Аппарат",C26&lt;&gt;"",OR($S$5="(все)",B26=$S$5)),MAX($Y$3:Y25)+1,"")</f>
        <v/>
      </c>
      <c r="Z26" s="38" t="str">
        <f t="shared" si="4"/>
        <v/>
      </c>
      <c r="AA26" s="38">
        <f>IF(AND(A26="Модуль",C26&lt;&gt;"",OR($S$6="(все)",B26=$S$6)),MAX($AA$3:AA25)+1,"")</f>
        <v>5</v>
      </c>
      <c r="AB26" s="38" t="str">
        <f t="shared" si="5"/>
        <v/>
      </c>
      <c r="AC26" s="38" t="str">
        <f>IF(OR(B26="",COUNTIF($B$4:B26,B26)&gt;1),"",MAX($AC$3:AC25)+1)</f>
        <v/>
      </c>
      <c r="AD26" s="38" t="str">
        <f t="shared" si="6"/>
        <v/>
      </c>
      <c r="AE26" s="38" t="str">
        <f t="shared" si="7"/>
        <v/>
      </c>
      <c r="AF26" s="38" t="str">
        <f t="shared" si="8"/>
        <v/>
      </c>
      <c r="AG26" s="38" t="str">
        <f>IF(Спецификация_авто!$L$29="","",IF(COUNTIF($C$4:$C$500,Спецификация_авто!$L$29)=0,Спецификация_авто!$L$29,""))</f>
        <v/>
      </c>
      <c r="AH26" s="38" t="str">
        <f>IF(AG26="","",COUNTIF($AG$4:AG26,"?*"))</f>
        <v/>
      </c>
    </row>
    <row r="27" spans="1:34" ht="27.6" x14ac:dyDescent="0.3">
      <c r="A27" s="74" t="s">
        <v>436</v>
      </c>
      <c r="B27" s="74" t="s">
        <v>304</v>
      </c>
      <c r="C27" s="74" t="s">
        <v>307</v>
      </c>
      <c r="D27" s="74" t="s">
        <v>498</v>
      </c>
      <c r="E27" s="74">
        <v>4</v>
      </c>
      <c r="F27" s="74" t="s">
        <v>499</v>
      </c>
      <c r="G27" s="74" t="s">
        <v>717</v>
      </c>
      <c r="H27" s="74" t="s">
        <v>307</v>
      </c>
      <c r="I27" s="74"/>
      <c r="J27" s="74"/>
      <c r="K27" s="74"/>
      <c r="L27" s="74"/>
      <c r="M27" s="74" t="s">
        <v>284</v>
      </c>
      <c r="N27" s="38">
        <f>IF(OR(A27="Автомат",A27="Дифавтомат"),IF(W27="","",COUNTIFS(Однолинейка!$H$3:$H$3000,U27,Однолинейка!$A$3:$A$3000,Щит_спец)),IF(A27="Аппарат",IF(C27="","",COUNTIFS(Однолинейка!$I$3:$I$3000,C27,Однолинейка!$A$3:$A$3000,Щит_спец)+COUNTIFS(Однолинейка!$J$3:$J$3000,C27,Однолинейка!$A$3:$A$3000,Щит_спец)+COUNTIFS(Однолинейка!$K$3:$K$3000,C27,Однолинейка!$A$3:$A$3000,Щит_спец)),IF(A27="Модуль",IF(C27="","",COUNTIFS(Однолинейка!$AW$3:$AW$3000,"?*",Однолинейка!$AI$3:$AI$3000,C27,Однолинейка!$A$3:$A$3000,Щит_спец)),IF(A27="Клемма",IF(C27="","",IF(C27=$S$7,SUMIFS(Однолинейка!$BW$3:$BW$3000,Однолинейка!$A$3:$A$3000,Щит_спец),IF(C27=$S$8,SUMIFS(Однолинейка!$BX$3:$BX$3000,Однолинейка!$A$3:$A$3000,Щит_спец),""))),""))))</f>
        <v>0</v>
      </c>
      <c r="O27" s="74"/>
      <c r="P27" s="38">
        <f t="shared" si="0"/>
        <v>0</v>
      </c>
      <c r="R27" s="35" t="s">
        <v>718</v>
      </c>
      <c r="S27" s="35"/>
      <c r="U27" s="38" t="str">
        <f t="shared" si="1"/>
        <v/>
      </c>
      <c r="V27" s="38" t="str">
        <f t="shared" si="2"/>
        <v/>
      </c>
      <c r="W27" s="38" t="str">
        <f>IF(AND(U27&lt;&gt;"",OR($S$4="(все)",B27=$S$4),IF($S$4="(все)",COUNTIF($U$4:U27,U27),COUNTIFS($U$4:U27,U27,$B$4:B27,B27))=1),MAX($W$3:W26)+1,"")</f>
        <v/>
      </c>
      <c r="X27" s="38" t="str">
        <f t="shared" si="3"/>
        <v/>
      </c>
      <c r="Y27" s="38" t="str">
        <f>IF(AND(A27="Аппарат",C27&lt;&gt;"",OR($S$5="(все)",B27=$S$5)),MAX($Y$3:Y26)+1,"")</f>
        <v/>
      </c>
      <c r="Z27" s="38" t="str">
        <f t="shared" si="4"/>
        <v/>
      </c>
      <c r="AA27" s="38">
        <f>IF(AND(A27="Модуль",C27&lt;&gt;"",OR($S$6="(все)",B27=$S$6)),MAX($AA$3:AA26)+1,"")</f>
        <v>6</v>
      </c>
      <c r="AB27" s="38" t="str">
        <f t="shared" si="5"/>
        <v/>
      </c>
      <c r="AC27" s="38" t="str">
        <f>IF(OR(B27="",COUNTIF($B$4:B27,B27)&gt;1),"",MAX($AC$3:AC26)+1)</f>
        <v/>
      </c>
      <c r="AD27" s="38" t="str">
        <f t="shared" si="6"/>
        <v/>
      </c>
      <c r="AE27" s="38" t="str">
        <f t="shared" si="7"/>
        <v/>
      </c>
      <c r="AF27" s="38" t="str">
        <f t="shared" si="8"/>
        <v/>
      </c>
      <c r="AG27" s="38" t="str">
        <f>IF(Спецификация_авто!$L$30="","",IF(COUNTIF($C$4:$C$500,Спецификация_авто!$L$30)=0,Спецификация_авто!$L$30,""))</f>
        <v/>
      </c>
      <c r="AH27" s="38" t="str">
        <f>IF(AG27="","",COUNTIF($AG$4:AG27,"?*"))</f>
        <v/>
      </c>
    </row>
    <row r="28" spans="1:34" x14ac:dyDescent="0.3">
      <c r="A28" s="74" t="s">
        <v>436</v>
      </c>
      <c r="B28" s="74" t="s">
        <v>304</v>
      </c>
      <c r="C28" s="74" t="s">
        <v>309</v>
      </c>
      <c r="D28" s="74" t="s">
        <v>500</v>
      </c>
      <c r="E28" s="74">
        <v>2</v>
      </c>
      <c r="F28" s="74" t="s">
        <v>229</v>
      </c>
      <c r="G28" s="74" t="s">
        <v>308</v>
      </c>
      <c r="H28" s="74" t="s">
        <v>309</v>
      </c>
      <c r="I28" s="74"/>
      <c r="J28" s="74"/>
      <c r="K28" s="74"/>
      <c r="L28" s="74"/>
      <c r="M28" s="74" t="s">
        <v>284</v>
      </c>
      <c r="N28" s="38">
        <f>IF(OR(A28="Автомат",A28="Дифавтомат"),IF(W28="","",COUNTIFS(Однолинейка!$H$3:$H$3000,U28,Однолинейка!$A$3:$A$3000,Щит_спец)),IF(A28="Аппарат",IF(C28="","",COUNTIFS(Однолинейка!$I$3:$I$3000,C28,Однолинейка!$A$3:$A$3000,Щит_спец)+COUNTIFS(Однолинейка!$J$3:$J$3000,C28,Однолинейка!$A$3:$A$3000,Щит_спец)+COUNTIFS(Однолинейка!$K$3:$K$3000,C28,Однолинейка!$A$3:$A$3000,Щит_спец)),IF(A28="Модуль",IF(C28="","",COUNTIFS(Однолинейка!$AW$3:$AW$3000,"?*",Однолинейка!$AI$3:$AI$3000,C28,Однолинейка!$A$3:$A$3000,Щит_спец)),IF(A28="Клемма",IF(C28="","",IF(C28=$S$7,SUMIFS(Однолинейка!$BW$3:$BW$3000,Однолинейка!$A$3:$A$3000,Щит_спец),IF(C28=$S$8,SUMIFS(Однолинейка!$BX$3:$BX$3000,Однолинейка!$A$3:$A$3000,Щит_спец),""))),""))))</f>
        <v>0</v>
      </c>
      <c r="O28" s="74"/>
      <c r="P28" s="38">
        <f t="shared" si="0"/>
        <v>0</v>
      </c>
      <c r="R28" s="38" t="str">
        <f>IFERROR(INDEX($AG$4:$AG$43,MATCH(1,$AH$4:$AH$43,0)),"")</f>
        <v>1P С6А</v>
      </c>
      <c r="U28" s="38" t="str">
        <f t="shared" si="1"/>
        <v/>
      </c>
      <c r="V28" s="38" t="str">
        <f t="shared" si="2"/>
        <v/>
      </c>
      <c r="W28" s="38" t="str">
        <f>IF(AND(U28&lt;&gt;"",OR($S$4="(все)",B28=$S$4),IF($S$4="(все)",COUNTIF($U$4:U28,U28),COUNTIFS($U$4:U28,U28,$B$4:B28,B28))=1),MAX($W$3:W27)+1,"")</f>
        <v/>
      </c>
      <c r="X28" s="38" t="str">
        <f t="shared" si="3"/>
        <v/>
      </c>
      <c r="Y28" s="38" t="str">
        <f>IF(AND(A28="Аппарат",C28&lt;&gt;"",OR($S$5="(все)",B28=$S$5)),MAX($Y$3:Y27)+1,"")</f>
        <v/>
      </c>
      <c r="Z28" s="38" t="str">
        <f t="shared" si="4"/>
        <v/>
      </c>
      <c r="AA28" s="38">
        <f>IF(AND(A28="Модуль",C28&lt;&gt;"",OR($S$6="(все)",B28=$S$6)),MAX($AA$3:AA27)+1,"")</f>
        <v>7</v>
      </c>
      <c r="AB28" s="38" t="str">
        <f t="shared" si="5"/>
        <v/>
      </c>
      <c r="AC28" s="38" t="str">
        <f>IF(OR(B28="",COUNTIF($B$4:B28,B28)&gt;1),"",MAX($AC$3:AC27)+1)</f>
        <v/>
      </c>
      <c r="AD28" s="38" t="str">
        <f t="shared" si="6"/>
        <v/>
      </c>
      <c r="AE28" s="38" t="str">
        <f t="shared" si="7"/>
        <v/>
      </c>
      <c r="AF28" s="38" t="str">
        <f t="shared" si="8"/>
        <v/>
      </c>
      <c r="AG28" s="38" t="str">
        <f>IF(Спецификация_авто!$L$31="","",IF(COUNTIF($C$4:$C$500,Спецификация_авто!$L$31)=0,Спецификация_авто!$L$31,""))</f>
        <v/>
      </c>
      <c r="AH28" s="38" t="str">
        <f>IF(AG28="","",COUNTIF($AG$4:AG28,"?*"))</f>
        <v/>
      </c>
    </row>
    <row r="29" spans="1:34" x14ac:dyDescent="0.3">
      <c r="A29" s="74" t="s">
        <v>436</v>
      </c>
      <c r="B29" s="74" t="s">
        <v>304</v>
      </c>
      <c r="C29" s="74" t="s">
        <v>311</v>
      </c>
      <c r="D29" s="74" t="s">
        <v>719</v>
      </c>
      <c r="E29" s="74">
        <v>8</v>
      </c>
      <c r="F29" s="74" t="s">
        <v>720</v>
      </c>
      <c r="G29" s="74" t="s">
        <v>310</v>
      </c>
      <c r="H29" s="74" t="s">
        <v>311</v>
      </c>
      <c r="I29" s="74"/>
      <c r="J29" s="74"/>
      <c r="K29" s="74"/>
      <c r="L29" s="74"/>
      <c r="M29" s="74" t="s">
        <v>284</v>
      </c>
      <c r="N29" s="38">
        <f>IF(OR(A29="Автомат",A29="Дифавтомат"),IF(W29="","",COUNTIFS(Однолинейка!$H$3:$H$3000,U29,Однолинейка!$A$3:$A$3000,Щит_спец)),IF(A29="Аппарат",IF(C29="","",COUNTIFS(Однолинейка!$I$3:$I$3000,C29,Однолинейка!$A$3:$A$3000,Щит_спец)+COUNTIFS(Однолинейка!$J$3:$J$3000,C29,Однолинейка!$A$3:$A$3000,Щит_спец)+COUNTIFS(Однолинейка!$K$3:$K$3000,C29,Однолинейка!$A$3:$A$3000,Щит_спец)),IF(A29="Модуль",IF(C29="","",COUNTIFS(Однолинейка!$AW$3:$AW$3000,"?*",Однолинейка!$AI$3:$AI$3000,C29,Однолинейка!$A$3:$A$3000,Щит_спец)),IF(A29="Клемма",IF(C29="","",IF(C29=$S$7,SUMIFS(Однолинейка!$BW$3:$BW$3000,Однолинейка!$A$3:$A$3000,Щит_спец),IF(C29=$S$8,SUMIFS(Однолинейка!$BX$3:$BX$3000,Однолинейка!$A$3:$A$3000,Щит_спец),""))),""))))</f>
        <v>0</v>
      </c>
      <c r="O29" s="74"/>
      <c r="P29" s="38">
        <f t="shared" si="0"/>
        <v>0</v>
      </c>
      <c r="R29" s="38" t="str">
        <f>IFERROR(INDEX($AG$4:$AG$43,MATCH(2,$AH$4:$AH$43,0)),"")</f>
        <v>3P С6А</v>
      </c>
      <c r="U29" s="38" t="str">
        <f t="shared" si="1"/>
        <v/>
      </c>
      <c r="V29" s="38" t="str">
        <f t="shared" si="2"/>
        <v/>
      </c>
      <c r="W29" s="38" t="str">
        <f>IF(AND(U29&lt;&gt;"",OR($S$4="(все)",B29=$S$4),IF($S$4="(все)",COUNTIF($U$4:U29,U29),COUNTIFS($U$4:U29,U29,$B$4:B29,B29))=1),MAX($W$3:W28)+1,"")</f>
        <v/>
      </c>
      <c r="X29" s="38" t="str">
        <f t="shared" si="3"/>
        <v/>
      </c>
      <c r="Y29" s="38" t="str">
        <f>IF(AND(A29="Аппарат",C29&lt;&gt;"",OR($S$5="(все)",B29=$S$5)),MAX($Y$3:Y28)+1,"")</f>
        <v/>
      </c>
      <c r="Z29" s="38" t="str">
        <f t="shared" si="4"/>
        <v/>
      </c>
      <c r="AA29" s="38">
        <f>IF(AND(A29="Модуль",C29&lt;&gt;"",OR($S$6="(все)",B29=$S$6)),MAX($AA$3:AA28)+1,"")</f>
        <v>8</v>
      </c>
      <c r="AB29" s="38" t="str">
        <f t="shared" si="5"/>
        <v/>
      </c>
      <c r="AC29" s="38" t="str">
        <f>IF(OR(B29="",COUNTIF($B$4:B29,B29)&gt;1),"",MAX($AC$3:AC28)+1)</f>
        <v/>
      </c>
      <c r="AD29" s="38" t="str">
        <f t="shared" si="6"/>
        <v/>
      </c>
      <c r="AE29" s="38" t="str">
        <f t="shared" si="7"/>
        <v/>
      </c>
      <c r="AF29" s="38" t="str">
        <f t="shared" si="8"/>
        <v/>
      </c>
      <c r="AG29" s="38" t="str">
        <f>IF(Спецификация_авто!$L$32="","",IF(COUNTIF($C$4:$C$500,Спецификация_авто!$L$32)=0,Спецификация_авто!$L$32,""))</f>
        <v/>
      </c>
      <c r="AH29" s="38" t="str">
        <f>IF(AG29="","",COUNTIF($AG$4:AG29,"?*"))</f>
        <v/>
      </c>
    </row>
    <row r="30" spans="1:34" x14ac:dyDescent="0.3">
      <c r="A30" s="74" t="s">
        <v>436</v>
      </c>
      <c r="B30" s="74" t="s">
        <v>297</v>
      </c>
      <c r="C30" s="74" t="s">
        <v>721</v>
      </c>
      <c r="D30" s="74" t="s">
        <v>498</v>
      </c>
      <c r="E30" s="74">
        <v>4</v>
      </c>
      <c r="F30" s="74" t="s">
        <v>722</v>
      </c>
      <c r="G30" s="74" t="s">
        <v>723</v>
      </c>
      <c r="H30" s="74" t="s">
        <v>298</v>
      </c>
      <c r="I30" s="74"/>
      <c r="J30" s="74"/>
      <c r="K30" s="74"/>
      <c r="L30" s="74"/>
      <c r="M30" s="74" t="s">
        <v>284</v>
      </c>
      <c r="N30" s="38">
        <f>IF(OR(A30="Автомат",A30="Дифавтомат"),IF(W30="","",COUNTIFS(Однолинейка!$H$3:$H$3000,U30,Однолинейка!$A$3:$A$3000,Щит_спец)),IF(A30="Аппарат",IF(C30="","",COUNTIFS(Однолинейка!$I$3:$I$3000,C30,Однолинейка!$A$3:$A$3000,Щит_спец)+COUNTIFS(Однолинейка!$J$3:$J$3000,C30,Однолинейка!$A$3:$A$3000,Щит_спец)+COUNTIFS(Однолинейка!$K$3:$K$3000,C30,Однолинейка!$A$3:$A$3000,Щит_спец)),IF(A30="Модуль",IF(C30="","",COUNTIFS(Однолинейка!$AW$3:$AW$3000,"?*",Однолинейка!$AI$3:$AI$3000,C30,Однолинейка!$A$3:$A$3000,Щит_спец)),IF(A30="Клемма",IF(C30="","",IF(C30=$S$7,SUMIFS(Однолинейка!$BW$3:$BW$3000,Однолинейка!$A$3:$A$3000,Щит_спец),IF(C30=$S$8,SUMIFS(Однолинейка!$BX$3:$BX$3000,Однолинейка!$A$3:$A$3000,Щит_спец),""))),""))))</f>
        <v>0</v>
      </c>
      <c r="O30" s="74"/>
      <c r="P30" s="38">
        <f t="shared" si="0"/>
        <v>0</v>
      </c>
      <c r="R30" s="38" t="str">
        <f>IFERROR(INDEX($AG$4:$AG$43,MATCH(3,$AH$4:$AH$43,0)),"")</f>
        <v>3P С63А</v>
      </c>
      <c r="U30" s="38" t="str">
        <f t="shared" si="1"/>
        <v/>
      </c>
      <c r="V30" s="38" t="str">
        <f t="shared" si="2"/>
        <v/>
      </c>
      <c r="W30" s="38" t="str">
        <f>IF(AND(U30&lt;&gt;"",OR($S$4="(все)",B30=$S$4),IF($S$4="(все)",COUNTIF($U$4:U30,U30),COUNTIFS($U$4:U30,U30,$B$4:B30,B30))=1),MAX($W$3:W29)+1,"")</f>
        <v/>
      </c>
      <c r="X30" s="38" t="str">
        <f t="shared" si="3"/>
        <v/>
      </c>
      <c r="Y30" s="38" t="str">
        <f>IF(AND(A30="Аппарат",C30&lt;&gt;"",OR($S$5="(все)",B30=$S$5)),MAX($Y$3:Y29)+1,"")</f>
        <v/>
      </c>
      <c r="Z30" s="38" t="str">
        <f t="shared" si="4"/>
        <v/>
      </c>
      <c r="AA30" s="38">
        <f>IF(AND(A30="Модуль",C30&lt;&gt;"",OR($S$6="(все)",B30=$S$6)),MAX($AA$3:AA29)+1,"")</f>
        <v>9</v>
      </c>
      <c r="AB30" s="38" t="str">
        <f t="shared" si="5"/>
        <v/>
      </c>
      <c r="AC30" s="38" t="str">
        <f>IF(OR(B30="",COUNTIF($B$4:B30,B30)&gt;1),"",MAX($AC$3:AC29)+1)</f>
        <v/>
      </c>
      <c r="AD30" s="38" t="str">
        <f t="shared" si="6"/>
        <v/>
      </c>
      <c r="AE30" s="38" t="str">
        <f t="shared" si="7"/>
        <v/>
      </c>
      <c r="AF30" s="38" t="str">
        <f t="shared" si="8"/>
        <v/>
      </c>
      <c r="AG30" s="38" t="str">
        <f>IF(Спецификация_авто!$L$33="","",IF(COUNTIF($C$4:$C$500,Спецификация_авто!$L$33)=0,Спецификация_авто!$L$33,""))</f>
        <v/>
      </c>
      <c r="AH30" s="38" t="str">
        <f>IF(AG30="","",COUNTIF($AG$4:AG30,"?*"))</f>
        <v/>
      </c>
    </row>
    <row r="31" spans="1:34" x14ac:dyDescent="0.3">
      <c r="A31" s="74" t="s">
        <v>436</v>
      </c>
      <c r="B31" s="74" t="s">
        <v>724</v>
      </c>
      <c r="C31" s="74" t="s">
        <v>483</v>
      </c>
      <c r="D31" s="74" t="s">
        <v>32</v>
      </c>
      <c r="E31" s="74">
        <v>24</v>
      </c>
      <c r="F31" s="74" t="s">
        <v>491</v>
      </c>
      <c r="G31" s="74" t="s">
        <v>725</v>
      </c>
      <c r="H31" s="74"/>
      <c r="I31" s="74"/>
      <c r="J31" s="74"/>
      <c r="K31" s="74"/>
      <c r="L31" s="74"/>
      <c r="M31" s="74" t="s">
        <v>284</v>
      </c>
      <c r="N31" s="38">
        <f>IF(OR(A31="Автомат",A31="Дифавтомат"),IF(W31="","",COUNTIFS(Однолинейка!$H$3:$H$3000,U31,Однолинейка!$A$3:$A$3000,Щит_спец)),IF(A31="Аппарат",IF(C31="","",COUNTIFS(Однолинейка!$I$3:$I$3000,C31,Однолинейка!$A$3:$A$3000,Щит_спец)+COUNTIFS(Однолинейка!$J$3:$J$3000,C31,Однолинейка!$A$3:$A$3000,Щит_спец)+COUNTIFS(Однолинейка!$K$3:$K$3000,C31,Однолинейка!$A$3:$A$3000,Щит_спец)),IF(A31="Модуль",IF(C31="","",COUNTIFS(Однолинейка!$AW$3:$AW$3000,"?*",Однолинейка!$AI$3:$AI$3000,C31,Однолинейка!$A$3:$A$3000,Щит_спец)),IF(A31="Клемма",IF(C31="","",IF(C31=$S$7,SUMIFS(Однолинейка!$BW$3:$BW$3000,Однолинейка!$A$3:$A$3000,Щит_спец),IF(C31=$S$8,SUMIFS(Однолинейка!$BX$3:$BX$3000,Однолинейка!$A$3:$A$3000,Щит_спец),""))),""))))</f>
        <v>0</v>
      </c>
      <c r="O31" s="74"/>
      <c r="P31" s="38">
        <f t="shared" si="0"/>
        <v>0</v>
      </c>
      <c r="R31" s="38" t="str">
        <f>IFERROR(INDEX($AG$4:$AG$43,MATCH(4,$AH$4:$AH$43,0)),"")</f>
        <v>3P С25А</v>
      </c>
      <c r="U31" s="38" t="str">
        <f t="shared" si="1"/>
        <v/>
      </c>
      <c r="V31" s="38" t="str">
        <f t="shared" si="2"/>
        <v/>
      </c>
      <c r="W31" s="38" t="str">
        <f>IF(AND(U31&lt;&gt;"",OR($S$4="(все)",B31=$S$4),IF($S$4="(все)",COUNTIF($U$4:U31,U31),COUNTIFS($U$4:U31,U31,$B$4:B31,B31))=1),MAX($W$3:W30)+1,"")</f>
        <v/>
      </c>
      <c r="X31" s="38" t="str">
        <f t="shared" si="3"/>
        <v/>
      </c>
      <c r="Y31" s="38" t="str">
        <f>IF(AND(A31="Аппарат",C31&lt;&gt;"",OR($S$5="(все)",B31=$S$5)),MAX($Y$3:Y30)+1,"")</f>
        <v/>
      </c>
      <c r="Z31" s="38" t="str">
        <f t="shared" si="4"/>
        <v/>
      </c>
      <c r="AA31" s="38">
        <f>IF(AND(A31="Модуль",C31&lt;&gt;"",OR($S$6="(все)",B31=$S$6)),MAX($AA$3:AA30)+1,"")</f>
        <v>10</v>
      </c>
      <c r="AB31" s="38" t="str">
        <f t="shared" si="5"/>
        <v/>
      </c>
      <c r="AC31" s="38">
        <f>IF(OR(B31="",COUNTIF($B$4:B31,B31)&gt;1),"",MAX($AC$3:AC30)+1)</f>
        <v>5</v>
      </c>
      <c r="AD31" s="38" t="str">
        <f t="shared" si="6"/>
        <v/>
      </c>
      <c r="AE31" s="38" t="str">
        <f t="shared" si="7"/>
        <v/>
      </c>
      <c r="AF31" s="38" t="str">
        <f t="shared" si="8"/>
        <v/>
      </c>
      <c r="AG31" s="38" t="str">
        <f>IF(Спецификация_авто!$L$34="","",IF(COUNTIF($C$4:$C$500,Спецификация_авто!$L$34)=0,Спецификация_авто!$L$34,""))</f>
        <v/>
      </c>
      <c r="AH31" s="38" t="str">
        <f>IF(AG31="","",COUNTIF($AG$4:AG31,"?*"))</f>
        <v/>
      </c>
    </row>
    <row r="32" spans="1:34" x14ac:dyDescent="0.3">
      <c r="A32" s="74" t="s">
        <v>436</v>
      </c>
      <c r="B32" s="74" t="s">
        <v>724</v>
      </c>
      <c r="C32" s="74" t="s">
        <v>482</v>
      </c>
      <c r="D32" s="74" t="s">
        <v>501</v>
      </c>
      <c r="E32" s="74">
        <v>8</v>
      </c>
      <c r="F32" s="74" t="s">
        <v>726</v>
      </c>
      <c r="G32" s="74" t="s">
        <v>725</v>
      </c>
      <c r="H32" s="74"/>
      <c r="I32" s="74"/>
      <c r="J32" s="74"/>
      <c r="K32" s="74"/>
      <c r="L32" s="74"/>
      <c r="M32" s="74" t="s">
        <v>284</v>
      </c>
      <c r="N32" s="38">
        <f>IF(OR(A32="Автомат",A32="Дифавтомат"),IF(W32="","",COUNTIFS(Однолинейка!$H$3:$H$3000,U32,Однолинейка!$A$3:$A$3000,Щит_спец)),IF(A32="Аппарат",IF(C32="","",COUNTIFS(Однолинейка!$I$3:$I$3000,C32,Однолинейка!$A$3:$A$3000,Щит_спец)+COUNTIFS(Однолинейка!$J$3:$J$3000,C32,Однолинейка!$A$3:$A$3000,Щит_спец)+COUNTIFS(Однолинейка!$K$3:$K$3000,C32,Однолинейка!$A$3:$A$3000,Щит_спец)),IF(A32="Модуль",IF(C32="","",COUNTIFS(Однолинейка!$AW$3:$AW$3000,"?*",Однолинейка!$AI$3:$AI$3000,C32,Однолинейка!$A$3:$A$3000,Щит_спец)),IF(A32="Клемма",IF(C32="","",IF(C32=$S$7,SUMIFS(Однолинейка!$BW$3:$BW$3000,Однолинейка!$A$3:$A$3000,Щит_спец),IF(C32=$S$8,SUMIFS(Однолинейка!$BX$3:$BX$3000,Однолинейка!$A$3:$A$3000,Щит_спец),""))),""))))</f>
        <v>0</v>
      </c>
      <c r="O32" s="74"/>
      <c r="P32" s="38">
        <f t="shared" si="0"/>
        <v>0</v>
      </c>
      <c r="R32" s="38" t="str">
        <f>IFERROR(INDEX($AG$4:$AG$43,MATCH(5,$AH$4:$AH$43,0)),"")</f>
        <v>3P С16А</v>
      </c>
      <c r="U32" s="38" t="str">
        <f t="shared" si="1"/>
        <v/>
      </c>
      <c r="V32" s="38" t="str">
        <f t="shared" si="2"/>
        <v/>
      </c>
      <c r="W32" s="38" t="str">
        <f>IF(AND(U32&lt;&gt;"",OR($S$4="(все)",B32=$S$4),IF($S$4="(все)",COUNTIF($U$4:U32,U32),COUNTIFS($U$4:U32,U32,$B$4:B32,B32))=1),MAX($W$3:W31)+1,"")</f>
        <v/>
      </c>
      <c r="X32" s="38" t="str">
        <f t="shared" si="3"/>
        <v/>
      </c>
      <c r="Y32" s="38" t="str">
        <f>IF(AND(A32="Аппарат",C32&lt;&gt;"",OR($S$5="(все)",B32=$S$5)),MAX($Y$3:Y31)+1,"")</f>
        <v/>
      </c>
      <c r="Z32" s="38" t="str">
        <f t="shared" si="4"/>
        <v/>
      </c>
      <c r="AA32" s="38">
        <f>IF(AND(A32="Модуль",C32&lt;&gt;"",OR($S$6="(все)",B32=$S$6)),MAX($AA$3:AA31)+1,"")</f>
        <v>11</v>
      </c>
      <c r="AB32" s="38" t="str">
        <f t="shared" si="5"/>
        <v/>
      </c>
      <c r="AC32" s="38" t="str">
        <f>IF(OR(B32="",COUNTIF($B$4:B32,B32)&gt;1),"",MAX($AC$3:AC31)+1)</f>
        <v/>
      </c>
      <c r="AD32" s="38" t="str">
        <f t="shared" si="6"/>
        <v/>
      </c>
      <c r="AE32" s="38" t="str">
        <f t="shared" si="7"/>
        <v/>
      </c>
      <c r="AF32" s="38" t="str">
        <f t="shared" si="8"/>
        <v/>
      </c>
      <c r="AG32" s="38" t="str">
        <f>IF(Спецификация_авто!$L$35="","",IF(COUNTIF($C$4:$C$500,Спецификация_авто!$L$35)=0,Спецификация_авто!$L$35,""))</f>
        <v/>
      </c>
      <c r="AH32" s="38" t="str">
        <f>IF(AG32="","",COUNTIF($AG$4:AG32,"?*"))</f>
        <v/>
      </c>
    </row>
    <row r="33" spans="1:34" x14ac:dyDescent="0.3">
      <c r="A33" s="74" t="s">
        <v>439</v>
      </c>
      <c r="B33" s="74" t="s">
        <v>281</v>
      </c>
      <c r="C33" s="74" t="s">
        <v>319</v>
      </c>
      <c r="D33" s="74"/>
      <c r="E33" s="74"/>
      <c r="F33" s="74"/>
      <c r="G33" s="74" t="s">
        <v>727</v>
      </c>
      <c r="H33" s="74" t="s">
        <v>319</v>
      </c>
      <c r="I33" s="74"/>
      <c r="J33" s="74"/>
      <c r="K33" s="74"/>
      <c r="L33" s="74"/>
      <c r="M33" s="74" t="s">
        <v>284</v>
      </c>
      <c r="N33" s="38">
        <f>IF(OR(A33="Автомат",A33="Дифавтомат"),IF(W33="","",COUNTIFS(Однолинейка!$H$3:$H$3000,U33,Однолинейка!$A$3:$A$3000,Щит_спец)),IF(A33="Аппарат",IF(C33="","",COUNTIFS(Однолинейка!$I$3:$I$3000,C33,Однолинейка!$A$3:$A$3000,Щит_спец)+COUNTIFS(Однолинейка!$J$3:$J$3000,C33,Однолинейка!$A$3:$A$3000,Щит_спец)+COUNTIFS(Однолинейка!$K$3:$K$3000,C33,Однолинейка!$A$3:$A$3000,Щит_спец)),IF(A33="Модуль",IF(C33="","",COUNTIFS(Однолинейка!$AW$3:$AW$3000,"?*",Однолинейка!$AI$3:$AI$3000,C33,Однолинейка!$A$3:$A$3000,Щит_спец)),IF(A33="Клемма",IF(C33="","",IF(C33=$S$7,SUMIFS(Однолинейка!$BW$3:$BW$3000,Однолинейка!$A$3:$A$3000,Щит_спец),IF(C33=$S$8,SUMIFS(Однолинейка!$BX$3:$BX$3000,Однолинейка!$A$3:$A$3000,Щит_спец),""))),""))))</f>
        <v>310</v>
      </c>
      <c r="O33" s="74"/>
      <c r="P33" s="38">
        <f t="shared" si="0"/>
        <v>310</v>
      </c>
      <c r="R33" s="38" t="str">
        <f>IFERROR(INDEX($AG$4:$AG$43,MATCH(6,$AH$4:$AH$43,0)),"")</f>
        <v>1P С20А</v>
      </c>
      <c r="U33" s="38" t="str">
        <f t="shared" si="1"/>
        <v/>
      </c>
      <c r="V33" s="38" t="str">
        <f t="shared" si="2"/>
        <v/>
      </c>
      <c r="W33" s="38" t="str">
        <f>IF(AND(U33&lt;&gt;"",OR($S$4="(все)",B33=$S$4),IF($S$4="(все)",COUNTIF($U$4:U33,U33),COUNTIFS($U$4:U33,U33,$B$4:B33,B33))=1),MAX($W$3:W32)+1,"")</f>
        <v/>
      </c>
      <c r="X33" s="38" t="str">
        <f t="shared" si="3"/>
        <v/>
      </c>
      <c r="Y33" s="38" t="str">
        <f>IF(AND(A33="Аппарат",C33&lt;&gt;"",OR($S$5="(все)",B33=$S$5)),MAX($Y$3:Y32)+1,"")</f>
        <v/>
      </c>
      <c r="Z33" s="38" t="str">
        <f t="shared" si="4"/>
        <v/>
      </c>
      <c r="AA33" s="38" t="str">
        <f>IF(AND(A33="Модуль",C33&lt;&gt;"",OR($S$6="(все)",B33=$S$6)),MAX($AA$3:AA32)+1,"")</f>
        <v/>
      </c>
      <c r="AB33" s="38" t="str">
        <f t="shared" si="5"/>
        <v/>
      </c>
      <c r="AC33" s="38">
        <f>IF(OR(B33="",COUNTIF($B$4:B33,B33)&gt;1),"",MAX($AC$3:AC32)+1)</f>
        <v>6</v>
      </c>
      <c r="AD33" s="38" t="str">
        <f t="shared" si="6"/>
        <v/>
      </c>
      <c r="AE33" s="38">
        <f t="shared" si="7"/>
        <v>7033</v>
      </c>
      <c r="AF33" s="38">
        <f t="shared" si="8"/>
        <v>5</v>
      </c>
      <c r="AG33" s="38" t="str">
        <f>IF(Спецификация_авто!$L$36="","",IF(COUNTIF($C$4:$C$500,Спецификация_авто!$L$36)=0,Спецификация_авто!$L$36,""))</f>
        <v/>
      </c>
      <c r="AH33" s="38" t="str">
        <f>IF(AG33="","",COUNTIF($AG$4:AG33,"?*"))</f>
        <v/>
      </c>
    </row>
    <row r="34" spans="1:34" x14ac:dyDescent="0.3">
      <c r="A34" s="74" t="s">
        <v>439</v>
      </c>
      <c r="B34" s="74" t="s">
        <v>281</v>
      </c>
      <c r="C34" s="74" t="s">
        <v>400</v>
      </c>
      <c r="D34" s="74"/>
      <c r="E34" s="74"/>
      <c r="F34" s="74"/>
      <c r="G34" s="74" t="s">
        <v>728</v>
      </c>
      <c r="H34" s="74" t="s">
        <v>400</v>
      </c>
      <c r="I34" s="74"/>
      <c r="J34" s="74"/>
      <c r="K34" s="74"/>
      <c r="L34" s="74"/>
      <c r="M34" s="74" t="s">
        <v>284</v>
      </c>
      <c r="N34" s="38">
        <f>IF(OR(A34="Автомат",A34="Дифавтомат"),IF(W34="","",COUNTIFS(Однолинейка!$H$3:$H$3000,U34,Однолинейка!$A$3:$A$3000,Щит_спец)),IF(A34="Аппарат",IF(C34="","",COUNTIFS(Однолинейка!$I$3:$I$3000,C34,Однолинейка!$A$3:$A$3000,Щит_спец)+COUNTIFS(Однолинейка!$J$3:$J$3000,C34,Однолинейка!$A$3:$A$3000,Щит_спец)+COUNTIFS(Однолинейка!$K$3:$K$3000,C34,Однолинейка!$A$3:$A$3000,Щит_спец)),IF(A34="Модуль",IF(C34="","",COUNTIFS(Однолинейка!$AW$3:$AW$3000,"?*",Однолинейка!$AI$3:$AI$3000,C34,Однолинейка!$A$3:$A$3000,Щит_спец)),IF(A34="Клемма",IF(C34="","",IF(C34=$S$7,SUMIFS(Однолинейка!$BW$3:$BW$3000,Однолинейка!$A$3:$A$3000,Щит_спец),IF(C34=$S$8,SUMIFS(Однолинейка!$BX$3:$BX$3000,Однолинейка!$A$3:$A$3000,Щит_спец),""))),""))))</f>
        <v>60</v>
      </c>
      <c r="O34" s="74"/>
      <c r="P34" s="38">
        <f t="shared" si="0"/>
        <v>60</v>
      </c>
      <c r="R34" s="38" t="str">
        <f>IFERROR(INDEX($AG$4:$AG$43,MATCH(7,$AH$4:$AH$43,0)),"")</f>
        <v>1P С25А</v>
      </c>
      <c r="U34" s="38" t="str">
        <f t="shared" si="1"/>
        <v/>
      </c>
      <c r="V34" s="38" t="str">
        <f t="shared" si="2"/>
        <v/>
      </c>
      <c r="W34" s="38" t="str">
        <f>IF(AND(U34&lt;&gt;"",OR($S$4="(все)",B34=$S$4),IF($S$4="(все)",COUNTIF($U$4:U34,U34),COUNTIFS($U$4:U34,U34,$B$4:B34,B34))=1),MAX($W$3:W33)+1,"")</f>
        <v/>
      </c>
      <c r="X34" s="38" t="str">
        <f t="shared" si="3"/>
        <v/>
      </c>
      <c r="Y34" s="38" t="str">
        <f>IF(AND(A34="Аппарат",C34&lt;&gt;"",OR($S$5="(все)",B34=$S$5)),MAX($Y$3:Y33)+1,"")</f>
        <v/>
      </c>
      <c r="Z34" s="38" t="str">
        <f t="shared" si="4"/>
        <v/>
      </c>
      <c r="AA34" s="38" t="str">
        <f>IF(AND(A34="Модуль",C34&lt;&gt;"",OR($S$6="(все)",B34=$S$6)),MAX($AA$3:AA33)+1,"")</f>
        <v/>
      </c>
      <c r="AB34" s="38" t="str">
        <f t="shared" si="5"/>
        <v/>
      </c>
      <c r="AC34" s="38" t="str">
        <f>IF(OR(B34="",COUNTIF($B$4:B34,B34)&gt;1),"",MAX($AC$3:AC33)+1)</f>
        <v/>
      </c>
      <c r="AD34" s="38" t="str">
        <f t="shared" si="6"/>
        <v/>
      </c>
      <c r="AE34" s="38">
        <f t="shared" si="7"/>
        <v>7034</v>
      </c>
      <c r="AF34" s="38">
        <f t="shared" si="8"/>
        <v>6</v>
      </c>
      <c r="AG34" s="38" t="str">
        <f>IF(Спецификация_авто!$L$39="","",IF(COUNTIF($C$4:$C$500,Спецификация_авто!$L$39)=0,Спецификация_авто!$L$39,""))</f>
        <v/>
      </c>
      <c r="AH34" s="38" t="str">
        <f>IF(AG34="","",COUNTIF($AG$4:AG34,"?*"))</f>
        <v/>
      </c>
    </row>
    <row r="35" spans="1:34" x14ac:dyDescent="0.3">
      <c r="A35" s="74" t="s">
        <v>439</v>
      </c>
      <c r="B35" s="74" t="s">
        <v>281</v>
      </c>
      <c r="C35" s="74" t="s">
        <v>321</v>
      </c>
      <c r="D35" s="74"/>
      <c r="E35" s="74"/>
      <c r="F35" s="74"/>
      <c r="G35" s="74" t="s">
        <v>320</v>
      </c>
      <c r="H35" s="74" t="s">
        <v>321</v>
      </c>
      <c r="I35" s="74"/>
      <c r="J35" s="74"/>
      <c r="K35" s="74"/>
      <c r="L35" s="74"/>
      <c r="M35" s="74" t="s">
        <v>284</v>
      </c>
      <c r="N35" s="38" t="str">
        <f>IF(OR(A35="Автомат",A35="Дифавтомат"),IF(W35="","",COUNTIFS(Однолинейка!$H$3:$H$3000,U35,Однолинейка!$A$3:$A$3000,Щит_спец)),IF(A35="Аппарат",IF(C35="","",COUNTIFS(Однолинейка!$I$3:$I$3000,C35,Однолинейка!$A$3:$A$3000,Щит_спец)+COUNTIFS(Однолинейка!$J$3:$J$3000,C35,Однолинейка!$A$3:$A$3000,Щит_спец)+COUNTIFS(Однолинейка!$K$3:$K$3000,C35,Однолинейка!$A$3:$A$3000,Щит_спец)),IF(A35="Модуль",IF(C35="","",COUNTIFS(Однолинейка!$AW$3:$AW$3000,"?*",Однолинейка!$AI$3:$AI$3000,C35,Однолинейка!$A$3:$A$3000,Щит_спец)),IF(A35="Клемма",IF(C35="","",IF(C35=$S$7,SUMIFS(Однолинейка!$BW$3:$BW$3000,Однолинейка!$A$3:$A$3000,Щит_спец),IF(C35=$S$8,SUMIFS(Однолинейка!$BX$3:$BX$3000,Однолинейка!$A$3:$A$3000,Щит_спец),""))),""))))</f>
        <v/>
      </c>
      <c r="O35" s="74"/>
      <c r="P35" s="38" t="str">
        <f t="shared" si="0"/>
        <v/>
      </c>
      <c r="R35" s="38" t="str">
        <f>IFERROR(INDEX($AG$4:$AG$43,MATCH(8,$AH$4:$AH$43,0)),"")</f>
        <v>4P С16А 30мА</v>
      </c>
      <c r="U35" s="38" t="str">
        <f t="shared" si="1"/>
        <v/>
      </c>
      <c r="V35" s="38" t="str">
        <f t="shared" si="2"/>
        <v/>
      </c>
      <c r="W35" s="38" t="str">
        <f>IF(AND(U35&lt;&gt;"",OR($S$4="(все)",B35=$S$4),IF($S$4="(все)",COUNTIF($U$4:U35,U35),COUNTIFS($U$4:U35,U35,$B$4:B35,B35))=1),MAX($W$3:W34)+1,"")</f>
        <v/>
      </c>
      <c r="X35" s="38" t="str">
        <f t="shared" si="3"/>
        <v/>
      </c>
      <c r="Y35" s="38" t="str">
        <f>IF(AND(A35="Аппарат",C35&lt;&gt;"",OR($S$5="(все)",B35=$S$5)),MAX($Y$3:Y34)+1,"")</f>
        <v/>
      </c>
      <c r="Z35" s="38" t="str">
        <f t="shared" si="4"/>
        <v/>
      </c>
      <c r="AA35" s="38" t="str">
        <f>IF(AND(A35="Модуль",C35&lt;&gt;"",OR($S$6="(все)",B35=$S$6)),MAX($AA$3:AA34)+1,"")</f>
        <v/>
      </c>
      <c r="AB35" s="38" t="str">
        <f t="shared" si="5"/>
        <v/>
      </c>
      <c r="AC35" s="38" t="str">
        <f>IF(OR(B35="",COUNTIF($B$4:B35,B35)&gt;1),"",MAX($AC$3:AC34)+1)</f>
        <v/>
      </c>
      <c r="AD35" s="38" t="str">
        <f t="shared" si="6"/>
        <v/>
      </c>
      <c r="AE35" s="38" t="str">
        <f t="shared" si="7"/>
        <v/>
      </c>
      <c r="AF35" s="38" t="str">
        <f t="shared" si="8"/>
        <v/>
      </c>
      <c r="AG35" s="38" t="str">
        <f>IF(Спецификация_авто!$L$40="","",IF(COUNTIF($C$4:$C$500,Спецификация_авто!$L$40)=0,Спецификация_авто!$L$40,""))</f>
        <v/>
      </c>
      <c r="AH35" s="38" t="str">
        <f>IF(AG35="","",COUNTIF($AG$4:AG35,"?*"))</f>
        <v/>
      </c>
    </row>
    <row r="36" spans="1:34" x14ac:dyDescent="0.3">
      <c r="A36" s="74" t="s">
        <v>439</v>
      </c>
      <c r="B36" s="74" t="s">
        <v>281</v>
      </c>
      <c r="C36" s="74" t="s">
        <v>312</v>
      </c>
      <c r="D36" s="74"/>
      <c r="E36" s="74"/>
      <c r="F36" s="74"/>
      <c r="G36" s="74" t="s">
        <v>729</v>
      </c>
      <c r="H36" s="74" t="s">
        <v>312</v>
      </c>
      <c r="I36" s="74"/>
      <c r="J36" s="74"/>
      <c r="K36" s="74"/>
      <c r="L36" s="74"/>
      <c r="M36" s="74" t="s">
        <v>284</v>
      </c>
      <c r="N36" s="38" t="str">
        <f>IF(OR(A36="Автомат",A36="Дифавтомат"),IF(W36="","",COUNTIFS(Однолинейка!$H$3:$H$3000,U36,Однолинейка!$A$3:$A$3000,Щит_спец)),IF(A36="Аппарат",IF(C36="","",COUNTIFS(Однолинейка!$I$3:$I$3000,C36,Однолинейка!$A$3:$A$3000,Щит_спец)+COUNTIFS(Однолинейка!$J$3:$J$3000,C36,Однолинейка!$A$3:$A$3000,Щит_спец)+COUNTIFS(Однолинейка!$K$3:$K$3000,C36,Однолинейка!$A$3:$A$3000,Щит_спец)),IF(A36="Модуль",IF(C36="","",COUNTIFS(Однолинейка!$AW$3:$AW$3000,"?*",Однолинейка!$AI$3:$AI$3000,C36,Однолинейка!$A$3:$A$3000,Щит_спец)),IF(A36="Клемма",IF(C36="","",IF(C36=$S$7,SUMIFS(Однолинейка!$BW$3:$BW$3000,Однолинейка!$A$3:$A$3000,Щит_спец),IF(C36=$S$8,SUMIFS(Однолинейка!$BX$3:$BX$3000,Однолинейка!$A$3:$A$3000,Щит_спец),""))),""))))</f>
        <v/>
      </c>
      <c r="O36" s="74"/>
      <c r="P36" s="38" t="str">
        <f t="shared" si="0"/>
        <v/>
      </c>
      <c r="R36" s="38" t="str">
        <f>IFERROR(INDEX($AG$4:$AG$43,MATCH(9,$AH$4:$AH$43,0)),"")</f>
        <v/>
      </c>
      <c r="U36" s="38" t="str">
        <f t="shared" si="1"/>
        <v/>
      </c>
      <c r="V36" s="38" t="str">
        <f t="shared" si="2"/>
        <v/>
      </c>
      <c r="W36" s="38" t="str">
        <f>IF(AND(U36&lt;&gt;"",OR($S$4="(все)",B36=$S$4),IF($S$4="(все)",COUNTIF($U$4:U36,U36),COUNTIFS($U$4:U36,U36,$B$4:B36,B36))=1),MAX($W$3:W35)+1,"")</f>
        <v/>
      </c>
      <c r="X36" s="38" t="str">
        <f t="shared" si="3"/>
        <v/>
      </c>
      <c r="Y36" s="38" t="str">
        <f>IF(AND(A36="Аппарат",C36&lt;&gt;"",OR($S$5="(все)",B36=$S$5)),MAX($Y$3:Y35)+1,"")</f>
        <v/>
      </c>
      <c r="Z36" s="38" t="str">
        <f t="shared" si="4"/>
        <v/>
      </c>
      <c r="AA36" s="38" t="str">
        <f>IF(AND(A36="Модуль",C36&lt;&gt;"",OR($S$6="(все)",B36=$S$6)),MAX($AA$3:AA35)+1,"")</f>
        <v/>
      </c>
      <c r="AB36" s="38" t="str">
        <f t="shared" si="5"/>
        <v/>
      </c>
      <c r="AC36" s="38" t="str">
        <f>IF(OR(B36="",COUNTIF($B$4:B36,B36)&gt;1),"",MAX($AC$3:AC35)+1)</f>
        <v/>
      </c>
      <c r="AD36" s="38" t="str">
        <f t="shared" si="6"/>
        <v/>
      </c>
      <c r="AE36" s="38" t="str">
        <f t="shared" si="7"/>
        <v/>
      </c>
      <c r="AF36" s="38" t="str">
        <f t="shared" si="8"/>
        <v/>
      </c>
      <c r="AG36" s="38" t="str">
        <f>IF(Спецификация_авто!$L$41="","",IF(COUNTIF($C$4:$C$500,Спецификация_авто!$L$41)=0,Спецификация_авто!$L$41,""))</f>
        <v/>
      </c>
      <c r="AH36" s="38" t="str">
        <f>IF(AG36="","",COUNTIF($AG$4:AG36,"?*"))</f>
        <v/>
      </c>
    </row>
    <row r="37" spans="1:34" x14ac:dyDescent="0.3">
      <c r="A37" s="74" t="s">
        <v>439</v>
      </c>
      <c r="B37" s="74" t="s">
        <v>281</v>
      </c>
      <c r="C37" s="74" t="s">
        <v>386</v>
      </c>
      <c r="D37" s="74"/>
      <c r="E37" s="74"/>
      <c r="F37" s="74"/>
      <c r="G37" s="74" t="s">
        <v>730</v>
      </c>
      <c r="H37" s="74" t="s">
        <v>386</v>
      </c>
      <c r="I37" s="74"/>
      <c r="J37" s="74"/>
      <c r="K37" s="74"/>
      <c r="L37" s="74"/>
      <c r="M37" s="74" t="s">
        <v>284</v>
      </c>
      <c r="N37" s="38" t="str">
        <f>IF(OR(A37="Автомат",A37="Дифавтомат"),IF(W37="","",COUNTIFS(Однолинейка!$H$3:$H$3000,U37,Однолинейка!$A$3:$A$3000,Щит_спец)),IF(A37="Аппарат",IF(C37="","",COUNTIFS(Однолинейка!$I$3:$I$3000,C37,Однолинейка!$A$3:$A$3000,Щит_спец)+COUNTIFS(Однолинейка!$J$3:$J$3000,C37,Однолинейка!$A$3:$A$3000,Щит_спец)+COUNTIFS(Однолинейка!$K$3:$K$3000,C37,Однолинейка!$A$3:$A$3000,Щит_спец)),IF(A37="Модуль",IF(C37="","",COUNTIFS(Однолинейка!$AW$3:$AW$3000,"?*",Однолинейка!$AI$3:$AI$3000,C37,Однолинейка!$A$3:$A$3000,Щит_спец)),IF(A37="Клемма",IF(C37="","",IF(C37=$S$7,SUMIFS(Однолинейка!$BW$3:$BW$3000,Однолинейка!$A$3:$A$3000,Щит_спец),IF(C37=$S$8,SUMIFS(Однолинейка!$BX$3:$BX$3000,Однолинейка!$A$3:$A$3000,Щит_спец),""))),""))))</f>
        <v/>
      </c>
      <c r="O37" s="74"/>
      <c r="P37" s="38" t="str">
        <f t="shared" si="0"/>
        <v/>
      </c>
      <c r="R37" s="38" t="str">
        <f>IFERROR(INDEX($AG$4:$AG$43,MATCH(10,$AH$4:$AH$43,0)),"")</f>
        <v/>
      </c>
      <c r="U37" s="38" t="str">
        <f t="shared" si="1"/>
        <v/>
      </c>
      <c r="V37" s="38" t="str">
        <f t="shared" si="2"/>
        <v/>
      </c>
      <c r="W37" s="38" t="str">
        <f>IF(AND(U37&lt;&gt;"",OR($S$4="(все)",B37=$S$4),IF($S$4="(все)",COUNTIF($U$4:U37,U37),COUNTIFS($U$4:U37,U37,$B$4:B37,B37))=1),MAX($W$3:W36)+1,"")</f>
        <v/>
      </c>
      <c r="X37" s="38" t="str">
        <f t="shared" si="3"/>
        <v/>
      </c>
      <c r="Y37" s="38" t="str">
        <f>IF(AND(A37="Аппарат",C37&lt;&gt;"",OR($S$5="(все)",B37=$S$5)),MAX($Y$3:Y36)+1,"")</f>
        <v/>
      </c>
      <c r="Z37" s="38" t="str">
        <f t="shared" si="4"/>
        <v/>
      </c>
      <c r="AA37" s="38" t="str">
        <f>IF(AND(A37="Модуль",C37&lt;&gt;"",OR($S$6="(все)",B37=$S$6)),MAX($AA$3:AA36)+1,"")</f>
        <v/>
      </c>
      <c r="AB37" s="38" t="str">
        <f t="shared" si="5"/>
        <v/>
      </c>
      <c r="AC37" s="38" t="str">
        <f>IF(OR(B37="",COUNTIF($B$4:B37,B37)&gt;1),"",MAX($AC$3:AC36)+1)</f>
        <v/>
      </c>
      <c r="AD37" s="38" t="str">
        <f t="shared" si="6"/>
        <v/>
      </c>
      <c r="AE37" s="38" t="str">
        <f t="shared" si="7"/>
        <v/>
      </c>
      <c r="AF37" s="38" t="str">
        <f t="shared" si="8"/>
        <v/>
      </c>
      <c r="AG37" s="38" t="str">
        <f>IF(Спецификация_авто!$L$42="","",IF(COUNTIF($C$4:$C$500,Спецификация_авто!$L$42)=0,Спецификация_авто!$L$42,""))</f>
        <v/>
      </c>
      <c r="AH37" s="38" t="str">
        <f>IF(AG37="","",COUNTIF($AG$4:AG37,"?*"))</f>
        <v/>
      </c>
    </row>
    <row r="38" spans="1:34" x14ac:dyDescent="0.3">
      <c r="A38" s="74" t="s">
        <v>439</v>
      </c>
      <c r="B38" s="74" t="s">
        <v>281</v>
      </c>
      <c r="C38" s="74" t="s">
        <v>393</v>
      </c>
      <c r="D38" s="74"/>
      <c r="E38" s="74"/>
      <c r="F38" s="74"/>
      <c r="G38" s="74" t="s">
        <v>731</v>
      </c>
      <c r="H38" s="74" t="s">
        <v>393</v>
      </c>
      <c r="I38" s="74"/>
      <c r="J38" s="74"/>
      <c r="K38" s="74"/>
      <c r="L38" s="74"/>
      <c r="M38" s="74" t="s">
        <v>284</v>
      </c>
      <c r="N38" s="38" t="str">
        <f>IF(OR(A38="Автомат",A38="Дифавтомат"),IF(W38="","",COUNTIFS(Однолинейка!$H$3:$H$3000,U38,Однолинейка!$A$3:$A$3000,Щит_спец)),IF(A38="Аппарат",IF(C38="","",COUNTIFS(Однолинейка!$I$3:$I$3000,C38,Однолинейка!$A$3:$A$3000,Щит_спец)+COUNTIFS(Однолинейка!$J$3:$J$3000,C38,Однолинейка!$A$3:$A$3000,Щит_спец)+COUNTIFS(Однолинейка!$K$3:$K$3000,C38,Однолинейка!$A$3:$A$3000,Щит_спец)),IF(A38="Модуль",IF(C38="","",COUNTIFS(Однолинейка!$AW$3:$AW$3000,"?*",Однолинейка!$AI$3:$AI$3000,C38,Однолинейка!$A$3:$A$3000,Щит_спец)),IF(A38="Клемма",IF(C38="","",IF(C38=$S$7,SUMIFS(Однолинейка!$BW$3:$BW$3000,Однолинейка!$A$3:$A$3000,Щит_спец),IF(C38=$S$8,SUMIFS(Однолинейка!$BX$3:$BX$3000,Однолинейка!$A$3:$A$3000,Щит_спец),""))),""))))</f>
        <v/>
      </c>
      <c r="O38" s="74"/>
      <c r="P38" s="38" t="str">
        <f t="shared" si="0"/>
        <v/>
      </c>
      <c r="U38" s="38" t="str">
        <f t="shared" si="1"/>
        <v/>
      </c>
      <c r="V38" s="38" t="str">
        <f t="shared" si="2"/>
        <v/>
      </c>
      <c r="W38" s="38" t="str">
        <f>IF(AND(U38&lt;&gt;"",OR($S$4="(все)",B38=$S$4),IF($S$4="(все)",COUNTIF($U$4:U38,U38),COUNTIFS($U$4:U38,U38,$B$4:B38,B38))=1),MAX($W$3:W37)+1,"")</f>
        <v/>
      </c>
      <c r="X38" s="38" t="str">
        <f t="shared" si="3"/>
        <v/>
      </c>
      <c r="Y38" s="38" t="str">
        <f>IF(AND(A38="Аппарат",C38&lt;&gt;"",OR($S$5="(все)",B38=$S$5)),MAX($Y$3:Y37)+1,"")</f>
        <v/>
      </c>
      <c r="Z38" s="38" t="str">
        <f t="shared" si="4"/>
        <v/>
      </c>
      <c r="AA38" s="38" t="str">
        <f>IF(AND(A38="Модуль",C38&lt;&gt;"",OR($S$6="(все)",B38=$S$6)),MAX($AA$3:AA37)+1,"")</f>
        <v/>
      </c>
      <c r="AB38" s="38" t="str">
        <f t="shared" si="5"/>
        <v/>
      </c>
      <c r="AC38" s="38" t="str">
        <f>IF(OR(B38="",COUNTIF($B$4:B38,B38)&gt;1),"",MAX($AC$3:AC37)+1)</f>
        <v/>
      </c>
      <c r="AD38" s="38" t="str">
        <f t="shared" si="6"/>
        <v/>
      </c>
      <c r="AE38" s="38" t="str">
        <f t="shared" si="7"/>
        <v/>
      </c>
      <c r="AF38" s="38" t="str">
        <f t="shared" si="8"/>
        <v/>
      </c>
      <c r="AG38" s="38" t="str">
        <f>IF(Спецификация_авто!$L$43="","",IF(COUNTIF($C$4:$C$500,Спецификация_авто!$L$43)=0,Спецификация_авто!$L$43,""))</f>
        <v/>
      </c>
      <c r="AH38" s="38" t="str">
        <f>IF(AG38="","",COUNTIF($AG$4:AG38,"?*"))</f>
        <v/>
      </c>
    </row>
    <row r="39" spans="1:34" x14ac:dyDescent="0.3">
      <c r="A39" s="74" t="s">
        <v>700</v>
      </c>
      <c r="B39" s="74" t="s">
        <v>281</v>
      </c>
      <c r="C39" s="74" t="s">
        <v>271</v>
      </c>
      <c r="D39" s="74"/>
      <c r="E39" s="74"/>
      <c r="F39" s="74"/>
      <c r="G39" s="74" t="s">
        <v>256</v>
      </c>
      <c r="H39" s="74" t="s">
        <v>271</v>
      </c>
      <c r="I39" s="74"/>
      <c r="J39" s="74"/>
      <c r="K39" s="74"/>
      <c r="L39" s="74"/>
      <c r="M39" s="74" t="s">
        <v>262</v>
      </c>
      <c r="N39" s="38" t="str">
        <f>IF(OR(A39="Автомат",A39="Дифавтомат"),IF(W39="","",COUNTIFS(Однолинейка!$H$3:$H$3000,U39,Однолинейка!$A$3:$A$3000,Щит_спец)),IF(A39="Аппарат",IF(C39="","",COUNTIFS(Однолинейка!$I$3:$I$3000,C39,Однолинейка!$A$3:$A$3000,Щит_спец)+COUNTIFS(Однолинейка!$J$3:$J$3000,C39,Однолинейка!$A$3:$A$3000,Щит_спец)+COUNTIFS(Однолинейка!$K$3:$K$3000,C39,Однолинейка!$A$3:$A$3000,Щит_спец)),IF(A39="Модуль",IF(C39="","",COUNTIFS(Однолинейка!$AW$3:$AW$3000,"?*",Однолинейка!$AI$3:$AI$3000,C39,Однолинейка!$A$3:$A$3000,Щит_спец)),IF(A39="Клемма",IF(C39="","",IF(C39=$S$7,SUMIFS(Однолинейка!$BW$3:$BW$3000,Однолинейка!$A$3:$A$3000,Щит_спец),IF(C39=$S$8,SUMIFS(Однолинейка!$BX$3:$BX$3000,Однолинейка!$A$3:$A$3000,Щит_спец),""))),""))))</f>
        <v/>
      </c>
      <c r="O39" s="74"/>
      <c r="P39" s="38" t="str">
        <f t="shared" si="0"/>
        <v/>
      </c>
      <c r="U39" s="38" t="str">
        <f t="shared" si="1"/>
        <v/>
      </c>
      <c r="V39" s="38" t="str">
        <f t="shared" si="2"/>
        <v/>
      </c>
      <c r="W39" s="38" t="str">
        <f>IF(AND(U39&lt;&gt;"",OR($S$4="(все)",B39=$S$4),IF($S$4="(все)",COUNTIF($U$4:U39,U39),COUNTIFS($U$4:U39,U39,$B$4:B39,B39))=1),MAX($W$3:W38)+1,"")</f>
        <v/>
      </c>
      <c r="X39" s="38" t="str">
        <f t="shared" si="3"/>
        <v/>
      </c>
      <c r="Y39" s="38" t="str">
        <f>IF(AND(A39="Аппарат",C39&lt;&gt;"",OR($S$5="(все)",B39=$S$5)),MAX($Y$3:Y38)+1,"")</f>
        <v/>
      </c>
      <c r="Z39" s="38" t="str">
        <f t="shared" si="4"/>
        <v/>
      </c>
      <c r="AA39" s="38" t="str">
        <f>IF(AND(A39="Модуль",C39&lt;&gt;"",OR($S$6="(все)",B39=$S$6)),MAX($AA$3:AA38)+1,"")</f>
        <v/>
      </c>
      <c r="AB39" s="38" t="str">
        <f t="shared" si="5"/>
        <v/>
      </c>
      <c r="AC39" s="38" t="str">
        <f>IF(OR(B39="",COUNTIF($B$4:B39,B39)&gt;1),"",MAX($AC$3:AC38)+1)</f>
        <v/>
      </c>
      <c r="AD39" s="38" t="str">
        <f t="shared" si="6"/>
        <v/>
      </c>
      <c r="AE39" s="38" t="str">
        <f t="shared" si="7"/>
        <v/>
      </c>
      <c r="AF39" s="38" t="str">
        <f t="shared" si="8"/>
        <v/>
      </c>
      <c r="AG39" s="38" t="str">
        <f>IF(Спецификация_авто!$L$44="","",IF(COUNTIF($C$4:$C$500,Спецификация_авто!$L$44)=0,Спецификация_авто!$L$44,""))</f>
        <v/>
      </c>
      <c r="AH39" s="38" t="str">
        <f>IF(AG39="","",COUNTIF($AG$4:AG39,"?*"))</f>
        <v/>
      </c>
    </row>
    <row r="40" spans="1:34" x14ac:dyDescent="0.3">
      <c r="A40" s="74" t="s">
        <v>700</v>
      </c>
      <c r="B40" s="74" t="s">
        <v>281</v>
      </c>
      <c r="C40" s="74" t="s">
        <v>272</v>
      </c>
      <c r="D40" s="74"/>
      <c r="E40" s="74"/>
      <c r="F40" s="74"/>
      <c r="G40" s="74" t="s">
        <v>257</v>
      </c>
      <c r="H40" s="74" t="s">
        <v>272</v>
      </c>
      <c r="I40" s="74"/>
      <c r="J40" s="74"/>
      <c r="K40" s="74"/>
      <c r="L40" s="74"/>
      <c r="M40" s="74" t="s">
        <v>262</v>
      </c>
      <c r="N40" s="38" t="str">
        <f>IF(OR(A40="Автомат",A40="Дифавтомат"),IF(W40="","",COUNTIFS(Однолинейка!$H$3:$H$3000,U40,Однолинейка!$A$3:$A$3000,Щит_спец)),IF(A40="Аппарат",IF(C40="","",COUNTIFS(Однолинейка!$I$3:$I$3000,C40,Однолинейка!$A$3:$A$3000,Щит_спец)+COUNTIFS(Однолинейка!$J$3:$J$3000,C40,Однолинейка!$A$3:$A$3000,Щит_спец)+COUNTIFS(Однолинейка!$K$3:$K$3000,C40,Однолинейка!$A$3:$A$3000,Щит_спец)),IF(A40="Модуль",IF(C40="","",COUNTIFS(Однолинейка!$AW$3:$AW$3000,"?*",Однолинейка!$AI$3:$AI$3000,C40,Однолинейка!$A$3:$A$3000,Щит_спец)),IF(A40="Клемма",IF(C40="","",IF(C40=$S$7,SUMIFS(Однолинейка!$BW$3:$BW$3000,Однолинейка!$A$3:$A$3000,Щит_спец),IF(C40=$S$8,SUMIFS(Однолинейка!$BX$3:$BX$3000,Однолинейка!$A$3:$A$3000,Щит_спец),""))),""))))</f>
        <v/>
      </c>
      <c r="O40" s="74"/>
      <c r="P40" s="38" t="str">
        <f t="shared" si="0"/>
        <v/>
      </c>
      <c r="U40" s="38" t="str">
        <f t="shared" si="1"/>
        <v/>
      </c>
      <c r="V40" s="38" t="str">
        <f t="shared" si="2"/>
        <v/>
      </c>
      <c r="W40" s="38" t="str">
        <f>IF(AND(U40&lt;&gt;"",OR($S$4="(все)",B40=$S$4),IF($S$4="(все)",COUNTIF($U$4:U40,U40),COUNTIFS($U$4:U40,U40,$B$4:B40,B40))=1),MAX($W$3:W39)+1,"")</f>
        <v/>
      </c>
      <c r="X40" s="38" t="str">
        <f t="shared" si="3"/>
        <v/>
      </c>
      <c r="Y40" s="38" t="str">
        <f>IF(AND(A40="Аппарат",C40&lt;&gt;"",OR($S$5="(все)",B40=$S$5)),MAX($Y$3:Y39)+1,"")</f>
        <v/>
      </c>
      <c r="Z40" s="38" t="str">
        <f t="shared" si="4"/>
        <v/>
      </c>
      <c r="AA40" s="38" t="str">
        <f>IF(AND(A40="Модуль",C40&lt;&gt;"",OR($S$6="(все)",B40=$S$6)),MAX($AA$3:AA39)+1,"")</f>
        <v/>
      </c>
      <c r="AB40" s="38" t="str">
        <f t="shared" si="5"/>
        <v/>
      </c>
      <c r="AC40" s="38" t="str">
        <f>IF(OR(B40="",COUNTIF($B$4:B40,B40)&gt;1),"",MAX($AC$3:AC39)+1)</f>
        <v/>
      </c>
      <c r="AD40" s="38" t="str">
        <f t="shared" si="6"/>
        <v/>
      </c>
      <c r="AE40" s="38" t="str">
        <f t="shared" si="7"/>
        <v/>
      </c>
      <c r="AF40" s="38" t="str">
        <f t="shared" si="8"/>
        <v/>
      </c>
      <c r="AG40" s="38" t="str">
        <f>IF(Спецификация_авто!$L$45="","",IF(COUNTIF($C$4:$C$500,Спецификация_авто!$L$45)=0,Спецификация_авто!$L$45,""))</f>
        <v/>
      </c>
      <c r="AH40" s="38" t="str">
        <f>IF(AG40="","",COUNTIF($AG$4:AG40,"?*"))</f>
        <v/>
      </c>
    </row>
    <row r="41" spans="1:34" x14ac:dyDescent="0.3">
      <c r="A41" s="74" t="s">
        <v>700</v>
      </c>
      <c r="B41" s="74" t="s">
        <v>281</v>
      </c>
      <c r="C41" s="74" t="s">
        <v>402</v>
      </c>
      <c r="D41" s="74"/>
      <c r="E41" s="74"/>
      <c r="F41" s="74"/>
      <c r="G41" s="74" t="s">
        <v>401</v>
      </c>
      <c r="H41" s="74" t="s">
        <v>402</v>
      </c>
      <c r="I41" s="74"/>
      <c r="J41" s="74"/>
      <c r="K41" s="74"/>
      <c r="L41" s="74"/>
      <c r="M41" s="74" t="s">
        <v>262</v>
      </c>
      <c r="N41" s="38" t="str">
        <f>IF(OR(A41="Автомат",A41="Дифавтомат"),IF(W41="","",COUNTIFS(Однолинейка!$H$3:$H$3000,U41,Однолинейка!$A$3:$A$3000,Щит_спец)),IF(A41="Аппарат",IF(C41="","",COUNTIFS(Однолинейка!$I$3:$I$3000,C41,Однолинейка!$A$3:$A$3000,Щит_спец)+COUNTIFS(Однолинейка!$J$3:$J$3000,C41,Однолинейка!$A$3:$A$3000,Щит_спец)+COUNTIFS(Однолинейка!$K$3:$K$3000,C41,Однолинейка!$A$3:$A$3000,Щит_спец)),IF(A41="Модуль",IF(C41="","",COUNTIFS(Однолинейка!$AW$3:$AW$3000,"?*",Однолинейка!$AI$3:$AI$3000,C41,Однолинейка!$A$3:$A$3000,Щит_спец)),IF(A41="Клемма",IF(C41="","",IF(C41=$S$7,SUMIFS(Однолинейка!$BW$3:$BW$3000,Однолинейка!$A$3:$A$3000,Щит_спец),IF(C41=$S$8,SUMIFS(Однолинейка!$BX$3:$BX$3000,Однолинейка!$A$3:$A$3000,Щит_спец),""))),""))))</f>
        <v/>
      </c>
      <c r="O41" s="74"/>
      <c r="P41" s="38" t="str">
        <f t="shared" si="0"/>
        <v/>
      </c>
      <c r="U41" s="38" t="str">
        <f t="shared" si="1"/>
        <v/>
      </c>
      <c r="V41" s="38" t="str">
        <f t="shared" si="2"/>
        <v/>
      </c>
      <c r="W41" s="38" t="str">
        <f>IF(AND(U41&lt;&gt;"",OR($S$4="(все)",B41=$S$4),IF($S$4="(все)",COUNTIF($U$4:U41,U41),COUNTIFS($U$4:U41,U41,$B$4:B41,B41))=1),MAX($W$3:W40)+1,"")</f>
        <v/>
      </c>
      <c r="X41" s="38" t="str">
        <f t="shared" si="3"/>
        <v/>
      </c>
      <c r="Y41" s="38" t="str">
        <f>IF(AND(A41="Аппарат",C41&lt;&gt;"",OR($S$5="(все)",B41=$S$5)),MAX($Y$3:Y40)+1,"")</f>
        <v/>
      </c>
      <c r="Z41" s="38" t="str">
        <f t="shared" si="4"/>
        <v/>
      </c>
      <c r="AA41" s="38" t="str">
        <f>IF(AND(A41="Модуль",C41&lt;&gt;"",OR($S$6="(все)",B41=$S$6)),MAX($AA$3:AA40)+1,"")</f>
        <v/>
      </c>
      <c r="AB41" s="38" t="str">
        <f t="shared" si="5"/>
        <v/>
      </c>
      <c r="AC41" s="38" t="str">
        <f>IF(OR(B41="",COUNTIF($B$4:B41,B41)&gt;1),"",MAX($AC$3:AC40)+1)</f>
        <v/>
      </c>
      <c r="AD41" s="38" t="str">
        <f t="shared" si="6"/>
        <v/>
      </c>
      <c r="AE41" s="38" t="str">
        <f t="shared" si="7"/>
        <v/>
      </c>
      <c r="AF41" s="38" t="str">
        <f t="shared" si="8"/>
        <v/>
      </c>
      <c r="AG41" s="38" t="str">
        <f>IF(Спецификация_авто!$L$46="","",IF(COUNTIF($C$4:$C$500,Спецификация_авто!$L$46)=0,Спецификация_авто!$L$46,""))</f>
        <v/>
      </c>
      <c r="AH41" s="38" t="str">
        <f>IF(AG41="","",COUNTIF($AG$4:AG41,"?*"))</f>
        <v/>
      </c>
    </row>
    <row r="42" spans="1:34" x14ac:dyDescent="0.3">
      <c r="A42" s="74" t="s">
        <v>700</v>
      </c>
      <c r="B42" s="74" t="s">
        <v>281</v>
      </c>
      <c r="C42" s="74" t="s">
        <v>273</v>
      </c>
      <c r="D42" s="74"/>
      <c r="E42" s="74"/>
      <c r="F42" s="74"/>
      <c r="G42" s="74" t="s">
        <v>258</v>
      </c>
      <c r="H42" s="74" t="s">
        <v>273</v>
      </c>
      <c r="I42" s="74"/>
      <c r="J42" s="74"/>
      <c r="K42" s="74"/>
      <c r="L42" s="74"/>
      <c r="M42" s="74" t="s">
        <v>262</v>
      </c>
      <c r="N42" s="38" t="str">
        <f>IF(OR(A42="Автомат",A42="Дифавтомат"),IF(W42="","",COUNTIFS(Однолинейка!$H$3:$H$3000,U42,Однолинейка!$A$3:$A$3000,Щит_спец)),IF(A42="Аппарат",IF(C42="","",COUNTIFS(Однолинейка!$I$3:$I$3000,C42,Однолинейка!$A$3:$A$3000,Щит_спец)+COUNTIFS(Однолинейка!$J$3:$J$3000,C42,Однолинейка!$A$3:$A$3000,Щит_спец)+COUNTIFS(Однолинейка!$K$3:$K$3000,C42,Однолинейка!$A$3:$A$3000,Щит_спец)),IF(A42="Модуль",IF(C42="","",COUNTIFS(Однолинейка!$AW$3:$AW$3000,"?*",Однолинейка!$AI$3:$AI$3000,C42,Однолинейка!$A$3:$A$3000,Щит_спец)),IF(A42="Клемма",IF(C42="","",IF(C42=$S$7,SUMIFS(Однолинейка!$BW$3:$BW$3000,Однолинейка!$A$3:$A$3000,Щит_спец),IF(C42=$S$8,SUMIFS(Однолинейка!$BX$3:$BX$3000,Однолинейка!$A$3:$A$3000,Щит_спец),""))),""))))</f>
        <v/>
      </c>
      <c r="O42" s="74"/>
      <c r="P42" s="38" t="str">
        <f t="shared" si="0"/>
        <v/>
      </c>
      <c r="U42" s="38" t="str">
        <f t="shared" si="1"/>
        <v/>
      </c>
      <c r="V42" s="38" t="str">
        <f t="shared" si="2"/>
        <v/>
      </c>
      <c r="W42" s="38" t="str">
        <f>IF(AND(U42&lt;&gt;"",OR($S$4="(все)",B42=$S$4),IF($S$4="(все)",COUNTIF($U$4:U42,U42),COUNTIFS($U$4:U42,U42,$B$4:B42,B42))=1),MAX($W$3:W41)+1,"")</f>
        <v/>
      </c>
      <c r="X42" s="38" t="str">
        <f t="shared" si="3"/>
        <v/>
      </c>
      <c r="Y42" s="38" t="str">
        <f>IF(AND(A42="Аппарат",C42&lt;&gt;"",OR($S$5="(все)",B42=$S$5)),MAX($Y$3:Y41)+1,"")</f>
        <v/>
      </c>
      <c r="Z42" s="38" t="str">
        <f t="shared" si="4"/>
        <v/>
      </c>
      <c r="AA42" s="38" t="str">
        <f>IF(AND(A42="Модуль",C42&lt;&gt;"",OR($S$6="(все)",B42=$S$6)),MAX($AA$3:AA41)+1,"")</f>
        <v/>
      </c>
      <c r="AB42" s="38" t="str">
        <f t="shared" si="5"/>
        <v/>
      </c>
      <c r="AC42" s="38" t="str">
        <f>IF(OR(B42="",COUNTIF($B$4:B42,B42)&gt;1),"",MAX($AC$3:AC41)+1)</f>
        <v/>
      </c>
      <c r="AD42" s="38" t="str">
        <f t="shared" si="6"/>
        <v/>
      </c>
      <c r="AE42" s="38" t="str">
        <f t="shared" si="7"/>
        <v/>
      </c>
      <c r="AF42" s="38" t="str">
        <f t="shared" si="8"/>
        <v/>
      </c>
      <c r="AG42" s="38" t="str">
        <f>IF(Спецификация_авто!$L$47="","",IF(COUNTIF($C$4:$C$500,Спецификация_авто!$L$47)=0,Спецификация_авто!$L$47,""))</f>
        <v/>
      </c>
      <c r="AH42" s="38" t="str">
        <f>IF(AG42="","",COUNTIF($AG$4:AG42,"?*"))</f>
        <v/>
      </c>
    </row>
    <row r="43" spans="1:34" x14ac:dyDescent="0.3">
      <c r="A43" s="74" t="s">
        <v>700</v>
      </c>
      <c r="B43" s="74" t="s">
        <v>281</v>
      </c>
      <c r="C43" s="74" t="s">
        <v>274</v>
      </c>
      <c r="D43" s="74"/>
      <c r="E43" s="74"/>
      <c r="F43" s="74"/>
      <c r="G43" s="74" t="s">
        <v>259</v>
      </c>
      <c r="H43" s="74" t="s">
        <v>274</v>
      </c>
      <c r="I43" s="74"/>
      <c r="J43" s="74"/>
      <c r="K43" s="74"/>
      <c r="L43" s="74"/>
      <c r="M43" s="74" t="s">
        <v>262</v>
      </c>
      <c r="N43" s="38" t="str">
        <f>IF(OR(A43="Автомат",A43="Дифавтомат"),IF(W43="","",COUNTIFS(Однолинейка!$H$3:$H$3000,U43,Однолинейка!$A$3:$A$3000,Щит_спец)),IF(A43="Аппарат",IF(C43="","",COUNTIFS(Однолинейка!$I$3:$I$3000,C43,Однолинейка!$A$3:$A$3000,Щит_спец)+COUNTIFS(Однолинейка!$J$3:$J$3000,C43,Однолинейка!$A$3:$A$3000,Щит_спец)+COUNTIFS(Однолинейка!$K$3:$K$3000,C43,Однолинейка!$A$3:$A$3000,Щит_спец)),IF(A43="Модуль",IF(C43="","",COUNTIFS(Однолинейка!$AW$3:$AW$3000,"?*",Однолинейка!$AI$3:$AI$3000,C43,Однолинейка!$A$3:$A$3000,Щит_спец)),IF(A43="Клемма",IF(C43="","",IF(C43=$S$7,SUMIFS(Однолинейка!$BW$3:$BW$3000,Однолинейка!$A$3:$A$3000,Щит_спец),IF(C43=$S$8,SUMIFS(Однолинейка!$BX$3:$BX$3000,Однолинейка!$A$3:$A$3000,Щит_спец),""))),""))))</f>
        <v/>
      </c>
      <c r="O43" s="74"/>
      <c r="P43" s="38" t="str">
        <f t="shared" si="0"/>
        <v/>
      </c>
      <c r="U43" s="38" t="str">
        <f t="shared" si="1"/>
        <v/>
      </c>
      <c r="V43" s="38" t="str">
        <f t="shared" si="2"/>
        <v/>
      </c>
      <c r="W43" s="38" t="str">
        <f>IF(AND(U43&lt;&gt;"",OR($S$4="(все)",B43=$S$4),IF($S$4="(все)",COUNTIF($U$4:U43,U43),COUNTIFS($U$4:U43,U43,$B$4:B43,B43))=1),MAX($W$3:W42)+1,"")</f>
        <v/>
      </c>
      <c r="X43" s="38" t="str">
        <f t="shared" si="3"/>
        <v/>
      </c>
      <c r="Y43" s="38" t="str">
        <f>IF(AND(A43="Аппарат",C43&lt;&gt;"",OR($S$5="(все)",B43=$S$5)),MAX($Y$3:Y42)+1,"")</f>
        <v/>
      </c>
      <c r="Z43" s="38" t="str">
        <f t="shared" si="4"/>
        <v/>
      </c>
      <c r="AA43" s="38" t="str">
        <f>IF(AND(A43="Модуль",C43&lt;&gt;"",OR($S$6="(все)",B43=$S$6)),MAX($AA$3:AA42)+1,"")</f>
        <v/>
      </c>
      <c r="AB43" s="38" t="str">
        <f t="shared" si="5"/>
        <v/>
      </c>
      <c r="AC43" s="38" t="str">
        <f>IF(OR(B43="",COUNTIF($B$4:B43,B43)&gt;1),"",MAX($AC$3:AC42)+1)</f>
        <v/>
      </c>
      <c r="AD43" s="38" t="str">
        <f t="shared" si="6"/>
        <v/>
      </c>
      <c r="AE43" s="38" t="str">
        <f t="shared" si="7"/>
        <v/>
      </c>
      <c r="AF43" s="38" t="str">
        <f t="shared" si="8"/>
        <v/>
      </c>
      <c r="AG43" s="38" t="str">
        <f>IF(Спецификация_авто!$L$48="","",IF(COUNTIF($C$4:$C$500,Спецификация_авто!$L$48)=0,Спецификация_авто!$L$48,""))</f>
        <v/>
      </c>
      <c r="AH43" s="38" t="str">
        <f>IF(AG43="","",COUNTIF($AG$4:AG43,"?*"))</f>
        <v/>
      </c>
    </row>
    <row r="44" spans="1:34" x14ac:dyDescent="0.3">
      <c r="A44" s="74" t="s">
        <v>700</v>
      </c>
      <c r="B44" s="74" t="s">
        <v>281</v>
      </c>
      <c r="C44" s="74" t="s">
        <v>275</v>
      </c>
      <c r="D44" s="74"/>
      <c r="E44" s="74"/>
      <c r="F44" s="74"/>
      <c r="G44" s="74" t="s">
        <v>260</v>
      </c>
      <c r="H44" s="74" t="s">
        <v>275</v>
      </c>
      <c r="I44" s="74"/>
      <c r="J44" s="74"/>
      <c r="K44" s="74"/>
      <c r="L44" s="74"/>
      <c r="M44" s="74" t="s">
        <v>262</v>
      </c>
      <c r="N44" s="38" t="str">
        <f>IF(OR(A44="Автомат",A44="Дифавтомат"),IF(W44="","",COUNTIFS(Однолинейка!$H$3:$H$3000,U44,Однолинейка!$A$3:$A$3000,Щит_спец)),IF(A44="Аппарат",IF(C44="","",COUNTIFS(Однолинейка!$I$3:$I$3000,C44,Однолинейка!$A$3:$A$3000,Щит_спец)+COUNTIFS(Однолинейка!$J$3:$J$3000,C44,Однолинейка!$A$3:$A$3000,Щит_спец)+COUNTIFS(Однолинейка!$K$3:$K$3000,C44,Однолинейка!$A$3:$A$3000,Щит_спец)),IF(A44="Модуль",IF(C44="","",COUNTIFS(Однолинейка!$AW$3:$AW$3000,"?*",Однолинейка!$AI$3:$AI$3000,C44,Однолинейка!$A$3:$A$3000,Щит_спец)),IF(A44="Клемма",IF(C44="","",IF(C44=$S$7,SUMIFS(Однолинейка!$BW$3:$BW$3000,Однолинейка!$A$3:$A$3000,Щит_спец),IF(C44=$S$8,SUMIFS(Однолинейка!$BX$3:$BX$3000,Однолинейка!$A$3:$A$3000,Щит_спец),""))),""))))</f>
        <v/>
      </c>
      <c r="O44" s="74"/>
      <c r="P44" s="38" t="str">
        <f t="shared" si="0"/>
        <v/>
      </c>
      <c r="U44" s="38" t="str">
        <f t="shared" si="1"/>
        <v/>
      </c>
      <c r="V44" s="38" t="str">
        <f t="shared" si="2"/>
        <v/>
      </c>
      <c r="W44" s="38" t="str">
        <f>IF(AND(U44&lt;&gt;"",OR($S$4="(все)",B44=$S$4),IF($S$4="(все)",COUNTIF($U$4:U44,U44),COUNTIFS($U$4:U44,U44,$B$4:B44,B44))=1),MAX($W$3:W43)+1,"")</f>
        <v/>
      </c>
      <c r="X44" s="38" t="str">
        <f t="shared" si="3"/>
        <v/>
      </c>
      <c r="Y44" s="38" t="str">
        <f>IF(AND(A44="Аппарат",C44&lt;&gt;"",OR($S$5="(все)",B44=$S$5)),MAX($Y$3:Y43)+1,"")</f>
        <v/>
      </c>
      <c r="Z44" s="38" t="str">
        <f t="shared" si="4"/>
        <v/>
      </c>
      <c r="AA44" s="38" t="str">
        <f>IF(AND(A44="Модуль",C44&lt;&gt;"",OR($S$6="(все)",B44=$S$6)),MAX($AA$3:AA43)+1,"")</f>
        <v/>
      </c>
      <c r="AB44" s="38" t="str">
        <f t="shared" si="5"/>
        <v/>
      </c>
      <c r="AC44" s="38" t="str">
        <f>IF(OR(B44="",COUNTIF($B$4:B44,B44)&gt;1),"",MAX($AC$3:AC43)+1)</f>
        <v/>
      </c>
      <c r="AD44" s="38" t="str">
        <f t="shared" si="6"/>
        <v/>
      </c>
      <c r="AE44" s="38" t="str">
        <f t="shared" si="7"/>
        <v/>
      </c>
      <c r="AF44" s="38" t="str">
        <f t="shared" si="8"/>
        <v/>
      </c>
    </row>
    <row r="45" spans="1:34" x14ac:dyDescent="0.3">
      <c r="A45" s="74" t="s">
        <v>700</v>
      </c>
      <c r="B45" s="74" t="s">
        <v>281</v>
      </c>
      <c r="C45" s="74" t="s">
        <v>276</v>
      </c>
      <c r="D45" s="74"/>
      <c r="E45" s="74"/>
      <c r="F45" s="74"/>
      <c r="G45" s="74" t="s">
        <v>261</v>
      </c>
      <c r="H45" s="74" t="s">
        <v>276</v>
      </c>
      <c r="I45" s="74"/>
      <c r="J45" s="74"/>
      <c r="K45" s="74"/>
      <c r="L45" s="74"/>
      <c r="M45" s="74" t="s">
        <v>262</v>
      </c>
      <c r="N45" s="38" t="str">
        <f>IF(OR(A45="Автомат",A45="Дифавтомат"),IF(W45="","",COUNTIFS(Однолинейка!$H$3:$H$3000,U45,Однолинейка!$A$3:$A$3000,Щит_спец)),IF(A45="Аппарат",IF(C45="","",COUNTIFS(Однолинейка!$I$3:$I$3000,C45,Однолинейка!$A$3:$A$3000,Щит_спец)+COUNTIFS(Однолинейка!$J$3:$J$3000,C45,Однолинейка!$A$3:$A$3000,Щит_спец)+COUNTIFS(Однолинейка!$K$3:$K$3000,C45,Однолинейка!$A$3:$A$3000,Щит_спец)),IF(A45="Модуль",IF(C45="","",COUNTIFS(Однолинейка!$AW$3:$AW$3000,"?*",Однолинейка!$AI$3:$AI$3000,C45,Однолинейка!$A$3:$A$3000,Щит_спец)),IF(A45="Клемма",IF(C45="","",IF(C45=$S$7,SUMIFS(Однолинейка!$BW$3:$BW$3000,Однолинейка!$A$3:$A$3000,Щит_спец),IF(C45=$S$8,SUMIFS(Однолинейка!$BX$3:$BX$3000,Однолинейка!$A$3:$A$3000,Щит_спец),""))),""))))</f>
        <v/>
      </c>
      <c r="O45" s="74"/>
      <c r="P45" s="38" t="str">
        <f t="shared" si="0"/>
        <v/>
      </c>
      <c r="U45" s="38" t="str">
        <f t="shared" si="1"/>
        <v/>
      </c>
      <c r="V45" s="38" t="str">
        <f t="shared" si="2"/>
        <v/>
      </c>
      <c r="W45" s="38" t="str">
        <f>IF(AND(U45&lt;&gt;"",OR($S$4="(все)",B45=$S$4),IF($S$4="(все)",COUNTIF($U$4:U45,U45),COUNTIFS($U$4:U45,U45,$B$4:B45,B45))=1),MAX($W$3:W44)+1,"")</f>
        <v/>
      </c>
      <c r="X45" s="38" t="str">
        <f t="shared" si="3"/>
        <v/>
      </c>
      <c r="Y45" s="38" t="str">
        <f>IF(AND(A45="Аппарат",C45&lt;&gt;"",OR($S$5="(все)",B45=$S$5)),MAX($Y$3:Y44)+1,"")</f>
        <v/>
      </c>
      <c r="Z45" s="38" t="str">
        <f t="shared" si="4"/>
        <v/>
      </c>
      <c r="AA45" s="38" t="str">
        <f>IF(AND(A45="Модуль",C45&lt;&gt;"",OR($S$6="(все)",B45=$S$6)),MAX($AA$3:AA44)+1,"")</f>
        <v/>
      </c>
      <c r="AB45" s="38" t="str">
        <f t="shared" si="5"/>
        <v/>
      </c>
      <c r="AC45" s="38" t="str">
        <f>IF(OR(B45="",COUNTIF($B$4:B45,B45)&gt;1),"",MAX($AC$3:AC44)+1)</f>
        <v/>
      </c>
      <c r="AD45" s="38" t="str">
        <f t="shared" si="6"/>
        <v/>
      </c>
      <c r="AE45" s="38" t="str">
        <f t="shared" si="7"/>
        <v/>
      </c>
      <c r="AF45" s="38" t="str">
        <f t="shared" si="8"/>
        <v/>
      </c>
    </row>
    <row r="46" spans="1:34" x14ac:dyDescent="0.3">
      <c r="A46" s="74" t="s">
        <v>700</v>
      </c>
      <c r="B46" s="74" t="s">
        <v>281</v>
      </c>
      <c r="C46" s="74" t="s">
        <v>277</v>
      </c>
      <c r="D46" s="74"/>
      <c r="E46" s="74"/>
      <c r="F46" s="74"/>
      <c r="G46" s="74" t="s">
        <v>263</v>
      </c>
      <c r="H46" s="74" t="s">
        <v>277</v>
      </c>
      <c r="I46" s="74"/>
      <c r="J46" s="74"/>
      <c r="K46" s="74"/>
      <c r="L46" s="74"/>
      <c r="M46" s="74" t="s">
        <v>267</v>
      </c>
      <c r="N46" s="38" t="str">
        <f>IF(OR(A46="Автомат",A46="Дифавтомат"),IF(W46="","",COUNTIFS(Однолинейка!$H$3:$H$3000,U46,Однолинейка!$A$3:$A$3000,Щит_спец)),IF(A46="Аппарат",IF(C46="","",COUNTIFS(Однолинейка!$I$3:$I$3000,C46,Однолинейка!$A$3:$A$3000,Щит_спец)+COUNTIFS(Однолинейка!$J$3:$J$3000,C46,Однолинейка!$A$3:$A$3000,Щит_спец)+COUNTIFS(Однолинейка!$K$3:$K$3000,C46,Однолинейка!$A$3:$A$3000,Щит_спец)),IF(A46="Модуль",IF(C46="","",COUNTIFS(Однолинейка!$AW$3:$AW$3000,"?*",Однолинейка!$AI$3:$AI$3000,C46,Однолинейка!$A$3:$A$3000,Щит_спец)),IF(A46="Клемма",IF(C46="","",IF(C46=$S$7,SUMIFS(Однолинейка!$BW$3:$BW$3000,Однолинейка!$A$3:$A$3000,Щит_спец),IF(C46=$S$8,SUMIFS(Однолинейка!$BX$3:$BX$3000,Однолинейка!$A$3:$A$3000,Щит_спец),""))),""))))</f>
        <v/>
      </c>
      <c r="O46" s="74"/>
      <c r="P46" s="38" t="str">
        <f t="shared" si="0"/>
        <v/>
      </c>
      <c r="U46" s="38" t="str">
        <f t="shared" si="1"/>
        <v/>
      </c>
      <c r="V46" s="38" t="str">
        <f t="shared" si="2"/>
        <v/>
      </c>
      <c r="W46" s="38" t="str">
        <f>IF(AND(U46&lt;&gt;"",OR($S$4="(все)",B46=$S$4),IF($S$4="(все)",COUNTIF($U$4:U46,U46),COUNTIFS($U$4:U46,U46,$B$4:B46,B46))=1),MAX($W$3:W45)+1,"")</f>
        <v/>
      </c>
      <c r="X46" s="38" t="str">
        <f t="shared" si="3"/>
        <v/>
      </c>
      <c r="Y46" s="38" t="str">
        <f>IF(AND(A46="Аппарат",C46&lt;&gt;"",OR($S$5="(все)",B46=$S$5)),MAX($Y$3:Y45)+1,"")</f>
        <v/>
      </c>
      <c r="Z46" s="38" t="str">
        <f t="shared" si="4"/>
        <v/>
      </c>
      <c r="AA46" s="38" t="str">
        <f>IF(AND(A46="Модуль",C46&lt;&gt;"",OR($S$6="(все)",B46=$S$6)),MAX($AA$3:AA45)+1,"")</f>
        <v/>
      </c>
      <c r="AB46" s="38" t="str">
        <f t="shared" si="5"/>
        <v/>
      </c>
      <c r="AC46" s="38" t="str">
        <f>IF(OR(B46="",COUNTIF($B$4:B46,B46)&gt;1),"",MAX($AC$3:AC45)+1)</f>
        <v/>
      </c>
      <c r="AD46" s="38" t="str">
        <f t="shared" si="6"/>
        <v/>
      </c>
      <c r="AE46" s="38" t="str">
        <f t="shared" si="7"/>
        <v/>
      </c>
      <c r="AF46" s="38" t="str">
        <f t="shared" si="8"/>
        <v/>
      </c>
    </row>
    <row r="47" spans="1:34" x14ac:dyDescent="0.3">
      <c r="A47" s="74" t="s">
        <v>700</v>
      </c>
      <c r="B47" s="74" t="s">
        <v>281</v>
      </c>
      <c r="C47" s="74" t="s">
        <v>278</v>
      </c>
      <c r="D47" s="74"/>
      <c r="E47" s="74"/>
      <c r="F47" s="74"/>
      <c r="G47" s="74" t="s">
        <v>264</v>
      </c>
      <c r="H47" s="74" t="s">
        <v>278</v>
      </c>
      <c r="I47" s="74"/>
      <c r="J47" s="74"/>
      <c r="K47" s="74"/>
      <c r="L47" s="74"/>
      <c r="M47" s="74" t="s">
        <v>267</v>
      </c>
      <c r="N47" s="38" t="str">
        <f>IF(OR(A47="Автомат",A47="Дифавтомат"),IF(W47="","",COUNTIFS(Однолинейка!$H$3:$H$3000,U47,Однолинейка!$A$3:$A$3000,Щит_спец)),IF(A47="Аппарат",IF(C47="","",COUNTIFS(Однолинейка!$I$3:$I$3000,C47,Однолинейка!$A$3:$A$3000,Щит_спец)+COUNTIFS(Однолинейка!$J$3:$J$3000,C47,Однолинейка!$A$3:$A$3000,Щит_спец)+COUNTIFS(Однолинейка!$K$3:$K$3000,C47,Однолинейка!$A$3:$A$3000,Щит_спец)),IF(A47="Модуль",IF(C47="","",COUNTIFS(Однолинейка!$AW$3:$AW$3000,"?*",Однолинейка!$AI$3:$AI$3000,C47,Однолинейка!$A$3:$A$3000,Щит_спец)),IF(A47="Клемма",IF(C47="","",IF(C47=$S$7,SUMIFS(Однолинейка!$BW$3:$BW$3000,Однолинейка!$A$3:$A$3000,Щит_спец),IF(C47=$S$8,SUMIFS(Однолинейка!$BX$3:$BX$3000,Однолинейка!$A$3:$A$3000,Щит_спец),""))),""))))</f>
        <v/>
      </c>
      <c r="O47" s="74"/>
      <c r="P47" s="38" t="str">
        <f t="shared" si="0"/>
        <v/>
      </c>
      <c r="U47" s="38" t="str">
        <f t="shared" si="1"/>
        <v/>
      </c>
      <c r="V47" s="38" t="str">
        <f t="shared" si="2"/>
        <v/>
      </c>
      <c r="W47" s="38" t="str">
        <f>IF(AND(U47&lt;&gt;"",OR($S$4="(все)",B47=$S$4),IF($S$4="(все)",COUNTIF($U$4:U47,U47),COUNTIFS($U$4:U47,U47,$B$4:B47,B47))=1),MAX($W$3:W46)+1,"")</f>
        <v/>
      </c>
      <c r="X47" s="38" t="str">
        <f t="shared" si="3"/>
        <v/>
      </c>
      <c r="Y47" s="38" t="str">
        <f>IF(AND(A47="Аппарат",C47&lt;&gt;"",OR($S$5="(все)",B47=$S$5)),MAX($Y$3:Y46)+1,"")</f>
        <v/>
      </c>
      <c r="Z47" s="38" t="str">
        <f t="shared" si="4"/>
        <v/>
      </c>
      <c r="AA47" s="38" t="str">
        <f>IF(AND(A47="Модуль",C47&lt;&gt;"",OR($S$6="(все)",B47=$S$6)),MAX($AA$3:AA46)+1,"")</f>
        <v/>
      </c>
      <c r="AB47" s="38" t="str">
        <f t="shared" si="5"/>
        <v/>
      </c>
      <c r="AC47" s="38" t="str">
        <f>IF(OR(B47="",COUNTIF($B$4:B47,B47)&gt;1),"",MAX($AC$3:AC46)+1)</f>
        <v/>
      </c>
      <c r="AD47" s="38" t="str">
        <f t="shared" si="6"/>
        <v/>
      </c>
      <c r="AE47" s="38" t="str">
        <f t="shared" si="7"/>
        <v/>
      </c>
      <c r="AF47" s="38" t="str">
        <f t="shared" si="8"/>
        <v/>
      </c>
    </row>
    <row r="48" spans="1:34" x14ac:dyDescent="0.3">
      <c r="A48" s="74" t="s">
        <v>700</v>
      </c>
      <c r="B48" s="74" t="s">
        <v>281</v>
      </c>
      <c r="C48" s="74" t="s">
        <v>270</v>
      </c>
      <c r="D48" s="74"/>
      <c r="E48" s="74"/>
      <c r="F48" s="74"/>
      <c r="G48" s="74" t="s">
        <v>269</v>
      </c>
      <c r="H48" s="74" t="s">
        <v>270</v>
      </c>
      <c r="I48" s="74"/>
      <c r="J48" s="74"/>
      <c r="K48" s="74"/>
      <c r="L48" s="74"/>
      <c r="M48" s="74" t="s">
        <v>262</v>
      </c>
      <c r="N48" s="38" t="str">
        <f>IF(OR(A48="Автомат",A48="Дифавтомат"),IF(W48="","",COUNTIFS(Однолинейка!$H$3:$H$3000,U48,Однолинейка!$A$3:$A$3000,Щит_спец)),IF(A48="Аппарат",IF(C48="","",COUNTIFS(Однолинейка!$I$3:$I$3000,C48,Однолинейка!$A$3:$A$3000,Щит_спец)+COUNTIFS(Однолинейка!$J$3:$J$3000,C48,Однолинейка!$A$3:$A$3000,Щит_спец)+COUNTIFS(Однолинейка!$K$3:$K$3000,C48,Однолинейка!$A$3:$A$3000,Щит_спец)),IF(A48="Модуль",IF(C48="","",COUNTIFS(Однолинейка!$AW$3:$AW$3000,"?*",Однолинейка!$AI$3:$AI$3000,C48,Однолинейка!$A$3:$A$3000,Щит_спец)),IF(A48="Клемма",IF(C48="","",IF(C48=$S$7,SUMIFS(Однолинейка!$BW$3:$BW$3000,Однолинейка!$A$3:$A$3000,Щит_спец),IF(C48=$S$8,SUMIFS(Однолинейка!$BX$3:$BX$3000,Однолинейка!$A$3:$A$3000,Щит_спец),""))),""))))</f>
        <v/>
      </c>
      <c r="O48" s="74"/>
      <c r="P48" s="38" t="str">
        <f t="shared" si="0"/>
        <v/>
      </c>
      <c r="U48" s="38" t="str">
        <f t="shared" si="1"/>
        <v/>
      </c>
      <c r="V48" s="38" t="str">
        <f t="shared" si="2"/>
        <v/>
      </c>
      <c r="W48" s="38" t="str">
        <f>IF(AND(U48&lt;&gt;"",OR($S$4="(все)",B48=$S$4),IF($S$4="(все)",COUNTIF($U$4:U48,U48),COUNTIFS($U$4:U48,U48,$B$4:B48,B48))=1),MAX($W$3:W47)+1,"")</f>
        <v/>
      </c>
      <c r="X48" s="38" t="str">
        <f t="shared" si="3"/>
        <v/>
      </c>
      <c r="Y48" s="38" t="str">
        <f>IF(AND(A48="Аппарат",C48&lt;&gt;"",OR($S$5="(все)",B48=$S$5)),MAX($Y$3:Y47)+1,"")</f>
        <v/>
      </c>
      <c r="Z48" s="38" t="str">
        <f t="shared" si="4"/>
        <v/>
      </c>
      <c r="AA48" s="38" t="str">
        <f>IF(AND(A48="Модуль",C48&lt;&gt;"",OR($S$6="(все)",B48=$S$6)),MAX($AA$3:AA47)+1,"")</f>
        <v/>
      </c>
      <c r="AB48" s="38" t="str">
        <f t="shared" si="5"/>
        <v/>
      </c>
      <c r="AC48" s="38" t="str">
        <f>IF(OR(B48="",COUNTIF($B$4:B48,B48)&gt;1),"",MAX($AC$3:AC47)+1)</f>
        <v/>
      </c>
      <c r="AD48" s="38" t="str">
        <f t="shared" si="6"/>
        <v/>
      </c>
      <c r="AE48" s="38" t="str">
        <f t="shared" si="7"/>
        <v/>
      </c>
      <c r="AF48" s="38" t="str">
        <f t="shared" si="8"/>
        <v/>
      </c>
    </row>
    <row r="49" spans="1:32" x14ac:dyDescent="0.3">
      <c r="A49" s="74" t="s">
        <v>700</v>
      </c>
      <c r="B49" s="74" t="s">
        <v>281</v>
      </c>
      <c r="C49" s="74" t="s">
        <v>279</v>
      </c>
      <c r="D49" s="74"/>
      <c r="E49" s="74"/>
      <c r="F49" s="74"/>
      <c r="G49" s="74" t="s">
        <v>265</v>
      </c>
      <c r="H49" s="74" t="s">
        <v>279</v>
      </c>
      <c r="I49" s="74"/>
      <c r="J49" s="74"/>
      <c r="K49" s="74"/>
      <c r="L49" s="74"/>
      <c r="M49" s="74" t="s">
        <v>262</v>
      </c>
      <c r="N49" s="38" t="str">
        <f>IF(OR(A49="Автомат",A49="Дифавтомат"),IF(W49="","",COUNTIFS(Однолинейка!$H$3:$H$3000,U49,Однолинейка!$A$3:$A$3000,Щит_спец)),IF(A49="Аппарат",IF(C49="","",COUNTIFS(Однолинейка!$I$3:$I$3000,C49,Однолинейка!$A$3:$A$3000,Щит_спец)+COUNTIFS(Однолинейка!$J$3:$J$3000,C49,Однолинейка!$A$3:$A$3000,Щит_спец)+COUNTIFS(Однолинейка!$K$3:$K$3000,C49,Однолинейка!$A$3:$A$3000,Щит_спец)),IF(A49="Модуль",IF(C49="","",COUNTIFS(Однолинейка!$AW$3:$AW$3000,"?*",Однолинейка!$AI$3:$AI$3000,C49,Однолинейка!$A$3:$A$3000,Щит_спец)),IF(A49="Клемма",IF(C49="","",IF(C49=$S$7,SUMIFS(Однолинейка!$BW$3:$BW$3000,Однолинейка!$A$3:$A$3000,Щит_спец),IF(C49=$S$8,SUMIFS(Однолинейка!$BX$3:$BX$3000,Однолинейка!$A$3:$A$3000,Щит_спец),""))),""))))</f>
        <v/>
      </c>
      <c r="O49" s="74"/>
      <c r="P49" s="38" t="str">
        <f t="shared" si="0"/>
        <v/>
      </c>
      <c r="U49" s="38" t="str">
        <f t="shared" si="1"/>
        <v/>
      </c>
      <c r="V49" s="38" t="str">
        <f t="shared" si="2"/>
        <v/>
      </c>
      <c r="W49" s="38" t="str">
        <f>IF(AND(U49&lt;&gt;"",OR($S$4="(все)",B49=$S$4),IF($S$4="(все)",COUNTIF($U$4:U49,U49),COUNTIFS($U$4:U49,U49,$B$4:B49,B49))=1),MAX($W$3:W48)+1,"")</f>
        <v/>
      </c>
      <c r="X49" s="38" t="str">
        <f t="shared" si="3"/>
        <v/>
      </c>
      <c r="Y49" s="38" t="str">
        <f>IF(AND(A49="Аппарат",C49&lt;&gt;"",OR($S$5="(все)",B49=$S$5)),MAX($Y$3:Y48)+1,"")</f>
        <v/>
      </c>
      <c r="Z49" s="38" t="str">
        <f t="shared" si="4"/>
        <v/>
      </c>
      <c r="AA49" s="38" t="str">
        <f>IF(AND(A49="Модуль",C49&lt;&gt;"",OR($S$6="(все)",B49=$S$6)),MAX($AA$3:AA48)+1,"")</f>
        <v/>
      </c>
      <c r="AB49" s="38" t="str">
        <f t="shared" si="5"/>
        <v/>
      </c>
      <c r="AC49" s="38" t="str">
        <f>IF(OR(B49="",COUNTIF($B$4:B49,B49)&gt;1),"",MAX($AC$3:AC48)+1)</f>
        <v/>
      </c>
      <c r="AD49" s="38" t="str">
        <f t="shared" si="6"/>
        <v/>
      </c>
      <c r="AE49" s="38" t="str">
        <f t="shared" si="7"/>
        <v/>
      </c>
      <c r="AF49" s="38" t="str">
        <f t="shared" si="8"/>
        <v/>
      </c>
    </row>
    <row r="50" spans="1:32" x14ac:dyDescent="0.3">
      <c r="A50" s="74" t="s">
        <v>700</v>
      </c>
      <c r="B50" s="74" t="s">
        <v>281</v>
      </c>
      <c r="C50" s="74" t="s">
        <v>280</v>
      </c>
      <c r="D50" s="74"/>
      <c r="E50" s="74"/>
      <c r="F50" s="74"/>
      <c r="G50" s="74" t="s">
        <v>266</v>
      </c>
      <c r="H50" s="74" t="s">
        <v>280</v>
      </c>
      <c r="I50" s="74"/>
      <c r="J50" s="74"/>
      <c r="K50" s="74"/>
      <c r="L50" s="74"/>
      <c r="M50" s="74" t="s">
        <v>268</v>
      </c>
      <c r="N50" s="38" t="str">
        <f>IF(OR(A50="Автомат",A50="Дифавтомат"),IF(W50="","",COUNTIFS(Однолинейка!$H$3:$H$3000,U50,Однолинейка!$A$3:$A$3000,Щит_спец)),IF(A50="Аппарат",IF(C50="","",COUNTIFS(Однолинейка!$I$3:$I$3000,C50,Однолинейка!$A$3:$A$3000,Щит_спец)+COUNTIFS(Однолинейка!$J$3:$J$3000,C50,Однолинейка!$A$3:$A$3000,Щит_спец)+COUNTIFS(Однолинейка!$K$3:$K$3000,C50,Однолинейка!$A$3:$A$3000,Щит_спец)),IF(A50="Модуль",IF(C50="","",COUNTIFS(Однолинейка!$AW$3:$AW$3000,"?*",Однолинейка!$AI$3:$AI$3000,C50,Однолинейка!$A$3:$A$3000,Щит_спец)),IF(A50="Клемма",IF(C50="","",IF(C50=$S$7,SUMIFS(Однолинейка!$BW$3:$BW$3000,Однолинейка!$A$3:$A$3000,Щит_спец),IF(C50=$S$8,SUMIFS(Однолинейка!$BX$3:$BX$3000,Однолинейка!$A$3:$A$3000,Щит_спец),""))),""))))</f>
        <v/>
      </c>
      <c r="O50" s="74"/>
      <c r="P50" s="38" t="str">
        <f t="shared" si="0"/>
        <v/>
      </c>
      <c r="U50" s="38" t="str">
        <f t="shared" si="1"/>
        <v/>
      </c>
      <c r="V50" s="38" t="str">
        <f t="shared" si="2"/>
        <v/>
      </c>
      <c r="W50" s="38" t="str">
        <f>IF(AND(U50&lt;&gt;"",OR($S$4="(все)",B50=$S$4),IF($S$4="(все)",COUNTIF($U$4:U50,U50),COUNTIFS($U$4:U50,U50,$B$4:B50,B50))=1),MAX($W$3:W49)+1,"")</f>
        <v/>
      </c>
      <c r="X50" s="38" t="str">
        <f t="shared" si="3"/>
        <v/>
      </c>
      <c r="Y50" s="38" t="str">
        <f>IF(AND(A50="Аппарат",C50&lt;&gt;"",OR($S$5="(все)",B50=$S$5)),MAX($Y$3:Y49)+1,"")</f>
        <v/>
      </c>
      <c r="Z50" s="38" t="str">
        <f t="shared" si="4"/>
        <v/>
      </c>
      <c r="AA50" s="38" t="str">
        <f>IF(AND(A50="Модуль",C50&lt;&gt;"",OR($S$6="(все)",B50=$S$6)),MAX($AA$3:AA49)+1,"")</f>
        <v/>
      </c>
      <c r="AB50" s="38" t="str">
        <f t="shared" si="5"/>
        <v/>
      </c>
      <c r="AC50" s="38" t="str">
        <f>IF(OR(B50="",COUNTIF($B$4:B50,B50)&gt;1),"",MAX($AC$3:AC49)+1)</f>
        <v/>
      </c>
      <c r="AD50" s="38" t="str">
        <f t="shared" si="6"/>
        <v/>
      </c>
      <c r="AE50" s="38" t="str">
        <f t="shared" si="7"/>
        <v/>
      </c>
      <c r="AF50" s="38" t="str">
        <f t="shared" si="8"/>
        <v/>
      </c>
    </row>
    <row r="51" spans="1:32" x14ac:dyDescent="0.3">
      <c r="A51" s="74" t="s">
        <v>700</v>
      </c>
      <c r="B51" s="74" t="s">
        <v>281</v>
      </c>
      <c r="C51" s="74" t="s">
        <v>283</v>
      </c>
      <c r="D51" s="74"/>
      <c r="E51" s="74"/>
      <c r="F51" s="74"/>
      <c r="G51" s="74" t="s">
        <v>282</v>
      </c>
      <c r="H51" s="74" t="s">
        <v>283</v>
      </c>
      <c r="I51" s="74"/>
      <c r="J51" s="74"/>
      <c r="K51" s="74"/>
      <c r="L51" s="74"/>
      <c r="M51" s="74" t="s">
        <v>284</v>
      </c>
      <c r="N51" s="38" t="str">
        <f>IF(OR(A51="Автомат",A51="Дифавтомат"),IF(W51="","",COUNTIFS(Однолинейка!$H$3:$H$3000,U51,Однолинейка!$A$3:$A$3000,Щит_спец)),IF(A51="Аппарат",IF(C51="","",COUNTIFS(Однолинейка!$I$3:$I$3000,C51,Однолинейка!$A$3:$A$3000,Щит_спец)+COUNTIFS(Однолинейка!$J$3:$J$3000,C51,Однолинейка!$A$3:$A$3000,Щит_спец)+COUNTIFS(Однолинейка!$K$3:$K$3000,C51,Однолинейка!$A$3:$A$3000,Щит_спец)),IF(A51="Модуль",IF(C51="","",COUNTIFS(Однолинейка!$AW$3:$AW$3000,"?*",Однолинейка!$AI$3:$AI$3000,C51,Однолинейка!$A$3:$A$3000,Щит_спец)),IF(A51="Клемма",IF(C51="","",IF(C51=$S$7,SUMIFS(Однолинейка!$BW$3:$BW$3000,Однолинейка!$A$3:$A$3000,Щит_спец),IF(C51=$S$8,SUMIFS(Однолинейка!$BX$3:$BX$3000,Однолинейка!$A$3:$A$3000,Щит_спец),""))),""))))</f>
        <v/>
      </c>
      <c r="O51" s="74"/>
      <c r="P51" s="38" t="str">
        <f t="shared" si="0"/>
        <v/>
      </c>
      <c r="U51" s="38" t="str">
        <f t="shared" si="1"/>
        <v/>
      </c>
      <c r="V51" s="38" t="str">
        <f t="shared" si="2"/>
        <v/>
      </c>
      <c r="W51" s="38" t="str">
        <f>IF(AND(U51&lt;&gt;"",OR($S$4="(все)",B51=$S$4),IF($S$4="(все)",COUNTIF($U$4:U51,U51),COUNTIFS($U$4:U51,U51,$B$4:B51,B51))=1),MAX($W$3:W50)+1,"")</f>
        <v/>
      </c>
      <c r="X51" s="38" t="str">
        <f t="shared" si="3"/>
        <v/>
      </c>
      <c r="Y51" s="38" t="str">
        <f>IF(AND(A51="Аппарат",C51&lt;&gt;"",OR($S$5="(все)",B51=$S$5)),MAX($Y$3:Y50)+1,"")</f>
        <v/>
      </c>
      <c r="Z51" s="38" t="str">
        <f t="shared" si="4"/>
        <v/>
      </c>
      <c r="AA51" s="38" t="str">
        <f>IF(AND(A51="Модуль",C51&lt;&gt;"",OR($S$6="(все)",B51=$S$6)),MAX($AA$3:AA50)+1,"")</f>
        <v/>
      </c>
      <c r="AB51" s="38" t="str">
        <f t="shared" si="5"/>
        <v/>
      </c>
      <c r="AC51" s="38" t="str">
        <f>IF(OR(B51="",COUNTIF($B$4:B51,B51)&gt;1),"",MAX($AC$3:AC50)+1)</f>
        <v/>
      </c>
      <c r="AD51" s="38" t="str">
        <f t="shared" si="6"/>
        <v/>
      </c>
      <c r="AE51" s="38" t="str">
        <f t="shared" si="7"/>
        <v/>
      </c>
      <c r="AF51" s="38" t="str">
        <f t="shared" si="8"/>
        <v/>
      </c>
    </row>
    <row r="52" spans="1:32" x14ac:dyDescent="0.3">
      <c r="A52" s="74" t="s">
        <v>700</v>
      </c>
      <c r="B52" s="74" t="s">
        <v>287</v>
      </c>
      <c r="C52" s="74" t="s">
        <v>286</v>
      </c>
      <c r="D52" s="74"/>
      <c r="E52" s="74"/>
      <c r="F52" s="74"/>
      <c r="G52" s="74" t="s">
        <v>285</v>
      </c>
      <c r="H52" s="74" t="s">
        <v>286</v>
      </c>
      <c r="I52" s="74"/>
      <c r="J52" s="74"/>
      <c r="K52" s="74"/>
      <c r="L52" s="74"/>
      <c r="M52" s="74" t="s">
        <v>284</v>
      </c>
      <c r="N52" s="38" t="str">
        <f>IF(OR(A52="Автомат",A52="Дифавтомат"),IF(W52="","",COUNTIFS(Однолинейка!$H$3:$H$3000,U52,Однолинейка!$A$3:$A$3000,Щит_спец)),IF(A52="Аппарат",IF(C52="","",COUNTIFS(Однолинейка!$I$3:$I$3000,C52,Однолинейка!$A$3:$A$3000,Щит_спец)+COUNTIFS(Однолинейка!$J$3:$J$3000,C52,Однолинейка!$A$3:$A$3000,Щит_спец)+COUNTIFS(Однолинейка!$K$3:$K$3000,C52,Однолинейка!$A$3:$A$3000,Щит_спец)),IF(A52="Модуль",IF(C52="","",COUNTIFS(Однолинейка!$AW$3:$AW$3000,"?*",Однолинейка!$AI$3:$AI$3000,C52,Однолинейка!$A$3:$A$3000,Щит_спец)),IF(A52="Клемма",IF(C52="","",IF(C52=$S$7,SUMIFS(Однолинейка!$BW$3:$BW$3000,Однолинейка!$A$3:$A$3000,Щит_спец),IF(C52=$S$8,SUMIFS(Однолинейка!$BX$3:$BX$3000,Однолинейка!$A$3:$A$3000,Щит_спец),""))),""))))</f>
        <v/>
      </c>
      <c r="O52" s="74"/>
      <c r="P52" s="38" t="str">
        <f t="shared" si="0"/>
        <v/>
      </c>
      <c r="U52" s="38" t="str">
        <f t="shared" si="1"/>
        <v/>
      </c>
      <c r="V52" s="38" t="str">
        <f t="shared" si="2"/>
        <v/>
      </c>
      <c r="W52" s="38" t="str">
        <f>IF(AND(U52&lt;&gt;"",OR($S$4="(все)",B52=$S$4),IF($S$4="(все)",COUNTIF($U$4:U52,U52),COUNTIFS($U$4:U52,U52,$B$4:B52,B52))=1),MAX($W$3:W51)+1,"")</f>
        <v/>
      </c>
      <c r="X52" s="38" t="str">
        <f t="shared" si="3"/>
        <v/>
      </c>
      <c r="Y52" s="38" t="str">
        <f>IF(AND(A52="Аппарат",C52&lt;&gt;"",OR($S$5="(все)",B52=$S$5)),MAX($Y$3:Y51)+1,"")</f>
        <v/>
      </c>
      <c r="Z52" s="38" t="str">
        <f t="shared" si="4"/>
        <v/>
      </c>
      <c r="AA52" s="38" t="str">
        <f>IF(AND(A52="Модуль",C52&lt;&gt;"",OR($S$6="(все)",B52=$S$6)),MAX($AA$3:AA51)+1,"")</f>
        <v/>
      </c>
      <c r="AB52" s="38" t="str">
        <f t="shared" si="5"/>
        <v/>
      </c>
      <c r="AC52" s="38" t="str">
        <f>IF(OR(B52="",COUNTIF($B$4:B52,B52)&gt;1),"",MAX($AC$3:AC51)+1)</f>
        <v/>
      </c>
      <c r="AD52" s="38" t="str">
        <f t="shared" si="6"/>
        <v/>
      </c>
      <c r="AE52" s="38" t="str">
        <f t="shared" si="7"/>
        <v/>
      </c>
      <c r="AF52" s="38" t="str">
        <f t="shared" si="8"/>
        <v/>
      </c>
    </row>
    <row r="53" spans="1:32" x14ac:dyDescent="0.3">
      <c r="A53" s="74" t="s">
        <v>700</v>
      </c>
      <c r="B53" s="74" t="s">
        <v>287</v>
      </c>
      <c r="C53" s="74" t="s">
        <v>405</v>
      </c>
      <c r="D53" s="74"/>
      <c r="E53" s="74"/>
      <c r="F53" s="74"/>
      <c r="G53" s="74" t="s">
        <v>403</v>
      </c>
      <c r="H53" s="74" t="s">
        <v>405</v>
      </c>
      <c r="I53" s="74"/>
      <c r="J53" s="74"/>
      <c r="K53" s="74"/>
      <c r="L53" s="74"/>
      <c r="M53" s="74" t="s">
        <v>284</v>
      </c>
      <c r="N53" s="38" t="str">
        <f>IF(OR(A53="Автомат",A53="Дифавтомат"),IF(W53="","",COUNTIFS(Однолинейка!$H$3:$H$3000,U53,Однолинейка!$A$3:$A$3000,Щит_спец)),IF(A53="Аппарат",IF(C53="","",COUNTIFS(Однолинейка!$I$3:$I$3000,C53,Однолинейка!$A$3:$A$3000,Щит_спец)+COUNTIFS(Однолинейка!$J$3:$J$3000,C53,Однолинейка!$A$3:$A$3000,Щит_спец)+COUNTIFS(Однолинейка!$K$3:$K$3000,C53,Однолинейка!$A$3:$A$3000,Щит_спец)),IF(A53="Модуль",IF(C53="","",COUNTIFS(Однолинейка!$AW$3:$AW$3000,"?*",Однолинейка!$AI$3:$AI$3000,C53,Однолинейка!$A$3:$A$3000,Щит_спец)),IF(A53="Клемма",IF(C53="","",IF(C53=$S$7,SUMIFS(Однолинейка!$BW$3:$BW$3000,Однолинейка!$A$3:$A$3000,Щит_спец),IF(C53=$S$8,SUMIFS(Однолинейка!$BX$3:$BX$3000,Однолинейка!$A$3:$A$3000,Щит_спец),""))),""))))</f>
        <v/>
      </c>
      <c r="O53" s="74"/>
      <c r="P53" s="38" t="str">
        <f t="shared" si="0"/>
        <v/>
      </c>
      <c r="U53" s="38" t="str">
        <f t="shared" si="1"/>
        <v/>
      </c>
      <c r="V53" s="38" t="str">
        <f t="shared" si="2"/>
        <v/>
      </c>
      <c r="W53" s="38" t="str">
        <f>IF(AND(U53&lt;&gt;"",OR($S$4="(все)",B53=$S$4),IF($S$4="(все)",COUNTIF($U$4:U53,U53),COUNTIFS($U$4:U53,U53,$B$4:B53,B53))=1),MAX($W$3:W52)+1,"")</f>
        <v/>
      </c>
      <c r="X53" s="38" t="str">
        <f t="shared" si="3"/>
        <v/>
      </c>
      <c r="Y53" s="38" t="str">
        <f>IF(AND(A53="Аппарат",C53&lt;&gt;"",OR($S$5="(все)",B53=$S$5)),MAX($Y$3:Y52)+1,"")</f>
        <v/>
      </c>
      <c r="Z53" s="38" t="str">
        <f t="shared" si="4"/>
        <v/>
      </c>
      <c r="AA53" s="38" t="str">
        <f>IF(AND(A53="Модуль",C53&lt;&gt;"",OR($S$6="(все)",B53=$S$6)),MAX($AA$3:AA52)+1,"")</f>
        <v/>
      </c>
      <c r="AB53" s="38" t="str">
        <f t="shared" si="5"/>
        <v/>
      </c>
      <c r="AC53" s="38" t="str">
        <f>IF(OR(B53="",COUNTIF($B$4:B53,B53)&gt;1),"",MAX($AC$3:AC52)+1)</f>
        <v/>
      </c>
      <c r="AD53" s="38" t="str">
        <f t="shared" si="6"/>
        <v/>
      </c>
      <c r="AE53" s="38" t="str">
        <f t="shared" si="7"/>
        <v/>
      </c>
      <c r="AF53" s="38" t="str">
        <f t="shared" si="8"/>
        <v/>
      </c>
    </row>
    <row r="54" spans="1:32" x14ac:dyDescent="0.3">
      <c r="A54" s="74" t="s">
        <v>700</v>
      </c>
      <c r="B54" s="74" t="s">
        <v>287</v>
      </c>
      <c r="C54" s="74" t="s">
        <v>406</v>
      </c>
      <c r="D54" s="74"/>
      <c r="E54" s="74"/>
      <c r="F54" s="74"/>
      <c r="G54" s="74" t="s">
        <v>404</v>
      </c>
      <c r="H54" s="74" t="s">
        <v>406</v>
      </c>
      <c r="I54" s="74"/>
      <c r="J54" s="74"/>
      <c r="K54" s="74"/>
      <c r="L54" s="74"/>
      <c r="M54" s="74" t="s">
        <v>284</v>
      </c>
      <c r="N54" s="38" t="str">
        <f>IF(OR(A54="Автомат",A54="Дифавтомат"),IF(W54="","",COUNTIFS(Однолинейка!$H$3:$H$3000,U54,Однолинейка!$A$3:$A$3000,Щит_спец)),IF(A54="Аппарат",IF(C54="","",COUNTIFS(Однолинейка!$I$3:$I$3000,C54,Однолинейка!$A$3:$A$3000,Щит_спец)+COUNTIFS(Однолинейка!$J$3:$J$3000,C54,Однолинейка!$A$3:$A$3000,Щит_спец)+COUNTIFS(Однолинейка!$K$3:$K$3000,C54,Однолинейка!$A$3:$A$3000,Щит_спец)),IF(A54="Модуль",IF(C54="","",COUNTIFS(Однолинейка!$AW$3:$AW$3000,"?*",Однолинейка!$AI$3:$AI$3000,C54,Однолинейка!$A$3:$A$3000,Щит_спец)),IF(A54="Клемма",IF(C54="","",IF(C54=$S$7,SUMIFS(Однолинейка!$BW$3:$BW$3000,Однолинейка!$A$3:$A$3000,Щит_спец),IF(C54=$S$8,SUMIFS(Однолинейка!$BX$3:$BX$3000,Однолинейка!$A$3:$A$3000,Щит_спец),""))),""))))</f>
        <v/>
      </c>
      <c r="O54" s="74"/>
      <c r="P54" s="38" t="str">
        <f t="shared" si="0"/>
        <v/>
      </c>
      <c r="U54" s="38" t="str">
        <f t="shared" si="1"/>
        <v/>
      </c>
      <c r="V54" s="38" t="str">
        <f t="shared" si="2"/>
        <v/>
      </c>
      <c r="W54" s="38" t="str">
        <f>IF(AND(U54&lt;&gt;"",OR($S$4="(все)",B54=$S$4),IF($S$4="(все)",COUNTIF($U$4:U54,U54),COUNTIFS($U$4:U54,U54,$B$4:B54,B54))=1),MAX($W$3:W53)+1,"")</f>
        <v/>
      </c>
      <c r="X54" s="38" t="str">
        <f t="shared" si="3"/>
        <v/>
      </c>
      <c r="Y54" s="38" t="str">
        <f>IF(AND(A54="Аппарат",C54&lt;&gt;"",OR($S$5="(все)",B54=$S$5)),MAX($Y$3:Y53)+1,"")</f>
        <v/>
      </c>
      <c r="Z54" s="38" t="str">
        <f t="shared" si="4"/>
        <v/>
      </c>
      <c r="AA54" s="38" t="str">
        <f>IF(AND(A54="Модуль",C54&lt;&gt;"",OR($S$6="(все)",B54=$S$6)),MAX($AA$3:AA53)+1,"")</f>
        <v/>
      </c>
      <c r="AB54" s="38" t="str">
        <f t="shared" si="5"/>
        <v/>
      </c>
      <c r="AC54" s="38" t="str">
        <f>IF(OR(B54="",COUNTIF($B$4:B54,B54)&gt;1),"",MAX($AC$3:AC53)+1)</f>
        <v/>
      </c>
      <c r="AD54" s="38" t="str">
        <f t="shared" si="6"/>
        <v/>
      </c>
      <c r="AE54" s="38" t="str">
        <f t="shared" si="7"/>
        <v/>
      </c>
      <c r="AF54" s="38" t="str">
        <f t="shared" si="8"/>
        <v/>
      </c>
    </row>
    <row r="55" spans="1:32" x14ac:dyDescent="0.3">
      <c r="A55" s="74" t="s">
        <v>710</v>
      </c>
      <c r="B55" s="74" t="s">
        <v>289</v>
      </c>
      <c r="C55" s="74" t="s">
        <v>371</v>
      </c>
      <c r="D55" s="74"/>
      <c r="E55" s="74"/>
      <c r="F55" s="74"/>
      <c r="G55" s="74" t="s">
        <v>370</v>
      </c>
      <c r="H55" s="74" t="s">
        <v>371</v>
      </c>
      <c r="I55" s="74"/>
      <c r="J55" s="74"/>
      <c r="K55" s="74"/>
      <c r="L55" s="74"/>
      <c r="M55" s="74" t="s">
        <v>284</v>
      </c>
      <c r="N55" s="38" t="str">
        <f>IF(OR(A55="Автомат",A55="Дифавтомат"),IF(W55="","",COUNTIFS(Однолинейка!$H$3:$H$3000,U55,Однолинейка!$A$3:$A$3000,Щит_спец)),IF(A55="Аппарат",IF(C55="","",COUNTIFS(Однолинейка!$I$3:$I$3000,C55,Однолинейка!$A$3:$A$3000,Щит_спец)+COUNTIFS(Однолинейка!$J$3:$J$3000,C55,Однолинейка!$A$3:$A$3000,Щит_спец)+COUNTIFS(Однолинейка!$K$3:$K$3000,C55,Однолинейка!$A$3:$A$3000,Щит_спец)),IF(A55="Модуль",IF(C55="","",COUNTIFS(Однолинейка!$AW$3:$AW$3000,"?*",Однолинейка!$AI$3:$AI$3000,C55,Однолинейка!$A$3:$A$3000,Щит_спец)),IF(A55="Клемма",IF(C55="","",IF(C55=$S$7,SUMIFS(Однолинейка!$BW$3:$BW$3000,Однолинейка!$A$3:$A$3000,Щит_спец),IF(C55=$S$8,SUMIFS(Однолинейка!$BX$3:$BX$3000,Однолинейка!$A$3:$A$3000,Щит_спец),""))),""))))</f>
        <v/>
      </c>
      <c r="O55" s="74"/>
      <c r="P55" s="38" t="str">
        <f t="shared" si="0"/>
        <v/>
      </c>
      <c r="U55" s="38" t="str">
        <f t="shared" si="1"/>
        <v/>
      </c>
      <c r="V55" s="38" t="str">
        <f t="shared" si="2"/>
        <v/>
      </c>
      <c r="W55" s="38" t="str">
        <f>IF(AND(U55&lt;&gt;"",OR($S$4="(все)",B55=$S$4),IF($S$4="(все)",COUNTIF($U$4:U55,U55),COUNTIFS($U$4:U55,U55,$B$4:B55,B55))=1),MAX($W$3:W54)+1,"")</f>
        <v/>
      </c>
      <c r="X55" s="38" t="str">
        <f t="shared" si="3"/>
        <v/>
      </c>
      <c r="Y55" s="38" t="str">
        <f>IF(AND(A55="Аппарат",C55&lt;&gt;"",OR($S$5="(все)",B55=$S$5)),MAX($Y$3:Y54)+1,"")</f>
        <v/>
      </c>
      <c r="Z55" s="38" t="str">
        <f t="shared" si="4"/>
        <v/>
      </c>
      <c r="AA55" s="38" t="str">
        <f>IF(AND(A55="Модуль",C55&lt;&gt;"",OR($S$6="(все)",B55=$S$6)),MAX($AA$3:AA54)+1,"")</f>
        <v/>
      </c>
      <c r="AB55" s="38" t="str">
        <f t="shared" si="5"/>
        <v/>
      </c>
      <c r="AC55" s="38">
        <f>IF(OR(B55="",COUNTIF($B$4:B55,B55)&gt;1),"",MAX($AC$3:AC54)+1)</f>
        <v>7</v>
      </c>
      <c r="AD55" s="38" t="str">
        <f t="shared" si="6"/>
        <v/>
      </c>
      <c r="AE55" s="38" t="str">
        <f t="shared" si="7"/>
        <v/>
      </c>
      <c r="AF55" s="38" t="str">
        <f t="shared" si="8"/>
        <v/>
      </c>
    </row>
    <row r="56" spans="1:32" x14ac:dyDescent="0.3">
      <c r="A56" s="74" t="s">
        <v>710</v>
      </c>
      <c r="B56" s="74" t="s">
        <v>289</v>
      </c>
      <c r="C56" s="74" t="s">
        <v>373</v>
      </c>
      <c r="D56" s="74"/>
      <c r="E56" s="74"/>
      <c r="F56" s="74"/>
      <c r="G56" s="74" t="s">
        <v>372</v>
      </c>
      <c r="H56" s="74" t="s">
        <v>373</v>
      </c>
      <c r="I56" s="74"/>
      <c r="J56" s="74"/>
      <c r="K56" s="74"/>
      <c r="L56" s="74"/>
      <c r="M56" s="74" t="s">
        <v>284</v>
      </c>
      <c r="N56" s="38" t="str">
        <f>IF(OR(A56="Автомат",A56="Дифавтомат"),IF(W56="","",COUNTIFS(Однолинейка!$H$3:$H$3000,U56,Однолинейка!$A$3:$A$3000,Щит_спец)),IF(A56="Аппарат",IF(C56="","",COUNTIFS(Однолинейка!$I$3:$I$3000,C56,Однолинейка!$A$3:$A$3000,Щит_спец)+COUNTIFS(Однолинейка!$J$3:$J$3000,C56,Однолинейка!$A$3:$A$3000,Щит_спец)+COUNTIFS(Однолинейка!$K$3:$K$3000,C56,Однолинейка!$A$3:$A$3000,Щит_спец)),IF(A56="Модуль",IF(C56="","",COUNTIFS(Однолинейка!$AW$3:$AW$3000,"?*",Однолинейка!$AI$3:$AI$3000,C56,Однолинейка!$A$3:$A$3000,Щит_спец)),IF(A56="Клемма",IF(C56="","",IF(C56=$S$7,SUMIFS(Однолинейка!$BW$3:$BW$3000,Однолинейка!$A$3:$A$3000,Щит_спец),IF(C56=$S$8,SUMIFS(Однолинейка!$BX$3:$BX$3000,Однолинейка!$A$3:$A$3000,Щит_спец),""))),""))))</f>
        <v/>
      </c>
      <c r="O56" s="74"/>
      <c r="P56" s="38" t="str">
        <f t="shared" si="0"/>
        <v/>
      </c>
      <c r="U56" s="38" t="str">
        <f t="shared" si="1"/>
        <v/>
      </c>
      <c r="V56" s="38" t="str">
        <f t="shared" si="2"/>
        <v/>
      </c>
      <c r="W56" s="38" t="str">
        <f>IF(AND(U56&lt;&gt;"",OR($S$4="(все)",B56=$S$4),IF($S$4="(все)",COUNTIF($U$4:U56,U56),COUNTIFS($U$4:U56,U56,$B$4:B56,B56))=1),MAX($W$3:W55)+1,"")</f>
        <v/>
      </c>
      <c r="X56" s="38" t="str">
        <f t="shared" si="3"/>
        <v/>
      </c>
      <c r="Y56" s="38" t="str">
        <f>IF(AND(A56="Аппарат",C56&lt;&gt;"",OR($S$5="(все)",B56=$S$5)),MAX($Y$3:Y55)+1,"")</f>
        <v/>
      </c>
      <c r="Z56" s="38" t="str">
        <f t="shared" si="4"/>
        <v/>
      </c>
      <c r="AA56" s="38" t="str">
        <f>IF(AND(A56="Модуль",C56&lt;&gt;"",OR($S$6="(все)",B56=$S$6)),MAX($AA$3:AA55)+1,"")</f>
        <v/>
      </c>
      <c r="AB56" s="38" t="str">
        <f t="shared" si="5"/>
        <v/>
      </c>
      <c r="AC56" s="38" t="str">
        <f>IF(OR(B56="",COUNTIF($B$4:B56,B56)&gt;1),"",MAX($AC$3:AC55)+1)</f>
        <v/>
      </c>
      <c r="AD56" s="38" t="str">
        <f t="shared" si="6"/>
        <v/>
      </c>
      <c r="AE56" s="38" t="str">
        <f t="shared" si="7"/>
        <v/>
      </c>
      <c r="AF56" s="38" t="str">
        <f t="shared" si="8"/>
        <v/>
      </c>
    </row>
    <row r="57" spans="1:32" x14ac:dyDescent="0.3">
      <c r="A57" s="74" t="s">
        <v>439</v>
      </c>
      <c r="B57" s="74" t="s">
        <v>281</v>
      </c>
      <c r="C57" s="74" t="s">
        <v>314</v>
      </c>
      <c r="D57" s="74"/>
      <c r="E57" s="74"/>
      <c r="F57" s="74"/>
      <c r="G57" s="74" t="s">
        <v>313</v>
      </c>
      <c r="H57" s="74" t="s">
        <v>314</v>
      </c>
      <c r="I57" s="74"/>
      <c r="J57" s="74"/>
      <c r="K57" s="74"/>
      <c r="L57" s="74"/>
      <c r="M57" s="74" t="s">
        <v>284</v>
      </c>
      <c r="N57" s="38" t="str">
        <f>IF(OR(A57="Автомат",A57="Дифавтомат"),IF(W57="","",COUNTIFS(Однолинейка!$H$3:$H$3000,U57,Однолинейка!$A$3:$A$3000,Щит_спец)),IF(A57="Аппарат",IF(C57="","",COUNTIFS(Однолинейка!$I$3:$I$3000,C57,Однолинейка!$A$3:$A$3000,Щит_спец)+COUNTIFS(Однолинейка!$J$3:$J$3000,C57,Однолинейка!$A$3:$A$3000,Щит_спец)+COUNTIFS(Однолинейка!$K$3:$K$3000,C57,Однолинейка!$A$3:$A$3000,Щит_спец)),IF(A57="Модуль",IF(C57="","",COUNTIFS(Однолинейка!$AW$3:$AW$3000,"?*",Однолинейка!$AI$3:$AI$3000,C57,Однолинейка!$A$3:$A$3000,Щит_спец)),IF(A57="Клемма",IF(C57="","",IF(C57=$S$7,SUMIFS(Однолинейка!$BW$3:$BW$3000,Однолинейка!$A$3:$A$3000,Щит_спец),IF(C57=$S$8,SUMIFS(Однолинейка!$BX$3:$BX$3000,Однолинейка!$A$3:$A$3000,Щит_спец),""))),""))))</f>
        <v/>
      </c>
      <c r="O57" s="74"/>
      <c r="P57" s="38" t="str">
        <f t="shared" si="0"/>
        <v/>
      </c>
      <c r="U57" s="38" t="str">
        <f t="shared" si="1"/>
        <v/>
      </c>
      <c r="V57" s="38" t="str">
        <f t="shared" si="2"/>
        <v/>
      </c>
      <c r="W57" s="38" t="str">
        <f>IF(AND(U57&lt;&gt;"",OR($S$4="(все)",B57=$S$4),IF($S$4="(все)",COUNTIF($U$4:U57,U57),COUNTIFS($U$4:U57,U57,$B$4:B57,B57))=1),MAX($W$3:W56)+1,"")</f>
        <v/>
      </c>
      <c r="X57" s="38" t="str">
        <f t="shared" si="3"/>
        <v/>
      </c>
      <c r="Y57" s="38" t="str">
        <f>IF(AND(A57="Аппарат",C57&lt;&gt;"",OR($S$5="(все)",B57=$S$5)),MAX($Y$3:Y56)+1,"")</f>
        <v/>
      </c>
      <c r="Z57" s="38" t="str">
        <f t="shared" si="4"/>
        <v/>
      </c>
      <c r="AA57" s="38" t="str">
        <f>IF(AND(A57="Модуль",C57&lt;&gt;"",OR($S$6="(все)",B57=$S$6)),MAX($AA$3:AA56)+1,"")</f>
        <v/>
      </c>
      <c r="AB57" s="38" t="str">
        <f t="shared" si="5"/>
        <v/>
      </c>
      <c r="AC57" s="38" t="str">
        <f>IF(OR(B57="",COUNTIF($B$4:B57,B57)&gt;1),"",MAX($AC$3:AC56)+1)</f>
        <v/>
      </c>
      <c r="AD57" s="38" t="str">
        <f t="shared" si="6"/>
        <v/>
      </c>
      <c r="AE57" s="38" t="str">
        <f t="shared" si="7"/>
        <v/>
      </c>
      <c r="AF57" s="38" t="str">
        <f t="shared" si="8"/>
        <v/>
      </c>
    </row>
    <row r="58" spans="1:32" x14ac:dyDescent="0.3">
      <c r="A58" s="74" t="s">
        <v>439</v>
      </c>
      <c r="B58" s="74" t="s">
        <v>281</v>
      </c>
      <c r="C58" s="74" t="s">
        <v>316</v>
      </c>
      <c r="D58" s="74"/>
      <c r="E58" s="74"/>
      <c r="F58" s="74"/>
      <c r="G58" s="74" t="s">
        <v>315</v>
      </c>
      <c r="H58" s="74" t="s">
        <v>316</v>
      </c>
      <c r="I58" s="74"/>
      <c r="J58" s="74"/>
      <c r="K58" s="74"/>
      <c r="L58" s="74"/>
      <c r="M58" s="74" t="s">
        <v>284</v>
      </c>
      <c r="N58" s="38" t="str">
        <f>IF(OR(A58="Автомат",A58="Дифавтомат"),IF(W58="","",COUNTIFS(Однолинейка!$H$3:$H$3000,U58,Однолинейка!$A$3:$A$3000,Щит_спец)),IF(A58="Аппарат",IF(C58="","",COUNTIFS(Однолинейка!$I$3:$I$3000,C58,Однолинейка!$A$3:$A$3000,Щит_спец)+COUNTIFS(Однолинейка!$J$3:$J$3000,C58,Однолинейка!$A$3:$A$3000,Щит_спец)+COUNTIFS(Однолинейка!$K$3:$K$3000,C58,Однолинейка!$A$3:$A$3000,Щит_спец)),IF(A58="Модуль",IF(C58="","",COUNTIFS(Однолинейка!$AW$3:$AW$3000,"?*",Однолинейка!$AI$3:$AI$3000,C58,Однолинейка!$A$3:$A$3000,Щит_спец)),IF(A58="Клемма",IF(C58="","",IF(C58=$S$7,SUMIFS(Однолинейка!$BW$3:$BW$3000,Однолинейка!$A$3:$A$3000,Щит_спец),IF(C58=$S$8,SUMIFS(Однолинейка!$BX$3:$BX$3000,Однолинейка!$A$3:$A$3000,Щит_спец),""))),""))))</f>
        <v/>
      </c>
      <c r="O58" s="74"/>
      <c r="P58" s="38" t="str">
        <f t="shared" si="0"/>
        <v/>
      </c>
      <c r="U58" s="38" t="str">
        <f t="shared" si="1"/>
        <v/>
      </c>
      <c r="V58" s="38" t="str">
        <f t="shared" si="2"/>
        <v/>
      </c>
      <c r="W58" s="38" t="str">
        <f>IF(AND(U58&lt;&gt;"",OR($S$4="(все)",B58=$S$4),IF($S$4="(все)",COUNTIF($U$4:U58,U58),COUNTIFS($U$4:U58,U58,$B$4:B58,B58))=1),MAX($W$3:W57)+1,"")</f>
        <v/>
      </c>
      <c r="X58" s="38" t="str">
        <f t="shared" si="3"/>
        <v/>
      </c>
      <c r="Y58" s="38" t="str">
        <f>IF(AND(A58="Аппарат",C58&lt;&gt;"",OR($S$5="(все)",B58=$S$5)),MAX($Y$3:Y57)+1,"")</f>
        <v/>
      </c>
      <c r="Z58" s="38" t="str">
        <f t="shared" si="4"/>
        <v/>
      </c>
      <c r="AA58" s="38" t="str">
        <f>IF(AND(A58="Модуль",C58&lt;&gt;"",OR($S$6="(все)",B58=$S$6)),MAX($AA$3:AA57)+1,"")</f>
        <v/>
      </c>
      <c r="AB58" s="38" t="str">
        <f t="shared" si="5"/>
        <v/>
      </c>
      <c r="AC58" s="38" t="str">
        <f>IF(OR(B58="",COUNTIF($B$4:B58,B58)&gt;1),"",MAX($AC$3:AC57)+1)</f>
        <v/>
      </c>
      <c r="AD58" s="38" t="str">
        <f t="shared" si="6"/>
        <v/>
      </c>
      <c r="AE58" s="38" t="str">
        <f t="shared" si="7"/>
        <v/>
      </c>
      <c r="AF58" s="38" t="str">
        <f t="shared" si="8"/>
        <v/>
      </c>
    </row>
    <row r="59" spans="1:32" x14ac:dyDescent="0.3">
      <c r="A59" s="74" t="s">
        <v>439</v>
      </c>
      <c r="B59" s="74" t="s">
        <v>281</v>
      </c>
      <c r="C59" s="74" t="s">
        <v>318</v>
      </c>
      <c r="D59" s="74"/>
      <c r="E59" s="74"/>
      <c r="F59" s="74"/>
      <c r="G59" s="74" t="s">
        <v>317</v>
      </c>
      <c r="H59" s="74" t="s">
        <v>318</v>
      </c>
      <c r="I59" s="74"/>
      <c r="J59" s="74"/>
      <c r="K59" s="74"/>
      <c r="L59" s="74"/>
      <c r="M59" s="74" t="s">
        <v>284</v>
      </c>
      <c r="N59" s="38" t="str">
        <f>IF(OR(A59="Автомат",A59="Дифавтомат"),IF(W59="","",COUNTIFS(Однолинейка!$H$3:$H$3000,U59,Однолинейка!$A$3:$A$3000,Щит_спец)),IF(A59="Аппарат",IF(C59="","",COUNTIFS(Однолинейка!$I$3:$I$3000,C59,Однолинейка!$A$3:$A$3000,Щит_спец)+COUNTIFS(Однолинейка!$J$3:$J$3000,C59,Однолинейка!$A$3:$A$3000,Щит_спец)+COUNTIFS(Однолинейка!$K$3:$K$3000,C59,Однолинейка!$A$3:$A$3000,Щит_спец)),IF(A59="Модуль",IF(C59="","",COUNTIFS(Однолинейка!$AW$3:$AW$3000,"?*",Однолинейка!$AI$3:$AI$3000,C59,Однолинейка!$A$3:$A$3000,Щит_спец)),IF(A59="Клемма",IF(C59="","",IF(C59=$S$7,SUMIFS(Однолинейка!$BW$3:$BW$3000,Однолинейка!$A$3:$A$3000,Щит_спец),IF(C59=$S$8,SUMIFS(Однолинейка!$BX$3:$BX$3000,Однолинейка!$A$3:$A$3000,Щит_спец),""))),""))))</f>
        <v/>
      </c>
      <c r="O59" s="74"/>
      <c r="P59" s="38" t="str">
        <f t="shared" si="0"/>
        <v/>
      </c>
      <c r="U59" s="38" t="str">
        <f t="shared" si="1"/>
        <v/>
      </c>
      <c r="V59" s="38" t="str">
        <f t="shared" si="2"/>
        <v/>
      </c>
      <c r="W59" s="38" t="str">
        <f>IF(AND(U59&lt;&gt;"",OR($S$4="(все)",B59=$S$4),IF($S$4="(все)",COUNTIF($U$4:U59,U59),COUNTIFS($U$4:U59,U59,$B$4:B59,B59))=1),MAX($W$3:W58)+1,"")</f>
        <v/>
      </c>
      <c r="X59" s="38" t="str">
        <f t="shared" si="3"/>
        <v/>
      </c>
      <c r="Y59" s="38" t="str">
        <f>IF(AND(A59="Аппарат",C59&lt;&gt;"",OR($S$5="(все)",B59=$S$5)),MAX($Y$3:Y58)+1,"")</f>
        <v/>
      </c>
      <c r="Z59" s="38" t="str">
        <f t="shared" si="4"/>
        <v/>
      </c>
      <c r="AA59" s="38" t="str">
        <f>IF(AND(A59="Модуль",C59&lt;&gt;"",OR($S$6="(все)",B59=$S$6)),MAX($AA$3:AA58)+1,"")</f>
        <v/>
      </c>
      <c r="AB59" s="38" t="str">
        <f t="shared" si="5"/>
        <v/>
      </c>
      <c r="AC59" s="38" t="str">
        <f>IF(OR(B59="",COUNTIF($B$4:B59,B59)&gt;1),"",MAX($AC$3:AC58)+1)</f>
        <v/>
      </c>
      <c r="AD59" s="38" t="str">
        <f t="shared" si="6"/>
        <v/>
      </c>
      <c r="AE59" s="38" t="str">
        <f t="shared" si="7"/>
        <v/>
      </c>
      <c r="AF59" s="38" t="str">
        <f t="shared" si="8"/>
        <v/>
      </c>
    </row>
    <row r="60" spans="1:32" x14ac:dyDescent="0.3">
      <c r="A60" s="74" t="s">
        <v>439</v>
      </c>
      <c r="B60" s="74" t="s">
        <v>281</v>
      </c>
      <c r="C60" s="74" t="s">
        <v>388</v>
      </c>
      <c r="D60" s="74"/>
      <c r="E60" s="74"/>
      <c r="F60" s="74"/>
      <c r="G60" s="74" t="s">
        <v>387</v>
      </c>
      <c r="H60" s="74" t="s">
        <v>388</v>
      </c>
      <c r="I60" s="74"/>
      <c r="J60" s="74"/>
      <c r="K60" s="74"/>
      <c r="L60" s="74"/>
      <c r="M60" s="74" t="s">
        <v>284</v>
      </c>
      <c r="N60" s="38" t="str">
        <f>IF(OR(A60="Автомат",A60="Дифавтомат"),IF(W60="","",COUNTIFS(Однолинейка!$H$3:$H$3000,U60,Однолинейка!$A$3:$A$3000,Щит_спец)),IF(A60="Аппарат",IF(C60="","",COUNTIFS(Однолинейка!$I$3:$I$3000,C60,Однолинейка!$A$3:$A$3000,Щит_спец)+COUNTIFS(Однолинейка!$J$3:$J$3000,C60,Однолинейка!$A$3:$A$3000,Щит_спец)+COUNTIFS(Однолинейка!$K$3:$K$3000,C60,Однолинейка!$A$3:$A$3000,Щит_спец)),IF(A60="Модуль",IF(C60="","",COUNTIFS(Однолинейка!$AW$3:$AW$3000,"?*",Однолинейка!$AI$3:$AI$3000,C60,Однолинейка!$A$3:$A$3000,Щит_спец)),IF(A60="Клемма",IF(C60="","",IF(C60=$S$7,SUMIFS(Однолинейка!$BW$3:$BW$3000,Однолинейка!$A$3:$A$3000,Щит_спец),IF(C60=$S$8,SUMIFS(Однолинейка!$BX$3:$BX$3000,Однолинейка!$A$3:$A$3000,Щит_спец),""))),""))))</f>
        <v/>
      </c>
      <c r="O60" s="74"/>
      <c r="P60" s="38" t="str">
        <f t="shared" si="0"/>
        <v/>
      </c>
      <c r="U60" s="38" t="str">
        <f t="shared" si="1"/>
        <v/>
      </c>
      <c r="V60" s="38" t="str">
        <f t="shared" si="2"/>
        <v/>
      </c>
      <c r="W60" s="38" t="str">
        <f>IF(AND(U60&lt;&gt;"",OR($S$4="(все)",B60=$S$4),IF($S$4="(все)",COUNTIF($U$4:U60,U60),COUNTIFS($U$4:U60,U60,$B$4:B60,B60))=1),MAX($W$3:W59)+1,"")</f>
        <v/>
      </c>
      <c r="X60" s="38" t="str">
        <f t="shared" si="3"/>
        <v/>
      </c>
      <c r="Y60" s="38" t="str">
        <f>IF(AND(A60="Аппарат",C60&lt;&gt;"",OR($S$5="(все)",B60=$S$5)),MAX($Y$3:Y59)+1,"")</f>
        <v/>
      </c>
      <c r="Z60" s="38" t="str">
        <f t="shared" si="4"/>
        <v/>
      </c>
      <c r="AA60" s="38" t="str">
        <f>IF(AND(A60="Модуль",C60&lt;&gt;"",OR($S$6="(все)",B60=$S$6)),MAX($AA$3:AA59)+1,"")</f>
        <v/>
      </c>
      <c r="AB60" s="38" t="str">
        <f t="shared" si="5"/>
        <v/>
      </c>
      <c r="AC60" s="38" t="str">
        <f>IF(OR(B60="",COUNTIF($B$4:B60,B60)&gt;1),"",MAX($AC$3:AC59)+1)</f>
        <v/>
      </c>
      <c r="AD60" s="38" t="str">
        <f t="shared" si="6"/>
        <v/>
      </c>
      <c r="AE60" s="38" t="str">
        <f t="shared" si="7"/>
        <v/>
      </c>
      <c r="AF60" s="38" t="str">
        <f t="shared" si="8"/>
        <v/>
      </c>
    </row>
    <row r="61" spans="1:32" x14ac:dyDescent="0.3">
      <c r="A61" s="74" t="s">
        <v>439</v>
      </c>
      <c r="B61" s="74" t="s">
        <v>281</v>
      </c>
      <c r="C61" s="74" t="s">
        <v>390</v>
      </c>
      <c r="D61" s="74"/>
      <c r="E61" s="74"/>
      <c r="F61" s="74"/>
      <c r="G61" s="74" t="s">
        <v>389</v>
      </c>
      <c r="H61" s="74" t="s">
        <v>390</v>
      </c>
      <c r="I61" s="74"/>
      <c r="J61" s="74"/>
      <c r="K61" s="74"/>
      <c r="L61" s="74"/>
      <c r="M61" s="74" t="s">
        <v>284</v>
      </c>
      <c r="N61" s="38" t="str">
        <f>IF(OR(A61="Автомат",A61="Дифавтомат"),IF(W61="","",COUNTIFS(Однолинейка!$H$3:$H$3000,U61,Однолинейка!$A$3:$A$3000,Щит_спец)),IF(A61="Аппарат",IF(C61="","",COUNTIFS(Однолинейка!$I$3:$I$3000,C61,Однолинейка!$A$3:$A$3000,Щит_спец)+COUNTIFS(Однолинейка!$J$3:$J$3000,C61,Однолинейка!$A$3:$A$3000,Щит_спец)+COUNTIFS(Однолинейка!$K$3:$K$3000,C61,Однолинейка!$A$3:$A$3000,Щит_спец)),IF(A61="Модуль",IF(C61="","",COUNTIFS(Однолинейка!$AW$3:$AW$3000,"?*",Однолинейка!$AI$3:$AI$3000,C61,Однолинейка!$A$3:$A$3000,Щит_спец)),IF(A61="Клемма",IF(C61="","",IF(C61=$S$7,SUMIFS(Однолинейка!$BW$3:$BW$3000,Однолинейка!$A$3:$A$3000,Щит_спец),IF(C61=$S$8,SUMIFS(Однолинейка!$BX$3:$BX$3000,Однолинейка!$A$3:$A$3000,Щит_спец),""))),""))))</f>
        <v/>
      </c>
      <c r="O61" s="74"/>
      <c r="P61" s="38" t="str">
        <f t="shared" si="0"/>
        <v/>
      </c>
      <c r="U61" s="38" t="str">
        <f t="shared" si="1"/>
        <v/>
      </c>
      <c r="V61" s="38" t="str">
        <f t="shared" si="2"/>
        <v/>
      </c>
      <c r="W61" s="38" t="str">
        <f>IF(AND(U61&lt;&gt;"",OR($S$4="(все)",B61=$S$4),IF($S$4="(все)",COUNTIF($U$4:U61,U61),COUNTIFS($U$4:U61,U61,$B$4:B61,B61))=1),MAX($W$3:W60)+1,"")</f>
        <v/>
      </c>
      <c r="X61" s="38" t="str">
        <f t="shared" si="3"/>
        <v/>
      </c>
      <c r="Y61" s="38" t="str">
        <f>IF(AND(A61="Аппарат",C61&lt;&gt;"",OR($S$5="(все)",B61=$S$5)),MAX($Y$3:Y60)+1,"")</f>
        <v/>
      </c>
      <c r="Z61" s="38" t="str">
        <f t="shared" si="4"/>
        <v/>
      </c>
      <c r="AA61" s="38" t="str">
        <f>IF(AND(A61="Модуль",C61&lt;&gt;"",OR($S$6="(все)",B61=$S$6)),MAX($AA$3:AA60)+1,"")</f>
        <v/>
      </c>
      <c r="AB61" s="38" t="str">
        <f t="shared" si="5"/>
        <v/>
      </c>
      <c r="AC61" s="38" t="str">
        <f>IF(OR(B61="",COUNTIF($B$4:B61,B61)&gt;1),"",MAX($AC$3:AC60)+1)</f>
        <v/>
      </c>
      <c r="AD61" s="38" t="str">
        <f t="shared" si="6"/>
        <v/>
      </c>
      <c r="AE61" s="38" t="str">
        <f t="shared" si="7"/>
        <v/>
      </c>
      <c r="AF61" s="38" t="str">
        <f t="shared" si="8"/>
        <v/>
      </c>
    </row>
    <row r="62" spans="1:32" x14ac:dyDescent="0.3">
      <c r="A62" s="74" t="s">
        <v>439</v>
      </c>
      <c r="B62" s="74" t="s">
        <v>281</v>
      </c>
      <c r="C62" s="74" t="s">
        <v>392</v>
      </c>
      <c r="D62" s="74"/>
      <c r="E62" s="74"/>
      <c r="F62" s="74"/>
      <c r="G62" s="74" t="s">
        <v>391</v>
      </c>
      <c r="H62" s="74" t="s">
        <v>392</v>
      </c>
      <c r="I62" s="74"/>
      <c r="J62" s="74"/>
      <c r="K62" s="74"/>
      <c r="L62" s="74"/>
      <c r="M62" s="74" t="s">
        <v>284</v>
      </c>
      <c r="N62" s="38" t="str">
        <f>IF(OR(A62="Автомат",A62="Дифавтомат"),IF(W62="","",COUNTIFS(Однолинейка!$H$3:$H$3000,U62,Однолинейка!$A$3:$A$3000,Щит_спец)),IF(A62="Аппарат",IF(C62="","",COUNTIFS(Однолинейка!$I$3:$I$3000,C62,Однолинейка!$A$3:$A$3000,Щит_спец)+COUNTIFS(Однолинейка!$J$3:$J$3000,C62,Однолинейка!$A$3:$A$3000,Щит_спец)+COUNTIFS(Однолинейка!$K$3:$K$3000,C62,Однолинейка!$A$3:$A$3000,Щит_спец)),IF(A62="Модуль",IF(C62="","",COUNTIFS(Однолинейка!$AW$3:$AW$3000,"?*",Однолинейка!$AI$3:$AI$3000,C62,Однолинейка!$A$3:$A$3000,Щит_спец)),IF(A62="Клемма",IF(C62="","",IF(C62=$S$7,SUMIFS(Однолинейка!$BW$3:$BW$3000,Однолинейка!$A$3:$A$3000,Щит_спец),IF(C62=$S$8,SUMIFS(Однолинейка!$BX$3:$BX$3000,Однолинейка!$A$3:$A$3000,Щит_спец),""))),""))))</f>
        <v/>
      </c>
      <c r="O62" s="74"/>
      <c r="P62" s="38" t="str">
        <f t="shared" si="0"/>
        <v/>
      </c>
      <c r="U62" s="38" t="str">
        <f t="shared" si="1"/>
        <v/>
      </c>
      <c r="V62" s="38" t="str">
        <f t="shared" si="2"/>
        <v/>
      </c>
      <c r="W62" s="38" t="str">
        <f>IF(AND(U62&lt;&gt;"",OR($S$4="(все)",B62=$S$4),IF($S$4="(все)",COUNTIF($U$4:U62,U62),COUNTIFS($U$4:U62,U62,$B$4:B62,B62))=1),MAX($W$3:W61)+1,"")</f>
        <v/>
      </c>
      <c r="X62" s="38" t="str">
        <f t="shared" si="3"/>
        <v/>
      </c>
      <c r="Y62" s="38" t="str">
        <f>IF(AND(A62="Аппарат",C62&lt;&gt;"",OR($S$5="(все)",B62=$S$5)),MAX($Y$3:Y61)+1,"")</f>
        <v/>
      </c>
      <c r="Z62" s="38" t="str">
        <f t="shared" si="4"/>
        <v/>
      </c>
      <c r="AA62" s="38" t="str">
        <f>IF(AND(A62="Модуль",C62&lt;&gt;"",OR($S$6="(все)",B62=$S$6)),MAX($AA$3:AA61)+1,"")</f>
        <v/>
      </c>
      <c r="AB62" s="38" t="str">
        <f t="shared" si="5"/>
        <v/>
      </c>
      <c r="AC62" s="38" t="str">
        <f>IF(OR(B62="",COUNTIF($B$4:B62,B62)&gt;1),"",MAX($AC$3:AC61)+1)</f>
        <v/>
      </c>
      <c r="AD62" s="38" t="str">
        <f t="shared" si="6"/>
        <v/>
      </c>
      <c r="AE62" s="38" t="str">
        <f t="shared" si="7"/>
        <v/>
      </c>
      <c r="AF62" s="38" t="str">
        <f t="shared" si="8"/>
        <v/>
      </c>
    </row>
    <row r="63" spans="1:32" x14ac:dyDescent="0.3">
      <c r="A63" s="74" t="s">
        <v>439</v>
      </c>
      <c r="B63" s="74" t="s">
        <v>281</v>
      </c>
      <c r="C63" s="74" t="s">
        <v>395</v>
      </c>
      <c r="D63" s="74"/>
      <c r="E63" s="74"/>
      <c r="F63" s="74"/>
      <c r="G63" s="74" t="s">
        <v>394</v>
      </c>
      <c r="H63" s="74" t="s">
        <v>395</v>
      </c>
      <c r="I63" s="74"/>
      <c r="J63" s="74"/>
      <c r="K63" s="74"/>
      <c r="L63" s="74"/>
      <c r="M63" s="74" t="s">
        <v>284</v>
      </c>
      <c r="N63" s="38" t="str">
        <f>IF(OR(A63="Автомат",A63="Дифавтомат"),IF(W63="","",COUNTIFS(Однолинейка!$H$3:$H$3000,U63,Однолинейка!$A$3:$A$3000,Щит_спец)),IF(A63="Аппарат",IF(C63="","",COUNTIFS(Однолинейка!$I$3:$I$3000,C63,Однолинейка!$A$3:$A$3000,Щит_спец)+COUNTIFS(Однолинейка!$J$3:$J$3000,C63,Однолинейка!$A$3:$A$3000,Щит_спец)+COUNTIFS(Однолинейка!$K$3:$K$3000,C63,Однолинейка!$A$3:$A$3000,Щит_спец)),IF(A63="Модуль",IF(C63="","",COUNTIFS(Однолинейка!$AW$3:$AW$3000,"?*",Однолинейка!$AI$3:$AI$3000,C63,Однолинейка!$A$3:$A$3000,Щит_спец)),IF(A63="Клемма",IF(C63="","",IF(C63=$S$7,SUMIFS(Однолинейка!$BW$3:$BW$3000,Однолинейка!$A$3:$A$3000,Щит_спец),IF(C63=$S$8,SUMIFS(Однолинейка!$BX$3:$BX$3000,Однолинейка!$A$3:$A$3000,Щит_спец),""))),""))))</f>
        <v/>
      </c>
      <c r="O63" s="74"/>
      <c r="P63" s="38" t="str">
        <f t="shared" si="0"/>
        <v/>
      </c>
      <c r="U63" s="38" t="str">
        <f t="shared" si="1"/>
        <v/>
      </c>
      <c r="V63" s="38" t="str">
        <f t="shared" si="2"/>
        <v/>
      </c>
      <c r="W63" s="38" t="str">
        <f>IF(AND(U63&lt;&gt;"",OR($S$4="(все)",B63=$S$4),IF($S$4="(все)",COUNTIF($U$4:U63,U63),COUNTIFS($U$4:U63,U63,$B$4:B63,B63))=1),MAX($W$3:W62)+1,"")</f>
        <v/>
      </c>
      <c r="X63" s="38" t="str">
        <f t="shared" si="3"/>
        <v/>
      </c>
      <c r="Y63" s="38" t="str">
        <f>IF(AND(A63="Аппарат",C63&lt;&gt;"",OR($S$5="(все)",B63=$S$5)),MAX($Y$3:Y62)+1,"")</f>
        <v/>
      </c>
      <c r="Z63" s="38" t="str">
        <f t="shared" si="4"/>
        <v/>
      </c>
      <c r="AA63" s="38" t="str">
        <f>IF(AND(A63="Модуль",C63&lt;&gt;"",OR($S$6="(все)",B63=$S$6)),MAX($AA$3:AA62)+1,"")</f>
        <v/>
      </c>
      <c r="AB63" s="38" t="str">
        <f t="shared" si="5"/>
        <v/>
      </c>
      <c r="AC63" s="38" t="str">
        <f>IF(OR(B63="",COUNTIF($B$4:B63,B63)&gt;1),"",MAX($AC$3:AC62)+1)</f>
        <v/>
      </c>
      <c r="AD63" s="38" t="str">
        <f t="shared" si="6"/>
        <v/>
      </c>
      <c r="AE63" s="38" t="str">
        <f t="shared" si="7"/>
        <v/>
      </c>
      <c r="AF63" s="38" t="str">
        <f t="shared" si="8"/>
        <v/>
      </c>
    </row>
    <row r="64" spans="1:32" x14ac:dyDescent="0.3">
      <c r="A64" s="74" t="s">
        <v>439</v>
      </c>
      <c r="B64" s="74" t="s">
        <v>281</v>
      </c>
      <c r="C64" s="74" t="s">
        <v>397</v>
      </c>
      <c r="D64" s="74"/>
      <c r="E64" s="74"/>
      <c r="F64" s="74"/>
      <c r="G64" s="74" t="s">
        <v>396</v>
      </c>
      <c r="H64" s="74" t="s">
        <v>397</v>
      </c>
      <c r="I64" s="74"/>
      <c r="J64" s="74"/>
      <c r="K64" s="74"/>
      <c r="L64" s="74"/>
      <c r="M64" s="74" t="s">
        <v>284</v>
      </c>
      <c r="N64" s="38" t="str">
        <f>IF(OR(A64="Автомат",A64="Дифавтомат"),IF(W64="","",COUNTIFS(Однолинейка!$H$3:$H$3000,U64,Однолинейка!$A$3:$A$3000,Щит_спец)),IF(A64="Аппарат",IF(C64="","",COUNTIFS(Однолинейка!$I$3:$I$3000,C64,Однолинейка!$A$3:$A$3000,Щит_спец)+COUNTIFS(Однолинейка!$J$3:$J$3000,C64,Однолинейка!$A$3:$A$3000,Щит_спец)+COUNTIFS(Однолинейка!$K$3:$K$3000,C64,Однолинейка!$A$3:$A$3000,Щит_спец)),IF(A64="Модуль",IF(C64="","",COUNTIFS(Однолинейка!$AW$3:$AW$3000,"?*",Однолинейка!$AI$3:$AI$3000,C64,Однолинейка!$A$3:$A$3000,Щит_спец)),IF(A64="Клемма",IF(C64="","",IF(C64=$S$7,SUMIFS(Однолинейка!$BW$3:$BW$3000,Однолинейка!$A$3:$A$3000,Щит_спец),IF(C64=$S$8,SUMIFS(Однолинейка!$BX$3:$BX$3000,Однолинейка!$A$3:$A$3000,Щит_спец),""))),""))))</f>
        <v/>
      </c>
      <c r="O64" s="74"/>
      <c r="P64" s="38" t="str">
        <f t="shared" si="0"/>
        <v/>
      </c>
      <c r="U64" s="38" t="str">
        <f t="shared" si="1"/>
        <v/>
      </c>
      <c r="V64" s="38" t="str">
        <f t="shared" si="2"/>
        <v/>
      </c>
      <c r="W64" s="38" t="str">
        <f>IF(AND(U64&lt;&gt;"",OR($S$4="(все)",B64=$S$4),IF($S$4="(все)",COUNTIF($U$4:U64,U64),COUNTIFS($U$4:U64,U64,$B$4:B64,B64))=1),MAX($W$3:W63)+1,"")</f>
        <v/>
      </c>
      <c r="X64" s="38" t="str">
        <f t="shared" si="3"/>
        <v/>
      </c>
      <c r="Y64" s="38" t="str">
        <f>IF(AND(A64="Аппарат",C64&lt;&gt;"",OR($S$5="(все)",B64=$S$5)),MAX($Y$3:Y63)+1,"")</f>
        <v/>
      </c>
      <c r="Z64" s="38" t="str">
        <f t="shared" si="4"/>
        <v/>
      </c>
      <c r="AA64" s="38" t="str">
        <f>IF(AND(A64="Модуль",C64&lt;&gt;"",OR($S$6="(все)",B64=$S$6)),MAX($AA$3:AA63)+1,"")</f>
        <v/>
      </c>
      <c r="AB64" s="38" t="str">
        <f t="shared" si="5"/>
        <v/>
      </c>
      <c r="AC64" s="38" t="str">
        <f>IF(OR(B64="",COUNTIF($B$4:B64,B64)&gt;1),"",MAX($AC$3:AC63)+1)</f>
        <v/>
      </c>
      <c r="AD64" s="38" t="str">
        <f t="shared" si="6"/>
        <v/>
      </c>
      <c r="AE64" s="38" t="str">
        <f t="shared" si="7"/>
        <v/>
      </c>
      <c r="AF64" s="38" t="str">
        <f t="shared" si="8"/>
        <v/>
      </c>
    </row>
    <row r="65" spans="1:32" x14ac:dyDescent="0.3">
      <c r="A65" s="74" t="s">
        <v>439</v>
      </c>
      <c r="B65" s="74" t="s">
        <v>281</v>
      </c>
      <c r="C65" s="74" t="s">
        <v>399</v>
      </c>
      <c r="D65" s="74"/>
      <c r="E65" s="74"/>
      <c r="F65" s="74"/>
      <c r="G65" s="74" t="s">
        <v>398</v>
      </c>
      <c r="H65" s="74" t="s">
        <v>399</v>
      </c>
      <c r="I65" s="74"/>
      <c r="J65" s="74"/>
      <c r="K65" s="74"/>
      <c r="L65" s="74"/>
      <c r="M65" s="74" t="s">
        <v>284</v>
      </c>
      <c r="N65" s="38" t="str">
        <f>IF(OR(A65="Автомат",A65="Дифавтомат"),IF(W65="","",COUNTIFS(Однолинейка!$H$3:$H$3000,U65,Однолинейка!$A$3:$A$3000,Щит_спец)),IF(A65="Аппарат",IF(C65="","",COUNTIFS(Однолинейка!$I$3:$I$3000,C65,Однолинейка!$A$3:$A$3000,Щит_спец)+COUNTIFS(Однолинейка!$J$3:$J$3000,C65,Однолинейка!$A$3:$A$3000,Щит_спец)+COUNTIFS(Однолинейка!$K$3:$K$3000,C65,Однолинейка!$A$3:$A$3000,Щит_спец)),IF(A65="Модуль",IF(C65="","",COUNTIFS(Однолинейка!$AW$3:$AW$3000,"?*",Однолинейка!$AI$3:$AI$3000,C65,Однолинейка!$A$3:$A$3000,Щит_спец)),IF(A65="Клемма",IF(C65="","",IF(C65=$S$7,SUMIFS(Однолинейка!$BW$3:$BW$3000,Однолинейка!$A$3:$A$3000,Щит_спец),IF(C65=$S$8,SUMIFS(Однолинейка!$BX$3:$BX$3000,Однолинейка!$A$3:$A$3000,Щит_спец),""))),""))))</f>
        <v/>
      </c>
      <c r="O65" s="74"/>
      <c r="P65" s="38" t="str">
        <f t="shared" si="0"/>
        <v/>
      </c>
      <c r="U65" s="38" t="str">
        <f t="shared" si="1"/>
        <v/>
      </c>
      <c r="V65" s="38" t="str">
        <f t="shared" si="2"/>
        <v/>
      </c>
      <c r="W65" s="38" t="str">
        <f>IF(AND(U65&lt;&gt;"",OR($S$4="(все)",B65=$S$4),IF($S$4="(все)",COUNTIF($U$4:U65,U65),COUNTIFS($U$4:U65,U65,$B$4:B65,B65))=1),MAX($W$3:W64)+1,"")</f>
        <v/>
      </c>
      <c r="X65" s="38" t="str">
        <f t="shared" si="3"/>
        <v/>
      </c>
      <c r="Y65" s="38" t="str">
        <f>IF(AND(A65="Аппарат",C65&lt;&gt;"",OR($S$5="(все)",B65=$S$5)),MAX($Y$3:Y64)+1,"")</f>
        <v/>
      </c>
      <c r="Z65" s="38" t="str">
        <f t="shared" si="4"/>
        <v/>
      </c>
      <c r="AA65" s="38" t="str">
        <f>IF(AND(A65="Модуль",C65&lt;&gt;"",OR($S$6="(все)",B65=$S$6)),MAX($AA$3:AA64)+1,"")</f>
        <v/>
      </c>
      <c r="AB65" s="38" t="str">
        <f t="shared" si="5"/>
        <v/>
      </c>
      <c r="AC65" s="38" t="str">
        <f>IF(OR(B65="",COUNTIF($B$4:B65,B65)&gt;1),"",MAX($AC$3:AC64)+1)</f>
        <v/>
      </c>
      <c r="AD65" s="38" t="str">
        <f t="shared" si="6"/>
        <v/>
      </c>
      <c r="AE65" s="38" t="str">
        <f t="shared" si="7"/>
        <v/>
      </c>
      <c r="AF65" s="38" t="str">
        <f t="shared" si="8"/>
        <v/>
      </c>
    </row>
    <row r="66" spans="1:32" x14ac:dyDescent="0.3">
      <c r="A66" s="74" t="s">
        <v>439</v>
      </c>
      <c r="B66" s="74" t="s">
        <v>281</v>
      </c>
      <c r="C66" s="74" t="s">
        <v>323</v>
      </c>
      <c r="D66" s="74"/>
      <c r="E66" s="74"/>
      <c r="F66" s="74"/>
      <c r="G66" s="74" t="s">
        <v>322</v>
      </c>
      <c r="H66" s="74" t="s">
        <v>323</v>
      </c>
      <c r="I66" s="74"/>
      <c r="J66" s="74"/>
      <c r="K66" s="74"/>
      <c r="L66" s="74"/>
      <c r="M66" s="74" t="s">
        <v>284</v>
      </c>
      <c r="N66" s="38" t="str">
        <f>IF(OR(A66="Автомат",A66="Дифавтомат"),IF(W66="","",COUNTIFS(Однолинейка!$H$3:$H$3000,U66,Однолинейка!$A$3:$A$3000,Щит_спец)),IF(A66="Аппарат",IF(C66="","",COUNTIFS(Однолинейка!$I$3:$I$3000,C66,Однолинейка!$A$3:$A$3000,Щит_спец)+COUNTIFS(Однолинейка!$J$3:$J$3000,C66,Однолинейка!$A$3:$A$3000,Щит_спец)+COUNTIFS(Однолинейка!$K$3:$K$3000,C66,Однолинейка!$A$3:$A$3000,Щит_спец)),IF(A66="Модуль",IF(C66="","",COUNTIFS(Однолинейка!$AW$3:$AW$3000,"?*",Однолинейка!$AI$3:$AI$3000,C66,Однолинейка!$A$3:$A$3000,Щит_спец)),IF(A66="Клемма",IF(C66="","",IF(C66=$S$7,SUMIFS(Однолинейка!$BW$3:$BW$3000,Однолинейка!$A$3:$A$3000,Щит_спец),IF(C66=$S$8,SUMIFS(Однолинейка!$BX$3:$BX$3000,Однолинейка!$A$3:$A$3000,Щит_спец),""))),""))))</f>
        <v/>
      </c>
      <c r="O66" s="74"/>
      <c r="P66" s="38" t="str">
        <f t="shared" si="0"/>
        <v/>
      </c>
      <c r="U66" s="38" t="str">
        <f t="shared" si="1"/>
        <v/>
      </c>
      <c r="V66" s="38" t="str">
        <f t="shared" si="2"/>
        <v/>
      </c>
      <c r="W66" s="38" t="str">
        <f>IF(AND(U66&lt;&gt;"",OR($S$4="(все)",B66=$S$4),IF($S$4="(все)",COUNTIF($U$4:U66,U66),COUNTIFS($U$4:U66,U66,$B$4:B66,B66))=1),MAX($W$3:W65)+1,"")</f>
        <v/>
      </c>
      <c r="X66" s="38" t="str">
        <f t="shared" si="3"/>
        <v/>
      </c>
      <c r="Y66" s="38" t="str">
        <f>IF(AND(A66="Аппарат",C66&lt;&gt;"",OR($S$5="(все)",B66=$S$5)),MAX($Y$3:Y65)+1,"")</f>
        <v/>
      </c>
      <c r="Z66" s="38" t="str">
        <f t="shared" si="4"/>
        <v/>
      </c>
      <c r="AA66" s="38" t="str">
        <f>IF(AND(A66="Модуль",C66&lt;&gt;"",OR($S$6="(все)",B66=$S$6)),MAX($AA$3:AA65)+1,"")</f>
        <v/>
      </c>
      <c r="AB66" s="38" t="str">
        <f t="shared" si="5"/>
        <v/>
      </c>
      <c r="AC66" s="38" t="str">
        <f>IF(OR(B66="",COUNTIF($B$4:B66,B66)&gt;1),"",MAX($AC$3:AC65)+1)</f>
        <v/>
      </c>
      <c r="AD66" s="38" t="str">
        <f t="shared" si="6"/>
        <v/>
      </c>
      <c r="AE66" s="38" t="str">
        <f t="shared" si="7"/>
        <v/>
      </c>
      <c r="AF66" s="38" t="str">
        <f t="shared" si="8"/>
        <v/>
      </c>
    </row>
    <row r="67" spans="1:32" x14ac:dyDescent="0.3">
      <c r="A67" s="74" t="s">
        <v>439</v>
      </c>
      <c r="B67" s="74" t="s">
        <v>281</v>
      </c>
      <c r="C67" s="74" t="s">
        <v>325</v>
      </c>
      <c r="D67" s="74"/>
      <c r="E67" s="74"/>
      <c r="F67" s="74"/>
      <c r="G67" s="74" t="s">
        <v>324</v>
      </c>
      <c r="H67" s="74" t="s">
        <v>325</v>
      </c>
      <c r="I67" s="74"/>
      <c r="J67" s="74"/>
      <c r="K67" s="74"/>
      <c r="L67" s="74"/>
      <c r="M67" s="74" t="s">
        <v>284</v>
      </c>
      <c r="N67" s="38" t="str">
        <f>IF(OR(A67="Автомат",A67="Дифавтомат"),IF(W67="","",COUNTIFS(Однолинейка!$H$3:$H$3000,U67,Однолинейка!$A$3:$A$3000,Щит_спец)),IF(A67="Аппарат",IF(C67="","",COUNTIFS(Однолинейка!$I$3:$I$3000,C67,Однолинейка!$A$3:$A$3000,Щит_спец)+COUNTIFS(Однолинейка!$J$3:$J$3000,C67,Однолинейка!$A$3:$A$3000,Щит_спец)+COUNTIFS(Однолинейка!$K$3:$K$3000,C67,Однолинейка!$A$3:$A$3000,Щит_спец)),IF(A67="Модуль",IF(C67="","",COUNTIFS(Однолинейка!$AW$3:$AW$3000,"?*",Однолинейка!$AI$3:$AI$3000,C67,Однолинейка!$A$3:$A$3000,Щит_спец)),IF(A67="Клемма",IF(C67="","",IF(C67=$S$7,SUMIFS(Однолинейка!$BW$3:$BW$3000,Однолинейка!$A$3:$A$3000,Щит_спец),IF(C67=$S$8,SUMIFS(Однолинейка!$BX$3:$BX$3000,Однолинейка!$A$3:$A$3000,Щит_спец),""))),""))))</f>
        <v/>
      </c>
      <c r="O67" s="74"/>
      <c r="P67" s="38" t="str">
        <f t="shared" si="0"/>
        <v/>
      </c>
      <c r="U67" s="38" t="str">
        <f t="shared" si="1"/>
        <v/>
      </c>
      <c r="V67" s="38" t="str">
        <f t="shared" si="2"/>
        <v/>
      </c>
      <c r="W67" s="38" t="str">
        <f>IF(AND(U67&lt;&gt;"",OR($S$4="(все)",B67=$S$4),IF($S$4="(все)",COUNTIF($U$4:U67,U67),COUNTIFS($U$4:U67,U67,$B$4:B67,B67))=1),MAX($W$3:W66)+1,"")</f>
        <v/>
      </c>
      <c r="X67" s="38" t="str">
        <f t="shared" si="3"/>
        <v/>
      </c>
      <c r="Y67" s="38" t="str">
        <f>IF(AND(A67="Аппарат",C67&lt;&gt;"",OR($S$5="(все)",B67=$S$5)),MAX($Y$3:Y66)+1,"")</f>
        <v/>
      </c>
      <c r="Z67" s="38" t="str">
        <f t="shared" si="4"/>
        <v/>
      </c>
      <c r="AA67" s="38" t="str">
        <f>IF(AND(A67="Модуль",C67&lt;&gt;"",OR($S$6="(все)",B67=$S$6)),MAX($AA$3:AA66)+1,"")</f>
        <v/>
      </c>
      <c r="AB67" s="38" t="str">
        <f t="shared" si="5"/>
        <v/>
      </c>
      <c r="AC67" s="38" t="str">
        <f>IF(OR(B67="",COUNTIF($B$4:B67,B67)&gt;1),"",MAX($AC$3:AC66)+1)</f>
        <v/>
      </c>
      <c r="AD67" s="38" t="str">
        <f t="shared" si="6"/>
        <v/>
      </c>
      <c r="AE67" s="38" t="str">
        <f t="shared" si="7"/>
        <v/>
      </c>
      <c r="AF67" s="38" t="str">
        <f t="shared" si="8"/>
        <v/>
      </c>
    </row>
    <row r="68" spans="1:32" x14ac:dyDescent="0.3">
      <c r="A68" s="74" t="s">
        <v>713</v>
      </c>
      <c r="B68" s="74" t="s">
        <v>328</v>
      </c>
      <c r="C68" s="74" t="s">
        <v>327</v>
      </c>
      <c r="D68" s="74"/>
      <c r="E68" s="74"/>
      <c r="F68" s="74"/>
      <c r="G68" s="74" t="s">
        <v>326</v>
      </c>
      <c r="H68" s="74" t="s">
        <v>327</v>
      </c>
      <c r="I68" s="74"/>
      <c r="J68" s="74"/>
      <c r="K68" s="74"/>
      <c r="L68" s="74"/>
      <c r="M68" s="74" t="s">
        <v>329</v>
      </c>
      <c r="N68" s="38" t="str">
        <f>IF(OR(A68="Автомат",A68="Дифавтомат"),IF(W68="","",COUNTIFS(Однолинейка!$H$3:$H$3000,U68,Однолинейка!$A$3:$A$3000,Щит_спец)),IF(A68="Аппарат",IF(C68="","",COUNTIFS(Однолинейка!$I$3:$I$3000,C68,Однолинейка!$A$3:$A$3000,Щит_спец)+COUNTIFS(Однолинейка!$J$3:$J$3000,C68,Однолинейка!$A$3:$A$3000,Щит_спец)+COUNTIFS(Однолинейка!$K$3:$K$3000,C68,Однолинейка!$A$3:$A$3000,Щит_спец)),IF(A68="Модуль",IF(C68="","",COUNTIFS(Однолинейка!$AW$3:$AW$3000,"?*",Однолинейка!$AI$3:$AI$3000,C68,Однолинейка!$A$3:$A$3000,Щит_спец)),IF(A68="Клемма",IF(C68="","",IF(C68=$S$7,SUMIFS(Однолинейка!$BW$3:$BW$3000,Однолинейка!$A$3:$A$3000,Щит_спец),IF(C68=$S$8,SUMIFS(Однолинейка!$BX$3:$BX$3000,Однолинейка!$A$3:$A$3000,Щит_спец),""))),""))))</f>
        <v/>
      </c>
      <c r="O68" s="74"/>
      <c r="P68" s="38" t="str">
        <f t="shared" ref="P68:P131" si="9">IF(COUNT(N68,O68)=0,"",SUM(N68,O68))</f>
        <v/>
      </c>
      <c r="U68" s="38" t="str">
        <f t="shared" ref="U68:U131" si="10">IF(OR(A68="Автомат",A68="Дифавтомат"),I68&amp;" С"&amp;J68&amp;"А"&amp;IF(K68="да"," 30мА",IF(ISNUMBER(K68)," "&amp;K68&amp;"мА","")),"")</f>
        <v/>
      </c>
      <c r="V68" s="38" t="str">
        <f t="shared" ref="V68:V131" si="11">IF(U68="","",B68&amp;"|"&amp;U68)</f>
        <v/>
      </c>
      <c r="W68" s="38" t="str">
        <f>IF(AND(U68&lt;&gt;"",OR($S$4="(все)",B68=$S$4),IF($S$4="(все)",COUNTIF($U$4:U68,U68),COUNTIFS($U$4:U68,U68,$B$4:B68,B68))=1),MAX($W$3:W67)+1,"")</f>
        <v/>
      </c>
      <c r="X68" s="38" t="str">
        <f t="shared" ref="X68:X131" si="12">IFERROR(INDEX($U$4:$U$500,MATCH(ROW()-3,$W$4:$W$500,0)),"")</f>
        <v/>
      </c>
      <c r="Y68" s="38" t="str">
        <f>IF(AND(A68="Аппарат",C68&lt;&gt;"",OR($S$5="(все)",B68=$S$5)),MAX($Y$3:Y67)+1,"")</f>
        <v/>
      </c>
      <c r="Z68" s="38" t="str">
        <f t="shared" ref="Z68:Z131" si="13">IFERROR(INDEX($C$4:$C$500,MATCH(ROW()-3,$Y$4:$Y$500,0)),"")</f>
        <v/>
      </c>
      <c r="AA68" s="38" t="str">
        <f>IF(AND(A68="Модуль",C68&lt;&gt;"",OR($S$6="(все)",B68=$S$6)),MAX($AA$3:AA67)+1,"")</f>
        <v/>
      </c>
      <c r="AB68" s="38" t="str">
        <f t="shared" ref="AB68:AB131" si="14">IFERROR(INDEX($C$4:$C$500,MATCH(ROW()-3,$AA$4:$AA$500,0)),"")</f>
        <v/>
      </c>
      <c r="AC68" s="38">
        <f>IF(OR(B68="",COUNTIF($B$4:B68,B68)&gt;1),"",MAX($AC$3:AC67)+1)</f>
        <v>8</v>
      </c>
      <c r="AD68" s="38" t="str">
        <f t="shared" ref="AD68:AD131" si="15">IFERROR(INDEX($B$4:$B$500,MATCH(ROW()-3,$AC$4:$AC$500,0)),"")</f>
        <v/>
      </c>
      <c r="AE68" s="38" t="str">
        <f t="shared" ref="AE68:AE131" si="16">IF(AND(A68&lt;&gt;"",N(P68)&gt;0),IFERROR(MATCH(A68,$R$12:$R$25,0),99)*1000+ROW(),"")</f>
        <v/>
      </c>
      <c r="AF68" s="38" t="str">
        <f t="shared" ref="AF68:AF131" si="17">IF(AE68="","",COUNTIF($AE$4:$AE$500,"&lt;="&amp;AE68))</f>
        <v/>
      </c>
    </row>
    <row r="69" spans="1:32" x14ac:dyDescent="0.3">
      <c r="A69" s="74" t="s">
        <v>713</v>
      </c>
      <c r="B69" s="74" t="s">
        <v>328</v>
      </c>
      <c r="C69" s="74" t="s">
        <v>327</v>
      </c>
      <c r="D69" s="74"/>
      <c r="E69" s="74"/>
      <c r="F69" s="74"/>
      <c r="G69" s="74" t="s">
        <v>330</v>
      </c>
      <c r="H69" s="74" t="s">
        <v>327</v>
      </c>
      <c r="I69" s="74"/>
      <c r="J69" s="74"/>
      <c r="K69" s="74"/>
      <c r="L69" s="74"/>
      <c r="M69" s="74" t="s">
        <v>329</v>
      </c>
      <c r="N69" s="38" t="str">
        <f>IF(OR(A69="Автомат",A69="Дифавтомат"),IF(W69="","",COUNTIFS(Однолинейка!$H$3:$H$3000,U69,Однолинейка!$A$3:$A$3000,Щит_спец)),IF(A69="Аппарат",IF(C69="","",COUNTIFS(Однолинейка!$I$3:$I$3000,C69,Однолинейка!$A$3:$A$3000,Щит_спец)+COUNTIFS(Однолинейка!$J$3:$J$3000,C69,Однолинейка!$A$3:$A$3000,Щит_спец)+COUNTIFS(Однолинейка!$K$3:$K$3000,C69,Однолинейка!$A$3:$A$3000,Щит_спец)),IF(A69="Модуль",IF(C69="","",COUNTIFS(Однолинейка!$AW$3:$AW$3000,"?*",Однолинейка!$AI$3:$AI$3000,C69,Однолинейка!$A$3:$A$3000,Щит_спец)),IF(A69="Клемма",IF(C69="","",IF(C69=$S$7,SUMIFS(Однолинейка!$BW$3:$BW$3000,Однолинейка!$A$3:$A$3000,Щит_спец),IF(C69=$S$8,SUMIFS(Однолинейка!$BX$3:$BX$3000,Однолинейка!$A$3:$A$3000,Щит_спец),""))),""))))</f>
        <v/>
      </c>
      <c r="O69" s="74"/>
      <c r="P69" s="38" t="str">
        <f t="shared" si="9"/>
        <v/>
      </c>
      <c r="U69" s="38" t="str">
        <f t="shared" si="10"/>
        <v/>
      </c>
      <c r="V69" s="38" t="str">
        <f t="shared" si="11"/>
        <v/>
      </c>
      <c r="W69" s="38" t="str">
        <f>IF(AND(U69&lt;&gt;"",OR($S$4="(все)",B69=$S$4),IF($S$4="(все)",COUNTIF($U$4:U69,U69),COUNTIFS($U$4:U69,U69,$B$4:B69,B69))=1),MAX($W$3:W68)+1,"")</f>
        <v/>
      </c>
      <c r="X69" s="38" t="str">
        <f t="shared" si="12"/>
        <v/>
      </c>
      <c r="Y69" s="38" t="str">
        <f>IF(AND(A69="Аппарат",C69&lt;&gt;"",OR($S$5="(все)",B69=$S$5)),MAX($Y$3:Y68)+1,"")</f>
        <v/>
      </c>
      <c r="Z69" s="38" t="str">
        <f t="shared" si="13"/>
        <v/>
      </c>
      <c r="AA69" s="38" t="str">
        <f>IF(AND(A69="Модуль",C69&lt;&gt;"",OR($S$6="(все)",B69=$S$6)),MAX($AA$3:AA68)+1,"")</f>
        <v/>
      </c>
      <c r="AB69" s="38" t="str">
        <f t="shared" si="14"/>
        <v/>
      </c>
      <c r="AC69" s="38" t="str">
        <f>IF(OR(B69="",COUNTIF($B$4:B69,B69)&gt;1),"",MAX($AC$3:AC68)+1)</f>
        <v/>
      </c>
      <c r="AD69" s="38" t="str">
        <f t="shared" si="15"/>
        <v/>
      </c>
      <c r="AE69" s="38" t="str">
        <f t="shared" si="16"/>
        <v/>
      </c>
      <c r="AF69" s="38" t="str">
        <f t="shared" si="17"/>
        <v/>
      </c>
    </row>
    <row r="70" spans="1:32" x14ac:dyDescent="0.3">
      <c r="A70" s="74" t="s">
        <v>713</v>
      </c>
      <c r="B70" s="74" t="s">
        <v>328</v>
      </c>
      <c r="C70" s="74" t="s">
        <v>327</v>
      </c>
      <c r="D70" s="74"/>
      <c r="E70" s="74"/>
      <c r="F70" s="74"/>
      <c r="G70" s="74" t="s">
        <v>331</v>
      </c>
      <c r="H70" s="74" t="s">
        <v>327</v>
      </c>
      <c r="I70" s="74"/>
      <c r="J70" s="74"/>
      <c r="K70" s="74"/>
      <c r="L70" s="74"/>
      <c r="M70" s="74" t="s">
        <v>329</v>
      </c>
      <c r="N70" s="38" t="str">
        <f>IF(OR(A70="Автомат",A70="Дифавтомат"),IF(W70="","",COUNTIFS(Однолинейка!$H$3:$H$3000,U70,Однолинейка!$A$3:$A$3000,Щит_спец)),IF(A70="Аппарат",IF(C70="","",COUNTIFS(Однолинейка!$I$3:$I$3000,C70,Однолинейка!$A$3:$A$3000,Щит_спец)+COUNTIFS(Однолинейка!$J$3:$J$3000,C70,Однолинейка!$A$3:$A$3000,Щит_спец)+COUNTIFS(Однолинейка!$K$3:$K$3000,C70,Однолинейка!$A$3:$A$3000,Щит_спец)),IF(A70="Модуль",IF(C70="","",COUNTIFS(Однолинейка!$AW$3:$AW$3000,"?*",Однолинейка!$AI$3:$AI$3000,C70,Однолинейка!$A$3:$A$3000,Щит_спец)),IF(A70="Клемма",IF(C70="","",IF(C70=$S$7,SUMIFS(Однолинейка!$BW$3:$BW$3000,Однолинейка!$A$3:$A$3000,Щит_спец),IF(C70=$S$8,SUMIFS(Однолинейка!$BX$3:$BX$3000,Однолинейка!$A$3:$A$3000,Щит_спец),""))),""))))</f>
        <v/>
      </c>
      <c r="O70" s="74"/>
      <c r="P70" s="38" t="str">
        <f t="shared" si="9"/>
        <v/>
      </c>
      <c r="U70" s="38" t="str">
        <f t="shared" si="10"/>
        <v/>
      </c>
      <c r="V70" s="38" t="str">
        <f t="shared" si="11"/>
        <v/>
      </c>
      <c r="W70" s="38" t="str">
        <f>IF(AND(U70&lt;&gt;"",OR($S$4="(все)",B70=$S$4),IF($S$4="(все)",COUNTIF($U$4:U70,U70),COUNTIFS($U$4:U70,U70,$B$4:B70,B70))=1),MAX($W$3:W69)+1,"")</f>
        <v/>
      </c>
      <c r="X70" s="38" t="str">
        <f t="shared" si="12"/>
        <v/>
      </c>
      <c r="Y70" s="38" t="str">
        <f>IF(AND(A70="Аппарат",C70&lt;&gt;"",OR($S$5="(все)",B70=$S$5)),MAX($Y$3:Y69)+1,"")</f>
        <v/>
      </c>
      <c r="Z70" s="38" t="str">
        <f t="shared" si="13"/>
        <v/>
      </c>
      <c r="AA70" s="38" t="str">
        <f>IF(AND(A70="Модуль",C70&lt;&gt;"",OR($S$6="(все)",B70=$S$6)),MAX($AA$3:AA69)+1,"")</f>
        <v/>
      </c>
      <c r="AB70" s="38" t="str">
        <f t="shared" si="14"/>
        <v/>
      </c>
      <c r="AC70" s="38" t="str">
        <f>IF(OR(B70="",COUNTIF($B$4:B70,B70)&gt;1),"",MAX($AC$3:AC69)+1)</f>
        <v/>
      </c>
      <c r="AD70" s="38" t="str">
        <f t="shared" si="15"/>
        <v/>
      </c>
      <c r="AE70" s="38" t="str">
        <f t="shared" si="16"/>
        <v/>
      </c>
      <c r="AF70" s="38" t="str">
        <f t="shared" si="17"/>
        <v/>
      </c>
    </row>
    <row r="71" spans="1:32" x14ac:dyDescent="0.3">
      <c r="A71" s="74" t="s">
        <v>713</v>
      </c>
      <c r="B71" s="74" t="s">
        <v>328</v>
      </c>
      <c r="C71" s="74" t="s">
        <v>327</v>
      </c>
      <c r="D71" s="74"/>
      <c r="E71" s="74"/>
      <c r="F71" s="74"/>
      <c r="G71" s="74" t="s">
        <v>332</v>
      </c>
      <c r="H71" s="74" t="s">
        <v>327</v>
      </c>
      <c r="I71" s="74"/>
      <c r="J71" s="74"/>
      <c r="K71" s="74"/>
      <c r="L71" s="74"/>
      <c r="M71" s="74" t="s">
        <v>329</v>
      </c>
      <c r="N71" s="38" t="str">
        <f>IF(OR(A71="Автомат",A71="Дифавтомат"),IF(W71="","",COUNTIFS(Однолинейка!$H$3:$H$3000,U71,Однолинейка!$A$3:$A$3000,Щит_спец)),IF(A71="Аппарат",IF(C71="","",COUNTIFS(Однолинейка!$I$3:$I$3000,C71,Однолинейка!$A$3:$A$3000,Щит_спец)+COUNTIFS(Однолинейка!$J$3:$J$3000,C71,Однолинейка!$A$3:$A$3000,Щит_спец)+COUNTIFS(Однолинейка!$K$3:$K$3000,C71,Однолинейка!$A$3:$A$3000,Щит_спец)),IF(A71="Модуль",IF(C71="","",COUNTIFS(Однолинейка!$AW$3:$AW$3000,"?*",Однолинейка!$AI$3:$AI$3000,C71,Однолинейка!$A$3:$A$3000,Щит_спец)),IF(A71="Клемма",IF(C71="","",IF(C71=$S$7,SUMIFS(Однолинейка!$BW$3:$BW$3000,Однолинейка!$A$3:$A$3000,Щит_спец),IF(C71=$S$8,SUMIFS(Однолинейка!$BX$3:$BX$3000,Однолинейка!$A$3:$A$3000,Щит_спец),""))),""))))</f>
        <v/>
      </c>
      <c r="O71" s="74"/>
      <c r="P71" s="38" t="str">
        <f t="shared" si="9"/>
        <v/>
      </c>
      <c r="U71" s="38" t="str">
        <f t="shared" si="10"/>
        <v/>
      </c>
      <c r="V71" s="38" t="str">
        <f t="shared" si="11"/>
        <v/>
      </c>
      <c r="W71" s="38" t="str">
        <f>IF(AND(U71&lt;&gt;"",OR($S$4="(все)",B71=$S$4),IF($S$4="(все)",COUNTIF($U$4:U71,U71),COUNTIFS($U$4:U71,U71,$B$4:B71,B71))=1),MAX($W$3:W70)+1,"")</f>
        <v/>
      </c>
      <c r="X71" s="38" t="str">
        <f t="shared" si="12"/>
        <v/>
      </c>
      <c r="Y71" s="38" t="str">
        <f>IF(AND(A71="Аппарат",C71&lt;&gt;"",OR($S$5="(все)",B71=$S$5)),MAX($Y$3:Y70)+1,"")</f>
        <v/>
      </c>
      <c r="Z71" s="38" t="str">
        <f t="shared" si="13"/>
        <v/>
      </c>
      <c r="AA71" s="38" t="str">
        <f>IF(AND(A71="Модуль",C71&lt;&gt;"",OR($S$6="(все)",B71=$S$6)),MAX($AA$3:AA70)+1,"")</f>
        <v/>
      </c>
      <c r="AB71" s="38" t="str">
        <f t="shared" si="14"/>
        <v/>
      </c>
      <c r="AC71" s="38" t="str">
        <f>IF(OR(B71="",COUNTIF($B$4:B71,B71)&gt;1),"",MAX($AC$3:AC70)+1)</f>
        <v/>
      </c>
      <c r="AD71" s="38" t="str">
        <f t="shared" si="15"/>
        <v/>
      </c>
      <c r="AE71" s="38" t="str">
        <f t="shared" si="16"/>
        <v/>
      </c>
      <c r="AF71" s="38" t="str">
        <f t="shared" si="17"/>
        <v/>
      </c>
    </row>
    <row r="72" spans="1:32" x14ac:dyDescent="0.3">
      <c r="A72" s="74" t="s">
        <v>713</v>
      </c>
      <c r="B72" s="74" t="s">
        <v>328</v>
      </c>
      <c r="C72" s="74" t="s">
        <v>327</v>
      </c>
      <c r="D72" s="74"/>
      <c r="E72" s="74"/>
      <c r="F72" s="74"/>
      <c r="G72" s="74" t="s">
        <v>374</v>
      </c>
      <c r="H72" s="74" t="s">
        <v>327</v>
      </c>
      <c r="I72" s="74"/>
      <c r="J72" s="74"/>
      <c r="K72" s="74"/>
      <c r="L72" s="74"/>
      <c r="M72" s="74" t="s">
        <v>329</v>
      </c>
      <c r="N72" s="38" t="str">
        <f>IF(OR(A72="Автомат",A72="Дифавтомат"),IF(W72="","",COUNTIFS(Однолинейка!$H$3:$H$3000,U72,Однолинейка!$A$3:$A$3000,Щит_спец)),IF(A72="Аппарат",IF(C72="","",COUNTIFS(Однолинейка!$I$3:$I$3000,C72,Однолинейка!$A$3:$A$3000,Щит_спец)+COUNTIFS(Однолинейка!$J$3:$J$3000,C72,Однолинейка!$A$3:$A$3000,Щит_спец)+COUNTIFS(Однолинейка!$K$3:$K$3000,C72,Однолинейка!$A$3:$A$3000,Щит_спец)),IF(A72="Модуль",IF(C72="","",COUNTIFS(Однолинейка!$AW$3:$AW$3000,"?*",Однолинейка!$AI$3:$AI$3000,C72,Однолинейка!$A$3:$A$3000,Щит_спец)),IF(A72="Клемма",IF(C72="","",IF(C72=$S$7,SUMIFS(Однолинейка!$BW$3:$BW$3000,Однолинейка!$A$3:$A$3000,Щит_спец),IF(C72=$S$8,SUMIFS(Однолинейка!$BX$3:$BX$3000,Однолинейка!$A$3:$A$3000,Щит_спец),""))),""))))</f>
        <v/>
      </c>
      <c r="O72" s="74"/>
      <c r="P72" s="38" t="str">
        <f t="shared" si="9"/>
        <v/>
      </c>
      <c r="U72" s="38" t="str">
        <f t="shared" si="10"/>
        <v/>
      </c>
      <c r="V72" s="38" t="str">
        <f t="shared" si="11"/>
        <v/>
      </c>
      <c r="W72" s="38" t="str">
        <f>IF(AND(U72&lt;&gt;"",OR($S$4="(все)",B72=$S$4),IF($S$4="(все)",COUNTIF($U$4:U72,U72),COUNTIFS($U$4:U72,U72,$B$4:B72,B72))=1),MAX($W$3:W71)+1,"")</f>
        <v/>
      </c>
      <c r="X72" s="38" t="str">
        <f t="shared" si="12"/>
        <v/>
      </c>
      <c r="Y72" s="38" t="str">
        <f>IF(AND(A72="Аппарат",C72&lt;&gt;"",OR($S$5="(все)",B72=$S$5)),MAX($Y$3:Y71)+1,"")</f>
        <v/>
      </c>
      <c r="Z72" s="38" t="str">
        <f t="shared" si="13"/>
        <v/>
      </c>
      <c r="AA72" s="38" t="str">
        <f>IF(AND(A72="Модуль",C72&lt;&gt;"",OR($S$6="(все)",B72=$S$6)),MAX($AA$3:AA71)+1,"")</f>
        <v/>
      </c>
      <c r="AB72" s="38" t="str">
        <f t="shared" si="14"/>
        <v/>
      </c>
      <c r="AC72" s="38" t="str">
        <f>IF(OR(B72="",COUNTIF($B$4:B72,B72)&gt;1),"",MAX($AC$3:AC71)+1)</f>
        <v/>
      </c>
      <c r="AD72" s="38" t="str">
        <f t="shared" si="15"/>
        <v/>
      </c>
      <c r="AE72" s="38" t="str">
        <f t="shared" si="16"/>
        <v/>
      </c>
      <c r="AF72" s="38" t="str">
        <f t="shared" si="17"/>
        <v/>
      </c>
    </row>
    <row r="73" spans="1:32" x14ac:dyDescent="0.3">
      <c r="A73" s="74" t="s">
        <v>713</v>
      </c>
      <c r="B73" s="74" t="s">
        <v>328</v>
      </c>
      <c r="C73" s="74" t="s">
        <v>334</v>
      </c>
      <c r="D73" s="74"/>
      <c r="E73" s="74"/>
      <c r="F73" s="74"/>
      <c r="G73" s="74" t="s">
        <v>333</v>
      </c>
      <c r="H73" s="74" t="s">
        <v>334</v>
      </c>
      <c r="I73" s="74"/>
      <c r="J73" s="74"/>
      <c r="K73" s="74"/>
      <c r="L73" s="74"/>
      <c r="M73" s="74" t="s">
        <v>329</v>
      </c>
      <c r="N73" s="38" t="str">
        <f>IF(OR(A73="Автомат",A73="Дифавтомат"),IF(W73="","",COUNTIFS(Однолинейка!$H$3:$H$3000,U73,Однолинейка!$A$3:$A$3000,Щит_спец)),IF(A73="Аппарат",IF(C73="","",COUNTIFS(Однолинейка!$I$3:$I$3000,C73,Однолинейка!$A$3:$A$3000,Щит_спец)+COUNTIFS(Однолинейка!$J$3:$J$3000,C73,Однолинейка!$A$3:$A$3000,Щит_спец)+COUNTIFS(Однолинейка!$K$3:$K$3000,C73,Однолинейка!$A$3:$A$3000,Щит_спец)),IF(A73="Модуль",IF(C73="","",COUNTIFS(Однолинейка!$AW$3:$AW$3000,"?*",Однолинейка!$AI$3:$AI$3000,C73,Однолинейка!$A$3:$A$3000,Щит_спец)),IF(A73="Клемма",IF(C73="","",IF(C73=$S$7,SUMIFS(Однолинейка!$BW$3:$BW$3000,Однолинейка!$A$3:$A$3000,Щит_спец),IF(C73=$S$8,SUMIFS(Однолинейка!$BX$3:$BX$3000,Однолинейка!$A$3:$A$3000,Щит_спец),""))),""))))</f>
        <v/>
      </c>
      <c r="O73" s="74"/>
      <c r="P73" s="38" t="str">
        <f t="shared" si="9"/>
        <v/>
      </c>
      <c r="U73" s="38" t="str">
        <f t="shared" si="10"/>
        <v/>
      </c>
      <c r="V73" s="38" t="str">
        <f t="shared" si="11"/>
        <v/>
      </c>
      <c r="W73" s="38" t="str">
        <f>IF(AND(U73&lt;&gt;"",OR($S$4="(все)",B73=$S$4),IF($S$4="(все)",COUNTIF($U$4:U73,U73),COUNTIFS($U$4:U73,U73,$B$4:B73,B73))=1),MAX($W$3:W72)+1,"")</f>
        <v/>
      </c>
      <c r="X73" s="38" t="str">
        <f t="shared" si="12"/>
        <v/>
      </c>
      <c r="Y73" s="38" t="str">
        <f>IF(AND(A73="Аппарат",C73&lt;&gt;"",OR($S$5="(все)",B73=$S$5)),MAX($Y$3:Y72)+1,"")</f>
        <v/>
      </c>
      <c r="Z73" s="38" t="str">
        <f t="shared" si="13"/>
        <v/>
      </c>
      <c r="AA73" s="38" t="str">
        <f>IF(AND(A73="Модуль",C73&lt;&gt;"",OR($S$6="(все)",B73=$S$6)),MAX($AA$3:AA72)+1,"")</f>
        <v/>
      </c>
      <c r="AB73" s="38" t="str">
        <f t="shared" si="14"/>
        <v/>
      </c>
      <c r="AC73" s="38" t="str">
        <f>IF(OR(B73="",COUNTIF($B$4:B73,B73)&gt;1),"",MAX($AC$3:AC72)+1)</f>
        <v/>
      </c>
      <c r="AD73" s="38" t="str">
        <f t="shared" si="15"/>
        <v/>
      </c>
      <c r="AE73" s="38" t="str">
        <f t="shared" si="16"/>
        <v/>
      </c>
      <c r="AF73" s="38" t="str">
        <f t="shared" si="17"/>
        <v/>
      </c>
    </row>
    <row r="74" spans="1:32" x14ac:dyDescent="0.3">
      <c r="A74" s="74" t="s">
        <v>713</v>
      </c>
      <c r="B74" s="74" t="s">
        <v>328</v>
      </c>
      <c r="C74" s="74" t="s">
        <v>334</v>
      </c>
      <c r="D74" s="74"/>
      <c r="E74" s="74"/>
      <c r="F74" s="74"/>
      <c r="G74" s="74" t="s">
        <v>335</v>
      </c>
      <c r="H74" s="74" t="s">
        <v>334</v>
      </c>
      <c r="I74" s="74"/>
      <c r="J74" s="74"/>
      <c r="K74" s="74"/>
      <c r="L74" s="74"/>
      <c r="M74" s="74" t="s">
        <v>329</v>
      </c>
      <c r="N74" s="38" t="str">
        <f>IF(OR(A74="Автомат",A74="Дифавтомат"),IF(W74="","",COUNTIFS(Однолинейка!$H$3:$H$3000,U74,Однолинейка!$A$3:$A$3000,Щит_спец)),IF(A74="Аппарат",IF(C74="","",COUNTIFS(Однолинейка!$I$3:$I$3000,C74,Однолинейка!$A$3:$A$3000,Щит_спец)+COUNTIFS(Однолинейка!$J$3:$J$3000,C74,Однолинейка!$A$3:$A$3000,Щит_спец)+COUNTIFS(Однолинейка!$K$3:$K$3000,C74,Однолинейка!$A$3:$A$3000,Щит_спец)),IF(A74="Модуль",IF(C74="","",COUNTIFS(Однолинейка!$AW$3:$AW$3000,"?*",Однолинейка!$AI$3:$AI$3000,C74,Однолинейка!$A$3:$A$3000,Щит_спец)),IF(A74="Клемма",IF(C74="","",IF(C74=$S$7,SUMIFS(Однолинейка!$BW$3:$BW$3000,Однолинейка!$A$3:$A$3000,Щит_спец),IF(C74=$S$8,SUMIFS(Однолинейка!$BX$3:$BX$3000,Однолинейка!$A$3:$A$3000,Щит_спец),""))),""))))</f>
        <v/>
      </c>
      <c r="O74" s="74"/>
      <c r="P74" s="38" t="str">
        <f t="shared" si="9"/>
        <v/>
      </c>
      <c r="U74" s="38" t="str">
        <f t="shared" si="10"/>
        <v/>
      </c>
      <c r="V74" s="38" t="str">
        <f t="shared" si="11"/>
        <v/>
      </c>
      <c r="W74" s="38" t="str">
        <f>IF(AND(U74&lt;&gt;"",OR($S$4="(все)",B74=$S$4),IF($S$4="(все)",COUNTIF($U$4:U74,U74),COUNTIFS($U$4:U74,U74,$B$4:B74,B74))=1),MAX($W$3:W73)+1,"")</f>
        <v/>
      </c>
      <c r="X74" s="38" t="str">
        <f t="shared" si="12"/>
        <v/>
      </c>
      <c r="Y74" s="38" t="str">
        <f>IF(AND(A74="Аппарат",C74&lt;&gt;"",OR($S$5="(все)",B74=$S$5)),MAX($Y$3:Y73)+1,"")</f>
        <v/>
      </c>
      <c r="Z74" s="38" t="str">
        <f t="shared" si="13"/>
        <v/>
      </c>
      <c r="AA74" s="38" t="str">
        <f>IF(AND(A74="Модуль",C74&lt;&gt;"",OR($S$6="(все)",B74=$S$6)),MAX($AA$3:AA73)+1,"")</f>
        <v/>
      </c>
      <c r="AB74" s="38" t="str">
        <f t="shared" si="14"/>
        <v/>
      </c>
      <c r="AC74" s="38" t="str">
        <f>IF(OR(B74="",COUNTIF($B$4:B74,B74)&gt;1),"",MAX($AC$3:AC73)+1)</f>
        <v/>
      </c>
      <c r="AD74" s="38" t="str">
        <f t="shared" si="15"/>
        <v/>
      </c>
      <c r="AE74" s="38" t="str">
        <f t="shared" si="16"/>
        <v/>
      </c>
      <c r="AF74" s="38" t="str">
        <f t="shared" si="17"/>
        <v/>
      </c>
    </row>
    <row r="75" spans="1:32" x14ac:dyDescent="0.3">
      <c r="A75" s="74" t="s">
        <v>713</v>
      </c>
      <c r="B75" s="74" t="s">
        <v>328</v>
      </c>
      <c r="C75" s="74" t="s">
        <v>334</v>
      </c>
      <c r="D75" s="74"/>
      <c r="E75" s="74"/>
      <c r="F75" s="74"/>
      <c r="G75" s="74" t="s">
        <v>336</v>
      </c>
      <c r="H75" s="74" t="s">
        <v>334</v>
      </c>
      <c r="I75" s="74"/>
      <c r="J75" s="74"/>
      <c r="K75" s="74"/>
      <c r="L75" s="74"/>
      <c r="M75" s="74" t="s">
        <v>329</v>
      </c>
      <c r="N75" s="38" t="str">
        <f>IF(OR(A75="Автомат",A75="Дифавтомат"),IF(W75="","",COUNTIFS(Однолинейка!$H$3:$H$3000,U75,Однолинейка!$A$3:$A$3000,Щит_спец)),IF(A75="Аппарат",IF(C75="","",COUNTIFS(Однолинейка!$I$3:$I$3000,C75,Однолинейка!$A$3:$A$3000,Щит_спец)+COUNTIFS(Однолинейка!$J$3:$J$3000,C75,Однолинейка!$A$3:$A$3000,Щит_спец)+COUNTIFS(Однолинейка!$K$3:$K$3000,C75,Однолинейка!$A$3:$A$3000,Щит_спец)),IF(A75="Модуль",IF(C75="","",COUNTIFS(Однолинейка!$AW$3:$AW$3000,"?*",Однолинейка!$AI$3:$AI$3000,C75,Однолинейка!$A$3:$A$3000,Щит_спец)),IF(A75="Клемма",IF(C75="","",IF(C75=$S$7,SUMIFS(Однолинейка!$BW$3:$BW$3000,Однолинейка!$A$3:$A$3000,Щит_спец),IF(C75=$S$8,SUMIFS(Однолинейка!$BX$3:$BX$3000,Однолинейка!$A$3:$A$3000,Щит_спец),""))),""))))</f>
        <v/>
      </c>
      <c r="O75" s="74"/>
      <c r="P75" s="38" t="str">
        <f t="shared" si="9"/>
        <v/>
      </c>
      <c r="U75" s="38" t="str">
        <f t="shared" si="10"/>
        <v/>
      </c>
      <c r="V75" s="38" t="str">
        <f t="shared" si="11"/>
        <v/>
      </c>
      <c r="W75" s="38" t="str">
        <f>IF(AND(U75&lt;&gt;"",OR($S$4="(все)",B75=$S$4),IF($S$4="(все)",COUNTIF($U$4:U75,U75),COUNTIFS($U$4:U75,U75,$B$4:B75,B75))=1),MAX($W$3:W74)+1,"")</f>
        <v/>
      </c>
      <c r="X75" s="38" t="str">
        <f t="shared" si="12"/>
        <v/>
      </c>
      <c r="Y75" s="38" t="str">
        <f>IF(AND(A75="Аппарат",C75&lt;&gt;"",OR($S$5="(все)",B75=$S$5)),MAX($Y$3:Y74)+1,"")</f>
        <v/>
      </c>
      <c r="Z75" s="38" t="str">
        <f t="shared" si="13"/>
        <v/>
      </c>
      <c r="AA75" s="38" t="str">
        <f>IF(AND(A75="Модуль",C75&lt;&gt;"",OR($S$6="(все)",B75=$S$6)),MAX($AA$3:AA74)+1,"")</f>
        <v/>
      </c>
      <c r="AB75" s="38" t="str">
        <f t="shared" si="14"/>
        <v/>
      </c>
      <c r="AC75" s="38" t="str">
        <f>IF(OR(B75="",COUNTIF($B$4:B75,B75)&gt;1),"",MAX($AC$3:AC74)+1)</f>
        <v/>
      </c>
      <c r="AD75" s="38" t="str">
        <f t="shared" si="15"/>
        <v/>
      </c>
      <c r="AE75" s="38" t="str">
        <f t="shared" si="16"/>
        <v/>
      </c>
      <c r="AF75" s="38" t="str">
        <f t="shared" si="17"/>
        <v/>
      </c>
    </row>
    <row r="76" spans="1:32" x14ac:dyDescent="0.3">
      <c r="A76" s="74" t="s">
        <v>713</v>
      </c>
      <c r="B76" s="74" t="s">
        <v>328</v>
      </c>
      <c r="C76" s="74" t="s">
        <v>334</v>
      </c>
      <c r="D76" s="74"/>
      <c r="E76" s="74"/>
      <c r="F76" s="74"/>
      <c r="G76" s="74" t="s">
        <v>337</v>
      </c>
      <c r="H76" s="74" t="s">
        <v>334</v>
      </c>
      <c r="I76" s="74"/>
      <c r="J76" s="74"/>
      <c r="K76" s="74"/>
      <c r="L76" s="74"/>
      <c r="M76" s="74" t="s">
        <v>329</v>
      </c>
      <c r="N76" s="38" t="str">
        <f>IF(OR(A76="Автомат",A76="Дифавтомат"),IF(W76="","",COUNTIFS(Однолинейка!$H$3:$H$3000,U76,Однолинейка!$A$3:$A$3000,Щит_спец)),IF(A76="Аппарат",IF(C76="","",COUNTIFS(Однолинейка!$I$3:$I$3000,C76,Однолинейка!$A$3:$A$3000,Щит_спец)+COUNTIFS(Однолинейка!$J$3:$J$3000,C76,Однолинейка!$A$3:$A$3000,Щит_спец)+COUNTIFS(Однолинейка!$K$3:$K$3000,C76,Однолинейка!$A$3:$A$3000,Щит_спец)),IF(A76="Модуль",IF(C76="","",COUNTIFS(Однолинейка!$AW$3:$AW$3000,"?*",Однолинейка!$AI$3:$AI$3000,C76,Однолинейка!$A$3:$A$3000,Щит_спец)),IF(A76="Клемма",IF(C76="","",IF(C76=$S$7,SUMIFS(Однолинейка!$BW$3:$BW$3000,Однолинейка!$A$3:$A$3000,Щит_спец),IF(C76=$S$8,SUMIFS(Однолинейка!$BX$3:$BX$3000,Однолинейка!$A$3:$A$3000,Щит_спец),""))),""))))</f>
        <v/>
      </c>
      <c r="O76" s="74"/>
      <c r="P76" s="38" t="str">
        <f t="shared" si="9"/>
        <v/>
      </c>
      <c r="U76" s="38" t="str">
        <f t="shared" si="10"/>
        <v/>
      </c>
      <c r="V76" s="38" t="str">
        <f t="shared" si="11"/>
        <v/>
      </c>
      <c r="W76" s="38" t="str">
        <f>IF(AND(U76&lt;&gt;"",OR($S$4="(все)",B76=$S$4),IF($S$4="(все)",COUNTIF($U$4:U76,U76),COUNTIFS($U$4:U76,U76,$B$4:B76,B76))=1),MAX($W$3:W75)+1,"")</f>
        <v/>
      </c>
      <c r="X76" s="38" t="str">
        <f t="shared" si="12"/>
        <v/>
      </c>
      <c r="Y76" s="38" t="str">
        <f>IF(AND(A76="Аппарат",C76&lt;&gt;"",OR($S$5="(все)",B76=$S$5)),MAX($Y$3:Y75)+1,"")</f>
        <v/>
      </c>
      <c r="Z76" s="38" t="str">
        <f t="shared" si="13"/>
        <v/>
      </c>
      <c r="AA76" s="38" t="str">
        <f>IF(AND(A76="Модуль",C76&lt;&gt;"",OR($S$6="(все)",B76=$S$6)),MAX($AA$3:AA75)+1,"")</f>
        <v/>
      </c>
      <c r="AB76" s="38" t="str">
        <f t="shared" si="14"/>
        <v/>
      </c>
      <c r="AC76" s="38" t="str">
        <f>IF(OR(B76="",COUNTIF($B$4:B76,B76)&gt;1),"",MAX($AC$3:AC75)+1)</f>
        <v/>
      </c>
      <c r="AD76" s="38" t="str">
        <f t="shared" si="15"/>
        <v/>
      </c>
      <c r="AE76" s="38" t="str">
        <f t="shared" si="16"/>
        <v/>
      </c>
      <c r="AF76" s="38" t="str">
        <f t="shared" si="17"/>
        <v/>
      </c>
    </row>
    <row r="77" spans="1:32" x14ac:dyDescent="0.3">
      <c r="A77" s="74" t="s">
        <v>713</v>
      </c>
      <c r="B77" s="74" t="s">
        <v>328</v>
      </c>
      <c r="C77" s="74" t="s">
        <v>334</v>
      </c>
      <c r="D77" s="74"/>
      <c r="E77" s="74"/>
      <c r="F77" s="74"/>
      <c r="G77" s="74" t="s">
        <v>375</v>
      </c>
      <c r="H77" s="74" t="s">
        <v>334</v>
      </c>
      <c r="I77" s="74"/>
      <c r="J77" s="74"/>
      <c r="K77" s="74"/>
      <c r="L77" s="74"/>
      <c r="M77" s="74" t="s">
        <v>329</v>
      </c>
      <c r="N77" s="38" t="str">
        <f>IF(OR(A77="Автомат",A77="Дифавтомат"),IF(W77="","",COUNTIFS(Однолинейка!$H$3:$H$3000,U77,Однолинейка!$A$3:$A$3000,Щит_спец)),IF(A77="Аппарат",IF(C77="","",COUNTIFS(Однолинейка!$I$3:$I$3000,C77,Однолинейка!$A$3:$A$3000,Щит_спец)+COUNTIFS(Однолинейка!$J$3:$J$3000,C77,Однолинейка!$A$3:$A$3000,Щит_спец)+COUNTIFS(Однолинейка!$K$3:$K$3000,C77,Однолинейка!$A$3:$A$3000,Щит_спец)),IF(A77="Модуль",IF(C77="","",COUNTIFS(Однолинейка!$AW$3:$AW$3000,"?*",Однолинейка!$AI$3:$AI$3000,C77,Однолинейка!$A$3:$A$3000,Щит_спец)),IF(A77="Клемма",IF(C77="","",IF(C77=$S$7,SUMIFS(Однолинейка!$BW$3:$BW$3000,Однолинейка!$A$3:$A$3000,Щит_спец),IF(C77=$S$8,SUMIFS(Однолинейка!$BX$3:$BX$3000,Однолинейка!$A$3:$A$3000,Щит_спец),""))),""))))</f>
        <v/>
      </c>
      <c r="O77" s="74"/>
      <c r="P77" s="38" t="str">
        <f t="shared" si="9"/>
        <v/>
      </c>
      <c r="U77" s="38" t="str">
        <f t="shared" si="10"/>
        <v/>
      </c>
      <c r="V77" s="38" t="str">
        <f t="shared" si="11"/>
        <v/>
      </c>
      <c r="W77" s="38" t="str">
        <f>IF(AND(U77&lt;&gt;"",OR($S$4="(все)",B77=$S$4),IF($S$4="(все)",COUNTIF($U$4:U77,U77),COUNTIFS($U$4:U77,U77,$B$4:B77,B77))=1),MAX($W$3:W76)+1,"")</f>
        <v/>
      </c>
      <c r="X77" s="38" t="str">
        <f t="shared" si="12"/>
        <v/>
      </c>
      <c r="Y77" s="38" t="str">
        <f>IF(AND(A77="Аппарат",C77&lt;&gt;"",OR($S$5="(все)",B77=$S$5)),MAX($Y$3:Y76)+1,"")</f>
        <v/>
      </c>
      <c r="Z77" s="38" t="str">
        <f t="shared" si="13"/>
        <v/>
      </c>
      <c r="AA77" s="38" t="str">
        <f>IF(AND(A77="Модуль",C77&lt;&gt;"",OR($S$6="(все)",B77=$S$6)),MAX($AA$3:AA76)+1,"")</f>
        <v/>
      </c>
      <c r="AB77" s="38" t="str">
        <f t="shared" si="14"/>
        <v/>
      </c>
      <c r="AC77" s="38" t="str">
        <f>IF(OR(B77="",COUNTIF($B$4:B77,B77)&gt;1),"",MAX($AC$3:AC76)+1)</f>
        <v/>
      </c>
      <c r="AD77" s="38" t="str">
        <f t="shared" si="15"/>
        <v/>
      </c>
      <c r="AE77" s="38" t="str">
        <f t="shared" si="16"/>
        <v/>
      </c>
      <c r="AF77" s="38" t="str">
        <f t="shared" si="17"/>
        <v/>
      </c>
    </row>
    <row r="78" spans="1:32" x14ac:dyDescent="0.3">
      <c r="A78" s="74" t="s">
        <v>713</v>
      </c>
      <c r="B78" s="74" t="s">
        <v>328</v>
      </c>
      <c r="C78" s="74" t="s">
        <v>339</v>
      </c>
      <c r="D78" s="74"/>
      <c r="E78" s="74"/>
      <c r="F78" s="74"/>
      <c r="G78" s="74" t="s">
        <v>338</v>
      </c>
      <c r="H78" s="74" t="s">
        <v>339</v>
      </c>
      <c r="I78" s="74"/>
      <c r="J78" s="74"/>
      <c r="K78" s="74"/>
      <c r="L78" s="74"/>
      <c r="M78" s="74" t="s">
        <v>329</v>
      </c>
      <c r="N78" s="38" t="str">
        <f>IF(OR(A78="Автомат",A78="Дифавтомат"),IF(W78="","",COUNTIFS(Однолинейка!$H$3:$H$3000,U78,Однолинейка!$A$3:$A$3000,Щит_спец)),IF(A78="Аппарат",IF(C78="","",COUNTIFS(Однолинейка!$I$3:$I$3000,C78,Однолинейка!$A$3:$A$3000,Щит_спец)+COUNTIFS(Однолинейка!$J$3:$J$3000,C78,Однолинейка!$A$3:$A$3000,Щит_спец)+COUNTIFS(Однолинейка!$K$3:$K$3000,C78,Однолинейка!$A$3:$A$3000,Щит_спец)),IF(A78="Модуль",IF(C78="","",COUNTIFS(Однолинейка!$AW$3:$AW$3000,"?*",Однолинейка!$AI$3:$AI$3000,C78,Однолинейка!$A$3:$A$3000,Щит_спец)),IF(A78="Клемма",IF(C78="","",IF(C78=$S$7,SUMIFS(Однолинейка!$BW$3:$BW$3000,Однолинейка!$A$3:$A$3000,Щит_спец),IF(C78=$S$8,SUMIFS(Однолинейка!$BX$3:$BX$3000,Однолинейка!$A$3:$A$3000,Щит_спец),""))),""))))</f>
        <v/>
      </c>
      <c r="O78" s="74"/>
      <c r="P78" s="38" t="str">
        <f t="shared" si="9"/>
        <v/>
      </c>
      <c r="U78" s="38" t="str">
        <f t="shared" si="10"/>
        <v/>
      </c>
      <c r="V78" s="38" t="str">
        <f t="shared" si="11"/>
        <v/>
      </c>
      <c r="W78" s="38" t="str">
        <f>IF(AND(U78&lt;&gt;"",OR($S$4="(все)",B78=$S$4),IF($S$4="(все)",COUNTIF($U$4:U78,U78),COUNTIFS($U$4:U78,U78,$B$4:B78,B78))=1),MAX($W$3:W77)+1,"")</f>
        <v/>
      </c>
      <c r="X78" s="38" t="str">
        <f t="shared" si="12"/>
        <v/>
      </c>
      <c r="Y78" s="38" t="str">
        <f>IF(AND(A78="Аппарат",C78&lt;&gt;"",OR($S$5="(все)",B78=$S$5)),MAX($Y$3:Y77)+1,"")</f>
        <v/>
      </c>
      <c r="Z78" s="38" t="str">
        <f t="shared" si="13"/>
        <v/>
      </c>
      <c r="AA78" s="38" t="str">
        <f>IF(AND(A78="Модуль",C78&lt;&gt;"",OR($S$6="(все)",B78=$S$6)),MAX($AA$3:AA77)+1,"")</f>
        <v/>
      </c>
      <c r="AB78" s="38" t="str">
        <f t="shared" si="14"/>
        <v/>
      </c>
      <c r="AC78" s="38" t="str">
        <f>IF(OR(B78="",COUNTIF($B$4:B78,B78)&gt;1),"",MAX($AC$3:AC77)+1)</f>
        <v/>
      </c>
      <c r="AD78" s="38" t="str">
        <f t="shared" si="15"/>
        <v/>
      </c>
      <c r="AE78" s="38" t="str">
        <f t="shared" si="16"/>
        <v/>
      </c>
      <c r="AF78" s="38" t="str">
        <f t="shared" si="17"/>
        <v/>
      </c>
    </row>
    <row r="79" spans="1:32" x14ac:dyDescent="0.3">
      <c r="A79" s="74" t="s">
        <v>713</v>
      </c>
      <c r="B79" s="74" t="s">
        <v>328</v>
      </c>
      <c r="C79" s="74" t="s">
        <v>339</v>
      </c>
      <c r="D79" s="74"/>
      <c r="E79" s="74"/>
      <c r="F79" s="74"/>
      <c r="G79" s="74" t="s">
        <v>340</v>
      </c>
      <c r="H79" s="74" t="s">
        <v>339</v>
      </c>
      <c r="I79" s="74"/>
      <c r="J79" s="74"/>
      <c r="K79" s="74"/>
      <c r="L79" s="74"/>
      <c r="M79" s="74" t="s">
        <v>329</v>
      </c>
      <c r="N79" s="38" t="str">
        <f>IF(OR(A79="Автомат",A79="Дифавтомат"),IF(W79="","",COUNTIFS(Однолинейка!$H$3:$H$3000,U79,Однолинейка!$A$3:$A$3000,Щит_спец)),IF(A79="Аппарат",IF(C79="","",COUNTIFS(Однолинейка!$I$3:$I$3000,C79,Однолинейка!$A$3:$A$3000,Щит_спец)+COUNTIFS(Однолинейка!$J$3:$J$3000,C79,Однолинейка!$A$3:$A$3000,Щит_спец)+COUNTIFS(Однолинейка!$K$3:$K$3000,C79,Однолинейка!$A$3:$A$3000,Щит_спец)),IF(A79="Модуль",IF(C79="","",COUNTIFS(Однолинейка!$AW$3:$AW$3000,"?*",Однолинейка!$AI$3:$AI$3000,C79,Однолинейка!$A$3:$A$3000,Щит_спец)),IF(A79="Клемма",IF(C79="","",IF(C79=$S$7,SUMIFS(Однолинейка!$BW$3:$BW$3000,Однолинейка!$A$3:$A$3000,Щит_спец),IF(C79=$S$8,SUMIFS(Однолинейка!$BX$3:$BX$3000,Однолинейка!$A$3:$A$3000,Щит_спец),""))),""))))</f>
        <v/>
      </c>
      <c r="O79" s="74"/>
      <c r="P79" s="38" t="str">
        <f t="shared" si="9"/>
        <v/>
      </c>
      <c r="U79" s="38" t="str">
        <f t="shared" si="10"/>
        <v/>
      </c>
      <c r="V79" s="38" t="str">
        <f t="shared" si="11"/>
        <v/>
      </c>
      <c r="W79" s="38" t="str">
        <f>IF(AND(U79&lt;&gt;"",OR($S$4="(все)",B79=$S$4),IF($S$4="(все)",COUNTIF($U$4:U79,U79),COUNTIFS($U$4:U79,U79,$B$4:B79,B79))=1),MAX($W$3:W78)+1,"")</f>
        <v/>
      </c>
      <c r="X79" s="38" t="str">
        <f t="shared" si="12"/>
        <v/>
      </c>
      <c r="Y79" s="38" t="str">
        <f>IF(AND(A79="Аппарат",C79&lt;&gt;"",OR($S$5="(все)",B79=$S$5)),MAX($Y$3:Y78)+1,"")</f>
        <v/>
      </c>
      <c r="Z79" s="38" t="str">
        <f t="shared" si="13"/>
        <v/>
      </c>
      <c r="AA79" s="38" t="str">
        <f>IF(AND(A79="Модуль",C79&lt;&gt;"",OR($S$6="(все)",B79=$S$6)),MAX($AA$3:AA78)+1,"")</f>
        <v/>
      </c>
      <c r="AB79" s="38" t="str">
        <f t="shared" si="14"/>
        <v/>
      </c>
      <c r="AC79" s="38" t="str">
        <f>IF(OR(B79="",COUNTIF($B$4:B79,B79)&gt;1),"",MAX($AC$3:AC78)+1)</f>
        <v/>
      </c>
      <c r="AD79" s="38" t="str">
        <f t="shared" si="15"/>
        <v/>
      </c>
      <c r="AE79" s="38" t="str">
        <f t="shared" si="16"/>
        <v/>
      </c>
      <c r="AF79" s="38" t="str">
        <f t="shared" si="17"/>
        <v/>
      </c>
    </row>
    <row r="80" spans="1:32" x14ac:dyDescent="0.3">
      <c r="A80" s="74" t="s">
        <v>713</v>
      </c>
      <c r="B80" s="74" t="s">
        <v>328</v>
      </c>
      <c r="C80" s="74" t="s">
        <v>339</v>
      </c>
      <c r="D80" s="74"/>
      <c r="E80" s="74"/>
      <c r="F80" s="74"/>
      <c r="G80" s="74" t="s">
        <v>341</v>
      </c>
      <c r="H80" s="74" t="s">
        <v>339</v>
      </c>
      <c r="I80" s="74"/>
      <c r="J80" s="74"/>
      <c r="K80" s="74"/>
      <c r="L80" s="74"/>
      <c r="M80" s="74" t="s">
        <v>329</v>
      </c>
      <c r="N80" s="38" t="str">
        <f>IF(OR(A80="Автомат",A80="Дифавтомат"),IF(W80="","",COUNTIFS(Однолинейка!$H$3:$H$3000,U80,Однолинейка!$A$3:$A$3000,Щит_спец)),IF(A80="Аппарат",IF(C80="","",COUNTIFS(Однолинейка!$I$3:$I$3000,C80,Однолинейка!$A$3:$A$3000,Щит_спец)+COUNTIFS(Однолинейка!$J$3:$J$3000,C80,Однолинейка!$A$3:$A$3000,Щит_спец)+COUNTIFS(Однолинейка!$K$3:$K$3000,C80,Однолинейка!$A$3:$A$3000,Щит_спец)),IF(A80="Модуль",IF(C80="","",COUNTIFS(Однолинейка!$AW$3:$AW$3000,"?*",Однолинейка!$AI$3:$AI$3000,C80,Однолинейка!$A$3:$A$3000,Щит_спец)),IF(A80="Клемма",IF(C80="","",IF(C80=$S$7,SUMIFS(Однолинейка!$BW$3:$BW$3000,Однолинейка!$A$3:$A$3000,Щит_спец),IF(C80=$S$8,SUMIFS(Однолинейка!$BX$3:$BX$3000,Однолинейка!$A$3:$A$3000,Щит_спец),""))),""))))</f>
        <v/>
      </c>
      <c r="O80" s="74"/>
      <c r="P80" s="38" t="str">
        <f t="shared" si="9"/>
        <v/>
      </c>
      <c r="U80" s="38" t="str">
        <f t="shared" si="10"/>
        <v/>
      </c>
      <c r="V80" s="38" t="str">
        <f t="shared" si="11"/>
        <v/>
      </c>
      <c r="W80" s="38" t="str">
        <f>IF(AND(U80&lt;&gt;"",OR($S$4="(все)",B80=$S$4),IF($S$4="(все)",COUNTIF($U$4:U80,U80),COUNTIFS($U$4:U80,U80,$B$4:B80,B80))=1),MAX($W$3:W79)+1,"")</f>
        <v/>
      </c>
      <c r="X80" s="38" t="str">
        <f t="shared" si="12"/>
        <v/>
      </c>
      <c r="Y80" s="38" t="str">
        <f>IF(AND(A80="Аппарат",C80&lt;&gt;"",OR($S$5="(все)",B80=$S$5)),MAX($Y$3:Y79)+1,"")</f>
        <v/>
      </c>
      <c r="Z80" s="38" t="str">
        <f t="shared" si="13"/>
        <v/>
      </c>
      <c r="AA80" s="38" t="str">
        <f>IF(AND(A80="Модуль",C80&lt;&gt;"",OR($S$6="(все)",B80=$S$6)),MAX($AA$3:AA79)+1,"")</f>
        <v/>
      </c>
      <c r="AB80" s="38" t="str">
        <f t="shared" si="14"/>
        <v/>
      </c>
      <c r="AC80" s="38" t="str">
        <f>IF(OR(B80="",COUNTIF($B$4:B80,B80)&gt;1),"",MAX($AC$3:AC79)+1)</f>
        <v/>
      </c>
      <c r="AD80" s="38" t="str">
        <f t="shared" si="15"/>
        <v/>
      </c>
      <c r="AE80" s="38" t="str">
        <f t="shared" si="16"/>
        <v/>
      </c>
      <c r="AF80" s="38" t="str">
        <f t="shared" si="17"/>
        <v/>
      </c>
    </row>
    <row r="81" spans="1:32" x14ac:dyDescent="0.3">
      <c r="A81" s="74" t="s">
        <v>713</v>
      </c>
      <c r="B81" s="74" t="s">
        <v>328</v>
      </c>
      <c r="C81" s="74" t="s">
        <v>339</v>
      </c>
      <c r="D81" s="74"/>
      <c r="E81" s="74"/>
      <c r="F81" s="74"/>
      <c r="G81" s="74" t="s">
        <v>342</v>
      </c>
      <c r="H81" s="74" t="s">
        <v>339</v>
      </c>
      <c r="I81" s="74"/>
      <c r="J81" s="74"/>
      <c r="K81" s="74"/>
      <c r="L81" s="74"/>
      <c r="M81" s="74" t="s">
        <v>329</v>
      </c>
      <c r="N81" s="38" t="str">
        <f>IF(OR(A81="Автомат",A81="Дифавтомат"),IF(W81="","",COUNTIFS(Однолинейка!$H$3:$H$3000,U81,Однолинейка!$A$3:$A$3000,Щит_спец)),IF(A81="Аппарат",IF(C81="","",COUNTIFS(Однолинейка!$I$3:$I$3000,C81,Однолинейка!$A$3:$A$3000,Щит_спец)+COUNTIFS(Однолинейка!$J$3:$J$3000,C81,Однолинейка!$A$3:$A$3000,Щит_спец)+COUNTIFS(Однолинейка!$K$3:$K$3000,C81,Однолинейка!$A$3:$A$3000,Щит_спец)),IF(A81="Модуль",IF(C81="","",COUNTIFS(Однолинейка!$AW$3:$AW$3000,"?*",Однолинейка!$AI$3:$AI$3000,C81,Однолинейка!$A$3:$A$3000,Щит_спец)),IF(A81="Клемма",IF(C81="","",IF(C81=$S$7,SUMIFS(Однолинейка!$BW$3:$BW$3000,Однолинейка!$A$3:$A$3000,Щит_спец),IF(C81=$S$8,SUMIFS(Однолинейка!$BX$3:$BX$3000,Однолинейка!$A$3:$A$3000,Щит_спец),""))),""))))</f>
        <v/>
      </c>
      <c r="O81" s="74"/>
      <c r="P81" s="38" t="str">
        <f t="shared" si="9"/>
        <v/>
      </c>
      <c r="U81" s="38" t="str">
        <f t="shared" si="10"/>
        <v/>
      </c>
      <c r="V81" s="38" t="str">
        <f t="shared" si="11"/>
        <v/>
      </c>
      <c r="W81" s="38" t="str">
        <f>IF(AND(U81&lt;&gt;"",OR($S$4="(все)",B81=$S$4),IF($S$4="(все)",COUNTIF($U$4:U81,U81),COUNTIFS($U$4:U81,U81,$B$4:B81,B81))=1),MAX($W$3:W80)+1,"")</f>
        <v/>
      </c>
      <c r="X81" s="38" t="str">
        <f t="shared" si="12"/>
        <v/>
      </c>
      <c r="Y81" s="38" t="str">
        <f>IF(AND(A81="Аппарат",C81&lt;&gt;"",OR($S$5="(все)",B81=$S$5)),MAX($Y$3:Y80)+1,"")</f>
        <v/>
      </c>
      <c r="Z81" s="38" t="str">
        <f t="shared" si="13"/>
        <v/>
      </c>
      <c r="AA81" s="38" t="str">
        <f>IF(AND(A81="Модуль",C81&lt;&gt;"",OR($S$6="(все)",B81=$S$6)),MAX($AA$3:AA80)+1,"")</f>
        <v/>
      </c>
      <c r="AB81" s="38" t="str">
        <f t="shared" si="14"/>
        <v/>
      </c>
      <c r="AC81" s="38" t="str">
        <f>IF(OR(B81="",COUNTIF($B$4:B81,B81)&gt;1),"",MAX($AC$3:AC80)+1)</f>
        <v/>
      </c>
      <c r="AD81" s="38" t="str">
        <f t="shared" si="15"/>
        <v/>
      </c>
      <c r="AE81" s="38" t="str">
        <f t="shared" si="16"/>
        <v/>
      </c>
      <c r="AF81" s="38" t="str">
        <f t="shared" si="17"/>
        <v/>
      </c>
    </row>
    <row r="82" spans="1:32" x14ac:dyDescent="0.3">
      <c r="A82" s="74" t="s">
        <v>713</v>
      </c>
      <c r="B82" s="74" t="s">
        <v>328</v>
      </c>
      <c r="C82" s="74" t="s">
        <v>339</v>
      </c>
      <c r="D82" s="74"/>
      <c r="E82" s="74"/>
      <c r="F82" s="74"/>
      <c r="G82" s="74" t="s">
        <v>376</v>
      </c>
      <c r="H82" s="74" t="s">
        <v>339</v>
      </c>
      <c r="I82" s="74"/>
      <c r="J82" s="74"/>
      <c r="K82" s="74"/>
      <c r="L82" s="74"/>
      <c r="M82" s="74" t="s">
        <v>329</v>
      </c>
      <c r="N82" s="38" t="str">
        <f>IF(OR(A82="Автомат",A82="Дифавтомат"),IF(W82="","",COUNTIFS(Однолинейка!$H$3:$H$3000,U82,Однолинейка!$A$3:$A$3000,Щит_спец)),IF(A82="Аппарат",IF(C82="","",COUNTIFS(Однолинейка!$I$3:$I$3000,C82,Однолинейка!$A$3:$A$3000,Щит_спец)+COUNTIFS(Однолинейка!$J$3:$J$3000,C82,Однолинейка!$A$3:$A$3000,Щит_спец)+COUNTIFS(Однолинейка!$K$3:$K$3000,C82,Однолинейка!$A$3:$A$3000,Щит_спец)),IF(A82="Модуль",IF(C82="","",COUNTIFS(Однолинейка!$AW$3:$AW$3000,"?*",Однолинейка!$AI$3:$AI$3000,C82,Однолинейка!$A$3:$A$3000,Щит_спец)),IF(A82="Клемма",IF(C82="","",IF(C82=$S$7,SUMIFS(Однолинейка!$BW$3:$BW$3000,Однолинейка!$A$3:$A$3000,Щит_спец),IF(C82=$S$8,SUMIFS(Однолинейка!$BX$3:$BX$3000,Однолинейка!$A$3:$A$3000,Щит_спец),""))),""))))</f>
        <v/>
      </c>
      <c r="O82" s="74"/>
      <c r="P82" s="38" t="str">
        <f t="shared" si="9"/>
        <v/>
      </c>
      <c r="U82" s="38" t="str">
        <f t="shared" si="10"/>
        <v/>
      </c>
      <c r="V82" s="38" t="str">
        <f t="shared" si="11"/>
        <v/>
      </c>
      <c r="W82" s="38" t="str">
        <f>IF(AND(U82&lt;&gt;"",OR($S$4="(все)",B82=$S$4),IF($S$4="(все)",COUNTIF($U$4:U82,U82),COUNTIFS($U$4:U82,U82,$B$4:B82,B82))=1),MAX($W$3:W81)+1,"")</f>
        <v/>
      </c>
      <c r="X82" s="38" t="str">
        <f t="shared" si="12"/>
        <v/>
      </c>
      <c r="Y82" s="38" t="str">
        <f>IF(AND(A82="Аппарат",C82&lt;&gt;"",OR($S$5="(все)",B82=$S$5)),MAX($Y$3:Y81)+1,"")</f>
        <v/>
      </c>
      <c r="Z82" s="38" t="str">
        <f t="shared" si="13"/>
        <v/>
      </c>
      <c r="AA82" s="38" t="str">
        <f>IF(AND(A82="Модуль",C82&lt;&gt;"",OR($S$6="(все)",B82=$S$6)),MAX($AA$3:AA81)+1,"")</f>
        <v/>
      </c>
      <c r="AB82" s="38" t="str">
        <f t="shared" si="14"/>
        <v/>
      </c>
      <c r="AC82" s="38" t="str">
        <f>IF(OR(B82="",COUNTIF($B$4:B82,B82)&gt;1),"",MAX($AC$3:AC81)+1)</f>
        <v/>
      </c>
      <c r="AD82" s="38" t="str">
        <f t="shared" si="15"/>
        <v/>
      </c>
      <c r="AE82" s="38" t="str">
        <f t="shared" si="16"/>
        <v/>
      </c>
      <c r="AF82" s="38" t="str">
        <f t="shared" si="17"/>
        <v/>
      </c>
    </row>
    <row r="83" spans="1:32" x14ac:dyDescent="0.3">
      <c r="A83" s="74" t="s">
        <v>713</v>
      </c>
      <c r="B83" s="74" t="s">
        <v>328</v>
      </c>
      <c r="C83" s="74" t="s">
        <v>382</v>
      </c>
      <c r="D83" s="74"/>
      <c r="E83" s="74"/>
      <c r="F83" s="74"/>
      <c r="G83" s="74" t="s">
        <v>377</v>
      </c>
      <c r="H83" s="74" t="s">
        <v>382</v>
      </c>
      <c r="I83" s="74"/>
      <c r="J83" s="74"/>
      <c r="K83" s="74"/>
      <c r="L83" s="74"/>
      <c r="M83" s="74" t="s">
        <v>329</v>
      </c>
      <c r="N83" s="38" t="str">
        <f>IF(OR(A83="Автомат",A83="Дифавтомат"),IF(W83="","",COUNTIFS(Однолинейка!$H$3:$H$3000,U83,Однолинейка!$A$3:$A$3000,Щит_спец)),IF(A83="Аппарат",IF(C83="","",COUNTIFS(Однолинейка!$I$3:$I$3000,C83,Однолинейка!$A$3:$A$3000,Щит_спец)+COUNTIFS(Однолинейка!$J$3:$J$3000,C83,Однолинейка!$A$3:$A$3000,Щит_спец)+COUNTIFS(Однолинейка!$K$3:$K$3000,C83,Однолинейка!$A$3:$A$3000,Щит_спец)),IF(A83="Модуль",IF(C83="","",COUNTIFS(Однолинейка!$AW$3:$AW$3000,"?*",Однолинейка!$AI$3:$AI$3000,C83,Однолинейка!$A$3:$A$3000,Щит_спец)),IF(A83="Клемма",IF(C83="","",IF(C83=$S$7,SUMIFS(Однолинейка!$BW$3:$BW$3000,Однолинейка!$A$3:$A$3000,Щит_спец),IF(C83=$S$8,SUMIFS(Однолинейка!$BX$3:$BX$3000,Однолинейка!$A$3:$A$3000,Щит_спец),""))),""))))</f>
        <v/>
      </c>
      <c r="O83" s="74"/>
      <c r="P83" s="38" t="str">
        <f t="shared" si="9"/>
        <v/>
      </c>
      <c r="U83" s="38" t="str">
        <f t="shared" si="10"/>
        <v/>
      </c>
      <c r="V83" s="38" t="str">
        <f t="shared" si="11"/>
        <v/>
      </c>
      <c r="W83" s="38" t="str">
        <f>IF(AND(U83&lt;&gt;"",OR($S$4="(все)",B83=$S$4),IF($S$4="(все)",COUNTIF($U$4:U83,U83),COUNTIFS($U$4:U83,U83,$B$4:B83,B83))=1),MAX($W$3:W82)+1,"")</f>
        <v/>
      </c>
      <c r="X83" s="38" t="str">
        <f t="shared" si="12"/>
        <v/>
      </c>
      <c r="Y83" s="38" t="str">
        <f>IF(AND(A83="Аппарат",C83&lt;&gt;"",OR($S$5="(все)",B83=$S$5)),MAX($Y$3:Y82)+1,"")</f>
        <v/>
      </c>
      <c r="Z83" s="38" t="str">
        <f t="shared" si="13"/>
        <v/>
      </c>
      <c r="AA83" s="38" t="str">
        <f>IF(AND(A83="Модуль",C83&lt;&gt;"",OR($S$6="(все)",B83=$S$6)),MAX($AA$3:AA82)+1,"")</f>
        <v/>
      </c>
      <c r="AB83" s="38" t="str">
        <f t="shared" si="14"/>
        <v/>
      </c>
      <c r="AC83" s="38" t="str">
        <f>IF(OR(B83="",COUNTIF($B$4:B83,B83)&gt;1),"",MAX($AC$3:AC82)+1)</f>
        <v/>
      </c>
      <c r="AD83" s="38" t="str">
        <f t="shared" si="15"/>
        <v/>
      </c>
      <c r="AE83" s="38" t="str">
        <f t="shared" si="16"/>
        <v/>
      </c>
      <c r="AF83" s="38" t="str">
        <f t="shared" si="17"/>
        <v/>
      </c>
    </row>
    <row r="84" spans="1:32" x14ac:dyDescent="0.3">
      <c r="A84" s="74" t="s">
        <v>713</v>
      </c>
      <c r="B84" s="74" t="s">
        <v>328</v>
      </c>
      <c r="C84" s="74" t="s">
        <v>382</v>
      </c>
      <c r="D84" s="74"/>
      <c r="E84" s="74"/>
      <c r="F84" s="74"/>
      <c r="G84" s="74" t="s">
        <v>378</v>
      </c>
      <c r="H84" s="74" t="s">
        <v>382</v>
      </c>
      <c r="I84" s="74"/>
      <c r="J84" s="74"/>
      <c r="K84" s="74"/>
      <c r="L84" s="74"/>
      <c r="M84" s="74" t="s">
        <v>329</v>
      </c>
      <c r="N84" s="38" t="str">
        <f>IF(OR(A84="Автомат",A84="Дифавтомат"),IF(W84="","",COUNTIFS(Однолинейка!$H$3:$H$3000,U84,Однолинейка!$A$3:$A$3000,Щит_спец)),IF(A84="Аппарат",IF(C84="","",COUNTIFS(Однолинейка!$I$3:$I$3000,C84,Однолинейка!$A$3:$A$3000,Щит_спец)+COUNTIFS(Однолинейка!$J$3:$J$3000,C84,Однолинейка!$A$3:$A$3000,Щит_спец)+COUNTIFS(Однолинейка!$K$3:$K$3000,C84,Однолинейка!$A$3:$A$3000,Щит_спец)),IF(A84="Модуль",IF(C84="","",COUNTIFS(Однолинейка!$AW$3:$AW$3000,"?*",Однолинейка!$AI$3:$AI$3000,C84,Однолинейка!$A$3:$A$3000,Щит_спец)),IF(A84="Клемма",IF(C84="","",IF(C84=$S$7,SUMIFS(Однолинейка!$BW$3:$BW$3000,Однолинейка!$A$3:$A$3000,Щит_спец),IF(C84=$S$8,SUMIFS(Однолинейка!$BX$3:$BX$3000,Однолинейка!$A$3:$A$3000,Щит_спец),""))),""))))</f>
        <v/>
      </c>
      <c r="O84" s="74"/>
      <c r="P84" s="38" t="str">
        <f t="shared" si="9"/>
        <v/>
      </c>
      <c r="U84" s="38" t="str">
        <f t="shared" si="10"/>
        <v/>
      </c>
      <c r="V84" s="38" t="str">
        <f t="shared" si="11"/>
        <v/>
      </c>
      <c r="W84" s="38" t="str">
        <f>IF(AND(U84&lt;&gt;"",OR($S$4="(все)",B84=$S$4),IF($S$4="(все)",COUNTIF($U$4:U84,U84),COUNTIFS($U$4:U84,U84,$B$4:B84,B84))=1),MAX($W$3:W83)+1,"")</f>
        <v/>
      </c>
      <c r="X84" s="38" t="str">
        <f t="shared" si="12"/>
        <v/>
      </c>
      <c r="Y84" s="38" t="str">
        <f>IF(AND(A84="Аппарат",C84&lt;&gt;"",OR($S$5="(все)",B84=$S$5)),MAX($Y$3:Y83)+1,"")</f>
        <v/>
      </c>
      <c r="Z84" s="38" t="str">
        <f t="shared" si="13"/>
        <v/>
      </c>
      <c r="AA84" s="38" t="str">
        <f>IF(AND(A84="Модуль",C84&lt;&gt;"",OR($S$6="(все)",B84=$S$6)),MAX($AA$3:AA83)+1,"")</f>
        <v/>
      </c>
      <c r="AB84" s="38" t="str">
        <f t="shared" si="14"/>
        <v/>
      </c>
      <c r="AC84" s="38" t="str">
        <f>IF(OR(B84="",COUNTIF($B$4:B84,B84)&gt;1),"",MAX($AC$3:AC83)+1)</f>
        <v/>
      </c>
      <c r="AD84" s="38" t="str">
        <f t="shared" si="15"/>
        <v/>
      </c>
      <c r="AE84" s="38" t="str">
        <f t="shared" si="16"/>
        <v/>
      </c>
      <c r="AF84" s="38" t="str">
        <f t="shared" si="17"/>
        <v/>
      </c>
    </row>
    <row r="85" spans="1:32" x14ac:dyDescent="0.3">
      <c r="A85" s="74" t="s">
        <v>713</v>
      </c>
      <c r="B85" s="74" t="s">
        <v>328</v>
      </c>
      <c r="C85" s="74" t="s">
        <v>382</v>
      </c>
      <c r="D85" s="74"/>
      <c r="E85" s="74"/>
      <c r="F85" s="74"/>
      <c r="G85" s="74" t="s">
        <v>379</v>
      </c>
      <c r="H85" s="74" t="s">
        <v>382</v>
      </c>
      <c r="I85" s="74"/>
      <c r="J85" s="74"/>
      <c r="K85" s="74"/>
      <c r="L85" s="74"/>
      <c r="M85" s="74" t="s">
        <v>329</v>
      </c>
      <c r="N85" s="38" t="str">
        <f>IF(OR(A85="Автомат",A85="Дифавтомат"),IF(W85="","",COUNTIFS(Однолинейка!$H$3:$H$3000,U85,Однолинейка!$A$3:$A$3000,Щит_спец)),IF(A85="Аппарат",IF(C85="","",COUNTIFS(Однолинейка!$I$3:$I$3000,C85,Однолинейка!$A$3:$A$3000,Щит_спец)+COUNTIFS(Однолинейка!$J$3:$J$3000,C85,Однолинейка!$A$3:$A$3000,Щит_спец)+COUNTIFS(Однолинейка!$K$3:$K$3000,C85,Однолинейка!$A$3:$A$3000,Щит_спец)),IF(A85="Модуль",IF(C85="","",COUNTIFS(Однолинейка!$AW$3:$AW$3000,"?*",Однолинейка!$AI$3:$AI$3000,C85,Однолинейка!$A$3:$A$3000,Щит_спец)),IF(A85="Клемма",IF(C85="","",IF(C85=$S$7,SUMIFS(Однолинейка!$BW$3:$BW$3000,Однолинейка!$A$3:$A$3000,Щит_спец),IF(C85=$S$8,SUMIFS(Однолинейка!$BX$3:$BX$3000,Однолинейка!$A$3:$A$3000,Щит_спец),""))),""))))</f>
        <v/>
      </c>
      <c r="O85" s="74"/>
      <c r="P85" s="38" t="str">
        <f t="shared" si="9"/>
        <v/>
      </c>
      <c r="U85" s="38" t="str">
        <f t="shared" si="10"/>
        <v/>
      </c>
      <c r="V85" s="38" t="str">
        <f t="shared" si="11"/>
        <v/>
      </c>
      <c r="W85" s="38" t="str">
        <f>IF(AND(U85&lt;&gt;"",OR($S$4="(все)",B85=$S$4),IF($S$4="(все)",COUNTIF($U$4:U85,U85),COUNTIFS($U$4:U85,U85,$B$4:B85,B85))=1),MAX($W$3:W84)+1,"")</f>
        <v/>
      </c>
      <c r="X85" s="38" t="str">
        <f t="shared" si="12"/>
        <v/>
      </c>
      <c r="Y85" s="38" t="str">
        <f>IF(AND(A85="Аппарат",C85&lt;&gt;"",OR($S$5="(все)",B85=$S$5)),MAX($Y$3:Y84)+1,"")</f>
        <v/>
      </c>
      <c r="Z85" s="38" t="str">
        <f t="shared" si="13"/>
        <v/>
      </c>
      <c r="AA85" s="38" t="str">
        <f>IF(AND(A85="Модуль",C85&lt;&gt;"",OR($S$6="(все)",B85=$S$6)),MAX($AA$3:AA84)+1,"")</f>
        <v/>
      </c>
      <c r="AB85" s="38" t="str">
        <f t="shared" si="14"/>
        <v/>
      </c>
      <c r="AC85" s="38" t="str">
        <f>IF(OR(B85="",COUNTIF($B$4:B85,B85)&gt;1),"",MAX($AC$3:AC84)+1)</f>
        <v/>
      </c>
      <c r="AD85" s="38" t="str">
        <f t="shared" si="15"/>
        <v/>
      </c>
      <c r="AE85" s="38" t="str">
        <f t="shared" si="16"/>
        <v/>
      </c>
      <c r="AF85" s="38" t="str">
        <f t="shared" si="17"/>
        <v/>
      </c>
    </row>
    <row r="86" spans="1:32" x14ac:dyDescent="0.3">
      <c r="A86" s="74" t="s">
        <v>713</v>
      </c>
      <c r="B86" s="74" t="s">
        <v>328</v>
      </c>
      <c r="C86" s="74" t="s">
        <v>382</v>
      </c>
      <c r="D86" s="74"/>
      <c r="E86" s="74"/>
      <c r="F86" s="74"/>
      <c r="G86" s="74" t="s">
        <v>380</v>
      </c>
      <c r="H86" s="74" t="s">
        <v>382</v>
      </c>
      <c r="I86" s="74"/>
      <c r="J86" s="74"/>
      <c r="K86" s="74"/>
      <c r="L86" s="74"/>
      <c r="M86" s="74" t="s">
        <v>329</v>
      </c>
      <c r="N86" s="38" t="str">
        <f>IF(OR(A86="Автомат",A86="Дифавтомат"),IF(W86="","",COUNTIFS(Однолинейка!$H$3:$H$3000,U86,Однолинейка!$A$3:$A$3000,Щит_спец)),IF(A86="Аппарат",IF(C86="","",COUNTIFS(Однолинейка!$I$3:$I$3000,C86,Однолинейка!$A$3:$A$3000,Щит_спец)+COUNTIFS(Однолинейка!$J$3:$J$3000,C86,Однолинейка!$A$3:$A$3000,Щит_спец)+COUNTIFS(Однолинейка!$K$3:$K$3000,C86,Однолинейка!$A$3:$A$3000,Щит_спец)),IF(A86="Модуль",IF(C86="","",COUNTIFS(Однолинейка!$AW$3:$AW$3000,"?*",Однолинейка!$AI$3:$AI$3000,C86,Однолинейка!$A$3:$A$3000,Щит_спец)),IF(A86="Клемма",IF(C86="","",IF(C86=$S$7,SUMIFS(Однолинейка!$BW$3:$BW$3000,Однолинейка!$A$3:$A$3000,Щит_спец),IF(C86=$S$8,SUMIFS(Однолинейка!$BX$3:$BX$3000,Однолинейка!$A$3:$A$3000,Щит_спец),""))),""))))</f>
        <v/>
      </c>
      <c r="O86" s="74"/>
      <c r="P86" s="38" t="str">
        <f t="shared" si="9"/>
        <v/>
      </c>
      <c r="U86" s="38" t="str">
        <f t="shared" si="10"/>
        <v/>
      </c>
      <c r="V86" s="38" t="str">
        <f t="shared" si="11"/>
        <v/>
      </c>
      <c r="W86" s="38" t="str">
        <f>IF(AND(U86&lt;&gt;"",OR($S$4="(все)",B86=$S$4),IF($S$4="(все)",COUNTIF($U$4:U86,U86),COUNTIFS($U$4:U86,U86,$B$4:B86,B86))=1),MAX($W$3:W85)+1,"")</f>
        <v/>
      </c>
      <c r="X86" s="38" t="str">
        <f t="shared" si="12"/>
        <v/>
      </c>
      <c r="Y86" s="38" t="str">
        <f>IF(AND(A86="Аппарат",C86&lt;&gt;"",OR($S$5="(все)",B86=$S$5)),MAX($Y$3:Y85)+1,"")</f>
        <v/>
      </c>
      <c r="Z86" s="38" t="str">
        <f t="shared" si="13"/>
        <v/>
      </c>
      <c r="AA86" s="38" t="str">
        <f>IF(AND(A86="Модуль",C86&lt;&gt;"",OR($S$6="(все)",B86=$S$6)),MAX($AA$3:AA85)+1,"")</f>
        <v/>
      </c>
      <c r="AB86" s="38" t="str">
        <f t="shared" si="14"/>
        <v/>
      </c>
      <c r="AC86" s="38" t="str">
        <f>IF(OR(B86="",COUNTIF($B$4:B86,B86)&gt;1),"",MAX($AC$3:AC85)+1)</f>
        <v/>
      </c>
      <c r="AD86" s="38" t="str">
        <f t="shared" si="15"/>
        <v/>
      </c>
      <c r="AE86" s="38" t="str">
        <f t="shared" si="16"/>
        <v/>
      </c>
      <c r="AF86" s="38" t="str">
        <f t="shared" si="17"/>
        <v/>
      </c>
    </row>
    <row r="87" spans="1:32" x14ac:dyDescent="0.3">
      <c r="A87" s="74" t="s">
        <v>713</v>
      </c>
      <c r="B87" s="74" t="s">
        <v>328</v>
      </c>
      <c r="C87" s="74" t="s">
        <v>382</v>
      </c>
      <c r="D87" s="74"/>
      <c r="E87" s="74"/>
      <c r="F87" s="74"/>
      <c r="G87" s="74" t="s">
        <v>381</v>
      </c>
      <c r="H87" s="74" t="s">
        <v>382</v>
      </c>
      <c r="I87" s="74"/>
      <c r="J87" s="74"/>
      <c r="K87" s="74"/>
      <c r="L87" s="74"/>
      <c r="M87" s="74" t="s">
        <v>329</v>
      </c>
      <c r="N87" s="38" t="str">
        <f>IF(OR(A87="Автомат",A87="Дифавтомат"),IF(W87="","",COUNTIFS(Однолинейка!$H$3:$H$3000,U87,Однолинейка!$A$3:$A$3000,Щит_спец)),IF(A87="Аппарат",IF(C87="","",COUNTIFS(Однолинейка!$I$3:$I$3000,C87,Однолинейка!$A$3:$A$3000,Щит_спец)+COUNTIFS(Однолинейка!$J$3:$J$3000,C87,Однолинейка!$A$3:$A$3000,Щит_спец)+COUNTIFS(Однолинейка!$K$3:$K$3000,C87,Однолинейка!$A$3:$A$3000,Щит_спец)),IF(A87="Модуль",IF(C87="","",COUNTIFS(Однолинейка!$AW$3:$AW$3000,"?*",Однолинейка!$AI$3:$AI$3000,C87,Однолинейка!$A$3:$A$3000,Щит_спец)),IF(A87="Клемма",IF(C87="","",IF(C87=$S$7,SUMIFS(Однолинейка!$BW$3:$BW$3000,Однолинейка!$A$3:$A$3000,Щит_спец),IF(C87=$S$8,SUMIFS(Однолинейка!$BX$3:$BX$3000,Однолинейка!$A$3:$A$3000,Щит_спец),""))),""))))</f>
        <v/>
      </c>
      <c r="O87" s="74"/>
      <c r="P87" s="38" t="str">
        <f t="shared" si="9"/>
        <v/>
      </c>
      <c r="U87" s="38" t="str">
        <f t="shared" si="10"/>
        <v/>
      </c>
      <c r="V87" s="38" t="str">
        <f t="shared" si="11"/>
        <v/>
      </c>
      <c r="W87" s="38" t="str">
        <f>IF(AND(U87&lt;&gt;"",OR($S$4="(все)",B87=$S$4),IF($S$4="(все)",COUNTIF($U$4:U87,U87),COUNTIFS($U$4:U87,U87,$B$4:B87,B87))=1),MAX($W$3:W86)+1,"")</f>
        <v/>
      </c>
      <c r="X87" s="38" t="str">
        <f t="shared" si="12"/>
        <v/>
      </c>
      <c r="Y87" s="38" t="str">
        <f>IF(AND(A87="Аппарат",C87&lt;&gt;"",OR($S$5="(все)",B87=$S$5)),MAX($Y$3:Y86)+1,"")</f>
        <v/>
      </c>
      <c r="Z87" s="38" t="str">
        <f t="shared" si="13"/>
        <v/>
      </c>
      <c r="AA87" s="38" t="str">
        <f>IF(AND(A87="Модуль",C87&lt;&gt;"",OR($S$6="(все)",B87=$S$6)),MAX($AA$3:AA86)+1,"")</f>
        <v/>
      </c>
      <c r="AB87" s="38" t="str">
        <f t="shared" si="14"/>
        <v/>
      </c>
      <c r="AC87" s="38" t="str">
        <f>IF(OR(B87="",COUNTIF($B$4:B87,B87)&gt;1),"",MAX($AC$3:AC86)+1)</f>
        <v/>
      </c>
      <c r="AD87" s="38" t="str">
        <f t="shared" si="15"/>
        <v/>
      </c>
      <c r="AE87" s="38" t="str">
        <f t="shared" si="16"/>
        <v/>
      </c>
      <c r="AF87" s="38" t="str">
        <f t="shared" si="17"/>
        <v/>
      </c>
    </row>
    <row r="88" spans="1:32" x14ac:dyDescent="0.3">
      <c r="A88" s="74" t="s">
        <v>624</v>
      </c>
      <c r="B88" s="74" t="s">
        <v>345</v>
      </c>
      <c r="C88" s="74" t="s">
        <v>344</v>
      </c>
      <c r="D88" s="74"/>
      <c r="E88" s="74"/>
      <c r="F88" s="74"/>
      <c r="G88" s="74" t="s">
        <v>343</v>
      </c>
      <c r="H88" s="74" t="s">
        <v>344</v>
      </c>
      <c r="I88" s="74"/>
      <c r="J88" s="74"/>
      <c r="K88" s="74"/>
      <c r="L88" s="74"/>
      <c r="M88" s="74" t="s">
        <v>346</v>
      </c>
      <c r="N88" s="38" t="str">
        <f>IF(OR(A88="Автомат",A88="Дифавтомат"),IF(W88="","",COUNTIFS(Однолинейка!$H$3:$H$3000,U88,Однолинейка!$A$3:$A$3000,Щит_спец)),IF(A88="Аппарат",IF(C88="","",COUNTIFS(Однолинейка!$I$3:$I$3000,C88,Однолинейка!$A$3:$A$3000,Щит_спец)+COUNTIFS(Однолинейка!$J$3:$J$3000,C88,Однолинейка!$A$3:$A$3000,Щит_спец)+COUNTIFS(Однолинейка!$K$3:$K$3000,C88,Однолинейка!$A$3:$A$3000,Щит_спец)),IF(A88="Модуль",IF(C88="","",COUNTIFS(Однолинейка!$AW$3:$AW$3000,"?*",Однолинейка!$AI$3:$AI$3000,C88,Однолинейка!$A$3:$A$3000,Щит_спец)),IF(A88="Клемма",IF(C88="","",IF(C88=$S$7,SUMIFS(Однолинейка!$BW$3:$BW$3000,Однолинейка!$A$3:$A$3000,Щит_спец),IF(C88=$S$8,SUMIFS(Однолинейка!$BX$3:$BX$3000,Однолинейка!$A$3:$A$3000,Щит_спец),""))),""))))</f>
        <v/>
      </c>
      <c r="O88" s="74"/>
      <c r="P88" s="38" t="str">
        <f t="shared" si="9"/>
        <v/>
      </c>
      <c r="U88" s="38" t="str">
        <f t="shared" si="10"/>
        <v/>
      </c>
      <c r="V88" s="38" t="str">
        <f t="shared" si="11"/>
        <v/>
      </c>
      <c r="W88" s="38" t="str">
        <f>IF(AND(U88&lt;&gt;"",OR($S$4="(все)",B88=$S$4),IF($S$4="(все)",COUNTIF($U$4:U88,U88),COUNTIFS($U$4:U88,U88,$B$4:B88,B88))=1),MAX($W$3:W87)+1,"")</f>
        <v/>
      </c>
      <c r="X88" s="38" t="str">
        <f t="shared" si="12"/>
        <v/>
      </c>
      <c r="Y88" s="38" t="str">
        <f>IF(AND(A88="Аппарат",C88&lt;&gt;"",OR($S$5="(все)",B88=$S$5)),MAX($Y$3:Y87)+1,"")</f>
        <v/>
      </c>
      <c r="Z88" s="38" t="str">
        <f t="shared" si="13"/>
        <v/>
      </c>
      <c r="AA88" s="38" t="str">
        <f>IF(AND(A88="Модуль",C88&lt;&gt;"",OR($S$6="(все)",B88=$S$6)),MAX($AA$3:AA87)+1,"")</f>
        <v/>
      </c>
      <c r="AB88" s="38" t="str">
        <f t="shared" si="14"/>
        <v/>
      </c>
      <c r="AC88" s="38">
        <f>IF(OR(B88="",COUNTIF($B$4:B88,B88)&gt;1),"",MAX($AC$3:AC87)+1)</f>
        <v>9</v>
      </c>
      <c r="AD88" s="38" t="str">
        <f t="shared" si="15"/>
        <v/>
      </c>
      <c r="AE88" s="38" t="str">
        <f t="shared" si="16"/>
        <v/>
      </c>
      <c r="AF88" s="38" t="str">
        <f t="shared" si="17"/>
        <v/>
      </c>
    </row>
    <row r="89" spans="1:32" x14ac:dyDescent="0.3">
      <c r="A89" s="74" t="s">
        <v>624</v>
      </c>
      <c r="B89" s="74" t="s">
        <v>345</v>
      </c>
      <c r="C89" s="74" t="s">
        <v>732</v>
      </c>
      <c r="D89" s="74"/>
      <c r="E89" s="74"/>
      <c r="F89" s="74"/>
      <c r="G89" s="74" t="s">
        <v>347</v>
      </c>
      <c r="H89" s="74" t="s">
        <v>732</v>
      </c>
      <c r="I89" s="74"/>
      <c r="J89" s="74"/>
      <c r="K89" s="74"/>
      <c r="L89" s="74"/>
      <c r="M89" s="74" t="s">
        <v>346</v>
      </c>
      <c r="N89" s="38" t="str">
        <f>IF(OR(A89="Автомат",A89="Дифавтомат"),IF(W89="","",COUNTIFS(Однолинейка!$H$3:$H$3000,U89,Однолинейка!$A$3:$A$3000,Щит_спец)),IF(A89="Аппарат",IF(C89="","",COUNTIFS(Однолинейка!$I$3:$I$3000,C89,Однолинейка!$A$3:$A$3000,Щит_спец)+COUNTIFS(Однолинейка!$J$3:$J$3000,C89,Однолинейка!$A$3:$A$3000,Щит_спец)+COUNTIFS(Однолинейка!$K$3:$K$3000,C89,Однолинейка!$A$3:$A$3000,Щит_спец)),IF(A89="Модуль",IF(C89="","",COUNTIFS(Однолинейка!$AW$3:$AW$3000,"?*",Однолинейка!$AI$3:$AI$3000,C89,Однолинейка!$A$3:$A$3000,Щит_спец)),IF(A89="Клемма",IF(C89="","",IF(C89=$S$7,SUMIFS(Однолинейка!$BW$3:$BW$3000,Однолинейка!$A$3:$A$3000,Щит_спец),IF(C89=$S$8,SUMIFS(Однолинейка!$BX$3:$BX$3000,Однолинейка!$A$3:$A$3000,Щит_спец),""))),""))))</f>
        <v/>
      </c>
      <c r="O89" s="74"/>
      <c r="P89" s="38" t="str">
        <f t="shared" si="9"/>
        <v/>
      </c>
      <c r="U89" s="38" t="str">
        <f t="shared" si="10"/>
        <v/>
      </c>
      <c r="V89" s="38" t="str">
        <f t="shared" si="11"/>
        <v/>
      </c>
      <c r="W89" s="38" t="str">
        <f>IF(AND(U89&lt;&gt;"",OR($S$4="(все)",B89=$S$4),IF($S$4="(все)",COUNTIF($U$4:U89,U89),COUNTIFS($U$4:U89,U89,$B$4:B89,B89))=1),MAX($W$3:W88)+1,"")</f>
        <v/>
      </c>
      <c r="X89" s="38" t="str">
        <f t="shared" si="12"/>
        <v/>
      </c>
      <c r="Y89" s="38" t="str">
        <f>IF(AND(A89="Аппарат",C89&lt;&gt;"",OR($S$5="(все)",B89=$S$5)),MAX($Y$3:Y88)+1,"")</f>
        <v/>
      </c>
      <c r="Z89" s="38" t="str">
        <f t="shared" si="13"/>
        <v/>
      </c>
      <c r="AA89" s="38" t="str">
        <f>IF(AND(A89="Модуль",C89&lt;&gt;"",OR($S$6="(все)",B89=$S$6)),MAX($AA$3:AA88)+1,"")</f>
        <v/>
      </c>
      <c r="AB89" s="38" t="str">
        <f t="shared" si="14"/>
        <v/>
      </c>
      <c r="AC89" s="38" t="str">
        <f>IF(OR(B89="",COUNTIF($B$4:B89,B89)&gt;1),"",MAX($AC$3:AC88)+1)</f>
        <v/>
      </c>
      <c r="AD89" s="38" t="str">
        <f t="shared" si="15"/>
        <v/>
      </c>
      <c r="AE89" s="38" t="str">
        <f t="shared" si="16"/>
        <v/>
      </c>
      <c r="AF89" s="38" t="str">
        <f t="shared" si="17"/>
        <v/>
      </c>
    </row>
    <row r="90" spans="1:32" x14ac:dyDescent="0.3">
      <c r="A90" s="74" t="s">
        <v>624</v>
      </c>
      <c r="B90" s="74" t="s">
        <v>345</v>
      </c>
      <c r="C90" s="74" t="s">
        <v>733</v>
      </c>
      <c r="D90" s="74"/>
      <c r="E90" s="74"/>
      <c r="F90" s="74"/>
      <c r="G90" s="74" t="s">
        <v>348</v>
      </c>
      <c r="H90" s="74" t="s">
        <v>733</v>
      </c>
      <c r="I90" s="74"/>
      <c r="J90" s="74"/>
      <c r="K90" s="74"/>
      <c r="L90" s="74"/>
      <c r="M90" s="74" t="s">
        <v>346</v>
      </c>
      <c r="N90" s="38" t="str">
        <f>IF(OR(A90="Автомат",A90="Дифавтомат"),IF(W90="","",COUNTIFS(Однолинейка!$H$3:$H$3000,U90,Однолинейка!$A$3:$A$3000,Щит_спец)),IF(A90="Аппарат",IF(C90="","",COUNTIFS(Однолинейка!$I$3:$I$3000,C90,Однолинейка!$A$3:$A$3000,Щит_спец)+COUNTIFS(Однолинейка!$J$3:$J$3000,C90,Однолинейка!$A$3:$A$3000,Щит_спец)+COUNTIFS(Однолинейка!$K$3:$K$3000,C90,Однолинейка!$A$3:$A$3000,Щит_спец)),IF(A90="Модуль",IF(C90="","",COUNTIFS(Однолинейка!$AW$3:$AW$3000,"?*",Однолинейка!$AI$3:$AI$3000,C90,Однолинейка!$A$3:$A$3000,Щит_спец)),IF(A90="Клемма",IF(C90="","",IF(C90=$S$7,SUMIFS(Однолинейка!$BW$3:$BW$3000,Однолинейка!$A$3:$A$3000,Щит_спец),IF(C90=$S$8,SUMIFS(Однолинейка!$BX$3:$BX$3000,Однолинейка!$A$3:$A$3000,Щит_спец),""))),""))))</f>
        <v/>
      </c>
      <c r="O90" s="74"/>
      <c r="P90" s="38" t="str">
        <f t="shared" si="9"/>
        <v/>
      </c>
      <c r="U90" s="38" t="str">
        <f t="shared" si="10"/>
        <v/>
      </c>
      <c r="V90" s="38" t="str">
        <f t="shared" si="11"/>
        <v/>
      </c>
      <c r="W90" s="38" t="str">
        <f>IF(AND(U90&lt;&gt;"",OR($S$4="(все)",B90=$S$4),IF($S$4="(все)",COUNTIF($U$4:U90,U90),COUNTIFS($U$4:U90,U90,$B$4:B90,B90))=1),MAX($W$3:W89)+1,"")</f>
        <v/>
      </c>
      <c r="X90" s="38" t="str">
        <f t="shared" si="12"/>
        <v/>
      </c>
      <c r="Y90" s="38" t="str">
        <f>IF(AND(A90="Аппарат",C90&lt;&gt;"",OR($S$5="(все)",B90=$S$5)),MAX($Y$3:Y89)+1,"")</f>
        <v/>
      </c>
      <c r="Z90" s="38" t="str">
        <f t="shared" si="13"/>
        <v/>
      </c>
      <c r="AA90" s="38" t="str">
        <f>IF(AND(A90="Модуль",C90&lt;&gt;"",OR($S$6="(все)",B90=$S$6)),MAX($AA$3:AA89)+1,"")</f>
        <v/>
      </c>
      <c r="AB90" s="38" t="str">
        <f t="shared" si="14"/>
        <v/>
      </c>
      <c r="AC90" s="38" t="str">
        <f>IF(OR(B90="",COUNTIF($B$4:B90,B90)&gt;1),"",MAX($AC$3:AC89)+1)</f>
        <v/>
      </c>
      <c r="AD90" s="38" t="str">
        <f t="shared" si="15"/>
        <v/>
      </c>
      <c r="AE90" s="38" t="str">
        <f t="shared" si="16"/>
        <v/>
      </c>
      <c r="AF90" s="38" t="str">
        <f t="shared" si="17"/>
        <v/>
      </c>
    </row>
    <row r="91" spans="1:32" x14ac:dyDescent="0.3">
      <c r="A91" s="74" t="s">
        <v>624</v>
      </c>
      <c r="B91" s="74" t="s">
        <v>345</v>
      </c>
      <c r="C91" s="74" t="s">
        <v>350</v>
      </c>
      <c r="D91" s="74"/>
      <c r="E91" s="74"/>
      <c r="F91" s="74"/>
      <c r="G91" s="74" t="s">
        <v>349</v>
      </c>
      <c r="H91" s="74" t="s">
        <v>350</v>
      </c>
      <c r="I91" s="74"/>
      <c r="J91" s="74"/>
      <c r="K91" s="74"/>
      <c r="L91" s="74"/>
      <c r="M91" s="74" t="s">
        <v>346</v>
      </c>
      <c r="N91" s="38" t="str">
        <f>IF(OR(A91="Автомат",A91="Дифавтомат"),IF(W91="","",COUNTIFS(Однолинейка!$H$3:$H$3000,U91,Однолинейка!$A$3:$A$3000,Щит_спец)),IF(A91="Аппарат",IF(C91="","",COUNTIFS(Однолинейка!$I$3:$I$3000,C91,Однолинейка!$A$3:$A$3000,Щит_спец)+COUNTIFS(Однолинейка!$J$3:$J$3000,C91,Однолинейка!$A$3:$A$3000,Щит_спец)+COUNTIFS(Однолинейка!$K$3:$K$3000,C91,Однолинейка!$A$3:$A$3000,Щит_спец)),IF(A91="Модуль",IF(C91="","",COUNTIFS(Однолинейка!$AW$3:$AW$3000,"?*",Однолинейка!$AI$3:$AI$3000,C91,Однолинейка!$A$3:$A$3000,Щит_спец)),IF(A91="Клемма",IF(C91="","",IF(C91=$S$7,SUMIFS(Однолинейка!$BW$3:$BW$3000,Однолинейка!$A$3:$A$3000,Щит_спец),IF(C91=$S$8,SUMIFS(Однолинейка!$BX$3:$BX$3000,Однолинейка!$A$3:$A$3000,Щит_спец),""))),""))))</f>
        <v/>
      </c>
      <c r="O91" s="74"/>
      <c r="P91" s="38" t="str">
        <f t="shared" si="9"/>
        <v/>
      </c>
      <c r="U91" s="38" t="str">
        <f t="shared" si="10"/>
        <v/>
      </c>
      <c r="V91" s="38" t="str">
        <f t="shared" si="11"/>
        <v/>
      </c>
      <c r="W91" s="38" t="str">
        <f>IF(AND(U91&lt;&gt;"",OR($S$4="(все)",B91=$S$4),IF($S$4="(все)",COUNTIF($U$4:U91,U91),COUNTIFS($U$4:U91,U91,$B$4:B91,B91))=1),MAX($W$3:W90)+1,"")</f>
        <v/>
      </c>
      <c r="X91" s="38" t="str">
        <f t="shared" si="12"/>
        <v/>
      </c>
      <c r="Y91" s="38" t="str">
        <f>IF(AND(A91="Аппарат",C91&lt;&gt;"",OR($S$5="(все)",B91=$S$5)),MAX($Y$3:Y90)+1,"")</f>
        <v/>
      </c>
      <c r="Z91" s="38" t="str">
        <f t="shared" si="13"/>
        <v/>
      </c>
      <c r="AA91" s="38" t="str">
        <f>IF(AND(A91="Модуль",C91&lt;&gt;"",OR($S$6="(все)",B91=$S$6)),MAX($AA$3:AA90)+1,"")</f>
        <v/>
      </c>
      <c r="AB91" s="38" t="str">
        <f t="shared" si="14"/>
        <v/>
      </c>
      <c r="AC91" s="38" t="str">
        <f>IF(OR(B91="",COUNTIF($B$4:B91,B91)&gt;1),"",MAX($AC$3:AC90)+1)</f>
        <v/>
      </c>
      <c r="AD91" s="38" t="str">
        <f t="shared" si="15"/>
        <v/>
      </c>
      <c r="AE91" s="38" t="str">
        <f t="shared" si="16"/>
        <v/>
      </c>
      <c r="AF91" s="38" t="str">
        <f t="shared" si="17"/>
        <v/>
      </c>
    </row>
    <row r="92" spans="1:32" x14ac:dyDescent="0.3">
      <c r="A92" s="74" t="s">
        <v>624</v>
      </c>
      <c r="B92" s="74" t="s">
        <v>345</v>
      </c>
      <c r="C92" s="74" t="s">
        <v>352</v>
      </c>
      <c r="D92" s="74"/>
      <c r="E92" s="74"/>
      <c r="F92" s="74"/>
      <c r="G92" s="74" t="s">
        <v>351</v>
      </c>
      <c r="H92" s="74" t="s">
        <v>352</v>
      </c>
      <c r="I92" s="74"/>
      <c r="J92" s="74"/>
      <c r="K92" s="74"/>
      <c r="L92" s="74"/>
      <c r="M92" s="74" t="s">
        <v>346</v>
      </c>
      <c r="N92" s="38" t="str">
        <f>IF(OR(A92="Автомат",A92="Дифавтомат"),IF(W92="","",COUNTIFS(Однолинейка!$H$3:$H$3000,U92,Однолинейка!$A$3:$A$3000,Щит_спец)),IF(A92="Аппарат",IF(C92="","",COUNTIFS(Однолинейка!$I$3:$I$3000,C92,Однолинейка!$A$3:$A$3000,Щит_спец)+COUNTIFS(Однолинейка!$J$3:$J$3000,C92,Однолинейка!$A$3:$A$3000,Щит_спец)+COUNTIFS(Однолинейка!$K$3:$K$3000,C92,Однолинейка!$A$3:$A$3000,Щит_спец)),IF(A92="Модуль",IF(C92="","",COUNTIFS(Однолинейка!$AW$3:$AW$3000,"?*",Однолинейка!$AI$3:$AI$3000,C92,Однолинейка!$A$3:$A$3000,Щит_спец)),IF(A92="Клемма",IF(C92="","",IF(C92=$S$7,SUMIFS(Однолинейка!$BW$3:$BW$3000,Однолинейка!$A$3:$A$3000,Щит_спец),IF(C92=$S$8,SUMIFS(Однолинейка!$BX$3:$BX$3000,Однолинейка!$A$3:$A$3000,Щит_спец),""))),""))))</f>
        <v/>
      </c>
      <c r="O92" s="74"/>
      <c r="P92" s="38" t="str">
        <f t="shared" si="9"/>
        <v/>
      </c>
      <c r="U92" s="38" t="str">
        <f t="shared" si="10"/>
        <v/>
      </c>
      <c r="V92" s="38" t="str">
        <f t="shared" si="11"/>
        <v/>
      </c>
      <c r="W92" s="38" t="str">
        <f>IF(AND(U92&lt;&gt;"",OR($S$4="(все)",B92=$S$4),IF($S$4="(все)",COUNTIF($U$4:U92,U92),COUNTIFS($U$4:U92,U92,$B$4:B92,B92))=1),MAX($W$3:W91)+1,"")</f>
        <v/>
      </c>
      <c r="X92" s="38" t="str">
        <f t="shared" si="12"/>
        <v/>
      </c>
      <c r="Y92" s="38" t="str">
        <f>IF(AND(A92="Аппарат",C92&lt;&gt;"",OR($S$5="(все)",B92=$S$5)),MAX($Y$3:Y91)+1,"")</f>
        <v/>
      </c>
      <c r="Z92" s="38" t="str">
        <f t="shared" si="13"/>
        <v/>
      </c>
      <c r="AA92" s="38" t="str">
        <f>IF(AND(A92="Модуль",C92&lt;&gt;"",OR($S$6="(все)",B92=$S$6)),MAX($AA$3:AA91)+1,"")</f>
        <v/>
      </c>
      <c r="AB92" s="38" t="str">
        <f t="shared" si="14"/>
        <v/>
      </c>
      <c r="AC92" s="38" t="str">
        <f>IF(OR(B92="",COUNTIF($B$4:B92,B92)&gt;1),"",MAX($AC$3:AC91)+1)</f>
        <v/>
      </c>
      <c r="AD92" s="38" t="str">
        <f t="shared" si="15"/>
        <v/>
      </c>
      <c r="AE92" s="38" t="str">
        <f t="shared" si="16"/>
        <v/>
      </c>
      <c r="AF92" s="38" t="str">
        <f t="shared" si="17"/>
        <v/>
      </c>
    </row>
    <row r="93" spans="1:32" x14ac:dyDescent="0.3">
      <c r="A93" s="74" t="s">
        <v>624</v>
      </c>
      <c r="B93" s="74" t="s">
        <v>345</v>
      </c>
      <c r="C93" s="74" t="s">
        <v>354</v>
      </c>
      <c r="D93" s="74"/>
      <c r="E93" s="74"/>
      <c r="F93" s="74"/>
      <c r="G93" s="74" t="s">
        <v>353</v>
      </c>
      <c r="H93" s="74" t="s">
        <v>354</v>
      </c>
      <c r="I93" s="74"/>
      <c r="J93" s="74"/>
      <c r="K93" s="74"/>
      <c r="L93" s="74"/>
      <c r="M93" s="74" t="s">
        <v>346</v>
      </c>
      <c r="N93" s="38" t="str">
        <f>IF(OR(A93="Автомат",A93="Дифавтомат"),IF(W93="","",COUNTIFS(Однолинейка!$H$3:$H$3000,U93,Однолинейка!$A$3:$A$3000,Щит_спец)),IF(A93="Аппарат",IF(C93="","",COUNTIFS(Однолинейка!$I$3:$I$3000,C93,Однолинейка!$A$3:$A$3000,Щит_спец)+COUNTIFS(Однолинейка!$J$3:$J$3000,C93,Однолинейка!$A$3:$A$3000,Щит_спец)+COUNTIFS(Однолинейка!$K$3:$K$3000,C93,Однолинейка!$A$3:$A$3000,Щит_спец)),IF(A93="Модуль",IF(C93="","",COUNTIFS(Однолинейка!$AW$3:$AW$3000,"?*",Однолинейка!$AI$3:$AI$3000,C93,Однолинейка!$A$3:$A$3000,Щит_спец)),IF(A93="Клемма",IF(C93="","",IF(C93=$S$7,SUMIFS(Однолинейка!$BW$3:$BW$3000,Однолинейка!$A$3:$A$3000,Щит_спец),IF(C93=$S$8,SUMIFS(Однолинейка!$BX$3:$BX$3000,Однолинейка!$A$3:$A$3000,Щит_спец),""))),""))))</f>
        <v/>
      </c>
      <c r="O93" s="74"/>
      <c r="P93" s="38" t="str">
        <f t="shared" si="9"/>
        <v/>
      </c>
      <c r="U93" s="38" t="str">
        <f t="shared" si="10"/>
        <v/>
      </c>
      <c r="V93" s="38" t="str">
        <f t="shared" si="11"/>
        <v/>
      </c>
      <c r="W93" s="38" t="str">
        <f>IF(AND(U93&lt;&gt;"",OR($S$4="(все)",B93=$S$4),IF($S$4="(все)",COUNTIF($U$4:U93,U93),COUNTIFS($U$4:U93,U93,$B$4:B93,B93))=1),MAX($W$3:W92)+1,"")</f>
        <v/>
      </c>
      <c r="X93" s="38" t="str">
        <f t="shared" si="12"/>
        <v/>
      </c>
      <c r="Y93" s="38" t="str">
        <f>IF(AND(A93="Аппарат",C93&lt;&gt;"",OR($S$5="(все)",B93=$S$5)),MAX($Y$3:Y92)+1,"")</f>
        <v/>
      </c>
      <c r="Z93" s="38" t="str">
        <f t="shared" si="13"/>
        <v/>
      </c>
      <c r="AA93" s="38" t="str">
        <f>IF(AND(A93="Модуль",C93&lt;&gt;"",OR($S$6="(все)",B93=$S$6)),MAX($AA$3:AA92)+1,"")</f>
        <v/>
      </c>
      <c r="AB93" s="38" t="str">
        <f t="shared" si="14"/>
        <v/>
      </c>
      <c r="AC93" s="38" t="str">
        <f>IF(OR(B93="",COUNTIF($B$4:B93,B93)&gt;1),"",MAX($AC$3:AC92)+1)</f>
        <v/>
      </c>
      <c r="AD93" s="38" t="str">
        <f t="shared" si="15"/>
        <v/>
      </c>
      <c r="AE93" s="38" t="str">
        <f t="shared" si="16"/>
        <v/>
      </c>
      <c r="AF93" s="38" t="str">
        <f t="shared" si="17"/>
        <v/>
      </c>
    </row>
    <row r="94" spans="1:32" x14ac:dyDescent="0.3">
      <c r="A94" s="74" t="s">
        <v>624</v>
      </c>
      <c r="B94" s="74" t="s">
        <v>345</v>
      </c>
      <c r="C94" s="74" t="s">
        <v>734</v>
      </c>
      <c r="D94" s="74"/>
      <c r="E94" s="74"/>
      <c r="F94" s="74"/>
      <c r="G94" s="74" t="s">
        <v>383</v>
      </c>
      <c r="H94" s="74" t="s">
        <v>734</v>
      </c>
      <c r="I94" s="74"/>
      <c r="J94" s="74"/>
      <c r="K94" s="74"/>
      <c r="L94" s="74"/>
      <c r="M94" s="74" t="s">
        <v>284</v>
      </c>
      <c r="N94" s="38" t="str">
        <f>IF(OR(A94="Автомат",A94="Дифавтомат"),IF(W94="","",COUNTIFS(Однолинейка!$H$3:$H$3000,U94,Однолинейка!$A$3:$A$3000,Щит_спец)),IF(A94="Аппарат",IF(C94="","",COUNTIFS(Однолинейка!$I$3:$I$3000,C94,Однолинейка!$A$3:$A$3000,Щит_спец)+COUNTIFS(Однолинейка!$J$3:$J$3000,C94,Однолинейка!$A$3:$A$3000,Щит_спец)+COUNTIFS(Однолинейка!$K$3:$K$3000,C94,Однолинейка!$A$3:$A$3000,Щит_спец)),IF(A94="Модуль",IF(C94="","",COUNTIFS(Однолинейка!$AW$3:$AW$3000,"?*",Однолинейка!$AI$3:$AI$3000,C94,Однолинейка!$A$3:$A$3000,Щит_спец)),IF(A94="Клемма",IF(C94="","",IF(C94=$S$7,SUMIFS(Однолинейка!$BW$3:$BW$3000,Однолинейка!$A$3:$A$3000,Щит_спец),IF(C94=$S$8,SUMIFS(Однолинейка!$BX$3:$BX$3000,Однолинейка!$A$3:$A$3000,Щит_спец),""))),""))))</f>
        <v/>
      </c>
      <c r="O94" s="74"/>
      <c r="P94" s="38" t="str">
        <f t="shared" si="9"/>
        <v/>
      </c>
      <c r="U94" s="38" t="str">
        <f t="shared" si="10"/>
        <v/>
      </c>
      <c r="V94" s="38" t="str">
        <f t="shared" si="11"/>
        <v/>
      </c>
      <c r="W94" s="38" t="str">
        <f>IF(AND(U94&lt;&gt;"",OR($S$4="(все)",B94=$S$4),IF($S$4="(все)",COUNTIF($U$4:U94,U94),COUNTIFS($U$4:U94,U94,$B$4:B94,B94))=1),MAX($W$3:W93)+1,"")</f>
        <v/>
      </c>
      <c r="X94" s="38" t="str">
        <f t="shared" si="12"/>
        <v/>
      </c>
      <c r="Y94" s="38" t="str">
        <f>IF(AND(A94="Аппарат",C94&lt;&gt;"",OR($S$5="(все)",B94=$S$5)),MAX($Y$3:Y93)+1,"")</f>
        <v/>
      </c>
      <c r="Z94" s="38" t="str">
        <f t="shared" si="13"/>
        <v/>
      </c>
      <c r="AA94" s="38" t="str">
        <f>IF(AND(A94="Модуль",C94&lt;&gt;"",OR($S$6="(все)",B94=$S$6)),MAX($AA$3:AA93)+1,"")</f>
        <v/>
      </c>
      <c r="AB94" s="38" t="str">
        <f t="shared" si="14"/>
        <v/>
      </c>
      <c r="AC94" s="38" t="str">
        <f>IF(OR(B94="",COUNTIF($B$4:B94,B94)&gt;1),"",MAX($AC$3:AC93)+1)</f>
        <v/>
      </c>
      <c r="AD94" s="38" t="str">
        <f t="shared" si="15"/>
        <v/>
      </c>
      <c r="AE94" s="38" t="str">
        <f t="shared" si="16"/>
        <v/>
      </c>
      <c r="AF94" s="38" t="str">
        <f t="shared" si="17"/>
        <v/>
      </c>
    </row>
    <row r="95" spans="1:32" x14ac:dyDescent="0.3">
      <c r="A95" s="74" t="s">
        <v>624</v>
      </c>
      <c r="B95" s="74" t="s">
        <v>345</v>
      </c>
      <c r="C95" s="74" t="s">
        <v>735</v>
      </c>
      <c r="D95" s="74"/>
      <c r="E95" s="74"/>
      <c r="F95" s="74"/>
      <c r="G95" s="74" t="s">
        <v>384</v>
      </c>
      <c r="H95" s="74" t="s">
        <v>735</v>
      </c>
      <c r="I95" s="74"/>
      <c r="J95" s="74"/>
      <c r="K95" s="74"/>
      <c r="L95" s="74"/>
      <c r="M95" s="74" t="s">
        <v>284</v>
      </c>
      <c r="N95" s="38" t="str">
        <f>IF(OR(A95="Автомат",A95="Дифавтомат"),IF(W95="","",COUNTIFS(Однолинейка!$H$3:$H$3000,U95,Однолинейка!$A$3:$A$3000,Щит_спец)),IF(A95="Аппарат",IF(C95="","",COUNTIFS(Однолинейка!$I$3:$I$3000,C95,Однолинейка!$A$3:$A$3000,Щит_спец)+COUNTIFS(Однолинейка!$J$3:$J$3000,C95,Однолинейка!$A$3:$A$3000,Щит_спец)+COUNTIFS(Однолинейка!$K$3:$K$3000,C95,Однолинейка!$A$3:$A$3000,Щит_спец)),IF(A95="Модуль",IF(C95="","",COUNTIFS(Однолинейка!$AW$3:$AW$3000,"?*",Однолинейка!$AI$3:$AI$3000,C95,Однолинейка!$A$3:$A$3000,Щит_спец)),IF(A95="Клемма",IF(C95="","",IF(C95=$S$7,SUMIFS(Однолинейка!$BW$3:$BW$3000,Однолинейка!$A$3:$A$3000,Щит_спец),IF(C95=$S$8,SUMIFS(Однолинейка!$BX$3:$BX$3000,Однолинейка!$A$3:$A$3000,Щит_спец),""))),""))))</f>
        <v/>
      </c>
      <c r="O95" s="74"/>
      <c r="P95" s="38" t="str">
        <f t="shared" si="9"/>
        <v/>
      </c>
      <c r="U95" s="38" t="str">
        <f t="shared" si="10"/>
        <v/>
      </c>
      <c r="V95" s="38" t="str">
        <f t="shared" si="11"/>
        <v/>
      </c>
      <c r="W95" s="38" t="str">
        <f>IF(AND(U95&lt;&gt;"",OR($S$4="(все)",B95=$S$4),IF($S$4="(все)",COUNTIF($U$4:U95,U95),COUNTIFS($U$4:U95,U95,$B$4:B95,B95))=1),MAX($W$3:W94)+1,"")</f>
        <v/>
      </c>
      <c r="X95" s="38" t="str">
        <f t="shared" si="12"/>
        <v/>
      </c>
      <c r="Y95" s="38" t="str">
        <f>IF(AND(A95="Аппарат",C95&lt;&gt;"",OR($S$5="(все)",B95=$S$5)),MAX($Y$3:Y94)+1,"")</f>
        <v/>
      </c>
      <c r="Z95" s="38" t="str">
        <f t="shared" si="13"/>
        <v/>
      </c>
      <c r="AA95" s="38" t="str">
        <f>IF(AND(A95="Модуль",C95&lt;&gt;"",OR($S$6="(все)",B95=$S$6)),MAX($AA$3:AA94)+1,"")</f>
        <v/>
      </c>
      <c r="AB95" s="38" t="str">
        <f t="shared" si="14"/>
        <v/>
      </c>
      <c r="AC95" s="38" t="str">
        <f>IF(OR(B95="",COUNTIF($B$4:B95,B95)&gt;1),"",MAX($AC$3:AC94)+1)</f>
        <v/>
      </c>
      <c r="AD95" s="38" t="str">
        <f t="shared" si="15"/>
        <v/>
      </c>
      <c r="AE95" s="38" t="str">
        <f t="shared" si="16"/>
        <v/>
      </c>
      <c r="AF95" s="38" t="str">
        <f t="shared" si="17"/>
        <v/>
      </c>
    </row>
    <row r="96" spans="1:32" x14ac:dyDescent="0.3">
      <c r="A96" s="74" t="s">
        <v>624</v>
      </c>
      <c r="B96" s="74" t="s">
        <v>301</v>
      </c>
      <c r="C96" s="74" t="s">
        <v>356</v>
      </c>
      <c r="D96" s="74"/>
      <c r="E96" s="74"/>
      <c r="F96" s="74"/>
      <c r="G96" s="74" t="s">
        <v>355</v>
      </c>
      <c r="H96" s="74" t="s">
        <v>356</v>
      </c>
      <c r="I96" s="74"/>
      <c r="J96" s="74"/>
      <c r="K96" s="74"/>
      <c r="L96" s="74"/>
      <c r="M96" s="74" t="s">
        <v>284</v>
      </c>
      <c r="N96" s="38" t="str">
        <f>IF(OR(A96="Автомат",A96="Дифавтомат"),IF(W96="","",COUNTIFS(Однолинейка!$H$3:$H$3000,U96,Однолинейка!$A$3:$A$3000,Щит_спец)),IF(A96="Аппарат",IF(C96="","",COUNTIFS(Однолинейка!$I$3:$I$3000,C96,Однолинейка!$A$3:$A$3000,Щит_спец)+COUNTIFS(Однолинейка!$J$3:$J$3000,C96,Однолинейка!$A$3:$A$3000,Щит_спец)+COUNTIFS(Однолинейка!$K$3:$K$3000,C96,Однолинейка!$A$3:$A$3000,Щит_спец)),IF(A96="Модуль",IF(C96="","",COUNTIFS(Однолинейка!$AW$3:$AW$3000,"?*",Однолинейка!$AI$3:$AI$3000,C96,Однолинейка!$A$3:$A$3000,Щит_спец)),IF(A96="Клемма",IF(C96="","",IF(C96=$S$7,SUMIFS(Однолинейка!$BW$3:$BW$3000,Однолинейка!$A$3:$A$3000,Щит_спец),IF(C96=$S$8,SUMIFS(Однолинейка!$BX$3:$BX$3000,Однолинейка!$A$3:$A$3000,Щит_спец),""))),""))))</f>
        <v/>
      </c>
      <c r="O96" s="74"/>
      <c r="P96" s="38" t="str">
        <f t="shared" si="9"/>
        <v/>
      </c>
      <c r="U96" s="38" t="str">
        <f t="shared" si="10"/>
        <v/>
      </c>
      <c r="V96" s="38" t="str">
        <f t="shared" si="11"/>
        <v/>
      </c>
      <c r="W96" s="38" t="str">
        <f>IF(AND(U96&lt;&gt;"",OR($S$4="(все)",B96=$S$4),IF($S$4="(все)",COUNTIF($U$4:U96,U96),COUNTIFS($U$4:U96,U96,$B$4:B96,B96))=1),MAX($W$3:W95)+1,"")</f>
        <v/>
      </c>
      <c r="X96" s="38" t="str">
        <f t="shared" si="12"/>
        <v/>
      </c>
      <c r="Y96" s="38" t="str">
        <f>IF(AND(A96="Аппарат",C96&lt;&gt;"",OR($S$5="(все)",B96=$S$5)),MAX($Y$3:Y95)+1,"")</f>
        <v/>
      </c>
      <c r="Z96" s="38" t="str">
        <f t="shared" si="13"/>
        <v/>
      </c>
      <c r="AA96" s="38" t="str">
        <f>IF(AND(A96="Модуль",C96&lt;&gt;"",OR($S$6="(все)",B96=$S$6)),MAX($AA$3:AA95)+1,"")</f>
        <v/>
      </c>
      <c r="AB96" s="38" t="str">
        <f t="shared" si="14"/>
        <v/>
      </c>
      <c r="AC96" s="38" t="str">
        <f>IF(OR(B96="",COUNTIF($B$4:B96,B96)&gt;1),"",MAX($AC$3:AC95)+1)</f>
        <v/>
      </c>
      <c r="AD96" s="38" t="str">
        <f t="shared" si="15"/>
        <v/>
      </c>
      <c r="AE96" s="38" t="str">
        <f t="shared" si="16"/>
        <v/>
      </c>
      <c r="AF96" s="38" t="str">
        <f t="shared" si="17"/>
        <v/>
      </c>
    </row>
    <row r="97" spans="1:32" x14ac:dyDescent="0.3">
      <c r="A97" s="74" t="s">
        <v>624</v>
      </c>
      <c r="B97" s="74" t="s">
        <v>281</v>
      </c>
      <c r="C97" s="74" t="s">
        <v>358</v>
      </c>
      <c r="D97" s="74"/>
      <c r="E97" s="74"/>
      <c r="F97" s="74"/>
      <c r="G97" s="74" t="s">
        <v>357</v>
      </c>
      <c r="H97" s="74" t="s">
        <v>358</v>
      </c>
      <c r="I97" s="74"/>
      <c r="J97" s="74"/>
      <c r="K97" s="74"/>
      <c r="L97" s="74"/>
      <c r="M97" s="74" t="s">
        <v>284</v>
      </c>
      <c r="N97" s="38" t="str">
        <f>IF(OR(A97="Автомат",A97="Дифавтомат"),IF(W97="","",COUNTIFS(Однолинейка!$H$3:$H$3000,U97,Однолинейка!$A$3:$A$3000,Щит_спец)),IF(A97="Аппарат",IF(C97="","",COUNTIFS(Однолинейка!$I$3:$I$3000,C97,Однолинейка!$A$3:$A$3000,Щит_спец)+COUNTIFS(Однолинейка!$J$3:$J$3000,C97,Однолинейка!$A$3:$A$3000,Щит_спец)+COUNTIFS(Однолинейка!$K$3:$K$3000,C97,Однолинейка!$A$3:$A$3000,Щит_спец)),IF(A97="Модуль",IF(C97="","",COUNTIFS(Однолинейка!$AW$3:$AW$3000,"?*",Однолинейка!$AI$3:$AI$3000,C97,Однолинейка!$A$3:$A$3000,Щит_спец)),IF(A97="Клемма",IF(C97="","",IF(C97=$S$7,SUMIFS(Однолинейка!$BW$3:$BW$3000,Однолинейка!$A$3:$A$3000,Щит_спец),IF(C97=$S$8,SUMIFS(Однолинейка!$BX$3:$BX$3000,Однолинейка!$A$3:$A$3000,Щит_спец),""))),""))))</f>
        <v/>
      </c>
      <c r="O97" s="74"/>
      <c r="P97" s="38" t="str">
        <f t="shared" si="9"/>
        <v/>
      </c>
      <c r="U97" s="38" t="str">
        <f t="shared" si="10"/>
        <v/>
      </c>
      <c r="V97" s="38" t="str">
        <f t="shared" si="11"/>
        <v/>
      </c>
      <c r="W97" s="38" t="str">
        <f>IF(AND(U97&lt;&gt;"",OR($S$4="(все)",B97=$S$4),IF($S$4="(все)",COUNTIF($U$4:U97,U97),COUNTIFS($U$4:U97,U97,$B$4:B97,B97))=1),MAX($W$3:W96)+1,"")</f>
        <v/>
      </c>
      <c r="X97" s="38" t="str">
        <f t="shared" si="12"/>
        <v/>
      </c>
      <c r="Y97" s="38" t="str">
        <f>IF(AND(A97="Аппарат",C97&lt;&gt;"",OR($S$5="(все)",B97=$S$5)),MAX($Y$3:Y96)+1,"")</f>
        <v/>
      </c>
      <c r="Z97" s="38" t="str">
        <f t="shared" si="13"/>
        <v/>
      </c>
      <c r="AA97" s="38" t="str">
        <f>IF(AND(A97="Модуль",C97&lt;&gt;"",OR($S$6="(все)",B97=$S$6)),MAX($AA$3:AA96)+1,"")</f>
        <v/>
      </c>
      <c r="AB97" s="38" t="str">
        <f t="shared" si="14"/>
        <v/>
      </c>
      <c r="AC97" s="38" t="str">
        <f>IF(OR(B97="",COUNTIF($B$4:B97,B97)&gt;1),"",MAX($AC$3:AC96)+1)</f>
        <v/>
      </c>
      <c r="AD97" s="38" t="str">
        <f t="shared" si="15"/>
        <v/>
      </c>
      <c r="AE97" s="38" t="str">
        <f t="shared" si="16"/>
        <v/>
      </c>
      <c r="AF97" s="38" t="str">
        <f t="shared" si="17"/>
        <v/>
      </c>
    </row>
    <row r="98" spans="1:32" x14ac:dyDescent="0.3">
      <c r="A98" s="74" t="s">
        <v>624</v>
      </c>
      <c r="B98" s="74" t="s">
        <v>281</v>
      </c>
      <c r="C98" s="74" t="s">
        <v>360</v>
      </c>
      <c r="D98" s="74"/>
      <c r="E98" s="74"/>
      <c r="F98" s="74"/>
      <c r="G98" s="74" t="s">
        <v>359</v>
      </c>
      <c r="H98" s="74" t="s">
        <v>360</v>
      </c>
      <c r="I98" s="74"/>
      <c r="J98" s="74"/>
      <c r="K98" s="74"/>
      <c r="L98" s="74"/>
      <c r="M98" s="74" t="s">
        <v>284</v>
      </c>
      <c r="N98" s="38" t="str">
        <f>IF(OR(A98="Автомат",A98="Дифавтомат"),IF(W98="","",COUNTIFS(Однолинейка!$H$3:$H$3000,U98,Однолинейка!$A$3:$A$3000,Щит_спец)),IF(A98="Аппарат",IF(C98="","",COUNTIFS(Однолинейка!$I$3:$I$3000,C98,Однолинейка!$A$3:$A$3000,Щит_спец)+COUNTIFS(Однолинейка!$J$3:$J$3000,C98,Однолинейка!$A$3:$A$3000,Щит_спец)+COUNTIFS(Однолинейка!$K$3:$K$3000,C98,Однолинейка!$A$3:$A$3000,Щит_спец)),IF(A98="Модуль",IF(C98="","",COUNTIFS(Однолинейка!$AW$3:$AW$3000,"?*",Однолинейка!$AI$3:$AI$3000,C98,Однолинейка!$A$3:$A$3000,Щит_спец)),IF(A98="Клемма",IF(C98="","",IF(C98=$S$7,SUMIFS(Однолинейка!$BW$3:$BW$3000,Однолинейка!$A$3:$A$3000,Щит_спец),IF(C98=$S$8,SUMIFS(Однолинейка!$BX$3:$BX$3000,Однолинейка!$A$3:$A$3000,Щит_спец),""))),""))))</f>
        <v/>
      </c>
      <c r="O98" s="74"/>
      <c r="P98" s="38" t="str">
        <f t="shared" si="9"/>
        <v/>
      </c>
      <c r="U98" s="38" t="str">
        <f t="shared" si="10"/>
        <v/>
      </c>
      <c r="V98" s="38" t="str">
        <f t="shared" si="11"/>
        <v/>
      </c>
      <c r="W98" s="38" t="str">
        <f>IF(AND(U98&lt;&gt;"",OR($S$4="(все)",B98=$S$4),IF($S$4="(все)",COUNTIF($U$4:U98,U98),COUNTIFS($U$4:U98,U98,$B$4:B98,B98))=1),MAX($W$3:W97)+1,"")</f>
        <v/>
      </c>
      <c r="X98" s="38" t="str">
        <f t="shared" si="12"/>
        <v/>
      </c>
      <c r="Y98" s="38" t="str">
        <f>IF(AND(A98="Аппарат",C98&lt;&gt;"",OR($S$5="(все)",B98=$S$5)),MAX($Y$3:Y97)+1,"")</f>
        <v/>
      </c>
      <c r="Z98" s="38" t="str">
        <f t="shared" si="13"/>
        <v/>
      </c>
      <c r="AA98" s="38" t="str">
        <f>IF(AND(A98="Модуль",C98&lt;&gt;"",OR($S$6="(все)",B98=$S$6)),MAX($AA$3:AA97)+1,"")</f>
        <v/>
      </c>
      <c r="AB98" s="38" t="str">
        <f t="shared" si="14"/>
        <v/>
      </c>
      <c r="AC98" s="38" t="str">
        <f>IF(OR(B98="",COUNTIF($B$4:B98,B98)&gt;1),"",MAX($AC$3:AC97)+1)</f>
        <v/>
      </c>
      <c r="AD98" s="38" t="str">
        <f t="shared" si="15"/>
        <v/>
      </c>
      <c r="AE98" s="38" t="str">
        <f t="shared" si="16"/>
        <v/>
      </c>
      <c r="AF98" s="38" t="str">
        <f t="shared" si="17"/>
        <v/>
      </c>
    </row>
    <row r="99" spans="1:32" x14ac:dyDescent="0.3">
      <c r="A99" s="74" t="s">
        <v>624</v>
      </c>
      <c r="B99" s="74" t="s">
        <v>281</v>
      </c>
      <c r="C99" s="74" t="s">
        <v>362</v>
      </c>
      <c r="D99" s="74"/>
      <c r="E99" s="74"/>
      <c r="F99" s="74"/>
      <c r="G99" s="74" t="s">
        <v>361</v>
      </c>
      <c r="H99" s="74" t="s">
        <v>362</v>
      </c>
      <c r="I99" s="74"/>
      <c r="J99" s="74"/>
      <c r="K99" s="74"/>
      <c r="L99" s="74"/>
      <c r="M99" s="74" t="s">
        <v>284</v>
      </c>
      <c r="N99" s="38" t="str">
        <f>IF(OR(A99="Автомат",A99="Дифавтомат"),IF(W99="","",COUNTIFS(Однолинейка!$H$3:$H$3000,U99,Однолинейка!$A$3:$A$3000,Щит_спец)),IF(A99="Аппарат",IF(C99="","",COUNTIFS(Однолинейка!$I$3:$I$3000,C99,Однолинейка!$A$3:$A$3000,Щит_спец)+COUNTIFS(Однолинейка!$J$3:$J$3000,C99,Однолинейка!$A$3:$A$3000,Щит_спец)+COUNTIFS(Однолинейка!$K$3:$K$3000,C99,Однолинейка!$A$3:$A$3000,Щит_спец)),IF(A99="Модуль",IF(C99="","",COUNTIFS(Однолинейка!$AW$3:$AW$3000,"?*",Однолинейка!$AI$3:$AI$3000,C99,Однолинейка!$A$3:$A$3000,Щит_спец)),IF(A99="Клемма",IF(C99="","",IF(C99=$S$7,SUMIFS(Однолинейка!$BW$3:$BW$3000,Однолинейка!$A$3:$A$3000,Щит_спец),IF(C99=$S$8,SUMIFS(Однолинейка!$BX$3:$BX$3000,Однолинейка!$A$3:$A$3000,Щит_спец),""))),""))))</f>
        <v/>
      </c>
      <c r="O99" s="74"/>
      <c r="P99" s="38" t="str">
        <f t="shared" si="9"/>
        <v/>
      </c>
      <c r="U99" s="38" t="str">
        <f t="shared" si="10"/>
        <v/>
      </c>
      <c r="V99" s="38" t="str">
        <f t="shared" si="11"/>
        <v/>
      </c>
      <c r="W99" s="38" t="str">
        <f>IF(AND(U99&lt;&gt;"",OR($S$4="(все)",B99=$S$4),IF($S$4="(все)",COUNTIF($U$4:U99,U99),COUNTIFS($U$4:U99,U99,$B$4:B99,B99))=1),MAX($W$3:W98)+1,"")</f>
        <v/>
      </c>
      <c r="X99" s="38" t="str">
        <f t="shared" si="12"/>
        <v/>
      </c>
      <c r="Y99" s="38" t="str">
        <f>IF(AND(A99="Аппарат",C99&lt;&gt;"",OR($S$5="(все)",B99=$S$5)),MAX($Y$3:Y98)+1,"")</f>
        <v/>
      </c>
      <c r="Z99" s="38" t="str">
        <f t="shared" si="13"/>
        <v/>
      </c>
      <c r="AA99" s="38" t="str">
        <f>IF(AND(A99="Модуль",C99&lt;&gt;"",OR($S$6="(все)",B99=$S$6)),MAX($AA$3:AA98)+1,"")</f>
        <v/>
      </c>
      <c r="AB99" s="38" t="str">
        <f t="shared" si="14"/>
        <v/>
      </c>
      <c r="AC99" s="38" t="str">
        <f>IF(OR(B99="",COUNTIF($B$4:B99,B99)&gt;1),"",MAX($AC$3:AC98)+1)</f>
        <v/>
      </c>
      <c r="AD99" s="38" t="str">
        <f t="shared" si="15"/>
        <v/>
      </c>
      <c r="AE99" s="38" t="str">
        <f t="shared" si="16"/>
        <v/>
      </c>
      <c r="AF99" s="38" t="str">
        <f t="shared" si="17"/>
        <v/>
      </c>
    </row>
    <row r="100" spans="1:32" x14ac:dyDescent="0.3">
      <c r="A100" s="74" t="s">
        <v>624</v>
      </c>
      <c r="B100" s="74"/>
      <c r="C100" s="74" t="s">
        <v>736</v>
      </c>
      <c r="D100" s="74"/>
      <c r="E100" s="74"/>
      <c r="F100" s="74"/>
      <c r="G100" s="74" t="s">
        <v>363</v>
      </c>
      <c r="H100" s="74"/>
      <c r="I100" s="74"/>
      <c r="J100" s="74"/>
      <c r="K100" s="74"/>
      <c r="L100" s="74"/>
      <c r="M100" s="74" t="s">
        <v>364</v>
      </c>
      <c r="N100" s="38" t="str">
        <f>IF(OR(A100="Автомат",A100="Дифавтомат"),IF(W100="","",COUNTIFS(Однолинейка!$H$3:$H$3000,U100,Однолинейка!$A$3:$A$3000,Щит_спец)),IF(A100="Аппарат",IF(C100="","",COUNTIFS(Однолинейка!$I$3:$I$3000,C100,Однолинейка!$A$3:$A$3000,Щит_спец)+COUNTIFS(Однолинейка!$J$3:$J$3000,C100,Однолинейка!$A$3:$A$3000,Щит_спец)+COUNTIFS(Однолинейка!$K$3:$K$3000,C100,Однолинейка!$A$3:$A$3000,Щит_спец)),IF(A100="Модуль",IF(C100="","",COUNTIFS(Однолинейка!$AW$3:$AW$3000,"?*",Однолинейка!$AI$3:$AI$3000,C100,Однолинейка!$A$3:$A$3000,Щит_спец)),IF(A100="Клемма",IF(C100="","",IF(C100=$S$7,SUMIFS(Однолинейка!$BW$3:$BW$3000,Однолинейка!$A$3:$A$3000,Щит_спец),IF(C100=$S$8,SUMIFS(Однолинейка!$BX$3:$BX$3000,Однолинейка!$A$3:$A$3000,Щит_спец),""))),""))))</f>
        <v/>
      </c>
      <c r="O100" s="74"/>
      <c r="P100" s="38" t="str">
        <f t="shared" si="9"/>
        <v/>
      </c>
      <c r="U100" s="38" t="str">
        <f t="shared" si="10"/>
        <v/>
      </c>
      <c r="V100" s="38" t="str">
        <f t="shared" si="11"/>
        <v/>
      </c>
      <c r="W100" s="38" t="str">
        <f>IF(AND(U100&lt;&gt;"",OR($S$4="(все)",B100=$S$4),IF($S$4="(все)",COUNTIF($U$4:U100,U100),COUNTIFS($U$4:U100,U100,$B$4:B100,B100))=1),MAX($W$3:W99)+1,"")</f>
        <v/>
      </c>
      <c r="X100" s="38" t="str">
        <f t="shared" si="12"/>
        <v/>
      </c>
      <c r="Y100" s="38" t="str">
        <f>IF(AND(A100="Аппарат",C100&lt;&gt;"",OR($S$5="(все)",B100=$S$5)),MAX($Y$3:Y99)+1,"")</f>
        <v/>
      </c>
      <c r="Z100" s="38" t="str">
        <f t="shared" si="13"/>
        <v/>
      </c>
      <c r="AA100" s="38" t="str">
        <f>IF(AND(A100="Модуль",C100&lt;&gt;"",OR($S$6="(все)",B100=$S$6)),MAX($AA$3:AA99)+1,"")</f>
        <v/>
      </c>
      <c r="AB100" s="38" t="str">
        <f t="shared" si="14"/>
        <v/>
      </c>
      <c r="AC100" s="38" t="str">
        <f>IF(OR(B100="",COUNTIF($B$4:B100,B100)&gt;1),"",MAX($AC$3:AC99)+1)</f>
        <v/>
      </c>
      <c r="AD100" s="38" t="str">
        <f t="shared" si="15"/>
        <v/>
      </c>
      <c r="AE100" s="38" t="str">
        <f t="shared" si="16"/>
        <v/>
      </c>
      <c r="AF100" s="38" t="str">
        <f t="shared" si="17"/>
        <v/>
      </c>
    </row>
    <row r="101" spans="1:32" x14ac:dyDescent="0.3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38" t="str">
        <f>IF(OR(A101="Автомат",A101="Дифавтомат"),IF(W101="","",COUNTIFS(Однолинейка!$H$3:$H$3000,U101,Однолинейка!$A$3:$A$3000,Щит_спец)),IF(A101="Аппарат",IF(C101="","",COUNTIFS(Однолинейка!$I$3:$I$3000,C101,Однолинейка!$A$3:$A$3000,Щит_спец)+COUNTIFS(Однолинейка!$J$3:$J$3000,C101,Однолинейка!$A$3:$A$3000,Щит_спец)+COUNTIFS(Однолинейка!$K$3:$K$3000,C101,Однолинейка!$A$3:$A$3000,Щит_спец)),IF(A101="Модуль",IF(C101="","",COUNTIFS(Однолинейка!$AW$3:$AW$3000,"?*",Однолинейка!$AI$3:$AI$3000,C101,Однолинейка!$A$3:$A$3000,Щит_спец)),IF(A101="Клемма",IF(C101="","",IF(C101=$S$7,SUMIFS(Однолинейка!$BW$3:$BW$3000,Однолинейка!$A$3:$A$3000,Щит_спец),IF(C101=$S$8,SUMIFS(Однолинейка!$BX$3:$BX$3000,Однолинейка!$A$3:$A$3000,Щит_спец),""))),""))))</f>
        <v/>
      </c>
      <c r="O101" s="74"/>
      <c r="P101" s="38" t="str">
        <f t="shared" si="9"/>
        <v/>
      </c>
      <c r="U101" s="38" t="str">
        <f t="shared" si="10"/>
        <v/>
      </c>
      <c r="V101" s="38" t="str">
        <f t="shared" si="11"/>
        <v/>
      </c>
      <c r="W101" s="38" t="str">
        <f>IF(AND(U101&lt;&gt;"",OR($S$4="(все)",B101=$S$4),IF($S$4="(все)",COUNTIF($U$4:U101,U101),COUNTIFS($U$4:U101,U101,$B$4:B101,B101))=1),MAX($W$3:W100)+1,"")</f>
        <v/>
      </c>
      <c r="X101" s="38" t="str">
        <f t="shared" si="12"/>
        <v/>
      </c>
      <c r="Y101" s="38" t="str">
        <f>IF(AND(A101="Аппарат",C101&lt;&gt;"",OR($S$5="(все)",B101=$S$5)),MAX($Y$3:Y100)+1,"")</f>
        <v/>
      </c>
      <c r="Z101" s="38" t="str">
        <f t="shared" si="13"/>
        <v/>
      </c>
      <c r="AA101" s="38" t="str">
        <f>IF(AND(A101="Модуль",C101&lt;&gt;"",OR($S$6="(все)",B101=$S$6)),MAX($AA$3:AA100)+1,"")</f>
        <v/>
      </c>
      <c r="AB101" s="38" t="str">
        <f t="shared" si="14"/>
        <v/>
      </c>
      <c r="AC101" s="38" t="str">
        <f>IF(OR(B101="",COUNTIF($B$4:B101,B101)&gt;1),"",MAX($AC$3:AC100)+1)</f>
        <v/>
      </c>
      <c r="AD101" s="38" t="str">
        <f t="shared" si="15"/>
        <v/>
      </c>
      <c r="AE101" s="38" t="str">
        <f t="shared" si="16"/>
        <v/>
      </c>
      <c r="AF101" s="38" t="str">
        <f t="shared" si="17"/>
        <v/>
      </c>
    </row>
    <row r="102" spans="1:32" x14ac:dyDescent="0.3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38" t="str">
        <f>IF(OR(A102="Автомат",A102="Дифавтомат"),IF(W102="","",COUNTIFS(Однолинейка!$H$3:$H$3000,U102,Однолинейка!$A$3:$A$3000,Щит_спец)),IF(A102="Аппарат",IF(C102="","",COUNTIFS(Однолинейка!$I$3:$I$3000,C102,Однолинейка!$A$3:$A$3000,Щит_спец)+COUNTIFS(Однолинейка!$J$3:$J$3000,C102,Однолинейка!$A$3:$A$3000,Щит_спец)+COUNTIFS(Однолинейка!$K$3:$K$3000,C102,Однолинейка!$A$3:$A$3000,Щит_спец)),IF(A102="Модуль",IF(C102="","",COUNTIFS(Однолинейка!$AW$3:$AW$3000,"?*",Однолинейка!$AI$3:$AI$3000,C102,Однолинейка!$A$3:$A$3000,Щит_спец)),IF(A102="Клемма",IF(C102="","",IF(C102=$S$7,SUMIFS(Однолинейка!$BW$3:$BW$3000,Однолинейка!$A$3:$A$3000,Щит_спец),IF(C102=$S$8,SUMIFS(Однолинейка!$BX$3:$BX$3000,Однолинейка!$A$3:$A$3000,Щит_спец),""))),""))))</f>
        <v/>
      </c>
      <c r="O102" s="74"/>
      <c r="P102" s="38" t="str">
        <f t="shared" si="9"/>
        <v/>
      </c>
      <c r="U102" s="38" t="str">
        <f t="shared" si="10"/>
        <v/>
      </c>
      <c r="V102" s="38" t="str">
        <f t="shared" si="11"/>
        <v/>
      </c>
      <c r="W102" s="38" t="str">
        <f>IF(AND(U102&lt;&gt;"",OR($S$4="(все)",B102=$S$4),IF($S$4="(все)",COUNTIF($U$4:U102,U102),COUNTIFS($U$4:U102,U102,$B$4:B102,B102))=1),MAX($W$3:W101)+1,"")</f>
        <v/>
      </c>
      <c r="X102" s="38" t="str">
        <f t="shared" si="12"/>
        <v/>
      </c>
      <c r="Y102" s="38" t="str">
        <f>IF(AND(A102="Аппарат",C102&lt;&gt;"",OR($S$5="(все)",B102=$S$5)),MAX($Y$3:Y101)+1,"")</f>
        <v/>
      </c>
      <c r="Z102" s="38" t="str">
        <f t="shared" si="13"/>
        <v/>
      </c>
      <c r="AA102" s="38" t="str">
        <f>IF(AND(A102="Модуль",C102&lt;&gt;"",OR($S$6="(все)",B102=$S$6)),MAX($AA$3:AA101)+1,"")</f>
        <v/>
      </c>
      <c r="AB102" s="38" t="str">
        <f t="shared" si="14"/>
        <v/>
      </c>
      <c r="AC102" s="38" t="str">
        <f>IF(OR(B102="",COUNTIF($B$4:B102,B102)&gt;1),"",MAX($AC$3:AC101)+1)</f>
        <v/>
      </c>
      <c r="AD102" s="38" t="str">
        <f t="shared" si="15"/>
        <v/>
      </c>
      <c r="AE102" s="38" t="str">
        <f t="shared" si="16"/>
        <v/>
      </c>
      <c r="AF102" s="38" t="str">
        <f t="shared" si="17"/>
        <v/>
      </c>
    </row>
    <row r="103" spans="1:32" x14ac:dyDescent="0.3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38" t="str">
        <f>IF(OR(A103="Автомат",A103="Дифавтомат"),IF(W103="","",COUNTIFS(Однолинейка!$H$3:$H$3000,U103,Однолинейка!$A$3:$A$3000,Щит_спец)),IF(A103="Аппарат",IF(C103="","",COUNTIFS(Однолинейка!$I$3:$I$3000,C103,Однолинейка!$A$3:$A$3000,Щит_спец)+COUNTIFS(Однолинейка!$J$3:$J$3000,C103,Однолинейка!$A$3:$A$3000,Щит_спец)+COUNTIFS(Однолинейка!$K$3:$K$3000,C103,Однолинейка!$A$3:$A$3000,Щит_спец)),IF(A103="Модуль",IF(C103="","",COUNTIFS(Однолинейка!$AW$3:$AW$3000,"?*",Однолинейка!$AI$3:$AI$3000,C103,Однолинейка!$A$3:$A$3000,Щит_спец)),IF(A103="Клемма",IF(C103="","",IF(C103=$S$7,SUMIFS(Однолинейка!$BW$3:$BW$3000,Однолинейка!$A$3:$A$3000,Щит_спец),IF(C103=$S$8,SUMIFS(Однолинейка!$BX$3:$BX$3000,Однолинейка!$A$3:$A$3000,Щит_спец),""))),""))))</f>
        <v/>
      </c>
      <c r="O103" s="74"/>
      <c r="P103" s="38" t="str">
        <f t="shared" si="9"/>
        <v/>
      </c>
      <c r="U103" s="38" t="str">
        <f t="shared" si="10"/>
        <v/>
      </c>
      <c r="V103" s="38" t="str">
        <f t="shared" si="11"/>
        <v/>
      </c>
      <c r="W103" s="38" t="str">
        <f>IF(AND(U103&lt;&gt;"",OR($S$4="(все)",B103=$S$4),IF($S$4="(все)",COUNTIF($U$4:U103,U103),COUNTIFS($U$4:U103,U103,$B$4:B103,B103))=1),MAX($W$3:W102)+1,"")</f>
        <v/>
      </c>
      <c r="X103" s="38" t="str">
        <f t="shared" si="12"/>
        <v/>
      </c>
      <c r="Y103" s="38" t="str">
        <f>IF(AND(A103="Аппарат",C103&lt;&gt;"",OR($S$5="(все)",B103=$S$5)),MAX($Y$3:Y102)+1,"")</f>
        <v/>
      </c>
      <c r="Z103" s="38" t="str">
        <f t="shared" si="13"/>
        <v/>
      </c>
      <c r="AA103" s="38" t="str">
        <f>IF(AND(A103="Модуль",C103&lt;&gt;"",OR($S$6="(все)",B103=$S$6)),MAX($AA$3:AA102)+1,"")</f>
        <v/>
      </c>
      <c r="AB103" s="38" t="str">
        <f t="shared" si="14"/>
        <v/>
      </c>
      <c r="AC103" s="38" t="str">
        <f>IF(OR(B103="",COUNTIF($B$4:B103,B103)&gt;1),"",MAX($AC$3:AC102)+1)</f>
        <v/>
      </c>
      <c r="AD103" s="38" t="str">
        <f t="shared" si="15"/>
        <v/>
      </c>
      <c r="AE103" s="38" t="str">
        <f t="shared" si="16"/>
        <v/>
      </c>
      <c r="AF103" s="38" t="str">
        <f t="shared" si="17"/>
        <v/>
      </c>
    </row>
    <row r="104" spans="1:32" x14ac:dyDescent="0.3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38" t="str">
        <f>IF(OR(A104="Автомат",A104="Дифавтомат"),IF(W104="","",COUNTIFS(Однолинейка!$H$3:$H$3000,U104,Однолинейка!$A$3:$A$3000,Щит_спец)),IF(A104="Аппарат",IF(C104="","",COUNTIFS(Однолинейка!$I$3:$I$3000,C104,Однолинейка!$A$3:$A$3000,Щит_спец)+COUNTIFS(Однолинейка!$J$3:$J$3000,C104,Однолинейка!$A$3:$A$3000,Щит_спец)+COUNTIFS(Однолинейка!$K$3:$K$3000,C104,Однолинейка!$A$3:$A$3000,Щит_спец)),IF(A104="Модуль",IF(C104="","",COUNTIFS(Однолинейка!$AW$3:$AW$3000,"?*",Однолинейка!$AI$3:$AI$3000,C104,Однолинейка!$A$3:$A$3000,Щит_спец)),IF(A104="Клемма",IF(C104="","",IF(C104=$S$7,SUMIFS(Однолинейка!$BW$3:$BW$3000,Однолинейка!$A$3:$A$3000,Щит_спец),IF(C104=$S$8,SUMIFS(Однолинейка!$BX$3:$BX$3000,Однолинейка!$A$3:$A$3000,Щит_спец),""))),""))))</f>
        <v/>
      </c>
      <c r="O104" s="74"/>
      <c r="P104" s="38" t="str">
        <f t="shared" si="9"/>
        <v/>
      </c>
      <c r="U104" s="38" t="str">
        <f t="shared" si="10"/>
        <v/>
      </c>
      <c r="V104" s="38" t="str">
        <f t="shared" si="11"/>
        <v/>
      </c>
      <c r="W104" s="38" t="str">
        <f>IF(AND(U104&lt;&gt;"",OR($S$4="(все)",B104=$S$4),IF($S$4="(все)",COUNTIF($U$4:U104,U104),COUNTIFS($U$4:U104,U104,$B$4:B104,B104))=1),MAX($W$3:W103)+1,"")</f>
        <v/>
      </c>
      <c r="X104" s="38" t="str">
        <f t="shared" si="12"/>
        <v/>
      </c>
      <c r="Y104" s="38" t="str">
        <f>IF(AND(A104="Аппарат",C104&lt;&gt;"",OR($S$5="(все)",B104=$S$5)),MAX($Y$3:Y103)+1,"")</f>
        <v/>
      </c>
      <c r="Z104" s="38" t="str">
        <f t="shared" si="13"/>
        <v/>
      </c>
      <c r="AA104" s="38" t="str">
        <f>IF(AND(A104="Модуль",C104&lt;&gt;"",OR($S$6="(все)",B104=$S$6)),MAX($AA$3:AA103)+1,"")</f>
        <v/>
      </c>
      <c r="AB104" s="38" t="str">
        <f t="shared" si="14"/>
        <v/>
      </c>
      <c r="AC104" s="38" t="str">
        <f>IF(OR(B104="",COUNTIF($B$4:B104,B104)&gt;1),"",MAX($AC$3:AC103)+1)</f>
        <v/>
      </c>
      <c r="AD104" s="38" t="str">
        <f t="shared" si="15"/>
        <v/>
      </c>
      <c r="AE104" s="38" t="str">
        <f t="shared" si="16"/>
        <v/>
      </c>
      <c r="AF104" s="38" t="str">
        <f t="shared" si="17"/>
        <v/>
      </c>
    </row>
    <row r="105" spans="1:32" x14ac:dyDescent="0.3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38" t="str">
        <f>IF(OR(A105="Автомат",A105="Дифавтомат"),IF(W105="","",COUNTIFS(Однолинейка!$H$3:$H$3000,U105,Однолинейка!$A$3:$A$3000,Щит_спец)),IF(A105="Аппарат",IF(C105="","",COUNTIFS(Однолинейка!$I$3:$I$3000,C105,Однолинейка!$A$3:$A$3000,Щит_спец)+COUNTIFS(Однолинейка!$J$3:$J$3000,C105,Однолинейка!$A$3:$A$3000,Щит_спец)+COUNTIFS(Однолинейка!$K$3:$K$3000,C105,Однолинейка!$A$3:$A$3000,Щит_спец)),IF(A105="Модуль",IF(C105="","",COUNTIFS(Однолинейка!$AW$3:$AW$3000,"?*",Однолинейка!$AI$3:$AI$3000,C105,Однолинейка!$A$3:$A$3000,Щит_спец)),IF(A105="Клемма",IF(C105="","",IF(C105=$S$7,SUMIFS(Однолинейка!$BW$3:$BW$3000,Однолинейка!$A$3:$A$3000,Щит_спец),IF(C105=$S$8,SUMIFS(Однолинейка!$BX$3:$BX$3000,Однолинейка!$A$3:$A$3000,Щит_спец),""))),""))))</f>
        <v/>
      </c>
      <c r="O105" s="74"/>
      <c r="P105" s="38" t="str">
        <f t="shared" si="9"/>
        <v/>
      </c>
      <c r="U105" s="38" t="str">
        <f t="shared" si="10"/>
        <v/>
      </c>
      <c r="V105" s="38" t="str">
        <f t="shared" si="11"/>
        <v/>
      </c>
      <c r="W105" s="38" t="str">
        <f>IF(AND(U105&lt;&gt;"",OR($S$4="(все)",B105=$S$4),IF($S$4="(все)",COUNTIF($U$4:U105,U105),COUNTIFS($U$4:U105,U105,$B$4:B105,B105))=1),MAX($W$3:W104)+1,"")</f>
        <v/>
      </c>
      <c r="X105" s="38" t="str">
        <f t="shared" si="12"/>
        <v/>
      </c>
      <c r="Y105" s="38" t="str">
        <f>IF(AND(A105="Аппарат",C105&lt;&gt;"",OR($S$5="(все)",B105=$S$5)),MAX($Y$3:Y104)+1,"")</f>
        <v/>
      </c>
      <c r="Z105" s="38" t="str">
        <f t="shared" si="13"/>
        <v/>
      </c>
      <c r="AA105" s="38" t="str">
        <f>IF(AND(A105="Модуль",C105&lt;&gt;"",OR($S$6="(все)",B105=$S$6)),MAX($AA$3:AA104)+1,"")</f>
        <v/>
      </c>
      <c r="AB105" s="38" t="str">
        <f t="shared" si="14"/>
        <v/>
      </c>
      <c r="AC105" s="38" t="str">
        <f>IF(OR(B105="",COUNTIF($B$4:B105,B105)&gt;1),"",MAX($AC$3:AC104)+1)</f>
        <v/>
      </c>
      <c r="AD105" s="38" t="str">
        <f t="shared" si="15"/>
        <v/>
      </c>
      <c r="AE105" s="38" t="str">
        <f t="shared" si="16"/>
        <v/>
      </c>
      <c r="AF105" s="38" t="str">
        <f t="shared" si="17"/>
        <v/>
      </c>
    </row>
    <row r="106" spans="1:32" x14ac:dyDescent="0.3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38" t="str">
        <f>IF(OR(A106="Автомат",A106="Дифавтомат"),IF(W106="","",COUNTIFS(Однолинейка!$H$3:$H$3000,U106,Однолинейка!$A$3:$A$3000,Щит_спец)),IF(A106="Аппарат",IF(C106="","",COUNTIFS(Однолинейка!$I$3:$I$3000,C106,Однолинейка!$A$3:$A$3000,Щит_спец)+COUNTIFS(Однолинейка!$J$3:$J$3000,C106,Однолинейка!$A$3:$A$3000,Щит_спец)+COUNTIFS(Однолинейка!$K$3:$K$3000,C106,Однолинейка!$A$3:$A$3000,Щит_спец)),IF(A106="Модуль",IF(C106="","",COUNTIFS(Однолинейка!$AW$3:$AW$3000,"?*",Однолинейка!$AI$3:$AI$3000,C106,Однолинейка!$A$3:$A$3000,Щит_спец)),IF(A106="Клемма",IF(C106="","",IF(C106=$S$7,SUMIFS(Однолинейка!$BW$3:$BW$3000,Однолинейка!$A$3:$A$3000,Щит_спец),IF(C106=$S$8,SUMIFS(Однолинейка!$BX$3:$BX$3000,Однолинейка!$A$3:$A$3000,Щит_спец),""))),""))))</f>
        <v/>
      </c>
      <c r="O106" s="74"/>
      <c r="P106" s="38" t="str">
        <f t="shared" si="9"/>
        <v/>
      </c>
      <c r="U106" s="38" t="str">
        <f t="shared" si="10"/>
        <v/>
      </c>
      <c r="V106" s="38" t="str">
        <f t="shared" si="11"/>
        <v/>
      </c>
      <c r="W106" s="38" t="str">
        <f>IF(AND(U106&lt;&gt;"",OR($S$4="(все)",B106=$S$4),IF($S$4="(все)",COUNTIF($U$4:U106,U106),COUNTIFS($U$4:U106,U106,$B$4:B106,B106))=1),MAX($W$3:W105)+1,"")</f>
        <v/>
      </c>
      <c r="X106" s="38" t="str">
        <f t="shared" si="12"/>
        <v/>
      </c>
      <c r="Y106" s="38" t="str">
        <f>IF(AND(A106="Аппарат",C106&lt;&gt;"",OR($S$5="(все)",B106=$S$5)),MAX($Y$3:Y105)+1,"")</f>
        <v/>
      </c>
      <c r="Z106" s="38" t="str">
        <f t="shared" si="13"/>
        <v/>
      </c>
      <c r="AA106" s="38" t="str">
        <f>IF(AND(A106="Модуль",C106&lt;&gt;"",OR($S$6="(все)",B106=$S$6)),MAX($AA$3:AA105)+1,"")</f>
        <v/>
      </c>
      <c r="AB106" s="38" t="str">
        <f t="shared" si="14"/>
        <v/>
      </c>
      <c r="AC106" s="38" t="str">
        <f>IF(OR(B106="",COUNTIF($B$4:B106,B106)&gt;1),"",MAX($AC$3:AC105)+1)</f>
        <v/>
      </c>
      <c r="AD106" s="38" t="str">
        <f t="shared" si="15"/>
        <v/>
      </c>
      <c r="AE106" s="38" t="str">
        <f t="shared" si="16"/>
        <v/>
      </c>
      <c r="AF106" s="38" t="str">
        <f t="shared" si="17"/>
        <v/>
      </c>
    </row>
    <row r="107" spans="1:32" x14ac:dyDescent="0.3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38" t="str">
        <f>IF(OR(A107="Автомат",A107="Дифавтомат"),IF(W107="","",COUNTIFS(Однолинейка!$H$3:$H$3000,U107,Однолинейка!$A$3:$A$3000,Щит_спец)),IF(A107="Аппарат",IF(C107="","",COUNTIFS(Однолинейка!$I$3:$I$3000,C107,Однолинейка!$A$3:$A$3000,Щит_спец)+COUNTIFS(Однолинейка!$J$3:$J$3000,C107,Однолинейка!$A$3:$A$3000,Щит_спец)+COUNTIFS(Однолинейка!$K$3:$K$3000,C107,Однолинейка!$A$3:$A$3000,Щит_спец)),IF(A107="Модуль",IF(C107="","",COUNTIFS(Однолинейка!$AW$3:$AW$3000,"?*",Однолинейка!$AI$3:$AI$3000,C107,Однолинейка!$A$3:$A$3000,Щит_спец)),IF(A107="Клемма",IF(C107="","",IF(C107=$S$7,SUMIFS(Однолинейка!$BW$3:$BW$3000,Однолинейка!$A$3:$A$3000,Щит_спец),IF(C107=$S$8,SUMIFS(Однолинейка!$BX$3:$BX$3000,Однолинейка!$A$3:$A$3000,Щит_спец),""))),""))))</f>
        <v/>
      </c>
      <c r="O107" s="74"/>
      <c r="P107" s="38" t="str">
        <f t="shared" si="9"/>
        <v/>
      </c>
      <c r="U107" s="38" t="str">
        <f t="shared" si="10"/>
        <v/>
      </c>
      <c r="V107" s="38" t="str">
        <f t="shared" si="11"/>
        <v/>
      </c>
      <c r="W107" s="38" t="str">
        <f>IF(AND(U107&lt;&gt;"",OR($S$4="(все)",B107=$S$4),IF($S$4="(все)",COUNTIF($U$4:U107,U107),COUNTIFS($U$4:U107,U107,$B$4:B107,B107))=1),MAX($W$3:W106)+1,"")</f>
        <v/>
      </c>
      <c r="X107" s="38" t="str">
        <f t="shared" si="12"/>
        <v/>
      </c>
      <c r="Y107" s="38" t="str">
        <f>IF(AND(A107="Аппарат",C107&lt;&gt;"",OR($S$5="(все)",B107=$S$5)),MAX($Y$3:Y106)+1,"")</f>
        <v/>
      </c>
      <c r="Z107" s="38" t="str">
        <f t="shared" si="13"/>
        <v/>
      </c>
      <c r="AA107" s="38" t="str">
        <f>IF(AND(A107="Модуль",C107&lt;&gt;"",OR($S$6="(все)",B107=$S$6)),MAX($AA$3:AA106)+1,"")</f>
        <v/>
      </c>
      <c r="AB107" s="38" t="str">
        <f t="shared" si="14"/>
        <v/>
      </c>
      <c r="AC107" s="38" t="str">
        <f>IF(OR(B107="",COUNTIF($B$4:B107,B107)&gt;1),"",MAX($AC$3:AC106)+1)</f>
        <v/>
      </c>
      <c r="AD107" s="38" t="str">
        <f t="shared" si="15"/>
        <v/>
      </c>
      <c r="AE107" s="38" t="str">
        <f t="shared" si="16"/>
        <v/>
      </c>
      <c r="AF107" s="38" t="str">
        <f t="shared" si="17"/>
        <v/>
      </c>
    </row>
    <row r="108" spans="1:32" x14ac:dyDescent="0.3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38" t="str">
        <f>IF(OR(A108="Автомат",A108="Дифавтомат"),IF(W108="","",COUNTIFS(Однолинейка!$H$3:$H$3000,U108,Однолинейка!$A$3:$A$3000,Щит_спец)),IF(A108="Аппарат",IF(C108="","",COUNTIFS(Однолинейка!$I$3:$I$3000,C108,Однолинейка!$A$3:$A$3000,Щит_спец)+COUNTIFS(Однолинейка!$J$3:$J$3000,C108,Однолинейка!$A$3:$A$3000,Щит_спец)+COUNTIFS(Однолинейка!$K$3:$K$3000,C108,Однолинейка!$A$3:$A$3000,Щит_спец)),IF(A108="Модуль",IF(C108="","",COUNTIFS(Однолинейка!$AW$3:$AW$3000,"?*",Однолинейка!$AI$3:$AI$3000,C108,Однолинейка!$A$3:$A$3000,Щит_спец)),IF(A108="Клемма",IF(C108="","",IF(C108=$S$7,SUMIFS(Однолинейка!$BW$3:$BW$3000,Однолинейка!$A$3:$A$3000,Щит_спец),IF(C108=$S$8,SUMIFS(Однолинейка!$BX$3:$BX$3000,Однолинейка!$A$3:$A$3000,Щит_спец),""))),""))))</f>
        <v/>
      </c>
      <c r="O108" s="74"/>
      <c r="P108" s="38" t="str">
        <f t="shared" si="9"/>
        <v/>
      </c>
      <c r="U108" s="38" t="str">
        <f t="shared" si="10"/>
        <v/>
      </c>
      <c r="V108" s="38" t="str">
        <f t="shared" si="11"/>
        <v/>
      </c>
      <c r="W108" s="38" t="str">
        <f>IF(AND(U108&lt;&gt;"",OR($S$4="(все)",B108=$S$4),IF($S$4="(все)",COUNTIF($U$4:U108,U108),COUNTIFS($U$4:U108,U108,$B$4:B108,B108))=1),MAX($W$3:W107)+1,"")</f>
        <v/>
      </c>
      <c r="X108" s="38" t="str">
        <f t="shared" si="12"/>
        <v/>
      </c>
      <c r="Y108" s="38" t="str">
        <f>IF(AND(A108="Аппарат",C108&lt;&gt;"",OR($S$5="(все)",B108=$S$5)),MAX($Y$3:Y107)+1,"")</f>
        <v/>
      </c>
      <c r="Z108" s="38" t="str">
        <f t="shared" si="13"/>
        <v/>
      </c>
      <c r="AA108" s="38" t="str">
        <f>IF(AND(A108="Модуль",C108&lt;&gt;"",OR($S$6="(все)",B108=$S$6)),MAX($AA$3:AA107)+1,"")</f>
        <v/>
      </c>
      <c r="AB108" s="38" t="str">
        <f t="shared" si="14"/>
        <v/>
      </c>
      <c r="AC108" s="38" t="str">
        <f>IF(OR(B108="",COUNTIF($B$4:B108,B108)&gt;1),"",MAX($AC$3:AC107)+1)</f>
        <v/>
      </c>
      <c r="AD108" s="38" t="str">
        <f t="shared" si="15"/>
        <v/>
      </c>
      <c r="AE108" s="38" t="str">
        <f t="shared" si="16"/>
        <v/>
      </c>
      <c r="AF108" s="38" t="str">
        <f t="shared" si="17"/>
        <v/>
      </c>
    </row>
    <row r="109" spans="1:32" x14ac:dyDescent="0.3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38" t="str">
        <f>IF(OR(A109="Автомат",A109="Дифавтомат"),IF(W109="","",COUNTIFS(Однолинейка!$H$3:$H$3000,U109,Однолинейка!$A$3:$A$3000,Щит_спец)),IF(A109="Аппарат",IF(C109="","",COUNTIFS(Однолинейка!$I$3:$I$3000,C109,Однолинейка!$A$3:$A$3000,Щит_спец)+COUNTIFS(Однолинейка!$J$3:$J$3000,C109,Однолинейка!$A$3:$A$3000,Щит_спец)+COUNTIFS(Однолинейка!$K$3:$K$3000,C109,Однолинейка!$A$3:$A$3000,Щит_спец)),IF(A109="Модуль",IF(C109="","",COUNTIFS(Однолинейка!$AW$3:$AW$3000,"?*",Однолинейка!$AI$3:$AI$3000,C109,Однолинейка!$A$3:$A$3000,Щит_спец)),IF(A109="Клемма",IF(C109="","",IF(C109=$S$7,SUMIFS(Однолинейка!$BW$3:$BW$3000,Однолинейка!$A$3:$A$3000,Щит_спец),IF(C109=$S$8,SUMIFS(Однолинейка!$BX$3:$BX$3000,Однолинейка!$A$3:$A$3000,Щит_спец),""))),""))))</f>
        <v/>
      </c>
      <c r="O109" s="74"/>
      <c r="P109" s="38" t="str">
        <f t="shared" si="9"/>
        <v/>
      </c>
      <c r="U109" s="38" t="str">
        <f t="shared" si="10"/>
        <v/>
      </c>
      <c r="V109" s="38" t="str">
        <f t="shared" si="11"/>
        <v/>
      </c>
      <c r="W109" s="38" t="str">
        <f>IF(AND(U109&lt;&gt;"",OR($S$4="(все)",B109=$S$4),IF($S$4="(все)",COUNTIF($U$4:U109,U109),COUNTIFS($U$4:U109,U109,$B$4:B109,B109))=1),MAX($W$3:W108)+1,"")</f>
        <v/>
      </c>
      <c r="X109" s="38" t="str">
        <f t="shared" si="12"/>
        <v/>
      </c>
      <c r="Y109" s="38" t="str">
        <f>IF(AND(A109="Аппарат",C109&lt;&gt;"",OR($S$5="(все)",B109=$S$5)),MAX($Y$3:Y108)+1,"")</f>
        <v/>
      </c>
      <c r="Z109" s="38" t="str">
        <f t="shared" si="13"/>
        <v/>
      </c>
      <c r="AA109" s="38" t="str">
        <f>IF(AND(A109="Модуль",C109&lt;&gt;"",OR($S$6="(все)",B109=$S$6)),MAX($AA$3:AA108)+1,"")</f>
        <v/>
      </c>
      <c r="AB109" s="38" t="str">
        <f t="shared" si="14"/>
        <v/>
      </c>
      <c r="AC109" s="38" t="str">
        <f>IF(OR(B109="",COUNTIF($B$4:B109,B109)&gt;1),"",MAX($AC$3:AC108)+1)</f>
        <v/>
      </c>
      <c r="AD109" s="38" t="str">
        <f t="shared" si="15"/>
        <v/>
      </c>
      <c r="AE109" s="38" t="str">
        <f t="shared" si="16"/>
        <v/>
      </c>
      <c r="AF109" s="38" t="str">
        <f t="shared" si="17"/>
        <v/>
      </c>
    </row>
    <row r="110" spans="1:32" x14ac:dyDescent="0.3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38" t="str">
        <f>IF(OR(A110="Автомат",A110="Дифавтомат"),IF(W110="","",COUNTIFS(Однолинейка!$H$3:$H$3000,U110,Однолинейка!$A$3:$A$3000,Щит_спец)),IF(A110="Аппарат",IF(C110="","",COUNTIFS(Однолинейка!$I$3:$I$3000,C110,Однолинейка!$A$3:$A$3000,Щит_спец)+COUNTIFS(Однолинейка!$J$3:$J$3000,C110,Однолинейка!$A$3:$A$3000,Щит_спец)+COUNTIFS(Однолинейка!$K$3:$K$3000,C110,Однолинейка!$A$3:$A$3000,Щит_спец)),IF(A110="Модуль",IF(C110="","",COUNTIFS(Однолинейка!$AW$3:$AW$3000,"?*",Однолинейка!$AI$3:$AI$3000,C110,Однолинейка!$A$3:$A$3000,Щит_спец)),IF(A110="Клемма",IF(C110="","",IF(C110=$S$7,SUMIFS(Однолинейка!$BW$3:$BW$3000,Однолинейка!$A$3:$A$3000,Щит_спец),IF(C110=$S$8,SUMIFS(Однолинейка!$BX$3:$BX$3000,Однолинейка!$A$3:$A$3000,Щит_спец),""))),""))))</f>
        <v/>
      </c>
      <c r="O110" s="74"/>
      <c r="P110" s="38" t="str">
        <f t="shared" si="9"/>
        <v/>
      </c>
      <c r="U110" s="38" t="str">
        <f t="shared" si="10"/>
        <v/>
      </c>
      <c r="V110" s="38" t="str">
        <f t="shared" si="11"/>
        <v/>
      </c>
      <c r="W110" s="38" t="str">
        <f>IF(AND(U110&lt;&gt;"",OR($S$4="(все)",B110=$S$4),IF($S$4="(все)",COUNTIF($U$4:U110,U110),COUNTIFS($U$4:U110,U110,$B$4:B110,B110))=1),MAX($W$3:W109)+1,"")</f>
        <v/>
      </c>
      <c r="X110" s="38" t="str">
        <f t="shared" si="12"/>
        <v/>
      </c>
      <c r="Y110" s="38" t="str">
        <f>IF(AND(A110="Аппарат",C110&lt;&gt;"",OR($S$5="(все)",B110=$S$5)),MAX($Y$3:Y109)+1,"")</f>
        <v/>
      </c>
      <c r="Z110" s="38" t="str">
        <f t="shared" si="13"/>
        <v/>
      </c>
      <c r="AA110" s="38" t="str">
        <f>IF(AND(A110="Модуль",C110&lt;&gt;"",OR($S$6="(все)",B110=$S$6)),MAX($AA$3:AA109)+1,"")</f>
        <v/>
      </c>
      <c r="AB110" s="38" t="str">
        <f t="shared" si="14"/>
        <v/>
      </c>
      <c r="AC110" s="38" t="str">
        <f>IF(OR(B110="",COUNTIF($B$4:B110,B110)&gt;1),"",MAX($AC$3:AC109)+1)</f>
        <v/>
      </c>
      <c r="AD110" s="38" t="str">
        <f t="shared" si="15"/>
        <v/>
      </c>
      <c r="AE110" s="38" t="str">
        <f t="shared" si="16"/>
        <v/>
      </c>
      <c r="AF110" s="38" t="str">
        <f t="shared" si="17"/>
        <v/>
      </c>
    </row>
    <row r="111" spans="1:32" x14ac:dyDescent="0.3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38" t="str">
        <f>IF(OR(A111="Автомат",A111="Дифавтомат"),IF(W111="","",COUNTIFS(Однолинейка!$H$3:$H$3000,U111,Однолинейка!$A$3:$A$3000,Щит_спец)),IF(A111="Аппарат",IF(C111="","",COUNTIFS(Однолинейка!$I$3:$I$3000,C111,Однолинейка!$A$3:$A$3000,Щит_спец)+COUNTIFS(Однолинейка!$J$3:$J$3000,C111,Однолинейка!$A$3:$A$3000,Щит_спец)+COUNTIFS(Однолинейка!$K$3:$K$3000,C111,Однолинейка!$A$3:$A$3000,Щит_спец)),IF(A111="Модуль",IF(C111="","",COUNTIFS(Однолинейка!$AW$3:$AW$3000,"?*",Однолинейка!$AI$3:$AI$3000,C111,Однолинейка!$A$3:$A$3000,Щит_спец)),IF(A111="Клемма",IF(C111="","",IF(C111=$S$7,SUMIFS(Однолинейка!$BW$3:$BW$3000,Однолинейка!$A$3:$A$3000,Щит_спец),IF(C111=$S$8,SUMIFS(Однолинейка!$BX$3:$BX$3000,Однолинейка!$A$3:$A$3000,Щит_спец),""))),""))))</f>
        <v/>
      </c>
      <c r="O111" s="74"/>
      <c r="P111" s="38" t="str">
        <f t="shared" si="9"/>
        <v/>
      </c>
      <c r="U111" s="38" t="str">
        <f t="shared" si="10"/>
        <v/>
      </c>
      <c r="V111" s="38" t="str">
        <f t="shared" si="11"/>
        <v/>
      </c>
      <c r="W111" s="38" t="str">
        <f>IF(AND(U111&lt;&gt;"",OR($S$4="(все)",B111=$S$4),IF($S$4="(все)",COUNTIF($U$4:U111,U111),COUNTIFS($U$4:U111,U111,$B$4:B111,B111))=1),MAX($W$3:W110)+1,"")</f>
        <v/>
      </c>
      <c r="X111" s="38" t="str">
        <f t="shared" si="12"/>
        <v/>
      </c>
      <c r="Y111" s="38" t="str">
        <f>IF(AND(A111="Аппарат",C111&lt;&gt;"",OR($S$5="(все)",B111=$S$5)),MAX($Y$3:Y110)+1,"")</f>
        <v/>
      </c>
      <c r="Z111" s="38" t="str">
        <f t="shared" si="13"/>
        <v/>
      </c>
      <c r="AA111" s="38" t="str">
        <f>IF(AND(A111="Модуль",C111&lt;&gt;"",OR($S$6="(все)",B111=$S$6)),MAX($AA$3:AA110)+1,"")</f>
        <v/>
      </c>
      <c r="AB111" s="38" t="str">
        <f t="shared" si="14"/>
        <v/>
      </c>
      <c r="AC111" s="38" t="str">
        <f>IF(OR(B111="",COUNTIF($B$4:B111,B111)&gt;1),"",MAX($AC$3:AC110)+1)</f>
        <v/>
      </c>
      <c r="AD111" s="38" t="str">
        <f t="shared" si="15"/>
        <v/>
      </c>
      <c r="AE111" s="38" t="str">
        <f t="shared" si="16"/>
        <v/>
      </c>
      <c r="AF111" s="38" t="str">
        <f t="shared" si="17"/>
        <v/>
      </c>
    </row>
    <row r="112" spans="1:32" x14ac:dyDescent="0.3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38" t="str">
        <f>IF(OR(A112="Автомат",A112="Дифавтомат"),IF(W112="","",COUNTIFS(Однолинейка!$H$3:$H$3000,U112,Однолинейка!$A$3:$A$3000,Щит_спец)),IF(A112="Аппарат",IF(C112="","",COUNTIFS(Однолинейка!$I$3:$I$3000,C112,Однолинейка!$A$3:$A$3000,Щит_спец)+COUNTIFS(Однолинейка!$J$3:$J$3000,C112,Однолинейка!$A$3:$A$3000,Щит_спец)+COUNTIFS(Однолинейка!$K$3:$K$3000,C112,Однолинейка!$A$3:$A$3000,Щит_спец)),IF(A112="Модуль",IF(C112="","",COUNTIFS(Однолинейка!$AW$3:$AW$3000,"?*",Однолинейка!$AI$3:$AI$3000,C112,Однолинейка!$A$3:$A$3000,Щит_спец)),IF(A112="Клемма",IF(C112="","",IF(C112=$S$7,SUMIFS(Однолинейка!$BW$3:$BW$3000,Однолинейка!$A$3:$A$3000,Щит_спец),IF(C112=$S$8,SUMIFS(Однолинейка!$BX$3:$BX$3000,Однолинейка!$A$3:$A$3000,Щит_спец),""))),""))))</f>
        <v/>
      </c>
      <c r="O112" s="74"/>
      <c r="P112" s="38" t="str">
        <f t="shared" si="9"/>
        <v/>
      </c>
      <c r="U112" s="38" t="str">
        <f t="shared" si="10"/>
        <v/>
      </c>
      <c r="V112" s="38" t="str">
        <f t="shared" si="11"/>
        <v/>
      </c>
      <c r="W112" s="38" t="str">
        <f>IF(AND(U112&lt;&gt;"",OR($S$4="(все)",B112=$S$4),IF($S$4="(все)",COUNTIF($U$4:U112,U112),COUNTIFS($U$4:U112,U112,$B$4:B112,B112))=1),MAX($W$3:W111)+1,"")</f>
        <v/>
      </c>
      <c r="X112" s="38" t="str">
        <f t="shared" si="12"/>
        <v/>
      </c>
      <c r="Y112" s="38" t="str">
        <f>IF(AND(A112="Аппарат",C112&lt;&gt;"",OR($S$5="(все)",B112=$S$5)),MAX($Y$3:Y111)+1,"")</f>
        <v/>
      </c>
      <c r="Z112" s="38" t="str">
        <f t="shared" si="13"/>
        <v/>
      </c>
      <c r="AA112" s="38" t="str">
        <f>IF(AND(A112="Модуль",C112&lt;&gt;"",OR($S$6="(все)",B112=$S$6)),MAX($AA$3:AA111)+1,"")</f>
        <v/>
      </c>
      <c r="AB112" s="38" t="str">
        <f t="shared" si="14"/>
        <v/>
      </c>
      <c r="AC112" s="38" t="str">
        <f>IF(OR(B112="",COUNTIF($B$4:B112,B112)&gt;1),"",MAX($AC$3:AC111)+1)</f>
        <v/>
      </c>
      <c r="AD112" s="38" t="str">
        <f t="shared" si="15"/>
        <v/>
      </c>
      <c r="AE112" s="38" t="str">
        <f t="shared" si="16"/>
        <v/>
      </c>
      <c r="AF112" s="38" t="str">
        <f t="shared" si="17"/>
        <v/>
      </c>
    </row>
    <row r="113" spans="1:32" x14ac:dyDescent="0.3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38" t="str">
        <f>IF(OR(A113="Автомат",A113="Дифавтомат"),IF(W113="","",COUNTIFS(Однолинейка!$H$3:$H$3000,U113,Однолинейка!$A$3:$A$3000,Щит_спец)),IF(A113="Аппарат",IF(C113="","",COUNTIFS(Однолинейка!$I$3:$I$3000,C113,Однолинейка!$A$3:$A$3000,Щит_спец)+COUNTIFS(Однолинейка!$J$3:$J$3000,C113,Однолинейка!$A$3:$A$3000,Щит_спец)+COUNTIFS(Однолинейка!$K$3:$K$3000,C113,Однолинейка!$A$3:$A$3000,Щит_спец)),IF(A113="Модуль",IF(C113="","",COUNTIFS(Однолинейка!$AW$3:$AW$3000,"?*",Однолинейка!$AI$3:$AI$3000,C113,Однолинейка!$A$3:$A$3000,Щит_спец)),IF(A113="Клемма",IF(C113="","",IF(C113=$S$7,SUMIFS(Однолинейка!$BW$3:$BW$3000,Однолинейка!$A$3:$A$3000,Щит_спец),IF(C113=$S$8,SUMIFS(Однолинейка!$BX$3:$BX$3000,Однолинейка!$A$3:$A$3000,Щит_спец),""))),""))))</f>
        <v/>
      </c>
      <c r="O113" s="74"/>
      <c r="P113" s="38" t="str">
        <f t="shared" si="9"/>
        <v/>
      </c>
      <c r="U113" s="38" t="str">
        <f t="shared" si="10"/>
        <v/>
      </c>
      <c r="V113" s="38" t="str">
        <f t="shared" si="11"/>
        <v/>
      </c>
      <c r="W113" s="38" t="str">
        <f>IF(AND(U113&lt;&gt;"",OR($S$4="(все)",B113=$S$4),IF($S$4="(все)",COUNTIF($U$4:U113,U113),COUNTIFS($U$4:U113,U113,$B$4:B113,B113))=1),MAX($W$3:W112)+1,"")</f>
        <v/>
      </c>
      <c r="X113" s="38" t="str">
        <f t="shared" si="12"/>
        <v/>
      </c>
      <c r="Y113" s="38" t="str">
        <f>IF(AND(A113="Аппарат",C113&lt;&gt;"",OR($S$5="(все)",B113=$S$5)),MAX($Y$3:Y112)+1,"")</f>
        <v/>
      </c>
      <c r="Z113" s="38" t="str">
        <f t="shared" si="13"/>
        <v/>
      </c>
      <c r="AA113" s="38" t="str">
        <f>IF(AND(A113="Модуль",C113&lt;&gt;"",OR($S$6="(все)",B113=$S$6)),MAX($AA$3:AA112)+1,"")</f>
        <v/>
      </c>
      <c r="AB113" s="38" t="str">
        <f t="shared" si="14"/>
        <v/>
      </c>
      <c r="AC113" s="38" t="str">
        <f>IF(OR(B113="",COUNTIF($B$4:B113,B113)&gt;1),"",MAX($AC$3:AC112)+1)</f>
        <v/>
      </c>
      <c r="AD113" s="38" t="str">
        <f t="shared" si="15"/>
        <v/>
      </c>
      <c r="AE113" s="38" t="str">
        <f t="shared" si="16"/>
        <v/>
      </c>
      <c r="AF113" s="38" t="str">
        <f t="shared" si="17"/>
        <v/>
      </c>
    </row>
    <row r="114" spans="1:32" x14ac:dyDescent="0.3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38" t="str">
        <f>IF(OR(A114="Автомат",A114="Дифавтомат"),IF(W114="","",COUNTIFS(Однолинейка!$H$3:$H$3000,U114,Однолинейка!$A$3:$A$3000,Щит_спец)),IF(A114="Аппарат",IF(C114="","",COUNTIFS(Однолинейка!$I$3:$I$3000,C114,Однолинейка!$A$3:$A$3000,Щит_спец)+COUNTIFS(Однолинейка!$J$3:$J$3000,C114,Однолинейка!$A$3:$A$3000,Щит_спец)+COUNTIFS(Однолинейка!$K$3:$K$3000,C114,Однолинейка!$A$3:$A$3000,Щит_спец)),IF(A114="Модуль",IF(C114="","",COUNTIFS(Однолинейка!$AW$3:$AW$3000,"?*",Однолинейка!$AI$3:$AI$3000,C114,Однолинейка!$A$3:$A$3000,Щит_спец)),IF(A114="Клемма",IF(C114="","",IF(C114=$S$7,SUMIFS(Однолинейка!$BW$3:$BW$3000,Однолинейка!$A$3:$A$3000,Щит_спец),IF(C114=$S$8,SUMIFS(Однолинейка!$BX$3:$BX$3000,Однолинейка!$A$3:$A$3000,Щит_спец),""))),""))))</f>
        <v/>
      </c>
      <c r="O114" s="74"/>
      <c r="P114" s="38" t="str">
        <f t="shared" si="9"/>
        <v/>
      </c>
      <c r="U114" s="38" t="str">
        <f t="shared" si="10"/>
        <v/>
      </c>
      <c r="V114" s="38" t="str">
        <f t="shared" si="11"/>
        <v/>
      </c>
      <c r="W114" s="38" t="str">
        <f>IF(AND(U114&lt;&gt;"",OR($S$4="(все)",B114=$S$4),IF($S$4="(все)",COUNTIF($U$4:U114,U114),COUNTIFS($U$4:U114,U114,$B$4:B114,B114))=1),MAX($W$3:W113)+1,"")</f>
        <v/>
      </c>
      <c r="X114" s="38" t="str">
        <f t="shared" si="12"/>
        <v/>
      </c>
      <c r="Y114" s="38" t="str">
        <f>IF(AND(A114="Аппарат",C114&lt;&gt;"",OR($S$5="(все)",B114=$S$5)),MAX($Y$3:Y113)+1,"")</f>
        <v/>
      </c>
      <c r="Z114" s="38" t="str">
        <f t="shared" si="13"/>
        <v/>
      </c>
      <c r="AA114" s="38" t="str">
        <f>IF(AND(A114="Модуль",C114&lt;&gt;"",OR($S$6="(все)",B114=$S$6)),MAX($AA$3:AA113)+1,"")</f>
        <v/>
      </c>
      <c r="AB114" s="38" t="str">
        <f t="shared" si="14"/>
        <v/>
      </c>
      <c r="AC114" s="38" t="str">
        <f>IF(OR(B114="",COUNTIF($B$4:B114,B114)&gt;1),"",MAX($AC$3:AC113)+1)</f>
        <v/>
      </c>
      <c r="AD114" s="38" t="str">
        <f t="shared" si="15"/>
        <v/>
      </c>
      <c r="AE114" s="38" t="str">
        <f t="shared" si="16"/>
        <v/>
      </c>
      <c r="AF114" s="38" t="str">
        <f t="shared" si="17"/>
        <v/>
      </c>
    </row>
    <row r="115" spans="1:32" x14ac:dyDescent="0.3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38" t="str">
        <f>IF(OR(A115="Автомат",A115="Дифавтомат"),IF(W115="","",COUNTIFS(Однолинейка!$H$3:$H$3000,U115,Однолинейка!$A$3:$A$3000,Щит_спец)),IF(A115="Аппарат",IF(C115="","",COUNTIFS(Однолинейка!$I$3:$I$3000,C115,Однолинейка!$A$3:$A$3000,Щит_спец)+COUNTIFS(Однолинейка!$J$3:$J$3000,C115,Однолинейка!$A$3:$A$3000,Щит_спец)+COUNTIFS(Однолинейка!$K$3:$K$3000,C115,Однолинейка!$A$3:$A$3000,Щит_спец)),IF(A115="Модуль",IF(C115="","",COUNTIFS(Однолинейка!$AW$3:$AW$3000,"?*",Однолинейка!$AI$3:$AI$3000,C115,Однолинейка!$A$3:$A$3000,Щит_спец)),IF(A115="Клемма",IF(C115="","",IF(C115=$S$7,SUMIFS(Однолинейка!$BW$3:$BW$3000,Однолинейка!$A$3:$A$3000,Щит_спец),IF(C115=$S$8,SUMIFS(Однолинейка!$BX$3:$BX$3000,Однолинейка!$A$3:$A$3000,Щит_спец),""))),""))))</f>
        <v/>
      </c>
      <c r="O115" s="74"/>
      <c r="P115" s="38" t="str">
        <f t="shared" si="9"/>
        <v/>
      </c>
      <c r="U115" s="38" t="str">
        <f t="shared" si="10"/>
        <v/>
      </c>
      <c r="V115" s="38" t="str">
        <f t="shared" si="11"/>
        <v/>
      </c>
      <c r="W115" s="38" t="str">
        <f>IF(AND(U115&lt;&gt;"",OR($S$4="(все)",B115=$S$4),IF($S$4="(все)",COUNTIF($U$4:U115,U115),COUNTIFS($U$4:U115,U115,$B$4:B115,B115))=1),MAX($W$3:W114)+1,"")</f>
        <v/>
      </c>
      <c r="X115" s="38" t="str">
        <f t="shared" si="12"/>
        <v/>
      </c>
      <c r="Y115" s="38" t="str">
        <f>IF(AND(A115="Аппарат",C115&lt;&gt;"",OR($S$5="(все)",B115=$S$5)),MAX($Y$3:Y114)+1,"")</f>
        <v/>
      </c>
      <c r="Z115" s="38" t="str">
        <f t="shared" si="13"/>
        <v/>
      </c>
      <c r="AA115" s="38" t="str">
        <f>IF(AND(A115="Модуль",C115&lt;&gt;"",OR($S$6="(все)",B115=$S$6)),MAX($AA$3:AA114)+1,"")</f>
        <v/>
      </c>
      <c r="AB115" s="38" t="str">
        <f t="shared" si="14"/>
        <v/>
      </c>
      <c r="AC115" s="38" t="str">
        <f>IF(OR(B115="",COUNTIF($B$4:B115,B115)&gt;1),"",MAX($AC$3:AC114)+1)</f>
        <v/>
      </c>
      <c r="AD115" s="38" t="str">
        <f t="shared" si="15"/>
        <v/>
      </c>
      <c r="AE115" s="38" t="str">
        <f t="shared" si="16"/>
        <v/>
      </c>
      <c r="AF115" s="38" t="str">
        <f t="shared" si="17"/>
        <v/>
      </c>
    </row>
    <row r="116" spans="1:32" x14ac:dyDescent="0.3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38" t="str">
        <f>IF(OR(A116="Автомат",A116="Дифавтомат"),IF(W116="","",COUNTIFS(Однолинейка!$H$3:$H$3000,U116,Однолинейка!$A$3:$A$3000,Щит_спец)),IF(A116="Аппарат",IF(C116="","",COUNTIFS(Однолинейка!$I$3:$I$3000,C116,Однолинейка!$A$3:$A$3000,Щит_спец)+COUNTIFS(Однолинейка!$J$3:$J$3000,C116,Однолинейка!$A$3:$A$3000,Щит_спец)+COUNTIFS(Однолинейка!$K$3:$K$3000,C116,Однолинейка!$A$3:$A$3000,Щит_спец)),IF(A116="Модуль",IF(C116="","",COUNTIFS(Однолинейка!$AW$3:$AW$3000,"?*",Однолинейка!$AI$3:$AI$3000,C116,Однолинейка!$A$3:$A$3000,Щит_спец)),IF(A116="Клемма",IF(C116="","",IF(C116=$S$7,SUMIFS(Однолинейка!$BW$3:$BW$3000,Однолинейка!$A$3:$A$3000,Щит_спец),IF(C116=$S$8,SUMIFS(Однолинейка!$BX$3:$BX$3000,Однолинейка!$A$3:$A$3000,Щит_спец),""))),""))))</f>
        <v/>
      </c>
      <c r="O116" s="74"/>
      <c r="P116" s="38" t="str">
        <f t="shared" si="9"/>
        <v/>
      </c>
      <c r="U116" s="38" t="str">
        <f t="shared" si="10"/>
        <v/>
      </c>
      <c r="V116" s="38" t="str">
        <f t="shared" si="11"/>
        <v/>
      </c>
      <c r="W116" s="38" t="str">
        <f>IF(AND(U116&lt;&gt;"",OR($S$4="(все)",B116=$S$4),IF($S$4="(все)",COUNTIF($U$4:U116,U116),COUNTIFS($U$4:U116,U116,$B$4:B116,B116))=1),MAX($W$3:W115)+1,"")</f>
        <v/>
      </c>
      <c r="X116" s="38" t="str">
        <f t="shared" si="12"/>
        <v/>
      </c>
      <c r="Y116" s="38" t="str">
        <f>IF(AND(A116="Аппарат",C116&lt;&gt;"",OR($S$5="(все)",B116=$S$5)),MAX($Y$3:Y115)+1,"")</f>
        <v/>
      </c>
      <c r="Z116" s="38" t="str">
        <f t="shared" si="13"/>
        <v/>
      </c>
      <c r="AA116" s="38" t="str">
        <f>IF(AND(A116="Модуль",C116&lt;&gt;"",OR($S$6="(все)",B116=$S$6)),MAX($AA$3:AA115)+1,"")</f>
        <v/>
      </c>
      <c r="AB116" s="38" t="str">
        <f t="shared" si="14"/>
        <v/>
      </c>
      <c r="AC116" s="38" t="str">
        <f>IF(OR(B116="",COUNTIF($B$4:B116,B116)&gt;1),"",MAX($AC$3:AC115)+1)</f>
        <v/>
      </c>
      <c r="AD116" s="38" t="str">
        <f t="shared" si="15"/>
        <v/>
      </c>
      <c r="AE116" s="38" t="str">
        <f t="shared" si="16"/>
        <v/>
      </c>
      <c r="AF116" s="38" t="str">
        <f t="shared" si="17"/>
        <v/>
      </c>
    </row>
    <row r="117" spans="1:32" x14ac:dyDescent="0.3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38" t="str">
        <f>IF(OR(A117="Автомат",A117="Дифавтомат"),IF(W117="","",COUNTIFS(Однолинейка!$H$3:$H$3000,U117,Однолинейка!$A$3:$A$3000,Щит_спец)),IF(A117="Аппарат",IF(C117="","",COUNTIFS(Однолинейка!$I$3:$I$3000,C117,Однолинейка!$A$3:$A$3000,Щит_спец)+COUNTIFS(Однолинейка!$J$3:$J$3000,C117,Однолинейка!$A$3:$A$3000,Щит_спец)+COUNTIFS(Однолинейка!$K$3:$K$3000,C117,Однолинейка!$A$3:$A$3000,Щит_спец)),IF(A117="Модуль",IF(C117="","",COUNTIFS(Однолинейка!$AW$3:$AW$3000,"?*",Однолинейка!$AI$3:$AI$3000,C117,Однолинейка!$A$3:$A$3000,Щит_спец)),IF(A117="Клемма",IF(C117="","",IF(C117=$S$7,SUMIFS(Однолинейка!$BW$3:$BW$3000,Однолинейка!$A$3:$A$3000,Щит_спец),IF(C117=$S$8,SUMIFS(Однолинейка!$BX$3:$BX$3000,Однолинейка!$A$3:$A$3000,Щит_спец),""))),""))))</f>
        <v/>
      </c>
      <c r="O117" s="74"/>
      <c r="P117" s="38" t="str">
        <f t="shared" si="9"/>
        <v/>
      </c>
      <c r="U117" s="38" t="str">
        <f t="shared" si="10"/>
        <v/>
      </c>
      <c r="V117" s="38" t="str">
        <f t="shared" si="11"/>
        <v/>
      </c>
      <c r="W117" s="38" t="str">
        <f>IF(AND(U117&lt;&gt;"",OR($S$4="(все)",B117=$S$4),IF($S$4="(все)",COUNTIF($U$4:U117,U117),COUNTIFS($U$4:U117,U117,$B$4:B117,B117))=1),MAX($W$3:W116)+1,"")</f>
        <v/>
      </c>
      <c r="X117" s="38" t="str">
        <f t="shared" si="12"/>
        <v/>
      </c>
      <c r="Y117" s="38" t="str">
        <f>IF(AND(A117="Аппарат",C117&lt;&gt;"",OR($S$5="(все)",B117=$S$5)),MAX($Y$3:Y116)+1,"")</f>
        <v/>
      </c>
      <c r="Z117" s="38" t="str">
        <f t="shared" si="13"/>
        <v/>
      </c>
      <c r="AA117" s="38" t="str">
        <f>IF(AND(A117="Модуль",C117&lt;&gt;"",OR($S$6="(все)",B117=$S$6)),MAX($AA$3:AA116)+1,"")</f>
        <v/>
      </c>
      <c r="AB117" s="38" t="str">
        <f t="shared" si="14"/>
        <v/>
      </c>
      <c r="AC117" s="38" t="str">
        <f>IF(OR(B117="",COUNTIF($B$4:B117,B117)&gt;1),"",MAX($AC$3:AC116)+1)</f>
        <v/>
      </c>
      <c r="AD117" s="38" t="str">
        <f t="shared" si="15"/>
        <v/>
      </c>
      <c r="AE117" s="38" t="str">
        <f t="shared" si="16"/>
        <v/>
      </c>
      <c r="AF117" s="38" t="str">
        <f t="shared" si="17"/>
        <v/>
      </c>
    </row>
    <row r="118" spans="1:32" x14ac:dyDescent="0.3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38" t="str">
        <f>IF(OR(A118="Автомат",A118="Дифавтомат"),IF(W118="","",COUNTIFS(Однолинейка!$H$3:$H$3000,U118,Однолинейка!$A$3:$A$3000,Щит_спец)),IF(A118="Аппарат",IF(C118="","",COUNTIFS(Однолинейка!$I$3:$I$3000,C118,Однолинейка!$A$3:$A$3000,Щит_спец)+COUNTIFS(Однолинейка!$J$3:$J$3000,C118,Однолинейка!$A$3:$A$3000,Щит_спец)+COUNTIFS(Однолинейка!$K$3:$K$3000,C118,Однолинейка!$A$3:$A$3000,Щит_спец)),IF(A118="Модуль",IF(C118="","",COUNTIFS(Однолинейка!$AW$3:$AW$3000,"?*",Однолинейка!$AI$3:$AI$3000,C118,Однолинейка!$A$3:$A$3000,Щит_спец)),IF(A118="Клемма",IF(C118="","",IF(C118=$S$7,SUMIFS(Однолинейка!$BW$3:$BW$3000,Однолинейка!$A$3:$A$3000,Щит_спец),IF(C118=$S$8,SUMIFS(Однолинейка!$BX$3:$BX$3000,Однолинейка!$A$3:$A$3000,Щит_спец),""))),""))))</f>
        <v/>
      </c>
      <c r="O118" s="74"/>
      <c r="P118" s="38" t="str">
        <f t="shared" si="9"/>
        <v/>
      </c>
      <c r="U118" s="38" t="str">
        <f t="shared" si="10"/>
        <v/>
      </c>
      <c r="V118" s="38" t="str">
        <f t="shared" si="11"/>
        <v/>
      </c>
      <c r="W118" s="38" t="str">
        <f>IF(AND(U118&lt;&gt;"",OR($S$4="(все)",B118=$S$4),IF($S$4="(все)",COUNTIF($U$4:U118,U118),COUNTIFS($U$4:U118,U118,$B$4:B118,B118))=1),MAX($W$3:W117)+1,"")</f>
        <v/>
      </c>
      <c r="X118" s="38" t="str">
        <f t="shared" si="12"/>
        <v/>
      </c>
      <c r="Y118" s="38" t="str">
        <f>IF(AND(A118="Аппарат",C118&lt;&gt;"",OR($S$5="(все)",B118=$S$5)),MAX($Y$3:Y117)+1,"")</f>
        <v/>
      </c>
      <c r="Z118" s="38" t="str">
        <f t="shared" si="13"/>
        <v/>
      </c>
      <c r="AA118" s="38" t="str">
        <f>IF(AND(A118="Модуль",C118&lt;&gt;"",OR($S$6="(все)",B118=$S$6)),MAX($AA$3:AA117)+1,"")</f>
        <v/>
      </c>
      <c r="AB118" s="38" t="str">
        <f t="shared" si="14"/>
        <v/>
      </c>
      <c r="AC118" s="38" t="str">
        <f>IF(OR(B118="",COUNTIF($B$4:B118,B118)&gt;1),"",MAX($AC$3:AC117)+1)</f>
        <v/>
      </c>
      <c r="AD118" s="38" t="str">
        <f t="shared" si="15"/>
        <v/>
      </c>
      <c r="AE118" s="38" t="str">
        <f t="shared" si="16"/>
        <v/>
      </c>
      <c r="AF118" s="38" t="str">
        <f t="shared" si="17"/>
        <v/>
      </c>
    </row>
    <row r="119" spans="1:32" x14ac:dyDescent="0.3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38" t="str">
        <f>IF(OR(A119="Автомат",A119="Дифавтомат"),IF(W119="","",COUNTIFS(Однолинейка!$H$3:$H$3000,U119,Однолинейка!$A$3:$A$3000,Щит_спец)),IF(A119="Аппарат",IF(C119="","",COUNTIFS(Однолинейка!$I$3:$I$3000,C119,Однолинейка!$A$3:$A$3000,Щит_спец)+COUNTIFS(Однолинейка!$J$3:$J$3000,C119,Однолинейка!$A$3:$A$3000,Щит_спец)+COUNTIFS(Однолинейка!$K$3:$K$3000,C119,Однолинейка!$A$3:$A$3000,Щит_спец)),IF(A119="Модуль",IF(C119="","",COUNTIFS(Однолинейка!$AW$3:$AW$3000,"?*",Однолинейка!$AI$3:$AI$3000,C119,Однолинейка!$A$3:$A$3000,Щит_спец)),IF(A119="Клемма",IF(C119="","",IF(C119=$S$7,SUMIFS(Однолинейка!$BW$3:$BW$3000,Однолинейка!$A$3:$A$3000,Щит_спец),IF(C119=$S$8,SUMIFS(Однолинейка!$BX$3:$BX$3000,Однолинейка!$A$3:$A$3000,Щит_спец),""))),""))))</f>
        <v/>
      </c>
      <c r="O119" s="74"/>
      <c r="P119" s="38" t="str">
        <f t="shared" si="9"/>
        <v/>
      </c>
      <c r="U119" s="38" t="str">
        <f t="shared" si="10"/>
        <v/>
      </c>
      <c r="V119" s="38" t="str">
        <f t="shared" si="11"/>
        <v/>
      </c>
      <c r="W119" s="38" t="str">
        <f>IF(AND(U119&lt;&gt;"",OR($S$4="(все)",B119=$S$4),IF($S$4="(все)",COUNTIF($U$4:U119,U119),COUNTIFS($U$4:U119,U119,$B$4:B119,B119))=1),MAX($W$3:W118)+1,"")</f>
        <v/>
      </c>
      <c r="X119" s="38" t="str">
        <f t="shared" si="12"/>
        <v/>
      </c>
      <c r="Y119" s="38" t="str">
        <f>IF(AND(A119="Аппарат",C119&lt;&gt;"",OR($S$5="(все)",B119=$S$5)),MAX($Y$3:Y118)+1,"")</f>
        <v/>
      </c>
      <c r="Z119" s="38" t="str">
        <f t="shared" si="13"/>
        <v/>
      </c>
      <c r="AA119" s="38" t="str">
        <f>IF(AND(A119="Модуль",C119&lt;&gt;"",OR($S$6="(все)",B119=$S$6)),MAX($AA$3:AA118)+1,"")</f>
        <v/>
      </c>
      <c r="AB119" s="38" t="str">
        <f t="shared" si="14"/>
        <v/>
      </c>
      <c r="AC119" s="38" t="str">
        <f>IF(OR(B119="",COUNTIF($B$4:B119,B119)&gt;1),"",MAX($AC$3:AC118)+1)</f>
        <v/>
      </c>
      <c r="AD119" s="38" t="str">
        <f t="shared" si="15"/>
        <v/>
      </c>
      <c r="AE119" s="38" t="str">
        <f t="shared" si="16"/>
        <v/>
      </c>
      <c r="AF119" s="38" t="str">
        <f t="shared" si="17"/>
        <v/>
      </c>
    </row>
    <row r="120" spans="1:32" x14ac:dyDescent="0.3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38" t="str">
        <f>IF(OR(A120="Автомат",A120="Дифавтомат"),IF(W120="","",COUNTIFS(Однолинейка!$H$3:$H$3000,U120,Однолинейка!$A$3:$A$3000,Щит_спец)),IF(A120="Аппарат",IF(C120="","",COUNTIFS(Однолинейка!$I$3:$I$3000,C120,Однолинейка!$A$3:$A$3000,Щит_спец)+COUNTIFS(Однолинейка!$J$3:$J$3000,C120,Однолинейка!$A$3:$A$3000,Щит_спец)+COUNTIFS(Однолинейка!$K$3:$K$3000,C120,Однолинейка!$A$3:$A$3000,Щит_спец)),IF(A120="Модуль",IF(C120="","",COUNTIFS(Однолинейка!$AW$3:$AW$3000,"?*",Однолинейка!$AI$3:$AI$3000,C120,Однолинейка!$A$3:$A$3000,Щит_спец)),IF(A120="Клемма",IF(C120="","",IF(C120=$S$7,SUMIFS(Однолинейка!$BW$3:$BW$3000,Однолинейка!$A$3:$A$3000,Щит_спец),IF(C120=$S$8,SUMIFS(Однолинейка!$BX$3:$BX$3000,Однолинейка!$A$3:$A$3000,Щит_спец),""))),""))))</f>
        <v/>
      </c>
      <c r="O120" s="74"/>
      <c r="P120" s="38" t="str">
        <f t="shared" si="9"/>
        <v/>
      </c>
      <c r="U120" s="38" t="str">
        <f t="shared" si="10"/>
        <v/>
      </c>
      <c r="V120" s="38" t="str">
        <f t="shared" si="11"/>
        <v/>
      </c>
      <c r="W120" s="38" t="str">
        <f>IF(AND(U120&lt;&gt;"",OR($S$4="(все)",B120=$S$4),IF($S$4="(все)",COUNTIF($U$4:U120,U120),COUNTIFS($U$4:U120,U120,$B$4:B120,B120))=1),MAX($W$3:W119)+1,"")</f>
        <v/>
      </c>
      <c r="X120" s="38" t="str">
        <f t="shared" si="12"/>
        <v/>
      </c>
      <c r="Y120" s="38" t="str">
        <f>IF(AND(A120="Аппарат",C120&lt;&gt;"",OR($S$5="(все)",B120=$S$5)),MAX($Y$3:Y119)+1,"")</f>
        <v/>
      </c>
      <c r="Z120" s="38" t="str">
        <f t="shared" si="13"/>
        <v/>
      </c>
      <c r="AA120" s="38" t="str">
        <f>IF(AND(A120="Модуль",C120&lt;&gt;"",OR($S$6="(все)",B120=$S$6)),MAX($AA$3:AA119)+1,"")</f>
        <v/>
      </c>
      <c r="AB120" s="38" t="str">
        <f t="shared" si="14"/>
        <v/>
      </c>
      <c r="AC120" s="38" t="str">
        <f>IF(OR(B120="",COUNTIF($B$4:B120,B120)&gt;1),"",MAX($AC$3:AC119)+1)</f>
        <v/>
      </c>
      <c r="AD120" s="38" t="str">
        <f t="shared" si="15"/>
        <v/>
      </c>
      <c r="AE120" s="38" t="str">
        <f t="shared" si="16"/>
        <v/>
      </c>
      <c r="AF120" s="38" t="str">
        <f t="shared" si="17"/>
        <v/>
      </c>
    </row>
    <row r="121" spans="1:32" x14ac:dyDescent="0.3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38" t="str">
        <f>IF(OR(A121="Автомат",A121="Дифавтомат"),IF(W121="","",COUNTIFS(Однолинейка!$H$3:$H$3000,U121,Однолинейка!$A$3:$A$3000,Щит_спец)),IF(A121="Аппарат",IF(C121="","",COUNTIFS(Однолинейка!$I$3:$I$3000,C121,Однолинейка!$A$3:$A$3000,Щит_спец)+COUNTIFS(Однолинейка!$J$3:$J$3000,C121,Однолинейка!$A$3:$A$3000,Щит_спец)+COUNTIFS(Однолинейка!$K$3:$K$3000,C121,Однолинейка!$A$3:$A$3000,Щит_спец)),IF(A121="Модуль",IF(C121="","",COUNTIFS(Однолинейка!$AW$3:$AW$3000,"?*",Однолинейка!$AI$3:$AI$3000,C121,Однолинейка!$A$3:$A$3000,Щит_спец)),IF(A121="Клемма",IF(C121="","",IF(C121=$S$7,SUMIFS(Однолинейка!$BW$3:$BW$3000,Однолинейка!$A$3:$A$3000,Щит_спец),IF(C121=$S$8,SUMIFS(Однолинейка!$BX$3:$BX$3000,Однолинейка!$A$3:$A$3000,Щит_спец),""))),""))))</f>
        <v/>
      </c>
      <c r="O121" s="74"/>
      <c r="P121" s="38" t="str">
        <f t="shared" si="9"/>
        <v/>
      </c>
      <c r="U121" s="38" t="str">
        <f t="shared" si="10"/>
        <v/>
      </c>
      <c r="V121" s="38" t="str">
        <f t="shared" si="11"/>
        <v/>
      </c>
      <c r="W121" s="38" t="str">
        <f>IF(AND(U121&lt;&gt;"",OR($S$4="(все)",B121=$S$4),IF($S$4="(все)",COUNTIF($U$4:U121,U121),COUNTIFS($U$4:U121,U121,$B$4:B121,B121))=1),MAX($W$3:W120)+1,"")</f>
        <v/>
      </c>
      <c r="X121" s="38" t="str">
        <f t="shared" si="12"/>
        <v/>
      </c>
      <c r="Y121" s="38" t="str">
        <f>IF(AND(A121="Аппарат",C121&lt;&gt;"",OR($S$5="(все)",B121=$S$5)),MAX($Y$3:Y120)+1,"")</f>
        <v/>
      </c>
      <c r="Z121" s="38" t="str">
        <f t="shared" si="13"/>
        <v/>
      </c>
      <c r="AA121" s="38" t="str">
        <f>IF(AND(A121="Модуль",C121&lt;&gt;"",OR($S$6="(все)",B121=$S$6)),MAX($AA$3:AA120)+1,"")</f>
        <v/>
      </c>
      <c r="AB121" s="38" t="str">
        <f t="shared" si="14"/>
        <v/>
      </c>
      <c r="AC121" s="38" t="str">
        <f>IF(OR(B121="",COUNTIF($B$4:B121,B121)&gt;1),"",MAX($AC$3:AC120)+1)</f>
        <v/>
      </c>
      <c r="AD121" s="38" t="str">
        <f t="shared" si="15"/>
        <v/>
      </c>
      <c r="AE121" s="38" t="str">
        <f t="shared" si="16"/>
        <v/>
      </c>
      <c r="AF121" s="38" t="str">
        <f t="shared" si="17"/>
        <v/>
      </c>
    </row>
    <row r="122" spans="1:32" x14ac:dyDescent="0.3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38" t="str">
        <f>IF(OR(A122="Автомат",A122="Дифавтомат"),IF(W122="","",COUNTIFS(Однолинейка!$H$3:$H$3000,U122,Однолинейка!$A$3:$A$3000,Щит_спец)),IF(A122="Аппарат",IF(C122="","",COUNTIFS(Однолинейка!$I$3:$I$3000,C122,Однолинейка!$A$3:$A$3000,Щит_спец)+COUNTIFS(Однолинейка!$J$3:$J$3000,C122,Однолинейка!$A$3:$A$3000,Щит_спец)+COUNTIFS(Однолинейка!$K$3:$K$3000,C122,Однолинейка!$A$3:$A$3000,Щит_спец)),IF(A122="Модуль",IF(C122="","",COUNTIFS(Однолинейка!$AW$3:$AW$3000,"?*",Однолинейка!$AI$3:$AI$3000,C122,Однолинейка!$A$3:$A$3000,Щит_спец)),IF(A122="Клемма",IF(C122="","",IF(C122=$S$7,SUMIFS(Однолинейка!$BW$3:$BW$3000,Однолинейка!$A$3:$A$3000,Щит_спец),IF(C122=$S$8,SUMIFS(Однолинейка!$BX$3:$BX$3000,Однолинейка!$A$3:$A$3000,Щит_спец),""))),""))))</f>
        <v/>
      </c>
      <c r="O122" s="74"/>
      <c r="P122" s="38" t="str">
        <f t="shared" si="9"/>
        <v/>
      </c>
      <c r="U122" s="38" t="str">
        <f t="shared" si="10"/>
        <v/>
      </c>
      <c r="V122" s="38" t="str">
        <f t="shared" si="11"/>
        <v/>
      </c>
      <c r="W122" s="38" t="str">
        <f>IF(AND(U122&lt;&gt;"",OR($S$4="(все)",B122=$S$4),IF($S$4="(все)",COUNTIF($U$4:U122,U122),COUNTIFS($U$4:U122,U122,$B$4:B122,B122))=1),MAX($W$3:W121)+1,"")</f>
        <v/>
      </c>
      <c r="X122" s="38" t="str">
        <f t="shared" si="12"/>
        <v/>
      </c>
      <c r="Y122" s="38" t="str">
        <f>IF(AND(A122="Аппарат",C122&lt;&gt;"",OR($S$5="(все)",B122=$S$5)),MAX($Y$3:Y121)+1,"")</f>
        <v/>
      </c>
      <c r="Z122" s="38" t="str">
        <f t="shared" si="13"/>
        <v/>
      </c>
      <c r="AA122" s="38" t="str">
        <f>IF(AND(A122="Модуль",C122&lt;&gt;"",OR($S$6="(все)",B122=$S$6)),MAX($AA$3:AA121)+1,"")</f>
        <v/>
      </c>
      <c r="AB122" s="38" t="str">
        <f t="shared" si="14"/>
        <v/>
      </c>
      <c r="AC122" s="38" t="str">
        <f>IF(OR(B122="",COUNTIF($B$4:B122,B122)&gt;1),"",MAX($AC$3:AC121)+1)</f>
        <v/>
      </c>
      <c r="AD122" s="38" t="str">
        <f t="shared" si="15"/>
        <v/>
      </c>
      <c r="AE122" s="38" t="str">
        <f t="shared" si="16"/>
        <v/>
      </c>
      <c r="AF122" s="38" t="str">
        <f t="shared" si="17"/>
        <v/>
      </c>
    </row>
    <row r="123" spans="1:32" x14ac:dyDescent="0.3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38" t="str">
        <f>IF(OR(A123="Автомат",A123="Дифавтомат"),IF(W123="","",COUNTIFS(Однолинейка!$H$3:$H$3000,U123,Однолинейка!$A$3:$A$3000,Щит_спец)),IF(A123="Аппарат",IF(C123="","",COUNTIFS(Однолинейка!$I$3:$I$3000,C123,Однолинейка!$A$3:$A$3000,Щит_спец)+COUNTIFS(Однолинейка!$J$3:$J$3000,C123,Однолинейка!$A$3:$A$3000,Щит_спец)+COUNTIFS(Однолинейка!$K$3:$K$3000,C123,Однолинейка!$A$3:$A$3000,Щит_спец)),IF(A123="Модуль",IF(C123="","",COUNTIFS(Однолинейка!$AW$3:$AW$3000,"?*",Однолинейка!$AI$3:$AI$3000,C123,Однолинейка!$A$3:$A$3000,Щит_спец)),IF(A123="Клемма",IF(C123="","",IF(C123=$S$7,SUMIFS(Однолинейка!$BW$3:$BW$3000,Однолинейка!$A$3:$A$3000,Щит_спец),IF(C123=$S$8,SUMIFS(Однолинейка!$BX$3:$BX$3000,Однолинейка!$A$3:$A$3000,Щит_спец),""))),""))))</f>
        <v/>
      </c>
      <c r="O123" s="74"/>
      <c r="P123" s="38" t="str">
        <f t="shared" si="9"/>
        <v/>
      </c>
      <c r="U123" s="38" t="str">
        <f t="shared" si="10"/>
        <v/>
      </c>
      <c r="V123" s="38" t="str">
        <f t="shared" si="11"/>
        <v/>
      </c>
      <c r="W123" s="38" t="str">
        <f>IF(AND(U123&lt;&gt;"",OR($S$4="(все)",B123=$S$4),IF($S$4="(все)",COUNTIF($U$4:U123,U123),COUNTIFS($U$4:U123,U123,$B$4:B123,B123))=1),MAX($W$3:W122)+1,"")</f>
        <v/>
      </c>
      <c r="X123" s="38" t="str">
        <f t="shared" si="12"/>
        <v/>
      </c>
      <c r="Y123" s="38" t="str">
        <f>IF(AND(A123="Аппарат",C123&lt;&gt;"",OR($S$5="(все)",B123=$S$5)),MAX($Y$3:Y122)+1,"")</f>
        <v/>
      </c>
      <c r="Z123" s="38" t="str">
        <f t="shared" si="13"/>
        <v/>
      </c>
      <c r="AA123" s="38" t="str">
        <f>IF(AND(A123="Модуль",C123&lt;&gt;"",OR($S$6="(все)",B123=$S$6)),MAX($AA$3:AA122)+1,"")</f>
        <v/>
      </c>
      <c r="AB123" s="38" t="str">
        <f t="shared" si="14"/>
        <v/>
      </c>
      <c r="AC123" s="38" t="str">
        <f>IF(OR(B123="",COUNTIF($B$4:B123,B123)&gt;1),"",MAX($AC$3:AC122)+1)</f>
        <v/>
      </c>
      <c r="AD123" s="38" t="str">
        <f t="shared" si="15"/>
        <v/>
      </c>
      <c r="AE123" s="38" t="str">
        <f t="shared" si="16"/>
        <v/>
      </c>
      <c r="AF123" s="38" t="str">
        <f t="shared" si="17"/>
        <v/>
      </c>
    </row>
    <row r="124" spans="1:32" x14ac:dyDescent="0.3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38" t="str">
        <f>IF(OR(A124="Автомат",A124="Дифавтомат"),IF(W124="","",COUNTIFS(Однолинейка!$H$3:$H$3000,U124,Однолинейка!$A$3:$A$3000,Щит_спец)),IF(A124="Аппарат",IF(C124="","",COUNTIFS(Однолинейка!$I$3:$I$3000,C124,Однолинейка!$A$3:$A$3000,Щит_спец)+COUNTIFS(Однолинейка!$J$3:$J$3000,C124,Однолинейка!$A$3:$A$3000,Щит_спец)+COUNTIFS(Однолинейка!$K$3:$K$3000,C124,Однолинейка!$A$3:$A$3000,Щит_спец)),IF(A124="Модуль",IF(C124="","",COUNTIFS(Однолинейка!$AW$3:$AW$3000,"?*",Однолинейка!$AI$3:$AI$3000,C124,Однолинейка!$A$3:$A$3000,Щит_спец)),IF(A124="Клемма",IF(C124="","",IF(C124=$S$7,SUMIFS(Однолинейка!$BW$3:$BW$3000,Однолинейка!$A$3:$A$3000,Щит_спец),IF(C124=$S$8,SUMIFS(Однолинейка!$BX$3:$BX$3000,Однолинейка!$A$3:$A$3000,Щит_спец),""))),""))))</f>
        <v/>
      </c>
      <c r="O124" s="74"/>
      <c r="P124" s="38" t="str">
        <f t="shared" si="9"/>
        <v/>
      </c>
      <c r="U124" s="38" t="str">
        <f t="shared" si="10"/>
        <v/>
      </c>
      <c r="V124" s="38" t="str">
        <f t="shared" si="11"/>
        <v/>
      </c>
      <c r="W124" s="38" t="str">
        <f>IF(AND(U124&lt;&gt;"",OR($S$4="(все)",B124=$S$4),IF($S$4="(все)",COUNTIF($U$4:U124,U124),COUNTIFS($U$4:U124,U124,$B$4:B124,B124))=1),MAX($W$3:W123)+1,"")</f>
        <v/>
      </c>
      <c r="X124" s="38" t="str">
        <f t="shared" si="12"/>
        <v/>
      </c>
      <c r="Y124" s="38" t="str">
        <f>IF(AND(A124="Аппарат",C124&lt;&gt;"",OR($S$5="(все)",B124=$S$5)),MAX($Y$3:Y123)+1,"")</f>
        <v/>
      </c>
      <c r="Z124" s="38" t="str">
        <f t="shared" si="13"/>
        <v/>
      </c>
      <c r="AA124" s="38" t="str">
        <f>IF(AND(A124="Модуль",C124&lt;&gt;"",OR($S$6="(все)",B124=$S$6)),MAX($AA$3:AA123)+1,"")</f>
        <v/>
      </c>
      <c r="AB124" s="38" t="str">
        <f t="shared" si="14"/>
        <v/>
      </c>
      <c r="AC124" s="38" t="str">
        <f>IF(OR(B124="",COUNTIF($B$4:B124,B124)&gt;1),"",MAX($AC$3:AC123)+1)</f>
        <v/>
      </c>
      <c r="AD124" s="38" t="str">
        <f t="shared" si="15"/>
        <v/>
      </c>
      <c r="AE124" s="38" t="str">
        <f t="shared" si="16"/>
        <v/>
      </c>
      <c r="AF124" s="38" t="str">
        <f t="shared" si="17"/>
        <v/>
      </c>
    </row>
    <row r="125" spans="1:32" x14ac:dyDescent="0.3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38" t="str">
        <f>IF(OR(A125="Автомат",A125="Дифавтомат"),IF(W125="","",COUNTIFS(Однолинейка!$H$3:$H$3000,U125,Однолинейка!$A$3:$A$3000,Щит_спец)),IF(A125="Аппарат",IF(C125="","",COUNTIFS(Однолинейка!$I$3:$I$3000,C125,Однолинейка!$A$3:$A$3000,Щит_спец)+COUNTIFS(Однолинейка!$J$3:$J$3000,C125,Однолинейка!$A$3:$A$3000,Щит_спец)+COUNTIFS(Однолинейка!$K$3:$K$3000,C125,Однолинейка!$A$3:$A$3000,Щит_спец)),IF(A125="Модуль",IF(C125="","",COUNTIFS(Однолинейка!$AW$3:$AW$3000,"?*",Однолинейка!$AI$3:$AI$3000,C125,Однолинейка!$A$3:$A$3000,Щит_спец)),IF(A125="Клемма",IF(C125="","",IF(C125=$S$7,SUMIFS(Однолинейка!$BW$3:$BW$3000,Однолинейка!$A$3:$A$3000,Щит_спец),IF(C125=$S$8,SUMIFS(Однолинейка!$BX$3:$BX$3000,Однолинейка!$A$3:$A$3000,Щит_спец),""))),""))))</f>
        <v/>
      </c>
      <c r="O125" s="74"/>
      <c r="P125" s="38" t="str">
        <f t="shared" si="9"/>
        <v/>
      </c>
      <c r="U125" s="38" t="str">
        <f t="shared" si="10"/>
        <v/>
      </c>
      <c r="V125" s="38" t="str">
        <f t="shared" si="11"/>
        <v/>
      </c>
      <c r="W125" s="38" t="str">
        <f>IF(AND(U125&lt;&gt;"",OR($S$4="(все)",B125=$S$4),IF($S$4="(все)",COUNTIF($U$4:U125,U125),COUNTIFS($U$4:U125,U125,$B$4:B125,B125))=1),MAX($W$3:W124)+1,"")</f>
        <v/>
      </c>
      <c r="X125" s="38" t="str">
        <f t="shared" si="12"/>
        <v/>
      </c>
      <c r="Y125" s="38" t="str">
        <f>IF(AND(A125="Аппарат",C125&lt;&gt;"",OR($S$5="(все)",B125=$S$5)),MAX($Y$3:Y124)+1,"")</f>
        <v/>
      </c>
      <c r="Z125" s="38" t="str">
        <f t="shared" si="13"/>
        <v/>
      </c>
      <c r="AA125" s="38" t="str">
        <f>IF(AND(A125="Модуль",C125&lt;&gt;"",OR($S$6="(все)",B125=$S$6)),MAX($AA$3:AA124)+1,"")</f>
        <v/>
      </c>
      <c r="AB125" s="38" t="str">
        <f t="shared" si="14"/>
        <v/>
      </c>
      <c r="AC125" s="38" t="str">
        <f>IF(OR(B125="",COUNTIF($B$4:B125,B125)&gt;1),"",MAX($AC$3:AC124)+1)</f>
        <v/>
      </c>
      <c r="AD125" s="38" t="str">
        <f t="shared" si="15"/>
        <v/>
      </c>
      <c r="AE125" s="38" t="str">
        <f t="shared" si="16"/>
        <v/>
      </c>
      <c r="AF125" s="38" t="str">
        <f t="shared" si="17"/>
        <v/>
      </c>
    </row>
    <row r="126" spans="1:32" x14ac:dyDescent="0.3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38" t="str">
        <f>IF(OR(A126="Автомат",A126="Дифавтомат"),IF(W126="","",COUNTIFS(Однолинейка!$H$3:$H$3000,U126,Однолинейка!$A$3:$A$3000,Щит_спец)),IF(A126="Аппарат",IF(C126="","",COUNTIFS(Однолинейка!$I$3:$I$3000,C126,Однолинейка!$A$3:$A$3000,Щит_спец)+COUNTIFS(Однолинейка!$J$3:$J$3000,C126,Однолинейка!$A$3:$A$3000,Щит_спец)+COUNTIFS(Однолинейка!$K$3:$K$3000,C126,Однолинейка!$A$3:$A$3000,Щит_спец)),IF(A126="Модуль",IF(C126="","",COUNTIFS(Однолинейка!$AW$3:$AW$3000,"?*",Однолинейка!$AI$3:$AI$3000,C126,Однолинейка!$A$3:$A$3000,Щит_спец)),IF(A126="Клемма",IF(C126="","",IF(C126=$S$7,SUMIFS(Однолинейка!$BW$3:$BW$3000,Однолинейка!$A$3:$A$3000,Щит_спец),IF(C126=$S$8,SUMIFS(Однолинейка!$BX$3:$BX$3000,Однолинейка!$A$3:$A$3000,Щит_спец),""))),""))))</f>
        <v/>
      </c>
      <c r="O126" s="74"/>
      <c r="P126" s="38" t="str">
        <f t="shared" si="9"/>
        <v/>
      </c>
      <c r="U126" s="38" t="str">
        <f t="shared" si="10"/>
        <v/>
      </c>
      <c r="V126" s="38" t="str">
        <f t="shared" si="11"/>
        <v/>
      </c>
      <c r="W126" s="38" t="str">
        <f>IF(AND(U126&lt;&gt;"",OR($S$4="(все)",B126=$S$4),IF($S$4="(все)",COUNTIF($U$4:U126,U126),COUNTIFS($U$4:U126,U126,$B$4:B126,B126))=1),MAX($W$3:W125)+1,"")</f>
        <v/>
      </c>
      <c r="X126" s="38" t="str">
        <f t="shared" si="12"/>
        <v/>
      </c>
      <c r="Y126" s="38" t="str">
        <f>IF(AND(A126="Аппарат",C126&lt;&gt;"",OR($S$5="(все)",B126=$S$5)),MAX($Y$3:Y125)+1,"")</f>
        <v/>
      </c>
      <c r="Z126" s="38" t="str">
        <f t="shared" si="13"/>
        <v/>
      </c>
      <c r="AA126" s="38" t="str">
        <f>IF(AND(A126="Модуль",C126&lt;&gt;"",OR($S$6="(все)",B126=$S$6)),MAX($AA$3:AA125)+1,"")</f>
        <v/>
      </c>
      <c r="AB126" s="38" t="str">
        <f t="shared" si="14"/>
        <v/>
      </c>
      <c r="AC126" s="38" t="str">
        <f>IF(OR(B126="",COUNTIF($B$4:B126,B126)&gt;1),"",MAX($AC$3:AC125)+1)</f>
        <v/>
      </c>
      <c r="AD126" s="38" t="str">
        <f t="shared" si="15"/>
        <v/>
      </c>
      <c r="AE126" s="38" t="str">
        <f t="shared" si="16"/>
        <v/>
      </c>
      <c r="AF126" s="38" t="str">
        <f t="shared" si="17"/>
        <v/>
      </c>
    </row>
    <row r="127" spans="1:32" x14ac:dyDescent="0.3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38" t="str">
        <f>IF(OR(A127="Автомат",A127="Дифавтомат"),IF(W127="","",COUNTIFS(Однолинейка!$H$3:$H$3000,U127,Однолинейка!$A$3:$A$3000,Щит_спец)),IF(A127="Аппарат",IF(C127="","",COUNTIFS(Однолинейка!$I$3:$I$3000,C127,Однолинейка!$A$3:$A$3000,Щит_спец)+COUNTIFS(Однолинейка!$J$3:$J$3000,C127,Однолинейка!$A$3:$A$3000,Щит_спец)+COUNTIFS(Однолинейка!$K$3:$K$3000,C127,Однолинейка!$A$3:$A$3000,Щит_спец)),IF(A127="Модуль",IF(C127="","",COUNTIFS(Однолинейка!$AW$3:$AW$3000,"?*",Однолинейка!$AI$3:$AI$3000,C127,Однолинейка!$A$3:$A$3000,Щит_спец)),IF(A127="Клемма",IF(C127="","",IF(C127=$S$7,SUMIFS(Однолинейка!$BW$3:$BW$3000,Однолинейка!$A$3:$A$3000,Щит_спец),IF(C127=$S$8,SUMIFS(Однолинейка!$BX$3:$BX$3000,Однолинейка!$A$3:$A$3000,Щит_спец),""))),""))))</f>
        <v/>
      </c>
      <c r="O127" s="74"/>
      <c r="P127" s="38" t="str">
        <f t="shared" si="9"/>
        <v/>
      </c>
      <c r="U127" s="38" t="str">
        <f t="shared" si="10"/>
        <v/>
      </c>
      <c r="V127" s="38" t="str">
        <f t="shared" si="11"/>
        <v/>
      </c>
      <c r="W127" s="38" t="str">
        <f>IF(AND(U127&lt;&gt;"",OR($S$4="(все)",B127=$S$4),IF($S$4="(все)",COUNTIF($U$4:U127,U127),COUNTIFS($U$4:U127,U127,$B$4:B127,B127))=1),MAX($W$3:W126)+1,"")</f>
        <v/>
      </c>
      <c r="X127" s="38" t="str">
        <f t="shared" si="12"/>
        <v/>
      </c>
      <c r="Y127" s="38" t="str">
        <f>IF(AND(A127="Аппарат",C127&lt;&gt;"",OR($S$5="(все)",B127=$S$5)),MAX($Y$3:Y126)+1,"")</f>
        <v/>
      </c>
      <c r="Z127" s="38" t="str">
        <f t="shared" si="13"/>
        <v/>
      </c>
      <c r="AA127" s="38" t="str">
        <f>IF(AND(A127="Модуль",C127&lt;&gt;"",OR($S$6="(все)",B127=$S$6)),MAX($AA$3:AA126)+1,"")</f>
        <v/>
      </c>
      <c r="AB127" s="38" t="str">
        <f t="shared" si="14"/>
        <v/>
      </c>
      <c r="AC127" s="38" t="str">
        <f>IF(OR(B127="",COUNTIF($B$4:B127,B127)&gt;1),"",MAX($AC$3:AC126)+1)</f>
        <v/>
      </c>
      <c r="AD127" s="38" t="str">
        <f t="shared" si="15"/>
        <v/>
      </c>
      <c r="AE127" s="38" t="str">
        <f t="shared" si="16"/>
        <v/>
      </c>
      <c r="AF127" s="38" t="str">
        <f t="shared" si="17"/>
        <v/>
      </c>
    </row>
    <row r="128" spans="1:32" x14ac:dyDescent="0.3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38" t="str">
        <f>IF(OR(A128="Автомат",A128="Дифавтомат"),IF(W128="","",COUNTIFS(Однолинейка!$H$3:$H$3000,U128,Однолинейка!$A$3:$A$3000,Щит_спец)),IF(A128="Аппарат",IF(C128="","",COUNTIFS(Однолинейка!$I$3:$I$3000,C128,Однолинейка!$A$3:$A$3000,Щит_спец)+COUNTIFS(Однолинейка!$J$3:$J$3000,C128,Однолинейка!$A$3:$A$3000,Щит_спец)+COUNTIFS(Однолинейка!$K$3:$K$3000,C128,Однолинейка!$A$3:$A$3000,Щит_спец)),IF(A128="Модуль",IF(C128="","",COUNTIFS(Однолинейка!$AW$3:$AW$3000,"?*",Однолинейка!$AI$3:$AI$3000,C128,Однолинейка!$A$3:$A$3000,Щит_спец)),IF(A128="Клемма",IF(C128="","",IF(C128=$S$7,SUMIFS(Однолинейка!$BW$3:$BW$3000,Однолинейка!$A$3:$A$3000,Щит_спец),IF(C128=$S$8,SUMIFS(Однолинейка!$BX$3:$BX$3000,Однолинейка!$A$3:$A$3000,Щит_спец),""))),""))))</f>
        <v/>
      </c>
      <c r="O128" s="74"/>
      <c r="P128" s="38" t="str">
        <f t="shared" si="9"/>
        <v/>
      </c>
      <c r="U128" s="38" t="str">
        <f t="shared" si="10"/>
        <v/>
      </c>
      <c r="V128" s="38" t="str">
        <f t="shared" si="11"/>
        <v/>
      </c>
      <c r="W128" s="38" t="str">
        <f>IF(AND(U128&lt;&gt;"",OR($S$4="(все)",B128=$S$4),IF($S$4="(все)",COUNTIF($U$4:U128,U128),COUNTIFS($U$4:U128,U128,$B$4:B128,B128))=1),MAX($W$3:W127)+1,"")</f>
        <v/>
      </c>
      <c r="X128" s="38" t="str">
        <f t="shared" si="12"/>
        <v/>
      </c>
      <c r="Y128" s="38" t="str">
        <f>IF(AND(A128="Аппарат",C128&lt;&gt;"",OR($S$5="(все)",B128=$S$5)),MAX($Y$3:Y127)+1,"")</f>
        <v/>
      </c>
      <c r="Z128" s="38" t="str">
        <f t="shared" si="13"/>
        <v/>
      </c>
      <c r="AA128" s="38" t="str">
        <f>IF(AND(A128="Модуль",C128&lt;&gt;"",OR($S$6="(все)",B128=$S$6)),MAX($AA$3:AA127)+1,"")</f>
        <v/>
      </c>
      <c r="AB128" s="38" t="str">
        <f t="shared" si="14"/>
        <v/>
      </c>
      <c r="AC128" s="38" t="str">
        <f>IF(OR(B128="",COUNTIF($B$4:B128,B128)&gt;1),"",MAX($AC$3:AC127)+1)</f>
        <v/>
      </c>
      <c r="AD128" s="38" t="str">
        <f t="shared" si="15"/>
        <v/>
      </c>
      <c r="AE128" s="38" t="str">
        <f t="shared" si="16"/>
        <v/>
      </c>
      <c r="AF128" s="38" t="str">
        <f t="shared" si="17"/>
        <v/>
      </c>
    </row>
    <row r="129" spans="1:32" x14ac:dyDescent="0.3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38" t="str">
        <f>IF(OR(A129="Автомат",A129="Дифавтомат"),IF(W129="","",COUNTIFS(Однолинейка!$H$3:$H$3000,U129,Однолинейка!$A$3:$A$3000,Щит_спец)),IF(A129="Аппарат",IF(C129="","",COUNTIFS(Однолинейка!$I$3:$I$3000,C129,Однолинейка!$A$3:$A$3000,Щит_спец)+COUNTIFS(Однолинейка!$J$3:$J$3000,C129,Однолинейка!$A$3:$A$3000,Щит_спец)+COUNTIFS(Однолинейка!$K$3:$K$3000,C129,Однолинейка!$A$3:$A$3000,Щит_спец)),IF(A129="Модуль",IF(C129="","",COUNTIFS(Однолинейка!$AW$3:$AW$3000,"?*",Однолинейка!$AI$3:$AI$3000,C129,Однолинейка!$A$3:$A$3000,Щит_спец)),IF(A129="Клемма",IF(C129="","",IF(C129=$S$7,SUMIFS(Однолинейка!$BW$3:$BW$3000,Однолинейка!$A$3:$A$3000,Щит_спец),IF(C129=$S$8,SUMIFS(Однолинейка!$BX$3:$BX$3000,Однолинейка!$A$3:$A$3000,Щит_спец),""))),""))))</f>
        <v/>
      </c>
      <c r="O129" s="74"/>
      <c r="P129" s="38" t="str">
        <f t="shared" si="9"/>
        <v/>
      </c>
      <c r="U129" s="38" t="str">
        <f t="shared" si="10"/>
        <v/>
      </c>
      <c r="V129" s="38" t="str">
        <f t="shared" si="11"/>
        <v/>
      </c>
      <c r="W129" s="38" t="str">
        <f>IF(AND(U129&lt;&gt;"",OR($S$4="(все)",B129=$S$4),IF($S$4="(все)",COUNTIF($U$4:U129,U129),COUNTIFS($U$4:U129,U129,$B$4:B129,B129))=1),MAX($W$3:W128)+1,"")</f>
        <v/>
      </c>
      <c r="X129" s="38" t="str">
        <f t="shared" si="12"/>
        <v/>
      </c>
      <c r="Y129" s="38" t="str">
        <f>IF(AND(A129="Аппарат",C129&lt;&gt;"",OR($S$5="(все)",B129=$S$5)),MAX($Y$3:Y128)+1,"")</f>
        <v/>
      </c>
      <c r="Z129" s="38" t="str">
        <f t="shared" si="13"/>
        <v/>
      </c>
      <c r="AA129" s="38" t="str">
        <f>IF(AND(A129="Модуль",C129&lt;&gt;"",OR($S$6="(все)",B129=$S$6)),MAX($AA$3:AA128)+1,"")</f>
        <v/>
      </c>
      <c r="AB129" s="38" t="str">
        <f t="shared" si="14"/>
        <v/>
      </c>
      <c r="AC129" s="38" t="str">
        <f>IF(OR(B129="",COUNTIF($B$4:B129,B129)&gt;1),"",MAX($AC$3:AC128)+1)</f>
        <v/>
      </c>
      <c r="AD129" s="38" t="str">
        <f t="shared" si="15"/>
        <v/>
      </c>
      <c r="AE129" s="38" t="str">
        <f t="shared" si="16"/>
        <v/>
      </c>
      <c r="AF129" s="38" t="str">
        <f t="shared" si="17"/>
        <v/>
      </c>
    </row>
    <row r="130" spans="1:32" x14ac:dyDescent="0.3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38" t="str">
        <f>IF(OR(A130="Автомат",A130="Дифавтомат"),IF(W130="","",COUNTIFS(Однолинейка!$H$3:$H$3000,U130,Однолинейка!$A$3:$A$3000,Щит_спец)),IF(A130="Аппарат",IF(C130="","",COUNTIFS(Однолинейка!$I$3:$I$3000,C130,Однолинейка!$A$3:$A$3000,Щит_спец)+COUNTIFS(Однолинейка!$J$3:$J$3000,C130,Однолинейка!$A$3:$A$3000,Щит_спец)+COUNTIFS(Однолинейка!$K$3:$K$3000,C130,Однолинейка!$A$3:$A$3000,Щит_спец)),IF(A130="Модуль",IF(C130="","",COUNTIFS(Однолинейка!$AW$3:$AW$3000,"?*",Однолинейка!$AI$3:$AI$3000,C130,Однолинейка!$A$3:$A$3000,Щит_спец)),IF(A130="Клемма",IF(C130="","",IF(C130=$S$7,SUMIFS(Однолинейка!$BW$3:$BW$3000,Однолинейка!$A$3:$A$3000,Щит_спец),IF(C130=$S$8,SUMIFS(Однолинейка!$BX$3:$BX$3000,Однолинейка!$A$3:$A$3000,Щит_спец),""))),""))))</f>
        <v/>
      </c>
      <c r="O130" s="74"/>
      <c r="P130" s="38" t="str">
        <f t="shared" si="9"/>
        <v/>
      </c>
      <c r="U130" s="38" t="str">
        <f t="shared" si="10"/>
        <v/>
      </c>
      <c r="V130" s="38" t="str">
        <f t="shared" si="11"/>
        <v/>
      </c>
      <c r="W130" s="38" t="str">
        <f>IF(AND(U130&lt;&gt;"",OR($S$4="(все)",B130=$S$4),IF($S$4="(все)",COUNTIF($U$4:U130,U130),COUNTIFS($U$4:U130,U130,$B$4:B130,B130))=1),MAX($W$3:W129)+1,"")</f>
        <v/>
      </c>
      <c r="X130" s="38" t="str">
        <f t="shared" si="12"/>
        <v/>
      </c>
      <c r="Y130" s="38" t="str">
        <f>IF(AND(A130="Аппарат",C130&lt;&gt;"",OR($S$5="(все)",B130=$S$5)),MAX($Y$3:Y129)+1,"")</f>
        <v/>
      </c>
      <c r="Z130" s="38" t="str">
        <f t="shared" si="13"/>
        <v/>
      </c>
      <c r="AA130" s="38" t="str">
        <f>IF(AND(A130="Модуль",C130&lt;&gt;"",OR($S$6="(все)",B130=$S$6)),MAX($AA$3:AA129)+1,"")</f>
        <v/>
      </c>
      <c r="AB130" s="38" t="str">
        <f t="shared" si="14"/>
        <v/>
      </c>
      <c r="AC130" s="38" t="str">
        <f>IF(OR(B130="",COUNTIF($B$4:B130,B130)&gt;1),"",MAX($AC$3:AC129)+1)</f>
        <v/>
      </c>
      <c r="AD130" s="38" t="str">
        <f t="shared" si="15"/>
        <v/>
      </c>
      <c r="AE130" s="38" t="str">
        <f t="shared" si="16"/>
        <v/>
      </c>
      <c r="AF130" s="38" t="str">
        <f t="shared" si="17"/>
        <v/>
      </c>
    </row>
    <row r="131" spans="1:32" x14ac:dyDescent="0.3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38" t="str">
        <f>IF(OR(A131="Автомат",A131="Дифавтомат"),IF(W131="","",COUNTIFS(Однолинейка!$H$3:$H$3000,U131,Однолинейка!$A$3:$A$3000,Щит_спец)),IF(A131="Аппарат",IF(C131="","",COUNTIFS(Однолинейка!$I$3:$I$3000,C131,Однолинейка!$A$3:$A$3000,Щит_спец)+COUNTIFS(Однолинейка!$J$3:$J$3000,C131,Однолинейка!$A$3:$A$3000,Щит_спец)+COUNTIFS(Однолинейка!$K$3:$K$3000,C131,Однолинейка!$A$3:$A$3000,Щит_спец)),IF(A131="Модуль",IF(C131="","",COUNTIFS(Однолинейка!$AW$3:$AW$3000,"?*",Однолинейка!$AI$3:$AI$3000,C131,Однолинейка!$A$3:$A$3000,Щит_спец)),IF(A131="Клемма",IF(C131="","",IF(C131=$S$7,SUMIFS(Однолинейка!$BW$3:$BW$3000,Однолинейка!$A$3:$A$3000,Щит_спец),IF(C131=$S$8,SUMIFS(Однолинейка!$BX$3:$BX$3000,Однолинейка!$A$3:$A$3000,Щит_спец),""))),""))))</f>
        <v/>
      </c>
      <c r="O131" s="74"/>
      <c r="P131" s="38" t="str">
        <f t="shared" si="9"/>
        <v/>
      </c>
      <c r="U131" s="38" t="str">
        <f t="shared" si="10"/>
        <v/>
      </c>
      <c r="V131" s="38" t="str">
        <f t="shared" si="11"/>
        <v/>
      </c>
      <c r="W131" s="38" t="str">
        <f>IF(AND(U131&lt;&gt;"",OR($S$4="(все)",B131=$S$4),IF($S$4="(все)",COUNTIF($U$4:U131,U131),COUNTIFS($U$4:U131,U131,$B$4:B131,B131))=1),MAX($W$3:W130)+1,"")</f>
        <v/>
      </c>
      <c r="X131" s="38" t="str">
        <f t="shared" si="12"/>
        <v/>
      </c>
      <c r="Y131" s="38" t="str">
        <f>IF(AND(A131="Аппарат",C131&lt;&gt;"",OR($S$5="(все)",B131=$S$5)),MAX($Y$3:Y130)+1,"")</f>
        <v/>
      </c>
      <c r="Z131" s="38" t="str">
        <f t="shared" si="13"/>
        <v/>
      </c>
      <c r="AA131" s="38" t="str">
        <f>IF(AND(A131="Модуль",C131&lt;&gt;"",OR($S$6="(все)",B131=$S$6)),MAX($AA$3:AA130)+1,"")</f>
        <v/>
      </c>
      <c r="AB131" s="38" t="str">
        <f t="shared" si="14"/>
        <v/>
      </c>
      <c r="AC131" s="38" t="str">
        <f>IF(OR(B131="",COUNTIF($B$4:B131,B131)&gt;1),"",MAX($AC$3:AC130)+1)</f>
        <v/>
      </c>
      <c r="AD131" s="38" t="str">
        <f t="shared" si="15"/>
        <v/>
      </c>
      <c r="AE131" s="38" t="str">
        <f t="shared" si="16"/>
        <v/>
      </c>
      <c r="AF131" s="38" t="str">
        <f t="shared" si="17"/>
        <v/>
      </c>
    </row>
    <row r="132" spans="1:32" x14ac:dyDescent="0.3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38" t="str">
        <f>IF(OR(A132="Автомат",A132="Дифавтомат"),IF(W132="","",COUNTIFS(Однолинейка!$H$3:$H$3000,U132,Однолинейка!$A$3:$A$3000,Щит_спец)),IF(A132="Аппарат",IF(C132="","",COUNTIFS(Однолинейка!$I$3:$I$3000,C132,Однолинейка!$A$3:$A$3000,Щит_спец)+COUNTIFS(Однолинейка!$J$3:$J$3000,C132,Однолинейка!$A$3:$A$3000,Щит_спец)+COUNTIFS(Однолинейка!$K$3:$K$3000,C132,Однолинейка!$A$3:$A$3000,Щит_спец)),IF(A132="Модуль",IF(C132="","",COUNTIFS(Однолинейка!$AW$3:$AW$3000,"?*",Однолинейка!$AI$3:$AI$3000,C132,Однолинейка!$A$3:$A$3000,Щит_спец)),IF(A132="Клемма",IF(C132="","",IF(C132=$S$7,SUMIFS(Однолинейка!$BW$3:$BW$3000,Однолинейка!$A$3:$A$3000,Щит_спец),IF(C132=$S$8,SUMIFS(Однолинейка!$BX$3:$BX$3000,Однолинейка!$A$3:$A$3000,Щит_спец),""))),""))))</f>
        <v/>
      </c>
      <c r="O132" s="74"/>
      <c r="P132" s="38" t="str">
        <f t="shared" ref="P132:P195" si="18">IF(COUNT(N132,O132)=0,"",SUM(N132,O132))</f>
        <v/>
      </c>
      <c r="U132" s="38" t="str">
        <f t="shared" ref="U132:U195" si="19">IF(OR(A132="Автомат",A132="Дифавтомат"),I132&amp;" С"&amp;J132&amp;"А"&amp;IF(K132="да"," 30мА",IF(ISNUMBER(K132)," "&amp;K132&amp;"мА","")),"")</f>
        <v/>
      </c>
      <c r="V132" s="38" t="str">
        <f t="shared" ref="V132:V195" si="20">IF(U132="","",B132&amp;"|"&amp;U132)</f>
        <v/>
      </c>
      <c r="W132" s="38" t="str">
        <f>IF(AND(U132&lt;&gt;"",OR($S$4="(все)",B132=$S$4),IF($S$4="(все)",COUNTIF($U$4:U132,U132),COUNTIFS($U$4:U132,U132,$B$4:B132,B132))=1),MAX($W$3:W131)+1,"")</f>
        <v/>
      </c>
      <c r="X132" s="38" t="str">
        <f t="shared" ref="X132:X195" si="21">IFERROR(INDEX($U$4:$U$500,MATCH(ROW()-3,$W$4:$W$500,0)),"")</f>
        <v/>
      </c>
      <c r="Y132" s="38" t="str">
        <f>IF(AND(A132="Аппарат",C132&lt;&gt;"",OR($S$5="(все)",B132=$S$5)),MAX($Y$3:Y131)+1,"")</f>
        <v/>
      </c>
      <c r="Z132" s="38" t="str">
        <f t="shared" ref="Z132:Z195" si="22">IFERROR(INDEX($C$4:$C$500,MATCH(ROW()-3,$Y$4:$Y$500,0)),"")</f>
        <v/>
      </c>
      <c r="AA132" s="38" t="str">
        <f>IF(AND(A132="Модуль",C132&lt;&gt;"",OR($S$6="(все)",B132=$S$6)),MAX($AA$3:AA131)+1,"")</f>
        <v/>
      </c>
      <c r="AB132" s="38" t="str">
        <f t="shared" ref="AB132:AB195" si="23">IFERROR(INDEX($C$4:$C$500,MATCH(ROW()-3,$AA$4:$AA$500,0)),"")</f>
        <v/>
      </c>
      <c r="AC132" s="38" t="str">
        <f>IF(OR(B132="",COUNTIF($B$4:B132,B132)&gt;1),"",MAX($AC$3:AC131)+1)</f>
        <v/>
      </c>
      <c r="AD132" s="38" t="str">
        <f t="shared" ref="AD132:AD195" si="24">IFERROR(INDEX($B$4:$B$500,MATCH(ROW()-3,$AC$4:$AC$500,0)),"")</f>
        <v/>
      </c>
      <c r="AE132" s="38" t="str">
        <f t="shared" ref="AE132:AE195" si="25">IF(AND(A132&lt;&gt;"",N(P132)&gt;0),IFERROR(MATCH(A132,$R$12:$R$25,0),99)*1000+ROW(),"")</f>
        <v/>
      </c>
      <c r="AF132" s="38" t="str">
        <f t="shared" ref="AF132:AF195" si="26">IF(AE132="","",COUNTIF($AE$4:$AE$500,"&lt;="&amp;AE132))</f>
        <v/>
      </c>
    </row>
    <row r="133" spans="1:32" x14ac:dyDescent="0.3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38" t="str">
        <f>IF(OR(A133="Автомат",A133="Дифавтомат"),IF(W133="","",COUNTIFS(Однолинейка!$H$3:$H$3000,U133,Однолинейка!$A$3:$A$3000,Щит_спец)),IF(A133="Аппарат",IF(C133="","",COUNTIFS(Однолинейка!$I$3:$I$3000,C133,Однолинейка!$A$3:$A$3000,Щит_спец)+COUNTIFS(Однолинейка!$J$3:$J$3000,C133,Однолинейка!$A$3:$A$3000,Щит_спец)+COUNTIFS(Однолинейка!$K$3:$K$3000,C133,Однолинейка!$A$3:$A$3000,Щит_спец)),IF(A133="Модуль",IF(C133="","",COUNTIFS(Однолинейка!$AW$3:$AW$3000,"?*",Однолинейка!$AI$3:$AI$3000,C133,Однолинейка!$A$3:$A$3000,Щит_спец)),IF(A133="Клемма",IF(C133="","",IF(C133=$S$7,SUMIFS(Однолинейка!$BW$3:$BW$3000,Однолинейка!$A$3:$A$3000,Щит_спец),IF(C133=$S$8,SUMIFS(Однолинейка!$BX$3:$BX$3000,Однолинейка!$A$3:$A$3000,Щит_спец),""))),""))))</f>
        <v/>
      </c>
      <c r="O133" s="74"/>
      <c r="P133" s="38" t="str">
        <f t="shared" si="18"/>
        <v/>
      </c>
      <c r="U133" s="38" t="str">
        <f t="shared" si="19"/>
        <v/>
      </c>
      <c r="V133" s="38" t="str">
        <f t="shared" si="20"/>
        <v/>
      </c>
      <c r="W133" s="38" t="str">
        <f>IF(AND(U133&lt;&gt;"",OR($S$4="(все)",B133=$S$4),IF($S$4="(все)",COUNTIF($U$4:U133,U133),COUNTIFS($U$4:U133,U133,$B$4:B133,B133))=1),MAX($W$3:W132)+1,"")</f>
        <v/>
      </c>
      <c r="X133" s="38" t="str">
        <f t="shared" si="21"/>
        <v/>
      </c>
      <c r="Y133" s="38" t="str">
        <f>IF(AND(A133="Аппарат",C133&lt;&gt;"",OR($S$5="(все)",B133=$S$5)),MAX($Y$3:Y132)+1,"")</f>
        <v/>
      </c>
      <c r="Z133" s="38" t="str">
        <f t="shared" si="22"/>
        <v/>
      </c>
      <c r="AA133" s="38" t="str">
        <f>IF(AND(A133="Модуль",C133&lt;&gt;"",OR($S$6="(все)",B133=$S$6)),MAX($AA$3:AA132)+1,"")</f>
        <v/>
      </c>
      <c r="AB133" s="38" t="str">
        <f t="shared" si="23"/>
        <v/>
      </c>
      <c r="AC133" s="38" t="str">
        <f>IF(OR(B133="",COUNTIF($B$4:B133,B133)&gt;1),"",MAX($AC$3:AC132)+1)</f>
        <v/>
      </c>
      <c r="AD133" s="38" t="str">
        <f t="shared" si="24"/>
        <v/>
      </c>
      <c r="AE133" s="38" t="str">
        <f t="shared" si="25"/>
        <v/>
      </c>
      <c r="AF133" s="38" t="str">
        <f t="shared" si="26"/>
        <v/>
      </c>
    </row>
    <row r="134" spans="1:32" x14ac:dyDescent="0.3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38" t="str">
        <f>IF(OR(A134="Автомат",A134="Дифавтомат"),IF(W134="","",COUNTIFS(Однолинейка!$H$3:$H$3000,U134,Однолинейка!$A$3:$A$3000,Щит_спец)),IF(A134="Аппарат",IF(C134="","",COUNTIFS(Однолинейка!$I$3:$I$3000,C134,Однолинейка!$A$3:$A$3000,Щит_спец)+COUNTIFS(Однолинейка!$J$3:$J$3000,C134,Однолинейка!$A$3:$A$3000,Щит_спец)+COUNTIFS(Однолинейка!$K$3:$K$3000,C134,Однолинейка!$A$3:$A$3000,Щит_спец)),IF(A134="Модуль",IF(C134="","",COUNTIFS(Однолинейка!$AW$3:$AW$3000,"?*",Однолинейка!$AI$3:$AI$3000,C134,Однолинейка!$A$3:$A$3000,Щит_спец)),IF(A134="Клемма",IF(C134="","",IF(C134=$S$7,SUMIFS(Однолинейка!$BW$3:$BW$3000,Однолинейка!$A$3:$A$3000,Щит_спец),IF(C134=$S$8,SUMIFS(Однолинейка!$BX$3:$BX$3000,Однолинейка!$A$3:$A$3000,Щит_спец),""))),""))))</f>
        <v/>
      </c>
      <c r="O134" s="74"/>
      <c r="P134" s="38" t="str">
        <f t="shared" si="18"/>
        <v/>
      </c>
      <c r="U134" s="38" t="str">
        <f t="shared" si="19"/>
        <v/>
      </c>
      <c r="V134" s="38" t="str">
        <f t="shared" si="20"/>
        <v/>
      </c>
      <c r="W134" s="38" t="str">
        <f>IF(AND(U134&lt;&gt;"",OR($S$4="(все)",B134=$S$4),IF($S$4="(все)",COUNTIF($U$4:U134,U134),COUNTIFS($U$4:U134,U134,$B$4:B134,B134))=1),MAX($W$3:W133)+1,"")</f>
        <v/>
      </c>
      <c r="X134" s="38" t="str">
        <f t="shared" si="21"/>
        <v/>
      </c>
      <c r="Y134" s="38" t="str">
        <f>IF(AND(A134="Аппарат",C134&lt;&gt;"",OR($S$5="(все)",B134=$S$5)),MAX($Y$3:Y133)+1,"")</f>
        <v/>
      </c>
      <c r="Z134" s="38" t="str">
        <f t="shared" si="22"/>
        <v/>
      </c>
      <c r="AA134" s="38" t="str">
        <f>IF(AND(A134="Модуль",C134&lt;&gt;"",OR($S$6="(все)",B134=$S$6)),MAX($AA$3:AA133)+1,"")</f>
        <v/>
      </c>
      <c r="AB134" s="38" t="str">
        <f t="shared" si="23"/>
        <v/>
      </c>
      <c r="AC134" s="38" t="str">
        <f>IF(OR(B134="",COUNTIF($B$4:B134,B134)&gt;1),"",MAX($AC$3:AC133)+1)</f>
        <v/>
      </c>
      <c r="AD134" s="38" t="str">
        <f t="shared" si="24"/>
        <v/>
      </c>
      <c r="AE134" s="38" t="str">
        <f t="shared" si="25"/>
        <v/>
      </c>
      <c r="AF134" s="38" t="str">
        <f t="shared" si="26"/>
        <v/>
      </c>
    </row>
    <row r="135" spans="1:32" x14ac:dyDescent="0.3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38" t="str">
        <f>IF(OR(A135="Автомат",A135="Дифавтомат"),IF(W135="","",COUNTIFS(Однолинейка!$H$3:$H$3000,U135,Однолинейка!$A$3:$A$3000,Щит_спец)),IF(A135="Аппарат",IF(C135="","",COUNTIFS(Однолинейка!$I$3:$I$3000,C135,Однолинейка!$A$3:$A$3000,Щит_спец)+COUNTIFS(Однолинейка!$J$3:$J$3000,C135,Однолинейка!$A$3:$A$3000,Щит_спец)+COUNTIFS(Однолинейка!$K$3:$K$3000,C135,Однолинейка!$A$3:$A$3000,Щит_спец)),IF(A135="Модуль",IF(C135="","",COUNTIFS(Однолинейка!$AW$3:$AW$3000,"?*",Однолинейка!$AI$3:$AI$3000,C135,Однолинейка!$A$3:$A$3000,Щит_спец)),IF(A135="Клемма",IF(C135="","",IF(C135=$S$7,SUMIFS(Однолинейка!$BW$3:$BW$3000,Однолинейка!$A$3:$A$3000,Щит_спец),IF(C135=$S$8,SUMIFS(Однолинейка!$BX$3:$BX$3000,Однолинейка!$A$3:$A$3000,Щит_спец),""))),""))))</f>
        <v/>
      </c>
      <c r="O135" s="74"/>
      <c r="P135" s="38" t="str">
        <f t="shared" si="18"/>
        <v/>
      </c>
      <c r="U135" s="38" t="str">
        <f t="shared" si="19"/>
        <v/>
      </c>
      <c r="V135" s="38" t="str">
        <f t="shared" si="20"/>
        <v/>
      </c>
      <c r="W135" s="38" t="str">
        <f>IF(AND(U135&lt;&gt;"",OR($S$4="(все)",B135=$S$4),IF($S$4="(все)",COUNTIF($U$4:U135,U135),COUNTIFS($U$4:U135,U135,$B$4:B135,B135))=1),MAX($W$3:W134)+1,"")</f>
        <v/>
      </c>
      <c r="X135" s="38" t="str">
        <f t="shared" si="21"/>
        <v/>
      </c>
      <c r="Y135" s="38" t="str">
        <f>IF(AND(A135="Аппарат",C135&lt;&gt;"",OR($S$5="(все)",B135=$S$5)),MAX($Y$3:Y134)+1,"")</f>
        <v/>
      </c>
      <c r="Z135" s="38" t="str">
        <f t="shared" si="22"/>
        <v/>
      </c>
      <c r="AA135" s="38" t="str">
        <f>IF(AND(A135="Модуль",C135&lt;&gt;"",OR($S$6="(все)",B135=$S$6)),MAX($AA$3:AA134)+1,"")</f>
        <v/>
      </c>
      <c r="AB135" s="38" t="str">
        <f t="shared" si="23"/>
        <v/>
      </c>
      <c r="AC135" s="38" t="str">
        <f>IF(OR(B135="",COUNTIF($B$4:B135,B135)&gt;1),"",MAX($AC$3:AC134)+1)</f>
        <v/>
      </c>
      <c r="AD135" s="38" t="str">
        <f t="shared" si="24"/>
        <v/>
      </c>
      <c r="AE135" s="38" t="str">
        <f t="shared" si="25"/>
        <v/>
      </c>
      <c r="AF135" s="38" t="str">
        <f t="shared" si="26"/>
        <v/>
      </c>
    </row>
    <row r="136" spans="1:32" x14ac:dyDescent="0.3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38" t="str">
        <f>IF(OR(A136="Автомат",A136="Дифавтомат"),IF(W136="","",COUNTIFS(Однолинейка!$H$3:$H$3000,U136,Однолинейка!$A$3:$A$3000,Щит_спец)),IF(A136="Аппарат",IF(C136="","",COUNTIFS(Однолинейка!$I$3:$I$3000,C136,Однолинейка!$A$3:$A$3000,Щит_спец)+COUNTIFS(Однолинейка!$J$3:$J$3000,C136,Однолинейка!$A$3:$A$3000,Щит_спец)+COUNTIFS(Однолинейка!$K$3:$K$3000,C136,Однолинейка!$A$3:$A$3000,Щит_спец)),IF(A136="Модуль",IF(C136="","",COUNTIFS(Однолинейка!$AW$3:$AW$3000,"?*",Однолинейка!$AI$3:$AI$3000,C136,Однолинейка!$A$3:$A$3000,Щит_спец)),IF(A136="Клемма",IF(C136="","",IF(C136=$S$7,SUMIFS(Однолинейка!$BW$3:$BW$3000,Однолинейка!$A$3:$A$3000,Щит_спец),IF(C136=$S$8,SUMIFS(Однолинейка!$BX$3:$BX$3000,Однолинейка!$A$3:$A$3000,Щит_спец),""))),""))))</f>
        <v/>
      </c>
      <c r="O136" s="74"/>
      <c r="P136" s="38" t="str">
        <f t="shared" si="18"/>
        <v/>
      </c>
      <c r="U136" s="38" t="str">
        <f t="shared" si="19"/>
        <v/>
      </c>
      <c r="V136" s="38" t="str">
        <f t="shared" si="20"/>
        <v/>
      </c>
      <c r="W136" s="38" t="str">
        <f>IF(AND(U136&lt;&gt;"",OR($S$4="(все)",B136=$S$4),IF($S$4="(все)",COUNTIF($U$4:U136,U136),COUNTIFS($U$4:U136,U136,$B$4:B136,B136))=1),MAX($W$3:W135)+1,"")</f>
        <v/>
      </c>
      <c r="X136" s="38" t="str">
        <f t="shared" si="21"/>
        <v/>
      </c>
      <c r="Y136" s="38" t="str">
        <f>IF(AND(A136="Аппарат",C136&lt;&gt;"",OR($S$5="(все)",B136=$S$5)),MAX($Y$3:Y135)+1,"")</f>
        <v/>
      </c>
      <c r="Z136" s="38" t="str">
        <f t="shared" si="22"/>
        <v/>
      </c>
      <c r="AA136" s="38" t="str">
        <f>IF(AND(A136="Модуль",C136&lt;&gt;"",OR($S$6="(все)",B136=$S$6)),MAX($AA$3:AA135)+1,"")</f>
        <v/>
      </c>
      <c r="AB136" s="38" t="str">
        <f t="shared" si="23"/>
        <v/>
      </c>
      <c r="AC136" s="38" t="str">
        <f>IF(OR(B136="",COUNTIF($B$4:B136,B136)&gt;1),"",MAX($AC$3:AC135)+1)</f>
        <v/>
      </c>
      <c r="AD136" s="38" t="str">
        <f t="shared" si="24"/>
        <v/>
      </c>
      <c r="AE136" s="38" t="str">
        <f t="shared" si="25"/>
        <v/>
      </c>
      <c r="AF136" s="38" t="str">
        <f t="shared" si="26"/>
        <v/>
      </c>
    </row>
    <row r="137" spans="1:32" x14ac:dyDescent="0.3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38" t="str">
        <f>IF(OR(A137="Автомат",A137="Дифавтомат"),IF(W137="","",COUNTIFS(Однолинейка!$H$3:$H$3000,U137,Однолинейка!$A$3:$A$3000,Щит_спец)),IF(A137="Аппарат",IF(C137="","",COUNTIFS(Однолинейка!$I$3:$I$3000,C137,Однолинейка!$A$3:$A$3000,Щит_спец)+COUNTIFS(Однолинейка!$J$3:$J$3000,C137,Однолинейка!$A$3:$A$3000,Щит_спец)+COUNTIFS(Однолинейка!$K$3:$K$3000,C137,Однолинейка!$A$3:$A$3000,Щит_спец)),IF(A137="Модуль",IF(C137="","",COUNTIFS(Однолинейка!$AW$3:$AW$3000,"?*",Однолинейка!$AI$3:$AI$3000,C137,Однолинейка!$A$3:$A$3000,Щит_спец)),IF(A137="Клемма",IF(C137="","",IF(C137=$S$7,SUMIFS(Однолинейка!$BW$3:$BW$3000,Однолинейка!$A$3:$A$3000,Щит_спец),IF(C137=$S$8,SUMIFS(Однолинейка!$BX$3:$BX$3000,Однолинейка!$A$3:$A$3000,Щит_спец),""))),""))))</f>
        <v/>
      </c>
      <c r="O137" s="74"/>
      <c r="P137" s="38" t="str">
        <f t="shared" si="18"/>
        <v/>
      </c>
      <c r="U137" s="38" t="str">
        <f t="shared" si="19"/>
        <v/>
      </c>
      <c r="V137" s="38" t="str">
        <f t="shared" si="20"/>
        <v/>
      </c>
      <c r="W137" s="38" t="str">
        <f>IF(AND(U137&lt;&gt;"",OR($S$4="(все)",B137=$S$4),IF($S$4="(все)",COUNTIF($U$4:U137,U137),COUNTIFS($U$4:U137,U137,$B$4:B137,B137))=1),MAX($W$3:W136)+1,"")</f>
        <v/>
      </c>
      <c r="X137" s="38" t="str">
        <f t="shared" si="21"/>
        <v/>
      </c>
      <c r="Y137" s="38" t="str">
        <f>IF(AND(A137="Аппарат",C137&lt;&gt;"",OR($S$5="(все)",B137=$S$5)),MAX($Y$3:Y136)+1,"")</f>
        <v/>
      </c>
      <c r="Z137" s="38" t="str">
        <f t="shared" si="22"/>
        <v/>
      </c>
      <c r="AA137" s="38" t="str">
        <f>IF(AND(A137="Модуль",C137&lt;&gt;"",OR($S$6="(все)",B137=$S$6)),MAX($AA$3:AA136)+1,"")</f>
        <v/>
      </c>
      <c r="AB137" s="38" t="str">
        <f t="shared" si="23"/>
        <v/>
      </c>
      <c r="AC137" s="38" t="str">
        <f>IF(OR(B137="",COUNTIF($B$4:B137,B137)&gt;1),"",MAX($AC$3:AC136)+1)</f>
        <v/>
      </c>
      <c r="AD137" s="38" t="str">
        <f t="shared" si="24"/>
        <v/>
      </c>
      <c r="AE137" s="38" t="str">
        <f t="shared" si="25"/>
        <v/>
      </c>
      <c r="AF137" s="38" t="str">
        <f t="shared" si="26"/>
        <v/>
      </c>
    </row>
    <row r="138" spans="1:32" x14ac:dyDescent="0.3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38" t="str">
        <f>IF(OR(A138="Автомат",A138="Дифавтомат"),IF(W138="","",COUNTIFS(Однолинейка!$H$3:$H$3000,U138,Однолинейка!$A$3:$A$3000,Щит_спец)),IF(A138="Аппарат",IF(C138="","",COUNTIFS(Однолинейка!$I$3:$I$3000,C138,Однолинейка!$A$3:$A$3000,Щит_спец)+COUNTIFS(Однолинейка!$J$3:$J$3000,C138,Однолинейка!$A$3:$A$3000,Щит_спец)+COUNTIFS(Однолинейка!$K$3:$K$3000,C138,Однолинейка!$A$3:$A$3000,Щит_спец)),IF(A138="Модуль",IF(C138="","",COUNTIFS(Однолинейка!$AW$3:$AW$3000,"?*",Однолинейка!$AI$3:$AI$3000,C138,Однолинейка!$A$3:$A$3000,Щит_спец)),IF(A138="Клемма",IF(C138="","",IF(C138=$S$7,SUMIFS(Однолинейка!$BW$3:$BW$3000,Однолинейка!$A$3:$A$3000,Щит_спец),IF(C138=$S$8,SUMIFS(Однолинейка!$BX$3:$BX$3000,Однолинейка!$A$3:$A$3000,Щит_спец),""))),""))))</f>
        <v/>
      </c>
      <c r="O138" s="74"/>
      <c r="P138" s="38" t="str">
        <f t="shared" si="18"/>
        <v/>
      </c>
      <c r="U138" s="38" t="str">
        <f t="shared" si="19"/>
        <v/>
      </c>
      <c r="V138" s="38" t="str">
        <f t="shared" si="20"/>
        <v/>
      </c>
      <c r="W138" s="38" t="str">
        <f>IF(AND(U138&lt;&gt;"",OR($S$4="(все)",B138=$S$4),IF($S$4="(все)",COUNTIF($U$4:U138,U138),COUNTIFS($U$4:U138,U138,$B$4:B138,B138))=1),MAX($W$3:W137)+1,"")</f>
        <v/>
      </c>
      <c r="X138" s="38" t="str">
        <f t="shared" si="21"/>
        <v/>
      </c>
      <c r="Y138" s="38" t="str">
        <f>IF(AND(A138="Аппарат",C138&lt;&gt;"",OR($S$5="(все)",B138=$S$5)),MAX($Y$3:Y137)+1,"")</f>
        <v/>
      </c>
      <c r="Z138" s="38" t="str">
        <f t="shared" si="22"/>
        <v/>
      </c>
      <c r="AA138" s="38" t="str">
        <f>IF(AND(A138="Модуль",C138&lt;&gt;"",OR($S$6="(все)",B138=$S$6)),MAX($AA$3:AA137)+1,"")</f>
        <v/>
      </c>
      <c r="AB138" s="38" t="str">
        <f t="shared" si="23"/>
        <v/>
      </c>
      <c r="AC138" s="38" t="str">
        <f>IF(OR(B138="",COUNTIF($B$4:B138,B138)&gt;1),"",MAX($AC$3:AC137)+1)</f>
        <v/>
      </c>
      <c r="AD138" s="38" t="str">
        <f t="shared" si="24"/>
        <v/>
      </c>
      <c r="AE138" s="38" t="str">
        <f t="shared" si="25"/>
        <v/>
      </c>
      <c r="AF138" s="38" t="str">
        <f t="shared" si="26"/>
        <v/>
      </c>
    </row>
    <row r="139" spans="1:32" x14ac:dyDescent="0.3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38" t="str">
        <f>IF(OR(A139="Автомат",A139="Дифавтомат"),IF(W139="","",COUNTIFS(Однолинейка!$H$3:$H$3000,U139,Однолинейка!$A$3:$A$3000,Щит_спец)),IF(A139="Аппарат",IF(C139="","",COUNTIFS(Однолинейка!$I$3:$I$3000,C139,Однолинейка!$A$3:$A$3000,Щит_спец)+COUNTIFS(Однолинейка!$J$3:$J$3000,C139,Однолинейка!$A$3:$A$3000,Щит_спец)+COUNTIFS(Однолинейка!$K$3:$K$3000,C139,Однолинейка!$A$3:$A$3000,Щит_спец)),IF(A139="Модуль",IF(C139="","",COUNTIFS(Однолинейка!$AW$3:$AW$3000,"?*",Однолинейка!$AI$3:$AI$3000,C139,Однолинейка!$A$3:$A$3000,Щит_спец)),IF(A139="Клемма",IF(C139="","",IF(C139=$S$7,SUMIFS(Однолинейка!$BW$3:$BW$3000,Однолинейка!$A$3:$A$3000,Щит_спец),IF(C139=$S$8,SUMIFS(Однолинейка!$BX$3:$BX$3000,Однолинейка!$A$3:$A$3000,Щит_спец),""))),""))))</f>
        <v/>
      </c>
      <c r="O139" s="74"/>
      <c r="P139" s="38" t="str">
        <f t="shared" si="18"/>
        <v/>
      </c>
      <c r="U139" s="38" t="str">
        <f t="shared" si="19"/>
        <v/>
      </c>
      <c r="V139" s="38" t="str">
        <f t="shared" si="20"/>
        <v/>
      </c>
      <c r="W139" s="38" t="str">
        <f>IF(AND(U139&lt;&gt;"",OR($S$4="(все)",B139=$S$4),IF($S$4="(все)",COUNTIF($U$4:U139,U139),COUNTIFS($U$4:U139,U139,$B$4:B139,B139))=1),MAX($W$3:W138)+1,"")</f>
        <v/>
      </c>
      <c r="X139" s="38" t="str">
        <f t="shared" si="21"/>
        <v/>
      </c>
      <c r="Y139" s="38" t="str">
        <f>IF(AND(A139="Аппарат",C139&lt;&gt;"",OR($S$5="(все)",B139=$S$5)),MAX($Y$3:Y138)+1,"")</f>
        <v/>
      </c>
      <c r="Z139" s="38" t="str">
        <f t="shared" si="22"/>
        <v/>
      </c>
      <c r="AA139" s="38" t="str">
        <f>IF(AND(A139="Модуль",C139&lt;&gt;"",OR($S$6="(все)",B139=$S$6)),MAX($AA$3:AA138)+1,"")</f>
        <v/>
      </c>
      <c r="AB139" s="38" t="str">
        <f t="shared" si="23"/>
        <v/>
      </c>
      <c r="AC139" s="38" t="str">
        <f>IF(OR(B139="",COUNTIF($B$4:B139,B139)&gt;1),"",MAX($AC$3:AC138)+1)</f>
        <v/>
      </c>
      <c r="AD139" s="38" t="str">
        <f t="shared" si="24"/>
        <v/>
      </c>
      <c r="AE139" s="38" t="str">
        <f t="shared" si="25"/>
        <v/>
      </c>
      <c r="AF139" s="38" t="str">
        <f t="shared" si="26"/>
        <v/>
      </c>
    </row>
    <row r="140" spans="1:32" x14ac:dyDescent="0.3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38" t="str">
        <f>IF(OR(A140="Автомат",A140="Дифавтомат"),IF(W140="","",COUNTIFS(Однолинейка!$H$3:$H$3000,U140,Однолинейка!$A$3:$A$3000,Щит_спец)),IF(A140="Аппарат",IF(C140="","",COUNTIFS(Однолинейка!$I$3:$I$3000,C140,Однолинейка!$A$3:$A$3000,Щит_спец)+COUNTIFS(Однолинейка!$J$3:$J$3000,C140,Однолинейка!$A$3:$A$3000,Щит_спец)+COUNTIFS(Однолинейка!$K$3:$K$3000,C140,Однолинейка!$A$3:$A$3000,Щит_спец)),IF(A140="Модуль",IF(C140="","",COUNTIFS(Однолинейка!$AW$3:$AW$3000,"?*",Однолинейка!$AI$3:$AI$3000,C140,Однолинейка!$A$3:$A$3000,Щит_спец)),IF(A140="Клемма",IF(C140="","",IF(C140=$S$7,SUMIFS(Однолинейка!$BW$3:$BW$3000,Однолинейка!$A$3:$A$3000,Щит_спец),IF(C140=$S$8,SUMIFS(Однолинейка!$BX$3:$BX$3000,Однолинейка!$A$3:$A$3000,Щит_спец),""))),""))))</f>
        <v/>
      </c>
      <c r="O140" s="74"/>
      <c r="P140" s="38" t="str">
        <f t="shared" si="18"/>
        <v/>
      </c>
      <c r="U140" s="38" t="str">
        <f t="shared" si="19"/>
        <v/>
      </c>
      <c r="V140" s="38" t="str">
        <f t="shared" si="20"/>
        <v/>
      </c>
      <c r="W140" s="38" t="str">
        <f>IF(AND(U140&lt;&gt;"",OR($S$4="(все)",B140=$S$4),IF($S$4="(все)",COUNTIF($U$4:U140,U140),COUNTIFS($U$4:U140,U140,$B$4:B140,B140))=1),MAX($W$3:W139)+1,"")</f>
        <v/>
      </c>
      <c r="X140" s="38" t="str">
        <f t="shared" si="21"/>
        <v/>
      </c>
      <c r="Y140" s="38" t="str">
        <f>IF(AND(A140="Аппарат",C140&lt;&gt;"",OR($S$5="(все)",B140=$S$5)),MAX($Y$3:Y139)+1,"")</f>
        <v/>
      </c>
      <c r="Z140" s="38" t="str">
        <f t="shared" si="22"/>
        <v/>
      </c>
      <c r="AA140" s="38" t="str">
        <f>IF(AND(A140="Модуль",C140&lt;&gt;"",OR($S$6="(все)",B140=$S$6)),MAX($AA$3:AA139)+1,"")</f>
        <v/>
      </c>
      <c r="AB140" s="38" t="str">
        <f t="shared" si="23"/>
        <v/>
      </c>
      <c r="AC140" s="38" t="str">
        <f>IF(OR(B140="",COUNTIF($B$4:B140,B140)&gt;1),"",MAX($AC$3:AC139)+1)</f>
        <v/>
      </c>
      <c r="AD140" s="38" t="str">
        <f t="shared" si="24"/>
        <v/>
      </c>
      <c r="AE140" s="38" t="str">
        <f t="shared" si="25"/>
        <v/>
      </c>
      <c r="AF140" s="38" t="str">
        <f t="shared" si="26"/>
        <v/>
      </c>
    </row>
    <row r="141" spans="1:32" x14ac:dyDescent="0.3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38" t="str">
        <f>IF(OR(A141="Автомат",A141="Дифавтомат"),IF(W141="","",COUNTIFS(Однолинейка!$H$3:$H$3000,U141,Однолинейка!$A$3:$A$3000,Щит_спец)),IF(A141="Аппарат",IF(C141="","",COUNTIFS(Однолинейка!$I$3:$I$3000,C141,Однолинейка!$A$3:$A$3000,Щит_спец)+COUNTIFS(Однолинейка!$J$3:$J$3000,C141,Однолинейка!$A$3:$A$3000,Щит_спец)+COUNTIFS(Однолинейка!$K$3:$K$3000,C141,Однолинейка!$A$3:$A$3000,Щит_спец)),IF(A141="Модуль",IF(C141="","",COUNTIFS(Однолинейка!$AW$3:$AW$3000,"?*",Однолинейка!$AI$3:$AI$3000,C141,Однолинейка!$A$3:$A$3000,Щит_спец)),IF(A141="Клемма",IF(C141="","",IF(C141=$S$7,SUMIFS(Однолинейка!$BW$3:$BW$3000,Однолинейка!$A$3:$A$3000,Щит_спец),IF(C141=$S$8,SUMIFS(Однолинейка!$BX$3:$BX$3000,Однолинейка!$A$3:$A$3000,Щит_спец),""))),""))))</f>
        <v/>
      </c>
      <c r="O141" s="74"/>
      <c r="P141" s="38" t="str">
        <f t="shared" si="18"/>
        <v/>
      </c>
      <c r="U141" s="38" t="str">
        <f t="shared" si="19"/>
        <v/>
      </c>
      <c r="V141" s="38" t="str">
        <f t="shared" si="20"/>
        <v/>
      </c>
      <c r="W141" s="38" t="str">
        <f>IF(AND(U141&lt;&gt;"",OR($S$4="(все)",B141=$S$4),IF($S$4="(все)",COUNTIF($U$4:U141,U141),COUNTIFS($U$4:U141,U141,$B$4:B141,B141))=1),MAX($W$3:W140)+1,"")</f>
        <v/>
      </c>
      <c r="X141" s="38" t="str">
        <f t="shared" si="21"/>
        <v/>
      </c>
      <c r="Y141" s="38" t="str">
        <f>IF(AND(A141="Аппарат",C141&lt;&gt;"",OR($S$5="(все)",B141=$S$5)),MAX($Y$3:Y140)+1,"")</f>
        <v/>
      </c>
      <c r="Z141" s="38" t="str">
        <f t="shared" si="22"/>
        <v/>
      </c>
      <c r="AA141" s="38" t="str">
        <f>IF(AND(A141="Модуль",C141&lt;&gt;"",OR($S$6="(все)",B141=$S$6)),MAX($AA$3:AA140)+1,"")</f>
        <v/>
      </c>
      <c r="AB141" s="38" t="str">
        <f t="shared" si="23"/>
        <v/>
      </c>
      <c r="AC141" s="38" t="str">
        <f>IF(OR(B141="",COUNTIF($B$4:B141,B141)&gt;1),"",MAX($AC$3:AC140)+1)</f>
        <v/>
      </c>
      <c r="AD141" s="38" t="str">
        <f t="shared" si="24"/>
        <v/>
      </c>
      <c r="AE141" s="38" t="str">
        <f t="shared" si="25"/>
        <v/>
      </c>
      <c r="AF141" s="38" t="str">
        <f t="shared" si="26"/>
        <v/>
      </c>
    </row>
    <row r="142" spans="1:32" x14ac:dyDescent="0.3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38" t="str">
        <f>IF(OR(A142="Автомат",A142="Дифавтомат"),IF(W142="","",COUNTIFS(Однолинейка!$H$3:$H$3000,U142,Однолинейка!$A$3:$A$3000,Щит_спец)),IF(A142="Аппарат",IF(C142="","",COUNTIFS(Однолинейка!$I$3:$I$3000,C142,Однолинейка!$A$3:$A$3000,Щит_спец)+COUNTIFS(Однолинейка!$J$3:$J$3000,C142,Однолинейка!$A$3:$A$3000,Щит_спец)+COUNTIFS(Однолинейка!$K$3:$K$3000,C142,Однолинейка!$A$3:$A$3000,Щит_спец)),IF(A142="Модуль",IF(C142="","",COUNTIFS(Однолинейка!$AW$3:$AW$3000,"?*",Однолинейка!$AI$3:$AI$3000,C142,Однолинейка!$A$3:$A$3000,Щит_спец)),IF(A142="Клемма",IF(C142="","",IF(C142=$S$7,SUMIFS(Однолинейка!$BW$3:$BW$3000,Однолинейка!$A$3:$A$3000,Щит_спец),IF(C142=$S$8,SUMIFS(Однолинейка!$BX$3:$BX$3000,Однолинейка!$A$3:$A$3000,Щит_спец),""))),""))))</f>
        <v/>
      </c>
      <c r="O142" s="74"/>
      <c r="P142" s="38" t="str">
        <f t="shared" si="18"/>
        <v/>
      </c>
      <c r="U142" s="38" t="str">
        <f t="shared" si="19"/>
        <v/>
      </c>
      <c r="V142" s="38" t="str">
        <f t="shared" si="20"/>
        <v/>
      </c>
      <c r="W142" s="38" t="str">
        <f>IF(AND(U142&lt;&gt;"",OR($S$4="(все)",B142=$S$4),IF($S$4="(все)",COUNTIF($U$4:U142,U142),COUNTIFS($U$4:U142,U142,$B$4:B142,B142))=1),MAX($W$3:W141)+1,"")</f>
        <v/>
      </c>
      <c r="X142" s="38" t="str">
        <f t="shared" si="21"/>
        <v/>
      </c>
      <c r="Y142" s="38" t="str">
        <f>IF(AND(A142="Аппарат",C142&lt;&gt;"",OR($S$5="(все)",B142=$S$5)),MAX($Y$3:Y141)+1,"")</f>
        <v/>
      </c>
      <c r="Z142" s="38" t="str">
        <f t="shared" si="22"/>
        <v/>
      </c>
      <c r="AA142" s="38" t="str">
        <f>IF(AND(A142="Модуль",C142&lt;&gt;"",OR($S$6="(все)",B142=$S$6)),MAX($AA$3:AA141)+1,"")</f>
        <v/>
      </c>
      <c r="AB142" s="38" t="str">
        <f t="shared" si="23"/>
        <v/>
      </c>
      <c r="AC142" s="38" t="str">
        <f>IF(OR(B142="",COUNTIF($B$4:B142,B142)&gt;1),"",MAX($AC$3:AC141)+1)</f>
        <v/>
      </c>
      <c r="AD142" s="38" t="str">
        <f t="shared" si="24"/>
        <v/>
      </c>
      <c r="AE142" s="38" t="str">
        <f t="shared" si="25"/>
        <v/>
      </c>
      <c r="AF142" s="38" t="str">
        <f t="shared" si="26"/>
        <v/>
      </c>
    </row>
    <row r="143" spans="1:32" x14ac:dyDescent="0.3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38" t="str">
        <f>IF(OR(A143="Автомат",A143="Дифавтомат"),IF(W143="","",COUNTIFS(Однолинейка!$H$3:$H$3000,U143,Однолинейка!$A$3:$A$3000,Щит_спец)),IF(A143="Аппарат",IF(C143="","",COUNTIFS(Однолинейка!$I$3:$I$3000,C143,Однолинейка!$A$3:$A$3000,Щит_спец)+COUNTIFS(Однолинейка!$J$3:$J$3000,C143,Однолинейка!$A$3:$A$3000,Щит_спец)+COUNTIFS(Однолинейка!$K$3:$K$3000,C143,Однолинейка!$A$3:$A$3000,Щит_спец)),IF(A143="Модуль",IF(C143="","",COUNTIFS(Однолинейка!$AW$3:$AW$3000,"?*",Однолинейка!$AI$3:$AI$3000,C143,Однолинейка!$A$3:$A$3000,Щит_спец)),IF(A143="Клемма",IF(C143="","",IF(C143=$S$7,SUMIFS(Однолинейка!$BW$3:$BW$3000,Однолинейка!$A$3:$A$3000,Щит_спец),IF(C143=$S$8,SUMIFS(Однолинейка!$BX$3:$BX$3000,Однолинейка!$A$3:$A$3000,Щит_спец),""))),""))))</f>
        <v/>
      </c>
      <c r="O143" s="74"/>
      <c r="P143" s="38" t="str">
        <f t="shared" si="18"/>
        <v/>
      </c>
      <c r="U143" s="38" t="str">
        <f t="shared" si="19"/>
        <v/>
      </c>
      <c r="V143" s="38" t="str">
        <f t="shared" si="20"/>
        <v/>
      </c>
      <c r="W143" s="38" t="str">
        <f>IF(AND(U143&lt;&gt;"",OR($S$4="(все)",B143=$S$4),IF($S$4="(все)",COUNTIF($U$4:U143,U143),COUNTIFS($U$4:U143,U143,$B$4:B143,B143))=1),MAX($W$3:W142)+1,"")</f>
        <v/>
      </c>
      <c r="X143" s="38" t="str">
        <f t="shared" si="21"/>
        <v/>
      </c>
      <c r="Y143" s="38" t="str">
        <f>IF(AND(A143="Аппарат",C143&lt;&gt;"",OR($S$5="(все)",B143=$S$5)),MAX($Y$3:Y142)+1,"")</f>
        <v/>
      </c>
      <c r="Z143" s="38" t="str">
        <f t="shared" si="22"/>
        <v/>
      </c>
      <c r="AA143" s="38" t="str">
        <f>IF(AND(A143="Модуль",C143&lt;&gt;"",OR($S$6="(все)",B143=$S$6)),MAX($AA$3:AA142)+1,"")</f>
        <v/>
      </c>
      <c r="AB143" s="38" t="str">
        <f t="shared" si="23"/>
        <v/>
      </c>
      <c r="AC143" s="38" t="str">
        <f>IF(OR(B143="",COUNTIF($B$4:B143,B143)&gt;1),"",MAX($AC$3:AC142)+1)</f>
        <v/>
      </c>
      <c r="AD143" s="38" t="str">
        <f t="shared" si="24"/>
        <v/>
      </c>
      <c r="AE143" s="38" t="str">
        <f t="shared" si="25"/>
        <v/>
      </c>
      <c r="AF143" s="38" t="str">
        <f t="shared" si="26"/>
        <v/>
      </c>
    </row>
    <row r="144" spans="1:32" x14ac:dyDescent="0.3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38" t="str">
        <f>IF(OR(A144="Автомат",A144="Дифавтомат"),IF(W144="","",COUNTIFS(Однолинейка!$H$3:$H$3000,U144,Однолинейка!$A$3:$A$3000,Щит_спец)),IF(A144="Аппарат",IF(C144="","",COUNTIFS(Однолинейка!$I$3:$I$3000,C144,Однолинейка!$A$3:$A$3000,Щит_спец)+COUNTIFS(Однолинейка!$J$3:$J$3000,C144,Однолинейка!$A$3:$A$3000,Щит_спец)+COUNTIFS(Однолинейка!$K$3:$K$3000,C144,Однолинейка!$A$3:$A$3000,Щит_спец)),IF(A144="Модуль",IF(C144="","",COUNTIFS(Однолинейка!$AW$3:$AW$3000,"?*",Однолинейка!$AI$3:$AI$3000,C144,Однолинейка!$A$3:$A$3000,Щит_спец)),IF(A144="Клемма",IF(C144="","",IF(C144=$S$7,SUMIFS(Однолинейка!$BW$3:$BW$3000,Однолинейка!$A$3:$A$3000,Щит_спец),IF(C144=$S$8,SUMIFS(Однолинейка!$BX$3:$BX$3000,Однолинейка!$A$3:$A$3000,Щит_спец),""))),""))))</f>
        <v/>
      </c>
      <c r="O144" s="74"/>
      <c r="P144" s="38" t="str">
        <f t="shared" si="18"/>
        <v/>
      </c>
      <c r="U144" s="38" t="str">
        <f t="shared" si="19"/>
        <v/>
      </c>
      <c r="V144" s="38" t="str">
        <f t="shared" si="20"/>
        <v/>
      </c>
      <c r="W144" s="38" t="str">
        <f>IF(AND(U144&lt;&gt;"",OR($S$4="(все)",B144=$S$4),IF($S$4="(все)",COUNTIF($U$4:U144,U144),COUNTIFS($U$4:U144,U144,$B$4:B144,B144))=1),MAX($W$3:W143)+1,"")</f>
        <v/>
      </c>
      <c r="X144" s="38" t="str">
        <f t="shared" si="21"/>
        <v/>
      </c>
      <c r="Y144" s="38" t="str">
        <f>IF(AND(A144="Аппарат",C144&lt;&gt;"",OR($S$5="(все)",B144=$S$5)),MAX($Y$3:Y143)+1,"")</f>
        <v/>
      </c>
      <c r="Z144" s="38" t="str">
        <f t="shared" si="22"/>
        <v/>
      </c>
      <c r="AA144" s="38" t="str">
        <f>IF(AND(A144="Модуль",C144&lt;&gt;"",OR($S$6="(все)",B144=$S$6)),MAX($AA$3:AA143)+1,"")</f>
        <v/>
      </c>
      <c r="AB144" s="38" t="str">
        <f t="shared" si="23"/>
        <v/>
      </c>
      <c r="AC144" s="38" t="str">
        <f>IF(OR(B144="",COUNTIF($B$4:B144,B144)&gt;1),"",MAX($AC$3:AC143)+1)</f>
        <v/>
      </c>
      <c r="AD144" s="38" t="str">
        <f t="shared" si="24"/>
        <v/>
      </c>
      <c r="AE144" s="38" t="str">
        <f t="shared" si="25"/>
        <v/>
      </c>
      <c r="AF144" s="38" t="str">
        <f t="shared" si="26"/>
        <v/>
      </c>
    </row>
    <row r="145" spans="1:32" x14ac:dyDescent="0.3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38" t="str">
        <f>IF(OR(A145="Автомат",A145="Дифавтомат"),IF(W145="","",COUNTIFS(Однолинейка!$H$3:$H$3000,U145,Однолинейка!$A$3:$A$3000,Щит_спец)),IF(A145="Аппарат",IF(C145="","",COUNTIFS(Однолинейка!$I$3:$I$3000,C145,Однолинейка!$A$3:$A$3000,Щит_спец)+COUNTIFS(Однолинейка!$J$3:$J$3000,C145,Однолинейка!$A$3:$A$3000,Щит_спец)+COUNTIFS(Однолинейка!$K$3:$K$3000,C145,Однолинейка!$A$3:$A$3000,Щит_спец)),IF(A145="Модуль",IF(C145="","",COUNTIFS(Однолинейка!$AW$3:$AW$3000,"?*",Однолинейка!$AI$3:$AI$3000,C145,Однолинейка!$A$3:$A$3000,Щит_спец)),IF(A145="Клемма",IF(C145="","",IF(C145=$S$7,SUMIFS(Однолинейка!$BW$3:$BW$3000,Однолинейка!$A$3:$A$3000,Щит_спец),IF(C145=$S$8,SUMIFS(Однолинейка!$BX$3:$BX$3000,Однолинейка!$A$3:$A$3000,Щит_спец),""))),""))))</f>
        <v/>
      </c>
      <c r="O145" s="74"/>
      <c r="P145" s="38" t="str">
        <f t="shared" si="18"/>
        <v/>
      </c>
      <c r="U145" s="38" t="str">
        <f t="shared" si="19"/>
        <v/>
      </c>
      <c r="V145" s="38" t="str">
        <f t="shared" si="20"/>
        <v/>
      </c>
      <c r="W145" s="38" t="str">
        <f>IF(AND(U145&lt;&gt;"",OR($S$4="(все)",B145=$S$4),IF($S$4="(все)",COUNTIF($U$4:U145,U145),COUNTIFS($U$4:U145,U145,$B$4:B145,B145))=1),MAX($W$3:W144)+1,"")</f>
        <v/>
      </c>
      <c r="X145" s="38" t="str">
        <f t="shared" si="21"/>
        <v/>
      </c>
      <c r="Y145" s="38" t="str">
        <f>IF(AND(A145="Аппарат",C145&lt;&gt;"",OR($S$5="(все)",B145=$S$5)),MAX($Y$3:Y144)+1,"")</f>
        <v/>
      </c>
      <c r="Z145" s="38" t="str">
        <f t="shared" si="22"/>
        <v/>
      </c>
      <c r="AA145" s="38" t="str">
        <f>IF(AND(A145="Модуль",C145&lt;&gt;"",OR($S$6="(все)",B145=$S$6)),MAX($AA$3:AA144)+1,"")</f>
        <v/>
      </c>
      <c r="AB145" s="38" t="str">
        <f t="shared" si="23"/>
        <v/>
      </c>
      <c r="AC145" s="38" t="str">
        <f>IF(OR(B145="",COUNTIF($B$4:B145,B145)&gt;1),"",MAX($AC$3:AC144)+1)</f>
        <v/>
      </c>
      <c r="AD145" s="38" t="str">
        <f t="shared" si="24"/>
        <v/>
      </c>
      <c r="AE145" s="38" t="str">
        <f t="shared" si="25"/>
        <v/>
      </c>
      <c r="AF145" s="38" t="str">
        <f t="shared" si="26"/>
        <v/>
      </c>
    </row>
    <row r="146" spans="1:32" x14ac:dyDescent="0.3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38" t="str">
        <f>IF(OR(A146="Автомат",A146="Дифавтомат"),IF(W146="","",COUNTIFS(Однолинейка!$H$3:$H$3000,U146,Однолинейка!$A$3:$A$3000,Щит_спец)),IF(A146="Аппарат",IF(C146="","",COUNTIFS(Однолинейка!$I$3:$I$3000,C146,Однолинейка!$A$3:$A$3000,Щит_спец)+COUNTIFS(Однолинейка!$J$3:$J$3000,C146,Однолинейка!$A$3:$A$3000,Щит_спец)+COUNTIFS(Однолинейка!$K$3:$K$3000,C146,Однолинейка!$A$3:$A$3000,Щит_спец)),IF(A146="Модуль",IF(C146="","",COUNTIFS(Однолинейка!$AW$3:$AW$3000,"?*",Однолинейка!$AI$3:$AI$3000,C146,Однолинейка!$A$3:$A$3000,Щит_спец)),IF(A146="Клемма",IF(C146="","",IF(C146=$S$7,SUMIFS(Однолинейка!$BW$3:$BW$3000,Однолинейка!$A$3:$A$3000,Щит_спец),IF(C146=$S$8,SUMIFS(Однолинейка!$BX$3:$BX$3000,Однолинейка!$A$3:$A$3000,Щит_спец),""))),""))))</f>
        <v/>
      </c>
      <c r="O146" s="74"/>
      <c r="P146" s="38" t="str">
        <f t="shared" si="18"/>
        <v/>
      </c>
      <c r="U146" s="38" t="str">
        <f t="shared" si="19"/>
        <v/>
      </c>
      <c r="V146" s="38" t="str">
        <f t="shared" si="20"/>
        <v/>
      </c>
      <c r="W146" s="38" t="str">
        <f>IF(AND(U146&lt;&gt;"",OR($S$4="(все)",B146=$S$4),IF($S$4="(все)",COUNTIF($U$4:U146,U146),COUNTIFS($U$4:U146,U146,$B$4:B146,B146))=1),MAX($W$3:W145)+1,"")</f>
        <v/>
      </c>
      <c r="X146" s="38" t="str">
        <f t="shared" si="21"/>
        <v/>
      </c>
      <c r="Y146" s="38" t="str">
        <f>IF(AND(A146="Аппарат",C146&lt;&gt;"",OR($S$5="(все)",B146=$S$5)),MAX($Y$3:Y145)+1,"")</f>
        <v/>
      </c>
      <c r="Z146" s="38" t="str">
        <f t="shared" si="22"/>
        <v/>
      </c>
      <c r="AA146" s="38" t="str">
        <f>IF(AND(A146="Модуль",C146&lt;&gt;"",OR($S$6="(все)",B146=$S$6)),MAX($AA$3:AA145)+1,"")</f>
        <v/>
      </c>
      <c r="AB146" s="38" t="str">
        <f t="shared" si="23"/>
        <v/>
      </c>
      <c r="AC146" s="38" t="str">
        <f>IF(OR(B146="",COUNTIF($B$4:B146,B146)&gt;1),"",MAX($AC$3:AC145)+1)</f>
        <v/>
      </c>
      <c r="AD146" s="38" t="str">
        <f t="shared" si="24"/>
        <v/>
      </c>
      <c r="AE146" s="38" t="str">
        <f t="shared" si="25"/>
        <v/>
      </c>
      <c r="AF146" s="38" t="str">
        <f t="shared" si="26"/>
        <v/>
      </c>
    </row>
    <row r="147" spans="1:32" x14ac:dyDescent="0.3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38" t="str">
        <f>IF(OR(A147="Автомат",A147="Дифавтомат"),IF(W147="","",COUNTIFS(Однолинейка!$H$3:$H$3000,U147,Однолинейка!$A$3:$A$3000,Щит_спец)),IF(A147="Аппарат",IF(C147="","",COUNTIFS(Однолинейка!$I$3:$I$3000,C147,Однолинейка!$A$3:$A$3000,Щит_спец)+COUNTIFS(Однолинейка!$J$3:$J$3000,C147,Однолинейка!$A$3:$A$3000,Щит_спец)+COUNTIFS(Однолинейка!$K$3:$K$3000,C147,Однолинейка!$A$3:$A$3000,Щит_спец)),IF(A147="Модуль",IF(C147="","",COUNTIFS(Однолинейка!$AW$3:$AW$3000,"?*",Однолинейка!$AI$3:$AI$3000,C147,Однолинейка!$A$3:$A$3000,Щит_спец)),IF(A147="Клемма",IF(C147="","",IF(C147=$S$7,SUMIFS(Однолинейка!$BW$3:$BW$3000,Однолинейка!$A$3:$A$3000,Щит_спец),IF(C147=$S$8,SUMIFS(Однолинейка!$BX$3:$BX$3000,Однолинейка!$A$3:$A$3000,Щит_спец),""))),""))))</f>
        <v/>
      </c>
      <c r="O147" s="74"/>
      <c r="P147" s="38" t="str">
        <f t="shared" si="18"/>
        <v/>
      </c>
      <c r="U147" s="38" t="str">
        <f t="shared" si="19"/>
        <v/>
      </c>
      <c r="V147" s="38" t="str">
        <f t="shared" si="20"/>
        <v/>
      </c>
      <c r="W147" s="38" t="str">
        <f>IF(AND(U147&lt;&gt;"",OR($S$4="(все)",B147=$S$4),IF($S$4="(все)",COUNTIF($U$4:U147,U147),COUNTIFS($U$4:U147,U147,$B$4:B147,B147))=1),MAX($W$3:W146)+1,"")</f>
        <v/>
      </c>
      <c r="X147" s="38" t="str">
        <f t="shared" si="21"/>
        <v/>
      </c>
      <c r="Y147" s="38" t="str">
        <f>IF(AND(A147="Аппарат",C147&lt;&gt;"",OR($S$5="(все)",B147=$S$5)),MAX($Y$3:Y146)+1,"")</f>
        <v/>
      </c>
      <c r="Z147" s="38" t="str">
        <f t="shared" si="22"/>
        <v/>
      </c>
      <c r="AA147" s="38" t="str">
        <f>IF(AND(A147="Модуль",C147&lt;&gt;"",OR($S$6="(все)",B147=$S$6)),MAX($AA$3:AA146)+1,"")</f>
        <v/>
      </c>
      <c r="AB147" s="38" t="str">
        <f t="shared" si="23"/>
        <v/>
      </c>
      <c r="AC147" s="38" t="str">
        <f>IF(OR(B147="",COUNTIF($B$4:B147,B147)&gt;1),"",MAX($AC$3:AC146)+1)</f>
        <v/>
      </c>
      <c r="AD147" s="38" t="str">
        <f t="shared" si="24"/>
        <v/>
      </c>
      <c r="AE147" s="38" t="str">
        <f t="shared" si="25"/>
        <v/>
      </c>
      <c r="AF147" s="38" t="str">
        <f t="shared" si="26"/>
        <v/>
      </c>
    </row>
    <row r="148" spans="1:32" x14ac:dyDescent="0.3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38" t="str">
        <f>IF(OR(A148="Автомат",A148="Дифавтомат"),IF(W148="","",COUNTIFS(Однолинейка!$H$3:$H$3000,U148,Однолинейка!$A$3:$A$3000,Щит_спец)),IF(A148="Аппарат",IF(C148="","",COUNTIFS(Однолинейка!$I$3:$I$3000,C148,Однолинейка!$A$3:$A$3000,Щит_спец)+COUNTIFS(Однолинейка!$J$3:$J$3000,C148,Однолинейка!$A$3:$A$3000,Щит_спец)+COUNTIFS(Однолинейка!$K$3:$K$3000,C148,Однолинейка!$A$3:$A$3000,Щит_спец)),IF(A148="Модуль",IF(C148="","",COUNTIFS(Однолинейка!$AW$3:$AW$3000,"?*",Однолинейка!$AI$3:$AI$3000,C148,Однолинейка!$A$3:$A$3000,Щит_спец)),IF(A148="Клемма",IF(C148="","",IF(C148=$S$7,SUMIFS(Однолинейка!$BW$3:$BW$3000,Однолинейка!$A$3:$A$3000,Щит_спец),IF(C148=$S$8,SUMIFS(Однолинейка!$BX$3:$BX$3000,Однолинейка!$A$3:$A$3000,Щит_спец),""))),""))))</f>
        <v/>
      </c>
      <c r="O148" s="74"/>
      <c r="P148" s="38" t="str">
        <f t="shared" si="18"/>
        <v/>
      </c>
      <c r="U148" s="38" t="str">
        <f t="shared" si="19"/>
        <v/>
      </c>
      <c r="V148" s="38" t="str">
        <f t="shared" si="20"/>
        <v/>
      </c>
      <c r="W148" s="38" t="str">
        <f>IF(AND(U148&lt;&gt;"",OR($S$4="(все)",B148=$S$4),IF($S$4="(все)",COUNTIF($U$4:U148,U148),COUNTIFS($U$4:U148,U148,$B$4:B148,B148))=1),MAX($W$3:W147)+1,"")</f>
        <v/>
      </c>
      <c r="X148" s="38" t="str">
        <f t="shared" si="21"/>
        <v/>
      </c>
      <c r="Y148" s="38" t="str">
        <f>IF(AND(A148="Аппарат",C148&lt;&gt;"",OR($S$5="(все)",B148=$S$5)),MAX($Y$3:Y147)+1,"")</f>
        <v/>
      </c>
      <c r="Z148" s="38" t="str">
        <f t="shared" si="22"/>
        <v/>
      </c>
      <c r="AA148" s="38" t="str">
        <f>IF(AND(A148="Модуль",C148&lt;&gt;"",OR($S$6="(все)",B148=$S$6)),MAX($AA$3:AA147)+1,"")</f>
        <v/>
      </c>
      <c r="AB148" s="38" t="str">
        <f t="shared" si="23"/>
        <v/>
      </c>
      <c r="AC148" s="38" t="str">
        <f>IF(OR(B148="",COUNTIF($B$4:B148,B148)&gt;1),"",MAX($AC$3:AC147)+1)</f>
        <v/>
      </c>
      <c r="AD148" s="38" t="str">
        <f t="shared" si="24"/>
        <v/>
      </c>
      <c r="AE148" s="38" t="str">
        <f t="shared" si="25"/>
        <v/>
      </c>
      <c r="AF148" s="38" t="str">
        <f t="shared" si="26"/>
        <v/>
      </c>
    </row>
    <row r="149" spans="1:32" x14ac:dyDescent="0.3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38" t="str">
        <f>IF(OR(A149="Автомат",A149="Дифавтомат"),IF(W149="","",COUNTIFS(Однолинейка!$H$3:$H$3000,U149,Однолинейка!$A$3:$A$3000,Щит_спец)),IF(A149="Аппарат",IF(C149="","",COUNTIFS(Однолинейка!$I$3:$I$3000,C149,Однолинейка!$A$3:$A$3000,Щит_спец)+COUNTIFS(Однолинейка!$J$3:$J$3000,C149,Однолинейка!$A$3:$A$3000,Щит_спец)+COUNTIFS(Однолинейка!$K$3:$K$3000,C149,Однолинейка!$A$3:$A$3000,Щит_спец)),IF(A149="Модуль",IF(C149="","",COUNTIFS(Однолинейка!$AW$3:$AW$3000,"?*",Однолинейка!$AI$3:$AI$3000,C149,Однолинейка!$A$3:$A$3000,Щит_спец)),IF(A149="Клемма",IF(C149="","",IF(C149=$S$7,SUMIFS(Однолинейка!$BW$3:$BW$3000,Однолинейка!$A$3:$A$3000,Щит_спец),IF(C149=$S$8,SUMIFS(Однолинейка!$BX$3:$BX$3000,Однолинейка!$A$3:$A$3000,Щит_спец),""))),""))))</f>
        <v/>
      </c>
      <c r="O149" s="74"/>
      <c r="P149" s="38" t="str">
        <f t="shared" si="18"/>
        <v/>
      </c>
      <c r="U149" s="38" t="str">
        <f t="shared" si="19"/>
        <v/>
      </c>
      <c r="V149" s="38" t="str">
        <f t="shared" si="20"/>
        <v/>
      </c>
      <c r="W149" s="38" t="str">
        <f>IF(AND(U149&lt;&gt;"",OR($S$4="(все)",B149=$S$4),IF($S$4="(все)",COUNTIF($U$4:U149,U149),COUNTIFS($U$4:U149,U149,$B$4:B149,B149))=1),MAX($W$3:W148)+1,"")</f>
        <v/>
      </c>
      <c r="X149" s="38" t="str">
        <f t="shared" si="21"/>
        <v/>
      </c>
      <c r="Y149" s="38" t="str">
        <f>IF(AND(A149="Аппарат",C149&lt;&gt;"",OR($S$5="(все)",B149=$S$5)),MAX($Y$3:Y148)+1,"")</f>
        <v/>
      </c>
      <c r="Z149" s="38" t="str">
        <f t="shared" si="22"/>
        <v/>
      </c>
      <c r="AA149" s="38" t="str">
        <f>IF(AND(A149="Модуль",C149&lt;&gt;"",OR($S$6="(все)",B149=$S$6)),MAX($AA$3:AA148)+1,"")</f>
        <v/>
      </c>
      <c r="AB149" s="38" t="str">
        <f t="shared" si="23"/>
        <v/>
      </c>
      <c r="AC149" s="38" t="str">
        <f>IF(OR(B149="",COUNTIF($B$4:B149,B149)&gt;1),"",MAX($AC$3:AC148)+1)</f>
        <v/>
      </c>
      <c r="AD149" s="38" t="str">
        <f t="shared" si="24"/>
        <v/>
      </c>
      <c r="AE149" s="38" t="str">
        <f t="shared" si="25"/>
        <v/>
      </c>
      <c r="AF149" s="38" t="str">
        <f t="shared" si="26"/>
        <v/>
      </c>
    </row>
    <row r="150" spans="1:32" x14ac:dyDescent="0.3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38" t="str">
        <f>IF(OR(A150="Автомат",A150="Дифавтомат"),IF(W150="","",COUNTIFS(Однолинейка!$H$3:$H$3000,U150,Однолинейка!$A$3:$A$3000,Щит_спец)),IF(A150="Аппарат",IF(C150="","",COUNTIFS(Однолинейка!$I$3:$I$3000,C150,Однолинейка!$A$3:$A$3000,Щит_спец)+COUNTIFS(Однолинейка!$J$3:$J$3000,C150,Однолинейка!$A$3:$A$3000,Щит_спец)+COUNTIFS(Однолинейка!$K$3:$K$3000,C150,Однолинейка!$A$3:$A$3000,Щит_спец)),IF(A150="Модуль",IF(C150="","",COUNTIFS(Однолинейка!$AW$3:$AW$3000,"?*",Однолинейка!$AI$3:$AI$3000,C150,Однолинейка!$A$3:$A$3000,Щит_спец)),IF(A150="Клемма",IF(C150="","",IF(C150=$S$7,SUMIFS(Однолинейка!$BW$3:$BW$3000,Однолинейка!$A$3:$A$3000,Щит_спец),IF(C150=$S$8,SUMIFS(Однолинейка!$BX$3:$BX$3000,Однолинейка!$A$3:$A$3000,Щит_спец),""))),""))))</f>
        <v/>
      </c>
      <c r="O150" s="74"/>
      <c r="P150" s="38" t="str">
        <f t="shared" si="18"/>
        <v/>
      </c>
      <c r="U150" s="38" t="str">
        <f t="shared" si="19"/>
        <v/>
      </c>
      <c r="V150" s="38" t="str">
        <f t="shared" si="20"/>
        <v/>
      </c>
      <c r="W150" s="38" t="str">
        <f>IF(AND(U150&lt;&gt;"",OR($S$4="(все)",B150=$S$4),IF($S$4="(все)",COUNTIF($U$4:U150,U150),COUNTIFS($U$4:U150,U150,$B$4:B150,B150))=1),MAX($W$3:W149)+1,"")</f>
        <v/>
      </c>
      <c r="X150" s="38" t="str">
        <f t="shared" si="21"/>
        <v/>
      </c>
      <c r="Y150" s="38" t="str">
        <f>IF(AND(A150="Аппарат",C150&lt;&gt;"",OR($S$5="(все)",B150=$S$5)),MAX($Y$3:Y149)+1,"")</f>
        <v/>
      </c>
      <c r="Z150" s="38" t="str">
        <f t="shared" si="22"/>
        <v/>
      </c>
      <c r="AA150" s="38" t="str">
        <f>IF(AND(A150="Модуль",C150&lt;&gt;"",OR($S$6="(все)",B150=$S$6)),MAX($AA$3:AA149)+1,"")</f>
        <v/>
      </c>
      <c r="AB150" s="38" t="str">
        <f t="shared" si="23"/>
        <v/>
      </c>
      <c r="AC150" s="38" t="str">
        <f>IF(OR(B150="",COUNTIF($B$4:B150,B150)&gt;1),"",MAX($AC$3:AC149)+1)</f>
        <v/>
      </c>
      <c r="AD150" s="38" t="str">
        <f t="shared" si="24"/>
        <v/>
      </c>
      <c r="AE150" s="38" t="str">
        <f t="shared" si="25"/>
        <v/>
      </c>
      <c r="AF150" s="38" t="str">
        <f t="shared" si="26"/>
        <v/>
      </c>
    </row>
    <row r="151" spans="1:32" x14ac:dyDescent="0.3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38" t="str">
        <f>IF(OR(A151="Автомат",A151="Дифавтомат"),IF(W151="","",COUNTIFS(Однолинейка!$H$3:$H$3000,U151,Однолинейка!$A$3:$A$3000,Щит_спец)),IF(A151="Аппарат",IF(C151="","",COUNTIFS(Однолинейка!$I$3:$I$3000,C151,Однолинейка!$A$3:$A$3000,Щит_спец)+COUNTIFS(Однолинейка!$J$3:$J$3000,C151,Однолинейка!$A$3:$A$3000,Щит_спец)+COUNTIFS(Однолинейка!$K$3:$K$3000,C151,Однолинейка!$A$3:$A$3000,Щит_спец)),IF(A151="Модуль",IF(C151="","",COUNTIFS(Однолинейка!$AW$3:$AW$3000,"?*",Однолинейка!$AI$3:$AI$3000,C151,Однолинейка!$A$3:$A$3000,Щит_спец)),IF(A151="Клемма",IF(C151="","",IF(C151=$S$7,SUMIFS(Однолинейка!$BW$3:$BW$3000,Однолинейка!$A$3:$A$3000,Щит_спец),IF(C151=$S$8,SUMIFS(Однолинейка!$BX$3:$BX$3000,Однолинейка!$A$3:$A$3000,Щит_спец),""))),""))))</f>
        <v/>
      </c>
      <c r="O151" s="74"/>
      <c r="P151" s="38" t="str">
        <f t="shared" si="18"/>
        <v/>
      </c>
      <c r="U151" s="38" t="str">
        <f t="shared" si="19"/>
        <v/>
      </c>
      <c r="V151" s="38" t="str">
        <f t="shared" si="20"/>
        <v/>
      </c>
      <c r="W151" s="38" t="str">
        <f>IF(AND(U151&lt;&gt;"",OR($S$4="(все)",B151=$S$4),IF($S$4="(все)",COUNTIF($U$4:U151,U151),COUNTIFS($U$4:U151,U151,$B$4:B151,B151))=1),MAX($W$3:W150)+1,"")</f>
        <v/>
      </c>
      <c r="X151" s="38" t="str">
        <f t="shared" si="21"/>
        <v/>
      </c>
      <c r="Y151" s="38" t="str">
        <f>IF(AND(A151="Аппарат",C151&lt;&gt;"",OR($S$5="(все)",B151=$S$5)),MAX($Y$3:Y150)+1,"")</f>
        <v/>
      </c>
      <c r="Z151" s="38" t="str">
        <f t="shared" si="22"/>
        <v/>
      </c>
      <c r="AA151" s="38" t="str">
        <f>IF(AND(A151="Модуль",C151&lt;&gt;"",OR($S$6="(все)",B151=$S$6)),MAX($AA$3:AA150)+1,"")</f>
        <v/>
      </c>
      <c r="AB151" s="38" t="str">
        <f t="shared" si="23"/>
        <v/>
      </c>
      <c r="AC151" s="38" t="str">
        <f>IF(OR(B151="",COUNTIF($B$4:B151,B151)&gt;1),"",MAX($AC$3:AC150)+1)</f>
        <v/>
      </c>
      <c r="AD151" s="38" t="str">
        <f t="shared" si="24"/>
        <v/>
      </c>
      <c r="AE151" s="38" t="str">
        <f t="shared" si="25"/>
        <v/>
      </c>
      <c r="AF151" s="38" t="str">
        <f t="shared" si="26"/>
        <v/>
      </c>
    </row>
    <row r="152" spans="1:32" x14ac:dyDescent="0.3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38" t="str">
        <f>IF(OR(A152="Автомат",A152="Дифавтомат"),IF(W152="","",COUNTIFS(Однолинейка!$H$3:$H$3000,U152,Однолинейка!$A$3:$A$3000,Щит_спец)),IF(A152="Аппарат",IF(C152="","",COUNTIFS(Однолинейка!$I$3:$I$3000,C152,Однолинейка!$A$3:$A$3000,Щит_спец)+COUNTIFS(Однолинейка!$J$3:$J$3000,C152,Однолинейка!$A$3:$A$3000,Щит_спец)+COUNTIFS(Однолинейка!$K$3:$K$3000,C152,Однолинейка!$A$3:$A$3000,Щит_спец)),IF(A152="Модуль",IF(C152="","",COUNTIFS(Однолинейка!$AW$3:$AW$3000,"?*",Однолинейка!$AI$3:$AI$3000,C152,Однолинейка!$A$3:$A$3000,Щит_спец)),IF(A152="Клемма",IF(C152="","",IF(C152=$S$7,SUMIFS(Однолинейка!$BW$3:$BW$3000,Однолинейка!$A$3:$A$3000,Щит_спец),IF(C152=$S$8,SUMIFS(Однолинейка!$BX$3:$BX$3000,Однолинейка!$A$3:$A$3000,Щит_спец),""))),""))))</f>
        <v/>
      </c>
      <c r="O152" s="74"/>
      <c r="P152" s="38" t="str">
        <f t="shared" si="18"/>
        <v/>
      </c>
      <c r="U152" s="38" t="str">
        <f t="shared" si="19"/>
        <v/>
      </c>
      <c r="V152" s="38" t="str">
        <f t="shared" si="20"/>
        <v/>
      </c>
      <c r="W152" s="38" t="str">
        <f>IF(AND(U152&lt;&gt;"",OR($S$4="(все)",B152=$S$4),IF($S$4="(все)",COUNTIF($U$4:U152,U152),COUNTIFS($U$4:U152,U152,$B$4:B152,B152))=1),MAX($W$3:W151)+1,"")</f>
        <v/>
      </c>
      <c r="X152" s="38" t="str">
        <f t="shared" si="21"/>
        <v/>
      </c>
      <c r="Y152" s="38" t="str">
        <f>IF(AND(A152="Аппарат",C152&lt;&gt;"",OR($S$5="(все)",B152=$S$5)),MAX($Y$3:Y151)+1,"")</f>
        <v/>
      </c>
      <c r="Z152" s="38" t="str">
        <f t="shared" si="22"/>
        <v/>
      </c>
      <c r="AA152" s="38" t="str">
        <f>IF(AND(A152="Модуль",C152&lt;&gt;"",OR($S$6="(все)",B152=$S$6)),MAX($AA$3:AA151)+1,"")</f>
        <v/>
      </c>
      <c r="AB152" s="38" t="str">
        <f t="shared" si="23"/>
        <v/>
      </c>
      <c r="AC152" s="38" t="str">
        <f>IF(OR(B152="",COUNTIF($B$4:B152,B152)&gt;1),"",MAX($AC$3:AC151)+1)</f>
        <v/>
      </c>
      <c r="AD152" s="38" t="str">
        <f t="shared" si="24"/>
        <v/>
      </c>
      <c r="AE152" s="38" t="str">
        <f t="shared" si="25"/>
        <v/>
      </c>
      <c r="AF152" s="38" t="str">
        <f t="shared" si="26"/>
        <v/>
      </c>
    </row>
    <row r="153" spans="1:32" x14ac:dyDescent="0.3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38" t="str">
        <f>IF(OR(A153="Автомат",A153="Дифавтомат"),IF(W153="","",COUNTIFS(Однолинейка!$H$3:$H$3000,U153,Однолинейка!$A$3:$A$3000,Щит_спец)),IF(A153="Аппарат",IF(C153="","",COUNTIFS(Однолинейка!$I$3:$I$3000,C153,Однолинейка!$A$3:$A$3000,Щит_спец)+COUNTIFS(Однолинейка!$J$3:$J$3000,C153,Однолинейка!$A$3:$A$3000,Щит_спец)+COUNTIFS(Однолинейка!$K$3:$K$3000,C153,Однолинейка!$A$3:$A$3000,Щит_спец)),IF(A153="Модуль",IF(C153="","",COUNTIFS(Однолинейка!$AW$3:$AW$3000,"?*",Однолинейка!$AI$3:$AI$3000,C153,Однолинейка!$A$3:$A$3000,Щит_спец)),IF(A153="Клемма",IF(C153="","",IF(C153=$S$7,SUMIFS(Однолинейка!$BW$3:$BW$3000,Однолинейка!$A$3:$A$3000,Щит_спец),IF(C153=$S$8,SUMIFS(Однолинейка!$BX$3:$BX$3000,Однолинейка!$A$3:$A$3000,Щит_спец),""))),""))))</f>
        <v/>
      </c>
      <c r="O153" s="74"/>
      <c r="P153" s="38" t="str">
        <f t="shared" si="18"/>
        <v/>
      </c>
      <c r="U153" s="38" t="str">
        <f t="shared" si="19"/>
        <v/>
      </c>
      <c r="V153" s="38" t="str">
        <f t="shared" si="20"/>
        <v/>
      </c>
      <c r="W153" s="38" t="str">
        <f>IF(AND(U153&lt;&gt;"",OR($S$4="(все)",B153=$S$4),IF($S$4="(все)",COUNTIF($U$4:U153,U153),COUNTIFS($U$4:U153,U153,$B$4:B153,B153))=1),MAX($W$3:W152)+1,"")</f>
        <v/>
      </c>
      <c r="X153" s="38" t="str">
        <f t="shared" si="21"/>
        <v/>
      </c>
      <c r="Y153" s="38" t="str">
        <f>IF(AND(A153="Аппарат",C153&lt;&gt;"",OR($S$5="(все)",B153=$S$5)),MAX($Y$3:Y152)+1,"")</f>
        <v/>
      </c>
      <c r="Z153" s="38" t="str">
        <f t="shared" si="22"/>
        <v/>
      </c>
      <c r="AA153" s="38" t="str">
        <f>IF(AND(A153="Модуль",C153&lt;&gt;"",OR($S$6="(все)",B153=$S$6)),MAX($AA$3:AA152)+1,"")</f>
        <v/>
      </c>
      <c r="AB153" s="38" t="str">
        <f t="shared" si="23"/>
        <v/>
      </c>
      <c r="AC153" s="38" t="str">
        <f>IF(OR(B153="",COUNTIF($B$4:B153,B153)&gt;1),"",MAX($AC$3:AC152)+1)</f>
        <v/>
      </c>
      <c r="AD153" s="38" t="str">
        <f t="shared" si="24"/>
        <v/>
      </c>
      <c r="AE153" s="38" t="str">
        <f t="shared" si="25"/>
        <v/>
      </c>
      <c r="AF153" s="38" t="str">
        <f t="shared" si="26"/>
        <v/>
      </c>
    </row>
    <row r="154" spans="1:32" x14ac:dyDescent="0.3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38" t="str">
        <f>IF(OR(A154="Автомат",A154="Дифавтомат"),IF(W154="","",COUNTIFS(Однолинейка!$H$3:$H$3000,U154,Однолинейка!$A$3:$A$3000,Щит_спец)),IF(A154="Аппарат",IF(C154="","",COUNTIFS(Однолинейка!$I$3:$I$3000,C154,Однолинейка!$A$3:$A$3000,Щит_спец)+COUNTIFS(Однолинейка!$J$3:$J$3000,C154,Однолинейка!$A$3:$A$3000,Щит_спец)+COUNTIFS(Однолинейка!$K$3:$K$3000,C154,Однолинейка!$A$3:$A$3000,Щит_спец)),IF(A154="Модуль",IF(C154="","",COUNTIFS(Однолинейка!$AW$3:$AW$3000,"?*",Однолинейка!$AI$3:$AI$3000,C154,Однолинейка!$A$3:$A$3000,Щит_спец)),IF(A154="Клемма",IF(C154="","",IF(C154=$S$7,SUMIFS(Однолинейка!$BW$3:$BW$3000,Однолинейка!$A$3:$A$3000,Щит_спец),IF(C154=$S$8,SUMIFS(Однолинейка!$BX$3:$BX$3000,Однолинейка!$A$3:$A$3000,Щит_спец),""))),""))))</f>
        <v/>
      </c>
      <c r="O154" s="74"/>
      <c r="P154" s="38" t="str">
        <f t="shared" si="18"/>
        <v/>
      </c>
      <c r="U154" s="38" t="str">
        <f t="shared" si="19"/>
        <v/>
      </c>
      <c r="V154" s="38" t="str">
        <f t="shared" si="20"/>
        <v/>
      </c>
      <c r="W154" s="38" t="str">
        <f>IF(AND(U154&lt;&gt;"",OR($S$4="(все)",B154=$S$4),IF($S$4="(все)",COUNTIF($U$4:U154,U154),COUNTIFS($U$4:U154,U154,$B$4:B154,B154))=1),MAX($W$3:W153)+1,"")</f>
        <v/>
      </c>
      <c r="X154" s="38" t="str">
        <f t="shared" si="21"/>
        <v/>
      </c>
      <c r="Y154" s="38" t="str">
        <f>IF(AND(A154="Аппарат",C154&lt;&gt;"",OR($S$5="(все)",B154=$S$5)),MAX($Y$3:Y153)+1,"")</f>
        <v/>
      </c>
      <c r="Z154" s="38" t="str">
        <f t="shared" si="22"/>
        <v/>
      </c>
      <c r="AA154" s="38" t="str">
        <f>IF(AND(A154="Модуль",C154&lt;&gt;"",OR($S$6="(все)",B154=$S$6)),MAX($AA$3:AA153)+1,"")</f>
        <v/>
      </c>
      <c r="AB154" s="38" t="str">
        <f t="shared" si="23"/>
        <v/>
      </c>
      <c r="AC154" s="38" t="str">
        <f>IF(OR(B154="",COUNTIF($B$4:B154,B154)&gt;1),"",MAX($AC$3:AC153)+1)</f>
        <v/>
      </c>
      <c r="AD154" s="38" t="str">
        <f t="shared" si="24"/>
        <v/>
      </c>
      <c r="AE154" s="38" t="str">
        <f t="shared" si="25"/>
        <v/>
      </c>
      <c r="AF154" s="38" t="str">
        <f t="shared" si="26"/>
        <v/>
      </c>
    </row>
    <row r="155" spans="1:32" x14ac:dyDescent="0.3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38" t="str">
        <f>IF(OR(A155="Автомат",A155="Дифавтомат"),IF(W155="","",COUNTIFS(Однолинейка!$H$3:$H$3000,U155,Однолинейка!$A$3:$A$3000,Щит_спец)),IF(A155="Аппарат",IF(C155="","",COUNTIFS(Однолинейка!$I$3:$I$3000,C155,Однолинейка!$A$3:$A$3000,Щит_спец)+COUNTIFS(Однолинейка!$J$3:$J$3000,C155,Однолинейка!$A$3:$A$3000,Щит_спец)+COUNTIFS(Однолинейка!$K$3:$K$3000,C155,Однолинейка!$A$3:$A$3000,Щит_спец)),IF(A155="Модуль",IF(C155="","",COUNTIFS(Однолинейка!$AW$3:$AW$3000,"?*",Однолинейка!$AI$3:$AI$3000,C155,Однолинейка!$A$3:$A$3000,Щит_спец)),IF(A155="Клемма",IF(C155="","",IF(C155=$S$7,SUMIFS(Однолинейка!$BW$3:$BW$3000,Однолинейка!$A$3:$A$3000,Щит_спец),IF(C155=$S$8,SUMIFS(Однолинейка!$BX$3:$BX$3000,Однолинейка!$A$3:$A$3000,Щит_спец),""))),""))))</f>
        <v/>
      </c>
      <c r="O155" s="74"/>
      <c r="P155" s="38" t="str">
        <f t="shared" si="18"/>
        <v/>
      </c>
      <c r="U155" s="38" t="str">
        <f t="shared" si="19"/>
        <v/>
      </c>
      <c r="V155" s="38" t="str">
        <f t="shared" si="20"/>
        <v/>
      </c>
      <c r="W155" s="38" t="str">
        <f>IF(AND(U155&lt;&gt;"",OR($S$4="(все)",B155=$S$4),IF($S$4="(все)",COUNTIF($U$4:U155,U155),COUNTIFS($U$4:U155,U155,$B$4:B155,B155))=1),MAX($W$3:W154)+1,"")</f>
        <v/>
      </c>
      <c r="X155" s="38" t="str">
        <f t="shared" si="21"/>
        <v/>
      </c>
      <c r="Y155" s="38" t="str">
        <f>IF(AND(A155="Аппарат",C155&lt;&gt;"",OR($S$5="(все)",B155=$S$5)),MAX($Y$3:Y154)+1,"")</f>
        <v/>
      </c>
      <c r="Z155" s="38" t="str">
        <f t="shared" si="22"/>
        <v/>
      </c>
      <c r="AA155" s="38" t="str">
        <f>IF(AND(A155="Модуль",C155&lt;&gt;"",OR($S$6="(все)",B155=$S$6)),MAX($AA$3:AA154)+1,"")</f>
        <v/>
      </c>
      <c r="AB155" s="38" t="str">
        <f t="shared" si="23"/>
        <v/>
      </c>
      <c r="AC155" s="38" t="str">
        <f>IF(OR(B155="",COUNTIF($B$4:B155,B155)&gt;1),"",MAX($AC$3:AC154)+1)</f>
        <v/>
      </c>
      <c r="AD155" s="38" t="str">
        <f t="shared" si="24"/>
        <v/>
      </c>
      <c r="AE155" s="38" t="str">
        <f t="shared" si="25"/>
        <v/>
      </c>
      <c r="AF155" s="38" t="str">
        <f t="shared" si="26"/>
        <v/>
      </c>
    </row>
    <row r="156" spans="1:32" x14ac:dyDescent="0.3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38" t="str">
        <f>IF(OR(A156="Автомат",A156="Дифавтомат"),IF(W156="","",COUNTIFS(Однолинейка!$H$3:$H$3000,U156,Однолинейка!$A$3:$A$3000,Щит_спец)),IF(A156="Аппарат",IF(C156="","",COUNTIFS(Однолинейка!$I$3:$I$3000,C156,Однолинейка!$A$3:$A$3000,Щит_спец)+COUNTIFS(Однолинейка!$J$3:$J$3000,C156,Однолинейка!$A$3:$A$3000,Щит_спец)+COUNTIFS(Однолинейка!$K$3:$K$3000,C156,Однолинейка!$A$3:$A$3000,Щит_спец)),IF(A156="Модуль",IF(C156="","",COUNTIFS(Однолинейка!$AW$3:$AW$3000,"?*",Однолинейка!$AI$3:$AI$3000,C156,Однолинейка!$A$3:$A$3000,Щит_спец)),IF(A156="Клемма",IF(C156="","",IF(C156=$S$7,SUMIFS(Однолинейка!$BW$3:$BW$3000,Однолинейка!$A$3:$A$3000,Щит_спец),IF(C156=$S$8,SUMIFS(Однолинейка!$BX$3:$BX$3000,Однолинейка!$A$3:$A$3000,Щит_спец),""))),""))))</f>
        <v/>
      </c>
      <c r="O156" s="74"/>
      <c r="P156" s="38" t="str">
        <f t="shared" si="18"/>
        <v/>
      </c>
      <c r="U156" s="38" t="str">
        <f t="shared" si="19"/>
        <v/>
      </c>
      <c r="V156" s="38" t="str">
        <f t="shared" si="20"/>
        <v/>
      </c>
      <c r="W156" s="38" t="str">
        <f>IF(AND(U156&lt;&gt;"",OR($S$4="(все)",B156=$S$4),IF($S$4="(все)",COUNTIF($U$4:U156,U156),COUNTIFS($U$4:U156,U156,$B$4:B156,B156))=1),MAX($W$3:W155)+1,"")</f>
        <v/>
      </c>
      <c r="X156" s="38" t="str">
        <f t="shared" si="21"/>
        <v/>
      </c>
      <c r="Y156" s="38" t="str">
        <f>IF(AND(A156="Аппарат",C156&lt;&gt;"",OR($S$5="(все)",B156=$S$5)),MAX($Y$3:Y155)+1,"")</f>
        <v/>
      </c>
      <c r="Z156" s="38" t="str">
        <f t="shared" si="22"/>
        <v/>
      </c>
      <c r="AA156" s="38" t="str">
        <f>IF(AND(A156="Модуль",C156&lt;&gt;"",OR($S$6="(все)",B156=$S$6)),MAX($AA$3:AA155)+1,"")</f>
        <v/>
      </c>
      <c r="AB156" s="38" t="str">
        <f t="shared" si="23"/>
        <v/>
      </c>
      <c r="AC156" s="38" t="str">
        <f>IF(OR(B156="",COUNTIF($B$4:B156,B156)&gt;1),"",MAX($AC$3:AC155)+1)</f>
        <v/>
      </c>
      <c r="AD156" s="38" t="str">
        <f t="shared" si="24"/>
        <v/>
      </c>
      <c r="AE156" s="38" t="str">
        <f t="shared" si="25"/>
        <v/>
      </c>
      <c r="AF156" s="38" t="str">
        <f t="shared" si="26"/>
        <v/>
      </c>
    </row>
    <row r="157" spans="1:32" x14ac:dyDescent="0.3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38" t="str">
        <f>IF(OR(A157="Автомат",A157="Дифавтомат"),IF(W157="","",COUNTIFS(Однолинейка!$H$3:$H$3000,U157,Однолинейка!$A$3:$A$3000,Щит_спец)),IF(A157="Аппарат",IF(C157="","",COUNTIFS(Однолинейка!$I$3:$I$3000,C157,Однолинейка!$A$3:$A$3000,Щит_спец)+COUNTIFS(Однолинейка!$J$3:$J$3000,C157,Однолинейка!$A$3:$A$3000,Щит_спец)+COUNTIFS(Однолинейка!$K$3:$K$3000,C157,Однолинейка!$A$3:$A$3000,Щит_спец)),IF(A157="Модуль",IF(C157="","",COUNTIFS(Однолинейка!$AW$3:$AW$3000,"?*",Однолинейка!$AI$3:$AI$3000,C157,Однолинейка!$A$3:$A$3000,Щит_спец)),IF(A157="Клемма",IF(C157="","",IF(C157=$S$7,SUMIFS(Однолинейка!$BW$3:$BW$3000,Однолинейка!$A$3:$A$3000,Щит_спец),IF(C157=$S$8,SUMIFS(Однолинейка!$BX$3:$BX$3000,Однолинейка!$A$3:$A$3000,Щит_спец),""))),""))))</f>
        <v/>
      </c>
      <c r="O157" s="74"/>
      <c r="P157" s="38" t="str">
        <f t="shared" si="18"/>
        <v/>
      </c>
      <c r="U157" s="38" t="str">
        <f t="shared" si="19"/>
        <v/>
      </c>
      <c r="V157" s="38" t="str">
        <f t="shared" si="20"/>
        <v/>
      </c>
      <c r="W157" s="38" t="str">
        <f>IF(AND(U157&lt;&gt;"",OR($S$4="(все)",B157=$S$4),IF($S$4="(все)",COUNTIF($U$4:U157,U157),COUNTIFS($U$4:U157,U157,$B$4:B157,B157))=1),MAX($W$3:W156)+1,"")</f>
        <v/>
      </c>
      <c r="X157" s="38" t="str">
        <f t="shared" si="21"/>
        <v/>
      </c>
      <c r="Y157" s="38" t="str">
        <f>IF(AND(A157="Аппарат",C157&lt;&gt;"",OR($S$5="(все)",B157=$S$5)),MAX($Y$3:Y156)+1,"")</f>
        <v/>
      </c>
      <c r="Z157" s="38" t="str">
        <f t="shared" si="22"/>
        <v/>
      </c>
      <c r="AA157" s="38" t="str">
        <f>IF(AND(A157="Модуль",C157&lt;&gt;"",OR($S$6="(все)",B157=$S$6)),MAX($AA$3:AA156)+1,"")</f>
        <v/>
      </c>
      <c r="AB157" s="38" t="str">
        <f t="shared" si="23"/>
        <v/>
      </c>
      <c r="AC157" s="38" t="str">
        <f>IF(OR(B157="",COUNTIF($B$4:B157,B157)&gt;1),"",MAX($AC$3:AC156)+1)</f>
        <v/>
      </c>
      <c r="AD157" s="38" t="str">
        <f t="shared" si="24"/>
        <v/>
      </c>
      <c r="AE157" s="38" t="str">
        <f t="shared" si="25"/>
        <v/>
      </c>
      <c r="AF157" s="38" t="str">
        <f t="shared" si="26"/>
        <v/>
      </c>
    </row>
    <row r="158" spans="1:32" x14ac:dyDescent="0.3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38" t="str">
        <f>IF(OR(A158="Автомат",A158="Дифавтомат"),IF(W158="","",COUNTIFS(Однолинейка!$H$3:$H$3000,U158,Однолинейка!$A$3:$A$3000,Щит_спец)),IF(A158="Аппарат",IF(C158="","",COUNTIFS(Однолинейка!$I$3:$I$3000,C158,Однолинейка!$A$3:$A$3000,Щит_спец)+COUNTIFS(Однолинейка!$J$3:$J$3000,C158,Однолинейка!$A$3:$A$3000,Щит_спец)+COUNTIFS(Однолинейка!$K$3:$K$3000,C158,Однолинейка!$A$3:$A$3000,Щит_спец)),IF(A158="Модуль",IF(C158="","",COUNTIFS(Однолинейка!$AW$3:$AW$3000,"?*",Однолинейка!$AI$3:$AI$3000,C158,Однолинейка!$A$3:$A$3000,Щит_спец)),IF(A158="Клемма",IF(C158="","",IF(C158=$S$7,SUMIFS(Однолинейка!$BW$3:$BW$3000,Однолинейка!$A$3:$A$3000,Щит_спец),IF(C158=$S$8,SUMIFS(Однолинейка!$BX$3:$BX$3000,Однолинейка!$A$3:$A$3000,Щит_спец),""))),""))))</f>
        <v/>
      </c>
      <c r="O158" s="74"/>
      <c r="P158" s="38" t="str">
        <f t="shared" si="18"/>
        <v/>
      </c>
      <c r="U158" s="38" t="str">
        <f t="shared" si="19"/>
        <v/>
      </c>
      <c r="V158" s="38" t="str">
        <f t="shared" si="20"/>
        <v/>
      </c>
      <c r="W158" s="38" t="str">
        <f>IF(AND(U158&lt;&gt;"",OR($S$4="(все)",B158=$S$4),IF($S$4="(все)",COUNTIF($U$4:U158,U158),COUNTIFS($U$4:U158,U158,$B$4:B158,B158))=1),MAX($W$3:W157)+1,"")</f>
        <v/>
      </c>
      <c r="X158" s="38" t="str">
        <f t="shared" si="21"/>
        <v/>
      </c>
      <c r="Y158" s="38" t="str">
        <f>IF(AND(A158="Аппарат",C158&lt;&gt;"",OR($S$5="(все)",B158=$S$5)),MAX($Y$3:Y157)+1,"")</f>
        <v/>
      </c>
      <c r="Z158" s="38" t="str">
        <f t="shared" si="22"/>
        <v/>
      </c>
      <c r="AA158" s="38" t="str">
        <f>IF(AND(A158="Модуль",C158&lt;&gt;"",OR($S$6="(все)",B158=$S$6)),MAX($AA$3:AA157)+1,"")</f>
        <v/>
      </c>
      <c r="AB158" s="38" t="str">
        <f t="shared" si="23"/>
        <v/>
      </c>
      <c r="AC158" s="38" t="str">
        <f>IF(OR(B158="",COUNTIF($B$4:B158,B158)&gt;1),"",MAX($AC$3:AC157)+1)</f>
        <v/>
      </c>
      <c r="AD158" s="38" t="str">
        <f t="shared" si="24"/>
        <v/>
      </c>
      <c r="AE158" s="38" t="str">
        <f t="shared" si="25"/>
        <v/>
      </c>
      <c r="AF158" s="38" t="str">
        <f t="shared" si="26"/>
        <v/>
      </c>
    </row>
    <row r="159" spans="1:32" x14ac:dyDescent="0.3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38" t="str">
        <f>IF(OR(A159="Автомат",A159="Дифавтомат"),IF(W159="","",COUNTIFS(Однолинейка!$H$3:$H$3000,U159,Однолинейка!$A$3:$A$3000,Щит_спец)),IF(A159="Аппарат",IF(C159="","",COUNTIFS(Однолинейка!$I$3:$I$3000,C159,Однолинейка!$A$3:$A$3000,Щит_спец)+COUNTIFS(Однолинейка!$J$3:$J$3000,C159,Однолинейка!$A$3:$A$3000,Щит_спец)+COUNTIFS(Однолинейка!$K$3:$K$3000,C159,Однолинейка!$A$3:$A$3000,Щит_спец)),IF(A159="Модуль",IF(C159="","",COUNTIFS(Однолинейка!$AW$3:$AW$3000,"?*",Однолинейка!$AI$3:$AI$3000,C159,Однолинейка!$A$3:$A$3000,Щит_спец)),IF(A159="Клемма",IF(C159="","",IF(C159=$S$7,SUMIFS(Однолинейка!$BW$3:$BW$3000,Однолинейка!$A$3:$A$3000,Щит_спец),IF(C159=$S$8,SUMIFS(Однолинейка!$BX$3:$BX$3000,Однолинейка!$A$3:$A$3000,Щит_спец),""))),""))))</f>
        <v/>
      </c>
      <c r="O159" s="74"/>
      <c r="P159" s="38" t="str">
        <f t="shared" si="18"/>
        <v/>
      </c>
      <c r="U159" s="38" t="str">
        <f t="shared" si="19"/>
        <v/>
      </c>
      <c r="V159" s="38" t="str">
        <f t="shared" si="20"/>
        <v/>
      </c>
      <c r="W159" s="38" t="str">
        <f>IF(AND(U159&lt;&gt;"",OR($S$4="(все)",B159=$S$4),IF($S$4="(все)",COUNTIF($U$4:U159,U159),COUNTIFS($U$4:U159,U159,$B$4:B159,B159))=1),MAX($W$3:W158)+1,"")</f>
        <v/>
      </c>
      <c r="X159" s="38" t="str">
        <f t="shared" si="21"/>
        <v/>
      </c>
      <c r="Y159" s="38" t="str">
        <f>IF(AND(A159="Аппарат",C159&lt;&gt;"",OR($S$5="(все)",B159=$S$5)),MAX($Y$3:Y158)+1,"")</f>
        <v/>
      </c>
      <c r="Z159" s="38" t="str">
        <f t="shared" si="22"/>
        <v/>
      </c>
      <c r="AA159" s="38" t="str">
        <f>IF(AND(A159="Модуль",C159&lt;&gt;"",OR($S$6="(все)",B159=$S$6)),MAX($AA$3:AA158)+1,"")</f>
        <v/>
      </c>
      <c r="AB159" s="38" t="str">
        <f t="shared" si="23"/>
        <v/>
      </c>
      <c r="AC159" s="38" t="str">
        <f>IF(OR(B159="",COUNTIF($B$4:B159,B159)&gt;1),"",MAX($AC$3:AC158)+1)</f>
        <v/>
      </c>
      <c r="AD159" s="38" t="str">
        <f t="shared" si="24"/>
        <v/>
      </c>
      <c r="AE159" s="38" t="str">
        <f t="shared" si="25"/>
        <v/>
      </c>
      <c r="AF159" s="38" t="str">
        <f t="shared" si="26"/>
        <v/>
      </c>
    </row>
    <row r="160" spans="1:32" x14ac:dyDescent="0.3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38" t="str">
        <f>IF(OR(A160="Автомат",A160="Дифавтомат"),IF(W160="","",COUNTIFS(Однолинейка!$H$3:$H$3000,U160,Однолинейка!$A$3:$A$3000,Щит_спец)),IF(A160="Аппарат",IF(C160="","",COUNTIFS(Однолинейка!$I$3:$I$3000,C160,Однолинейка!$A$3:$A$3000,Щит_спец)+COUNTIFS(Однолинейка!$J$3:$J$3000,C160,Однолинейка!$A$3:$A$3000,Щит_спец)+COUNTIFS(Однолинейка!$K$3:$K$3000,C160,Однолинейка!$A$3:$A$3000,Щит_спец)),IF(A160="Модуль",IF(C160="","",COUNTIFS(Однолинейка!$AW$3:$AW$3000,"?*",Однолинейка!$AI$3:$AI$3000,C160,Однолинейка!$A$3:$A$3000,Щит_спец)),IF(A160="Клемма",IF(C160="","",IF(C160=$S$7,SUMIFS(Однолинейка!$BW$3:$BW$3000,Однолинейка!$A$3:$A$3000,Щит_спец),IF(C160=$S$8,SUMIFS(Однолинейка!$BX$3:$BX$3000,Однолинейка!$A$3:$A$3000,Щит_спец),""))),""))))</f>
        <v/>
      </c>
      <c r="O160" s="74"/>
      <c r="P160" s="38" t="str">
        <f t="shared" si="18"/>
        <v/>
      </c>
      <c r="U160" s="38" t="str">
        <f t="shared" si="19"/>
        <v/>
      </c>
      <c r="V160" s="38" t="str">
        <f t="shared" si="20"/>
        <v/>
      </c>
      <c r="W160" s="38" t="str">
        <f>IF(AND(U160&lt;&gt;"",OR($S$4="(все)",B160=$S$4),IF($S$4="(все)",COUNTIF($U$4:U160,U160),COUNTIFS($U$4:U160,U160,$B$4:B160,B160))=1),MAX($W$3:W159)+1,"")</f>
        <v/>
      </c>
      <c r="X160" s="38" t="str">
        <f t="shared" si="21"/>
        <v/>
      </c>
      <c r="Y160" s="38" t="str">
        <f>IF(AND(A160="Аппарат",C160&lt;&gt;"",OR($S$5="(все)",B160=$S$5)),MAX($Y$3:Y159)+1,"")</f>
        <v/>
      </c>
      <c r="Z160" s="38" t="str">
        <f t="shared" si="22"/>
        <v/>
      </c>
      <c r="AA160" s="38" t="str">
        <f>IF(AND(A160="Модуль",C160&lt;&gt;"",OR($S$6="(все)",B160=$S$6)),MAX($AA$3:AA159)+1,"")</f>
        <v/>
      </c>
      <c r="AB160" s="38" t="str">
        <f t="shared" si="23"/>
        <v/>
      </c>
      <c r="AC160" s="38" t="str">
        <f>IF(OR(B160="",COUNTIF($B$4:B160,B160)&gt;1),"",MAX($AC$3:AC159)+1)</f>
        <v/>
      </c>
      <c r="AD160" s="38" t="str">
        <f t="shared" si="24"/>
        <v/>
      </c>
      <c r="AE160" s="38" t="str">
        <f t="shared" si="25"/>
        <v/>
      </c>
      <c r="AF160" s="38" t="str">
        <f t="shared" si="26"/>
        <v/>
      </c>
    </row>
    <row r="161" spans="1:32" x14ac:dyDescent="0.3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38" t="str">
        <f>IF(OR(A161="Автомат",A161="Дифавтомат"),IF(W161="","",COUNTIFS(Однолинейка!$H$3:$H$3000,U161,Однолинейка!$A$3:$A$3000,Щит_спец)),IF(A161="Аппарат",IF(C161="","",COUNTIFS(Однолинейка!$I$3:$I$3000,C161,Однолинейка!$A$3:$A$3000,Щит_спец)+COUNTIFS(Однолинейка!$J$3:$J$3000,C161,Однолинейка!$A$3:$A$3000,Щит_спец)+COUNTIFS(Однолинейка!$K$3:$K$3000,C161,Однолинейка!$A$3:$A$3000,Щит_спец)),IF(A161="Модуль",IF(C161="","",COUNTIFS(Однолинейка!$AW$3:$AW$3000,"?*",Однолинейка!$AI$3:$AI$3000,C161,Однолинейка!$A$3:$A$3000,Щит_спец)),IF(A161="Клемма",IF(C161="","",IF(C161=$S$7,SUMIFS(Однолинейка!$BW$3:$BW$3000,Однолинейка!$A$3:$A$3000,Щит_спец),IF(C161=$S$8,SUMIFS(Однолинейка!$BX$3:$BX$3000,Однолинейка!$A$3:$A$3000,Щит_спец),""))),""))))</f>
        <v/>
      </c>
      <c r="O161" s="74"/>
      <c r="P161" s="38" t="str">
        <f t="shared" si="18"/>
        <v/>
      </c>
      <c r="U161" s="38" t="str">
        <f t="shared" si="19"/>
        <v/>
      </c>
      <c r="V161" s="38" t="str">
        <f t="shared" si="20"/>
        <v/>
      </c>
      <c r="W161" s="38" t="str">
        <f>IF(AND(U161&lt;&gt;"",OR($S$4="(все)",B161=$S$4),IF($S$4="(все)",COUNTIF($U$4:U161,U161),COUNTIFS($U$4:U161,U161,$B$4:B161,B161))=1),MAX($W$3:W160)+1,"")</f>
        <v/>
      </c>
      <c r="X161" s="38" t="str">
        <f t="shared" si="21"/>
        <v/>
      </c>
      <c r="Y161" s="38" t="str">
        <f>IF(AND(A161="Аппарат",C161&lt;&gt;"",OR($S$5="(все)",B161=$S$5)),MAX($Y$3:Y160)+1,"")</f>
        <v/>
      </c>
      <c r="Z161" s="38" t="str">
        <f t="shared" si="22"/>
        <v/>
      </c>
      <c r="AA161" s="38" t="str">
        <f>IF(AND(A161="Модуль",C161&lt;&gt;"",OR($S$6="(все)",B161=$S$6)),MAX($AA$3:AA160)+1,"")</f>
        <v/>
      </c>
      <c r="AB161" s="38" t="str">
        <f t="shared" si="23"/>
        <v/>
      </c>
      <c r="AC161" s="38" t="str">
        <f>IF(OR(B161="",COUNTIF($B$4:B161,B161)&gt;1),"",MAX($AC$3:AC160)+1)</f>
        <v/>
      </c>
      <c r="AD161" s="38" t="str">
        <f t="shared" si="24"/>
        <v/>
      </c>
      <c r="AE161" s="38" t="str">
        <f t="shared" si="25"/>
        <v/>
      </c>
      <c r="AF161" s="38" t="str">
        <f t="shared" si="26"/>
        <v/>
      </c>
    </row>
    <row r="162" spans="1:32" x14ac:dyDescent="0.3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38" t="str">
        <f>IF(OR(A162="Автомат",A162="Дифавтомат"),IF(W162="","",COUNTIFS(Однолинейка!$H$3:$H$3000,U162,Однолинейка!$A$3:$A$3000,Щит_спец)),IF(A162="Аппарат",IF(C162="","",COUNTIFS(Однолинейка!$I$3:$I$3000,C162,Однолинейка!$A$3:$A$3000,Щит_спец)+COUNTIFS(Однолинейка!$J$3:$J$3000,C162,Однолинейка!$A$3:$A$3000,Щит_спец)+COUNTIFS(Однолинейка!$K$3:$K$3000,C162,Однолинейка!$A$3:$A$3000,Щит_спец)),IF(A162="Модуль",IF(C162="","",COUNTIFS(Однолинейка!$AW$3:$AW$3000,"?*",Однолинейка!$AI$3:$AI$3000,C162,Однолинейка!$A$3:$A$3000,Щит_спец)),IF(A162="Клемма",IF(C162="","",IF(C162=$S$7,SUMIFS(Однолинейка!$BW$3:$BW$3000,Однолинейка!$A$3:$A$3000,Щит_спец),IF(C162=$S$8,SUMIFS(Однолинейка!$BX$3:$BX$3000,Однолинейка!$A$3:$A$3000,Щит_спец),""))),""))))</f>
        <v/>
      </c>
      <c r="O162" s="74"/>
      <c r="P162" s="38" t="str">
        <f t="shared" si="18"/>
        <v/>
      </c>
      <c r="U162" s="38" t="str">
        <f t="shared" si="19"/>
        <v/>
      </c>
      <c r="V162" s="38" t="str">
        <f t="shared" si="20"/>
        <v/>
      </c>
      <c r="W162" s="38" t="str">
        <f>IF(AND(U162&lt;&gt;"",OR($S$4="(все)",B162=$S$4),IF($S$4="(все)",COUNTIF($U$4:U162,U162),COUNTIFS($U$4:U162,U162,$B$4:B162,B162))=1),MAX($W$3:W161)+1,"")</f>
        <v/>
      </c>
      <c r="X162" s="38" t="str">
        <f t="shared" si="21"/>
        <v/>
      </c>
      <c r="Y162" s="38" t="str">
        <f>IF(AND(A162="Аппарат",C162&lt;&gt;"",OR($S$5="(все)",B162=$S$5)),MAX($Y$3:Y161)+1,"")</f>
        <v/>
      </c>
      <c r="Z162" s="38" t="str">
        <f t="shared" si="22"/>
        <v/>
      </c>
      <c r="AA162" s="38" t="str">
        <f>IF(AND(A162="Модуль",C162&lt;&gt;"",OR($S$6="(все)",B162=$S$6)),MAX($AA$3:AA161)+1,"")</f>
        <v/>
      </c>
      <c r="AB162" s="38" t="str">
        <f t="shared" si="23"/>
        <v/>
      </c>
      <c r="AC162" s="38" t="str">
        <f>IF(OR(B162="",COUNTIF($B$4:B162,B162)&gt;1),"",MAX($AC$3:AC161)+1)</f>
        <v/>
      </c>
      <c r="AD162" s="38" t="str">
        <f t="shared" si="24"/>
        <v/>
      </c>
      <c r="AE162" s="38" t="str">
        <f t="shared" si="25"/>
        <v/>
      </c>
      <c r="AF162" s="38" t="str">
        <f t="shared" si="26"/>
        <v/>
      </c>
    </row>
    <row r="163" spans="1:32" x14ac:dyDescent="0.3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38" t="str">
        <f>IF(OR(A163="Автомат",A163="Дифавтомат"),IF(W163="","",COUNTIFS(Однолинейка!$H$3:$H$3000,U163,Однолинейка!$A$3:$A$3000,Щит_спец)),IF(A163="Аппарат",IF(C163="","",COUNTIFS(Однолинейка!$I$3:$I$3000,C163,Однолинейка!$A$3:$A$3000,Щит_спец)+COUNTIFS(Однолинейка!$J$3:$J$3000,C163,Однолинейка!$A$3:$A$3000,Щит_спец)+COUNTIFS(Однолинейка!$K$3:$K$3000,C163,Однолинейка!$A$3:$A$3000,Щит_спец)),IF(A163="Модуль",IF(C163="","",COUNTIFS(Однолинейка!$AW$3:$AW$3000,"?*",Однолинейка!$AI$3:$AI$3000,C163,Однолинейка!$A$3:$A$3000,Щит_спец)),IF(A163="Клемма",IF(C163="","",IF(C163=$S$7,SUMIFS(Однолинейка!$BW$3:$BW$3000,Однолинейка!$A$3:$A$3000,Щит_спец),IF(C163=$S$8,SUMIFS(Однолинейка!$BX$3:$BX$3000,Однолинейка!$A$3:$A$3000,Щит_спец),""))),""))))</f>
        <v/>
      </c>
      <c r="O163" s="74"/>
      <c r="P163" s="38" t="str">
        <f t="shared" si="18"/>
        <v/>
      </c>
      <c r="U163" s="38" t="str">
        <f t="shared" si="19"/>
        <v/>
      </c>
      <c r="V163" s="38" t="str">
        <f t="shared" si="20"/>
        <v/>
      </c>
      <c r="W163" s="38" t="str">
        <f>IF(AND(U163&lt;&gt;"",OR($S$4="(все)",B163=$S$4),IF($S$4="(все)",COUNTIF($U$4:U163,U163),COUNTIFS($U$4:U163,U163,$B$4:B163,B163))=1),MAX($W$3:W162)+1,"")</f>
        <v/>
      </c>
      <c r="X163" s="38" t="str">
        <f t="shared" si="21"/>
        <v/>
      </c>
      <c r="Y163" s="38" t="str">
        <f>IF(AND(A163="Аппарат",C163&lt;&gt;"",OR($S$5="(все)",B163=$S$5)),MAX($Y$3:Y162)+1,"")</f>
        <v/>
      </c>
      <c r="Z163" s="38" t="str">
        <f t="shared" si="22"/>
        <v/>
      </c>
      <c r="AA163" s="38" t="str">
        <f>IF(AND(A163="Модуль",C163&lt;&gt;"",OR($S$6="(все)",B163=$S$6)),MAX($AA$3:AA162)+1,"")</f>
        <v/>
      </c>
      <c r="AB163" s="38" t="str">
        <f t="shared" si="23"/>
        <v/>
      </c>
      <c r="AC163" s="38" t="str">
        <f>IF(OR(B163="",COUNTIF($B$4:B163,B163)&gt;1),"",MAX($AC$3:AC162)+1)</f>
        <v/>
      </c>
      <c r="AD163" s="38" t="str">
        <f t="shared" si="24"/>
        <v/>
      </c>
      <c r="AE163" s="38" t="str">
        <f t="shared" si="25"/>
        <v/>
      </c>
      <c r="AF163" s="38" t="str">
        <f t="shared" si="26"/>
        <v/>
      </c>
    </row>
    <row r="164" spans="1:32" x14ac:dyDescent="0.3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38" t="str">
        <f>IF(OR(A164="Автомат",A164="Дифавтомат"),IF(W164="","",COUNTIFS(Однолинейка!$H$3:$H$3000,U164,Однолинейка!$A$3:$A$3000,Щит_спец)),IF(A164="Аппарат",IF(C164="","",COUNTIFS(Однолинейка!$I$3:$I$3000,C164,Однолинейка!$A$3:$A$3000,Щит_спец)+COUNTIFS(Однолинейка!$J$3:$J$3000,C164,Однолинейка!$A$3:$A$3000,Щит_спец)+COUNTIFS(Однолинейка!$K$3:$K$3000,C164,Однолинейка!$A$3:$A$3000,Щит_спец)),IF(A164="Модуль",IF(C164="","",COUNTIFS(Однолинейка!$AW$3:$AW$3000,"?*",Однолинейка!$AI$3:$AI$3000,C164,Однолинейка!$A$3:$A$3000,Щит_спец)),IF(A164="Клемма",IF(C164="","",IF(C164=$S$7,SUMIFS(Однолинейка!$BW$3:$BW$3000,Однолинейка!$A$3:$A$3000,Щит_спец),IF(C164=$S$8,SUMIFS(Однолинейка!$BX$3:$BX$3000,Однолинейка!$A$3:$A$3000,Щит_спец),""))),""))))</f>
        <v/>
      </c>
      <c r="O164" s="74"/>
      <c r="P164" s="38" t="str">
        <f t="shared" si="18"/>
        <v/>
      </c>
      <c r="U164" s="38" t="str">
        <f t="shared" si="19"/>
        <v/>
      </c>
      <c r="V164" s="38" t="str">
        <f t="shared" si="20"/>
        <v/>
      </c>
      <c r="W164" s="38" t="str">
        <f>IF(AND(U164&lt;&gt;"",OR($S$4="(все)",B164=$S$4),IF($S$4="(все)",COUNTIF($U$4:U164,U164),COUNTIFS($U$4:U164,U164,$B$4:B164,B164))=1),MAX($W$3:W163)+1,"")</f>
        <v/>
      </c>
      <c r="X164" s="38" t="str">
        <f t="shared" si="21"/>
        <v/>
      </c>
      <c r="Y164" s="38" t="str">
        <f>IF(AND(A164="Аппарат",C164&lt;&gt;"",OR($S$5="(все)",B164=$S$5)),MAX($Y$3:Y163)+1,"")</f>
        <v/>
      </c>
      <c r="Z164" s="38" t="str">
        <f t="shared" si="22"/>
        <v/>
      </c>
      <c r="AA164" s="38" t="str">
        <f>IF(AND(A164="Модуль",C164&lt;&gt;"",OR($S$6="(все)",B164=$S$6)),MAX($AA$3:AA163)+1,"")</f>
        <v/>
      </c>
      <c r="AB164" s="38" t="str">
        <f t="shared" si="23"/>
        <v/>
      </c>
      <c r="AC164" s="38" t="str">
        <f>IF(OR(B164="",COUNTIF($B$4:B164,B164)&gt;1),"",MAX($AC$3:AC163)+1)</f>
        <v/>
      </c>
      <c r="AD164" s="38" t="str">
        <f t="shared" si="24"/>
        <v/>
      </c>
      <c r="AE164" s="38" t="str">
        <f t="shared" si="25"/>
        <v/>
      </c>
      <c r="AF164" s="38" t="str">
        <f t="shared" si="26"/>
        <v/>
      </c>
    </row>
    <row r="165" spans="1:32" x14ac:dyDescent="0.3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38" t="str">
        <f>IF(OR(A165="Автомат",A165="Дифавтомат"),IF(W165="","",COUNTIFS(Однолинейка!$H$3:$H$3000,U165,Однолинейка!$A$3:$A$3000,Щит_спец)),IF(A165="Аппарат",IF(C165="","",COUNTIFS(Однолинейка!$I$3:$I$3000,C165,Однолинейка!$A$3:$A$3000,Щит_спец)+COUNTIFS(Однолинейка!$J$3:$J$3000,C165,Однолинейка!$A$3:$A$3000,Щит_спец)+COUNTIFS(Однолинейка!$K$3:$K$3000,C165,Однолинейка!$A$3:$A$3000,Щит_спец)),IF(A165="Модуль",IF(C165="","",COUNTIFS(Однолинейка!$AW$3:$AW$3000,"?*",Однолинейка!$AI$3:$AI$3000,C165,Однолинейка!$A$3:$A$3000,Щит_спец)),IF(A165="Клемма",IF(C165="","",IF(C165=$S$7,SUMIFS(Однолинейка!$BW$3:$BW$3000,Однолинейка!$A$3:$A$3000,Щит_спец),IF(C165=$S$8,SUMIFS(Однолинейка!$BX$3:$BX$3000,Однолинейка!$A$3:$A$3000,Щит_спец),""))),""))))</f>
        <v/>
      </c>
      <c r="O165" s="74"/>
      <c r="P165" s="38" t="str">
        <f t="shared" si="18"/>
        <v/>
      </c>
      <c r="U165" s="38" t="str">
        <f t="shared" si="19"/>
        <v/>
      </c>
      <c r="V165" s="38" t="str">
        <f t="shared" si="20"/>
        <v/>
      </c>
      <c r="W165" s="38" t="str">
        <f>IF(AND(U165&lt;&gt;"",OR($S$4="(все)",B165=$S$4),IF($S$4="(все)",COUNTIF($U$4:U165,U165),COUNTIFS($U$4:U165,U165,$B$4:B165,B165))=1),MAX($W$3:W164)+1,"")</f>
        <v/>
      </c>
      <c r="X165" s="38" t="str">
        <f t="shared" si="21"/>
        <v/>
      </c>
      <c r="Y165" s="38" t="str">
        <f>IF(AND(A165="Аппарат",C165&lt;&gt;"",OR($S$5="(все)",B165=$S$5)),MAX($Y$3:Y164)+1,"")</f>
        <v/>
      </c>
      <c r="Z165" s="38" t="str">
        <f t="shared" si="22"/>
        <v/>
      </c>
      <c r="AA165" s="38" t="str">
        <f>IF(AND(A165="Модуль",C165&lt;&gt;"",OR($S$6="(все)",B165=$S$6)),MAX($AA$3:AA164)+1,"")</f>
        <v/>
      </c>
      <c r="AB165" s="38" t="str">
        <f t="shared" si="23"/>
        <v/>
      </c>
      <c r="AC165" s="38" t="str">
        <f>IF(OR(B165="",COUNTIF($B$4:B165,B165)&gt;1),"",MAX($AC$3:AC164)+1)</f>
        <v/>
      </c>
      <c r="AD165" s="38" t="str">
        <f t="shared" si="24"/>
        <v/>
      </c>
      <c r="AE165" s="38" t="str">
        <f t="shared" si="25"/>
        <v/>
      </c>
      <c r="AF165" s="38" t="str">
        <f t="shared" si="26"/>
        <v/>
      </c>
    </row>
    <row r="166" spans="1:32" x14ac:dyDescent="0.3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38" t="str">
        <f>IF(OR(A166="Автомат",A166="Дифавтомат"),IF(W166="","",COUNTIFS(Однолинейка!$H$3:$H$3000,U166,Однолинейка!$A$3:$A$3000,Щит_спец)),IF(A166="Аппарат",IF(C166="","",COUNTIFS(Однолинейка!$I$3:$I$3000,C166,Однолинейка!$A$3:$A$3000,Щит_спец)+COUNTIFS(Однолинейка!$J$3:$J$3000,C166,Однолинейка!$A$3:$A$3000,Щит_спец)+COUNTIFS(Однолинейка!$K$3:$K$3000,C166,Однолинейка!$A$3:$A$3000,Щит_спец)),IF(A166="Модуль",IF(C166="","",COUNTIFS(Однолинейка!$AW$3:$AW$3000,"?*",Однолинейка!$AI$3:$AI$3000,C166,Однолинейка!$A$3:$A$3000,Щит_спец)),IF(A166="Клемма",IF(C166="","",IF(C166=$S$7,SUMIFS(Однолинейка!$BW$3:$BW$3000,Однолинейка!$A$3:$A$3000,Щит_спец),IF(C166=$S$8,SUMIFS(Однолинейка!$BX$3:$BX$3000,Однолинейка!$A$3:$A$3000,Щит_спец),""))),""))))</f>
        <v/>
      </c>
      <c r="O166" s="74"/>
      <c r="P166" s="38" t="str">
        <f t="shared" si="18"/>
        <v/>
      </c>
      <c r="U166" s="38" t="str">
        <f t="shared" si="19"/>
        <v/>
      </c>
      <c r="V166" s="38" t="str">
        <f t="shared" si="20"/>
        <v/>
      </c>
      <c r="W166" s="38" t="str">
        <f>IF(AND(U166&lt;&gt;"",OR($S$4="(все)",B166=$S$4),IF($S$4="(все)",COUNTIF($U$4:U166,U166),COUNTIFS($U$4:U166,U166,$B$4:B166,B166))=1),MAX($W$3:W165)+1,"")</f>
        <v/>
      </c>
      <c r="X166" s="38" t="str">
        <f t="shared" si="21"/>
        <v/>
      </c>
      <c r="Y166" s="38" t="str">
        <f>IF(AND(A166="Аппарат",C166&lt;&gt;"",OR($S$5="(все)",B166=$S$5)),MAX($Y$3:Y165)+1,"")</f>
        <v/>
      </c>
      <c r="Z166" s="38" t="str">
        <f t="shared" si="22"/>
        <v/>
      </c>
      <c r="AA166" s="38" t="str">
        <f>IF(AND(A166="Модуль",C166&lt;&gt;"",OR($S$6="(все)",B166=$S$6)),MAX($AA$3:AA165)+1,"")</f>
        <v/>
      </c>
      <c r="AB166" s="38" t="str">
        <f t="shared" si="23"/>
        <v/>
      </c>
      <c r="AC166" s="38" t="str">
        <f>IF(OR(B166="",COUNTIF($B$4:B166,B166)&gt;1),"",MAX($AC$3:AC165)+1)</f>
        <v/>
      </c>
      <c r="AD166" s="38" t="str">
        <f t="shared" si="24"/>
        <v/>
      </c>
      <c r="AE166" s="38" t="str">
        <f t="shared" si="25"/>
        <v/>
      </c>
      <c r="AF166" s="38" t="str">
        <f t="shared" si="26"/>
        <v/>
      </c>
    </row>
    <row r="167" spans="1:32" x14ac:dyDescent="0.3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38" t="str">
        <f>IF(OR(A167="Автомат",A167="Дифавтомат"),IF(W167="","",COUNTIFS(Однолинейка!$H$3:$H$3000,U167,Однолинейка!$A$3:$A$3000,Щит_спец)),IF(A167="Аппарат",IF(C167="","",COUNTIFS(Однолинейка!$I$3:$I$3000,C167,Однолинейка!$A$3:$A$3000,Щит_спец)+COUNTIFS(Однолинейка!$J$3:$J$3000,C167,Однолинейка!$A$3:$A$3000,Щит_спец)+COUNTIFS(Однолинейка!$K$3:$K$3000,C167,Однолинейка!$A$3:$A$3000,Щит_спец)),IF(A167="Модуль",IF(C167="","",COUNTIFS(Однолинейка!$AW$3:$AW$3000,"?*",Однолинейка!$AI$3:$AI$3000,C167,Однолинейка!$A$3:$A$3000,Щит_спец)),IF(A167="Клемма",IF(C167="","",IF(C167=$S$7,SUMIFS(Однолинейка!$BW$3:$BW$3000,Однолинейка!$A$3:$A$3000,Щит_спец),IF(C167=$S$8,SUMIFS(Однолинейка!$BX$3:$BX$3000,Однолинейка!$A$3:$A$3000,Щит_спец),""))),""))))</f>
        <v/>
      </c>
      <c r="O167" s="74"/>
      <c r="P167" s="38" t="str">
        <f t="shared" si="18"/>
        <v/>
      </c>
      <c r="U167" s="38" t="str">
        <f t="shared" si="19"/>
        <v/>
      </c>
      <c r="V167" s="38" t="str">
        <f t="shared" si="20"/>
        <v/>
      </c>
      <c r="W167" s="38" t="str">
        <f>IF(AND(U167&lt;&gt;"",OR($S$4="(все)",B167=$S$4),IF($S$4="(все)",COUNTIF($U$4:U167,U167),COUNTIFS($U$4:U167,U167,$B$4:B167,B167))=1),MAX($W$3:W166)+1,"")</f>
        <v/>
      </c>
      <c r="X167" s="38" t="str">
        <f t="shared" si="21"/>
        <v/>
      </c>
      <c r="Y167" s="38" t="str">
        <f>IF(AND(A167="Аппарат",C167&lt;&gt;"",OR($S$5="(все)",B167=$S$5)),MAX($Y$3:Y166)+1,"")</f>
        <v/>
      </c>
      <c r="Z167" s="38" t="str">
        <f t="shared" si="22"/>
        <v/>
      </c>
      <c r="AA167" s="38" t="str">
        <f>IF(AND(A167="Модуль",C167&lt;&gt;"",OR($S$6="(все)",B167=$S$6)),MAX($AA$3:AA166)+1,"")</f>
        <v/>
      </c>
      <c r="AB167" s="38" t="str">
        <f t="shared" si="23"/>
        <v/>
      </c>
      <c r="AC167" s="38" t="str">
        <f>IF(OR(B167="",COUNTIF($B$4:B167,B167)&gt;1),"",MAX($AC$3:AC166)+1)</f>
        <v/>
      </c>
      <c r="AD167" s="38" t="str">
        <f t="shared" si="24"/>
        <v/>
      </c>
      <c r="AE167" s="38" t="str">
        <f t="shared" si="25"/>
        <v/>
      </c>
      <c r="AF167" s="38" t="str">
        <f t="shared" si="26"/>
        <v/>
      </c>
    </row>
    <row r="168" spans="1:32" x14ac:dyDescent="0.3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38" t="str">
        <f>IF(OR(A168="Автомат",A168="Дифавтомат"),IF(W168="","",COUNTIFS(Однолинейка!$H$3:$H$3000,U168,Однолинейка!$A$3:$A$3000,Щит_спец)),IF(A168="Аппарат",IF(C168="","",COUNTIFS(Однолинейка!$I$3:$I$3000,C168,Однолинейка!$A$3:$A$3000,Щит_спец)+COUNTIFS(Однолинейка!$J$3:$J$3000,C168,Однолинейка!$A$3:$A$3000,Щит_спец)+COUNTIFS(Однолинейка!$K$3:$K$3000,C168,Однолинейка!$A$3:$A$3000,Щит_спец)),IF(A168="Модуль",IF(C168="","",COUNTIFS(Однолинейка!$AW$3:$AW$3000,"?*",Однолинейка!$AI$3:$AI$3000,C168,Однолинейка!$A$3:$A$3000,Щит_спец)),IF(A168="Клемма",IF(C168="","",IF(C168=$S$7,SUMIFS(Однолинейка!$BW$3:$BW$3000,Однолинейка!$A$3:$A$3000,Щит_спец),IF(C168=$S$8,SUMIFS(Однолинейка!$BX$3:$BX$3000,Однолинейка!$A$3:$A$3000,Щит_спец),""))),""))))</f>
        <v/>
      </c>
      <c r="O168" s="74"/>
      <c r="P168" s="38" t="str">
        <f t="shared" si="18"/>
        <v/>
      </c>
      <c r="U168" s="38" t="str">
        <f t="shared" si="19"/>
        <v/>
      </c>
      <c r="V168" s="38" t="str">
        <f t="shared" si="20"/>
        <v/>
      </c>
      <c r="W168" s="38" t="str">
        <f>IF(AND(U168&lt;&gt;"",OR($S$4="(все)",B168=$S$4),IF($S$4="(все)",COUNTIF($U$4:U168,U168),COUNTIFS($U$4:U168,U168,$B$4:B168,B168))=1),MAX($W$3:W167)+1,"")</f>
        <v/>
      </c>
      <c r="X168" s="38" t="str">
        <f t="shared" si="21"/>
        <v/>
      </c>
      <c r="Y168" s="38" t="str">
        <f>IF(AND(A168="Аппарат",C168&lt;&gt;"",OR($S$5="(все)",B168=$S$5)),MAX($Y$3:Y167)+1,"")</f>
        <v/>
      </c>
      <c r="Z168" s="38" t="str">
        <f t="shared" si="22"/>
        <v/>
      </c>
      <c r="AA168" s="38" t="str">
        <f>IF(AND(A168="Модуль",C168&lt;&gt;"",OR($S$6="(все)",B168=$S$6)),MAX($AA$3:AA167)+1,"")</f>
        <v/>
      </c>
      <c r="AB168" s="38" t="str">
        <f t="shared" si="23"/>
        <v/>
      </c>
      <c r="AC168" s="38" t="str">
        <f>IF(OR(B168="",COUNTIF($B$4:B168,B168)&gt;1),"",MAX($AC$3:AC167)+1)</f>
        <v/>
      </c>
      <c r="AD168" s="38" t="str">
        <f t="shared" si="24"/>
        <v/>
      </c>
      <c r="AE168" s="38" t="str">
        <f t="shared" si="25"/>
        <v/>
      </c>
      <c r="AF168" s="38" t="str">
        <f t="shared" si="26"/>
        <v/>
      </c>
    </row>
    <row r="169" spans="1:32" x14ac:dyDescent="0.3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38" t="str">
        <f>IF(OR(A169="Автомат",A169="Дифавтомат"),IF(W169="","",COUNTIFS(Однолинейка!$H$3:$H$3000,U169,Однолинейка!$A$3:$A$3000,Щит_спец)),IF(A169="Аппарат",IF(C169="","",COUNTIFS(Однолинейка!$I$3:$I$3000,C169,Однолинейка!$A$3:$A$3000,Щит_спец)+COUNTIFS(Однолинейка!$J$3:$J$3000,C169,Однолинейка!$A$3:$A$3000,Щит_спец)+COUNTIFS(Однолинейка!$K$3:$K$3000,C169,Однолинейка!$A$3:$A$3000,Щит_спец)),IF(A169="Модуль",IF(C169="","",COUNTIFS(Однолинейка!$AW$3:$AW$3000,"?*",Однолинейка!$AI$3:$AI$3000,C169,Однолинейка!$A$3:$A$3000,Щит_спец)),IF(A169="Клемма",IF(C169="","",IF(C169=$S$7,SUMIFS(Однолинейка!$BW$3:$BW$3000,Однолинейка!$A$3:$A$3000,Щит_спец),IF(C169=$S$8,SUMIFS(Однолинейка!$BX$3:$BX$3000,Однолинейка!$A$3:$A$3000,Щит_спец),""))),""))))</f>
        <v/>
      </c>
      <c r="O169" s="74"/>
      <c r="P169" s="38" t="str">
        <f t="shared" si="18"/>
        <v/>
      </c>
      <c r="U169" s="38" t="str">
        <f t="shared" si="19"/>
        <v/>
      </c>
      <c r="V169" s="38" t="str">
        <f t="shared" si="20"/>
        <v/>
      </c>
      <c r="W169" s="38" t="str">
        <f>IF(AND(U169&lt;&gt;"",OR($S$4="(все)",B169=$S$4),IF($S$4="(все)",COUNTIF($U$4:U169,U169),COUNTIFS($U$4:U169,U169,$B$4:B169,B169))=1),MAX($W$3:W168)+1,"")</f>
        <v/>
      </c>
      <c r="X169" s="38" t="str">
        <f t="shared" si="21"/>
        <v/>
      </c>
      <c r="Y169" s="38" t="str">
        <f>IF(AND(A169="Аппарат",C169&lt;&gt;"",OR($S$5="(все)",B169=$S$5)),MAX($Y$3:Y168)+1,"")</f>
        <v/>
      </c>
      <c r="Z169" s="38" t="str">
        <f t="shared" si="22"/>
        <v/>
      </c>
      <c r="AA169" s="38" t="str">
        <f>IF(AND(A169="Модуль",C169&lt;&gt;"",OR($S$6="(все)",B169=$S$6)),MAX($AA$3:AA168)+1,"")</f>
        <v/>
      </c>
      <c r="AB169" s="38" t="str">
        <f t="shared" si="23"/>
        <v/>
      </c>
      <c r="AC169" s="38" t="str">
        <f>IF(OR(B169="",COUNTIF($B$4:B169,B169)&gt;1),"",MAX($AC$3:AC168)+1)</f>
        <v/>
      </c>
      <c r="AD169" s="38" t="str">
        <f t="shared" si="24"/>
        <v/>
      </c>
      <c r="AE169" s="38" t="str">
        <f t="shared" si="25"/>
        <v/>
      </c>
      <c r="AF169" s="38" t="str">
        <f t="shared" si="26"/>
        <v/>
      </c>
    </row>
    <row r="170" spans="1:32" x14ac:dyDescent="0.3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38" t="str">
        <f>IF(OR(A170="Автомат",A170="Дифавтомат"),IF(W170="","",COUNTIFS(Однолинейка!$H$3:$H$3000,U170,Однолинейка!$A$3:$A$3000,Щит_спец)),IF(A170="Аппарат",IF(C170="","",COUNTIFS(Однолинейка!$I$3:$I$3000,C170,Однолинейка!$A$3:$A$3000,Щит_спец)+COUNTIFS(Однолинейка!$J$3:$J$3000,C170,Однолинейка!$A$3:$A$3000,Щит_спец)+COUNTIFS(Однолинейка!$K$3:$K$3000,C170,Однолинейка!$A$3:$A$3000,Щит_спец)),IF(A170="Модуль",IF(C170="","",COUNTIFS(Однолинейка!$AW$3:$AW$3000,"?*",Однолинейка!$AI$3:$AI$3000,C170,Однолинейка!$A$3:$A$3000,Щит_спец)),IF(A170="Клемма",IF(C170="","",IF(C170=$S$7,SUMIFS(Однолинейка!$BW$3:$BW$3000,Однолинейка!$A$3:$A$3000,Щит_спец),IF(C170=$S$8,SUMIFS(Однолинейка!$BX$3:$BX$3000,Однолинейка!$A$3:$A$3000,Щит_спец),""))),""))))</f>
        <v/>
      </c>
      <c r="O170" s="74"/>
      <c r="P170" s="38" t="str">
        <f t="shared" si="18"/>
        <v/>
      </c>
      <c r="U170" s="38" t="str">
        <f t="shared" si="19"/>
        <v/>
      </c>
      <c r="V170" s="38" t="str">
        <f t="shared" si="20"/>
        <v/>
      </c>
      <c r="W170" s="38" t="str">
        <f>IF(AND(U170&lt;&gt;"",OR($S$4="(все)",B170=$S$4),IF($S$4="(все)",COUNTIF($U$4:U170,U170),COUNTIFS($U$4:U170,U170,$B$4:B170,B170))=1),MAX($W$3:W169)+1,"")</f>
        <v/>
      </c>
      <c r="X170" s="38" t="str">
        <f t="shared" si="21"/>
        <v/>
      </c>
      <c r="Y170" s="38" t="str">
        <f>IF(AND(A170="Аппарат",C170&lt;&gt;"",OR($S$5="(все)",B170=$S$5)),MAX($Y$3:Y169)+1,"")</f>
        <v/>
      </c>
      <c r="Z170" s="38" t="str">
        <f t="shared" si="22"/>
        <v/>
      </c>
      <c r="AA170" s="38" t="str">
        <f>IF(AND(A170="Модуль",C170&lt;&gt;"",OR($S$6="(все)",B170=$S$6)),MAX($AA$3:AA169)+1,"")</f>
        <v/>
      </c>
      <c r="AB170" s="38" t="str">
        <f t="shared" si="23"/>
        <v/>
      </c>
      <c r="AC170" s="38" t="str">
        <f>IF(OR(B170="",COUNTIF($B$4:B170,B170)&gt;1),"",MAX($AC$3:AC169)+1)</f>
        <v/>
      </c>
      <c r="AD170" s="38" t="str">
        <f t="shared" si="24"/>
        <v/>
      </c>
      <c r="AE170" s="38" t="str">
        <f t="shared" si="25"/>
        <v/>
      </c>
      <c r="AF170" s="38" t="str">
        <f t="shared" si="26"/>
        <v/>
      </c>
    </row>
    <row r="171" spans="1:32" x14ac:dyDescent="0.3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38" t="str">
        <f>IF(OR(A171="Автомат",A171="Дифавтомат"),IF(W171="","",COUNTIFS(Однолинейка!$H$3:$H$3000,U171,Однолинейка!$A$3:$A$3000,Щит_спец)),IF(A171="Аппарат",IF(C171="","",COUNTIFS(Однолинейка!$I$3:$I$3000,C171,Однолинейка!$A$3:$A$3000,Щит_спец)+COUNTIFS(Однолинейка!$J$3:$J$3000,C171,Однолинейка!$A$3:$A$3000,Щит_спец)+COUNTIFS(Однолинейка!$K$3:$K$3000,C171,Однолинейка!$A$3:$A$3000,Щит_спец)),IF(A171="Модуль",IF(C171="","",COUNTIFS(Однолинейка!$AW$3:$AW$3000,"?*",Однолинейка!$AI$3:$AI$3000,C171,Однолинейка!$A$3:$A$3000,Щит_спец)),IF(A171="Клемма",IF(C171="","",IF(C171=$S$7,SUMIFS(Однолинейка!$BW$3:$BW$3000,Однолинейка!$A$3:$A$3000,Щит_спец),IF(C171=$S$8,SUMIFS(Однолинейка!$BX$3:$BX$3000,Однолинейка!$A$3:$A$3000,Щит_спец),""))),""))))</f>
        <v/>
      </c>
      <c r="O171" s="74"/>
      <c r="P171" s="38" t="str">
        <f t="shared" si="18"/>
        <v/>
      </c>
      <c r="U171" s="38" t="str">
        <f t="shared" si="19"/>
        <v/>
      </c>
      <c r="V171" s="38" t="str">
        <f t="shared" si="20"/>
        <v/>
      </c>
      <c r="W171" s="38" t="str">
        <f>IF(AND(U171&lt;&gt;"",OR($S$4="(все)",B171=$S$4),IF($S$4="(все)",COUNTIF($U$4:U171,U171),COUNTIFS($U$4:U171,U171,$B$4:B171,B171))=1),MAX($W$3:W170)+1,"")</f>
        <v/>
      </c>
      <c r="X171" s="38" t="str">
        <f t="shared" si="21"/>
        <v/>
      </c>
      <c r="Y171" s="38" t="str">
        <f>IF(AND(A171="Аппарат",C171&lt;&gt;"",OR($S$5="(все)",B171=$S$5)),MAX($Y$3:Y170)+1,"")</f>
        <v/>
      </c>
      <c r="Z171" s="38" t="str">
        <f t="shared" si="22"/>
        <v/>
      </c>
      <c r="AA171" s="38" t="str">
        <f>IF(AND(A171="Модуль",C171&lt;&gt;"",OR($S$6="(все)",B171=$S$6)),MAX($AA$3:AA170)+1,"")</f>
        <v/>
      </c>
      <c r="AB171" s="38" t="str">
        <f t="shared" si="23"/>
        <v/>
      </c>
      <c r="AC171" s="38" t="str">
        <f>IF(OR(B171="",COUNTIF($B$4:B171,B171)&gt;1),"",MAX($AC$3:AC170)+1)</f>
        <v/>
      </c>
      <c r="AD171" s="38" t="str">
        <f t="shared" si="24"/>
        <v/>
      </c>
      <c r="AE171" s="38" t="str">
        <f t="shared" si="25"/>
        <v/>
      </c>
      <c r="AF171" s="38" t="str">
        <f t="shared" si="26"/>
        <v/>
      </c>
    </row>
    <row r="172" spans="1:32" x14ac:dyDescent="0.3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38" t="str">
        <f>IF(OR(A172="Автомат",A172="Дифавтомат"),IF(W172="","",COUNTIFS(Однолинейка!$H$3:$H$3000,U172,Однолинейка!$A$3:$A$3000,Щит_спец)),IF(A172="Аппарат",IF(C172="","",COUNTIFS(Однолинейка!$I$3:$I$3000,C172,Однолинейка!$A$3:$A$3000,Щит_спец)+COUNTIFS(Однолинейка!$J$3:$J$3000,C172,Однолинейка!$A$3:$A$3000,Щит_спец)+COUNTIFS(Однолинейка!$K$3:$K$3000,C172,Однолинейка!$A$3:$A$3000,Щит_спец)),IF(A172="Модуль",IF(C172="","",COUNTIFS(Однолинейка!$AW$3:$AW$3000,"?*",Однолинейка!$AI$3:$AI$3000,C172,Однолинейка!$A$3:$A$3000,Щит_спец)),IF(A172="Клемма",IF(C172="","",IF(C172=$S$7,SUMIFS(Однолинейка!$BW$3:$BW$3000,Однолинейка!$A$3:$A$3000,Щит_спец),IF(C172=$S$8,SUMIFS(Однолинейка!$BX$3:$BX$3000,Однолинейка!$A$3:$A$3000,Щит_спец),""))),""))))</f>
        <v/>
      </c>
      <c r="O172" s="74"/>
      <c r="P172" s="38" t="str">
        <f t="shared" si="18"/>
        <v/>
      </c>
      <c r="U172" s="38" t="str">
        <f t="shared" si="19"/>
        <v/>
      </c>
      <c r="V172" s="38" t="str">
        <f t="shared" si="20"/>
        <v/>
      </c>
      <c r="W172" s="38" t="str">
        <f>IF(AND(U172&lt;&gt;"",OR($S$4="(все)",B172=$S$4),IF($S$4="(все)",COUNTIF($U$4:U172,U172),COUNTIFS($U$4:U172,U172,$B$4:B172,B172))=1),MAX($W$3:W171)+1,"")</f>
        <v/>
      </c>
      <c r="X172" s="38" t="str">
        <f t="shared" si="21"/>
        <v/>
      </c>
      <c r="Y172" s="38" t="str">
        <f>IF(AND(A172="Аппарат",C172&lt;&gt;"",OR($S$5="(все)",B172=$S$5)),MAX($Y$3:Y171)+1,"")</f>
        <v/>
      </c>
      <c r="Z172" s="38" t="str">
        <f t="shared" si="22"/>
        <v/>
      </c>
      <c r="AA172" s="38" t="str">
        <f>IF(AND(A172="Модуль",C172&lt;&gt;"",OR($S$6="(все)",B172=$S$6)),MAX($AA$3:AA171)+1,"")</f>
        <v/>
      </c>
      <c r="AB172" s="38" t="str">
        <f t="shared" si="23"/>
        <v/>
      </c>
      <c r="AC172" s="38" t="str">
        <f>IF(OR(B172="",COUNTIF($B$4:B172,B172)&gt;1),"",MAX($AC$3:AC171)+1)</f>
        <v/>
      </c>
      <c r="AD172" s="38" t="str">
        <f t="shared" si="24"/>
        <v/>
      </c>
      <c r="AE172" s="38" t="str">
        <f t="shared" si="25"/>
        <v/>
      </c>
      <c r="AF172" s="38" t="str">
        <f t="shared" si="26"/>
        <v/>
      </c>
    </row>
    <row r="173" spans="1:32" x14ac:dyDescent="0.3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38" t="str">
        <f>IF(OR(A173="Автомат",A173="Дифавтомат"),IF(W173="","",COUNTIFS(Однолинейка!$H$3:$H$3000,U173,Однолинейка!$A$3:$A$3000,Щит_спец)),IF(A173="Аппарат",IF(C173="","",COUNTIFS(Однолинейка!$I$3:$I$3000,C173,Однолинейка!$A$3:$A$3000,Щит_спец)+COUNTIFS(Однолинейка!$J$3:$J$3000,C173,Однолинейка!$A$3:$A$3000,Щит_спец)+COUNTIFS(Однолинейка!$K$3:$K$3000,C173,Однолинейка!$A$3:$A$3000,Щит_спец)),IF(A173="Модуль",IF(C173="","",COUNTIFS(Однолинейка!$AW$3:$AW$3000,"?*",Однолинейка!$AI$3:$AI$3000,C173,Однолинейка!$A$3:$A$3000,Щит_спец)),IF(A173="Клемма",IF(C173="","",IF(C173=$S$7,SUMIFS(Однолинейка!$BW$3:$BW$3000,Однолинейка!$A$3:$A$3000,Щит_спец),IF(C173=$S$8,SUMIFS(Однолинейка!$BX$3:$BX$3000,Однолинейка!$A$3:$A$3000,Щит_спец),""))),""))))</f>
        <v/>
      </c>
      <c r="O173" s="74"/>
      <c r="P173" s="38" t="str">
        <f t="shared" si="18"/>
        <v/>
      </c>
      <c r="U173" s="38" t="str">
        <f t="shared" si="19"/>
        <v/>
      </c>
      <c r="V173" s="38" t="str">
        <f t="shared" si="20"/>
        <v/>
      </c>
      <c r="W173" s="38" t="str">
        <f>IF(AND(U173&lt;&gt;"",OR($S$4="(все)",B173=$S$4),IF($S$4="(все)",COUNTIF($U$4:U173,U173),COUNTIFS($U$4:U173,U173,$B$4:B173,B173))=1),MAX($W$3:W172)+1,"")</f>
        <v/>
      </c>
      <c r="X173" s="38" t="str">
        <f t="shared" si="21"/>
        <v/>
      </c>
      <c r="Y173" s="38" t="str">
        <f>IF(AND(A173="Аппарат",C173&lt;&gt;"",OR($S$5="(все)",B173=$S$5)),MAX($Y$3:Y172)+1,"")</f>
        <v/>
      </c>
      <c r="Z173" s="38" t="str">
        <f t="shared" si="22"/>
        <v/>
      </c>
      <c r="AA173" s="38" t="str">
        <f>IF(AND(A173="Модуль",C173&lt;&gt;"",OR($S$6="(все)",B173=$S$6)),MAX($AA$3:AA172)+1,"")</f>
        <v/>
      </c>
      <c r="AB173" s="38" t="str">
        <f t="shared" si="23"/>
        <v/>
      </c>
      <c r="AC173" s="38" t="str">
        <f>IF(OR(B173="",COUNTIF($B$4:B173,B173)&gt;1),"",MAX($AC$3:AC172)+1)</f>
        <v/>
      </c>
      <c r="AD173" s="38" t="str">
        <f t="shared" si="24"/>
        <v/>
      </c>
      <c r="AE173" s="38" t="str">
        <f t="shared" si="25"/>
        <v/>
      </c>
      <c r="AF173" s="38" t="str">
        <f t="shared" si="26"/>
        <v/>
      </c>
    </row>
    <row r="174" spans="1:32" x14ac:dyDescent="0.3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38" t="str">
        <f>IF(OR(A174="Автомат",A174="Дифавтомат"),IF(W174="","",COUNTIFS(Однолинейка!$H$3:$H$3000,U174,Однолинейка!$A$3:$A$3000,Щит_спец)),IF(A174="Аппарат",IF(C174="","",COUNTIFS(Однолинейка!$I$3:$I$3000,C174,Однолинейка!$A$3:$A$3000,Щит_спец)+COUNTIFS(Однолинейка!$J$3:$J$3000,C174,Однолинейка!$A$3:$A$3000,Щит_спец)+COUNTIFS(Однолинейка!$K$3:$K$3000,C174,Однолинейка!$A$3:$A$3000,Щит_спец)),IF(A174="Модуль",IF(C174="","",COUNTIFS(Однолинейка!$AW$3:$AW$3000,"?*",Однолинейка!$AI$3:$AI$3000,C174,Однолинейка!$A$3:$A$3000,Щит_спец)),IF(A174="Клемма",IF(C174="","",IF(C174=$S$7,SUMIFS(Однолинейка!$BW$3:$BW$3000,Однолинейка!$A$3:$A$3000,Щит_спец),IF(C174=$S$8,SUMIFS(Однолинейка!$BX$3:$BX$3000,Однолинейка!$A$3:$A$3000,Щит_спец),""))),""))))</f>
        <v/>
      </c>
      <c r="O174" s="74"/>
      <c r="P174" s="38" t="str">
        <f t="shared" si="18"/>
        <v/>
      </c>
      <c r="U174" s="38" t="str">
        <f t="shared" si="19"/>
        <v/>
      </c>
      <c r="V174" s="38" t="str">
        <f t="shared" si="20"/>
        <v/>
      </c>
      <c r="W174" s="38" t="str">
        <f>IF(AND(U174&lt;&gt;"",OR($S$4="(все)",B174=$S$4),IF($S$4="(все)",COUNTIF($U$4:U174,U174),COUNTIFS($U$4:U174,U174,$B$4:B174,B174))=1),MAX($W$3:W173)+1,"")</f>
        <v/>
      </c>
      <c r="X174" s="38" t="str">
        <f t="shared" si="21"/>
        <v/>
      </c>
      <c r="Y174" s="38" t="str">
        <f>IF(AND(A174="Аппарат",C174&lt;&gt;"",OR($S$5="(все)",B174=$S$5)),MAX($Y$3:Y173)+1,"")</f>
        <v/>
      </c>
      <c r="Z174" s="38" t="str">
        <f t="shared" si="22"/>
        <v/>
      </c>
      <c r="AA174" s="38" t="str">
        <f>IF(AND(A174="Модуль",C174&lt;&gt;"",OR($S$6="(все)",B174=$S$6)),MAX($AA$3:AA173)+1,"")</f>
        <v/>
      </c>
      <c r="AB174" s="38" t="str">
        <f t="shared" si="23"/>
        <v/>
      </c>
      <c r="AC174" s="38" t="str">
        <f>IF(OR(B174="",COUNTIF($B$4:B174,B174)&gt;1),"",MAX($AC$3:AC173)+1)</f>
        <v/>
      </c>
      <c r="AD174" s="38" t="str">
        <f t="shared" si="24"/>
        <v/>
      </c>
      <c r="AE174" s="38" t="str">
        <f t="shared" si="25"/>
        <v/>
      </c>
      <c r="AF174" s="38" t="str">
        <f t="shared" si="26"/>
        <v/>
      </c>
    </row>
    <row r="175" spans="1:32" x14ac:dyDescent="0.3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38" t="str">
        <f>IF(OR(A175="Автомат",A175="Дифавтомат"),IF(W175="","",COUNTIFS(Однолинейка!$H$3:$H$3000,U175,Однолинейка!$A$3:$A$3000,Щит_спец)),IF(A175="Аппарат",IF(C175="","",COUNTIFS(Однолинейка!$I$3:$I$3000,C175,Однолинейка!$A$3:$A$3000,Щит_спец)+COUNTIFS(Однолинейка!$J$3:$J$3000,C175,Однолинейка!$A$3:$A$3000,Щит_спец)+COUNTIFS(Однолинейка!$K$3:$K$3000,C175,Однолинейка!$A$3:$A$3000,Щит_спец)),IF(A175="Модуль",IF(C175="","",COUNTIFS(Однолинейка!$AW$3:$AW$3000,"?*",Однолинейка!$AI$3:$AI$3000,C175,Однолинейка!$A$3:$A$3000,Щит_спец)),IF(A175="Клемма",IF(C175="","",IF(C175=$S$7,SUMIFS(Однолинейка!$BW$3:$BW$3000,Однолинейка!$A$3:$A$3000,Щит_спец),IF(C175=$S$8,SUMIFS(Однолинейка!$BX$3:$BX$3000,Однолинейка!$A$3:$A$3000,Щит_спец),""))),""))))</f>
        <v/>
      </c>
      <c r="O175" s="74"/>
      <c r="P175" s="38" t="str">
        <f t="shared" si="18"/>
        <v/>
      </c>
      <c r="U175" s="38" t="str">
        <f t="shared" si="19"/>
        <v/>
      </c>
      <c r="V175" s="38" t="str">
        <f t="shared" si="20"/>
        <v/>
      </c>
      <c r="W175" s="38" t="str">
        <f>IF(AND(U175&lt;&gt;"",OR($S$4="(все)",B175=$S$4),IF($S$4="(все)",COUNTIF($U$4:U175,U175),COUNTIFS($U$4:U175,U175,$B$4:B175,B175))=1),MAX($W$3:W174)+1,"")</f>
        <v/>
      </c>
      <c r="X175" s="38" t="str">
        <f t="shared" si="21"/>
        <v/>
      </c>
      <c r="Y175" s="38" t="str">
        <f>IF(AND(A175="Аппарат",C175&lt;&gt;"",OR($S$5="(все)",B175=$S$5)),MAX($Y$3:Y174)+1,"")</f>
        <v/>
      </c>
      <c r="Z175" s="38" t="str">
        <f t="shared" si="22"/>
        <v/>
      </c>
      <c r="AA175" s="38" t="str">
        <f>IF(AND(A175="Модуль",C175&lt;&gt;"",OR($S$6="(все)",B175=$S$6)),MAX($AA$3:AA174)+1,"")</f>
        <v/>
      </c>
      <c r="AB175" s="38" t="str">
        <f t="shared" si="23"/>
        <v/>
      </c>
      <c r="AC175" s="38" t="str">
        <f>IF(OR(B175="",COUNTIF($B$4:B175,B175)&gt;1),"",MAX($AC$3:AC174)+1)</f>
        <v/>
      </c>
      <c r="AD175" s="38" t="str">
        <f t="shared" si="24"/>
        <v/>
      </c>
      <c r="AE175" s="38" t="str">
        <f t="shared" si="25"/>
        <v/>
      </c>
      <c r="AF175" s="38" t="str">
        <f t="shared" si="26"/>
        <v/>
      </c>
    </row>
    <row r="176" spans="1:32" x14ac:dyDescent="0.3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38" t="str">
        <f>IF(OR(A176="Автомат",A176="Дифавтомат"),IF(W176="","",COUNTIFS(Однолинейка!$H$3:$H$3000,U176,Однолинейка!$A$3:$A$3000,Щит_спец)),IF(A176="Аппарат",IF(C176="","",COUNTIFS(Однолинейка!$I$3:$I$3000,C176,Однолинейка!$A$3:$A$3000,Щит_спец)+COUNTIFS(Однолинейка!$J$3:$J$3000,C176,Однолинейка!$A$3:$A$3000,Щит_спец)+COUNTIFS(Однолинейка!$K$3:$K$3000,C176,Однолинейка!$A$3:$A$3000,Щит_спец)),IF(A176="Модуль",IF(C176="","",COUNTIFS(Однолинейка!$AW$3:$AW$3000,"?*",Однолинейка!$AI$3:$AI$3000,C176,Однолинейка!$A$3:$A$3000,Щит_спец)),IF(A176="Клемма",IF(C176="","",IF(C176=$S$7,SUMIFS(Однолинейка!$BW$3:$BW$3000,Однолинейка!$A$3:$A$3000,Щит_спец),IF(C176=$S$8,SUMIFS(Однолинейка!$BX$3:$BX$3000,Однолинейка!$A$3:$A$3000,Щит_спец),""))),""))))</f>
        <v/>
      </c>
      <c r="O176" s="74"/>
      <c r="P176" s="38" t="str">
        <f t="shared" si="18"/>
        <v/>
      </c>
      <c r="U176" s="38" t="str">
        <f t="shared" si="19"/>
        <v/>
      </c>
      <c r="V176" s="38" t="str">
        <f t="shared" si="20"/>
        <v/>
      </c>
      <c r="W176" s="38" t="str">
        <f>IF(AND(U176&lt;&gt;"",OR($S$4="(все)",B176=$S$4),IF($S$4="(все)",COUNTIF($U$4:U176,U176),COUNTIFS($U$4:U176,U176,$B$4:B176,B176))=1),MAX($W$3:W175)+1,"")</f>
        <v/>
      </c>
      <c r="X176" s="38" t="str">
        <f t="shared" si="21"/>
        <v/>
      </c>
      <c r="Y176" s="38" t="str">
        <f>IF(AND(A176="Аппарат",C176&lt;&gt;"",OR($S$5="(все)",B176=$S$5)),MAX($Y$3:Y175)+1,"")</f>
        <v/>
      </c>
      <c r="Z176" s="38" t="str">
        <f t="shared" si="22"/>
        <v/>
      </c>
      <c r="AA176" s="38" t="str">
        <f>IF(AND(A176="Модуль",C176&lt;&gt;"",OR($S$6="(все)",B176=$S$6)),MAX($AA$3:AA175)+1,"")</f>
        <v/>
      </c>
      <c r="AB176" s="38" t="str">
        <f t="shared" si="23"/>
        <v/>
      </c>
      <c r="AC176" s="38" t="str">
        <f>IF(OR(B176="",COUNTIF($B$4:B176,B176)&gt;1),"",MAX($AC$3:AC175)+1)</f>
        <v/>
      </c>
      <c r="AD176" s="38" t="str">
        <f t="shared" si="24"/>
        <v/>
      </c>
      <c r="AE176" s="38" t="str">
        <f t="shared" si="25"/>
        <v/>
      </c>
      <c r="AF176" s="38" t="str">
        <f t="shared" si="26"/>
        <v/>
      </c>
    </row>
    <row r="177" spans="1:32" x14ac:dyDescent="0.3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38" t="str">
        <f>IF(OR(A177="Автомат",A177="Дифавтомат"),IF(W177="","",COUNTIFS(Однолинейка!$H$3:$H$3000,U177,Однолинейка!$A$3:$A$3000,Щит_спец)),IF(A177="Аппарат",IF(C177="","",COUNTIFS(Однолинейка!$I$3:$I$3000,C177,Однолинейка!$A$3:$A$3000,Щит_спец)+COUNTIFS(Однолинейка!$J$3:$J$3000,C177,Однолинейка!$A$3:$A$3000,Щит_спец)+COUNTIFS(Однолинейка!$K$3:$K$3000,C177,Однолинейка!$A$3:$A$3000,Щит_спец)),IF(A177="Модуль",IF(C177="","",COUNTIFS(Однолинейка!$AW$3:$AW$3000,"?*",Однолинейка!$AI$3:$AI$3000,C177,Однолинейка!$A$3:$A$3000,Щит_спец)),IF(A177="Клемма",IF(C177="","",IF(C177=$S$7,SUMIFS(Однолинейка!$BW$3:$BW$3000,Однолинейка!$A$3:$A$3000,Щит_спец),IF(C177=$S$8,SUMIFS(Однолинейка!$BX$3:$BX$3000,Однолинейка!$A$3:$A$3000,Щит_спец),""))),""))))</f>
        <v/>
      </c>
      <c r="O177" s="74"/>
      <c r="P177" s="38" t="str">
        <f t="shared" si="18"/>
        <v/>
      </c>
      <c r="U177" s="38" t="str">
        <f t="shared" si="19"/>
        <v/>
      </c>
      <c r="V177" s="38" t="str">
        <f t="shared" si="20"/>
        <v/>
      </c>
      <c r="W177" s="38" t="str">
        <f>IF(AND(U177&lt;&gt;"",OR($S$4="(все)",B177=$S$4),IF($S$4="(все)",COUNTIF($U$4:U177,U177),COUNTIFS($U$4:U177,U177,$B$4:B177,B177))=1),MAX($W$3:W176)+1,"")</f>
        <v/>
      </c>
      <c r="X177" s="38" t="str">
        <f t="shared" si="21"/>
        <v/>
      </c>
      <c r="Y177" s="38" t="str">
        <f>IF(AND(A177="Аппарат",C177&lt;&gt;"",OR($S$5="(все)",B177=$S$5)),MAX($Y$3:Y176)+1,"")</f>
        <v/>
      </c>
      <c r="Z177" s="38" t="str">
        <f t="shared" si="22"/>
        <v/>
      </c>
      <c r="AA177" s="38" t="str">
        <f>IF(AND(A177="Модуль",C177&lt;&gt;"",OR($S$6="(все)",B177=$S$6)),MAX($AA$3:AA176)+1,"")</f>
        <v/>
      </c>
      <c r="AB177" s="38" t="str">
        <f t="shared" si="23"/>
        <v/>
      </c>
      <c r="AC177" s="38" t="str">
        <f>IF(OR(B177="",COUNTIF($B$4:B177,B177)&gt;1),"",MAX($AC$3:AC176)+1)</f>
        <v/>
      </c>
      <c r="AD177" s="38" t="str">
        <f t="shared" si="24"/>
        <v/>
      </c>
      <c r="AE177" s="38" t="str">
        <f t="shared" si="25"/>
        <v/>
      </c>
      <c r="AF177" s="38" t="str">
        <f t="shared" si="26"/>
        <v/>
      </c>
    </row>
    <row r="178" spans="1:32" x14ac:dyDescent="0.3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38" t="str">
        <f>IF(OR(A178="Автомат",A178="Дифавтомат"),IF(W178="","",COUNTIFS(Однолинейка!$H$3:$H$3000,U178,Однолинейка!$A$3:$A$3000,Щит_спец)),IF(A178="Аппарат",IF(C178="","",COUNTIFS(Однолинейка!$I$3:$I$3000,C178,Однолинейка!$A$3:$A$3000,Щит_спец)+COUNTIFS(Однолинейка!$J$3:$J$3000,C178,Однолинейка!$A$3:$A$3000,Щит_спец)+COUNTIFS(Однолинейка!$K$3:$K$3000,C178,Однолинейка!$A$3:$A$3000,Щит_спец)),IF(A178="Модуль",IF(C178="","",COUNTIFS(Однолинейка!$AW$3:$AW$3000,"?*",Однолинейка!$AI$3:$AI$3000,C178,Однолинейка!$A$3:$A$3000,Щит_спец)),IF(A178="Клемма",IF(C178="","",IF(C178=$S$7,SUMIFS(Однолинейка!$BW$3:$BW$3000,Однолинейка!$A$3:$A$3000,Щит_спец),IF(C178=$S$8,SUMIFS(Однолинейка!$BX$3:$BX$3000,Однолинейка!$A$3:$A$3000,Щит_спец),""))),""))))</f>
        <v/>
      </c>
      <c r="O178" s="74"/>
      <c r="P178" s="38" t="str">
        <f t="shared" si="18"/>
        <v/>
      </c>
      <c r="U178" s="38" t="str">
        <f t="shared" si="19"/>
        <v/>
      </c>
      <c r="V178" s="38" t="str">
        <f t="shared" si="20"/>
        <v/>
      </c>
      <c r="W178" s="38" t="str">
        <f>IF(AND(U178&lt;&gt;"",OR($S$4="(все)",B178=$S$4),IF($S$4="(все)",COUNTIF($U$4:U178,U178),COUNTIFS($U$4:U178,U178,$B$4:B178,B178))=1),MAX($W$3:W177)+1,"")</f>
        <v/>
      </c>
      <c r="X178" s="38" t="str">
        <f t="shared" si="21"/>
        <v/>
      </c>
      <c r="Y178" s="38" t="str">
        <f>IF(AND(A178="Аппарат",C178&lt;&gt;"",OR($S$5="(все)",B178=$S$5)),MAX($Y$3:Y177)+1,"")</f>
        <v/>
      </c>
      <c r="Z178" s="38" t="str">
        <f t="shared" si="22"/>
        <v/>
      </c>
      <c r="AA178" s="38" t="str">
        <f>IF(AND(A178="Модуль",C178&lt;&gt;"",OR($S$6="(все)",B178=$S$6)),MAX($AA$3:AA177)+1,"")</f>
        <v/>
      </c>
      <c r="AB178" s="38" t="str">
        <f t="shared" si="23"/>
        <v/>
      </c>
      <c r="AC178" s="38" t="str">
        <f>IF(OR(B178="",COUNTIF($B$4:B178,B178)&gt;1),"",MAX($AC$3:AC177)+1)</f>
        <v/>
      </c>
      <c r="AD178" s="38" t="str">
        <f t="shared" si="24"/>
        <v/>
      </c>
      <c r="AE178" s="38" t="str">
        <f t="shared" si="25"/>
        <v/>
      </c>
      <c r="AF178" s="38" t="str">
        <f t="shared" si="26"/>
        <v/>
      </c>
    </row>
    <row r="179" spans="1:32" x14ac:dyDescent="0.3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38" t="str">
        <f>IF(OR(A179="Автомат",A179="Дифавтомат"),IF(W179="","",COUNTIFS(Однолинейка!$H$3:$H$3000,U179,Однолинейка!$A$3:$A$3000,Щит_спец)),IF(A179="Аппарат",IF(C179="","",COUNTIFS(Однолинейка!$I$3:$I$3000,C179,Однолинейка!$A$3:$A$3000,Щит_спец)+COUNTIFS(Однолинейка!$J$3:$J$3000,C179,Однолинейка!$A$3:$A$3000,Щит_спец)+COUNTIFS(Однолинейка!$K$3:$K$3000,C179,Однолинейка!$A$3:$A$3000,Щит_спец)),IF(A179="Модуль",IF(C179="","",COUNTIFS(Однолинейка!$AW$3:$AW$3000,"?*",Однолинейка!$AI$3:$AI$3000,C179,Однолинейка!$A$3:$A$3000,Щит_спец)),IF(A179="Клемма",IF(C179="","",IF(C179=$S$7,SUMIFS(Однолинейка!$BW$3:$BW$3000,Однолинейка!$A$3:$A$3000,Щит_спец),IF(C179=$S$8,SUMIFS(Однолинейка!$BX$3:$BX$3000,Однолинейка!$A$3:$A$3000,Щит_спец),""))),""))))</f>
        <v/>
      </c>
      <c r="O179" s="74"/>
      <c r="P179" s="38" t="str">
        <f t="shared" si="18"/>
        <v/>
      </c>
      <c r="U179" s="38" t="str">
        <f t="shared" si="19"/>
        <v/>
      </c>
      <c r="V179" s="38" t="str">
        <f t="shared" si="20"/>
        <v/>
      </c>
      <c r="W179" s="38" t="str">
        <f>IF(AND(U179&lt;&gt;"",OR($S$4="(все)",B179=$S$4),IF($S$4="(все)",COUNTIF($U$4:U179,U179),COUNTIFS($U$4:U179,U179,$B$4:B179,B179))=1),MAX($W$3:W178)+1,"")</f>
        <v/>
      </c>
      <c r="X179" s="38" t="str">
        <f t="shared" si="21"/>
        <v/>
      </c>
      <c r="Y179" s="38" t="str">
        <f>IF(AND(A179="Аппарат",C179&lt;&gt;"",OR($S$5="(все)",B179=$S$5)),MAX($Y$3:Y178)+1,"")</f>
        <v/>
      </c>
      <c r="Z179" s="38" t="str">
        <f t="shared" si="22"/>
        <v/>
      </c>
      <c r="AA179" s="38" t="str">
        <f>IF(AND(A179="Модуль",C179&lt;&gt;"",OR($S$6="(все)",B179=$S$6)),MAX($AA$3:AA178)+1,"")</f>
        <v/>
      </c>
      <c r="AB179" s="38" t="str">
        <f t="shared" si="23"/>
        <v/>
      </c>
      <c r="AC179" s="38" t="str">
        <f>IF(OR(B179="",COUNTIF($B$4:B179,B179)&gt;1),"",MAX($AC$3:AC178)+1)</f>
        <v/>
      </c>
      <c r="AD179" s="38" t="str">
        <f t="shared" si="24"/>
        <v/>
      </c>
      <c r="AE179" s="38" t="str">
        <f t="shared" si="25"/>
        <v/>
      </c>
      <c r="AF179" s="38" t="str">
        <f t="shared" si="26"/>
        <v/>
      </c>
    </row>
    <row r="180" spans="1:32" x14ac:dyDescent="0.3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38" t="str">
        <f>IF(OR(A180="Автомат",A180="Дифавтомат"),IF(W180="","",COUNTIFS(Однолинейка!$H$3:$H$3000,U180,Однолинейка!$A$3:$A$3000,Щит_спец)),IF(A180="Аппарат",IF(C180="","",COUNTIFS(Однолинейка!$I$3:$I$3000,C180,Однолинейка!$A$3:$A$3000,Щит_спец)+COUNTIFS(Однолинейка!$J$3:$J$3000,C180,Однолинейка!$A$3:$A$3000,Щит_спец)+COUNTIFS(Однолинейка!$K$3:$K$3000,C180,Однолинейка!$A$3:$A$3000,Щит_спец)),IF(A180="Модуль",IF(C180="","",COUNTIFS(Однолинейка!$AW$3:$AW$3000,"?*",Однолинейка!$AI$3:$AI$3000,C180,Однолинейка!$A$3:$A$3000,Щит_спец)),IF(A180="Клемма",IF(C180="","",IF(C180=$S$7,SUMIFS(Однолинейка!$BW$3:$BW$3000,Однолинейка!$A$3:$A$3000,Щит_спец),IF(C180=$S$8,SUMIFS(Однолинейка!$BX$3:$BX$3000,Однолинейка!$A$3:$A$3000,Щит_спец),""))),""))))</f>
        <v/>
      </c>
      <c r="O180" s="74"/>
      <c r="P180" s="38" t="str">
        <f t="shared" si="18"/>
        <v/>
      </c>
      <c r="U180" s="38" t="str">
        <f t="shared" si="19"/>
        <v/>
      </c>
      <c r="V180" s="38" t="str">
        <f t="shared" si="20"/>
        <v/>
      </c>
      <c r="W180" s="38" t="str">
        <f>IF(AND(U180&lt;&gt;"",OR($S$4="(все)",B180=$S$4),IF($S$4="(все)",COUNTIF($U$4:U180,U180),COUNTIFS($U$4:U180,U180,$B$4:B180,B180))=1),MAX($W$3:W179)+1,"")</f>
        <v/>
      </c>
      <c r="X180" s="38" t="str">
        <f t="shared" si="21"/>
        <v/>
      </c>
      <c r="Y180" s="38" t="str">
        <f>IF(AND(A180="Аппарат",C180&lt;&gt;"",OR($S$5="(все)",B180=$S$5)),MAX($Y$3:Y179)+1,"")</f>
        <v/>
      </c>
      <c r="Z180" s="38" t="str">
        <f t="shared" si="22"/>
        <v/>
      </c>
      <c r="AA180" s="38" t="str">
        <f>IF(AND(A180="Модуль",C180&lt;&gt;"",OR($S$6="(все)",B180=$S$6)),MAX($AA$3:AA179)+1,"")</f>
        <v/>
      </c>
      <c r="AB180" s="38" t="str">
        <f t="shared" si="23"/>
        <v/>
      </c>
      <c r="AC180" s="38" t="str">
        <f>IF(OR(B180="",COUNTIF($B$4:B180,B180)&gt;1),"",MAX($AC$3:AC179)+1)</f>
        <v/>
      </c>
      <c r="AD180" s="38" t="str">
        <f t="shared" si="24"/>
        <v/>
      </c>
      <c r="AE180" s="38" t="str">
        <f t="shared" si="25"/>
        <v/>
      </c>
      <c r="AF180" s="38" t="str">
        <f t="shared" si="26"/>
        <v/>
      </c>
    </row>
    <row r="181" spans="1:32" x14ac:dyDescent="0.3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38" t="str">
        <f>IF(OR(A181="Автомат",A181="Дифавтомат"),IF(W181="","",COUNTIFS(Однолинейка!$H$3:$H$3000,U181,Однолинейка!$A$3:$A$3000,Щит_спец)),IF(A181="Аппарат",IF(C181="","",COUNTIFS(Однолинейка!$I$3:$I$3000,C181,Однолинейка!$A$3:$A$3000,Щит_спец)+COUNTIFS(Однолинейка!$J$3:$J$3000,C181,Однолинейка!$A$3:$A$3000,Щит_спец)+COUNTIFS(Однолинейка!$K$3:$K$3000,C181,Однолинейка!$A$3:$A$3000,Щит_спец)),IF(A181="Модуль",IF(C181="","",COUNTIFS(Однолинейка!$AW$3:$AW$3000,"?*",Однолинейка!$AI$3:$AI$3000,C181,Однолинейка!$A$3:$A$3000,Щит_спец)),IF(A181="Клемма",IF(C181="","",IF(C181=$S$7,SUMIFS(Однолинейка!$BW$3:$BW$3000,Однолинейка!$A$3:$A$3000,Щит_спец),IF(C181=$S$8,SUMIFS(Однолинейка!$BX$3:$BX$3000,Однолинейка!$A$3:$A$3000,Щит_спец),""))),""))))</f>
        <v/>
      </c>
      <c r="O181" s="74"/>
      <c r="P181" s="38" t="str">
        <f t="shared" si="18"/>
        <v/>
      </c>
      <c r="U181" s="38" t="str">
        <f t="shared" si="19"/>
        <v/>
      </c>
      <c r="V181" s="38" t="str">
        <f t="shared" si="20"/>
        <v/>
      </c>
      <c r="W181" s="38" t="str">
        <f>IF(AND(U181&lt;&gt;"",OR($S$4="(все)",B181=$S$4),IF($S$4="(все)",COUNTIF($U$4:U181,U181),COUNTIFS($U$4:U181,U181,$B$4:B181,B181))=1),MAX($W$3:W180)+1,"")</f>
        <v/>
      </c>
      <c r="X181" s="38" t="str">
        <f t="shared" si="21"/>
        <v/>
      </c>
      <c r="Y181" s="38" t="str">
        <f>IF(AND(A181="Аппарат",C181&lt;&gt;"",OR($S$5="(все)",B181=$S$5)),MAX($Y$3:Y180)+1,"")</f>
        <v/>
      </c>
      <c r="Z181" s="38" t="str">
        <f t="shared" si="22"/>
        <v/>
      </c>
      <c r="AA181" s="38" t="str">
        <f>IF(AND(A181="Модуль",C181&lt;&gt;"",OR($S$6="(все)",B181=$S$6)),MAX($AA$3:AA180)+1,"")</f>
        <v/>
      </c>
      <c r="AB181" s="38" t="str">
        <f t="shared" si="23"/>
        <v/>
      </c>
      <c r="AC181" s="38" t="str">
        <f>IF(OR(B181="",COUNTIF($B$4:B181,B181)&gt;1),"",MAX($AC$3:AC180)+1)</f>
        <v/>
      </c>
      <c r="AD181" s="38" t="str">
        <f t="shared" si="24"/>
        <v/>
      </c>
      <c r="AE181" s="38" t="str">
        <f t="shared" si="25"/>
        <v/>
      </c>
      <c r="AF181" s="38" t="str">
        <f t="shared" si="26"/>
        <v/>
      </c>
    </row>
    <row r="182" spans="1:32" x14ac:dyDescent="0.3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38" t="str">
        <f>IF(OR(A182="Автомат",A182="Дифавтомат"),IF(W182="","",COUNTIFS(Однолинейка!$H$3:$H$3000,U182,Однолинейка!$A$3:$A$3000,Щит_спец)),IF(A182="Аппарат",IF(C182="","",COUNTIFS(Однолинейка!$I$3:$I$3000,C182,Однолинейка!$A$3:$A$3000,Щит_спец)+COUNTIFS(Однолинейка!$J$3:$J$3000,C182,Однолинейка!$A$3:$A$3000,Щит_спец)+COUNTIFS(Однолинейка!$K$3:$K$3000,C182,Однолинейка!$A$3:$A$3000,Щит_спец)),IF(A182="Модуль",IF(C182="","",COUNTIFS(Однолинейка!$AW$3:$AW$3000,"?*",Однолинейка!$AI$3:$AI$3000,C182,Однолинейка!$A$3:$A$3000,Щит_спец)),IF(A182="Клемма",IF(C182="","",IF(C182=$S$7,SUMIFS(Однолинейка!$BW$3:$BW$3000,Однолинейка!$A$3:$A$3000,Щит_спец),IF(C182=$S$8,SUMIFS(Однолинейка!$BX$3:$BX$3000,Однолинейка!$A$3:$A$3000,Щит_спец),""))),""))))</f>
        <v/>
      </c>
      <c r="O182" s="74"/>
      <c r="P182" s="38" t="str">
        <f t="shared" si="18"/>
        <v/>
      </c>
      <c r="U182" s="38" t="str">
        <f t="shared" si="19"/>
        <v/>
      </c>
      <c r="V182" s="38" t="str">
        <f t="shared" si="20"/>
        <v/>
      </c>
      <c r="W182" s="38" t="str">
        <f>IF(AND(U182&lt;&gt;"",OR($S$4="(все)",B182=$S$4),IF($S$4="(все)",COUNTIF($U$4:U182,U182),COUNTIFS($U$4:U182,U182,$B$4:B182,B182))=1),MAX($W$3:W181)+1,"")</f>
        <v/>
      </c>
      <c r="X182" s="38" t="str">
        <f t="shared" si="21"/>
        <v/>
      </c>
      <c r="Y182" s="38" t="str">
        <f>IF(AND(A182="Аппарат",C182&lt;&gt;"",OR($S$5="(все)",B182=$S$5)),MAX($Y$3:Y181)+1,"")</f>
        <v/>
      </c>
      <c r="Z182" s="38" t="str">
        <f t="shared" si="22"/>
        <v/>
      </c>
      <c r="AA182" s="38" t="str">
        <f>IF(AND(A182="Модуль",C182&lt;&gt;"",OR($S$6="(все)",B182=$S$6)),MAX($AA$3:AA181)+1,"")</f>
        <v/>
      </c>
      <c r="AB182" s="38" t="str">
        <f t="shared" si="23"/>
        <v/>
      </c>
      <c r="AC182" s="38" t="str">
        <f>IF(OR(B182="",COUNTIF($B$4:B182,B182)&gt;1),"",MAX($AC$3:AC181)+1)</f>
        <v/>
      </c>
      <c r="AD182" s="38" t="str">
        <f t="shared" si="24"/>
        <v/>
      </c>
      <c r="AE182" s="38" t="str">
        <f t="shared" si="25"/>
        <v/>
      </c>
      <c r="AF182" s="38" t="str">
        <f t="shared" si="26"/>
        <v/>
      </c>
    </row>
    <row r="183" spans="1:32" x14ac:dyDescent="0.3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38" t="str">
        <f>IF(OR(A183="Автомат",A183="Дифавтомат"),IF(W183="","",COUNTIFS(Однолинейка!$H$3:$H$3000,U183,Однолинейка!$A$3:$A$3000,Щит_спец)),IF(A183="Аппарат",IF(C183="","",COUNTIFS(Однолинейка!$I$3:$I$3000,C183,Однолинейка!$A$3:$A$3000,Щит_спец)+COUNTIFS(Однолинейка!$J$3:$J$3000,C183,Однолинейка!$A$3:$A$3000,Щит_спец)+COUNTIFS(Однолинейка!$K$3:$K$3000,C183,Однолинейка!$A$3:$A$3000,Щит_спец)),IF(A183="Модуль",IF(C183="","",COUNTIFS(Однолинейка!$AW$3:$AW$3000,"?*",Однолинейка!$AI$3:$AI$3000,C183,Однолинейка!$A$3:$A$3000,Щит_спец)),IF(A183="Клемма",IF(C183="","",IF(C183=$S$7,SUMIFS(Однолинейка!$BW$3:$BW$3000,Однолинейка!$A$3:$A$3000,Щит_спец),IF(C183=$S$8,SUMIFS(Однолинейка!$BX$3:$BX$3000,Однолинейка!$A$3:$A$3000,Щит_спец),""))),""))))</f>
        <v/>
      </c>
      <c r="O183" s="74"/>
      <c r="P183" s="38" t="str">
        <f t="shared" si="18"/>
        <v/>
      </c>
      <c r="U183" s="38" t="str">
        <f t="shared" si="19"/>
        <v/>
      </c>
      <c r="V183" s="38" t="str">
        <f t="shared" si="20"/>
        <v/>
      </c>
      <c r="W183" s="38" t="str">
        <f>IF(AND(U183&lt;&gt;"",OR($S$4="(все)",B183=$S$4),IF($S$4="(все)",COUNTIF($U$4:U183,U183),COUNTIFS($U$4:U183,U183,$B$4:B183,B183))=1),MAX($W$3:W182)+1,"")</f>
        <v/>
      </c>
      <c r="X183" s="38" t="str">
        <f t="shared" si="21"/>
        <v/>
      </c>
      <c r="Y183" s="38" t="str">
        <f>IF(AND(A183="Аппарат",C183&lt;&gt;"",OR($S$5="(все)",B183=$S$5)),MAX($Y$3:Y182)+1,"")</f>
        <v/>
      </c>
      <c r="Z183" s="38" t="str">
        <f t="shared" si="22"/>
        <v/>
      </c>
      <c r="AA183" s="38" t="str">
        <f>IF(AND(A183="Модуль",C183&lt;&gt;"",OR($S$6="(все)",B183=$S$6)),MAX($AA$3:AA182)+1,"")</f>
        <v/>
      </c>
      <c r="AB183" s="38" t="str">
        <f t="shared" si="23"/>
        <v/>
      </c>
      <c r="AC183" s="38" t="str">
        <f>IF(OR(B183="",COUNTIF($B$4:B183,B183)&gt;1),"",MAX($AC$3:AC182)+1)</f>
        <v/>
      </c>
      <c r="AD183" s="38" t="str">
        <f t="shared" si="24"/>
        <v/>
      </c>
      <c r="AE183" s="38" t="str">
        <f t="shared" si="25"/>
        <v/>
      </c>
      <c r="AF183" s="38" t="str">
        <f t="shared" si="26"/>
        <v/>
      </c>
    </row>
    <row r="184" spans="1:32" x14ac:dyDescent="0.3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38" t="str">
        <f>IF(OR(A184="Автомат",A184="Дифавтомат"),IF(W184="","",COUNTIFS(Однолинейка!$H$3:$H$3000,U184,Однолинейка!$A$3:$A$3000,Щит_спец)),IF(A184="Аппарат",IF(C184="","",COUNTIFS(Однолинейка!$I$3:$I$3000,C184,Однолинейка!$A$3:$A$3000,Щит_спец)+COUNTIFS(Однолинейка!$J$3:$J$3000,C184,Однолинейка!$A$3:$A$3000,Щит_спец)+COUNTIFS(Однолинейка!$K$3:$K$3000,C184,Однолинейка!$A$3:$A$3000,Щит_спец)),IF(A184="Модуль",IF(C184="","",COUNTIFS(Однолинейка!$AW$3:$AW$3000,"?*",Однолинейка!$AI$3:$AI$3000,C184,Однолинейка!$A$3:$A$3000,Щит_спец)),IF(A184="Клемма",IF(C184="","",IF(C184=$S$7,SUMIFS(Однолинейка!$BW$3:$BW$3000,Однолинейка!$A$3:$A$3000,Щит_спец),IF(C184=$S$8,SUMIFS(Однолинейка!$BX$3:$BX$3000,Однолинейка!$A$3:$A$3000,Щит_спец),""))),""))))</f>
        <v/>
      </c>
      <c r="O184" s="74"/>
      <c r="P184" s="38" t="str">
        <f t="shared" si="18"/>
        <v/>
      </c>
      <c r="U184" s="38" t="str">
        <f t="shared" si="19"/>
        <v/>
      </c>
      <c r="V184" s="38" t="str">
        <f t="shared" si="20"/>
        <v/>
      </c>
      <c r="W184" s="38" t="str">
        <f>IF(AND(U184&lt;&gt;"",OR($S$4="(все)",B184=$S$4),IF($S$4="(все)",COUNTIF($U$4:U184,U184),COUNTIFS($U$4:U184,U184,$B$4:B184,B184))=1),MAX($W$3:W183)+1,"")</f>
        <v/>
      </c>
      <c r="X184" s="38" t="str">
        <f t="shared" si="21"/>
        <v/>
      </c>
      <c r="Y184" s="38" t="str">
        <f>IF(AND(A184="Аппарат",C184&lt;&gt;"",OR($S$5="(все)",B184=$S$5)),MAX($Y$3:Y183)+1,"")</f>
        <v/>
      </c>
      <c r="Z184" s="38" t="str">
        <f t="shared" si="22"/>
        <v/>
      </c>
      <c r="AA184" s="38" t="str">
        <f>IF(AND(A184="Модуль",C184&lt;&gt;"",OR($S$6="(все)",B184=$S$6)),MAX($AA$3:AA183)+1,"")</f>
        <v/>
      </c>
      <c r="AB184" s="38" t="str">
        <f t="shared" si="23"/>
        <v/>
      </c>
      <c r="AC184" s="38" t="str">
        <f>IF(OR(B184="",COUNTIF($B$4:B184,B184)&gt;1),"",MAX($AC$3:AC183)+1)</f>
        <v/>
      </c>
      <c r="AD184" s="38" t="str">
        <f t="shared" si="24"/>
        <v/>
      </c>
      <c r="AE184" s="38" t="str">
        <f t="shared" si="25"/>
        <v/>
      </c>
      <c r="AF184" s="38" t="str">
        <f t="shared" si="26"/>
        <v/>
      </c>
    </row>
    <row r="185" spans="1:32" x14ac:dyDescent="0.3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38" t="str">
        <f>IF(OR(A185="Автомат",A185="Дифавтомат"),IF(W185="","",COUNTIFS(Однолинейка!$H$3:$H$3000,U185,Однолинейка!$A$3:$A$3000,Щит_спец)),IF(A185="Аппарат",IF(C185="","",COUNTIFS(Однолинейка!$I$3:$I$3000,C185,Однолинейка!$A$3:$A$3000,Щит_спец)+COUNTIFS(Однолинейка!$J$3:$J$3000,C185,Однолинейка!$A$3:$A$3000,Щит_спец)+COUNTIFS(Однолинейка!$K$3:$K$3000,C185,Однолинейка!$A$3:$A$3000,Щит_спец)),IF(A185="Модуль",IF(C185="","",COUNTIFS(Однолинейка!$AW$3:$AW$3000,"?*",Однолинейка!$AI$3:$AI$3000,C185,Однолинейка!$A$3:$A$3000,Щит_спец)),IF(A185="Клемма",IF(C185="","",IF(C185=$S$7,SUMIFS(Однолинейка!$BW$3:$BW$3000,Однолинейка!$A$3:$A$3000,Щит_спец),IF(C185=$S$8,SUMIFS(Однолинейка!$BX$3:$BX$3000,Однолинейка!$A$3:$A$3000,Щит_спец),""))),""))))</f>
        <v/>
      </c>
      <c r="O185" s="74"/>
      <c r="P185" s="38" t="str">
        <f t="shared" si="18"/>
        <v/>
      </c>
      <c r="U185" s="38" t="str">
        <f t="shared" si="19"/>
        <v/>
      </c>
      <c r="V185" s="38" t="str">
        <f t="shared" si="20"/>
        <v/>
      </c>
      <c r="W185" s="38" t="str">
        <f>IF(AND(U185&lt;&gt;"",OR($S$4="(все)",B185=$S$4),IF($S$4="(все)",COUNTIF($U$4:U185,U185),COUNTIFS($U$4:U185,U185,$B$4:B185,B185))=1),MAX($W$3:W184)+1,"")</f>
        <v/>
      </c>
      <c r="X185" s="38" t="str">
        <f t="shared" si="21"/>
        <v/>
      </c>
      <c r="Y185" s="38" t="str">
        <f>IF(AND(A185="Аппарат",C185&lt;&gt;"",OR($S$5="(все)",B185=$S$5)),MAX($Y$3:Y184)+1,"")</f>
        <v/>
      </c>
      <c r="Z185" s="38" t="str">
        <f t="shared" si="22"/>
        <v/>
      </c>
      <c r="AA185" s="38" t="str">
        <f>IF(AND(A185="Модуль",C185&lt;&gt;"",OR($S$6="(все)",B185=$S$6)),MAX($AA$3:AA184)+1,"")</f>
        <v/>
      </c>
      <c r="AB185" s="38" t="str">
        <f t="shared" si="23"/>
        <v/>
      </c>
      <c r="AC185" s="38" t="str">
        <f>IF(OR(B185="",COUNTIF($B$4:B185,B185)&gt;1),"",MAX($AC$3:AC184)+1)</f>
        <v/>
      </c>
      <c r="AD185" s="38" t="str">
        <f t="shared" si="24"/>
        <v/>
      </c>
      <c r="AE185" s="38" t="str">
        <f t="shared" si="25"/>
        <v/>
      </c>
      <c r="AF185" s="38" t="str">
        <f t="shared" si="26"/>
        <v/>
      </c>
    </row>
    <row r="186" spans="1:32" x14ac:dyDescent="0.3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38" t="str">
        <f>IF(OR(A186="Автомат",A186="Дифавтомат"),IF(W186="","",COUNTIFS(Однолинейка!$H$3:$H$3000,U186,Однолинейка!$A$3:$A$3000,Щит_спец)),IF(A186="Аппарат",IF(C186="","",COUNTIFS(Однолинейка!$I$3:$I$3000,C186,Однолинейка!$A$3:$A$3000,Щит_спец)+COUNTIFS(Однолинейка!$J$3:$J$3000,C186,Однолинейка!$A$3:$A$3000,Щит_спец)+COUNTIFS(Однолинейка!$K$3:$K$3000,C186,Однолинейка!$A$3:$A$3000,Щит_спец)),IF(A186="Модуль",IF(C186="","",COUNTIFS(Однолинейка!$AW$3:$AW$3000,"?*",Однолинейка!$AI$3:$AI$3000,C186,Однолинейка!$A$3:$A$3000,Щит_спец)),IF(A186="Клемма",IF(C186="","",IF(C186=$S$7,SUMIFS(Однолинейка!$BW$3:$BW$3000,Однолинейка!$A$3:$A$3000,Щит_спец),IF(C186=$S$8,SUMIFS(Однолинейка!$BX$3:$BX$3000,Однолинейка!$A$3:$A$3000,Щит_спец),""))),""))))</f>
        <v/>
      </c>
      <c r="O186" s="74"/>
      <c r="P186" s="38" t="str">
        <f t="shared" si="18"/>
        <v/>
      </c>
      <c r="U186" s="38" t="str">
        <f t="shared" si="19"/>
        <v/>
      </c>
      <c r="V186" s="38" t="str">
        <f t="shared" si="20"/>
        <v/>
      </c>
      <c r="W186" s="38" t="str">
        <f>IF(AND(U186&lt;&gt;"",OR($S$4="(все)",B186=$S$4),IF($S$4="(все)",COUNTIF($U$4:U186,U186),COUNTIFS($U$4:U186,U186,$B$4:B186,B186))=1),MAX($W$3:W185)+1,"")</f>
        <v/>
      </c>
      <c r="X186" s="38" t="str">
        <f t="shared" si="21"/>
        <v/>
      </c>
      <c r="Y186" s="38" t="str">
        <f>IF(AND(A186="Аппарат",C186&lt;&gt;"",OR($S$5="(все)",B186=$S$5)),MAX($Y$3:Y185)+1,"")</f>
        <v/>
      </c>
      <c r="Z186" s="38" t="str">
        <f t="shared" si="22"/>
        <v/>
      </c>
      <c r="AA186" s="38" t="str">
        <f>IF(AND(A186="Модуль",C186&lt;&gt;"",OR($S$6="(все)",B186=$S$6)),MAX($AA$3:AA185)+1,"")</f>
        <v/>
      </c>
      <c r="AB186" s="38" t="str">
        <f t="shared" si="23"/>
        <v/>
      </c>
      <c r="AC186" s="38" t="str">
        <f>IF(OR(B186="",COUNTIF($B$4:B186,B186)&gt;1),"",MAX($AC$3:AC185)+1)</f>
        <v/>
      </c>
      <c r="AD186" s="38" t="str">
        <f t="shared" si="24"/>
        <v/>
      </c>
      <c r="AE186" s="38" t="str">
        <f t="shared" si="25"/>
        <v/>
      </c>
      <c r="AF186" s="38" t="str">
        <f t="shared" si="26"/>
        <v/>
      </c>
    </row>
    <row r="187" spans="1:32" x14ac:dyDescent="0.3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38" t="str">
        <f>IF(OR(A187="Автомат",A187="Дифавтомат"),IF(W187="","",COUNTIFS(Однолинейка!$H$3:$H$3000,U187,Однолинейка!$A$3:$A$3000,Щит_спец)),IF(A187="Аппарат",IF(C187="","",COUNTIFS(Однолинейка!$I$3:$I$3000,C187,Однолинейка!$A$3:$A$3000,Щит_спец)+COUNTIFS(Однолинейка!$J$3:$J$3000,C187,Однолинейка!$A$3:$A$3000,Щит_спец)+COUNTIFS(Однолинейка!$K$3:$K$3000,C187,Однолинейка!$A$3:$A$3000,Щит_спец)),IF(A187="Модуль",IF(C187="","",COUNTIFS(Однолинейка!$AW$3:$AW$3000,"?*",Однолинейка!$AI$3:$AI$3000,C187,Однолинейка!$A$3:$A$3000,Щит_спец)),IF(A187="Клемма",IF(C187="","",IF(C187=$S$7,SUMIFS(Однолинейка!$BW$3:$BW$3000,Однолинейка!$A$3:$A$3000,Щит_спец),IF(C187=$S$8,SUMIFS(Однолинейка!$BX$3:$BX$3000,Однолинейка!$A$3:$A$3000,Щит_спец),""))),""))))</f>
        <v/>
      </c>
      <c r="O187" s="74"/>
      <c r="P187" s="38" t="str">
        <f t="shared" si="18"/>
        <v/>
      </c>
      <c r="U187" s="38" t="str">
        <f t="shared" si="19"/>
        <v/>
      </c>
      <c r="V187" s="38" t="str">
        <f t="shared" si="20"/>
        <v/>
      </c>
      <c r="W187" s="38" t="str">
        <f>IF(AND(U187&lt;&gt;"",OR($S$4="(все)",B187=$S$4),IF($S$4="(все)",COUNTIF($U$4:U187,U187),COUNTIFS($U$4:U187,U187,$B$4:B187,B187))=1),MAX($W$3:W186)+1,"")</f>
        <v/>
      </c>
      <c r="X187" s="38" t="str">
        <f t="shared" si="21"/>
        <v/>
      </c>
      <c r="Y187" s="38" t="str">
        <f>IF(AND(A187="Аппарат",C187&lt;&gt;"",OR($S$5="(все)",B187=$S$5)),MAX($Y$3:Y186)+1,"")</f>
        <v/>
      </c>
      <c r="Z187" s="38" t="str">
        <f t="shared" si="22"/>
        <v/>
      </c>
      <c r="AA187" s="38" t="str">
        <f>IF(AND(A187="Модуль",C187&lt;&gt;"",OR($S$6="(все)",B187=$S$6)),MAX($AA$3:AA186)+1,"")</f>
        <v/>
      </c>
      <c r="AB187" s="38" t="str">
        <f t="shared" si="23"/>
        <v/>
      </c>
      <c r="AC187" s="38" t="str">
        <f>IF(OR(B187="",COUNTIF($B$4:B187,B187)&gt;1),"",MAX($AC$3:AC186)+1)</f>
        <v/>
      </c>
      <c r="AD187" s="38" t="str">
        <f t="shared" si="24"/>
        <v/>
      </c>
      <c r="AE187" s="38" t="str">
        <f t="shared" si="25"/>
        <v/>
      </c>
      <c r="AF187" s="38" t="str">
        <f t="shared" si="26"/>
        <v/>
      </c>
    </row>
    <row r="188" spans="1:32" x14ac:dyDescent="0.3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38" t="str">
        <f>IF(OR(A188="Автомат",A188="Дифавтомат"),IF(W188="","",COUNTIFS(Однолинейка!$H$3:$H$3000,U188,Однолинейка!$A$3:$A$3000,Щит_спец)),IF(A188="Аппарат",IF(C188="","",COUNTIFS(Однолинейка!$I$3:$I$3000,C188,Однолинейка!$A$3:$A$3000,Щит_спец)+COUNTIFS(Однолинейка!$J$3:$J$3000,C188,Однолинейка!$A$3:$A$3000,Щит_спец)+COUNTIFS(Однолинейка!$K$3:$K$3000,C188,Однолинейка!$A$3:$A$3000,Щит_спец)),IF(A188="Модуль",IF(C188="","",COUNTIFS(Однолинейка!$AW$3:$AW$3000,"?*",Однолинейка!$AI$3:$AI$3000,C188,Однолинейка!$A$3:$A$3000,Щит_спец)),IF(A188="Клемма",IF(C188="","",IF(C188=$S$7,SUMIFS(Однолинейка!$BW$3:$BW$3000,Однолинейка!$A$3:$A$3000,Щит_спец),IF(C188=$S$8,SUMIFS(Однолинейка!$BX$3:$BX$3000,Однолинейка!$A$3:$A$3000,Щит_спец),""))),""))))</f>
        <v/>
      </c>
      <c r="O188" s="74"/>
      <c r="P188" s="38" t="str">
        <f t="shared" si="18"/>
        <v/>
      </c>
      <c r="U188" s="38" t="str">
        <f t="shared" si="19"/>
        <v/>
      </c>
      <c r="V188" s="38" t="str">
        <f t="shared" si="20"/>
        <v/>
      </c>
      <c r="W188" s="38" t="str">
        <f>IF(AND(U188&lt;&gt;"",OR($S$4="(все)",B188=$S$4),IF($S$4="(все)",COUNTIF($U$4:U188,U188),COUNTIFS($U$4:U188,U188,$B$4:B188,B188))=1),MAX($W$3:W187)+1,"")</f>
        <v/>
      </c>
      <c r="X188" s="38" t="str">
        <f t="shared" si="21"/>
        <v/>
      </c>
      <c r="Y188" s="38" t="str">
        <f>IF(AND(A188="Аппарат",C188&lt;&gt;"",OR($S$5="(все)",B188=$S$5)),MAX($Y$3:Y187)+1,"")</f>
        <v/>
      </c>
      <c r="Z188" s="38" t="str">
        <f t="shared" si="22"/>
        <v/>
      </c>
      <c r="AA188" s="38" t="str">
        <f>IF(AND(A188="Модуль",C188&lt;&gt;"",OR($S$6="(все)",B188=$S$6)),MAX($AA$3:AA187)+1,"")</f>
        <v/>
      </c>
      <c r="AB188" s="38" t="str">
        <f t="shared" si="23"/>
        <v/>
      </c>
      <c r="AC188" s="38" t="str">
        <f>IF(OR(B188="",COUNTIF($B$4:B188,B188)&gt;1),"",MAX($AC$3:AC187)+1)</f>
        <v/>
      </c>
      <c r="AD188" s="38" t="str">
        <f t="shared" si="24"/>
        <v/>
      </c>
      <c r="AE188" s="38" t="str">
        <f t="shared" si="25"/>
        <v/>
      </c>
      <c r="AF188" s="38" t="str">
        <f t="shared" si="26"/>
        <v/>
      </c>
    </row>
    <row r="189" spans="1:32" x14ac:dyDescent="0.3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38" t="str">
        <f>IF(OR(A189="Автомат",A189="Дифавтомат"),IF(W189="","",COUNTIFS(Однолинейка!$H$3:$H$3000,U189,Однолинейка!$A$3:$A$3000,Щит_спец)),IF(A189="Аппарат",IF(C189="","",COUNTIFS(Однолинейка!$I$3:$I$3000,C189,Однолинейка!$A$3:$A$3000,Щит_спец)+COUNTIFS(Однолинейка!$J$3:$J$3000,C189,Однолинейка!$A$3:$A$3000,Щит_спец)+COUNTIFS(Однолинейка!$K$3:$K$3000,C189,Однолинейка!$A$3:$A$3000,Щит_спец)),IF(A189="Модуль",IF(C189="","",COUNTIFS(Однолинейка!$AW$3:$AW$3000,"?*",Однолинейка!$AI$3:$AI$3000,C189,Однолинейка!$A$3:$A$3000,Щит_спец)),IF(A189="Клемма",IF(C189="","",IF(C189=$S$7,SUMIFS(Однолинейка!$BW$3:$BW$3000,Однолинейка!$A$3:$A$3000,Щит_спец),IF(C189=$S$8,SUMIFS(Однолинейка!$BX$3:$BX$3000,Однолинейка!$A$3:$A$3000,Щит_спец),""))),""))))</f>
        <v/>
      </c>
      <c r="O189" s="74"/>
      <c r="P189" s="38" t="str">
        <f t="shared" si="18"/>
        <v/>
      </c>
      <c r="U189" s="38" t="str">
        <f t="shared" si="19"/>
        <v/>
      </c>
      <c r="V189" s="38" t="str">
        <f t="shared" si="20"/>
        <v/>
      </c>
      <c r="W189" s="38" t="str">
        <f>IF(AND(U189&lt;&gt;"",OR($S$4="(все)",B189=$S$4),IF($S$4="(все)",COUNTIF($U$4:U189,U189),COUNTIFS($U$4:U189,U189,$B$4:B189,B189))=1),MAX($W$3:W188)+1,"")</f>
        <v/>
      </c>
      <c r="X189" s="38" t="str">
        <f t="shared" si="21"/>
        <v/>
      </c>
      <c r="Y189" s="38" t="str">
        <f>IF(AND(A189="Аппарат",C189&lt;&gt;"",OR($S$5="(все)",B189=$S$5)),MAX($Y$3:Y188)+1,"")</f>
        <v/>
      </c>
      <c r="Z189" s="38" t="str">
        <f t="shared" si="22"/>
        <v/>
      </c>
      <c r="AA189" s="38" t="str">
        <f>IF(AND(A189="Модуль",C189&lt;&gt;"",OR($S$6="(все)",B189=$S$6)),MAX($AA$3:AA188)+1,"")</f>
        <v/>
      </c>
      <c r="AB189" s="38" t="str">
        <f t="shared" si="23"/>
        <v/>
      </c>
      <c r="AC189" s="38" t="str">
        <f>IF(OR(B189="",COUNTIF($B$4:B189,B189)&gt;1),"",MAX($AC$3:AC188)+1)</f>
        <v/>
      </c>
      <c r="AD189" s="38" t="str">
        <f t="shared" si="24"/>
        <v/>
      </c>
      <c r="AE189" s="38" t="str">
        <f t="shared" si="25"/>
        <v/>
      </c>
      <c r="AF189" s="38" t="str">
        <f t="shared" si="26"/>
        <v/>
      </c>
    </row>
    <row r="190" spans="1:32" x14ac:dyDescent="0.3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38" t="str">
        <f>IF(OR(A190="Автомат",A190="Дифавтомат"),IF(W190="","",COUNTIFS(Однолинейка!$H$3:$H$3000,U190,Однолинейка!$A$3:$A$3000,Щит_спец)),IF(A190="Аппарат",IF(C190="","",COUNTIFS(Однолинейка!$I$3:$I$3000,C190,Однолинейка!$A$3:$A$3000,Щит_спец)+COUNTIFS(Однолинейка!$J$3:$J$3000,C190,Однолинейка!$A$3:$A$3000,Щит_спец)+COUNTIFS(Однолинейка!$K$3:$K$3000,C190,Однолинейка!$A$3:$A$3000,Щит_спец)),IF(A190="Модуль",IF(C190="","",COUNTIFS(Однолинейка!$AW$3:$AW$3000,"?*",Однолинейка!$AI$3:$AI$3000,C190,Однолинейка!$A$3:$A$3000,Щит_спец)),IF(A190="Клемма",IF(C190="","",IF(C190=$S$7,SUMIFS(Однолинейка!$BW$3:$BW$3000,Однолинейка!$A$3:$A$3000,Щит_спец),IF(C190=$S$8,SUMIFS(Однолинейка!$BX$3:$BX$3000,Однолинейка!$A$3:$A$3000,Щит_спец),""))),""))))</f>
        <v/>
      </c>
      <c r="O190" s="74"/>
      <c r="P190" s="38" t="str">
        <f t="shared" si="18"/>
        <v/>
      </c>
      <c r="U190" s="38" t="str">
        <f t="shared" si="19"/>
        <v/>
      </c>
      <c r="V190" s="38" t="str">
        <f t="shared" si="20"/>
        <v/>
      </c>
      <c r="W190" s="38" t="str">
        <f>IF(AND(U190&lt;&gt;"",OR($S$4="(все)",B190=$S$4),IF($S$4="(все)",COUNTIF($U$4:U190,U190),COUNTIFS($U$4:U190,U190,$B$4:B190,B190))=1),MAX($W$3:W189)+1,"")</f>
        <v/>
      </c>
      <c r="X190" s="38" t="str">
        <f t="shared" si="21"/>
        <v/>
      </c>
      <c r="Y190" s="38" t="str">
        <f>IF(AND(A190="Аппарат",C190&lt;&gt;"",OR($S$5="(все)",B190=$S$5)),MAX($Y$3:Y189)+1,"")</f>
        <v/>
      </c>
      <c r="Z190" s="38" t="str">
        <f t="shared" si="22"/>
        <v/>
      </c>
      <c r="AA190" s="38" t="str">
        <f>IF(AND(A190="Модуль",C190&lt;&gt;"",OR($S$6="(все)",B190=$S$6)),MAX($AA$3:AA189)+1,"")</f>
        <v/>
      </c>
      <c r="AB190" s="38" t="str">
        <f t="shared" si="23"/>
        <v/>
      </c>
      <c r="AC190" s="38" t="str">
        <f>IF(OR(B190="",COUNTIF($B$4:B190,B190)&gt;1),"",MAX($AC$3:AC189)+1)</f>
        <v/>
      </c>
      <c r="AD190" s="38" t="str">
        <f t="shared" si="24"/>
        <v/>
      </c>
      <c r="AE190" s="38" t="str">
        <f t="shared" si="25"/>
        <v/>
      </c>
      <c r="AF190" s="38" t="str">
        <f t="shared" si="26"/>
        <v/>
      </c>
    </row>
    <row r="191" spans="1:32" x14ac:dyDescent="0.3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38" t="str">
        <f>IF(OR(A191="Автомат",A191="Дифавтомат"),IF(W191="","",COUNTIFS(Однолинейка!$H$3:$H$3000,U191,Однолинейка!$A$3:$A$3000,Щит_спец)),IF(A191="Аппарат",IF(C191="","",COUNTIFS(Однолинейка!$I$3:$I$3000,C191,Однолинейка!$A$3:$A$3000,Щит_спец)+COUNTIFS(Однолинейка!$J$3:$J$3000,C191,Однолинейка!$A$3:$A$3000,Щит_спец)+COUNTIFS(Однолинейка!$K$3:$K$3000,C191,Однолинейка!$A$3:$A$3000,Щит_спец)),IF(A191="Модуль",IF(C191="","",COUNTIFS(Однолинейка!$AW$3:$AW$3000,"?*",Однолинейка!$AI$3:$AI$3000,C191,Однолинейка!$A$3:$A$3000,Щит_спец)),IF(A191="Клемма",IF(C191="","",IF(C191=$S$7,SUMIFS(Однолинейка!$BW$3:$BW$3000,Однолинейка!$A$3:$A$3000,Щит_спец),IF(C191=$S$8,SUMIFS(Однолинейка!$BX$3:$BX$3000,Однолинейка!$A$3:$A$3000,Щит_спец),""))),""))))</f>
        <v/>
      </c>
      <c r="O191" s="74"/>
      <c r="P191" s="38" t="str">
        <f t="shared" si="18"/>
        <v/>
      </c>
      <c r="U191" s="38" t="str">
        <f t="shared" si="19"/>
        <v/>
      </c>
      <c r="V191" s="38" t="str">
        <f t="shared" si="20"/>
        <v/>
      </c>
      <c r="W191" s="38" t="str">
        <f>IF(AND(U191&lt;&gt;"",OR($S$4="(все)",B191=$S$4),IF($S$4="(все)",COUNTIF($U$4:U191,U191),COUNTIFS($U$4:U191,U191,$B$4:B191,B191))=1),MAX($W$3:W190)+1,"")</f>
        <v/>
      </c>
      <c r="X191" s="38" t="str">
        <f t="shared" si="21"/>
        <v/>
      </c>
      <c r="Y191" s="38" t="str">
        <f>IF(AND(A191="Аппарат",C191&lt;&gt;"",OR($S$5="(все)",B191=$S$5)),MAX($Y$3:Y190)+1,"")</f>
        <v/>
      </c>
      <c r="Z191" s="38" t="str">
        <f t="shared" si="22"/>
        <v/>
      </c>
      <c r="AA191" s="38" t="str">
        <f>IF(AND(A191="Модуль",C191&lt;&gt;"",OR($S$6="(все)",B191=$S$6)),MAX($AA$3:AA190)+1,"")</f>
        <v/>
      </c>
      <c r="AB191" s="38" t="str">
        <f t="shared" si="23"/>
        <v/>
      </c>
      <c r="AC191" s="38" t="str">
        <f>IF(OR(B191="",COUNTIF($B$4:B191,B191)&gt;1),"",MAX($AC$3:AC190)+1)</f>
        <v/>
      </c>
      <c r="AD191" s="38" t="str">
        <f t="shared" si="24"/>
        <v/>
      </c>
      <c r="AE191" s="38" t="str">
        <f t="shared" si="25"/>
        <v/>
      </c>
      <c r="AF191" s="38" t="str">
        <f t="shared" si="26"/>
        <v/>
      </c>
    </row>
    <row r="192" spans="1:32" x14ac:dyDescent="0.3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38" t="str">
        <f>IF(OR(A192="Автомат",A192="Дифавтомат"),IF(W192="","",COUNTIFS(Однолинейка!$H$3:$H$3000,U192,Однолинейка!$A$3:$A$3000,Щит_спец)),IF(A192="Аппарат",IF(C192="","",COUNTIFS(Однолинейка!$I$3:$I$3000,C192,Однолинейка!$A$3:$A$3000,Щит_спец)+COUNTIFS(Однолинейка!$J$3:$J$3000,C192,Однолинейка!$A$3:$A$3000,Щит_спец)+COUNTIFS(Однолинейка!$K$3:$K$3000,C192,Однолинейка!$A$3:$A$3000,Щит_спец)),IF(A192="Модуль",IF(C192="","",COUNTIFS(Однолинейка!$AW$3:$AW$3000,"?*",Однолинейка!$AI$3:$AI$3000,C192,Однолинейка!$A$3:$A$3000,Щит_спец)),IF(A192="Клемма",IF(C192="","",IF(C192=$S$7,SUMIFS(Однолинейка!$BW$3:$BW$3000,Однолинейка!$A$3:$A$3000,Щит_спец),IF(C192=$S$8,SUMIFS(Однолинейка!$BX$3:$BX$3000,Однолинейка!$A$3:$A$3000,Щит_спец),""))),""))))</f>
        <v/>
      </c>
      <c r="O192" s="74"/>
      <c r="P192" s="38" t="str">
        <f t="shared" si="18"/>
        <v/>
      </c>
      <c r="U192" s="38" t="str">
        <f t="shared" si="19"/>
        <v/>
      </c>
      <c r="V192" s="38" t="str">
        <f t="shared" si="20"/>
        <v/>
      </c>
      <c r="W192" s="38" t="str">
        <f>IF(AND(U192&lt;&gt;"",OR($S$4="(все)",B192=$S$4),IF($S$4="(все)",COUNTIF($U$4:U192,U192),COUNTIFS($U$4:U192,U192,$B$4:B192,B192))=1),MAX($W$3:W191)+1,"")</f>
        <v/>
      </c>
      <c r="X192" s="38" t="str">
        <f t="shared" si="21"/>
        <v/>
      </c>
      <c r="Y192" s="38" t="str">
        <f>IF(AND(A192="Аппарат",C192&lt;&gt;"",OR($S$5="(все)",B192=$S$5)),MAX($Y$3:Y191)+1,"")</f>
        <v/>
      </c>
      <c r="Z192" s="38" t="str">
        <f t="shared" si="22"/>
        <v/>
      </c>
      <c r="AA192" s="38" t="str">
        <f>IF(AND(A192="Модуль",C192&lt;&gt;"",OR($S$6="(все)",B192=$S$6)),MAX($AA$3:AA191)+1,"")</f>
        <v/>
      </c>
      <c r="AB192" s="38" t="str">
        <f t="shared" si="23"/>
        <v/>
      </c>
      <c r="AC192" s="38" t="str">
        <f>IF(OR(B192="",COUNTIF($B$4:B192,B192)&gt;1),"",MAX($AC$3:AC191)+1)</f>
        <v/>
      </c>
      <c r="AD192" s="38" t="str">
        <f t="shared" si="24"/>
        <v/>
      </c>
      <c r="AE192" s="38" t="str">
        <f t="shared" si="25"/>
        <v/>
      </c>
      <c r="AF192" s="38" t="str">
        <f t="shared" si="26"/>
        <v/>
      </c>
    </row>
    <row r="193" spans="1:32" x14ac:dyDescent="0.3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38" t="str">
        <f>IF(OR(A193="Автомат",A193="Дифавтомат"),IF(W193="","",COUNTIFS(Однолинейка!$H$3:$H$3000,U193,Однолинейка!$A$3:$A$3000,Щит_спец)),IF(A193="Аппарат",IF(C193="","",COUNTIFS(Однолинейка!$I$3:$I$3000,C193,Однолинейка!$A$3:$A$3000,Щит_спец)+COUNTIFS(Однолинейка!$J$3:$J$3000,C193,Однолинейка!$A$3:$A$3000,Щит_спец)+COUNTIFS(Однолинейка!$K$3:$K$3000,C193,Однолинейка!$A$3:$A$3000,Щит_спец)),IF(A193="Модуль",IF(C193="","",COUNTIFS(Однолинейка!$AW$3:$AW$3000,"?*",Однолинейка!$AI$3:$AI$3000,C193,Однолинейка!$A$3:$A$3000,Щит_спец)),IF(A193="Клемма",IF(C193="","",IF(C193=$S$7,SUMIFS(Однолинейка!$BW$3:$BW$3000,Однолинейка!$A$3:$A$3000,Щит_спец),IF(C193=$S$8,SUMIFS(Однолинейка!$BX$3:$BX$3000,Однолинейка!$A$3:$A$3000,Щит_спец),""))),""))))</f>
        <v/>
      </c>
      <c r="O193" s="74"/>
      <c r="P193" s="38" t="str">
        <f t="shared" si="18"/>
        <v/>
      </c>
      <c r="U193" s="38" t="str">
        <f t="shared" si="19"/>
        <v/>
      </c>
      <c r="V193" s="38" t="str">
        <f t="shared" si="20"/>
        <v/>
      </c>
      <c r="W193" s="38" t="str">
        <f>IF(AND(U193&lt;&gt;"",OR($S$4="(все)",B193=$S$4),IF($S$4="(все)",COUNTIF($U$4:U193,U193),COUNTIFS($U$4:U193,U193,$B$4:B193,B193))=1),MAX($W$3:W192)+1,"")</f>
        <v/>
      </c>
      <c r="X193" s="38" t="str">
        <f t="shared" si="21"/>
        <v/>
      </c>
      <c r="Y193" s="38" t="str">
        <f>IF(AND(A193="Аппарат",C193&lt;&gt;"",OR($S$5="(все)",B193=$S$5)),MAX($Y$3:Y192)+1,"")</f>
        <v/>
      </c>
      <c r="Z193" s="38" t="str">
        <f t="shared" si="22"/>
        <v/>
      </c>
      <c r="AA193" s="38" t="str">
        <f>IF(AND(A193="Модуль",C193&lt;&gt;"",OR($S$6="(все)",B193=$S$6)),MAX($AA$3:AA192)+1,"")</f>
        <v/>
      </c>
      <c r="AB193" s="38" t="str">
        <f t="shared" si="23"/>
        <v/>
      </c>
      <c r="AC193" s="38" t="str">
        <f>IF(OR(B193="",COUNTIF($B$4:B193,B193)&gt;1),"",MAX($AC$3:AC192)+1)</f>
        <v/>
      </c>
      <c r="AD193" s="38" t="str">
        <f t="shared" si="24"/>
        <v/>
      </c>
      <c r="AE193" s="38" t="str">
        <f t="shared" si="25"/>
        <v/>
      </c>
      <c r="AF193" s="38" t="str">
        <f t="shared" si="26"/>
        <v/>
      </c>
    </row>
    <row r="194" spans="1:32" x14ac:dyDescent="0.3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38" t="str">
        <f>IF(OR(A194="Автомат",A194="Дифавтомат"),IF(W194="","",COUNTIFS(Однолинейка!$H$3:$H$3000,U194,Однолинейка!$A$3:$A$3000,Щит_спец)),IF(A194="Аппарат",IF(C194="","",COUNTIFS(Однолинейка!$I$3:$I$3000,C194,Однолинейка!$A$3:$A$3000,Щит_спец)+COUNTIFS(Однолинейка!$J$3:$J$3000,C194,Однолинейка!$A$3:$A$3000,Щит_спец)+COUNTIFS(Однолинейка!$K$3:$K$3000,C194,Однолинейка!$A$3:$A$3000,Щит_спец)),IF(A194="Модуль",IF(C194="","",COUNTIFS(Однолинейка!$AW$3:$AW$3000,"?*",Однолинейка!$AI$3:$AI$3000,C194,Однолинейка!$A$3:$A$3000,Щит_спец)),IF(A194="Клемма",IF(C194="","",IF(C194=$S$7,SUMIFS(Однолинейка!$BW$3:$BW$3000,Однолинейка!$A$3:$A$3000,Щит_спец),IF(C194=$S$8,SUMIFS(Однолинейка!$BX$3:$BX$3000,Однолинейка!$A$3:$A$3000,Щит_спец),""))),""))))</f>
        <v/>
      </c>
      <c r="O194" s="74"/>
      <c r="P194" s="38" t="str">
        <f t="shared" si="18"/>
        <v/>
      </c>
      <c r="U194" s="38" t="str">
        <f t="shared" si="19"/>
        <v/>
      </c>
      <c r="V194" s="38" t="str">
        <f t="shared" si="20"/>
        <v/>
      </c>
      <c r="W194" s="38" t="str">
        <f>IF(AND(U194&lt;&gt;"",OR($S$4="(все)",B194=$S$4),IF($S$4="(все)",COUNTIF($U$4:U194,U194),COUNTIFS($U$4:U194,U194,$B$4:B194,B194))=1),MAX($W$3:W193)+1,"")</f>
        <v/>
      </c>
      <c r="X194" s="38" t="str">
        <f t="shared" si="21"/>
        <v/>
      </c>
      <c r="Y194" s="38" t="str">
        <f>IF(AND(A194="Аппарат",C194&lt;&gt;"",OR($S$5="(все)",B194=$S$5)),MAX($Y$3:Y193)+1,"")</f>
        <v/>
      </c>
      <c r="Z194" s="38" t="str">
        <f t="shared" si="22"/>
        <v/>
      </c>
      <c r="AA194" s="38" t="str">
        <f>IF(AND(A194="Модуль",C194&lt;&gt;"",OR($S$6="(все)",B194=$S$6)),MAX($AA$3:AA193)+1,"")</f>
        <v/>
      </c>
      <c r="AB194" s="38" t="str">
        <f t="shared" si="23"/>
        <v/>
      </c>
      <c r="AC194" s="38" t="str">
        <f>IF(OR(B194="",COUNTIF($B$4:B194,B194)&gt;1),"",MAX($AC$3:AC193)+1)</f>
        <v/>
      </c>
      <c r="AD194" s="38" t="str">
        <f t="shared" si="24"/>
        <v/>
      </c>
      <c r="AE194" s="38" t="str">
        <f t="shared" si="25"/>
        <v/>
      </c>
      <c r="AF194" s="38" t="str">
        <f t="shared" si="26"/>
        <v/>
      </c>
    </row>
    <row r="195" spans="1:32" x14ac:dyDescent="0.3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38" t="str">
        <f>IF(OR(A195="Автомат",A195="Дифавтомат"),IF(W195="","",COUNTIFS(Однолинейка!$H$3:$H$3000,U195,Однолинейка!$A$3:$A$3000,Щит_спец)),IF(A195="Аппарат",IF(C195="","",COUNTIFS(Однолинейка!$I$3:$I$3000,C195,Однолинейка!$A$3:$A$3000,Щит_спец)+COUNTIFS(Однолинейка!$J$3:$J$3000,C195,Однолинейка!$A$3:$A$3000,Щит_спец)+COUNTIFS(Однолинейка!$K$3:$K$3000,C195,Однолинейка!$A$3:$A$3000,Щит_спец)),IF(A195="Модуль",IF(C195="","",COUNTIFS(Однолинейка!$AW$3:$AW$3000,"?*",Однолинейка!$AI$3:$AI$3000,C195,Однолинейка!$A$3:$A$3000,Щит_спец)),IF(A195="Клемма",IF(C195="","",IF(C195=$S$7,SUMIFS(Однолинейка!$BW$3:$BW$3000,Однолинейка!$A$3:$A$3000,Щит_спец),IF(C195=$S$8,SUMIFS(Однолинейка!$BX$3:$BX$3000,Однолинейка!$A$3:$A$3000,Щит_спец),""))),""))))</f>
        <v/>
      </c>
      <c r="O195" s="74"/>
      <c r="P195" s="38" t="str">
        <f t="shared" si="18"/>
        <v/>
      </c>
      <c r="U195" s="38" t="str">
        <f t="shared" si="19"/>
        <v/>
      </c>
      <c r="V195" s="38" t="str">
        <f t="shared" si="20"/>
        <v/>
      </c>
      <c r="W195" s="38" t="str">
        <f>IF(AND(U195&lt;&gt;"",OR($S$4="(все)",B195=$S$4),IF($S$4="(все)",COUNTIF($U$4:U195,U195),COUNTIFS($U$4:U195,U195,$B$4:B195,B195))=1),MAX($W$3:W194)+1,"")</f>
        <v/>
      </c>
      <c r="X195" s="38" t="str">
        <f t="shared" si="21"/>
        <v/>
      </c>
      <c r="Y195" s="38" t="str">
        <f>IF(AND(A195="Аппарат",C195&lt;&gt;"",OR($S$5="(все)",B195=$S$5)),MAX($Y$3:Y194)+1,"")</f>
        <v/>
      </c>
      <c r="Z195" s="38" t="str">
        <f t="shared" si="22"/>
        <v/>
      </c>
      <c r="AA195" s="38" t="str">
        <f>IF(AND(A195="Модуль",C195&lt;&gt;"",OR($S$6="(все)",B195=$S$6)),MAX($AA$3:AA194)+1,"")</f>
        <v/>
      </c>
      <c r="AB195" s="38" t="str">
        <f t="shared" si="23"/>
        <v/>
      </c>
      <c r="AC195" s="38" t="str">
        <f>IF(OR(B195="",COUNTIF($B$4:B195,B195)&gt;1),"",MAX($AC$3:AC194)+1)</f>
        <v/>
      </c>
      <c r="AD195" s="38" t="str">
        <f t="shared" si="24"/>
        <v/>
      </c>
      <c r="AE195" s="38" t="str">
        <f t="shared" si="25"/>
        <v/>
      </c>
      <c r="AF195" s="38" t="str">
        <f t="shared" si="26"/>
        <v/>
      </c>
    </row>
    <row r="196" spans="1:32" x14ac:dyDescent="0.3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38" t="str">
        <f>IF(OR(A196="Автомат",A196="Дифавтомат"),IF(W196="","",COUNTIFS(Однолинейка!$H$3:$H$3000,U196,Однолинейка!$A$3:$A$3000,Щит_спец)),IF(A196="Аппарат",IF(C196="","",COUNTIFS(Однолинейка!$I$3:$I$3000,C196,Однолинейка!$A$3:$A$3000,Щит_спец)+COUNTIFS(Однолинейка!$J$3:$J$3000,C196,Однолинейка!$A$3:$A$3000,Щит_спец)+COUNTIFS(Однолинейка!$K$3:$K$3000,C196,Однолинейка!$A$3:$A$3000,Щит_спец)),IF(A196="Модуль",IF(C196="","",COUNTIFS(Однолинейка!$AW$3:$AW$3000,"?*",Однолинейка!$AI$3:$AI$3000,C196,Однолинейка!$A$3:$A$3000,Щит_спец)),IF(A196="Клемма",IF(C196="","",IF(C196=$S$7,SUMIFS(Однолинейка!$BW$3:$BW$3000,Однолинейка!$A$3:$A$3000,Щит_спец),IF(C196=$S$8,SUMIFS(Однолинейка!$BX$3:$BX$3000,Однолинейка!$A$3:$A$3000,Щит_спец),""))),""))))</f>
        <v/>
      </c>
      <c r="O196" s="74"/>
      <c r="P196" s="38" t="str">
        <f t="shared" ref="P196:P259" si="27">IF(COUNT(N196,O196)=0,"",SUM(N196,O196))</f>
        <v/>
      </c>
      <c r="U196" s="38" t="str">
        <f t="shared" ref="U196:U259" si="28">IF(OR(A196="Автомат",A196="Дифавтомат"),I196&amp;" С"&amp;J196&amp;"А"&amp;IF(K196="да"," 30мА",IF(ISNUMBER(K196)," "&amp;K196&amp;"мА","")),"")</f>
        <v/>
      </c>
      <c r="V196" s="38" t="str">
        <f t="shared" ref="V196:V259" si="29">IF(U196="","",B196&amp;"|"&amp;U196)</f>
        <v/>
      </c>
      <c r="W196" s="38" t="str">
        <f>IF(AND(U196&lt;&gt;"",OR($S$4="(все)",B196=$S$4),IF($S$4="(все)",COUNTIF($U$4:U196,U196),COUNTIFS($U$4:U196,U196,$B$4:B196,B196))=1),MAX($W$3:W195)+1,"")</f>
        <v/>
      </c>
      <c r="X196" s="38" t="str">
        <f t="shared" ref="X196:X259" si="30">IFERROR(INDEX($U$4:$U$500,MATCH(ROW()-3,$W$4:$W$500,0)),"")</f>
        <v/>
      </c>
      <c r="Y196" s="38" t="str">
        <f>IF(AND(A196="Аппарат",C196&lt;&gt;"",OR($S$5="(все)",B196=$S$5)),MAX($Y$3:Y195)+1,"")</f>
        <v/>
      </c>
      <c r="Z196" s="38" t="str">
        <f t="shared" ref="Z196:Z259" si="31">IFERROR(INDEX($C$4:$C$500,MATCH(ROW()-3,$Y$4:$Y$500,0)),"")</f>
        <v/>
      </c>
      <c r="AA196" s="38" t="str">
        <f>IF(AND(A196="Модуль",C196&lt;&gt;"",OR($S$6="(все)",B196=$S$6)),MAX($AA$3:AA195)+1,"")</f>
        <v/>
      </c>
      <c r="AB196" s="38" t="str">
        <f t="shared" ref="AB196:AB259" si="32">IFERROR(INDEX($C$4:$C$500,MATCH(ROW()-3,$AA$4:$AA$500,0)),"")</f>
        <v/>
      </c>
      <c r="AC196" s="38" t="str">
        <f>IF(OR(B196="",COUNTIF($B$4:B196,B196)&gt;1),"",MAX($AC$3:AC195)+1)</f>
        <v/>
      </c>
      <c r="AD196" s="38" t="str">
        <f t="shared" ref="AD196:AD259" si="33">IFERROR(INDEX($B$4:$B$500,MATCH(ROW()-3,$AC$4:$AC$500,0)),"")</f>
        <v/>
      </c>
      <c r="AE196" s="38" t="str">
        <f t="shared" ref="AE196:AE259" si="34">IF(AND(A196&lt;&gt;"",N(P196)&gt;0),IFERROR(MATCH(A196,$R$12:$R$25,0),99)*1000+ROW(),"")</f>
        <v/>
      </c>
      <c r="AF196" s="38" t="str">
        <f t="shared" ref="AF196:AF259" si="35">IF(AE196="","",COUNTIF($AE$4:$AE$500,"&lt;="&amp;AE196))</f>
        <v/>
      </c>
    </row>
    <row r="197" spans="1:32" x14ac:dyDescent="0.3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38" t="str">
        <f>IF(OR(A197="Автомат",A197="Дифавтомат"),IF(W197="","",COUNTIFS(Однолинейка!$H$3:$H$3000,U197,Однолинейка!$A$3:$A$3000,Щит_спец)),IF(A197="Аппарат",IF(C197="","",COUNTIFS(Однолинейка!$I$3:$I$3000,C197,Однолинейка!$A$3:$A$3000,Щит_спец)+COUNTIFS(Однолинейка!$J$3:$J$3000,C197,Однолинейка!$A$3:$A$3000,Щит_спец)+COUNTIFS(Однолинейка!$K$3:$K$3000,C197,Однолинейка!$A$3:$A$3000,Щит_спец)),IF(A197="Модуль",IF(C197="","",COUNTIFS(Однолинейка!$AW$3:$AW$3000,"?*",Однолинейка!$AI$3:$AI$3000,C197,Однолинейка!$A$3:$A$3000,Щит_спец)),IF(A197="Клемма",IF(C197="","",IF(C197=$S$7,SUMIFS(Однолинейка!$BW$3:$BW$3000,Однолинейка!$A$3:$A$3000,Щит_спец),IF(C197=$S$8,SUMIFS(Однолинейка!$BX$3:$BX$3000,Однолинейка!$A$3:$A$3000,Щит_спец),""))),""))))</f>
        <v/>
      </c>
      <c r="O197" s="74"/>
      <c r="P197" s="38" t="str">
        <f t="shared" si="27"/>
        <v/>
      </c>
      <c r="U197" s="38" t="str">
        <f t="shared" si="28"/>
        <v/>
      </c>
      <c r="V197" s="38" t="str">
        <f t="shared" si="29"/>
        <v/>
      </c>
      <c r="W197" s="38" t="str">
        <f>IF(AND(U197&lt;&gt;"",OR($S$4="(все)",B197=$S$4),IF($S$4="(все)",COUNTIF($U$4:U197,U197),COUNTIFS($U$4:U197,U197,$B$4:B197,B197))=1),MAX($W$3:W196)+1,"")</f>
        <v/>
      </c>
      <c r="X197" s="38" t="str">
        <f t="shared" si="30"/>
        <v/>
      </c>
      <c r="Y197" s="38" t="str">
        <f>IF(AND(A197="Аппарат",C197&lt;&gt;"",OR($S$5="(все)",B197=$S$5)),MAX($Y$3:Y196)+1,"")</f>
        <v/>
      </c>
      <c r="Z197" s="38" t="str">
        <f t="shared" si="31"/>
        <v/>
      </c>
      <c r="AA197" s="38" t="str">
        <f>IF(AND(A197="Модуль",C197&lt;&gt;"",OR($S$6="(все)",B197=$S$6)),MAX($AA$3:AA196)+1,"")</f>
        <v/>
      </c>
      <c r="AB197" s="38" t="str">
        <f t="shared" si="32"/>
        <v/>
      </c>
      <c r="AC197" s="38" t="str">
        <f>IF(OR(B197="",COUNTIF($B$4:B197,B197)&gt;1),"",MAX($AC$3:AC196)+1)</f>
        <v/>
      </c>
      <c r="AD197" s="38" t="str">
        <f t="shared" si="33"/>
        <v/>
      </c>
      <c r="AE197" s="38" t="str">
        <f t="shared" si="34"/>
        <v/>
      </c>
      <c r="AF197" s="38" t="str">
        <f t="shared" si="35"/>
        <v/>
      </c>
    </row>
    <row r="198" spans="1:32" x14ac:dyDescent="0.3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38" t="str">
        <f>IF(OR(A198="Автомат",A198="Дифавтомат"),IF(W198="","",COUNTIFS(Однолинейка!$H$3:$H$3000,U198,Однолинейка!$A$3:$A$3000,Щит_спец)),IF(A198="Аппарат",IF(C198="","",COUNTIFS(Однолинейка!$I$3:$I$3000,C198,Однолинейка!$A$3:$A$3000,Щит_спец)+COUNTIFS(Однолинейка!$J$3:$J$3000,C198,Однолинейка!$A$3:$A$3000,Щит_спец)+COUNTIFS(Однолинейка!$K$3:$K$3000,C198,Однолинейка!$A$3:$A$3000,Щит_спец)),IF(A198="Модуль",IF(C198="","",COUNTIFS(Однолинейка!$AW$3:$AW$3000,"?*",Однолинейка!$AI$3:$AI$3000,C198,Однолинейка!$A$3:$A$3000,Щит_спец)),IF(A198="Клемма",IF(C198="","",IF(C198=$S$7,SUMIFS(Однолинейка!$BW$3:$BW$3000,Однолинейка!$A$3:$A$3000,Щит_спец),IF(C198=$S$8,SUMIFS(Однолинейка!$BX$3:$BX$3000,Однолинейка!$A$3:$A$3000,Щит_спец),""))),""))))</f>
        <v/>
      </c>
      <c r="O198" s="74"/>
      <c r="P198" s="38" t="str">
        <f t="shared" si="27"/>
        <v/>
      </c>
      <c r="U198" s="38" t="str">
        <f t="shared" si="28"/>
        <v/>
      </c>
      <c r="V198" s="38" t="str">
        <f t="shared" si="29"/>
        <v/>
      </c>
      <c r="W198" s="38" t="str">
        <f>IF(AND(U198&lt;&gt;"",OR($S$4="(все)",B198=$S$4),IF($S$4="(все)",COUNTIF($U$4:U198,U198),COUNTIFS($U$4:U198,U198,$B$4:B198,B198))=1),MAX($W$3:W197)+1,"")</f>
        <v/>
      </c>
      <c r="X198" s="38" t="str">
        <f t="shared" si="30"/>
        <v/>
      </c>
      <c r="Y198" s="38" t="str">
        <f>IF(AND(A198="Аппарат",C198&lt;&gt;"",OR($S$5="(все)",B198=$S$5)),MAX($Y$3:Y197)+1,"")</f>
        <v/>
      </c>
      <c r="Z198" s="38" t="str">
        <f t="shared" si="31"/>
        <v/>
      </c>
      <c r="AA198" s="38" t="str">
        <f>IF(AND(A198="Модуль",C198&lt;&gt;"",OR($S$6="(все)",B198=$S$6)),MAX($AA$3:AA197)+1,"")</f>
        <v/>
      </c>
      <c r="AB198" s="38" t="str">
        <f t="shared" si="32"/>
        <v/>
      </c>
      <c r="AC198" s="38" t="str">
        <f>IF(OR(B198="",COUNTIF($B$4:B198,B198)&gt;1),"",MAX($AC$3:AC197)+1)</f>
        <v/>
      </c>
      <c r="AD198" s="38" t="str">
        <f t="shared" si="33"/>
        <v/>
      </c>
      <c r="AE198" s="38" t="str">
        <f t="shared" si="34"/>
        <v/>
      </c>
      <c r="AF198" s="38" t="str">
        <f t="shared" si="35"/>
        <v/>
      </c>
    </row>
    <row r="199" spans="1:32" x14ac:dyDescent="0.3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38" t="str">
        <f>IF(OR(A199="Автомат",A199="Дифавтомат"),IF(W199="","",COUNTIFS(Однолинейка!$H$3:$H$3000,U199,Однолинейка!$A$3:$A$3000,Щит_спец)),IF(A199="Аппарат",IF(C199="","",COUNTIFS(Однолинейка!$I$3:$I$3000,C199,Однолинейка!$A$3:$A$3000,Щит_спец)+COUNTIFS(Однолинейка!$J$3:$J$3000,C199,Однолинейка!$A$3:$A$3000,Щит_спец)+COUNTIFS(Однолинейка!$K$3:$K$3000,C199,Однолинейка!$A$3:$A$3000,Щит_спец)),IF(A199="Модуль",IF(C199="","",COUNTIFS(Однолинейка!$AW$3:$AW$3000,"?*",Однолинейка!$AI$3:$AI$3000,C199,Однолинейка!$A$3:$A$3000,Щит_спец)),IF(A199="Клемма",IF(C199="","",IF(C199=$S$7,SUMIFS(Однолинейка!$BW$3:$BW$3000,Однолинейка!$A$3:$A$3000,Щит_спец),IF(C199=$S$8,SUMIFS(Однолинейка!$BX$3:$BX$3000,Однолинейка!$A$3:$A$3000,Щит_спец),""))),""))))</f>
        <v/>
      </c>
      <c r="O199" s="74"/>
      <c r="P199" s="38" t="str">
        <f t="shared" si="27"/>
        <v/>
      </c>
      <c r="U199" s="38" t="str">
        <f t="shared" si="28"/>
        <v/>
      </c>
      <c r="V199" s="38" t="str">
        <f t="shared" si="29"/>
        <v/>
      </c>
      <c r="W199" s="38" t="str">
        <f>IF(AND(U199&lt;&gt;"",OR($S$4="(все)",B199=$S$4),IF($S$4="(все)",COUNTIF($U$4:U199,U199),COUNTIFS($U$4:U199,U199,$B$4:B199,B199))=1),MAX($W$3:W198)+1,"")</f>
        <v/>
      </c>
      <c r="X199" s="38" t="str">
        <f t="shared" si="30"/>
        <v/>
      </c>
      <c r="Y199" s="38" t="str">
        <f>IF(AND(A199="Аппарат",C199&lt;&gt;"",OR($S$5="(все)",B199=$S$5)),MAX($Y$3:Y198)+1,"")</f>
        <v/>
      </c>
      <c r="Z199" s="38" t="str">
        <f t="shared" si="31"/>
        <v/>
      </c>
      <c r="AA199" s="38" t="str">
        <f>IF(AND(A199="Модуль",C199&lt;&gt;"",OR($S$6="(все)",B199=$S$6)),MAX($AA$3:AA198)+1,"")</f>
        <v/>
      </c>
      <c r="AB199" s="38" t="str">
        <f t="shared" si="32"/>
        <v/>
      </c>
      <c r="AC199" s="38" t="str">
        <f>IF(OR(B199="",COUNTIF($B$4:B199,B199)&gt;1),"",MAX($AC$3:AC198)+1)</f>
        <v/>
      </c>
      <c r="AD199" s="38" t="str">
        <f t="shared" si="33"/>
        <v/>
      </c>
      <c r="AE199" s="38" t="str">
        <f t="shared" si="34"/>
        <v/>
      </c>
      <c r="AF199" s="38" t="str">
        <f t="shared" si="35"/>
        <v/>
      </c>
    </row>
    <row r="200" spans="1:32" x14ac:dyDescent="0.3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38" t="str">
        <f>IF(OR(A200="Автомат",A200="Дифавтомат"),IF(W200="","",COUNTIFS(Однолинейка!$H$3:$H$3000,U200,Однолинейка!$A$3:$A$3000,Щит_спец)),IF(A200="Аппарат",IF(C200="","",COUNTIFS(Однолинейка!$I$3:$I$3000,C200,Однолинейка!$A$3:$A$3000,Щит_спец)+COUNTIFS(Однолинейка!$J$3:$J$3000,C200,Однолинейка!$A$3:$A$3000,Щит_спец)+COUNTIFS(Однолинейка!$K$3:$K$3000,C200,Однолинейка!$A$3:$A$3000,Щит_спец)),IF(A200="Модуль",IF(C200="","",COUNTIFS(Однолинейка!$AW$3:$AW$3000,"?*",Однолинейка!$AI$3:$AI$3000,C200,Однолинейка!$A$3:$A$3000,Щит_спец)),IF(A200="Клемма",IF(C200="","",IF(C200=$S$7,SUMIFS(Однолинейка!$BW$3:$BW$3000,Однолинейка!$A$3:$A$3000,Щит_спец),IF(C200=$S$8,SUMIFS(Однолинейка!$BX$3:$BX$3000,Однолинейка!$A$3:$A$3000,Щит_спец),""))),""))))</f>
        <v/>
      </c>
      <c r="O200" s="74"/>
      <c r="P200" s="38" t="str">
        <f t="shared" si="27"/>
        <v/>
      </c>
      <c r="U200" s="38" t="str">
        <f t="shared" si="28"/>
        <v/>
      </c>
      <c r="V200" s="38" t="str">
        <f t="shared" si="29"/>
        <v/>
      </c>
      <c r="W200" s="38" t="str">
        <f>IF(AND(U200&lt;&gt;"",OR($S$4="(все)",B200=$S$4),IF($S$4="(все)",COUNTIF($U$4:U200,U200),COUNTIFS($U$4:U200,U200,$B$4:B200,B200))=1),MAX($W$3:W199)+1,"")</f>
        <v/>
      </c>
      <c r="X200" s="38" t="str">
        <f t="shared" si="30"/>
        <v/>
      </c>
      <c r="Y200" s="38" t="str">
        <f>IF(AND(A200="Аппарат",C200&lt;&gt;"",OR($S$5="(все)",B200=$S$5)),MAX($Y$3:Y199)+1,"")</f>
        <v/>
      </c>
      <c r="Z200" s="38" t="str">
        <f t="shared" si="31"/>
        <v/>
      </c>
      <c r="AA200" s="38" t="str">
        <f>IF(AND(A200="Модуль",C200&lt;&gt;"",OR($S$6="(все)",B200=$S$6)),MAX($AA$3:AA199)+1,"")</f>
        <v/>
      </c>
      <c r="AB200" s="38" t="str">
        <f t="shared" si="32"/>
        <v/>
      </c>
      <c r="AC200" s="38" t="str">
        <f>IF(OR(B200="",COUNTIF($B$4:B200,B200)&gt;1),"",MAX($AC$3:AC199)+1)</f>
        <v/>
      </c>
      <c r="AD200" s="38" t="str">
        <f t="shared" si="33"/>
        <v/>
      </c>
      <c r="AE200" s="38" t="str">
        <f t="shared" si="34"/>
        <v/>
      </c>
      <c r="AF200" s="38" t="str">
        <f t="shared" si="35"/>
        <v/>
      </c>
    </row>
    <row r="201" spans="1:32" x14ac:dyDescent="0.3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38" t="str">
        <f>IF(OR(A201="Автомат",A201="Дифавтомат"),IF(W201="","",COUNTIFS(Однолинейка!$H$3:$H$3000,U201,Однолинейка!$A$3:$A$3000,Щит_спец)),IF(A201="Аппарат",IF(C201="","",COUNTIFS(Однолинейка!$I$3:$I$3000,C201,Однолинейка!$A$3:$A$3000,Щит_спец)+COUNTIFS(Однолинейка!$J$3:$J$3000,C201,Однолинейка!$A$3:$A$3000,Щит_спец)+COUNTIFS(Однолинейка!$K$3:$K$3000,C201,Однолинейка!$A$3:$A$3000,Щит_спец)),IF(A201="Модуль",IF(C201="","",COUNTIFS(Однолинейка!$AW$3:$AW$3000,"?*",Однолинейка!$AI$3:$AI$3000,C201,Однолинейка!$A$3:$A$3000,Щит_спец)),IF(A201="Клемма",IF(C201="","",IF(C201=$S$7,SUMIFS(Однолинейка!$BW$3:$BW$3000,Однолинейка!$A$3:$A$3000,Щит_спец),IF(C201=$S$8,SUMIFS(Однолинейка!$BX$3:$BX$3000,Однолинейка!$A$3:$A$3000,Щит_спец),""))),""))))</f>
        <v/>
      </c>
      <c r="O201" s="74"/>
      <c r="P201" s="38" t="str">
        <f t="shared" si="27"/>
        <v/>
      </c>
      <c r="U201" s="38" t="str">
        <f t="shared" si="28"/>
        <v/>
      </c>
      <c r="V201" s="38" t="str">
        <f t="shared" si="29"/>
        <v/>
      </c>
      <c r="W201" s="38" t="str">
        <f>IF(AND(U201&lt;&gt;"",OR($S$4="(все)",B201=$S$4),IF($S$4="(все)",COUNTIF($U$4:U201,U201),COUNTIFS($U$4:U201,U201,$B$4:B201,B201))=1),MAX($W$3:W200)+1,"")</f>
        <v/>
      </c>
      <c r="X201" s="38" t="str">
        <f t="shared" si="30"/>
        <v/>
      </c>
      <c r="Y201" s="38" t="str">
        <f>IF(AND(A201="Аппарат",C201&lt;&gt;"",OR($S$5="(все)",B201=$S$5)),MAX($Y$3:Y200)+1,"")</f>
        <v/>
      </c>
      <c r="Z201" s="38" t="str">
        <f t="shared" si="31"/>
        <v/>
      </c>
      <c r="AA201" s="38" t="str">
        <f>IF(AND(A201="Модуль",C201&lt;&gt;"",OR($S$6="(все)",B201=$S$6)),MAX($AA$3:AA200)+1,"")</f>
        <v/>
      </c>
      <c r="AB201" s="38" t="str">
        <f t="shared" si="32"/>
        <v/>
      </c>
      <c r="AC201" s="38" t="str">
        <f>IF(OR(B201="",COUNTIF($B$4:B201,B201)&gt;1),"",MAX($AC$3:AC200)+1)</f>
        <v/>
      </c>
      <c r="AD201" s="38" t="str">
        <f t="shared" si="33"/>
        <v/>
      </c>
      <c r="AE201" s="38" t="str">
        <f t="shared" si="34"/>
        <v/>
      </c>
      <c r="AF201" s="38" t="str">
        <f t="shared" si="35"/>
        <v/>
      </c>
    </row>
    <row r="202" spans="1:32" x14ac:dyDescent="0.3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38" t="str">
        <f>IF(OR(A202="Автомат",A202="Дифавтомат"),IF(W202="","",COUNTIFS(Однолинейка!$H$3:$H$3000,U202,Однолинейка!$A$3:$A$3000,Щит_спец)),IF(A202="Аппарат",IF(C202="","",COUNTIFS(Однолинейка!$I$3:$I$3000,C202,Однолинейка!$A$3:$A$3000,Щит_спец)+COUNTIFS(Однолинейка!$J$3:$J$3000,C202,Однолинейка!$A$3:$A$3000,Щит_спец)+COUNTIFS(Однолинейка!$K$3:$K$3000,C202,Однолинейка!$A$3:$A$3000,Щит_спец)),IF(A202="Модуль",IF(C202="","",COUNTIFS(Однолинейка!$AW$3:$AW$3000,"?*",Однолинейка!$AI$3:$AI$3000,C202,Однолинейка!$A$3:$A$3000,Щит_спец)),IF(A202="Клемма",IF(C202="","",IF(C202=$S$7,SUMIFS(Однолинейка!$BW$3:$BW$3000,Однолинейка!$A$3:$A$3000,Щит_спец),IF(C202=$S$8,SUMIFS(Однолинейка!$BX$3:$BX$3000,Однолинейка!$A$3:$A$3000,Щит_спец),""))),""))))</f>
        <v/>
      </c>
      <c r="O202" s="74"/>
      <c r="P202" s="38" t="str">
        <f t="shared" si="27"/>
        <v/>
      </c>
      <c r="U202" s="38" t="str">
        <f t="shared" si="28"/>
        <v/>
      </c>
      <c r="V202" s="38" t="str">
        <f t="shared" si="29"/>
        <v/>
      </c>
      <c r="W202" s="38" t="str">
        <f>IF(AND(U202&lt;&gt;"",OR($S$4="(все)",B202=$S$4),IF($S$4="(все)",COUNTIF($U$4:U202,U202),COUNTIFS($U$4:U202,U202,$B$4:B202,B202))=1),MAX($W$3:W201)+1,"")</f>
        <v/>
      </c>
      <c r="X202" s="38" t="str">
        <f t="shared" si="30"/>
        <v/>
      </c>
      <c r="Y202" s="38" t="str">
        <f>IF(AND(A202="Аппарат",C202&lt;&gt;"",OR($S$5="(все)",B202=$S$5)),MAX($Y$3:Y201)+1,"")</f>
        <v/>
      </c>
      <c r="Z202" s="38" t="str">
        <f t="shared" si="31"/>
        <v/>
      </c>
      <c r="AA202" s="38" t="str">
        <f>IF(AND(A202="Модуль",C202&lt;&gt;"",OR($S$6="(все)",B202=$S$6)),MAX($AA$3:AA201)+1,"")</f>
        <v/>
      </c>
      <c r="AB202" s="38" t="str">
        <f t="shared" si="32"/>
        <v/>
      </c>
      <c r="AC202" s="38" t="str">
        <f>IF(OR(B202="",COUNTIF($B$4:B202,B202)&gt;1),"",MAX($AC$3:AC201)+1)</f>
        <v/>
      </c>
      <c r="AD202" s="38" t="str">
        <f t="shared" si="33"/>
        <v/>
      </c>
      <c r="AE202" s="38" t="str">
        <f t="shared" si="34"/>
        <v/>
      </c>
      <c r="AF202" s="38" t="str">
        <f t="shared" si="35"/>
        <v/>
      </c>
    </row>
    <row r="203" spans="1:32" x14ac:dyDescent="0.3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38" t="str">
        <f>IF(OR(A203="Автомат",A203="Дифавтомат"),IF(W203="","",COUNTIFS(Однолинейка!$H$3:$H$3000,U203,Однолинейка!$A$3:$A$3000,Щит_спец)),IF(A203="Аппарат",IF(C203="","",COUNTIFS(Однолинейка!$I$3:$I$3000,C203,Однолинейка!$A$3:$A$3000,Щит_спец)+COUNTIFS(Однолинейка!$J$3:$J$3000,C203,Однолинейка!$A$3:$A$3000,Щит_спец)+COUNTIFS(Однолинейка!$K$3:$K$3000,C203,Однолинейка!$A$3:$A$3000,Щит_спец)),IF(A203="Модуль",IF(C203="","",COUNTIFS(Однолинейка!$AW$3:$AW$3000,"?*",Однолинейка!$AI$3:$AI$3000,C203,Однолинейка!$A$3:$A$3000,Щит_спец)),IF(A203="Клемма",IF(C203="","",IF(C203=$S$7,SUMIFS(Однолинейка!$BW$3:$BW$3000,Однолинейка!$A$3:$A$3000,Щит_спец),IF(C203=$S$8,SUMIFS(Однолинейка!$BX$3:$BX$3000,Однолинейка!$A$3:$A$3000,Щит_спец),""))),""))))</f>
        <v/>
      </c>
      <c r="O203" s="74"/>
      <c r="P203" s="38" t="str">
        <f t="shared" si="27"/>
        <v/>
      </c>
      <c r="U203" s="38" t="str">
        <f t="shared" si="28"/>
        <v/>
      </c>
      <c r="V203" s="38" t="str">
        <f t="shared" si="29"/>
        <v/>
      </c>
      <c r="W203" s="38" t="str">
        <f>IF(AND(U203&lt;&gt;"",OR($S$4="(все)",B203=$S$4),IF($S$4="(все)",COUNTIF($U$4:U203,U203),COUNTIFS($U$4:U203,U203,$B$4:B203,B203))=1),MAX($W$3:W202)+1,"")</f>
        <v/>
      </c>
      <c r="X203" s="38" t="str">
        <f t="shared" si="30"/>
        <v/>
      </c>
      <c r="Y203" s="38" t="str">
        <f>IF(AND(A203="Аппарат",C203&lt;&gt;"",OR($S$5="(все)",B203=$S$5)),MAX($Y$3:Y202)+1,"")</f>
        <v/>
      </c>
      <c r="Z203" s="38" t="str">
        <f t="shared" si="31"/>
        <v/>
      </c>
      <c r="AA203" s="38" t="str">
        <f>IF(AND(A203="Модуль",C203&lt;&gt;"",OR($S$6="(все)",B203=$S$6)),MAX($AA$3:AA202)+1,"")</f>
        <v/>
      </c>
      <c r="AB203" s="38" t="str">
        <f t="shared" si="32"/>
        <v/>
      </c>
      <c r="AC203" s="38" t="str">
        <f>IF(OR(B203="",COUNTIF($B$4:B203,B203)&gt;1),"",MAX($AC$3:AC202)+1)</f>
        <v/>
      </c>
      <c r="AD203" s="38" t="str">
        <f t="shared" si="33"/>
        <v/>
      </c>
      <c r="AE203" s="38" t="str">
        <f t="shared" si="34"/>
        <v/>
      </c>
      <c r="AF203" s="38" t="str">
        <f t="shared" si="35"/>
        <v/>
      </c>
    </row>
    <row r="204" spans="1:32" x14ac:dyDescent="0.3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38" t="str">
        <f>IF(OR(A204="Автомат",A204="Дифавтомат"),IF(W204="","",COUNTIFS(Однолинейка!$H$3:$H$3000,U204,Однолинейка!$A$3:$A$3000,Щит_спец)),IF(A204="Аппарат",IF(C204="","",COUNTIFS(Однолинейка!$I$3:$I$3000,C204,Однолинейка!$A$3:$A$3000,Щит_спец)+COUNTIFS(Однолинейка!$J$3:$J$3000,C204,Однолинейка!$A$3:$A$3000,Щит_спец)+COUNTIFS(Однолинейка!$K$3:$K$3000,C204,Однолинейка!$A$3:$A$3000,Щит_спец)),IF(A204="Модуль",IF(C204="","",COUNTIFS(Однолинейка!$AW$3:$AW$3000,"?*",Однолинейка!$AI$3:$AI$3000,C204,Однолинейка!$A$3:$A$3000,Щит_спец)),IF(A204="Клемма",IF(C204="","",IF(C204=$S$7,SUMIFS(Однолинейка!$BW$3:$BW$3000,Однолинейка!$A$3:$A$3000,Щит_спец),IF(C204=$S$8,SUMIFS(Однолинейка!$BX$3:$BX$3000,Однолинейка!$A$3:$A$3000,Щит_спец),""))),""))))</f>
        <v/>
      </c>
      <c r="O204" s="74"/>
      <c r="P204" s="38" t="str">
        <f t="shared" si="27"/>
        <v/>
      </c>
      <c r="U204" s="38" t="str">
        <f t="shared" si="28"/>
        <v/>
      </c>
      <c r="V204" s="38" t="str">
        <f t="shared" si="29"/>
        <v/>
      </c>
      <c r="W204" s="38" t="str">
        <f>IF(AND(U204&lt;&gt;"",OR($S$4="(все)",B204=$S$4),IF($S$4="(все)",COUNTIF($U$4:U204,U204),COUNTIFS($U$4:U204,U204,$B$4:B204,B204))=1),MAX($W$3:W203)+1,"")</f>
        <v/>
      </c>
      <c r="X204" s="38" t="str">
        <f t="shared" si="30"/>
        <v/>
      </c>
      <c r="Y204" s="38" t="str">
        <f>IF(AND(A204="Аппарат",C204&lt;&gt;"",OR($S$5="(все)",B204=$S$5)),MAX($Y$3:Y203)+1,"")</f>
        <v/>
      </c>
      <c r="Z204" s="38" t="str">
        <f t="shared" si="31"/>
        <v/>
      </c>
      <c r="AA204" s="38" t="str">
        <f>IF(AND(A204="Модуль",C204&lt;&gt;"",OR($S$6="(все)",B204=$S$6)),MAX($AA$3:AA203)+1,"")</f>
        <v/>
      </c>
      <c r="AB204" s="38" t="str">
        <f t="shared" si="32"/>
        <v/>
      </c>
      <c r="AC204" s="38" t="str">
        <f>IF(OR(B204="",COUNTIF($B$4:B204,B204)&gt;1),"",MAX($AC$3:AC203)+1)</f>
        <v/>
      </c>
      <c r="AD204" s="38" t="str">
        <f t="shared" si="33"/>
        <v/>
      </c>
      <c r="AE204" s="38" t="str">
        <f t="shared" si="34"/>
        <v/>
      </c>
      <c r="AF204" s="38" t="str">
        <f t="shared" si="35"/>
        <v/>
      </c>
    </row>
    <row r="205" spans="1:32" x14ac:dyDescent="0.3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38" t="str">
        <f>IF(OR(A205="Автомат",A205="Дифавтомат"),IF(W205="","",COUNTIFS(Однолинейка!$H$3:$H$3000,U205,Однолинейка!$A$3:$A$3000,Щит_спец)),IF(A205="Аппарат",IF(C205="","",COUNTIFS(Однолинейка!$I$3:$I$3000,C205,Однолинейка!$A$3:$A$3000,Щит_спец)+COUNTIFS(Однолинейка!$J$3:$J$3000,C205,Однолинейка!$A$3:$A$3000,Щит_спец)+COUNTIFS(Однолинейка!$K$3:$K$3000,C205,Однолинейка!$A$3:$A$3000,Щит_спец)),IF(A205="Модуль",IF(C205="","",COUNTIFS(Однолинейка!$AW$3:$AW$3000,"?*",Однолинейка!$AI$3:$AI$3000,C205,Однолинейка!$A$3:$A$3000,Щит_спец)),IF(A205="Клемма",IF(C205="","",IF(C205=$S$7,SUMIFS(Однолинейка!$BW$3:$BW$3000,Однолинейка!$A$3:$A$3000,Щит_спец),IF(C205=$S$8,SUMIFS(Однолинейка!$BX$3:$BX$3000,Однолинейка!$A$3:$A$3000,Щит_спец),""))),""))))</f>
        <v/>
      </c>
      <c r="O205" s="74"/>
      <c r="P205" s="38" t="str">
        <f t="shared" si="27"/>
        <v/>
      </c>
      <c r="U205" s="38" t="str">
        <f t="shared" si="28"/>
        <v/>
      </c>
      <c r="V205" s="38" t="str">
        <f t="shared" si="29"/>
        <v/>
      </c>
      <c r="W205" s="38" t="str">
        <f>IF(AND(U205&lt;&gt;"",OR($S$4="(все)",B205=$S$4),IF($S$4="(все)",COUNTIF($U$4:U205,U205),COUNTIFS($U$4:U205,U205,$B$4:B205,B205))=1),MAX($W$3:W204)+1,"")</f>
        <v/>
      </c>
      <c r="X205" s="38" t="str">
        <f t="shared" si="30"/>
        <v/>
      </c>
      <c r="Y205" s="38" t="str">
        <f>IF(AND(A205="Аппарат",C205&lt;&gt;"",OR($S$5="(все)",B205=$S$5)),MAX($Y$3:Y204)+1,"")</f>
        <v/>
      </c>
      <c r="Z205" s="38" t="str">
        <f t="shared" si="31"/>
        <v/>
      </c>
      <c r="AA205" s="38" t="str">
        <f>IF(AND(A205="Модуль",C205&lt;&gt;"",OR($S$6="(все)",B205=$S$6)),MAX($AA$3:AA204)+1,"")</f>
        <v/>
      </c>
      <c r="AB205" s="38" t="str">
        <f t="shared" si="32"/>
        <v/>
      </c>
      <c r="AC205" s="38" t="str">
        <f>IF(OR(B205="",COUNTIF($B$4:B205,B205)&gt;1),"",MAX($AC$3:AC204)+1)</f>
        <v/>
      </c>
      <c r="AD205" s="38" t="str">
        <f t="shared" si="33"/>
        <v/>
      </c>
      <c r="AE205" s="38" t="str">
        <f t="shared" si="34"/>
        <v/>
      </c>
      <c r="AF205" s="38" t="str">
        <f t="shared" si="35"/>
        <v/>
      </c>
    </row>
    <row r="206" spans="1:32" x14ac:dyDescent="0.3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38" t="str">
        <f>IF(OR(A206="Автомат",A206="Дифавтомат"),IF(W206="","",COUNTIFS(Однолинейка!$H$3:$H$3000,U206,Однолинейка!$A$3:$A$3000,Щит_спец)),IF(A206="Аппарат",IF(C206="","",COUNTIFS(Однолинейка!$I$3:$I$3000,C206,Однолинейка!$A$3:$A$3000,Щит_спец)+COUNTIFS(Однолинейка!$J$3:$J$3000,C206,Однолинейка!$A$3:$A$3000,Щит_спец)+COUNTIFS(Однолинейка!$K$3:$K$3000,C206,Однолинейка!$A$3:$A$3000,Щит_спец)),IF(A206="Модуль",IF(C206="","",COUNTIFS(Однолинейка!$AW$3:$AW$3000,"?*",Однолинейка!$AI$3:$AI$3000,C206,Однолинейка!$A$3:$A$3000,Щит_спец)),IF(A206="Клемма",IF(C206="","",IF(C206=$S$7,SUMIFS(Однолинейка!$BW$3:$BW$3000,Однолинейка!$A$3:$A$3000,Щит_спец),IF(C206=$S$8,SUMIFS(Однолинейка!$BX$3:$BX$3000,Однолинейка!$A$3:$A$3000,Щит_спец),""))),""))))</f>
        <v/>
      </c>
      <c r="O206" s="74"/>
      <c r="P206" s="38" t="str">
        <f t="shared" si="27"/>
        <v/>
      </c>
      <c r="U206" s="38" t="str">
        <f t="shared" si="28"/>
        <v/>
      </c>
      <c r="V206" s="38" t="str">
        <f t="shared" si="29"/>
        <v/>
      </c>
      <c r="W206" s="38" t="str">
        <f>IF(AND(U206&lt;&gt;"",OR($S$4="(все)",B206=$S$4),IF($S$4="(все)",COUNTIF($U$4:U206,U206),COUNTIFS($U$4:U206,U206,$B$4:B206,B206))=1),MAX($W$3:W205)+1,"")</f>
        <v/>
      </c>
      <c r="X206" s="38" t="str">
        <f t="shared" si="30"/>
        <v/>
      </c>
      <c r="Y206" s="38" t="str">
        <f>IF(AND(A206="Аппарат",C206&lt;&gt;"",OR($S$5="(все)",B206=$S$5)),MAX($Y$3:Y205)+1,"")</f>
        <v/>
      </c>
      <c r="Z206" s="38" t="str">
        <f t="shared" si="31"/>
        <v/>
      </c>
      <c r="AA206" s="38" t="str">
        <f>IF(AND(A206="Модуль",C206&lt;&gt;"",OR($S$6="(все)",B206=$S$6)),MAX($AA$3:AA205)+1,"")</f>
        <v/>
      </c>
      <c r="AB206" s="38" t="str">
        <f t="shared" si="32"/>
        <v/>
      </c>
      <c r="AC206" s="38" t="str">
        <f>IF(OR(B206="",COUNTIF($B$4:B206,B206)&gt;1),"",MAX($AC$3:AC205)+1)</f>
        <v/>
      </c>
      <c r="AD206" s="38" t="str">
        <f t="shared" si="33"/>
        <v/>
      </c>
      <c r="AE206" s="38" t="str">
        <f t="shared" si="34"/>
        <v/>
      </c>
      <c r="AF206" s="38" t="str">
        <f t="shared" si="35"/>
        <v/>
      </c>
    </row>
    <row r="207" spans="1:32" x14ac:dyDescent="0.3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38" t="str">
        <f>IF(OR(A207="Автомат",A207="Дифавтомат"),IF(W207="","",COUNTIFS(Однолинейка!$H$3:$H$3000,U207,Однолинейка!$A$3:$A$3000,Щит_спец)),IF(A207="Аппарат",IF(C207="","",COUNTIFS(Однолинейка!$I$3:$I$3000,C207,Однолинейка!$A$3:$A$3000,Щит_спец)+COUNTIFS(Однолинейка!$J$3:$J$3000,C207,Однолинейка!$A$3:$A$3000,Щит_спец)+COUNTIFS(Однолинейка!$K$3:$K$3000,C207,Однолинейка!$A$3:$A$3000,Щит_спец)),IF(A207="Модуль",IF(C207="","",COUNTIFS(Однолинейка!$AW$3:$AW$3000,"?*",Однолинейка!$AI$3:$AI$3000,C207,Однолинейка!$A$3:$A$3000,Щит_спец)),IF(A207="Клемма",IF(C207="","",IF(C207=$S$7,SUMIFS(Однолинейка!$BW$3:$BW$3000,Однолинейка!$A$3:$A$3000,Щит_спец),IF(C207=$S$8,SUMIFS(Однолинейка!$BX$3:$BX$3000,Однолинейка!$A$3:$A$3000,Щит_спец),""))),""))))</f>
        <v/>
      </c>
      <c r="O207" s="74"/>
      <c r="P207" s="38" t="str">
        <f t="shared" si="27"/>
        <v/>
      </c>
      <c r="U207" s="38" t="str">
        <f t="shared" si="28"/>
        <v/>
      </c>
      <c r="V207" s="38" t="str">
        <f t="shared" si="29"/>
        <v/>
      </c>
      <c r="W207" s="38" t="str">
        <f>IF(AND(U207&lt;&gt;"",OR($S$4="(все)",B207=$S$4),IF($S$4="(все)",COUNTIF($U$4:U207,U207),COUNTIFS($U$4:U207,U207,$B$4:B207,B207))=1),MAX($W$3:W206)+1,"")</f>
        <v/>
      </c>
      <c r="X207" s="38" t="str">
        <f t="shared" si="30"/>
        <v/>
      </c>
      <c r="Y207" s="38" t="str">
        <f>IF(AND(A207="Аппарат",C207&lt;&gt;"",OR($S$5="(все)",B207=$S$5)),MAX($Y$3:Y206)+1,"")</f>
        <v/>
      </c>
      <c r="Z207" s="38" t="str">
        <f t="shared" si="31"/>
        <v/>
      </c>
      <c r="AA207" s="38" t="str">
        <f>IF(AND(A207="Модуль",C207&lt;&gt;"",OR($S$6="(все)",B207=$S$6)),MAX($AA$3:AA206)+1,"")</f>
        <v/>
      </c>
      <c r="AB207" s="38" t="str">
        <f t="shared" si="32"/>
        <v/>
      </c>
      <c r="AC207" s="38" t="str">
        <f>IF(OR(B207="",COUNTIF($B$4:B207,B207)&gt;1),"",MAX($AC$3:AC206)+1)</f>
        <v/>
      </c>
      <c r="AD207" s="38" t="str">
        <f t="shared" si="33"/>
        <v/>
      </c>
      <c r="AE207" s="38" t="str">
        <f t="shared" si="34"/>
        <v/>
      </c>
      <c r="AF207" s="38" t="str">
        <f t="shared" si="35"/>
        <v/>
      </c>
    </row>
    <row r="208" spans="1:32" x14ac:dyDescent="0.3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38" t="str">
        <f>IF(OR(A208="Автомат",A208="Дифавтомат"),IF(W208="","",COUNTIFS(Однолинейка!$H$3:$H$3000,U208,Однолинейка!$A$3:$A$3000,Щит_спец)),IF(A208="Аппарат",IF(C208="","",COUNTIFS(Однолинейка!$I$3:$I$3000,C208,Однолинейка!$A$3:$A$3000,Щит_спец)+COUNTIFS(Однолинейка!$J$3:$J$3000,C208,Однолинейка!$A$3:$A$3000,Щит_спец)+COUNTIFS(Однолинейка!$K$3:$K$3000,C208,Однолинейка!$A$3:$A$3000,Щит_спец)),IF(A208="Модуль",IF(C208="","",COUNTIFS(Однолинейка!$AW$3:$AW$3000,"?*",Однолинейка!$AI$3:$AI$3000,C208,Однолинейка!$A$3:$A$3000,Щит_спец)),IF(A208="Клемма",IF(C208="","",IF(C208=$S$7,SUMIFS(Однолинейка!$BW$3:$BW$3000,Однолинейка!$A$3:$A$3000,Щит_спец),IF(C208=$S$8,SUMIFS(Однолинейка!$BX$3:$BX$3000,Однолинейка!$A$3:$A$3000,Щит_спец),""))),""))))</f>
        <v/>
      </c>
      <c r="O208" s="74"/>
      <c r="P208" s="38" t="str">
        <f t="shared" si="27"/>
        <v/>
      </c>
      <c r="U208" s="38" t="str">
        <f t="shared" si="28"/>
        <v/>
      </c>
      <c r="V208" s="38" t="str">
        <f t="shared" si="29"/>
        <v/>
      </c>
      <c r="W208" s="38" t="str">
        <f>IF(AND(U208&lt;&gt;"",OR($S$4="(все)",B208=$S$4),IF($S$4="(все)",COUNTIF($U$4:U208,U208),COUNTIFS($U$4:U208,U208,$B$4:B208,B208))=1),MAX($W$3:W207)+1,"")</f>
        <v/>
      </c>
      <c r="X208" s="38" t="str">
        <f t="shared" si="30"/>
        <v/>
      </c>
      <c r="Y208" s="38" t="str">
        <f>IF(AND(A208="Аппарат",C208&lt;&gt;"",OR($S$5="(все)",B208=$S$5)),MAX($Y$3:Y207)+1,"")</f>
        <v/>
      </c>
      <c r="Z208" s="38" t="str">
        <f t="shared" si="31"/>
        <v/>
      </c>
      <c r="AA208" s="38" t="str">
        <f>IF(AND(A208="Модуль",C208&lt;&gt;"",OR($S$6="(все)",B208=$S$6)),MAX($AA$3:AA207)+1,"")</f>
        <v/>
      </c>
      <c r="AB208" s="38" t="str">
        <f t="shared" si="32"/>
        <v/>
      </c>
      <c r="AC208" s="38" t="str">
        <f>IF(OR(B208="",COUNTIF($B$4:B208,B208)&gt;1),"",MAX($AC$3:AC207)+1)</f>
        <v/>
      </c>
      <c r="AD208" s="38" t="str">
        <f t="shared" si="33"/>
        <v/>
      </c>
      <c r="AE208" s="38" t="str">
        <f t="shared" si="34"/>
        <v/>
      </c>
      <c r="AF208" s="38" t="str">
        <f t="shared" si="35"/>
        <v/>
      </c>
    </row>
    <row r="209" spans="1:32" x14ac:dyDescent="0.3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38" t="str">
        <f>IF(OR(A209="Автомат",A209="Дифавтомат"),IF(W209="","",COUNTIFS(Однолинейка!$H$3:$H$3000,U209,Однолинейка!$A$3:$A$3000,Щит_спец)),IF(A209="Аппарат",IF(C209="","",COUNTIFS(Однолинейка!$I$3:$I$3000,C209,Однолинейка!$A$3:$A$3000,Щит_спец)+COUNTIFS(Однолинейка!$J$3:$J$3000,C209,Однолинейка!$A$3:$A$3000,Щит_спец)+COUNTIFS(Однолинейка!$K$3:$K$3000,C209,Однолинейка!$A$3:$A$3000,Щит_спец)),IF(A209="Модуль",IF(C209="","",COUNTIFS(Однолинейка!$AW$3:$AW$3000,"?*",Однолинейка!$AI$3:$AI$3000,C209,Однолинейка!$A$3:$A$3000,Щит_спец)),IF(A209="Клемма",IF(C209="","",IF(C209=$S$7,SUMIFS(Однолинейка!$BW$3:$BW$3000,Однолинейка!$A$3:$A$3000,Щит_спец),IF(C209=$S$8,SUMIFS(Однолинейка!$BX$3:$BX$3000,Однолинейка!$A$3:$A$3000,Щит_спец),""))),""))))</f>
        <v/>
      </c>
      <c r="O209" s="74"/>
      <c r="P209" s="38" t="str">
        <f t="shared" si="27"/>
        <v/>
      </c>
      <c r="U209" s="38" t="str">
        <f t="shared" si="28"/>
        <v/>
      </c>
      <c r="V209" s="38" t="str">
        <f t="shared" si="29"/>
        <v/>
      </c>
      <c r="W209" s="38" t="str">
        <f>IF(AND(U209&lt;&gt;"",OR($S$4="(все)",B209=$S$4),IF($S$4="(все)",COUNTIF($U$4:U209,U209),COUNTIFS($U$4:U209,U209,$B$4:B209,B209))=1),MAX($W$3:W208)+1,"")</f>
        <v/>
      </c>
      <c r="X209" s="38" t="str">
        <f t="shared" si="30"/>
        <v/>
      </c>
      <c r="Y209" s="38" t="str">
        <f>IF(AND(A209="Аппарат",C209&lt;&gt;"",OR($S$5="(все)",B209=$S$5)),MAX($Y$3:Y208)+1,"")</f>
        <v/>
      </c>
      <c r="Z209" s="38" t="str">
        <f t="shared" si="31"/>
        <v/>
      </c>
      <c r="AA209" s="38" t="str">
        <f>IF(AND(A209="Модуль",C209&lt;&gt;"",OR($S$6="(все)",B209=$S$6)),MAX($AA$3:AA208)+1,"")</f>
        <v/>
      </c>
      <c r="AB209" s="38" t="str">
        <f t="shared" si="32"/>
        <v/>
      </c>
      <c r="AC209" s="38" t="str">
        <f>IF(OR(B209="",COUNTIF($B$4:B209,B209)&gt;1),"",MAX($AC$3:AC208)+1)</f>
        <v/>
      </c>
      <c r="AD209" s="38" t="str">
        <f t="shared" si="33"/>
        <v/>
      </c>
      <c r="AE209" s="38" t="str">
        <f t="shared" si="34"/>
        <v/>
      </c>
      <c r="AF209" s="38" t="str">
        <f t="shared" si="35"/>
        <v/>
      </c>
    </row>
    <row r="210" spans="1:32" x14ac:dyDescent="0.3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38" t="str">
        <f>IF(OR(A210="Автомат",A210="Дифавтомат"),IF(W210="","",COUNTIFS(Однолинейка!$H$3:$H$3000,U210,Однолинейка!$A$3:$A$3000,Щит_спец)),IF(A210="Аппарат",IF(C210="","",COUNTIFS(Однолинейка!$I$3:$I$3000,C210,Однолинейка!$A$3:$A$3000,Щит_спец)+COUNTIFS(Однолинейка!$J$3:$J$3000,C210,Однолинейка!$A$3:$A$3000,Щит_спец)+COUNTIFS(Однолинейка!$K$3:$K$3000,C210,Однолинейка!$A$3:$A$3000,Щит_спец)),IF(A210="Модуль",IF(C210="","",COUNTIFS(Однолинейка!$AW$3:$AW$3000,"?*",Однолинейка!$AI$3:$AI$3000,C210,Однолинейка!$A$3:$A$3000,Щит_спец)),IF(A210="Клемма",IF(C210="","",IF(C210=$S$7,SUMIFS(Однолинейка!$BW$3:$BW$3000,Однолинейка!$A$3:$A$3000,Щит_спец),IF(C210=$S$8,SUMIFS(Однолинейка!$BX$3:$BX$3000,Однолинейка!$A$3:$A$3000,Щит_спец),""))),""))))</f>
        <v/>
      </c>
      <c r="O210" s="74"/>
      <c r="P210" s="38" t="str">
        <f t="shared" si="27"/>
        <v/>
      </c>
      <c r="U210" s="38" t="str">
        <f t="shared" si="28"/>
        <v/>
      </c>
      <c r="V210" s="38" t="str">
        <f t="shared" si="29"/>
        <v/>
      </c>
      <c r="W210" s="38" t="str">
        <f>IF(AND(U210&lt;&gt;"",OR($S$4="(все)",B210=$S$4),IF($S$4="(все)",COUNTIF($U$4:U210,U210),COUNTIFS($U$4:U210,U210,$B$4:B210,B210))=1),MAX($W$3:W209)+1,"")</f>
        <v/>
      </c>
      <c r="X210" s="38" t="str">
        <f t="shared" si="30"/>
        <v/>
      </c>
      <c r="Y210" s="38" t="str">
        <f>IF(AND(A210="Аппарат",C210&lt;&gt;"",OR($S$5="(все)",B210=$S$5)),MAX($Y$3:Y209)+1,"")</f>
        <v/>
      </c>
      <c r="Z210" s="38" t="str">
        <f t="shared" si="31"/>
        <v/>
      </c>
      <c r="AA210" s="38" t="str">
        <f>IF(AND(A210="Модуль",C210&lt;&gt;"",OR($S$6="(все)",B210=$S$6)),MAX($AA$3:AA209)+1,"")</f>
        <v/>
      </c>
      <c r="AB210" s="38" t="str">
        <f t="shared" si="32"/>
        <v/>
      </c>
      <c r="AC210" s="38" t="str">
        <f>IF(OR(B210="",COUNTIF($B$4:B210,B210)&gt;1),"",MAX($AC$3:AC209)+1)</f>
        <v/>
      </c>
      <c r="AD210" s="38" t="str">
        <f t="shared" si="33"/>
        <v/>
      </c>
      <c r="AE210" s="38" t="str">
        <f t="shared" si="34"/>
        <v/>
      </c>
      <c r="AF210" s="38" t="str">
        <f t="shared" si="35"/>
        <v/>
      </c>
    </row>
    <row r="211" spans="1:32" x14ac:dyDescent="0.3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38" t="str">
        <f>IF(OR(A211="Автомат",A211="Дифавтомат"),IF(W211="","",COUNTIFS(Однолинейка!$H$3:$H$3000,U211,Однолинейка!$A$3:$A$3000,Щит_спец)),IF(A211="Аппарат",IF(C211="","",COUNTIFS(Однолинейка!$I$3:$I$3000,C211,Однолинейка!$A$3:$A$3000,Щит_спец)+COUNTIFS(Однолинейка!$J$3:$J$3000,C211,Однолинейка!$A$3:$A$3000,Щит_спец)+COUNTIFS(Однолинейка!$K$3:$K$3000,C211,Однолинейка!$A$3:$A$3000,Щит_спец)),IF(A211="Модуль",IF(C211="","",COUNTIFS(Однолинейка!$AW$3:$AW$3000,"?*",Однолинейка!$AI$3:$AI$3000,C211,Однолинейка!$A$3:$A$3000,Щит_спец)),IF(A211="Клемма",IF(C211="","",IF(C211=$S$7,SUMIFS(Однолинейка!$BW$3:$BW$3000,Однолинейка!$A$3:$A$3000,Щит_спец),IF(C211=$S$8,SUMIFS(Однолинейка!$BX$3:$BX$3000,Однолинейка!$A$3:$A$3000,Щит_спец),""))),""))))</f>
        <v/>
      </c>
      <c r="O211" s="74"/>
      <c r="P211" s="38" t="str">
        <f t="shared" si="27"/>
        <v/>
      </c>
      <c r="U211" s="38" t="str">
        <f t="shared" si="28"/>
        <v/>
      </c>
      <c r="V211" s="38" t="str">
        <f t="shared" si="29"/>
        <v/>
      </c>
      <c r="W211" s="38" t="str">
        <f>IF(AND(U211&lt;&gt;"",OR($S$4="(все)",B211=$S$4),IF($S$4="(все)",COUNTIF($U$4:U211,U211),COUNTIFS($U$4:U211,U211,$B$4:B211,B211))=1),MAX($W$3:W210)+1,"")</f>
        <v/>
      </c>
      <c r="X211" s="38" t="str">
        <f t="shared" si="30"/>
        <v/>
      </c>
      <c r="Y211" s="38" t="str">
        <f>IF(AND(A211="Аппарат",C211&lt;&gt;"",OR($S$5="(все)",B211=$S$5)),MAX($Y$3:Y210)+1,"")</f>
        <v/>
      </c>
      <c r="Z211" s="38" t="str">
        <f t="shared" si="31"/>
        <v/>
      </c>
      <c r="AA211" s="38" t="str">
        <f>IF(AND(A211="Модуль",C211&lt;&gt;"",OR($S$6="(все)",B211=$S$6)),MAX($AA$3:AA210)+1,"")</f>
        <v/>
      </c>
      <c r="AB211" s="38" t="str">
        <f t="shared" si="32"/>
        <v/>
      </c>
      <c r="AC211" s="38" t="str">
        <f>IF(OR(B211="",COUNTIF($B$4:B211,B211)&gt;1),"",MAX($AC$3:AC210)+1)</f>
        <v/>
      </c>
      <c r="AD211" s="38" t="str">
        <f t="shared" si="33"/>
        <v/>
      </c>
      <c r="AE211" s="38" t="str">
        <f t="shared" si="34"/>
        <v/>
      </c>
      <c r="AF211" s="38" t="str">
        <f t="shared" si="35"/>
        <v/>
      </c>
    </row>
    <row r="212" spans="1:32" x14ac:dyDescent="0.3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38" t="str">
        <f>IF(OR(A212="Автомат",A212="Дифавтомат"),IF(W212="","",COUNTIFS(Однолинейка!$H$3:$H$3000,U212,Однолинейка!$A$3:$A$3000,Щит_спец)),IF(A212="Аппарат",IF(C212="","",COUNTIFS(Однолинейка!$I$3:$I$3000,C212,Однолинейка!$A$3:$A$3000,Щит_спец)+COUNTIFS(Однолинейка!$J$3:$J$3000,C212,Однолинейка!$A$3:$A$3000,Щит_спец)+COUNTIFS(Однолинейка!$K$3:$K$3000,C212,Однолинейка!$A$3:$A$3000,Щит_спец)),IF(A212="Модуль",IF(C212="","",COUNTIFS(Однолинейка!$AW$3:$AW$3000,"?*",Однолинейка!$AI$3:$AI$3000,C212,Однолинейка!$A$3:$A$3000,Щит_спец)),IF(A212="Клемма",IF(C212="","",IF(C212=$S$7,SUMIFS(Однолинейка!$BW$3:$BW$3000,Однолинейка!$A$3:$A$3000,Щит_спец),IF(C212=$S$8,SUMIFS(Однолинейка!$BX$3:$BX$3000,Однолинейка!$A$3:$A$3000,Щит_спец),""))),""))))</f>
        <v/>
      </c>
      <c r="O212" s="74"/>
      <c r="P212" s="38" t="str">
        <f t="shared" si="27"/>
        <v/>
      </c>
      <c r="U212" s="38" t="str">
        <f t="shared" si="28"/>
        <v/>
      </c>
      <c r="V212" s="38" t="str">
        <f t="shared" si="29"/>
        <v/>
      </c>
      <c r="W212" s="38" t="str">
        <f>IF(AND(U212&lt;&gt;"",OR($S$4="(все)",B212=$S$4),IF($S$4="(все)",COUNTIF($U$4:U212,U212),COUNTIFS($U$4:U212,U212,$B$4:B212,B212))=1),MAX($W$3:W211)+1,"")</f>
        <v/>
      </c>
      <c r="X212" s="38" t="str">
        <f t="shared" si="30"/>
        <v/>
      </c>
      <c r="Y212" s="38" t="str">
        <f>IF(AND(A212="Аппарат",C212&lt;&gt;"",OR($S$5="(все)",B212=$S$5)),MAX($Y$3:Y211)+1,"")</f>
        <v/>
      </c>
      <c r="Z212" s="38" t="str">
        <f t="shared" si="31"/>
        <v/>
      </c>
      <c r="AA212" s="38" t="str">
        <f>IF(AND(A212="Модуль",C212&lt;&gt;"",OR($S$6="(все)",B212=$S$6)),MAX($AA$3:AA211)+1,"")</f>
        <v/>
      </c>
      <c r="AB212" s="38" t="str">
        <f t="shared" si="32"/>
        <v/>
      </c>
      <c r="AC212" s="38" t="str">
        <f>IF(OR(B212="",COUNTIF($B$4:B212,B212)&gt;1),"",MAX($AC$3:AC211)+1)</f>
        <v/>
      </c>
      <c r="AD212" s="38" t="str">
        <f t="shared" si="33"/>
        <v/>
      </c>
      <c r="AE212" s="38" t="str">
        <f t="shared" si="34"/>
        <v/>
      </c>
      <c r="AF212" s="38" t="str">
        <f t="shared" si="35"/>
        <v/>
      </c>
    </row>
    <row r="213" spans="1:32" x14ac:dyDescent="0.3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38" t="str">
        <f>IF(OR(A213="Автомат",A213="Дифавтомат"),IF(W213="","",COUNTIFS(Однолинейка!$H$3:$H$3000,U213,Однолинейка!$A$3:$A$3000,Щит_спец)),IF(A213="Аппарат",IF(C213="","",COUNTIFS(Однолинейка!$I$3:$I$3000,C213,Однолинейка!$A$3:$A$3000,Щит_спец)+COUNTIFS(Однолинейка!$J$3:$J$3000,C213,Однолинейка!$A$3:$A$3000,Щит_спец)+COUNTIFS(Однолинейка!$K$3:$K$3000,C213,Однолинейка!$A$3:$A$3000,Щит_спец)),IF(A213="Модуль",IF(C213="","",COUNTIFS(Однолинейка!$AW$3:$AW$3000,"?*",Однолинейка!$AI$3:$AI$3000,C213,Однолинейка!$A$3:$A$3000,Щит_спец)),IF(A213="Клемма",IF(C213="","",IF(C213=$S$7,SUMIFS(Однолинейка!$BW$3:$BW$3000,Однолинейка!$A$3:$A$3000,Щит_спец),IF(C213=$S$8,SUMIFS(Однолинейка!$BX$3:$BX$3000,Однолинейка!$A$3:$A$3000,Щит_спец),""))),""))))</f>
        <v/>
      </c>
      <c r="O213" s="74"/>
      <c r="P213" s="38" t="str">
        <f t="shared" si="27"/>
        <v/>
      </c>
      <c r="U213" s="38" t="str">
        <f t="shared" si="28"/>
        <v/>
      </c>
      <c r="V213" s="38" t="str">
        <f t="shared" si="29"/>
        <v/>
      </c>
      <c r="W213" s="38" t="str">
        <f>IF(AND(U213&lt;&gt;"",OR($S$4="(все)",B213=$S$4),IF($S$4="(все)",COUNTIF($U$4:U213,U213),COUNTIFS($U$4:U213,U213,$B$4:B213,B213))=1),MAX($W$3:W212)+1,"")</f>
        <v/>
      </c>
      <c r="X213" s="38" t="str">
        <f t="shared" si="30"/>
        <v/>
      </c>
      <c r="Y213" s="38" t="str">
        <f>IF(AND(A213="Аппарат",C213&lt;&gt;"",OR($S$5="(все)",B213=$S$5)),MAX($Y$3:Y212)+1,"")</f>
        <v/>
      </c>
      <c r="Z213" s="38" t="str">
        <f t="shared" si="31"/>
        <v/>
      </c>
      <c r="AA213" s="38" t="str">
        <f>IF(AND(A213="Модуль",C213&lt;&gt;"",OR($S$6="(все)",B213=$S$6)),MAX($AA$3:AA212)+1,"")</f>
        <v/>
      </c>
      <c r="AB213" s="38" t="str">
        <f t="shared" si="32"/>
        <v/>
      </c>
      <c r="AC213" s="38" t="str">
        <f>IF(OR(B213="",COUNTIF($B$4:B213,B213)&gt;1),"",MAX($AC$3:AC212)+1)</f>
        <v/>
      </c>
      <c r="AD213" s="38" t="str">
        <f t="shared" si="33"/>
        <v/>
      </c>
      <c r="AE213" s="38" t="str">
        <f t="shared" si="34"/>
        <v/>
      </c>
      <c r="AF213" s="38" t="str">
        <f t="shared" si="35"/>
        <v/>
      </c>
    </row>
    <row r="214" spans="1:32" x14ac:dyDescent="0.3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38" t="str">
        <f>IF(OR(A214="Автомат",A214="Дифавтомат"),IF(W214="","",COUNTIFS(Однолинейка!$H$3:$H$3000,U214,Однолинейка!$A$3:$A$3000,Щит_спец)),IF(A214="Аппарат",IF(C214="","",COUNTIFS(Однолинейка!$I$3:$I$3000,C214,Однолинейка!$A$3:$A$3000,Щит_спец)+COUNTIFS(Однолинейка!$J$3:$J$3000,C214,Однолинейка!$A$3:$A$3000,Щит_спец)+COUNTIFS(Однолинейка!$K$3:$K$3000,C214,Однолинейка!$A$3:$A$3000,Щит_спец)),IF(A214="Модуль",IF(C214="","",COUNTIFS(Однолинейка!$AW$3:$AW$3000,"?*",Однолинейка!$AI$3:$AI$3000,C214,Однолинейка!$A$3:$A$3000,Щит_спец)),IF(A214="Клемма",IF(C214="","",IF(C214=$S$7,SUMIFS(Однолинейка!$BW$3:$BW$3000,Однолинейка!$A$3:$A$3000,Щит_спец),IF(C214=$S$8,SUMIFS(Однолинейка!$BX$3:$BX$3000,Однолинейка!$A$3:$A$3000,Щит_спец),""))),""))))</f>
        <v/>
      </c>
      <c r="O214" s="74"/>
      <c r="P214" s="38" t="str">
        <f t="shared" si="27"/>
        <v/>
      </c>
      <c r="U214" s="38" t="str">
        <f t="shared" si="28"/>
        <v/>
      </c>
      <c r="V214" s="38" t="str">
        <f t="shared" si="29"/>
        <v/>
      </c>
      <c r="W214" s="38" t="str">
        <f>IF(AND(U214&lt;&gt;"",OR($S$4="(все)",B214=$S$4),IF($S$4="(все)",COUNTIF($U$4:U214,U214),COUNTIFS($U$4:U214,U214,$B$4:B214,B214))=1),MAX($W$3:W213)+1,"")</f>
        <v/>
      </c>
      <c r="X214" s="38" t="str">
        <f t="shared" si="30"/>
        <v/>
      </c>
      <c r="Y214" s="38" t="str">
        <f>IF(AND(A214="Аппарат",C214&lt;&gt;"",OR($S$5="(все)",B214=$S$5)),MAX($Y$3:Y213)+1,"")</f>
        <v/>
      </c>
      <c r="Z214" s="38" t="str">
        <f t="shared" si="31"/>
        <v/>
      </c>
      <c r="AA214" s="38" t="str">
        <f>IF(AND(A214="Модуль",C214&lt;&gt;"",OR($S$6="(все)",B214=$S$6)),MAX($AA$3:AA213)+1,"")</f>
        <v/>
      </c>
      <c r="AB214" s="38" t="str">
        <f t="shared" si="32"/>
        <v/>
      </c>
      <c r="AC214" s="38" t="str">
        <f>IF(OR(B214="",COUNTIF($B$4:B214,B214)&gt;1),"",MAX($AC$3:AC213)+1)</f>
        <v/>
      </c>
      <c r="AD214" s="38" t="str">
        <f t="shared" si="33"/>
        <v/>
      </c>
      <c r="AE214" s="38" t="str">
        <f t="shared" si="34"/>
        <v/>
      </c>
      <c r="AF214" s="38" t="str">
        <f t="shared" si="35"/>
        <v/>
      </c>
    </row>
    <row r="215" spans="1:32" x14ac:dyDescent="0.3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38" t="str">
        <f>IF(OR(A215="Автомат",A215="Дифавтомат"),IF(W215="","",COUNTIFS(Однолинейка!$H$3:$H$3000,U215,Однолинейка!$A$3:$A$3000,Щит_спец)),IF(A215="Аппарат",IF(C215="","",COUNTIFS(Однолинейка!$I$3:$I$3000,C215,Однолинейка!$A$3:$A$3000,Щит_спец)+COUNTIFS(Однолинейка!$J$3:$J$3000,C215,Однолинейка!$A$3:$A$3000,Щит_спец)+COUNTIFS(Однолинейка!$K$3:$K$3000,C215,Однолинейка!$A$3:$A$3000,Щит_спец)),IF(A215="Модуль",IF(C215="","",COUNTIFS(Однолинейка!$AW$3:$AW$3000,"?*",Однолинейка!$AI$3:$AI$3000,C215,Однолинейка!$A$3:$A$3000,Щит_спец)),IF(A215="Клемма",IF(C215="","",IF(C215=$S$7,SUMIFS(Однолинейка!$BW$3:$BW$3000,Однолинейка!$A$3:$A$3000,Щит_спец),IF(C215=$S$8,SUMIFS(Однолинейка!$BX$3:$BX$3000,Однолинейка!$A$3:$A$3000,Щит_спец),""))),""))))</f>
        <v/>
      </c>
      <c r="O215" s="74"/>
      <c r="P215" s="38" t="str">
        <f t="shared" si="27"/>
        <v/>
      </c>
      <c r="U215" s="38" t="str">
        <f t="shared" si="28"/>
        <v/>
      </c>
      <c r="V215" s="38" t="str">
        <f t="shared" si="29"/>
        <v/>
      </c>
      <c r="W215" s="38" t="str">
        <f>IF(AND(U215&lt;&gt;"",OR($S$4="(все)",B215=$S$4),IF($S$4="(все)",COUNTIF($U$4:U215,U215),COUNTIFS($U$4:U215,U215,$B$4:B215,B215))=1),MAX($W$3:W214)+1,"")</f>
        <v/>
      </c>
      <c r="X215" s="38" t="str">
        <f t="shared" si="30"/>
        <v/>
      </c>
      <c r="Y215" s="38" t="str">
        <f>IF(AND(A215="Аппарат",C215&lt;&gt;"",OR($S$5="(все)",B215=$S$5)),MAX($Y$3:Y214)+1,"")</f>
        <v/>
      </c>
      <c r="Z215" s="38" t="str">
        <f t="shared" si="31"/>
        <v/>
      </c>
      <c r="AA215" s="38" t="str">
        <f>IF(AND(A215="Модуль",C215&lt;&gt;"",OR($S$6="(все)",B215=$S$6)),MAX($AA$3:AA214)+1,"")</f>
        <v/>
      </c>
      <c r="AB215" s="38" t="str">
        <f t="shared" si="32"/>
        <v/>
      </c>
      <c r="AC215" s="38" t="str">
        <f>IF(OR(B215="",COUNTIF($B$4:B215,B215)&gt;1),"",MAX($AC$3:AC214)+1)</f>
        <v/>
      </c>
      <c r="AD215" s="38" t="str">
        <f t="shared" si="33"/>
        <v/>
      </c>
      <c r="AE215" s="38" t="str">
        <f t="shared" si="34"/>
        <v/>
      </c>
      <c r="AF215" s="38" t="str">
        <f t="shared" si="35"/>
        <v/>
      </c>
    </row>
    <row r="216" spans="1:32" x14ac:dyDescent="0.3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38" t="str">
        <f>IF(OR(A216="Автомат",A216="Дифавтомат"),IF(W216="","",COUNTIFS(Однолинейка!$H$3:$H$3000,U216,Однолинейка!$A$3:$A$3000,Щит_спец)),IF(A216="Аппарат",IF(C216="","",COUNTIFS(Однолинейка!$I$3:$I$3000,C216,Однолинейка!$A$3:$A$3000,Щит_спец)+COUNTIFS(Однолинейка!$J$3:$J$3000,C216,Однолинейка!$A$3:$A$3000,Щит_спец)+COUNTIFS(Однолинейка!$K$3:$K$3000,C216,Однолинейка!$A$3:$A$3000,Щит_спец)),IF(A216="Модуль",IF(C216="","",COUNTIFS(Однолинейка!$AW$3:$AW$3000,"?*",Однолинейка!$AI$3:$AI$3000,C216,Однолинейка!$A$3:$A$3000,Щит_спец)),IF(A216="Клемма",IF(C216="","",IF(C216=$S$7,SUMIFS(Однолинейка!$BW$3:$BW$3000,Однолинейка!$A$3:$A$3000,Щит_спец),IF(C216=$S$8,SUMIFS(Однолинейка!$BX$3:$BX$3000,Однолинейка!$A$3:$A$3000,Щит_спец),""))),""))))</f>
        <v/>
      </c>
      <c r="O216" s="74"/>
      <c r="P216" s="38" t="str">
        <f t="shared" si="27"/>
        <v/>
      </c>
      <c r="U216" s="38" t="str">
        <f t="shared" si="28"/>
        <v/>
      </c>
      <c r="V216" s="38" t="str">
        <f t="shared" si="29"/>
        <v/>
      </c>
      <c r="W216" s="38" t="str">
        <f>IF(AND(U216&lt;&gt;"",OR($S$4="(все)",B216=$S$4),IF($S$4="(все)",COUNTIF($U$4:U216,U216),COUNTIFS($U$4:U216,U216,$B$4:B216,B216))=1),MAX($W$3:W215)+1,"")</f>
        <v/>
      </c>
      <c r="X216" s="38" t="str">
        <f t="shared" si="30"/>
        <v/>
      </c>
      <c r="Y216" s="38" t="str">
        <f>IF(AND(A216="Аппарат",C216&lt;&gt;"",OR($S$5="(все)",B216=$S$5)),MAX($Y$3:Y215)+1,"")</f>
        <v/>
      </c>
      <c r="Z216" s="38" t="str">
        <f t="shared" si="31"/>
        <v/>
      </c>
      <c r="AA216" s="38" t="str">
        <f>IF(AND(A216="Модуль",C216&lt;&gt;"",OR($S$6="(все)",B216=$S$6)),MAX($AA$3:AA215)+1,"")</f>
        <v/>
      </c>
      <c r="AB216" s="38" t="str">
        <f t="shared" si="32"/>
        <v/>
      </c>
      <c r="AC216" s="38" t="str">
        <f>IF(OR(B216="",COUNTIF($B$4:B216,B216)&gt;1),"",MAX($AC$3:AC215)+1)</f>
        <v/>
      </c>
      <c r="AD216" s="38" t="str">
        <f t="shared" si="33"/>
        <v/>
      </c>
      <c r="AE216" s="38" t="str">
        <f t="shared" si="34"/>
        <v/>
      </c>
      <c r="AF216" s="38" t="str">
        <f t="shared" si="35"/>
        <v/>
      </c>
    </row>
    <row r="217" spans="1:32" x14ac:dyDescent="0.3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38" t="str">
        <f>IF(OR(A217="Автомат",A217="Дифавтомат"),IF(W217="","",COUNTIFS(Однолинейка!$H$3:$H$3000,U217,Однолинейка!$A$3:$A$3000,Щит_спец)),IF(A217="Аппарат",IF(C217="","",COUNTIFS(Однолинейка!$I$3:$I$3000,C217,Однолинейка!$A$3:$A$3000,Щит_спец)+COUNTIFS(Однолинейка!$J$3:$J$3000,C217,Однолинейка!$A$3:$A$3000,Щит_спец)+COUNTIFS(Однолинейка!$K$3:$K$3000,C217,Однолинейка!$A$3:$A$3000,Щит_спец)),IF(A217="Модуль",IF(C217="","",COUNTIFS(Однолинейка!$AW$3:$AW$3000,"?*",Однолинейка!$AI$3:$AI$3000,C217,Однолинейка!$A$3:$A$3000,Щит_спец)),IF(A217="Клемма",IF(C217="","",IF(C217=$S$7,SUMIFS(Однолинейка!$BW$3:$BW$3000,Однолинейка!$A$3:$A$3000,Щит_спец),IF(C217=$S$8,SUMIFS(Однолинейка!$BX$3:$BX$3000,Однолинейка!$A$3:$A$3000,Щит_спец),""))),""))))</f>
        <v/>
      </c>
      <c r="O217" s="74"/>
      <c r="P217" s="38" t="str">
        <f t="shared" si="27"/>
        <v/>
      </c>
      <c r="U217" s="38" t="str">
        <f t="shared" si="28"/>
        <v/>
      </c>
      <c r="V217" s="38" t="str">
        <f t="shared" si="29"/>
        <v/>
      </c>
      <c r="W217" s="38" t="str">
        <f>IF(AND(U217&lt;&gt;"",OR($S$4="(все)",B217=$S$4),IF($S$4="(все)",COUNTIF($U$4:U217,U217),COUNTIFS($U$4:U217,U217,$B$4:B217,B217))=1),MAX($W$3:W216)+1,"")</f>
        <v/>
      </c>
      <c r="X217" s="38" t="str">
        <f t="shared" si="30"/>
        <v/>
      </c>
      <c r="Y217" s="38" t="str">
        <f>IF(AND(A217="Аппарат",C217&lt;&gt;"",OR($S$5="(все)",B217=$S$5)),MAX($Y$3:Y216)+1,"")</f>
        <v/>
      </c>
      <c r="Z217" s="38" t="str">
        <f t="shared" si="31"/>
        <v/>
      </c>
      <c r="AA217" s="38" t="str">
        <f>IF(AND(A217="Модуль",C217&lt;&gt;"",OR($S$6="(все)",B217=$S$6)),MAX($AA$3:AA216)+1,"")</f>
        <v/>
      </c>
      <c r="AB217" s="38" t="str">
        <f t="shared" si="32"/>
        <v/>
      </c>
      <c r="AC217" s="38" t="str">
        <f>IF(OR(B217="",COUNTIF($B$4:B217,B217)&gt;1),"",MAX($AC$3:AC216)+1)</f>
        <v/>
      </c>
      <c r="AD217" s="38" t="str">
        <f t="shared" si="33"/>
        <v/>
      </c>
      <c r="AE217" s="38" t="str">
        <f t="shared" si="34"/>
        <v/>
      </c>
      <c r="AF217" s="38" t="str">
        <f t="shared" si="35"/>
        <v/>
      </c>
    </row>
    <row r="218" spans="1:32" x14ac:dyDescent="0.3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38" t="str">
        <f>IF(OR(A218="Автомат",A218="Дифавтомат"),IF(W218="","",COUNTIFS(Однолинейка!$H$3:$H$3000,U218,Однолинейка!$A$3:$A$3000,Щит_спец)),IF(A218="Аппарат",IF(C218="","",COUNTIFS(Однолинейка!$I$3:$I$3000,C218,Однолинейка!$A$3:$A$3000,Щит_спец)+COUNTIFS(Однолинейка!$J$3:$J$3000,C218,Однолинейка!$A$3:$A$3000,Щит_спец)+COUNTIFS(Однолинейка!$K$3:$K$3000,C218,Однолинейка!$A$3:$A$3000,Щит_спец)),IF(A218="Модуль",IF(C218="","",COUNTIFS(Однолинейка!$AW$3:$AW$3000,"?*",Однолинейка!$AI$3:$AI$3000,C218,Однолинейка!$A$3:$A$3000,Щит_спец)),IF(A218="Клемма",IF(C218="","",IF(C218=$S$7,SUMIFS(Однолинейка!$BW$3:$BW$3000,Однолинейка!$A$3:$A$3000,Щит_спец),IF(C218=$S$8,SUMIFS(Однолинейка!$BX$3:$BX$3000,Однолинейка!$A$3:$A$3000,Щит_спец),""))),""))))</f>
        <v/>
      </c>
      <c r="O218" s="74"/>
      <c r="P218" s="38" t="str">
        <f t="shared" si="27"/>
        <v/>
      </c>
      <c r="U218" s="38" t="str">
        <f t="shared" si="28"/>
        <v/>
      </c>
      <c r="V218" s="38" t="str">
        <f t="shared" si="29"/>
        <v/>
      </c>
      <c r="W218" s="38" t="str">
        <f>IF(AND(U218&lt;&gt;"",OR($S$4="(все)",B218=$S$4),IF($S$4="(все)",COUNTIF($U$4:U218,U218),COUNTIFS($U$4:U218,U218,$B$4:B218,B218))=1),MAX($W$3:W217)+1,"")</f>
        <v/>
      </c>
      <c r="X218" s="38" t="str">
        <f t="shared" si="30"/>
        <v/>
      </c>
      <c r="Y218" s="38" t="str">
        <f>IF(AND(A218="Аппарат",C218&lt;&gt;"",OR($S$5="(все)",B218=$S$5)),MAX($Y$3:Y217)+1,"")</f>
        <v/>
      </c>
      <c r="Z218" s="38" t="str">
        <f t="shared" si="31"/>
        <v/>
      </c>
      <c r="AA218" s="38" t="str">
        <f>IF(AND(A218="Модуль",C218&lt;&gt;"",OR($S$6="(все)",B218=$S$6)),MAX($AA$3:AA217)+1,"")</f>
        <v/>
      </c>
      <c r="AB218" s="38" t="str">
        <f t="shared" si="32"/>
        <v/>
      </c>
      <c r="AC218" s="38" t="str">
        <f>IF(OR(B218="",COUNTIF($B$4:B218,B218)&gt;1),"",MAX($AC$3:AC217)+1)</f>
        <v/>
      </c>
      <c r="AD218" s="38" t="str">
        <f t="shared" si="33"/>
        <v/>
      </c>
      <c r="AE218" s="38" t="str">
        <f t="shared" si="34"/>
        <v/>
      </c>
      <c r="AF218" s="38" t="str">
        <f t="shared" si="35"/>
        <v/>
      </c>
    </row>
    <row r="219" spans="1:32" x14ac:dyDescent="0.3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38" t="str">
        <f>IF(OR(A219="Автомат",A219="Дифавтомат"),IF(W219="","",COUNTIFS(Однолинейка!$H$3:$H$3000,U219,Однолинейка!$A$3:$A$3000,Щит_спец)),IF(A219="Аппарат",IF(C219="","",COUNTIFS(Однолинейка!$I$3:$I$3000,C219,Однолинейка!$A$3:$A$3000,Щит_спец)+COUNTIFS(Однолинейка!$J$3:$J$3000,C219,Однолинейка!$A$3:$A$3000,Щит_спец)+COUNTIFS(Однолинейка!$K$3:$K$3000,C219,Однолинейка!$A$3:$A$3000,Щит_спец)),IF(A219="Модуль",IF(C219="","",COUNTIFS(Однолинейка!$AW$3:$AW$3000,"?*",Однолинейка!$AI$3:$AI$3000,C219,Однолинейка!$A$3:$A$3000,Щит_спец)),IF(A219="Клемма",IF(C219="","",IF(C219=$S$7,SUMIFS(Однолинейка!$BW$3:$BW$3000,Однолинейка!$A$3:$A$3000,Щит_спец),IF(C219=$S$8,SUMIFS(Однолинейка!$BX$3:$BX$3000,Однолинейка!$A$3:$A$3000,Щит_спец),""))),""))))</f>
        <v/>
      </c>
      <c r="O219" s="74"/>
      <c r="P219" s="38" t="str">
        <f t="shared" si="27"/>
        <v/>
      </c>
      <c r="U219" s="38" t="str">
        <f t="shared" si="28"/>
        <v/>
      </c>
      <c r="V219" s="38" t="str">
        <f t="shared" si="29"/>
        <v/>
      </c>
      <c r="W219" s="38" t="str">
        <f>IF(AND(U219&lt;&gt;"",OR($S$4="(все)",B219=$S$4),IF($S$4="(все)",COUNTIF($U$4:U219,U219),COUNTIFS($U$4:U219,U219,$B$4:B219,B219))=1),MAX($W$3:W218)+1,"")</f>
        <v/>
      </c>
      <c r="X219" s="38" t="str">
        <f t="shared" si="30"/>
        <v/>
      </c>
      <c r="Y219" s="38" t="str">
        <f>IF(AND(A219="Аппарат",C219&lt;&gt;"",OR($S$5="(все)",B219=$S$5)),MAX($Y$3:Y218)+1,"")</f>
        <v/>
      </c>
      <c r="Z219" s="38" t="str">
        <f t="shared" si="31"/>
        <v/>
      </c>
      <c r="AA219" s="38" t="str">
        <f>IF(AND(A219="Модуль",C219&lt;&gt;"",OR($S$6="(все)",B219=$S$6)),MAX($AA$3:AA218)+1,"")</f>
        <v/>
      </c>
      <c r="AB219" s="38" t="str">
        <f t="shared" si="32"/>
        <v/>
      </c>
      <c r="AC219" s="38" t="str">
        <f>IF(OR(B219="",COUNTIF($B$4:B219,B219)&gt;1),"",MAX($AC$3:AC218)+1)</f>
        <v/>
      </c>
      <c r="AD219" s="38" t="str">
        <f t="shared" si="33"/>
        <v/>
      </c>
      <c r="AE219" s="38" t="str">
        <f t="shared" si="34"/>
        <v/>
      </c>
      <c r="AF219" s="38" t="str">
        <f t="shared" si="35"/>
        <v/>
      </c>
    </row>
    <row r="220" spans="1:32" x14ac:dyDescent="0.3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38" t="str">
        <f>IF(OR(A220="Автомат",A220="Дифавтомат"),IF(W220="","",COUNTIFS(Однолинейка!$H$3:$H$3000,U220,Однолинейка!$A$3:$A$3000,Щит_спец)),IF(A220="Аппарат",IF(C220="","",COUNTIFS(Однолинейка!$I$3:$I$3000,C220,Однолинейка!$A$3:$A$3000,Щит_спец)+COUNTIFS(Однолинейка!$J$3:$J$3000,C220,Однолинейка!$A$3:$A$3000,Щит_спец)+COUNTIFS(Однолинейка!$K$3:$K$3000,C220,Однолинейка!$A$3:$A$3000,Щит_спец)),IF(A220="Модуль",IF(C220="","",COUNTIFS(Однолинейка!$AW$3:$AW$3000,"?*",Однолинейка!$AI$3:$AI$3000,C220,Однолинейка!$A$3:$A$3000,Щит_спец)),IF(A220="Клемма",IF(C220="","",IF(C220=$S$7,SUMIFS(Однолинейка!$BW$3:$BW$3000,Однолинейка!$A$3:$A$3000,Щит_спец),IF(C220=$S$8,SUMIFS(Однолинейка!$BX$3:$BX$3000,Однолинейка!$A$3:$A$3000,Щит_спец),""))),""))))</f>
        <v/>
      </c>
      <c r="O220" s="74"/>
      <c r="P220" s="38" t="str">
        <f t="shared" si="27"/>
        <v/>
      </c>
      <c r="U220" s="38" t="str">
        <f t="shared" si="28"/>
        <v/>
      </c>
      <c r="V220" s="38" t="str">
        <f t="shared" si="29"/>
        <v/>
      </c>
      <c r="W220" s="38" t="str">
        <f>IF(AND(U220&lt;&gt;"",OR($S$4="(все)",B220=$S$4),IF($S$4="(все)",COUNTIF($U$4:U220,U220),COUNTIFS($U$4:U220,U220,$B$4:B220,B220))=1),MAX($W$3:W219)+1,"")</f>
        <v/>
      </c>
      <c r="X220" s="38" t="str">
        <f t="shared" si="30"/>
        <v/>
      </c>
      <c r="Y220" s="38" t="str">
        <f>IF(AND(A220="Аппарат",C220&lt;&gt;"",OR($S$5="(все)",B220=$S$5)),MAX($Y$3:Y219)+1,"")</f>
        <v/>
      </c>
      <c r="Z220" s="38" t="str">
        <f t="shared" si="31"/>
        <v/>
      </c>
      <c r="AA220" s="38" t="str">
        <f>IF(AND(A220="Модуль",C220&lt;&gt;"",OR($S$6="(все)",B220=$S$6)),MAX($AA$3:AA219)+1,"")</f>
        <v/>
      </c>
      <c r="AB220" s="38" t="str">
        <f t="shared" si="32"/>
        <v/>
      </c>
      <c r="AC220" s="38" t="str">
        <f>IF(OR(B220="",COUNTIF($B$4:B220,B220)&gt;1),"",MAX($AC$3:AC219)+1)</f>
        <v/>
      </c>
      <c r="AD220" s="38" t="str">
        <f t="shared" si="33"/>
        <v/>
      </c>
      <c r="AE220" s="38" t="str">
        <f t="shared" si="34"/>
        <v/>
      </c>
      <c r="AF220" s="38" t="str">
        <f t="shared" si="35"/>
        <v/>
      </c>
    </row>
    <row r="221" spans="1:32" x14ac:dyDescent="0.3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38" t="str">
        <f>IF(OR(A221="Автомат",A221="Дифавтомат"),IF(W221="","",COUNTIFS(Однолинейка!$H$3:$H$3000,U221,Однолинейка!$A$3:$A$3000,Щит_спец)),IF(A221="Аппарат",IF(C221="","",COUNTIFS(Однолинейка!$I$3:$I$3000,C221,Однолинейка!$A$3:$A$3000,Щит_спец)+COUNTIFS(Однолинейка!$J$3:$J$3000,C221,Однолинейка!$A$3:$A$3000,Щит_спец)+COUNTIFS(Однолинейка!$K$3:$K$3000,C221,Однолинейка!$A$3:$A$3000,Щит_спец)),IF(A221="Модуль",IF(C221="","",COUNTIFS(Однолинейка!$AW$3:$AW$3000,"?*",Однолинейка!$AI$3:$AI$3000,C221,Однолинейка!$A$3:$A$3000,Щит_спец)),IF(A221="Клемма",IF(C221="","",IF(C221=$S$7,SUMIFS(Однолинейка!$BW$3:$BW$3000,Однолинейка!$A$3:$A$3000,Щит_спец),IF(C221=$S$8,SUMIFS(Однолинейка!$BX$3:$BX$3000,Однолинейка!$A$3:$A$3000,Щит_спец),""))),""))))</f>
        <v/>
      </c>
      <c r="O221" s="74"/>
      <c r="P221" s="38" t="str">
        <f t="shared" si="27"/>
        <v/>
      </c>
      <c r="U221" s="38" t="str">
        <f t="shared" si="28"/>
        <v/>
      </c>
      <c r="V221" s="38" t="str">
        <f t="shared" si="29"/>
        <v/>
      </c>
      <c r="W221" s="38" t="str">
        <f>IF(AND(U221&lt;&gt;"",OR($S$4="(все)",B221=$S$4),IF($S$4="(все)",COUNTIF($U$4:U221,U221),COUNTIFS($U$4:U221,U221,$B$4:B221,B221))=1),MAX($W$3:W220)+1,"")</f>
        <v/>
      </c>
      <c r="X221" s="38" t="str">
        <f t="shared" si="30"/>
        <v/>
      </c>
      <c r="Y221" s="38" t="str">
        <f>IF(AND(A221="Аппарат",C221&lt;&gt;"",OR($S$5="(все)",B221=$S$5)),MAX($Y$3:Y220)+1,"")</f>
        <v/>
      </c>
      <c r="Z221" s="38" t="str">
        <f t="shared" si="31"/>
        <v/>
      </c>
      <c r="AA221" s="38" t="str">
        <f>IF(AND(A221="Модуль",C221&lt;&gt;"",OR($S$6="(все)",B221=$S$6)),MAX($AA$3:AA220)+1,"")</f>
        <v/>
      </c>
      <c r="AB221" s="38" t="str">
        <f t="shared" si="32"/>
        <v/>
      </c>
      <c r="AC221" s="38" t="str">
        <f>IF(OR(B221="",COUNTIF($B$4:B221,B221)&gt;1),"",MAX($AC$3:AC220)+1)</f>
        <v/>
      </c>
      <c r="AD221" s="38" t="str">
        <f t="shared" si="33"/>
        <v/>
      </c>
      <c r="AE221" s="38" t="str">
        <f t="shared" si="34"/>
        <v/>
      </c>
      <c r="AF221" s="38" t="str">
        <f t="shared" si="35"/>
        <v/>
      </c>
    </row>
    <row r="222" spans="1:32" x14ac:dyDescent="0.3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38" t="str">
        <f>IF(OR(A222="Автомат",A222="Дифавтомат"),IF(W222="","",COUNTIFS(Однолинейка!$H$3:$H$3000,U222,Однолинейка!$A$3:$A$3000,Щит_спец)),IF(A222="Аппарат",IF(C222="","",COUNTIFS(Однолинейка!$I$3:$I$3000,C222,Однолинейка!$A$3:$A$3000,Щит_спец)+COUNTIFS(Однолинейка!$J$3:$J$3000,C222,Однолинейка!$A$3:$A$3000,Щит_спец)+COUNTIFS(Однолинейка!$K$3:$K$3000,C222,Однолинейка!$A$3:$A$3000,Щит_спец)),IF(A222="Модуль",IF(C222="","",COUNTIFS(Однолинейка!$AW$3:$AW$3000,"?*",Однолинейка!$AI$3:$AI$3000,C222,Однолинейка!$A$3:$A$3000,Щит_спец)),IF(A222="Клемма",IF(C222="","",IF(C222=$S$7,SUMIFS(Однолинейка!$BW$3:$BW$3000,Однолинейка!$A$3:$A$3000,Щит_спец),IF(C222=$S$8,SUMIFS(Однолинейка!$BX$3:$BX$3000,Однолинейка!$A$3:$A$3000,Щит_спец),""))),""))))</f>
        <v/>
      </c>
      <c r="O222" s="74"/>
      <c r="P222" s="38" t="str">
        <f t="shared" si="27"/>
        <v/>
      </c>
      <c r="U222" s="38" t="str">
        <f t="shared" si="28"/>
        <v/>
      </c>
      <c r="V222" s="38" t="str">
        <f t="shared" si="29"/>
        <v/>
      </c>
      <c r="W222" s="38" t="str">
        <f>IF(AND(U222&lt;&gt;"",OR($S$4="(все)",B222=$S$4),IF($S$4="(все)",COUNTIF($U$4:U222,U222),COUNTIFS($U$4:U222,U222,$B$4:B222,B222))=1),MAX($W$3:W221)+1,"")</f>
        <v/>
      </c>
      <c r="X222" s="38" t="str">
        <f t="shared" si="30"/>
        <v/>
      </c>
      <c r="Y222" s="38" t="str">
        <f>IF(AND(A222="Аппарат",C222&lt;&gt;"",OR($S$5="(все)",B222=$S$5)),MAX($Y$3:Y221)+1,"")</f>
        <v/>
      </c>
      <c r="Z222" s="38" t="str">
        <f t="shared" si="31"/>
        <v/>
      </c>
      <c r="AA222" s="38" t="str">
        <f>IF(AND(A222="Модуль",C222&lt;&gt;"",OR($S$6="(все)",B222=$S$6)),MAX($AA$3:AA221)+1,"")</f>
        <v/>
      </c>
      <c r="AB222" s="38" t="str">
        <f t="shared" si="32"/>
        <v/>
      </c>
      <c r="AC222" s="38" t="str">
        <f>IF(OR(B222="",COUNTIF($B$4:B222,B222)&gt;1),"",MAX($AC$3:AC221)+1)</f>
        <v/>
      </c>
      <c r="AD222" s="38" t="str">
        <f t="shared" si="33"/>
        <v/>
      </c>
      <c r="AE222" s="38" t="str">
        <f t="shared" si="34"/>
        <v/>
      </c>
      <c r="AF222" s="38" t="str">
        <f t="shared" si="35"/>
        <v/>
      </c>
    </row>
    <row r="223" spans="1:32" x14ac:dyDescent="0.3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38" t="str">
        <f>IF(OR(A223="Автомат",A223="Дифавтомат"),IF(W223="","",COUNTIFS(Однолинейка!$H$3:$H$3000,U223,Однолинейка!$A$3:$A$3000,Щит_спец)),IF(A223="Аппарат",IF(C223="","",COUNTIFS(Однолинейка!$I$3:$I$3000,C223,Однолинейка!$A$3:$A$3000,Щит_спец)+COUNTIFS(Однолинейка!$J$3:$J$3000,C223,Однолинейка!$A$3:$A$3000,Щит_спец)+COUNTIFS(Однолинейка!$K$3:$K$3000,C223,Однолинейка!$A$3:$A$3000,Щит_спец)),IF(A223="Модуль",IF(C223="","",COUNTIFS(Однолинейка!$AW$3:$AW$3000,"?*",Однолинейка!$AI$3:$AI$3000,C223,Однолинейка!$A$3:$A$3000,Щит_спец)),IF(A223="Клемма",IF(C223="","",IF(C223=$S$7,SUMIFS(Однолинейка!$BW$3:$BW$3000,Однолинейка!$A$3:$A$3000,Щит_спец),IF(C223=$S$8,SUMIFS(Однолинейка!$BX$3:$BX$3000,Однолинейка!$A$3:$A$3000,Щит_спец),""))),""))))</f>
        <v/>
      </c>
      <c r="O223" s="74"/>
      <c r="P223" s="38" t="str">
        <f t="shared" si="27"/>
        <v/>
      </c>
      <c r="U223" s="38" t="str">
        <f t="shared" si="28"/>
        <v/>
      </c>
      <c r="V223" s="38" t="str">
        <f t="shared" si="29"/>
        <v/>
      </c>
      <c r="W223" s="38" t="str">
        <f>IF(AND(U223&lt;&gt;"",OR($S$4="(все)",B223=$S$4),IF($S$4="(все)",COUNTIF($U$4:U223,U223),COUNTIFS($U$4:U223,U223,$B$4:B223,B223))=1),MAX($W$3:W222)+1,"")</f>
        <v/>
      </c>
      <c r="X223" s="38" t="str">
        <f t="shared" si="30"/>
        <v/>
      </c>
      <c r="Y223" s="38" t="str">
        <f>IF(AND(A223="Аппарат",C223&lt;&gt;"",OR($S$5="(все)",B223=$S$5)),MAX($Y$3:Y222)+1,"")</f>
        <v/>
      </c>
      <c r="Z223" s="38" t="str">
        <f t="shared" si="31"/>
        <v/>
      </c>
      <c r="AA223" s="38" t="str">
        <f>IF(AND(A223="Модуль",C223&lt;&gt;"",OR($S$6="(все)",B223=$S$6)),MAX($AA$3:AA222)+1,"")</f>
        <v/>
      </c>
      <c r="AB223" s="38" t="str">
        <f t="shared" si="32"/>
        <v/>
      </c>
      <c r="AC223" s="38" t="str">
        <f>IF(OR(B223="",COUNTIF($B$4:B223,B223)&gt;1),"",MAX($AC$3:AC222)+1)</f>
        <v/>
      </c>
      <c r="AD223" s="38" t="str">
        <f t="shared" si="33"/>
        <v/>
      </c>
      <c r="AE223" s="38" t="str">
        <f t="shared" si="34"/>
        <v/>
      </c>
      <c r="AF223" s="38" t="str">
        <f t="shared" si="35"/>
        <v/>
      </c>
    </row>
    <row r="224" spans="1:32" x14ac:dyDescent="0.3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38" t="str">
        <f>IF(OR(A224="Автомат",A224="Дифавтомат"),IF(W224="","",COUNTIFS(Однолинейка!$H$3:$H$3000,U224,Однолинейка!$A$3:$A$3000,Щит_спец)),IF(A224="Аппарат",IF(C224="","",COUNTIFS(Однолинейка!$I$3:$I$3000,C224,Однолинейка!$A$3:$A$3000,Щит_спец)+COUNTIFS(Однолинейка!$J$3:$J$3000,C224,Однолинейка!$A$3:$A$3000,Щит_спец)+COUNTIFS(Однолинейка!$K$3:$K$3000,C224,Однолинейка!$A$3:$A$3000,Щит_спец)),IF(A224="Модуль",IF(C224="","",COUNTIFS(Однолинейка!$AW$3:$AW$3000,"?*",Однолинейка!$AI$3:$AI$3000,C224,Однолинейка!$A$3:$A$3000,Щит_спец)),IF(A224="Клемма",IF(C224="","",IF(C224=$S$7,SUMIFS(Однолинейка!$BW$3:$BW$3000,Однолинейка!$A$3:$A$3000,Щит_спец),IF(C224=$S$8,SUMIFS(Однолинейка!$BX$3:$BX$3000,Однолинейка!$A$3:$A$3000,Щит_спец),""))),""))))</f>
        <v/>
      </c>
      <c r="O224" s="74"/>
      <c r="P224" s="38" t="str">
        <f t="shared" si="27"/>
        <v/>
      </c>
      <c r="U224" s="38" t="str">
        <f t="shared" si="28"/>
        <v/>
      </c>
      <c r="V224" s="38" t="str">
        <f t="shared" si="29"/>
        <v/>
      </c>
      <c r="W224" s="38" t="str">
        <f>IF(AND(U224&lt;&gt;"",OR($S$4="(все)",B224=$S$4),IF($S$4="(все)",COUNTIF($U$4:U224,U224),COUNTIFS($U$4:U224,U224,$B$4:B224,B224))=1),MAX($W$3:W223)+1,"")</f>
        <v/>
      </c>
      <c r="X224" s="38" t="str">
        <f t="shared" si="30"/>
        <v/>
      </c>
      <c r="Y224" s="38" t="str">
        <f>IF(AND(A224="Аппарат",C224&lt;&gt;"",OR($S$5="(все)",B224=$S$5)),MAX($Y$3:Y223)+1,"")</f>
        <v/>
      </c>
      <c r="Z224" s="38" t="str">
        <f t="shared" si="31"/>
        <v/>
      </c>
      <c r="AA224" s="38" t="str">
        <f>IF(AND(A224="Модуль",C224&lt;&gt;"",OR($S$6="(все)",B224=$S$6)),MAX($AA$3:AA223)+1,"")</f>
        <v/>
      </c>
      <c r="AB224" s="38" t="str">
        <f t="shared" si="32"/>
        <v/>
      </c>
      <c r="AC224" s="38" t="str">
        <f>IF(OR(B224="",COUNTIF($B$4:B224,B224)&gt;1),"",MAX($AC$3:AC223)+1)</f>
        <v/>
      </c>
      <c r="AD224" s="38" t="str">
        <f t="shared" si="33"/>
        <v/>
      </c>
      <c r="AE224" s="38" t="str">
        <f t="shared" si="34"/>
        <v/>
      </c>
      <c r="AF224" s="38" t="str">
        <f t="shared" si="35"/>
        <v/>
      </c>
    </row>
    <row r="225" spans="1:32" x14ac:dyDescent="0.3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38" t="str">
        <f>IF(OR(A225="Автомат",A225="Дифавтомат"),IF(W225="","",COUNTIFS(Однолинейка!$H$3:$H$3000,U225,Однолинейка!$A$3:$A$3000,Щит_спец)),IF(A225="Аппарат",IF(C225="","",COUNTIFS(Однолинейка!$I$3:$I$3000,C225,Однолинейка!$A$3:$A$3000,Щит_спец)+COUNTIFS(Однолинейка!$J$3:$J$3000,C225,Однолинейка!$A$3:$A$3000,Щит_спец)+COUNTIFS(Однолинейка!$K$3:$K$3000,C225,Однолинейка!$A$3:$A$3000,Щит_спец)),IF(A225="Модуль",IF(C225="","",COUNTIFS(Однолинейка!$AW$3:$AW$3000,"?*",Однолинейка!$AI$3:$AI$3000,C225,Однолинейка!$A$3:$A$3000,Щит_спец)),IF(A225="Клемма",IF(C225="","",IF(C225=$S$7,SUMIFS(Однолинейка!$BW$3:$BW$3000,Однолинейка!$A$3:$A$3000,Щит_спец),IF(C225=$S$8,SUMIFS(Однолинейка!$BX$3:$BX$3000,Однолинейка!$A$3:$A$3000,Щит_спец),""))),""))))</f>
        <v/>
      </c>
      <c r="O225" s="74"/>
      <c r="P225" s="38" t="str">
        <f t="shared" si="27"/>
        <v/>
      </c>
      <c r="U225" s="38" t="str">
        <f t="shared" si="28"/>
        <v/>
      </c>
      <c r="V225" s="38" t="str">
        <f t="shared" si="29"/>
        <v/>
      </c>
      <c r="W225" s="38" t="str">
        <f>IF(AND(U225&lt;&gt;"",OR($S$4="(все)",B225=$S$4),IF($S$4="(все)",COUNTIF($U$4:U225,U225),COUNTIFS($U$4:U225,U225,$B$4:B225,B225))=1),MAX($W$3:W224)+1,"")</f>
        <v/>
      </c>
      <c r="X225" s="38" t="str">
        <f t="shared" si="30"/>
        <v/>
      </c>
      <c r="Y225" s="38" t="str">
        <f>IF(AND(A225="Аппарат",C225&lt;&gt;"",OR($S$5="(все)",B225=$S$5)),MAX($Y$3:Y224)+1,"")</f>
        <v/>
      </c>
      <c r="Z225" s="38" t="str">
        <f t="shared" si="31"/>
        <v/>
      </c>
      <c r="AA225" s="38" t="str">
        <f>IF(AND(A225="Модуль",C225&lt;&gt;"",OR($S$6="(все)",B225=$S$6)),MAX($AA$3:AA224)+1,"")</f>
        <v/>
      </c>
      <c r="AB225" s="38" t="str">
        <f t="shared" si="32"/>
        <v/>
      </c>
      <c r="AC225" s="38" t="str">
        <f>IF(OR(B225="",COUNTIF($B$4:B225,B225)&gt;1),"",MAX($AC$3:AC224)+1)</f>
        <v/>
      </c>
      <c r="AD225" s="38" t="str">
        <f t="shared" si="33"/>
        <v/>
      </c>
      <c r="AE225" s="38" t="str">
        <f t="shared" si="34"/>
        <v/>
      </c>
      <c r="AF225" s="38" t="str">
        <f t="shared" si="35"/>
        <v/>
      </c>
    </row>
    <row r="226" spans="1:32" x14ac:dyDescent="0.3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38" t="str">
        <f>IF(OR(A226="Автомат",A226="Дифавтомат"),IF(W226="","",COUNTIFS(Однолинейка!$H$3:$H$3000,U226,Однолинейка!$A$3:$A$3000,Щит_спец)),IF(A226="Аппарат",IF(C226="","",COUNTIFS(Однолинейка!$I$3:$I$3000,C226,Однолинейка!$A$3:$A$3000,Щит_спец)+COUNTIFS(Однолинейка!$J$3:$J$3000,C226,Однолинейка!$A$3:$A$3000,Щит_спец)+COUNTIFS(Однолинейка!$K$3:$K$3000,C226,Однолинейка!$A$3:$A$3000,Щит_спец)),IF(A226="Модуль",IF(C226="","",COUNTIFS(Однолинейка!$AW$3:$AW$3000,"?*",Однолинейка!$AI$3:$AI$3000,C226,Однолинейка!$A$3:$A$3000,Щит_спец)),IF(A226="Клемма",IF(C226="","",IF(C226=$S$7,SUMIFS(Однолинейка!$BW$3:$BW$3000,Однолинейка!$A$3:$A$3000,Щит_спец),IF(C226=$S$8,SUMIFS(Однолинейка!$BX$3:$BX$3000,Однолинейка!$A$3:$A$3000,Щит_спец),""))),""))))</f>
        <v/>
      </c>
      <c r="O226" s="74"/>
      <c r="P226" s="38" t="str">
        <f t="shared" si="27"/>
        <v/>
      </c>
      <c r="U226" s="38" t="str">
        <f t="shared" si="28"/>
        <v/>
      </c>
      <c r="V226" s="38" t="str">
        <f t="shared" si="29"/>
        <v/>
      </c>
      <c r="W226" s="38" t="str">
        <f>IF(AND(U226&lt;&gt;"",OR($S$4="(все)",B226=$S$4),IF($S$4="(все)",COUNTIF($U$4:U226,U226),COUNTIFS($U$4:U226,U226,$B$4:B226,B226))=1),MAX($W$3:W225)+1,"")</f>
        <v/>
      </c>
      <c r="X226" s="38" t="str">
        <f t="shared" si="30"/>
        <v/>
      </c>
      <c r="Y226" s="38" t="str">
        <f>IF(AND(A226="Аппарат",C226&lt;&gt;"",OR($S$5="(все)",B226=$S$5)),MAX($Y$3:Y225)+1,"")</f>
        <v/>
      </c>
      <c r="Z226" s="38" t="str">
        <f t="shared" si="31"/>
        <v/>
      </c>
      <c r="AA226" s="38" t="str">
        <f>IF(AND(A226="Модуль",C226&lt;&gt;"",OR($S$6="(все)",B226=$S$6)),MAX($AA$3:AA225)+1,"")</f>
        <v/>
      </c>
      <c r="AB226" s="38" t="str">
        <f t="shared" si="32"/>
        <v/>
      </c>
      <c r="AC226" s="38" t="str">
        <f>IF(OR(B226="",COUNTIF($B$4:B226,B226)&gt;1),"",MAX($AC$3:AC225)+1)</f>
        <v/>
      </c>
      <c r="AD226" s="38" t="str">
        <f t="shared" si="33"/>
        <v/>
      </c>
      <c r="AE226" s="38" t="str">
        <f t="shared" si="34"/>
        <v/>
      </c>
      <c r="AF226" s="38" t="str">
        <f t="shared" si="35"/>
        <v/>
      </c>
    </row>
    <row r="227" spans="1:32" x14ac:dyDescent="0.3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38" t="str">
        <f>IF(OR(A227="Автомат",A227="Дифавтомат"),IF(W227="","",COUNTIFS(Однолинейка!$H$3:$H$3000,U227,Однолинейка!$A$3:$A$3000,Щит_спец)),IF(A227="Аппарат",IF(C227="","",COUNTIFS(Однолинейка!$I$3:$I$3000,C227,Однолинейка!$A$3:$A$3000,Щит_спец)+COUNTIFS(Однолинейка!$J$3:$J$3000,C227,Однолинейка!$A$3:$A$3000,Щит_спец)+COUNTIFS(Однолинейка!$K$3:$K$3000,C227,Однолинейка!$A$3:$A$3000,Щит_спец)),IF(A227="Модуль",IF(C227="","",COUNTIFS(Однолинейка!$AW$3:$AW$3000,"?*",Однолинейка!$AI$3:$AI$3000,C227,Однолинейка!$A$3:$A$3000,Щит_спец)),IF(A227="Клемма",IF(C227="","",IF(C227=$S$7,SUMIFS(Однолинейка!$BW$3:$BW$3000,Однолинейка!$A$3:$A$3000,Щит_спец),IF(C227=$S$8,SUMIFS(Однолинейка!$BX$3:$BX$3000,Однолинейка!$A$3:$A$3000,Щит_спец),""))),""))))</f>
        <v/>
      </c>
      <c r="O227" s="74"/>
      <c r="P227" s="38" t="str">
        <f t="shared" si="27"/>
        <v/>
      </c>
      <c r="U227" s="38" t="str">
        <f t="shared" si="28"/>
        <v/>
      </c>
      <c r="V227" s="38" t="str">
        <f t="shared" si="29"/>
        <v/>
      </c>
      <c r="W227" s="38" t="str">
        <f>IF(AND(U227&lt;&gt;"",OR($S$4="(все)",B227=$S$4),IF($S$4="(все)",COUNTIF($U$4:U227,U227),COUNTIFS($U$4:U227,U227,$B$4:B227,B227))=1),MAX($W$3:W226)+1,"")</f>
        <v/>
      </c>
      <c r="X227" s="38" t="str">
        <f t="shared" si="30"/>
        <v/>
      </c>
      <c r="Y227" s="38" t="str">
        <f>IF(AND(A227="Аппарат",C227&lt;&gt;"",OR($S$5="(все)",B227=$S$5)),MAX($Y$3:Y226)+1,"")</f>
        <v/>
      </c>
      <c r="Z227" s="38" t="str">
        <f t="shared" si="31"/>
        <v/>
      </c>
      <c r="AA227" s="38" t="str">
        <f>IF(AND(A227="Модуль",C227&lt;&gt;"",OR($S$6="(все)",B227=$S$6)),MAX($AA$3:AA226)+1,"")</f>
        <v/>
      </c>
      <c r="AB227" s="38" t="str">
        <f t="shared" si="32"/>
        <v/>
      </c>
      <c r="AC227" s="38" t="str">
        <f>IF(OR(B227="",COUNTIF($B$4:B227,B227)&gt;1),"",MAX($AC$3:AC226)+1)</f>
        <v/>
      </c>
      <c r="AD227" s="38" t="str">
        <f t="shared" si="33"/>
        <v/>
      </c>
      <c r="AE227" s="38" t="str">
        <f t="shared" si="34"/>
        <v/>
      </c>
      <c r="AF227" s="38" t="str">
        <f t="shared" si="35"/>
        <v/>
      </c>
    </row>
    <row r="228" spans="1:32" x14ac:dyDescent="0.3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38" t="str">
        <f>IF(OR(A228="Автомат",A228="Дифавтомат"),IF(W228="","",COUNTIFS(Однолинейка!$H$3:$H$3000,U228,Однолинейка!$A$3:$A$3000,Щит_спец)),IF(A228="Аппарат",IF(C228="","",COUNTIFS(Однолинейка!$I$3:$I$3000,C228,Однолинейка!$A$3:$A$3000,Щит_спец)+COUNTIFS(Однолинейка!$J$3:$J$3000,C228,Однолинейка!$A$3:$A$3000,Щит_спец)+COUNTIFS(Однолинейка!$K$3:$K$3000,C228,Однолинейка!$A$3:$A$3000,Щит_спец)),IF(A228="Модуль",IF(C228="","",COUNTIFS(Однолинейка!$AW$3:$AW$3000,"?*",Однолинейка!$AI$3:$AI$3000,C228,Однолинейка!$A$3:$A$3000,Щит_спец)),IF(A228="Клемма",IF(C228="","",IF(C228=$S$7,SUMIFS(Однолинейка!$BW$3:$BW$3000,Однолинейка!$A$3:$A$3000,Щит_спец),IF(C228=$S$8,SUMIFS(Однолинейка!$BX$3:$BX$3000,Однолинейка!$A$3:$A$3000,Щит_спец),""))),""))))</f>
        <v/>
      </c>
      <c r="O228" s="74"/>
      <c r="P228" s="38" t="str">
        <f t="shared" si="27"/>
        <v/>
      </c>
      <c r="U228" s="38" t="str">
        <f t="shared" si="28"/>
        <v/>
      </c>
      <c r="V228" s="38" t="str">
        <f t="shared" si="29"/>
        <v/>
      </c>
      <c r="W228" s="38" t="str">
        <f>IF(AND(U228&lt;&gt;"",OR($S$4="(все)",B228=$S$4),IF($S$4="(все)",COUNTIF($U$4:U228,U228),COUNTIFS($U$4:U228,U228,$B$4:B228,B228))=1),MAX($W$3:W227)+1,"")</f>
        <v/>
      </c>
      <c r="X228" s="38" t="str">
        <f t="shared" si="30"/>
        <v/>
      </c>
      <c r="Y228" s="38" t="str">
        <f>IF(AND(A228="Аппарат",C228&lt;&gt;"",OR($S$5="(все)",B228=$S$5)),MAX($Y$3:Y227)+1,"")</f>
        <v/>
      </c>
      <c r="Z228" s="38" t="str">
        <f t="shared" si="31"/>
        <v/>
      </c>
      <c r="AA228" s="38" t="str">
        <f>IF(AND(A228="Модуль",C228&lt;&gt;"",OR($S$6="(все)",B228=$S$6)),MAX($AA$3:AA227)+1,"")</f>
        <v/>
      </c>
      <c r="AB228" s="38" t="str">
        <f t="shared" si="32"/>
        <v/>
      </c>
      <c r="AC228" s="38" t="str">
        <f>IF(OR(B228="",COUNTIF($B$4:B228,B228)&gt;1),"",MAX($AC$3:AC227)+1)</f>
        <v/>
      </c>
      <c r="AD228" s="38" t="str">
        <f t="shared" si="33"/>
        <v/>
      </c>
      <c r="AE228" s="38" t="str">
        <f t="shared" si="34"/>
        <v/>
      </c>
      <c r="AF228" s="38" t="str">
        <f t="shared" si="35"/>
        <v/>
      </c>
    </row>
    <row r="229" spans="1:32" x14ac:dyDescent="0.3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38" t="str">
        <f>IF(OR(A229="Автомат",A229="Дифавтомат"),IF(W229="","",COUNTIFS(Однолинейка!$H$3:$H$3000,U229,Однолинейка!$A$3:$A$3000,Щит_спец)),IF(A229="Аппарат",IF(C229="","",COUNTIFS(Однолинейка!$I$3:$I$3000,C229,Однолинейка!$A$3:$A$3000,Щит_спец)+COUNTIFS(Однолинейка!$J$3:$J$3000,C229,Однолинейка!$A$3:$A$3000,Щит_спец)+COUNTIFS(Однолинейка!$K$3:$K$3000,C229,Однолинейка!$A$3:$A$3000,Щит_спец)),IF(A229="Модуль",IF(C229="","",COUNTIFS(Однолинейка!$AW$3:$AW$3000,"?*",Однолинейка!$AI$3:$AI$3000,C229,Однолинейка!$A$3:$A$3000,Щит_спец)),IF(A229="Клемма",IF(C229="","",IF(C229=$S$7,SUMIFS(Однолинейка!$BW$3:$BW$3000,Однолинейка!$A$3:$A$3000,Щит_спец),IF(C229=$S$8,SUMIFS(Однолинейка!$BX$3:$BX$3000,Однолинейка!$A$3:$A$3000,Щит_спец),""))),""))))</f>
        <v/>
      </c>
      <c r="O229" s="74"/>
      <c r="P229" s="38" t="str">
        <f t="shared" si="27"/>
        <v/>
      </c>
      <c r="U229" s="38" t="str">
        <f t="shared" si="28"/>
        <v/>
      </c>
      <c r="V229" s="38" t="str">
        <f t="shared" si="29"/>
        <v/>
      </c>
      <c r="W229" s="38" t="str">
        <f>IF(AND(U229&lt;&gt;"",OR($S$4="(все)",B229=$S$4),IF($S$4="(все)",COUNTIF($U$4:U229,U229),COUNTIFS($U$4:U229,U229,$B$4:B229,B229))=1),MAX($W$3:W228)+1,"")</f>
        <v/>
      </c>
      <c r="X229" s="38" t="str">
        <f t="shared" si="30"/>
        <v/>
      </c>
      <c r="Y229" s="38" t="str">
        <f>IF(AND(A229="Аппарат",C229&lt;&gt;"",OR($S$5="(все)",B229=$S$5)),MAX($Y$3:Y228)+1,"")</f>
        <v/>
      </c>
      <c r="Z229" s="38" t="str">
        <f t="shared" si="31"/>
        <v/>
      </c>
      <c r="AA229" s="38" t="str">
        <f>IF(AND(A229="Модуль",C229&lt;&gt;"",OR($S$6="(все)",B229=$S$6)),MAX($AA$3:AA228)+1,"")</f>
        <v/>
      </c>
      <c r="AB229" s="38" t="str">
        <f t="shared" si="32"/>
        <v/>
      </c>
      <c r="AC229" s="38" t="str">
        <f>IF(OR(B229="",COUNTIF($B$4:B229,B229)&gt;1),"",MAX($AC$3:AC228)+1)</f>
        <v/>
      </c>
      <c r="AD229" s="38" t="str">
        <f t="shared" si="33"/>
        <v/>
      </c>
      <c r="AE229" s="38" t="str">
        <f t="shared" si="34"/>
        <v/>
      </c>
      <c r="AF229" s="38" t="str">
        <f t="shared" si="35"/>
        <v/>
      </c>
    </row>
    <row r="230" spans="1:32" x14ac:dyDescent="0.3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38" t="str">
        <f>IF(OR(A230="Автомат",A230="Дифавтомат"),IF(W230="","",COUNTIFS(Однолинейка!$H$3:$H$3000,U230,Однолинейка!$A$3:$A$3000,Щит_спец)),IF(A230="Аппарат",IF(C230="","",COUNTIFS(Однолинейка!$I$3:$I$3000,C230,Однолинейка!$A$3:$A$3000,Щит_спец)+COUNTIFS(Однолинейка!$J$3:$J$3000,C230,Однолинейка!$A$3:$A$3000,Щит_спец)+COUNTIFS(Однолинейка!$K$3:$K$3000,C230,Однолинейка!$A$3:$A$3000,Щит_спец)),IF(A230="Модуль",IF(C230="","",COUNTIFS(Однолинейка!$AW$3:$AW$3000,"?*",Однолинейка!$AI$3:$AI$3000,C230,Однолинейка!$A$3:$A$3000,Щит_спец)),IF(A230="Клемма",IF(C230="","",IF(C230=$S$7,SUMIFS(Однолинейка!$BW$3:$BW$3000,Однолинейка!$A$3:$A$3000,Щит_спец),IF(C230=$S$8,SUMIFS(Однолинейка!$BX$3:$BX$3000,Однолинейка!$A$3:$A$3000,Щит_спец),""))),""))))</f>
        <v/>
      </c>
      <c r="O230" s="74"/>
      <c r="P230" s="38" t="str">
        <f t="shared" si="27"/>
        <v/>
      </c>
      <c r="U230" s="38" t="str">
        <f t="shared" si="28"/>
        <v/>
      </c>
      <c r="V230" s="38" t="str">
        <f t="shared" si="29"/>
        <v/>
      </c>
      <c r="W230" s="38" t="str">
        <f>IF(AND(U230&lt;&gt;"",OR($S$4="(все)",B230=$S$4),IF($S$4="(все)",COUNTIF($U$4:U230,U230),COUNTIFS($U$4:U230,U230,$B$4:B230,B230))=1),MAX($W$3:W229)+1,"")</f>
        <v/>
      </c>
      <c r="X230" s="38" t="str">
        <f t="shared" si="30"/>
        <v/>
      </c>
      <c r="Y230" s="38" t="str">
        <f>IF(AND(A230="Аппарат",C230&lt;&gt;"",OR($S$5="(все)",B230=$S$5)),MAX($Y$3:Y229)+1,"")</f>
        <v/>
      </c>
      <c r="Z230" s="38" t="str">
        <f t="shared" si="31"/>
        <v/>
      </c>
      <c r="AA230" s="38" t="str">
        <f>IF(AND(A230="Модуль",C230&lt;&gt;"",OR($S$6="(все)",B230=$S$6)),MAX($AA$3:AA229)+1,"")</f>
        <v/>
      </c>
      <c r="AB230" s="38" t="str">
        <f t="shared" si="32"/>
        <v/>
      </c>
      <c r="AC230" s="38" t="str">
        <f>IF(OR(B230="",COUNTIF($B$4:B230,B230)&gt;1),"",MAX($AC$3:AC229)+1)</f>
        <v/>
      </c>
      <c r="AD230" s="38" t="str">
        <f t="shared" si="33"/>
        <v/>
      </c>
      <c r="AE230" s="38" t="str">
        <f t="shared" si="34"/>
        <v/>
      </c>
      <c r="AF230" s="38" t="str">
        <f t="shared" si="35"/>
        <v/>
      </c>
    </row>
    <row r="231" spans="1:32" x14ac:dyDescent="0.3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38" t="str">
        <f>IF(OR(A231="Автомат",A231="Дифавтомат"),IF(W231="","",COUNTIFS(Однолинейка!$H$3:$H$3000,U231,Однолинейка!$A$3:$A$3000,Щит_спец)),IF(A231="Аппарат",IF(C231="","",COUNTIFS(Однолинейка!$I$3:$I$3000,C231,Однолинейка!$A$3:$A$3000,Щит_спец)+COUNTIFS(Однолинейка!$J$3:$J$3000,C231,Однолинейка!$A$3:$A$3000,Щит_спец)+COUNTIFS(Однолинейка!$K$3:$K$3000,C231,Однолинейка!$A$3:$A$3000,Щит_спец)),IF(A231="Модуль",IF(C231="","",COUNTIFS(Однолинейка!$AW$3:$AW$3000,"?*",Однолинейка!$AI$3:$AI$3000,C231,Однолинейка!$A$3:$A$3000,Щит_спец)),IF(A231="Клемма",IF(C231="","",IF(C231=$S$7,SUMIFS(Однолинейка!$BW$3:$BW$3000,Однолинейка!$A$3:$A$3000,Щит_спец),IF(C231=$S$8,SUMIFS(Однолинейка!$BX$3:$BX$3000,Однолинейка!$A$3:$A$3000,Щит_спец),""))),""))))</f>
        <v/>
      </c>
      <c r="O231" s="74"/>
      <c r="P231" s="38" t="str">
        <f t="shared" si="27"/>
        <v/>
      </c>
      <c r="U231" s="38" t="str">
        <f t="shared" si="28"/>
        <v/>
      </c>
      <c r="V231" s="38" t="str">
        <f t="shared" si="29"/>
        <v/>
      </c>
      <c r="W231" s="38" t="str">
        <f>IF(AND(U231&lt;&gt;"",OR($S$4="(все)",B231=$S$4),IF($S$4="(все)",COUNTIF($U$4:U231,U231),COUNTIFS($U$4:U231,U231,$B$4:B231,B231))=1),MAX($W$3:W230)+1,"")</f>
        <v/>
      </c>
      <c r="X231" s="38" t="str">
        <f t="shared" si="30"/>
        <v/>
      </c>
      <c r="Y231" s="38" t="str">
        <f>IF(AND(A231="Аппарат",C231&lt;&gt;"",OR($S$5="(все)",B231=$S$5)),MAX($Y$3:Y230)+1,"")</f>
        <v/>
      </c>
      <c r="Z231" s="38" t="str">
        <f t="shared" si="31"/>
        <v/>
      </c>
      <c r="AA231" s="38" t="str">
        <f>IF(AND(A231="Модуль",C231&lt;&gt;"",OR($S$6="(все)",B231=$S$6)),MAX($AA$3:AA230)+1,"")</f>
        <v/>
      </c>
      <c r="AB231" s="38" t="str">
        <f t="shared" si="32"/>
        <v/>
      </c>
      <c r="AC231" s="38" t="str">
        <f>IF(OR(B231="",COUNTIF($B$4:B231,B231)&gt;1),"",MAX($AC$3:AC230)+1)</f>
        <v/>
      </c>
      <c r="AD231" s="38" t="str">
        <f t="shared" si="33"/>
        <v/>
      </c>
      <c r="AE231" s="38" t="str">
        <f t="shared" si="34"/>
        <v/>
      </c>
      <c r="AF231" s="38" t="str">
        <f t="shared" si="35"/>
        <v/>
      </c>
    </row>
    <row r="232" spans="1:32" x14ac:dyDescent="0.3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38" t="str">
        <f>IF(OR(A232="Автомат",A232="Дифавтомат"),IF(W232="","",COUNTIFS(Однолинейка!$H$3:$H$3000,U232,Однолинейка!$A$3:$A$3000,Щит_спец)),IF(A232="Аппарат",IF(C232="","",COUNTIFS(Однолинейка!$I$3:$I$3000,C232,Однолинейка!$A$3:$A$3000,Щит_спец)+COUNTIFS(Однолинейка!$J$3:$J$3000,C232,Однолинейка!$A$3:$A$3000,Щит_спец)+COUNTIFS(Однолинейка!$K$3:$K$3000,C232,Однолинейка!$A$3:$A$3000,Щит_спец)),IF(A232="Модуль",IF(C232="","",COUNTIFS(Однолинейка!$AW$3:$AW$3000,"?*",Однолинейка!$AI$3:$AI$3000,C232,Однолинейка!$A$3:$A$3000,Щит_спец)),IF(A232="Клемма",IF(C232="","",IF(C232=$S$7,SUMIFS(Однолинейка!$BW$3:$BW$3000,Однолинейка!$A$3:$A$3000,Щит_спец),IF(C232=$S$8,SUMIFS(Однолинейка!$BX$3:$BX$3000,Однолинейка!$A$3:$A$3000,Щит_спец),""))),""))))</f>
        <v/>
      </c>
      <c r="O232" s="74"/>
      <c r="P232" s="38" t="str">
        <f t="shared" si="27"/>
        <v/>
      </c>
      <c r="U232" s="38" t="str">
        <f t="shared" si="28"/>
        <v/>
      </c>
      <c r="V232" s="38" t="str">
        <f t="shared" si="29"/>
        <v/>
      </c>
      <c r="W232" s="38" t="str">
        <f>IF(AND(U232&lt;&gt;"",OR($S$4="(все)",B232=$S$4),IF($S$4="(все)",COUNTIF($U$4:U232,U232),COUNTIFS($U$4:U232,U232,$B$4:B232,B232))=1),MAX($W$3:W231)+1,"")</f>
        <v/>
      </c>
      <c r="X232" s="38" t="str">
        <f t="shared" si="30"/>
        <v/>
      </c>
      <c r="Y232" s="38" t="str">
        <f>IF(AND(A232="Аппарат",C232&lt;&gt;"",OR($S$5="(все)",B232=$S$5)),MAX($Y$3:Y231)+1,"")</f>
        <v/>
      </c>
      <c r="Z232" s="38" t="str">
        <f t="shared" si="31"/>
        <v/>
      </c>
      <c r="AA232" s="38" t="str">
        <f>IF(AND(A232="Модуль",C232&lt;&gt;"",OR($S$6="(все)",B232=$S$6)),MAX($AA$3:AA231)+1,"")</f>
        <v/>
      </c>
      <c r="AB232" s="38" t="str">
        <f t="shared" si="32"/>
        <v/>
      </c>
      <c r="AC232" s="38" t="str">
        <f>IF(OR(B232="",COUNTIF($B$4:B232,B232)&gt;1),"",MAX($AC$3:AC231)+1)</f>
        <v/>
      </c>
      <c r="AD232" s="38" t="str">
        <f t="shared" si="33"/>
        <v/>
      </c>
      <c r="AE232" s="38" t="str">
        <f t="shared" si="34"/>
        <v/>
      </c>
      <c r="AF232" s="38" t="str">
        <f t="shared" si="35"/>
        <v/>
      </c>
    </row>
    <row r="233" spans="1:32" x14ac:dyDescent="0.3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38" t="str">
        <f>IF(OR(A233="Автомат",A233="Дифавтомат"),IF(W233="","",COUNTIFS(Однолинейка!$H$3:$H$3000,U233,Однолинейка!$A$3:$A$3000,Щит_спец)),IF(A233="Аппарат",IF(C233="","",COUNTIFS(Однолинейка!$I$3:$I$3000,C233,Однолинейка!$A$3:$A$3000,Щит_спец)+COUNTIFS(Однолинейка!$J$3:$J$3000,C233,Однолинейка!$A$3:$A$3000,Щит_спец)+COUNTIFS(Однолинейка!$K$3:$K$3000,C233,Однолинейка!$A$3:$A$3000,Щит_спец)),IF(A233="Модуль",IF(C233="","",COUNTIFS(Однолинейка!$AW$3:$AW$3000,"?*",Однолинейка!$AI$3:$AI$3000,C233,Однолинейка!$A$3:$A$3000,Щит_спец)),IF(A233="Клемма",IF(C233="","",IF(C233=$S$7,SUMIFS(Однолинейка!$BW$3:$BW$3000,Однолинейка!$A$3:$A$3000,Щит_спец),IF(C233=$S$8,SUMIFS(Однолинейка!$BX$3:$BX$3000,Однолинейка!$A$3:$A$3000,Щит_спец),""))),""))))</f>
        <v/>
      </c>
      <c r="O233" s="74"/>
      <c r="P233" s="38" t="str">
        <f t="shared" si="27"/>
        <v/>
      </c>
      <c r="U233" s="38" t="str">
        <f t="shared" si="28"/>
        <v/>
      </c>
      <c r="V233" s="38" t="str">
        <f t="shared" si="29"/>
        <v/>
      </c>
      <c r="W233" s="38" t="str">
        <f>IF(AND(U233&lt;&gt;"",OR($S$4="(все)",B233=$S$4),IF($S$4="(все)",COUNTIF($U$4:U233,U233),COUNTIFS($U$4:U233,U233,$B$4:B233,B233))=1),MAX($W$3:W232)+1,"")</f>
        <v/>
      </c>
      <c r="X233" s="38" t="str">
        <f t="shared" si="30"/>
        <v/>
      </c>
      <c r="Y233" s="38" t="str">
        <f>IF(AND(A233="Аппарат",C233&lt;&gt;"",OR($S$5="(все)",B233=$S$5)),MAX($Y$3:Y232)+1,"")</f>
        <v/>
      </c>
      <c r="Z233" s="38" t="str">
        <f t="shared" si="31"/>
        <v/>
      </c>
      <c r="AA233" s="38" t="str">
        <f>IF(AND(A233="Модуль",C233&lt;&gt;"",OR($S$6="(все)",B233=$S$6)),MAX($AA$3:AA232)+1,"")</f>
        <v/>
      </c>
      <c r="AB233" s="38" t="str">
        <f t="shared" si="32"/>
        <v/>
      </c>
      <c r="AC233" s="38" t="str">
        <f>IF(OR(B233="",COUNTIF($B$4:B233,B233)&gt;1),"",MAX($AC$3:AC232)+1)</f>
        <v/>
      </c>
      <c r="AD233" s="38" t="str">
        <f t="shared" si="33"/>
        <v/>
      </c>
      <c r="AE233" s="38" t="str">
        <f t="shared" si="34"/>
        <v/>
      </c>
      <c r="AF233" s="38" t="str">
        <f t="shared" si="35"/>
        <v/>
      </c>
    </row>
    <row r="234" spans="1:32" x14ac:dyDescent="0.3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38" t="str">
        <f>IF(OR(A234="Автомат",A234="Дифавтомат"),IF(W234="","",COUNTIFS(Однолинейка!$H$3:$H$3000,U234,Однолинейка!$A$3:$A$3000,Щит_спец)),IF(A234="Аппарат",IF(C234="","",COUNTIFS(Однолинейка!$I$3:$I$3000,C234,Однолинейка!$A$3:$A$3000,Щит_спец)+COUNTIFS(Однолинейка!$J$3:$J$3000,C234,Однолинейка!$A$3:$A$3000,Щит_спец)+COUNTIFS(Однолинейка!$K$3:$K$3000,C234,Однолинейка!$A$3:$A$3000,Щит_спец)),IF(A234="Модуль",IF(C234="","",COUNTIFS(Однолинейка!$AW$3:$AW$3000,"?*",Однолинейка!$AI$3:$AI$3000,C234,Однолинейка!$A$3:$A$3000,Щит_спец)),IF(A234="Клемма",IF(C234="","",IF(C234=$S$7,SUMIFS(Однолинейка!$BW$3:$BW$3000,Однолинейка!$A$3:$A$3000,Щит_спец),IF(C234=$S$8,SUMIFS(Однолинейка!$BX$3:$BX$3000,Однолинейка!$A$3:$A$3000,Щит_спец),""))),""))))</f>
        <v/>
      </c>
      <c r="O234" s="74"/>
      <c r="P234" s="38" t="str">
        <f t="shared" si="27"/>
        <v/>
      </c>
      <c r="U234" s="38" t="str">
        <f t="shared" si="28"/>
        <v/>
      </c>
      <c r="V234" s="38" t="str">
        <f t="shared" si="29"/>
        <v/>
      </c>
      <c r="W234" s="38" t="str">
        <f>IF(AND(U234&lt;&gt;"",OR($S$4="(все)",B234=$S$4),IF($S$4="(все)",COUNTIF($U$4:U234,U234),COUNTIFS($U$4:U234,U234,$B$4:B234,B234))=1),MAX($W$3:W233)+1,"")</f>
        <v/>
      </c>
      <c r="X234" s="38" t="str">
        <f t="shared" si="30"/>
        <v/>
      </c>
      <c r="Y234" s="38" t="str">
        <f>IF(AND(A234="Аппарат",C234&lt;&gt;"",OR($S$5="(все)",B234=$S$5)),MAX($Y$3:Y233)+1,"")</f>
        <v/>
      </c>
      <c r="Z234" s="38" t="str">
        <f t="shared" si="31"/>
        <v/>
      </c>
      <c r="AA234" s="38" t="str">
        <f>IF(AND(A234="Модуль",C234&lt;&gt;"",OR($S$6="(все)",B234=$S$6)),MAX($AA$3:AA233)+1,"")</f>
        <v/>
      </c>
      <c r="AB234" s="38" t="str">
        <f t="shared" si="32"/>
        <v/>
      </c>
      <c r="AC234" s="38" t="str">
        <f>IF(OR(B234="",COUNTIF($B$4:B234,B234)&gt;1),"",MAX($AC$3:AC233)+1)</f>
        <v/>
      </c>
      <c r="AD234" s="38" t="str">
        <f t="shared" si="33"/>
        <v/>
      </c>
      <c r="AE234" s="38" t="str">
        <f t="shared" si="34"/>
        <v/>
      </c>
      <c r="AF234" s="38" t="str">
        <f t="shared" si="35"/>
        <v/>
      </c>
    </row>
    <row r="235" spans="1:32" x14ac:dyDescent="0.3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38" t="str">
        <f>IF(OR(A235="Автомат",A235="Дифавтомат"),IF(W235="","",COUNTIFS(Однолинейка!$H$3:$H$3000,U235,Однолинейка!$A$3:$A$3000,Щит_спец)),IF(A235="Аппарат",IF(C235="","",COUNTIFS(Однолинейка!$I$3:$I$3000,C235,Однолинейка!$A$3:$A$3000,Щит_спец)+COUNTIFS(Однолинейка!$J$3:$J$3000,C235,Однолинейка!$A$3:$A$3000,Щит_спец)+COUNTIFS(Однолинейка!$K$3:$K$3000,C235,Однолинейка!$A$3:$A$3000,Щит_спец)),IF(A235="Модуль",IF(C235="","",COUNTIFS(Однолинейка!$AW$3:$AW$3000,"?*",Однолинейка!$AI$3:$AI$3000,C235,Однолинейка!$A$3:$A$3000,Щит_спец)),IF(A235="Клемма",IF(C235="","",IF(C235=$S$7,SUMIFS(Однолинейка!$BW$3:$BW$3000,Однолинейка!$A$3:$A$3000,Щит_спец),IF(C235=$S$8,SUMIFS(Однолинейка!$BX$3:$BX$3000,Однолинейка!$A$3:$A$3000,Щит_спец),""))),""))))</f>
        <v/>
      </c>
      <c r="O235" s="74"/>
      <c r="P235" s="38" t="str">
        <f t="shared" si="27"/>
        <v/>
      </c>
      <c r="U235" s="38" t="str">
        <f t="shared" si="28"/>
        <v/>
      </c>
      <c r="V235" s="38" t="str">
        <f t="shared" si="29"/>
        <v/>
      </c>
      <c r="W235" s="38" t="str">
        <f>IF(AND(U235&lt;&gt;"",OR($S$4="(все)",B235=$S$4),IF($S$4="(все)",COUNTIF($U$4:U235,U235),COUNTIFS($U$4:U235,U235,$B$4:B235,B235))=1),MAX($W$3:W234)+1,"")</f>
        <v/>
      </c>
      <c r="X235" s="38" t="str">
        <f t="shared" si="30"/>
        <v/>
      </c>
      <c r="Y235" s="38" t="str">
        <f>IF(AND(A235="Аппарат",C235&lt;&gt;"",OR($S$5="(все)",B235=$S$5)),MAX($Y$3:Y234)+1,"")</f>
        <v/>
      </c>
      <c r="Z235" s="38" t="str">
        <f t="shared" si="31"/>
        <v/>
      </c>
      <c r="AA235" s="38" t="str">
        <f>IF(AND(A235="Модуль",C235&lt;&gt;"",OR($S$6="(все)",B235=$S$6)),MAX($AA$3:AA234)+1,"")</f>
        <v/>
      </c>
      <c r="AB235" s="38" t="str">
        <f t="shared" si="32"/>
        <v/>
      </c>
      <c r="AC235" s="38" t="str">
        <f>IF(OR(B235="",COUNTIF($B$4:B235,B235)&gt;1),"",MAX($AC$3:AC234)+1)</f>
        <v/>
      </c>
      <c r="AD235" s="38" t="str">
        <f t="shared" si="33"/>
        <v/>
      </c>
      <c r="AE235" s="38" t="str">
        <f t="shared" si="34"/>
        <v/>
      </c>
      <c r="AF235" s="38" t="str">
        <f t="shared" si="35"/>
        <v/>
      </c>
    </row>
    <row r="236" spans="1:32" x14ac:dyDescent="0.3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38" t="str">
        <f>IF(OR(A236="Автомат",A236="Дифавтомат"),IF(W236="","",COUNTIFS(Однолинейка!$H$3:$H$3000,U236,Однолинейка!$A$3:$A$3000,Щит_спец)),IF(A236="Аппарат",IF(C236="","",COUNTIFS(Однолинейка!$I$3:$I$3000,C236,Однолинейка!$A$3:$A$3000,Щит_спец)+COUNTIFS(Однолинейка!$J$3:$J$3000,C236,Однолинейка!$A$3:$A$3000,Щит_спец)+COUNTIFS(Однолинейка!$K$3:$K$3000,C236,Однолинейка!$A$3:$A$3000,Щит_спец)),IF(A236="Модуль",IF(C236="","",COUNTIFS(Однолинейка!$AW$3:$AW$3000,"?*",Однолинейка!$AI$3:$AI$3000,C236,Однолинейка!$A$3:$A$3000,Щит_спец)),IF(A236="Клемма",IF(C236="","",IF(C236=$S$7,SUMIFS(Однолинейка!$BW$3:$BW$3000,Однолинейка!$A$3:$A$3000,Щит_спец),IF(C236=$S$8,SUMIFS(Однолинейка!$BX$3:$BX$3000,Однолинейка!$A$3:$A$3000,Щит_спец),""))),""))))</f>
        <v/>
      </c>
      <c r="O236" s="74"/>
      <c r="P236" s="38" t="str">
        <f t="shared" si="27"/>
        <v/>
      </c>
      <c r="U236" s="38" t="str">
        <f t="shared" si="28"/>
        <v/>
      </c>
      <c r="V236" s="38" t="str">
        <f t="shared" si="29"/>
        <v/>
      </c>
      <c r="W236" s="38" t="str">
        <f>IF(AND(U236&lt;&gt;"",OR($S$4="(все)",B236=$S$4),IF($S$4="(все)",COUNTIF($U$4:U236,U236),COUNTIFS($U$4:U236,U236,$B$4:B236,B236))=1),MAX($W$3:W235)+1,"")</f>
        <v/>
      </c>
      <c r="X236" s="38" t="str">
        <f t="shared" si="30"/>
        <v/>
      </c>
      <c r="Y236" s="38" t="str">
        <f>IF(AND(A236="Аппарат",C236&lt;&gt;"",OR($S$5="(все)",B236=$S$5)),MAX($Y$3:Y235)+1,"")</f>
        <v/>
      </c>
      <c r="Z236" s="38" t="str">
        <f t="shared" si="31"/>
        <v/>
      </c>
      <c r="AA236" s="38" t="str">
        <f>IF(AND(A236="Модуль",C236&lt;&gt;"",OR($S$6="(все)",B236=$S$6)),MAX($AA$3:AA235)+1,"")</f>
        <v/>
      </c>
      <c r="AB236" s="38" t="str">
        <f t="shared" si="32"/>
        <v/>
      </c>
      <c r="AC236" s="38" t="str">
        <f>IF(OR(B236="",COUNTIF($B$4:B236,B236)&gt;1),"",MAX($AC$3:AC235)+1)</f>
        <v/>
      </c>
      <c r="AD236" s="38" t="str">
        <f t="shared" si="33"/>
        <v/>
      </c>
      <c r="AE236" s="38" t="str">
        <f t="shared" si="34"/>
        <v/>
      </c>
      <c r="AF236" s="38" t="str">
        <f t="shared" si="35"/>
        <v/>
      </c>
    </row>
    <row r="237" spans="1:32" x14ac:dyDescent="0.3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38" t="str">
        <f>IF(OR(A237="Автомат",A237="Дифавтомат"),IF(W237="","",COUNTIFS(Однолинейка!$H$3:$H$3000,U237,Однолинейка!$A$3:$A$3000,Щит_спец)),IF(A237="Аппарат",IF(C237="","",COUNTIFS(Однолинейка!$I$3:$I$3000,C237,Однолинейка!$A$3:$A$3000,Щит_спец)+COUNTIFS(Однолинейка!$J$3:$J$3000,C237,Однолинейка!$A$3:$A$3000,Щит_спец)+COUNTIFS(Однолинейка!$K$3:$K$3000,C237,Однолинейка!$A$3:$A$3000,Щит_спец)),IF(A237="Модуль",IF(C237="","",COUNTIFS(Однолинейка!$AW$3:$AW$3000,"?*",Однолинейка!$AI$3:$AI$3000,C237,Однолинейка!$A$3:$A$3000,Щит_спец)),IF(A237="Клемма",IF(C237="","",IF(C237=$S$7,SUMIFS(Однолинейка!$BW$3:$BW$3000,Однолинейка!$A$3:$A$3000,Щит_спец),IF(C237=$S$8,SUMIFS(Однолинейка!$BX$3:$BX$3000,Однолинейка!$A$3:$A$3000,Щит_спец),""))),""))))</f>
        <v/>
      </c>
      <c r="O237" s="74"/>
      <c r="P237" s="38" t="str">
        <f t="shared" si="27"/>
        <v/>
      </c>
      <c r="U237" s="38" t="str">
        <f t="shared" si="28"/>
        <v/>
      </c>
      <c r="V237" s="38" t="str">
        <f t="shared" si="29"/>
        <v/>
      </c>
      <c r="W237" s="38" t="str">
        <f>IF(AND(U237&lt;&gt;"",OR($S$4="(все)",B237=$S$4),IF($S$4="(все)",COUNTIF($U$4:U237,U237),COUNTIFS($U$4:U237,U237,$B$4:B237,B237))=1),MAX($W$3:W236)+1,"")</f>
        <v/>
      </c>
      <c r="X237" s="38" t="str">
        <f t="shared" si="30"/>
        <v/>
      </c>
      <c r="Y237" s="38" t="str">
        <f>IF(AND(A237="Аппарат",C237&lt;&gt;"",OR($S$5="(все)",B237=$S$5)),MAX($Y$3:Y236)+1,"")</f>
        <v/>
      </c>
      <c r="Z237" s="38" t="str">
        <f t="shared" si="31"/>
        <v/>
      </c>
      <c r="AA237" s="38" t="str">
        <f>IF(AND(A237="Модуль",C237&lt;&gt;"",OR($S$6="(все)",B237=$S$6)),MAX($AA$3:AA236)+1,"")</f>
        <v/>
      </c>
      <c r="AB237" s="38" t="str">
        <f t="shared" si="32"/>
        <v/>
      </c>
      <c r="AC237" s="38" t="str">
        <f>IF(OR(B237="",COUNTIF($B$4:B237,B237)&gt;1),"",MAX($AC$3:AC236)+1)</f>
        <v/>
      </c>
      <c r="AD237" s="38" t="str">
        <f t="shared" si="33"/>
        <v/>
      </c>
      <c r="AE237" s="38" t="str">
        <f t="shared" si="34"/>
        <v/>
      </c>
      <c r="AF237" s="38" t="str">
        <f t="shared" si="35"/>
        <v/>
      </c>
    </row>
    <row r="238" spans="1:32" x14ac:dyDescent="0.3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38" t="str">
        <f>IF(OR(A238="Автомат",A238="Дифавтомат"),IF(W238="","",COUNTIFS(Однолинейка!$H$3:$H$3000,U238,Однолинейка!$A$3:$A$3000,Щит_спец)),IF(A238="Аппарат",IF(C238="","",COUNTIFS(Однолинейка!$I$3:$I$3000,C238,Однолинейка!$A$3:$A$3000,Щит_спец)+COUNTIFS(Однолинейка!$J$3:$J$3000,C238,Однолинейка!$A$3:$A$3000,Щит_спец)+COUNTIFS(Однолинейка!$K$3:$K$3000,C238,Однолинейка!$A$3:$A$3000,Щит_спец)),IF(A238="Модуль",IF(C238="","",COUNTIFS(Однолинейка!$AW$3:$AW$3000,"?*",Однолинейка!$AI$3:$AI$3000,C238,Однолинейка!$A$3:$A$3000,Щит_спец)),IF(A238="Клемма",IF(C238="","",IF(C238=$S$7,SUMIFS(Однолинейка!$BW$3:$BW$3000,Однолинейка!$A$3:$A$3000,Щит_спец),IF(C238=$S$8,SUMIFS(Однолинейка!$BX$3:$BX$3000,Однолинейка!$A$3:$A$3000,Щит_спец),""))),""))))</f>
        <v/>
      </c>
      <c r="O238" s="74"/>
      <c r="P238" s="38" t="str">
        <f t="shared" si="27"/>
        <v/>
      </c>
      <c r="U238" s="38" t="str">
        <f t="shared" si="28"/>
        <v/>
      </c>
      <c r="V238" s="38" t="str">
        <f t="shared" si="29"/>
        <v/>
      </c>
      <c r="W238" s="38" t="str">
        <f>IF(AND(U238&lt;&gt;"",OR($S$4="(все)",B238=$S$4),IF($S$4="(все)",COUNTIF($U$4:U238,U238),COUNTIFS($U$4:U238,U238,$B$4:B238,B238))=1),MAX($W$3:W237)+1,"")</f>
        <v/>
      </c>
      <c r="X238" s="38" t="str">
        <f t="shared" si="30"/>
        <v/>
      </c>
      <c r="Y238" s="38" t="str">
        <f>IF(AND(A238="Аппарат",C238&lt;&gt;"",OR($S$5="(все)",B238=$S$5)),MAX($Y$3:Y237)+1,"")</f>
        <v/>
      </c>
      <c r="Z238" s="38" t="str">
        <f t="shared" si="31"/>
        <v/>
      </c>
      <c r="AA238" s="38" t="str">
        <f>IF(AND(A238="Модуль",C238&lt;&gt;"",OR($S$6="(все)",B238=$S$6)),MAX($AA$3:AA237)+1,"")</f>
        <v/>
      </c>
      <c r="AB238" s="38" t="str">
        <f t="shared" si="32"/>
        <v/>
      </c>
      <c r="AC238" s="38" t="str">
        <f>IF(OR(B238="",COUNTIF($B$4:B238,B238)&gt;1),"",MAX($AC$3:AC237)+1)</f>
        <v/>
      </c>
      <c r="AD238" s="38" t="str">
        <f t="shared" si="33"/>
        <v/>
      </c>
      <c r="AE238" s="38" t="str">
        <f t="shared" si="34"/>
        <v/>
      </c>
      <c r="AF238" s="38" t="str">
        <f t="shared" si="35"/>
        <v/>
      </c>
    </row>
    <row r="239" spans="1:32" x14ac:dyDescent="0.3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38" t="str">
        <f>IF(OR(A239="Автомат",A239="Дифавтомат"),IF(W239="","",COUNTIFS(Однолинейка!$H$3:$H$3000,U239,Однолинейка!$A$3:$A$3000,Щит_спец)),IF(A239="Аппарат",IF(C239="","",COUNTIFS(Однолинейка!$I$3:$I$3000,C239,Однолинейка!$A$3:$A$3000,Щит_спец)+COUNTIFS(Однолинейка!$J$3:$J$3000,C239,Однолинейка!$A$3:$A$3000,Щит_спец)+COUNTIFS(Однолинейка!$K$3:$K$3000,C239,Однолинейка!$A$3:$A$3000,Щит_спец)),IF(A239="Модуль",IF(C239="","",COUNTIFS(Однолинейка!$AW$3:$AW$3000,"?*",Однолинейка!$AI$3:$AI$3000,C239,Однолинейка!$A$3:$A$3000,Щит_спец)),IF(A239="Клемма",IF(C239="","",IF(C239=$S$7,SUMIFS(Однолинейка!$BW$3:$BW$3000,Однолинейка!$A$3:$A$3000,Щит_спец),IF(C239=$S$8,SUMIFS(Однолинейка!$BX$3:$BX$3000,Однолинейка!$A$3:$A$3000,Щит_спец),""))),""))))</f>
        <v/>
      </c>
      <c r="O239" s="74"/>
      <c r="P239" s="38" t="str">
        <f t="shared" si="27"/>
        <v/>
      </c>
      <c r="U239" s="38" t="str">
        <f t="shared" si="28"/>
        <v/>
      </c>
      <c r="V239" s="38" t="str">
        <f t="shared" si="29"/>
        <v/>
      </c>
      <c r="W239" s="38" t="str">
        <f>IF(AND(U239&lt;&gt;"",OR($S$4="(все)",B239=$S$4),IF($S$4="(все)",COUNTIF($U$4:U239,U239),COUNTIFS($U$4:U239,U239,$B$4:B239,B239))=1),MAX($W$3:W238)+1,"")</f>
        <v/>
      </c>
      <c r="X239" s="38" t="str">
        <f t="shared" si="30"/>
        <v/>
      </c>
      <c r="Y239" s="38" t="str">
        <f>IF(AND(A239="Аппарат",C239&lt;&gt;"",OR($S$5="(все)",B239=$S$5)),MAX($Y$3:Y238)+1,"")</f>
        <v/>
      </c>
      <c r="Z239" s="38" t="str">
        <f t="shared" si="31"/>
        <v/>
      </c>
      <c r="AA239" s="38" t="str">
        <f>IF(AND(A239="Модуль",C239&lt;&gt;"",OR($S$6="(все)",B239=$S$6)),MAX($AA$3:AA238)+1,"")</f>
        <v/>
      </c>
      <c r="AB239" s="38" t="str">
        <f t="shared" si="32"/>
        <v/>
      </c>
      <c r="AC239" s="38" t="str">
        <f>IF(OR(B239="",COUNTIF($B$4:B239,B239)&gt;1),"",MAX($AC$3:AC238)+1)</f>
        <v/>
      </c>
      <c r="AD239" s="38" t="str">
        <f t="shared" si="33"/>
        <v/>
      </c>
      <c r="AE239" s="38" t="str">
        <f t="shared" si="34"/>
        <v/>
      </c>
      <c r="AF239" s="38" t="str">
        <f t="shared" si="35"/>
        <v/>
      </c>
    </row>
    <row r="240" spans="1:32" x14ac:dyDescent="0.3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38" t="str">
        <f>IF(OR(A240="Автомат",A240="Дифавтомат"),IF(W240="","",COUNTIFS(Однолинейка!$H$3:$H$3000,U240,Однолинейка!$A$3:$A$3000,Щит_спец)),IF(A240="Аппарат",IF(C240="","",COUNTIFS(Однолинейка!$I$3:$I$3000,C240,Однолинейка!$A$3:$A$3000,Щит_спец)+COUNTIFS(Однолинейка!$J$3:$J$3000,C240,Однолинейка!$A$3:$A$3000,Щит_спец)+COUNTIFS(Однолинейка!$K$3:$K$3000,C240,Однолинейка!$A$3:$A$3000,Щит_спец)),IF(A240="Модуль",IF(C240="","",COUNTIFS(Однолинейка!$AW$3:$AW$3000,"?*",Однолинейка!$AI$3:$AI$3000,C240,Однолинейка!$A$3:$A$3000,Щит_спец)),IF(A240="Клемма",IF(C240="","",IF(C240=$S$7,SUMIFS(Однолинейка!$BW$3:$BW$3000,Однолинейка!$A$3:$A$3000,Щит_спец),IF(C240=$S$8,SUMIFS(Однолинейка!$BX$3:$BX$3000,Однолинейка!$A$3:$A$3000,Щит_спец),""))),""))))</f>
        <v/>
      </c>
      <c r="O240" s="74"/>
      <c r="P240" s="38" t="str">
        <f t="shared" si="27"/>
        <v/>
      </c>
      <c r="U240" s="38" t="str">
        <f t="shared" si="28"/>
        <v/>
      </c>
      <c r="V240" s="38" t="str">
        <f t="shared" si="29"/>
        <v/>
      </c>
      <c r="W240" s="38" t="str">
        <f>IF(AND(U240&lt;&gt;"",OR($S$4="(все)",B240=$S$4),IF($S$4="(все)",COUNTIF($U$4:U240,U240),COUNTIFS($U$4:U240,U240,$B$4:B240,B240))=1),MAX($W$3:W239)+1,"")</f>
        <v/>
      </c>
      <c r="X240" s="38" t="str">
        <f t="shared" si="30"/>
        <v/>
      </c>
      <c r="Y240" s="38" t="str">
        <f>IF(AND(A240="Аппарат",C240&lt;&gt;"",OR($S$5="(все)",B240=$S$5)),MAX($Y$3:Y239)+1,"")</f>
        <v/>
      </c>
      <c r="Z240" s="38" t="str">
        <f t="shared" si="31"/>
        <v/>
      </c>
      <c r="AA240" s="38" t="str">
        <f>IF(AND(A240="Модуль",C240&lt;&gt;"",OR($S$6="(все)",B240=$S$6)),MAX($AA$3:AA239)+1,"")</f>
        <v/>
      </c>
      <c r="AB240" s="38" t="str">
        <f t="shared" si="32"/>
        <v/>
      </c>
      <c r="AC240" s="38" t="str">
        <f>IF(OR(B240="",COUNTIF($B$4:B240,B240)&gt;1),"",MAX($AC$3:AC239)+1)</f>
        <v/>
      </c>
      <c r="AD240" s="38" t="str">
        <f t="shared" si="33"/>
        <v/>
      </c>
      <c r="AE240" s="38" t="str">
        <f t="shared" si="34"/>
        <v/>
      </c>
      <c r="AF240" s="38" t="str">
        <f t="shared" si="35"/>
        <v/>
      </c>
    </row>
    <row r="241" spans="1:32" x14ac:dyDescent="0.3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38" t="str">
        <f>IF(OR(A241="Автомат",A241="Дифавтомат"),IF(W241="","",COUNTIFS(Однолинейка!$H$3:$H$3000,U241,Однолинейка!$A$3:$A$3000,Щит_спец)),IF(A241="Аппарат",IF(C241="","",COUNTIFS(Однолинейка!$I$3:$I$3000,C241,Однолинейка!$A$3:$A$3000,Щит_спец)+COUNTIFS(Однолинейка!$J$3:$J$3000,C241,Однолинейка!$A$3:$A$3000,Щит_спец)+COUNTIFS(Однолинейка!$K$3:$K$3000,C241,Однолинейка!$A$3:$A$3000,Щит_спец)),IF(A241="Модуль",IF(C241="","",COUNTIFS(Однолинейка!$AW$3:$AW$3000,"?*",Однолинейка!$AI$3:$AI$3000,C241,Однолинейка!$A$3:$A$3000,Щит_спец)),IF(A241="Клемма",IF(C241="","",IF(C241=$S$7,SUMIFS(Однолинейка!$BW$3:$BW$3000,Однолинейка!$A$3:$A$3000,Щит_спец),IF(C241=$S$8,SUMIFS(Однолинейка!$BX$3:$BX$3000,Однолинейка!$A$3:$A$3000,Щит_спец),""))),""))))</f>
        <v/>
      </c>
      <c r="O241" s="74"/>
      <c r="P241" s="38" t="str">
        <f t="shared" si="27"/>
        <v/>
      </c>
      <c r="U241" s="38" t="str">
        <f t="shared" si="28"/>
        <v/>
      </c>
      <c r="V241" s="38" t="str">
        <f t="shared" si="29"/>
        <v/>
      </c>
      <c r="W241" s="38" t="str">
        <f>IF(AND(U241&lt;&gt;"",OR($S$4="(все)",B241=$S$4),IF($S$4="(все)",COUNTIF($U$4:U241,U241),COUNTIFS($U$4:U241,U241,$B$4:B241,B241))=1),MAX($W$3:W240)+1,"")</f>
        <v/>
      </c>
      <c r="X241" s="38" t="str">
        <f t="shared" si="30"/>
        <v/>
      </c>
      <c r="Y241" s="38" t="str">
        <f>IF(AND(A241="Аппарат",C241&lt;&gt;"",OR($S$5="(все)",B241=$S$5)),MAX($Y$3:Y240)+1,"")</f>
        <v/>
      </c>
      <c r="Z241" s="38" t="str">
        <f t="shared" si="31"/>
        <v/>
      </c>
      <c r="AA241" s="38" t="str">
        <f>IF(AND(A241="Модуль",C241&lt;&gt;"",OR($S$6="(все)",B241=$S$6)),MAX($AA$3:AA240)+1,"")</f>
        <v/>
      </c>
      <c r="AB241" s="38" t="str">
        <f t="shared" si="32"/>
        <v/>
      </c>
      <c r="AC241" s="38" t="str">
        <f>IF(OR(B241="",COUNTIF($B$4:B241,B241)&gt;1),"",MAX($AC$3:AC240)+1)</f>
        <v/>
      </c>
      <c r="AD241" s="38" t="str">
        <f t="shared" si="33"/>
        <v/>
      </c>
      <c r="AE241" s="38" t="str">
        <f t="shared" si="34"/>
        <v/>
      </c>
      <c r="AF241" s="38" t="str">
        <f t="shared" si="35"/>
        <v/>
      </c>
    </row>
    <row r="242" spans="1:32" x14ac:dyDescent="0.3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38" t="str">
        <f>IF(OR(A242="Автомат",A242="Дифавтомат"),IF(W242="","",COUNTIFS(Однолинейка!$H$3:$H$3000,U242,Однолинейка!$A$3:$A$3000,Щит_спец)),IF(A242="Аппарат",IF(C242="","",COUNTIFS(Однолинейка!$I$3:$I$3000,C242,Однолинейка!$A$3:$A$3000,Щит_спец)+COUNTIFS(Однолинейка!$J$3:$J$3000,C242,Однолинейка!$A$3:$A$3000,Щит_спец)+COUNTIFS(Однолинейка!$K$3:$K$3000,C242,Однолинейка!$A$3:$A$3000,Щит_спец)),IF(A242="Модуль",IF(C242="","",COUNTIFS(Однолинейка!$AW$3:$AW$3000,"?*",Однолинейка!$AI$3:$AI$3000,C242,Однолинейка!$A$3:$A$3000,Щит_спец)),IF(A242="Клемма",IF(C242="","",IF(C242=$S$7,SUMIFS(Однолинейка!$BW$3:$BW$3000,Однолинейка!$A$3:$A$3000,Щит_спец),IF(C242=$S$8,SUMIFS(Однолинейка!$BX$3:$BX$3000,Однолинейка!$A$3:$A$3000,Щит_спец),""))),""))))</f>
        <v/>
      </c>
      <c r="O242" s="74"/>
      <c r="P242" s="38" t="str">
        <f t="shared" si="27"/>
        <v/>
      </c>
      <c r="U242" s="38" t="str">
        <f t="shared" si="28"/>
        <v/>
      </c>
      <c r="V242" s="38" t="str">
        <f t="shared" si="29"/>
        <v/>
      </c>
      <c r="W242" s="38" t="str">
        <f>IF(AND(U242&lt;&gt;"",OR($S$4="(все)",B242=$S$4),IF($S$4="(все)",COUNTIF($U$4:U242,U242),COUNTIFS($U$4:U242,U242,$B$4:B242,B242))=1),MAX($W$3:W241)+1,"")</f>
        <v/>
      </c>
      <c r="X242" s="38" t="str">
        <f t="shared" si="30"/>
        <v/>
      </c>
      <c r="Y242" s="38" t="str">
        <f>IF(AND(A242="Аппарат",C242&lt;&gt;"",OR($S$5="(все)",B242=$S$5)),MAX($Y$3:Y241)+1,"")</f>
        <v/>
      </c>
      <c r="Z242" s="38" t="str">
        <f t="shared" si="31"/>
        <v/>
      </c>
      <c r="AA242" s="38" t="str">
        <f>IF(AND(A242="Модуль",C242&lt;&gt;"",OR($S$6="(все)",B242=$S$6)),MAX($AA$3:AA241)+1,"")</f>
        <v/>
      </c>
      <c r="AB242" s="38" t="str">
        <f t="shared" si="32"/>
        <v/>
      </c>
      <c r="AC242" s="38" t="str">
        <f>IF(OR(B242="",COUNTIF($B$4:B242,B242)&gt;1),"",MAX($AC$3:AC241)+1)</f>
        <v/>
      </c>
      <c r="AD242" s="38" t="str">
        <f t="shared" si="33"/>
        <v/>
      </c>
      <c r="AE242" s="38" t="str">
        <f t="shared" si="34"/>
        <v/>
      </c>
      <c r="AF242" s="38" t="str">
        <f t="shared" si="35"/>
        <v/>
      </c>
    </row>
    <row r="243" spans="1:32" x14ac:dyDescent="0.3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38" t="str">
        <f>IF(OR(A243="Автомат",A243="Дифавтомат"),IF(W243="","",COUNTIFS(Однолинейка!$H$3:$H$3000,U243,Однолинейка!$A$3:$A$3000,Щит_спец)),IF(A243="Аппарат",IF(C243="","",COUNTIFS(Однолинейка!$I$3:$I$3000,C243,Однолинейка!$A$3:$A$3000,Щит_спец)+COUNTIFS(Однолинейка!$J$3:$J$3000,C243,Однолинейка!$A$3:$A$3000,Щит_спец)+COUNTIFS(Однолинейка!$K$3:$K$3000,C243,Однолинейка!$A$3:$A$3000,Щит_спец)),IF(A243="Модуль",IF(C243="","",COUNTIFS(Однолинейка!$AW$3:$AW$3000,"?*",Однолинейка!$AI$3:$AI$3000,C243,Однолинейка!$A$3:$A$3000,Щит_спец)),IF(A243="Клемма",IF(C243="","",IF(C243=$S$7,SUMIFS(Однолинейка!$BW$3:$BW$3000,Однолинейка!$A$3:$A$3000,Щит_спец),IF(C243=$S$8,SUMIFS(Однолинейка!$BX$3:$BX$3000,Однолинейка!$A$3:$A$3000,Щит_спец),""))),""))))</f>
        <v/>
      </c>
      <c r="O243" s="74"/>
      <c r="P243" s="38" t="str">
        <f t="shared" si="27"/>
        <v/>
      </c>
      <c r="U243" s="38" t="str">
        <f t="shared" si="28"/>
        <v/>
      </c>
      <c r="V243" s="38" t="str">
        <f t="shared" si="29"/>
        <v/>
      </c>
      <c r="W243" s="38" t="str">
        <f>IF(AND(U243&lt;&gt;"",OR($S$4="(все)",B243=$S$4),IF($S$4="(все)",COUNTIF($U$4:U243,U243),COUNTIFS($U$4:U243,U243,$B$4:B243,B243))=1),MAX($W$3:W242)+1,"")</f>
        <v/>
      </c>
      <c r="X243" s="38" t="str">
        <f t="shared" si="30"/>
        <v/>
      </c>
      <c r="Y243" s="38" t="str">
        <f>IF(AND(A243="Аппарат",C243&lt;&gt;"",OR($S$5="(все)",B243=$S$5)),MAX($Y$3:Y242)+1,"")</f>
        <v/>
      </c>
      <c r="Z243" s="38" t="str">
        <f t="shared" si="31"/>
        <v/>
      </c>
      <c r="AA243" s="38" t="str">
        <f>IF(AND(A243="Модуль",C243&lt;&gt;"",OR($S$6="(все)",B243=$S$6)),MAX($AA$3:AA242)+1,"")</f>
        <v/>
      </c>
      <c r="AB243" s="38" t="str">
        <f t="shared" si="32"/>
        <v/>
      </c>
      <c r="AC243" s="38" t="str">
        <f>IF(OR(B243="",COUNTIF($B$4:B243,B243)&gt;1),"",MAX($AC$3:AC242)+1)</f>
        <v/>
      </c>
      <c r="AD243" s="38" t="str">
        <f t="shared" si="33"/>
        <v/>
      </c>
      <c r="AE243" s="38" t="str">
        <f t="shared" si="34"/>
        <v/>
      </c>
      <c r="AF243" s="38" t="str">
        <f t="shared" si="35"/>
        <v/>
      </c>
    </row>
    <row r="244" spans="1:32" x14ac:dyDescent="0.3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38" t="str">
        <f>IF(OR(A244="Автомат",A244="Дифавтомат"),IF(W244="","",COUNTIFS(Однолинейка!$H$3:$H$3000,U244,Однолинейка!$A$3:$A$3000,Щит_спец)),IF(A244="Аппарат",IF(C244="","",COUNTIFS(Однолинейка!$I$3:$I$3000,C244,Однолинейка!$A$3:$A$3000,Щит_спец)+COUNTIFS(Однолинейка!$J$3:$J$3000,C244,Однолинейка!$A$3:$A$3000,Щит_спец)+COUNTIFS(Однолинейка!$K$3:$K$3000,C244,Однолинейка!$A$3:$A$3000,Щит_спец)),IF(A244="Модуль",IF(C244="","",COUNTIFS(Однолинейка!$AW$3:$AW$3000,"?*",Однолинейка!$AI$3:$AI$3000,C244,Однолинейка!$A$3:$A$3000,Щит_спец)),IF(A244="Клемма",IF(C244="","",IF(C244=$S$7,SUMIFS(Однолинейка!$BW$3:$BW$3000,Однолинейка!$A$3:$A$3000,Щит_спец),IF(C244=$S$8,SUMIFS(Однолинейка!$BX$3:$BX$3000,Однолинейка!$A$3:$A$3000,Щит_спец),""))),""))))</f>
        <v/>
      </c>
      <c r="O244" s="74"/>
      <c r="P244" s="38" t="str">
        <f t="shared" si="27"/>
        <v/>
      </c>
      <c r="U244" s="38" t="str">
        <f t="shared" si="28"/>
        <v/>
      </c>
      <c r="V244" s="38" t="str">
        <f t="shared" si="29"/>
        <v/>
      </c>
      <c r="W244" s="38" t="str">
        <f>IF(AND(U244&lt;&gt;"",OR($S$4="(все)",B244=$S$4),IF($S$4="(все)",COUNTIF($U$4:U244,U244),COUNTIFS($U$4:U244,U244,$B$4:B244,B244))=1),MAX($W$3:W243)+1,"")</f>
        <v/>
      </c>
      <c r="X244" s="38" t="str">
        <f t="shared" si="30"/>
        <v/>
      </c>
      <c r="Y244" s="38" t="str">
        <f>IF(AND(A244="Аппарат",C244&lt;&gt;"",OR($S$5="(все)",B244=$S$5)),MAX($Y$3:Y243)+1,"")</f>
        <v/>
      </c>
      <c r="Z244" s="38" t="str">
        <f t="shared" si="31"/>
        <v/>
      </c>
      <c r="AA244" s="38" t="str">
        <f>IF(AND(A244="Модуль",C244&lt;&gt;"",OR($S$6="(все)",B244=$S$6)),MAX($AA$3:AA243)+1,"")</f>
        <v/>
      </c>
      <c r="AB244" s="38" t="str">
        <f t="shared" si="32"/>
        <v/>
      </c>
      <c r="AC244" s="38" t="str">
        <f>IF(OR(B244="",COUNTIF($B$4:B244,B244)&gt;1),"",MAX($AC$3:AC243)+1)</f>
        <v/>
      </c>
      <c r="AD244" s="38" t="str">
        <f t="shared" si="33"/>
        <v/>
      </c>
      <c r="AE244" s="38" t="str">
        <f t="shared" si="34"/>
        <v/>
      </c>
      <c r="AF244" s="38" t="str">
        <f t="shared" si="35"/>
        <v/>
      </c>
    </row>
    <row r="245" spans="1:32" x14ac:dyDescent="0.3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38" t="str">
        <f>IF(OR(A245="Автомат",A245="Дифавтомат"),IF(W245="","",COUNTIFS(Однолинейка!$H$3:$H$3000,U245,Однолинейка!$A$3:$A$3000,Щит_спец)),IF(A245="Аппарат",IF(C245="","",COUNTIFS(Однолинейка!$I$3:$I$3000,C245,Однолинейка!$A$3:$A$3000,Щит_спец)+COUNTIFS(Однолинейка!$J$3:$J$3000,C245,Однолинейка!$A$3:$A$3000,Щит_спец)+COUNTIFS(Однолинейка!$K$3:$K$3000,C245,Однолинейка!$A$3:$A$3000,Щит_спец)),IF(A245="Модуль",IF(C245="","",COUNTIFS(Однолинейка!$AW$3:$AW$3000,"?*",Однолинейка!$AI$3:$AI$3000,C245,Однолинейка!$A$3:$A$3000,Щит_спец)),IF(A245="Клемма",IF(C245="","",IF(C245=$S$7,SUMIFS(Однолинейка!$BW$3:$BW$3000,Однолинейка!$A$3:$A$3000,Щит_спец),IF(C245=$S$8,SUMIFS(Однолинейка!$BX$3:$BX$3000,Однолинейка!$A$3:$A$3000,Щит_спец),""))),""))))</f>
        <v/>
      </c>
      <c r="O245" s="74"/>
      <c r="P245" s="38" t="str">
        <f t="shared" si="27"/>
        <v/>
      </c>
      <c r="U245" s="38" t="str">
        <f t="shared" si="28"/>
        <v/>
      </c>
      <c r="V245" s="38" t="str">
        <f t="shared" si="29"/>
        <v/>
      </c>
      <c r="W245" s="38" t="str">
        <f>IF(AND(U245&lt;&gt;"",OR($S$4="(все)",B245=$S$4),IF($S$4="(все)",COUNTIF($U$4:U245,U245),COUNTIFS($U$4:U245,U245,$B$4:B245,B245))=1),MAX($W$3:W244)+1,"")</f>
        <v/>
      </c>
      <c r="X245" s="38" t="str">
        <f t="shared" si="30"/>
        <v/>
      </c>
      <c r="Y245" s="38" t="str">
        <f>IF(AND(A245="Аппарат",C245&lt;&gt;"",OR($S$5="(все)",B245=$S$5)),MAX($Y$3:Y244)+1,"")</f>
        <v/>
      </c>
      <c r="Z245" s="38" t="str">
        <f t="shared" si="31"/>
        <v/>
      </c>
      <c r="AA245" s="38" t="str">
        <f>IF(AND(A245="Модуль",C245&lt;&gt;"",OR($S$6="(все)",B245=$S$6)),MAX($AA$3:AA244)+1,"")</f>
        <v/>
      </c>
      <c r="AB245" s="38" t="str">
        <f t="shared" si="32"/>
        <v/>
      </c>
      <c r="AC245" s="38" t="str">
        <f>IF(OR(B245="",COUNTIF($B$4:B245,B245)&gt;1),"",MAX($AC$3:AC244)+1)</f>
        <v/>
      </c>
      <c r="AD245" s="38" t="str">
        <f t="shared" si="33"/>
        <v/>
      </c>
      <c r="AE245" s="38" t="str">
        <f t="shared" si="34"/>
        <v/>
      </c>
      <c r="AF245" s="38" t="str">
        <f t="shared" si="35"/>
        <v/>
      </c>
    </row>
    <row r="246" spans="1:32" x14ac:dyDescent="0.3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38" t="str">
        <f>IF(OR(A246="Автомат",A246="Дифавтомат"),IF(W246="","",COUNTIFS(Однолинейка!$H$3:$H$3000,U246,Однолинейка!$A$3:$A$3000,Щит_спец)),IF(A246="Аппарат",IF(C246="","",COUNTIFS(Однолинейка!$I$3:$I$3000,C246,Однолинейка!$A$3:$A$3000,Щит_спец)+COUNTIFS(Однолинейка!$J$3:$J$3000,C246,Однолинейка!$A$3:$A$3000,Щит_спец)+COUNTIFS(Однолинейка!$K$3:$K$3000,C246,Однолинейка!$A$3:$A$3000,Щит_спец)),IF(A246="Модуль",IF(C246="","",COUNTIFS(Однолинейка!$AW$3:$AW$3000,"?*",Однолинейка!$AI$3:$AI$3000,C246,Однолинейка!$A$3:$A$3000,Щит_спец)),IF(A246="Клемма",IF(C246="","",IF(C246=$S$7,SUMIFS(Однолинейка!$BW$3:$BW$3000,Однолинейка!$A$3:$A$3000,Щит_спец),IF(C246=$S$8,SUMIFS(Однолинейка!$BX$3:$BX$3000,Однолинейка!$A$3:$A$3000,Щит_спец),""))),""))))</f>
        <v/>
      </c>
      <c r="O246" s="74"/>
      <c r="P246" s="38" t="str">
        <f t="shared" si="27"/>
        <v/>
      </c>
      <c r="U246" s="38" t="str">
        <f t="shared" si="28"/>
        <v/>
      </c>
      <c r="V246" s="38" t="str">
        <f t="shared" si="29"/>
        <v/>
      </c>
      <c r="W246" s="38" t="str">
        <f>IF(AND(U246&lt;&gt;"",OR($S$4="(все)",B246=$S$4),IF($S$4="(все)",COUNTIF($U$4:U246,U246),COUNTIFS($U$4:U246,U246,$B$4:B246,B246))=1),MAX($W$3:W245)+1,"")</f>
        <v/>
      </c>
      <c r="X246" s="38" t="str">
        <f t="shared" si="30"/>
        <v/>
      </c>
      <c r="Y246" s="38" t="str">
        <f>IF(AND(A246="Аппарат",C246&lt;&gt;"",OR($S$5="(все)",B246=$S$5)),MAX($Y$3:Y245)+1,"")</f>
        <v/>
      </c>
      <c r="Z246" s="38" t="str">
        <f t="shared" si="31"/>
        <v/>
      </c>
      <c r="AA246" s="38" t="str">
        <f>IF(AND(A246="Модуль",C246&lt;&gt;"",OR($S$6="(все)",B246=$S$6)),MAX($AA$3:AA245)+1,"")</f>
        <v/>
      </c>
      <c r="AB246" s="38" t="str">
        <f t="shared" si="32"/>
        <v/>
      </c>
      <c r="AC246" s="38" t="str">
        <f>IF(OR(B246="",COUNTIF($B$4:B246,B246)&gt;1),"",MAX($AC$3:AC245)+1)</f>
        <v/>
      </c>
      <c r="AD246" s="38" t="str">
        <f t="shared" si="33"/>
        <v/>
      </c>
      <c r="AE246" s="38" t="str">
        <f t="shared" si="34"/>
        <v/>
      </c>
      <c r="AF246" s="38" t="str">
        <f t="shared" si="35"/>
        <v/>
      </c>
    </row>
    <row r="247" spans="1:32" x14ac:dyDescent="0.3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38" t="str">
        <f>IF(OR(A247="Автомат",A247="Дифавтомат"),IF(W247="","",COUNTIFS(Однолинейка!$H$3:$H$3000,U247,Однолинейка!$A$3:$A$3000,Щит_спец)),IF(A247="Аппарат",IF(C247="","",COUNTIFS(Однолинейка!$I$3:$I$3000,C247,Однолинейка!$A$3:$A$3000,Щит_спец)+COUNTIFS(Однолинейка!$J$3:$J$3000,C247,Однолинейка!$A$3:$A$3000,Щит_спец)+COUNTIFS(Однолинейка!$K$3:$K$3000,C247,Однолинейка!$A$3:$A$3000,Щит_спец)),IF(A247="Модуль",IF(C247="","",COUNTIFS(Однолинейка!$AW$3:$AW$3000,"?*",Однолинейка!$AI$3:$AI$3000,C247,Однолинейка!$A$3:$A$3000,Щит_спец)),IF(A247="Клемма",IF(C247="","",IF(C247=$S$7,SUMIFS(Однолинейка!$BW$3:$BW$3000,Однолинейка!$A$3:$A$3000,Щит_спец),IF(C247=$S$8,SUMIFS(Однолинейка!$BX$3:$BX$3000,Однолинейка!$A$3:$A$3000,Щит_спец),""))),""))))</f>
        <v/>
      </c>
      <c r="O247" s="74"/>
      <c r="P247" s="38" t="str">
        <f t="shared" si="27"/>
        <v/>
      </c>
      <c r="U247" s="38" t="str">
        <f t="shared" si="28"/>
        <v/>
      </c>
      <c r="V247" s="38" t="str">
        <f t="shared" si="29"/>
        <v/>
      </c>
      <c r="W247" s="38" t="str">
        <f>IF(AND(U247&lt;&gt;"",OR($S$4="(все)",B247=$S$4),IF($S$4="(все)",COUNTIF($U$4:U247,U247),COUNTIFS($U$4:U247,U247,$B$4:B247,B247))=1),MAX($W$3:W246)+1,"")</f>
        <v/>
      </c>
      <c r="X247" s="38" t="str">
        <f t="shared" si="30"/>
        <v/>
      </c>
      <c r="Y247" s="38" t="str">
        <f>IF(AND(A247="Аппарат",C247&lt;&gt;"",OR($S$5="(все)",B247=$S$5)),MAX($Y$3:Y246)+1,"")</f>
        <v/>
      </c>
      <c r="Z247" s="38" t="str">
        <f t="shared" si="31"/>
        <v/>
      </c>
      <c r="AA247" s="38" t="str">
        <f>IF(AND(A247="Модуль",C247&lt;&gt;"",OR($S$6="(все)",B247=$S$6)),MAX($AA$3:AA246)+1,"")</f>
        <v/>
      </c>
      <c r="AB247" s="38" t="str">
        <f t="shared" si="32"/>
        <v/>
      </c>
      <c r="AC247" s="38" t="str">
        <f>IF(OR(B247="",COUNTIF($B$4:B247,B247)&gt;1),"",MAX($AC$3:AC246)+1)</f>
        <v/>
      </c>
      <c r="AD247" s="38" t="str">
        <f t="shared" si="33"/>
        <v/>
      </c>
      <c r="AE247" s="38" t="str">
        <f t="shared" si="34"/>
        <v/>
      </c>
      <c r="AF247" s="38" t="str">
        <f t="shared" si="35"/>
        <v/>
      </c>
    </row>
    <row r="248" spans="1:32" x14ac:dyDescent="0.3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38" t="str">
        <f>IF(OR(A248="Автомат",A248="Дифавтомат"),IF(W248="","",COUNTIFS(Однолинейка!$H$3:$H$3000,U248,Однолинейка!$A$3:$A$3000,Щит_спец)),IF(A248="Аппарат",IF(C248="","",COUNTIFS(Однолинейка!$I$3:$I$3000,C248,Однолинейка!$A$3:$A$3000,Щит_спец)+COUNTIFS(Однолинейка!$J$3:$J$3000,C248,Однолинейка!$A$3:$A$3000,Щит_спец)+COUNTIFS(Однолинейка!$K$3:$K$3000,C248,Однолинейка!$A$3:$A$3000,Щит_спец)),IF(A248="Модуль",IF(C248="","",COUNTIFS(Однолинейка!$AW$3:$AW$3000,"?*",Однолинейка!$AI$3:$AI$3000,C248,Однолинейка!$A$3:$A$3000,Щит_спец)),IF(A248="Клемма",IF(C248="","",IF(C248=$S$7,SUMIFS(Однолинейка!$BW$3:$BW$3000,Однолинейка!$A$3:$A$3000,Щит_спец),IF(C248=$S$8,SUMIFS(Однолинейка!$BX$3:$BX$3000,Однолинейка!$A$3:$A$3000,Щит_спец),""))),""))))</f>
        <v/>
      </c>
      <c r="O248" s="74"/>
      <c r="P248" s="38" t="str">
        <f t="shared" si="27"/>
        <v/>
      </c>
      <c r="U248" s="38" t="str">
        <f t="shared" si="28"/>
        <v/>
      </c>
      <c r="V248" s="38" t="str">
        <f t="shared" si="29"/>
        <v/>
      </c>
      <c r="W248" s="38" t="str">
        <f>IF(AND(U248&lt;&gt;"",OR($S$4="(все)",B248=$S$4),IF($S$4="(все)",COUNTIF($U$4:U248,U248),COUNTIFS($U$4:U248,U248,$B$4:B248,B248))=1),MAX($W$3:W247)+1,"")</f>
        <v/>
      </c>
      <c r="X248" s="38" t="str">
        <f t="shared" si="30"/>
        <v/>
      </c>
      <c r="Y248" s="38" t="str">
        <f>IF(AND(A248="Аппарат",C248&lt;&gt;"",OR($S$5="(все)",B248=$S$5)),MAX($Y$3:Y247)+1,"")</f>
        <v/>
      </c>
      <c r="Z248" s="38" t="str">
        <f t="shared" si="31"/>
        <v/>
      </c>
      <c r="AA248" s="38" t="str">
        <f>IF(AND(A248="Модуль",C248&lt;&gt;"",OR($S$6="(все)",B248=$S$6)),MAX($AA$3:AA247)+1,"")</f>
        <v/>
      </c>
      <c r="AB248" s="38" t="str">
        <f t="shared" si="32"/>
        <v/>
      </c>
      <c r="AC248" s="38" t="str">
        <f>IF(OR(B248="",COUNTIF($B$4:B248,B248)&gt;1),"",MAX($AC$3:AC247)+1)</f>
        <v/>
      </c>
      <c r="AD248" s="38" t="str">
        <f t="shared" si="33"/>
        <v/>
      </c>
      <c r="AE248" s="38" t="str">
        <f t="shared" si="34"/>
        <v/>
      </c>
      <c r="AF248" s="38" t="str">
        <f t="shared" si="35"/>
        <v/>
      </c>
    </row>
    <row r="249" spans="1:32" x14ac:dyDescent="0.3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38" t="str">
        <f>IF(OR(A249="Автомат",A249="Дифавтомат"),IF(W249="","",COUNTIFS(Однолинейка!$H$3:$H$3000,U249,Однолинейка!$A$3:$A$3000,Щит_спец)),IF(A249="Аппарат",IF(C249="","",COUNTIFS(Однолинейка!$I$3:$I$3000,C249,Однолинейка!$A$3:$A$3000,Щит_спец)+COUNTIFS(Однолинейка!$J$3:$J$3000,C249,Однолинейка!$A$3:$A$3000,Щит_спец)+COUNTIFS(Однолинейка!$K$3:$K$3000,C249,Однолинейка!$A$3:$A$3000,Щит_спец)),IF(A249="Модуль",IF(C249="","",COUNTIFS(Однолинейка!$AW$3:$AW$3000,"?*",Однолинейка!$AI$3:$AI$3000,C249,Однолинейка!$A$3:$A$3000,Щит_спец)),IF(A249="Клемма",IF(C249="","",IF(C249=$S$7,SUMIFS(Однолинейка!$BW$3:$BW$3000,Однолинейка!$A$3:$A$3000,Щит_спец),IF(C249=$S$8,SUMIFS(Однолинейка!$BX$3:$BX$3000,Однолинейка!$A$3:$A$3000,Щит_спец),""))),""))))</f>
        <v/>
      </c>
      <c r="O249" s="74"/>
      <c r="P249" s="38" t="str">
        <f t="shared" si="27"/>
        <v/>
      </c>
      <c r="U249" s="38" t="str">
        <f t="shared" si="28"/>
        <v/>
      </c>
      <c r="V249" s="38" t="str">
        <f t="shared" si="29"/>
        <v/>
      </c>
      <c r="W249" s="38" t="str">
        <f>IF(AND(U249&lt;&gt;"",OR($S$4="(все)",B249=$S$4),IF($S$4="(все)",COUNTIF($U$4:U249,U249),COUNTIFS($U$4:U249,U249,$B$4:B249,B249))=1),MAX($W$3:W248)+1,"")</f>
        <v/>
      </c>
      <c r="X249" s="38" t="str">
        <f t="shared" si="30"/>
        <v/>
      </c>
      <c r="Y249" s="38" t="str">
        <f>IF(AND(A249="Аппарат",C249&lt;&gt;"",OR($S$5="(все)",B249=$S$5)),MAX($Y$3:Y248)+1,"")</f>
        <v/>
      </c>
      <c r="Z249" s="38" t="str">
        <f t="shared" si="31"/>
        <v/>
      </c>
      <c r="AA249" s="38" t="str">
        <f>IF(AND(A249="Модуль",C249&lt;&gt;"",OR($S$6="(все)",B249=$S$6)),MAX($AA$3:AA248)+1,"")</f>
        <v/>
      </c>
      <c r="AB249" s="38" t="str">
        <f t="shared" si="32"/>
        <v/>
      </c>
      <c r="AC249" s="38" t="str">
        <f>IF(OR(B249="",COUNTIF($B$4:B249,B249)&gt;1),"",MAX($AC$3:AC248)+1)</f>
        <v/>
      </c>
      <c r="AD249" s="38" t="str">
        <f t="shared" si="33"/>
        <v/>
      </c>
      <c r="AE249" s="38" t="str">
        <f t="shared" si="34"/>
        <v/>
      </c>
      <c r="AF249" s="38" t="str">
        <f t="shared" si="35"/>
        <v/>
      </c>
    </row>
    <row r="250" spans="1:32" x14ac:dyDescent="0.3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38" t="str">
        <f>IF(OR(A250="Автомат",A250="Дифавтомат"),IF(W250="","",COUNTIFS(Однолинейка!$H$3:$H$3000,U250,Однолинейка!$A$3:$A$3000,Щит_спец)),IF(A250="Аппарат",IF(C250="","",COUNTIFS(Однолинейка!$I$3:$I$3000,C250,Однолинейка!$A$3:$A$3000,Щит_спец)+COUNTIFS(Однолинейка!$J$3:$J$3000,C250,Однолинейка!$A$3:$A$3000,Щит_спец)+COUNTIFS(Однолинейка!$K$3:$K$3000,C250,Однолинейка!$A$3:$A$3000,Щит_спец)),IF(A250="Модуль",IF(C250="","",COUNTIFS(Однолинейка!$AW$3:$AW$3000,"?*",Однолинейка!$AI$3:$AI$3000,C250,Однолинейка!$A$3:$A$3000,Щит_спец)),IF(A250="Клемма",IF(C250="","",IF(C250=$S$7,SUMIFS(Однолинейка!$BW$3:$BW$3000,Однолинейка!$A$3:$A$3000,Щит_спец),IF(C250=$S$8,SUMIFS(Однолинейка!$BX$3:$BX$3000,Однолинейка!$A$3:$A$3000,Щит_спец),""))),""))))</f>
        <v/>
      </c>
      <c r="O250" s="74"/>
      <c r="P250" s="38" t="str">
        <f t="shared" si="27"/>
        <v/>
      </c>
      <c r="U250" s="38" t="str">
        <f t="shared" si="28"/>
        <v/>
      </c>
      <c r="V250" s="38" t="str">
        <f t="shared" si="29"/>
        <v/>
      </c>
      <c r="W250" s="38" t="str">
        <f>IF(AND(U250&lt;&gt;"",OR($S$4="(все)",B250=$S$4),IF($S$4="(все)",COUNTIF($U$4:U250,U250),COUNTIFS($U$4:U250,U250,$B$4:B250,B250))=1),MAX($W$3:W249)+1,"")</f>
        <v/>
      </c>
      <c r="X250" s="38" t="str">
        <f t="shared" si="30"/>
        <v/>
      </c>
      <c r="Y250" s="38" t="str">
        <f>IF(AND(A250="Аппарат",C250&lt;&gt;"",OR($S$5="(все)",B250=$S$5)),MAX($Y$3:Y249)+1,"")</f>
        <v/>
      </c>
      <c r="Z250" s="38" t="str">
        <f t="shared" si="31"/>
        <v/>
      </c>
      <c r="AA250" s="38" t="str">
        <f>IF(AND(A250="Модуль",C250&lt;&gt;"",OR($S$6="(все)",B250=$S$6)),MAX($AA$3:AA249)+1,"")</f>
        <v/>
      </c>
      <c r="AB250" s="38" t="str">
        <f t="shared" si="32"/>
        <v/>
      </c>
      <c r="AC250" s="38" t="str">
        <f>IF(OR(B250="",COUNTIF($B$4:B250,B250)&gt;1),"",MAX($AC$3:AC249)+1)</f>
        <v/>
      </c>
      <c r="AD250" s="38" t="str">
        <f t="shared" si="33"/>
        <v/>
      </c>
      <c r="AE250" s="38" t="str">
        <f t="shared" si="34"/>
        <v/>
      </c>
      <c r="AF250" s="38" t="str">
        <f t="shared" si="35"/>
        <v/>
      </c>
    </row>
    <row r="251" spans="1:32" x14ac:dyDescent="0.3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38" t="str">
        <f>IF(OR(A251="Автомат",A251="Дифавтомат"),IF(W251="","",COUNTIFS(Однолинейка!$H$3:$H$3000,U251,Однолинейка!$A$3:$A$3000,Щит_спец)),IF(A251="Аппарат",IF(C251="","",COUNTIFS(Однолинейка!$I$3:$I$3000,C251,Однолинейка!$A$3:$A$3000,Щит_спец)+COUNTIFS(Однолинейка!$J$3:$J$3000,C251,Однолинейка!$A$3:$A$3000,Щит_спец)+COUNTIFS(Однолинейка!$K$3:$K$3000,C251,Однолинейка!$A$3:$A$3000,Щит_спец)),IF(A251="Модуль",IF(C251="","",COUNTIFS(Однолинейка!$AW$3:$AW$3000,"?*",Однолинейка!$AI$3:$AI$3000,C251,Однолинейка!$A$3:$A$3000,Щит_спец)),IF(A251="Клемма",IF(C251="","",IF(C251=$S$7,SUMIFS(Однолинейка!$BW$3:$BW$3000,Однолинейка!$A$3:$A$3000,Щит_спец),IF(C251=$S$8,SUMIFS(Однолинейка!$BX$3:$BX$3000,Однолинейка!$A$3:$A$3000,Щит_спец),""))),""))))</f>
        <v/>
      </c>
      <c r="O251" s="74"/>
      <c r="P251" s="38" t="str">
        <f t="shared" si="27"/>
        <v/>
      </c>
      <c r="U251" s="38" t="str">
        <f t="shared" si="28"/>
        <v/>
      </c>
      <c r="V251" s="38" t="str">
        <f t="shared" si="29"/>
        <v/>
      </c>
      <c r="W251" s="38" t="str">
        <f>IF(AND(U251&lt;&gt;"",OR($S$4="(все)",B251=$S$4),IF($S$4="(все)",COUNTIF($U$4:U251,U251),COUNTIFS($U$4:U251,U251,$B$4:B251,B251))=1),MAX($W$3:W250)+1,"")</f>
        <v/>
      </c>
      <c r="X251" s="38" t="str">
        <f t="shared" si="30"/>
        <v/>
      </c>
      <c r="Y251" s="38" t="str">
        <f>IF(AND(A251="Аппарат",C251&lt;&gt;"",OR($S$5="(все)",B251=$S$5)),MAX($Y$3:Y250)+1,"")</f>
        <v/>
      </c>
      <c r="Z251" s="38" t="str">
        <f t="shared" si="31"/>
        <v/>
      </c>
      <c r="AA251" s="38" t="str">
        <f>IF(AND(A251="Модуль",C251&lt;&gt;"",OR($S$6="(все)",B251=$S$6)),MAX($AA$3:AA250)+1,"")</f>
        <v/>
      </c>
      <c r="AB251" s="38" t="str">
        <f t="shared" si="32"/>
        <v/>
      </c>
      <c r="AC251" s="38" t="str">
        <f>IF(OR(B251="",COUNTIF($B$4:B251,B251)&gt;1),"",MAX($AC$3:AC250)+1)</f>
        <v/>
      </c>
      <c r="AD251" s="38" t="str">
        <f t="shared" si="33"/>
        <v/>
      </c>
      <c r="AE251" s="38" t="str">
        <f t="shared" si="34"/>
        <v/>
      </c>
      <c r="AF251" s="38" t="str">
        <f t="shared" si="35"/>
        <v/>
      </c>
    </row>
    <row r="252" spans="1:32" x14ac:dyDescent="0.3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38" t="str">
        <f>IF(OR(A252="Автомат",A252="Дифавтомат"),IF(W252="","",COUNTIFS(Однолинейка!$H$3:$H$3000,U252,Однолинейка!$A$3:$A$3000,Щит_спец)),IF(A252="Аппарат",IF(C252="","",COUNTIFS(Однолинейка!$I$3:$I$3000,C252,Однолинейка!$A$3:$A$3000,Щит_спец)+COUNTIFS(Однолинейка!$J$3:$J$3000,C252,Однолинейка!$A$3:$A$3000,Щит_спец)+COUNTIFS(Однолинейка!$K$3:$K$3000,C252,Однолинейка!$A$3:$A$3000,Щит_спец)),IF(A252="Модуль",IF(C252="","",COUNTIFS(Однолинейка!$AW$3:$AW$3000,"?*",Однолинейка!$AI$3:$AI$3000,C252,Однолинейка!$A$3:$A$3000,Щит_спец)),IF(A252="Клемма",IF(C252="","",IF(C252=$S$7,SUMIFS(Однолинейка!$BW$3:$BW$3000,Однолинейка!$A$3:$A$3000,Щит_спец),IF(C252=$S$8,SUMIFS(Однолинейка!$BX$3:$BX$3000,Однолинейка!$A$3:$A$3000,Щит_спец),""))),""))))</f>
        <v/>
      </c>
      <c r="O252" s="74"/>
      <c r="P252" s="38" t="str">
        <f t="shared" si="27"/>
        <v/>
      </c>
      <c r="U252" s="38" t="str">
        <f t="shared" si="28"/>
        <v/>
      </c>
      <c r="V252" s="38" t="str">
        <f t="shared" si="29"/>
        <v/>
      </c>
      <c r="W252" s="38" t="str">
        <f>IF(AND(U252&lt;&gt;"",OR($S$4="(все)",B252=$S$4),IF($S$4="(все)",COUNTIF($U$4:U252,U252),COUNTIFS($U$4:U252,U252,$B$4:B252,B252))=1),MAX($W$3:W251)+1,"")</f>
        <v/>
      </c>
      <c r="X252" s="38" t="str">
        <f t="shared" si="30"/>
        <v/>
      </c>
      <c r="Y252" s="38" t="str">
        <f>IF(AND(A252="Аппарат",C252&lt;&gt;"",OR($S$5="(все)",B252=$S$5)),MAX($Y$3:Y251)+1,"")</f>
        <v/>
      </c>
      <c r="Z252" s="38" t="str">
        <f t="shared" si="31"/>
        <v/>
      </c>
      <c r="AA252" s="38" t="str">
        <f>IF(AND(A252="Модуль",C252&lt;&gt;"",OR($S$6="(все)",B252=$S$6)),MAX($AA$3:AA251)+1,"")</f>
        <v/>
      </c>
      <c r="AB252" s="38" t="str">
        <f t="shared" si="32"/>
        <v/>
      </c>
      <c r="AC252" s="38" t="str">
        <f>IF(OR(B252="",COUNTIF($B$4:B252,B252)&gt;1),"",MAX($AC$3:AC251)+1)</f>
        <v/>
      </c>
      <c r="AD252" s="38" t="str">
        <f t="shared" si="33"/>
        <v/>
      </c>
      <c r="AE252" s="38" t="str">
        <f t="shared" si="34"/>
        <v/>
      </c>
      <c r="AF252" s="38" t="str">
        <f t="shared" si="35"/>
        <v/>
      </c>
    </row>
    <row r="253" spans="1:32" x14ac:dyDescent="0.3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38" t="str">
        <f>IF(OR(A253="Автомат",A253="Дифавтомат"),IF(W253="","",COUNTIFS(Однолинейка!$H$3:$H$3000,U253,Однолинейка!$A$3:$A$3000,Щит_спец)),IF(A253="Аппарат",IF(C253="","",COUNTIFS(Однолинейка!$I$3:$I$3000,C253,Однолинейка!$A$3:$A$3000,Щит_спец)+COUNTIFS(Однолинейка!$J$3:$J$3000,C253,Однолинейка!$A$3:$A$3000,Щит_спец)+COUNTIFS(Однолинейка!$K$3:$K$3000,C253,Однолинейка!$A$3:$A$3000,Щит_спец)),IF(A253="Модуль",IF(C253="","",COUNTIFS(Однолинейка!$AW$3:$AW$3000,"?*",Однолинейка!$AI$3:$AI$3000,C253,Однолинейка!$A$3:$A$3000,Щит_спец)),IF(A253="Клемма",IF(C253="","",IF(C253=$S$7,SUMIFS(Однолинейка!$BW$3:$BW$3000,Однолинейка!$A$3:$A$3000,Щит_спец),IF(C253=$S$8,SUMIFS(Однолинейка!$BX$3:$BX$3000,Однолинейка!$A$3:$A$3000,Щит_спец),""))),""))))</f>
        <v/>
      </c>
      <c r="O253" s="74"/>
      <c r="P253" s="38" t="str">
        <f t="shared" si="27"/>
        <v/>
      </c>
      <c r="U253" s="38" t="str">
        <f t="shared" si="28"/>
        <v/>
      </c>
      <c r="V253" s="38" t="str">
        <f t="shared" si="29"/>
        <v/>
      </c>
      <c r="W253" s="38" t="str">
        <f>IF(AND(U253&lt;&gt;"",OR($S$4="(все)",B253=$S$4),IF($S$4="(все)",COUNTIF($U$4:U253,U253),COUNTIFS($U$4:U253,U253,$B$4:B253,B253))=1),MAX($W$3:W252)+1,"")</f>
        <v/>
      </c>
      <c r="X253" s="38" t="str">
        <f t="shared" si="30"/>
        <v/>
      </c>
      <c r="Y253" s="38" t="str">
        <f>IF(AND(A253="Аппарат",C253&lt;&gt;"",OR($S$5="(все)",B253=$S$5)),MAX($Y$3:Y252)+1,"")</f>
        <v/>
      </c>
      <c r="Z253" s="38" t="str">
        <f t="shared" si="31"/>
        <v/>
      </c>
      <c r="AA253" s="38" t="str">
        <f>IF(AND(A253="Модуль",C253&lt;&gt;"",OR($S$6="(все)",B253=$S$6)),MAX($AA$3:AA252)+1,"")</f>
        <v/>
      </c>
      <c r="AB253" s="38" t="str">
        <f t="shared" si="32"/>
        <v/>
      </c>
      <c r="AC253" s="38" t="str">
        <f>IF(OR(B253="",COUNTIF($B$4:B253,B253)&gt;1),"",MAX($AC$3:AC252)+1)</f>
        <v/>
      </c>
      <c r="AD253" s="38" t="str">
        <f t="shared" si="33"/>
        <v/>
      </c>
      <c r="AE253" s="38" t="str">
        <f t="shared" si="34"/>
        <v/>
      </c>
      <c r="AF253" s="38" t="str">
        <f t="shared" si="35"/>
        <v/>
      </c>
    </row>
    <row r="254" spans="1:32" x14ac:dyDescent="0.3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38" t="str">
        <f>IF(OR(A254="Автомат",A254="Дифавтомат"),IF(W254="","",COUNTIFS(Однолинейка!$H$3:$H$3000,U254,Однолинейка!$A$3:$A$3000,Щит_спец)),IF(A254="Аппарат",IF(C254="","",COUNTIFS(Однолинейка!$I$3:$I$3000,C254,Однолинейка!$A$3:$A$3000,Щит_спец)+COUNTIFS(Однолинейка!$J$3:$J$3000,C254,Однолинейка!$A$3:$A$3000,Щит_спец)+COUNTIFS(Однолинейка!$K$3:$K$3000,C254,Однолинейка!$A$3:$A$3000,Щит_спец)),IF(A254="Модуль",IF(C254="","",COUNTIFS(Однолинейка!$AW$3:$AW$3000,"?*",Однолинейка!$AI$3:$AI$3000,C254,Однолинейка!$A$3:$A$3000,Щит_спец)),IF(A254="Клемма",IF(C254="","",IF(C254=$S$7,SUMIFS(Однолинейка!$BW$3:$BW$3000,Однолинейка!$A$3:$A$3000,Щит_спец),IF(C254=$S$8,SUMIFS(Однолинейка!$BX$3:$BX$3000,Однолинейка!$A$3:$A$3000,Щит_спец),""))),""))))</f>
        <v/>
      </c>
      <c r="O254" s="74"/>
      <c r="P254" s="38" t="str">
        <f t="shared" si="27"/>
        <v/>
      </c>
      <c r="U254" s="38" t="str">
        <f t="shared" si="28"/>
        <v/>
      </c>
      <c r="V254" s="38" t="str">
        <f t="shared" si="29"/>
        <v/>
      </c>
      <c r="W254" s="38" t="str">
        <f>IF(AND(U254&lt;&gt;"",OR($S$4="(все)",B254=$S$4),IF($S$4="(все)",COUNTIF($U$4:U254,U254),COUNTIFS($U$4:U254,U254,$B$4:B254,B254))=1),MAX($W$3:W253)+1,"")</f>
        <v/>
      </c>
      <c r="X254" s="38" t="str">
        <f t="shared" si="30"/>
        <v/>
      </c>
      <c r="Y254" s="38" t="str">
        <f>IF(AND(A254="Аппарат",C254&lt;&gt;"",OR($S$5="(все)",B254=$S$5)),MAX($Y$3:Y253)+1,"")</f>
        <v/>
      </c>
      <c r="Z254" s="38" t="str">
        <f t="shared" si="31"/>
        <v/>
      </c>
      <c r="AA254" s="38" t="str">
        <f>IF(AND(A254="Модуль",C254&lt;&gt;"",OR($S$6="(все)",B254=$S$6)),MAX($AA$3:AA253)+1,"")</f>
        <v/>
      </c>
      <c r="AB254" s="38" t="str">
        <f t="shared" si="32"/>
        <v/>
      </c>
      <c r="AC254" s="38" t="str">
        <f>IF(OR(B254="",COUNTIF($B$4:B254,B254)&gt;1),"",MAX($AC$3:AC253)+1)</f>
        <v/>
      </c>
      <c r="AD254" s="38" t="str">
        <f t="shared" si="33"/>
        <v/>
      </c>
      <c r="AE254" s="38" t="str">
        <f t="shared" si="34"/>
        <v/>
      </c>
      <c r="AF254" s="38" t="str">
        <f t="shared" si="35"/>
        <v/>
      </c>
    </row>
    <row r="255" spans="1:32" x14ac:dyDescent="0.3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38" t="str">
        <f>IF(OR(A255="Автомат",A255="Дифавтомат"),IF(W255="","",COUNTIFS(Однолинейка!$H$3:$H$3000,U255,Однолинейка!$A$3:$A$3000,Щит_спец)),IF(A255="Аппарат",IF(C255="","",COUNTIFS(Однолинейка!$I$3:$I$3000,C255,Однолинейка!$A$3:$A$3000,Щит_спец)+COUNTIFS(Однолинейка!$J$3:$J$3000,C255,Однолинейка!$A$3:$A$3000,Щит_спец)+COUNTIFS(Однолинейка!$K$3:$K$3000,C255,Однолинейка!$A$3:$A$3000,Щит_спец)),IF(A255="Модуль",IF(C255="","",COUNTIFS(Однолинейка!$AW$3:$AW$3000,"?*",Однолинейка!$AI$3:$AI$3000,C255,Однолинейка!$A$3:$A$3000,Щит_спец)),IF(A255="Клемма",IF(C255="","",IF(C255=$S$7,SUMIFS(Однолинейка!$BW$3:$BW$3000,Однолинейка!$A$3:$A$3000,Щит_спец),IF(C255=$S$8,SUMIFS(Однолинейка!$BX$3:$BX$3000,Однолинейка!$A$3:$A$3000,Щит_спец),""))),""))))</f>
        <v/>
      </c>
      <c r="O255" s="74"/>
      <c r="P255" s="38" t="str">
        <f t="shared" si="27"/>
        <v/>
      </c>
      <c r="U255" s="38" t="str">
        <f t="shared" si="28"/>
        <v/>
      </c>
      <c r="V255" s="38" t="str">
        <f t="shared" si="29"/>
        <v/>
      </c>
      <c r="W255" s="38" t="str">
        <f>IF(AND(U255&lt;&gt;"",OR($S$4="(все)",B255=$S$4),IF($S$4="(все)",COUNTIF($U$4:U255,U255),COUNTIFS($U$4:U255,U255,$B$4:B255,B255))=1),MAX($W$3:W254)+1,"")</f>
        <v/>
      </c>
      <c r="X255" s="38" t="str">
        <f t="shared" si="30"/>
        <v/>
      </c>
      <c r="Y255" s="38" t="str">
        <f>IF(AND(A255="Аппарат",C255&lt;&gt;"",OR($S$5="(все)",B255=$S$5)),MAX($Y$3:Y254)+1,"")</f>
        <v/>
      </c>
      <c r="Z255" s="38" t="str">
        <f t="shared" si="31"/>
        <v/>
      </c>
      <c r="AA255" s="38" t="str">
        <f>IF(AND(A255="Модуль",C255&lt;&gt;"",OR($S$6="(все)",B255=$S$6)),MAX($AA$3:AA254)+1,"")</f>
        <v/>
      </c>
      <c r="AB255" s="38" t="str">
        <f t="shared" si="32"/>
        <v/>
      </c>
      <c r="AC255" s="38" t="str">
        <f>IF(OR(B255="",COUNTIF($B$4:B255,B255)&gt;1),"",MAX($AC$3:AC254)+1)</f>
        <v/>
      </c>
      <c r="AD255" s="38" t="str">
        <f t="shared" si="33"/>
        <v/>
      </c>
      <c r="AE255" s="38" t="str">
        <f t="shared" si="34"/>
        <v/>
      </c>
      <c r="AF255" s="38" t="str">
        <f t="shared" si="35"/>
        <v/>
      </c>
    </row>
    <row r="256" spans="1:32" x14ac:dyDescent="0.3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38" t="str">
        <f>IF(OR(A256="Автомат",A256="Дифавтомат"),IF(W256="","",COUNTIFS(Однолинейка!$H$3:$H$3000,U256,Однолинейка!$A$3:$A$3000,Щит_спец)),IF(A256="Аппарат",IF(C256="","",COUNTIFS(Однолинейка!$I$3:$I$3000,C256,Однолинейка!$A$3:$A$3000,Щит_спец)+COUNTIFS(Однолинейка!$J$3:$J$3000,C256,Однолинейка!$A$3:$A$3000,Щит_спец)+COUNTIFS(Однолинейка!$K$3:$K$3000,C256,Однолинейка!$A$3:$A$3000,Щит_спец)),IF(A256="Модуль",IF(C256="","",COUNTIFS(Однолинейка!$AW$3:$AW$3000,"?*",Однолинейка!$AI$3:$AI$3000,C256,Однолинейка!$A$3:$A$3000,Щит_спец)),IF(A256="Клемма",IF(C256="","",IF(C256=$S$7,SUMIFS(Однолинейка!$BW$3:$BW$3000,Однолинейка!$A$3:$A$3000,Щит_спец),IF(C256=$S$8,SUMIFS(Однолинейка!$BX$3:$BX$3000,Однолинейка!$A$3:$A$3000,Щит_спец),""))),""))))</f>
        <v/>
      </c>
      <c r="O256" s="74"/>
      <c r="P256" s="38" t="str">
        <f t="shared" si="27"/>
        <v/>
      </c>
      <c r="U256" s="38" t="str">
        <f t="shared" si="28"/>
        <v/>
      </c>
      <c r="V256" s="38" t="str">
        <f t="shared" si="29"/>
        <v/>
      </c>
      <c r="W256" s="38" t="str">
        <f>IF(AND(U256&lt;&gt;"",OR($S$4="(все)",B256=$S$4),IF($S$4="(все)",COUNTIF($U$4:U256,U256),COUNTIFS($U$4:U256,U256,$B$4:B256,B256))=1),MAX($W$3:W255)+1,"")</f>
        <v/>
      </c>
      <c r="X256" s="38" t="str">
        <f t="shared" si="30"/>
        <v/>
      </c>
      <c r="Y256" s="38" t="str">
        <f>IF(AND(A256="Аппарат",C256&lt;&gt;"",OR($S$5="(все)",B256=$S$5)),MAX($Y$3:Y255)+1,"")</f>
        <v/>
      </c>
      <c r="Z256" s="38" t="str">
        <f t="shared" si="31"/>
        <v/>
      </c>
      <c r="AA256" s="38" t="str">
        <f>IF(AND(A256="Модуль",C256&lt;&gt;"",OR($S$6="(все)",B256=$S$6)),MAX($AA$3:AA255)+1,"")</f>
        <v/>
      </c>
      <c r="AB256" s="38" t="str">
        <f t="shared" si="32"/>
        <v/>
      </c>
      <c r="AC256" s="38" t="str">
        <f>IF(OR(B256="",COUNTIF($B$4:B256,B256)&gt;1),"",MAX($AC$3:AC255)+1)</f>
        <v/>
      </c>
      <c r="AD256" s="38" t="str">
        <f t="shared" si="33"/>
        <v/>
      </c>
      <c r="AE256" s="38" t="str">
        <f t="shared" si="34"/>
        <v/>
      </c>
      <c r="AF256" s="38" t="str">
        <f t="shared" si="35"/>
        <v/>
      </c>
    </row>
    <row r="257" spans="1:32" x14ac:dyDescent="0.3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38" t="str">
        <f>IF(OR(A257="Автомат",A257="Дифавтомат"),IF(W257="","",COUNTIFS(Однолинейка!$H$3:$H$3000,U257,Однолинейка!$A$3:$A$3000,Щит_спец)),IF(A257="Аппарат",IF(C257="","",COUNTIFS(Однолинейка!$I$3:$I$3000,C257,Однолинейка!$A$3:$A$3000,Щит_спец)+COUNTIFS(Однолинейка!$J$3:$J$3000,C257,Однолинейка!$A$3:$A$3000,Щит_спец)+COUNTIFS(Однолинейка!$K$3:$K$3000,C257,Однолинейка!$A$3:$A$3000,Щит_спец)),IF(A257="Модуль",IF(C257="","",COUNTIFS(Однолинейка!$AW$3:$AW$3000,"?*",Однолинейка!$AI$3:$AI$3000,C257,Однолинейка!$A$3:$A$3000,Щит_спец)),IF(A257="Клемма",IF(C257="","",IF(C257=$S$7,SUMIFS(Однолинейка!$BW$3:$BW$3000,Однолинейка!$A$3:$A$3000,Щит_спец),IF(C257=$S$8,SUMIFS(Однолинейка!$BX$3:$BX$3000,Однолинейка!$A$3:$A$3000,Щит_спец),""))),""))))</f>
        <v/>
      </c>
      <c r="O257" s="74"/>
      <c r="P257" s="38" t="str">
        <f t="shared" si="27"/>
        <v/>
      </c>
      <c r="U257" s="38" t="str">
        <f t="shared" si="28"/>
        <v/>
      </c>
      <c r="V257" s="38" t="str">
        <f t="shared" si="29"/>
        <v/>
      </c>
      <c r="W257" s="38" t="str">
        <f>IF(AND(U257&lt;&gt;"",OR($S$4="(все)",B257=$S$4),IF($S$4="(все)",COUNTIF($U$4:U257,U257),COUNTIFS($U$4:U257,U257,$B$4:B257,B257))=1),MAX($W$3:W256)+1,"")</f>
        <v/>
      </c>
      <c r="X257" s="38" t="str">
        <f t="shared" si="30"/>
        <v/>
      </c>
      <c r="Y257" s="38" t="str">
        <f>IF(AND(A257="Аппарат",C257&lt;&gt;"",OR($S$5="(все)",B257=$S$5)),MAX($Y$3:Y256)+1,"")</f>
        <v/>
      </c>
      <c r="Z257" s="38" t="str">
        <f t="shared" si="31"/>
        <v/>
      </c>
      <c r="AA257" s="38" t="str">
        <f>IF(AND(A257="Модуль",C257&lt;&gt;"",OR($S$6="(все)",B257=$S$6)),MAX($AA$3:AA256)+1,"")</f>
        <v/>
      </c>
      <c r="AB257" s="38" t="str">
        <f t="shared" si="32"/>
        <v/>
      </c>
      <c r="AC257" s="38" t="str">
        <f>IF(OR(B257="",COUNTIF($B$4:B257,B257)&gt;1),"",MAX($AC$3:AC256)+1)</f>
        <v/>
      </c>
      <c r="AD257" s="38" t="str">
        <f t="shared" si="33"/>
        <v/>
      </c>
      <c r="AE257" s="38" t="str">
        <f t="shared" si="34"/>
        <v/>
      </c>
      <c r="AF257" s="38" t="str">
        <f t="shared" si="35"/>
        <v/>
      </c>
    </row>
    <row r="258" spans="1:32" x14ac:dyDescent="0.3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38" t="str">
        <f>IF(OR(A258="Автомат",A258="Дифавтомат"),IF(W258="","",COUNTIFS(Однолинейка!$H$3:$H$3000,U258,Однолинейка!$A$3:$A$3000,Щит_спец)),IF(A258="Аппарат",IF(C258="","",COUNTIFS(Однолинейка!$I$3:$I$3000,C258,Однолинейка!$A$3:$A$3000,Щит_спец)+COUNTIFS(Однолинейка!$J$3:$J$3000,C258,Однолинейка!$A$3:$A$3000,Щит_спец)+COUNTIFS(Однолинейка!$K$3:$K$3000,C258,Однолинейка!$A$3:$A$3000,Щит_спец)),IF(A258="Модуль",IF(C258="","",COUNTIFS(Однолинейка!$AW$3:$AW$3000,"?*",Однолинейка!$AI$3:$AI$3000,C258,Однолинейка!$A$3:$A$3000,Щит_спец)),IF(A258="Клемма",IF(C258="","",IF(C258=$S$7,SUMIFS(Однолинейка!$BW$3:$BW$3000,Однолинейка!$A$3:$A$3000,Щит_спец),IF(C258=$S$8,SUMIFS(Однолинейка!$BX$3:$BX$3000,Однолинейка!$A$3:$A$3000,Щит_спец),""))),""))))</f>
        <v/>
      </c>
      <c r="O258" s="74"/>
      <c r="P258" s="38" t="str">
        <f t="shared" si="27"/>
        <v/>
      </c>
      <c r="U258" s="38" t="str">
        <f t="shared" si="28"/>
        <v/>
      </c>
      <c r="V258" s="38" t="str">
        <f t="shared" si="29"/>
        <v/>
      </c>
      <c r="W258" s="38" t="str">
        <f>IF(AND(U258&lt;&gt;"",OR($S$4="(все)",B258=$S$4),IF($S$4="(все)",COUNTIF($U$4:U258,U258),COUNTIFS($U$4:U258,U258,$B$4:B258,B258))=1),MAX($W$3:W257)+1,"")</f>
        <v/>
      </c>
      <c r="X258" s="38" t="str">
        <f t="shared" si="30"/>
        <v/>
      </c>
      <c r="Y258" s="38" t="str">
        <f>IF(AND(A258="Аппарат",C258&lt;&gt;"",OR($S$5="(все)",B258=$S$5)),MAX($Y$3:Y257)+1,"")</f>
        <v/>
      </c>
      <c r="Z258" s="38" t="str">
        <f t="shared" si="31"/>
        <v/>
      </c>
      <c r="AA258" s="38" t="str">
        <f>IF(AND(A258="Модуль",C258&lt;&gt;"",OR($S$6="(все)",B258=$S$6)),MAX($AA$3:AA257)+1,"")</f>
        <v/>
      </c>
      <c r="AB258" s="38" t="str">
        <f t="shared" si="32"/>
        <v/>
      </c>
      <c r="AC258" s="38" t="str">
        <f>IF(OR(B258="",COUNTIF($B$4:B258,B258)&gt;1),"",MAX($AC$3:AC257)+1)</f>
        <v/>
      </c>
      <c r="AD258" s="38" t="str">
        <f t="shared" si="33"/>
        <v/>
      </c>
      <c r="AE258" s="38" t="str">
        <f t="shared" si="34"/>
        <v/>
      </c>
      <c r="AF258" s="38" t="str">
        <f t="shared" si="35"/>
        <v/>
      </c>
    </row>
    <row r="259" spans="1:32" x14ac:dyDescent="0.3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38" t="str">
        <f>IF(OR(A259="Автомат",A259="Дифавтомат"),IF(W259="","",COUNTIFS(Однолинейка!$H$3:$H$3000,U259,Однолинейка!$A$3:$A$3000,Щит_спец)),IF(A259="Аппарат",IF(C259="","",COUNTIFS(Однолинейка!$I$3:$I$3000,C259,Однолинейка!$A$3:$A$3000,Щит_спец)+COUNTIFS(Однолинейка!$J$3:$J$3000,C259,Однолинейка!$A$3:$A$3000,Щит_спец)+COUNTIFS(Однолинейка!$K$3:$K$3000,C259,Однолинейка!$A$3:$A$3000,Щит_спец)),IF(A259="Модуль",IF(C259="","",COUNTIFS(Однолинейка!$AW$3:$AW$3000,"?*",Однолинейка!$AI$3:$AI$3000,C259,Однолинейка!$A$3:$A$3000,Щит_спец)),IF(A259="Клемма",IF(C259="","",IF(C259=$S$7,SUMIFS(Однолинейка!$BW$3:$BW$3000,Однолинейка!$A$3:$A$3000,Щит_спец),IF(C259=$S$8,SUMIFS(Однолинейка!$BX$3:$BX$3000,Однолинейка!$A$3:$A$3000,Щит_спец),""))),""))))</f>
        <v/>
      </c>
      <c r="O259" s="74"/>
      <c r="P259" s="38" t="str">
        <f t="shared" si="27"/>
        <v/>
      </c>
      <c r="U259" s="38" t="str">
        <f t="shared" si="28"/>
        <v/>
      </c>
      <c r="V259" s="38" t="str">
        <f t="shared" si="29"/>
        <v/>
      </c>
      <c r="W259" s="38" t="str">
        <f>IF(AND(U259&lt;&gt;"",OR($S$4="(все)",B259=$S$4),IF($S$4="(все)",COUNTIF($U$4:U259,U259),COUNTIFS($U$4:U259,U259,$B$4:B259,B259))=1),MAX($W$3:W258)+1,"")</f>
        <v/>
      </c>
      <c r="X259" s="38" t="str">
        <f t="shared" si="30"/>
        <v/>
      </c>
      <c r="Y259" s="38" t="str">
        <f>IF(AND(A259="Аппарат",C259&lt;&gt;"",OR($S$5="(все)",B259=$S$5)),MAX($Y$3:Y258)+1,"")</f>
        <v/>
      </c>
      <c r="Z259" s="38" t="str">
        <f t="shared" si="31"/>
        <v/>
      </c>
      <c r="AA259" s="38" t="str">
        <f>IF(AND(A259="Модуль",C259&lt;&gt;"",OR($S$6="(все)",B259=$S$6)),MAX($AA$3:AA258)+1,"")</f>
        <v/>
      </c>
      <c r="AB259" s="38" t="str">
        <f t="shared" si="32"/>
        <v/>
      </c>
      <c r="AC259" s="38" t="str">
        <f>IF(OR(B259="",COUNTIF($B$4:B259,B259)&gt;1),"",MAX($AC$3:AC258)+1)</f>
        <v/>
      </c>
      <c r="AD259" s="38" t="str">
        <f t="shared" si="33"/>
        <v/>
      </c>
      <c r="AE259" s="38" t="str">
        <f t="shared" si="34"/>
        <v/>
      </c>
      <c r="AF259" s="38" t="str">
        <f t="shared" si="35"/>
        <v/>
      </c>
    </row>
    <row r="260" spans="1:32" x14ac:dyDescent="0.3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38" t="str">
        <f>IF(OR(A260="Автомат",A260="Дифавтомат"),IF(W260="","",COUNTIFS(Однолинейка!$H$3:$H$3000,U260,Однолинейка!$A$3:$A$3000,Щит_спец)),IF(A260="Аппарат",IF(C260="","",COUNTIFS(Однолинейка!$I$3:$I$3000,C260,Однолинейка!$A$3:$A$3000,Щит_спец)+COUNTIFS(Однолинейка!$J$3:$J$3000,C260,Однолинейка!$A$3:$A$3000,Щит_спец)+COUNTIFS(Однолинейка!$K$3:$K$3000,C260,Однолинейка!$A$3:$A$3000,Щит_спец)),IF(A260="Модуль",IF(C260="","",COUNTIFS(Однолинейка!$AW$3:$AW$3000,"?*",Однолинейка!$AI$3:$AI$3000,C260,Однолинейка!$A$3:$A$3000,Щит_спец)),IF(A260="Клемма",IF(C260="","",IF(C260=$S$7,SUMIFS(Однолинейка!$BW$3:$BW$3000,Однолинейка!$A$3:$A$3000,Щит_спец),IF(C260=$S$8,SUMIFS(Однолинейка!$BX$3:$BX$3000,Однолинейка!$A$3:$A$3000,Щит_спец),""))),""))))</f>
        <v/>
      </c>
      <c r="O260" s="74"/>
      <c r="P260" s="38" t="str">
        <f t="shared" ref="P260:P323" si="36">IF(COUNT(N260,O260)=0,"",SUM(N260,O260))</f>
        <v/>
      </c>
      <c r="U260" s="38" t="str">
        <f t="shared" ref="U260:U323" si="37">IF(OR(A260="Автомат",A260="Дифавтомат"),I260&amp;" С"&amp;J260&amp;"А"&amp;IF(K260="да"," 30мА",IF(ISNUMBER(K260)," "&amp;K260&amp;"мА","")),"")</f>
        <v/>
      </c>
      <c r="V260" s="38" t="str">
        <f t="shared" ref="V260:V323" si="38">IF(U260="","",B260&amp;"|"&amp;U260)</f>
        <v/>
      </c>
      <c r="W260" s="38" t="str">
        <f>IF(AND(U260&lt;&gt;"",OR($S$4="(все)",B260=$S$4),IF($S$4="(все)",COUNTIF($U$4:U260,U260),COUNTIFS($U$4:U260,U260,$B$4:B260,B260))=1),MAX($W$3:W259)+1,"")</f>
        <v/>
      </c>
      <c r="X260" s="38" t="str">
        <f t="shared" ref="X260:X323" si="39">IFERROR(INDEX($U$4:$U$500,MATCH(ROW()-3,$W$4:$W$500,0)),"")</f>
        <v/>
      </c>
      <c r="Y260" s="38" t="str">
        <f>IF(AND(A260="Аппарат",C260&lt;&gt;"",OR($S$5="(все)",B260=$S$5)),MAX($Y$3:Y259)+1,"")</f>
        <v/>
      </c>
      <c r="Z260" s="38" t="str">
        <f t="shared" ref="Z260:Z323" si="40">IFERROR(INDEX($C$4:$C$500,MATCH(ROW()-3,$Y$4:$Y$500,0)),"")</f>
        <v/>
      </c>
      <c r="AA260" s="38" t="str">
        <f>IF(AND(A260="Модуль",C260&lt;&gt;"",OR($S$6="(все)",B260=$S$6)),MAX($AA$3:AA259)+1,"")</f>
        <v/>
      </c>
      <c r="AB260" s="38" t="str">
        <f t="shared" ref="AB260:AB323" si="41">IFERROR(INDEX($C$4:$C$500,MATCH(ROW()-3,$AA$4:$AA$500,0)),"")</f>
        <v/>
      </c>
      <c r="AC260" s="38" t="str">
        <f>IF(OR(B260="",COUNTIF($B$4:B260,B260)&gt;1),"",MAX($AC$3:AC259)+1)</f>
        <v/>
      </c>
      <c r="AD260" s="38" t="str">
        <f t="shared" ref="AD260:AD323" si="42">IFERROR(INDEX($B$4:$B$500,MATCH(ROW()-3,$AC$4:$AC$500,0)),"")</f>
        <v/>
      </c>
      <c r="AE260" s="38" t="str">
        <f t="shared" ref="AE260:AE323" si="43">IF(AND(A260&lt;&gt;"",N(P260)&gt;0),IFERROR(MATCH(A260,$R$12:$R$25,0),99)*1000+ROW(),"")</f>
        <v/>
      </c>
      <c r="AF260" s="38" t="str">
        <f t="shared" ref="AF260:AF323" si="44">IF(AE260="","",COUNTIF($AE$4:$AE$500,"&lt;="&amp;AE260))</f>
        <v/>
      </c>
    </row>
    <row r="261" spans="1:32" x14ac:dyDescent="0.3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38" t="str">
        <f>IF(OR(A261="Автомат",A261="Дифавтомат"),IF(W261="","",COUNTIFS(Однолинейка!$H$3:$H$3000,U261,Однолинейка!$A$3:$A$3000,Щит_спец)),IF(A261="Аппарат",IF(C261="","",COUNTIFS(Однолинейка!$I$3:$I$3000,C261,Однолинейка!$A$3:$A$3000,Щит_спец)+COUNTIFS(Однолинейка!$J$3:$J$3000,C261,Однолинейка!$A$3:$A$3000,Щит_спец)+COUNTIFS(Однолинейка!$K$3:$K$3000,C261,Однолинейка!$A$3:$A$3000,Щит_спец)),IF(A261="Модуль",IF(C261="","",COUNTIFS(Однолинейка!$AW$3:$AW$3000,"?*",Однолинейка!$AI$3:$AI$3000,C261,Однолинейка!$A$3:$A$3000,Щит_спец)),IF(A261="Клемма",IF(C261="","",IF(C261=$S$7,SUMIFS(Однолинейка!$BW$3:$BW$3000,Однолинейка!$A$3:$A$3000,Щит_спец),IF(C261=$S$8,SUMIFS(Однолинейка!$BX$3:$BX$3000,Однолинейка!$A$3:$A$3000,Щит_спец),""))),""))))</f>
        <v/>
      </c>
      <c r="O261" s="74"/>
      <c r="P261" s="38" t="str">
        <f t="shared" si="36"/>
        <v/>
      </c>
      <c r="U261" s="38" t="str">
        <f t="shared" si="37"/>
        <v/>
      </c>
      <c r="V261" s="38" t="str">
        <f t="shared" si="38"/>
        <v/>
      </c>
      <c r="W261" s="38" t="str">
        <f>IF(AND(U261&lt;&gt;"",OR($S$4="(все)",B261=$S$4),IF($S$4="(все)",COUNTIF($U$4:U261,U261),COUNTIFS($U$4:U261,U261,$B$4:B261,B261))=1),MAX($W$3:W260)+1,"")</f>
        <v/>
      </c>
      <c r="X261" s="38" t="str">
        <f t="shared" si="39"/>
        <v/>
      </c>
      <c r="Y261" s="38" t="str">
        <f>IF(AND(A261="Аппарат",C261&lt;&gt;"",OR($S$5="(все)",B261=$S$5)),MAX($Y$3:Y260)+1,"")</f>
        <v/>
      </c>
      <c r="Z261" s="38" t="str">
        <f t="shared" si="40"/>
        <v/>
      </c>
      <c r="AA261" s="38" t="str">
        <f>IF(AND(A261="Модуль",C261&lt;&gt;"",OR($S$6="(все)",B261=$S$6)),MAX($AA$3:AA260)+1,"")</f>
        <v/>
      </c>
      <c r="AB261" s="38" t="str">
        <f t="shared" si="41"/>
        <v/>
      </c>
      <c r="AC261" s="38" t="str">
        <f>IF(OR(B261="",COUNTIF($B$4:B261,B261)&gt;1),"",MAX($AC$3:AC260)+1)</f>
        <v/>
      </c>
      <c r="AD261" s="38" t="str">
        <f t="shared" si="42"/>
        <v/>
      </c>
      <c r="AE261" s="38" t="str">
        <f t="shared" si="43"/>
        <v/>
      </c>
      <c r="AF261" s="38" t="str">
        <f t="shared" si="44"/>
        <v/>
      </c>
    </row>
    <row r="262" spans="1:32" x14ac:dyDescent="0.3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38" t="str">
        <f>IF(OR(A262="Автомат",A262="Дифавтомат"),IF(W262="","",COUNTIFS(Однолинейка!$H$3:$H$3000,U262,Однолинейка!$A$3:$A$3000,Щит_спец)),IF(A262="Аппарат",IF(C262="","",COUNTIFS(Однолинейка!$I$3:$I$3000,C262,Однолинейка!$A$3:$A$3000,Щит_спец)+COUNTIFS(Однолинейка!$J$3:$J$3000,C262,Однолинейка!$A$3:$A$3000,Щит_спец)+COUNTIFS(Однолинейка!$K$3:$K$3000,C262,Однолинейка!$A$3:$A$3000,Щит_спец)),IF(A262="Модуль",IF(C262="","",COUNTIFS(Однолинейка!$AW$3:$AW$3000,"?*",Однолинейка!$AI$3:$AI$3000,C262,Однолинейка!$A$3:$A$3000,Щит_спец)),IF(A262="Клемма",IF(C262="","",IF(C262=$S$7,SUMIFS(Однолинейка!$BW$3:$BW$3000,Однолинейка!$A$3:$A$3000,Щит_спец),IF(C262=$S$8,SUMIFS(Однолинейка!$BX$3:$BX$3000,Однолинейка!$A$3:$A$3000,Щит_спец),""))),""))))</f>
        <v/>
      </c>
      <c r="O262" s="74"/>
      <c r="P262" s="38" t="str">
        <f t="shared" si="36"/>
        <v/>
      </c>
      <c r="U262" s="38" t="str">
        <f t="shared" si="37"/>
        <v/>
      </c>
      <c r="V262" s="38" t="str">
        <f t="shared" si="38"/>
        <v/>
      </c>
      <c r="W262" s="38" t="str">
        <f>IF(AND(U262&lt;&gt;"",OR($S$4="(все)",B262=$S$4),IF($S$4="(все)",COUNTIF($U$4:U262,U262),COUNTIFS($U$4:U262,U262,$B$4:B262,B262))=1),MAX($W$3:W261)+1,"")</f>
        <v/>
      </c>
      <c r="X262" s="38" t="str">
        <f t="shared" si="39"/>
        <v/>
      </c>
      <c r="Y262" s="38" t="str">
        <f>IF(AND(A262="Аппарат",C262&lt;&gt;"",OR($S$5="(все)",B262=$S$5)),MAX($Y$3:Y261)+1,"")</f>
        <v/>
      </c>
      <c r="Z262" s="38" t="str">
        <f t="shared" si="40"/>
        <v/>
      </c>
      <c r="AA262" s="38" t="str">
        <f>IF(AND(A262="Модуль",C262&lt;&gt;"",OR($S$6="(все)",B262=$S$6)),MAX($AA$3:AA261)+1,"")</f>
        <v/>
      </c>
      <c r="AB262" s="38" t="str">
        <f t="shared" si="41"/>
        <v/>
      </c>
      <c r="AC262" s="38" t="str">
        <f>IF(OR(B262="",COUNTIF($B$4:B262,B262)&gt;1),"",MAX($AC$3:AC261)+1)</f>
        <v/>
      </c>
      <c r="AD262" s="38" t="str">
        <f t="shared" si="42"/>
        <v/>
      </c>
      <c r="AE262" s="38" t="str">
        <f t="shared" si="43"/>
        <v/>
      </c>
      <c r="AF262" s="38" t="str">
        <f t="shared" si="44"/>
        <v/>
      </c>
    </row>
    <row r="263" spans="1:32" x14ac:dyDescent="0.3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38" t="str">
        <f>IF(OR(A263="Автомат",A263="Дифавтомат"),IF(W263="","",COUNTIFS(Однолинейка!$H$3:$H$3000,U263,Однолинейка!$A$3:$A$3000,Щит_спец)),IF(A263="Аппарат",IF(C263="","",COUNTIFS(Однолинейка!$I$3:$I$3000,C263,Однолинейка!$A$3:$A$3000,Щит_спец)+COUNTIFS(Однолинейка!$J$3:$J$3000,C263,Однолинейка!$A$3:$A$3000,Щит_спец)+COUNTIFS(Однолинейка!$K$3:$K$3000,C263,Однолинейка!$A$3:$A$3000,Щит_спец)),IF(A263="Модуль",IF(C263="","",COUNTIFS(Однолинейка!$AW$3:$AW$3000,"?*",Однолинейка!$AI$3:$AI$3000,C263,Однолинейка!$A$3:$A$3000,Щит_спец)),IF(A263="Клемма",IF(C263="","",IF(C263=$S$7,SUMIFS(Однолинейка!$BW$3:$BW$3000,Однолинейка!$A$3:$A$3000,Щит_спец),IF(C263=$S$8,SUMIFS(Однолинейка!$BX$3:$BX$3000,Однолинейка!$A$3:$A$3000,Щит_спец),""))),""))))</f>
        <v/>
      </c>
      <c r="O263" s="74"/>
      <c r="P263" s="38" t="str">
        <f t="shared" si="36"/>
        <v/>
      </c>
      <c r="U263" s="38" t="str">
        <f t="shared" si="37"/>
        <v/>
      </c>
      <c r="V263" s="38" t="str">
        <f t="shared" si="38"/>
        <v/>
      </c>
      <c r="W263" s="38" t="str">
        <f>IF(AND(U263&lt;&gt;"",OR($S$4="(все)",B263=$S$4),IF($S$4="(все)",COUNTIF($U$4:U263,U263),COUNTIFS($U$4:U263,U263,$B$4:B263,B263))=1),MAX($W$3:W262)+1,"")</f>
        <v/>
      </c>
      <c r="X263" s="38" t="str">
        <f t="shared" si="39"/>
        <v/>
      </c>
      <c r="Y263" s="38" t="str">
        <f>IF(AND(A263="Аппарат",C263&lt;&gt;"",OR($S$5="(все)",B263=$S$5)),MAX($Y$3:Y262)+1,"")</f>
        <v/>
      </c>
      <c r="Z263" s="38" t="str">
        <f t="shared" si="40"/>
        <v/>
      </c>
      <c r="AA263" s="38" t="str">
        <f>IF(AND(A263="Модуль",C263&lt;&gt;"",OR($S$6="(все)",B263=$S$6)),MAX($AA$3:AA262)+1,"")</f>
        <v/>
      </c>
      <c r="AB263" s="38" t="str">
        <f t="shared" si="41"/>
        <v/>
      </c>
      <c r="AC263" s="38" t="str">
        <f>IF(OR(B263="",COUNTIF($B$4:B263,B263)&gt;1),"",MAX($AC$3:AC262)+1)</f>
        <v/>
      </c>
      <c r="AD263" s="38" t="str">
        <f t="shared" si="42"/>
        <v/>
      </c>
      <c r="AE263" s="38" t="str">
        <f t="shared" si="43"/>
        <v/>
      </c>
      <c r="AF263" s="38" t="str">
        <f t="shared" si="44"/>
        <v/>
      </c>
    </row>
    <row r="264" spans="1:32" x14ac:dyDescent="0.3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38" t="str">
        <f>IF(OR(A264="Автомат",A264="Дифавтомат"),IF(W264="","",COUNTIFS(Однолинейка!$H$3:$H$3000,U264,Однолинейка!$A$3:$A$3000,Щит_спец)),IF(A264="Аппарат",IF(C264="","",COUNTIFS(Однолинейка!$I$3:$I$3000,C264,Однолинейка!$A$3:$A$3000,Щит_спец)+COUNTIFS(Однолинейка!$J$3:$J$3000,C264,Однолинейка!$A$3:$A$3000,Щит_спец)+COUNTIFS(Однолинейка!$K$3:$K$3000,C264,Однолинейка!$A$3:$A$3000,Щит_спец)),IF(A264="Модуль",IF(C264="","",COUNTIFS(Однолинейка!$AW$3:$AW$3000,"?*",Однолинейка!$AI$3:$AI$3000,C264,Однолинейка!$A$3:$A$3000,Щит_спец)),IF(A264="Клемма",IF(C264="","",IF(C264=$S$7,SUMIFS(Однолинейка!$BW$3:$BW$3000,Однолинейка!$A$3:$A$3000,Щит_спец),IF(C264=$S$8,SUMIFS(Однолинейка!$BX$3:$BX$3000,Однолинейка!$A$3:$A$3000,Щит_спец),""))),""))))</f>
        <v/>
      </c>
      <c r="O264" s="74"/>
      <c r="P264" s="38" t="str">
        <f t="shared" si="36"/>
        <v/>
      </c>
      <c r="U264" s="38" t="str">
        <f t="shared" si="37"/>
        <v/>
      </c>
      <c r="V264" s="38" t="str">
        <f t="shared" si="38"/>
        <v/>
      </c>
      <c r="W264" s="38" t="str">
        <f>IF(AND(U264&lt;&gt;"",OR($S$4="(все)",B264=$S$4),IF($S$4="(все)",COUNTIF($U$4:U264,U264),COUNTIFS($U$4:U264,U264,$B$4:B264,B264))=1),MAX($W$3:W263)+1,"")</f>
        <v/>
      </c>
      <c r="X264" s="38" t="str">
        <f t="shared" si="39"/>
        <v/>
      </c>
      <c r="Y264" s="38" t="str">
        <f>IF(AND(A264="Аппарат",C264&lt;&gt;"",OR($S$5="(все)",B264=$S$5)),MAX($Y$3:Y263)+1,"")</f>
        <v/>
      </c>
      <c r="Z264" s="38" t="str">
        <f t="shared" si="40"/>
        <v/>
      </c>
      <c r="AA264" s="38" t="str">
        <f>IF(AND(A264="Модуль",C264&lt;&gt;"",OR($S$6="(все)",B264=$S$6)),MAX($AA$3:AA263)+1,"")</f>
        <v/>
      </c>
      <c r="AB264" s="38" t="str">
        <f t="shared" si="41"/>
        <v/>
      </c>
      <c r="AC264" s="38" t="str">
        <f>IF(OR(B264="",COUNTIF($B$4:B264,B264)&gt;1),"",MAX($AC$3:AC263)+1)</f>
        <v/>
      </c>
      <c r="AD264" s="38" t="str">
        <f t="shared" si="42"/>
        <v/>
      </c>
      <c r="AE264" s="38" t="str">
        <f t="shared" si="43"/>
        <v/>
      </c>
      <c r="AF264" s="38" t="str">
        <f t="shared" si="44"/>
        <v/>
      </c>
    </row>
    <row r="265" spans="1:32" x14ac:dyDescent="0.3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38" t="str">
        <f>IF(OR(A265="Автомат",A265="Дифавтомат"),IF(W265="","",COUNTIFS(Однолинейка!$H$3:$H$3000,U265,Однолинейка!$A$3:$A$3000,Щит_спец)),IF(A265="Аппарат",IF(C265="","",COUNTIFS(Однолинейка!$I$3:$I$3000,C265,Однолинейка!$A$3:$A$3000,Щит_спец)+COUNTIFS(Однолинейка!$J$3:$J$3000,C265,Однолинейка!$A$3:$A$3000,Щит_спец)+COUNTIFS(Однолинейка!$K$3:$K$3000,C265,Однолинейка!$A$3:$A$3000,Щит_спец)),IF(A265="Модуль",IF(C265="","",COUNTIFS(Однолинейка!$AW$3:$AW$3000,"?*",Однолинейка!$AI$3:$AI$3000,C265,Однолинейка!$A$3:$A$3000,Щит_спец)),IF(A265="Клемма",IF(C265="","",IF(C265=$S$7,SUMIFS(Однолинейка!$BW$3:$BW$3000,Однолинейка!$A$3:$A$3000,Щит_спец),IF(C265=$S$8,SUMIFS(Однолинейка!$BX$3:$BX$3000,Однолинейка!$A$3:$A$3000,Щит_спец),""))),""))))</f>
        <v/>
      </c>
      <c r="O265" s="74"/>
      <c r="P265" s="38" t="str">
        <f t="shared" si="36"/>
        <v/>
      </c>
      <c r="U265" s="38" t="str">
        <f t="shared" si="37"/>
        <v/>
      </c>
      <c r="V265" s="38" t="str">
        <f t="shared" si="38"/>
        <v/>
      </c>
      <c r="W265" s="38" t="str">
        <f>IF(AND(U265&lt;&gt;"",OR($S$4="(все)",B265=$S$4),IF($S$4="(все)",COUNTIF($U$4:U265,U265),COUNTIFS($U$4:U265,U265,$B$4:B265,B265))=1),MAX($W$3:W264)+1,"")</f>
        <v/>
      </c>
      <c r="X265" s="38" t="str">
        <f t="shared" si="39"/>
        <v/>
      </c>
      <c r="Y265" s="38" t="str">
        <f>IF(AND(A265="Аппарат",C265&lt;&gt;"",OR($S$5="(все)",B265=$S$5)),MAX($Y$3:Y264)+1,"")</f>
        <v/>
      </c>
      <c r="Z265" s="38" t="str">
        <f t="shared" si="40"/>
        <v/>
      </c>
      <c r="AA265" s="38" t="str">
        <f>IF(AND(A265="Модуль",C265&lt;&gt;"",OR($S$6="(все)",B265=$S$6)),MAX($AA$3:AA264)+1,"")</f>
        <v/>
      </c>
      <c r="AB265" s="38" t="str">
        <f t="shared" si="41"/>
        <v/>
      </c>
      <c r="AC265" s="38" t="str">
        <f>IF(OR(B265="",COUNTIF($B$4:B265,B265)&gt;1),"",MAX($AC$3:AC264)+1)</f>
        <v/>
      </c>
      <c r="AD265" s="38" t="str">
        <f t="shared" si="42"/>
        <v/>
      </c>
      <c r="AE265" s="38" t="str">
        <f t="shared" si="43"/>
        <v/>
      </c>
      <c r="AF265" s="38" t="str">
        <f t="shared" si="44"/>
        <v/>
      </c>
    </row>
    <row r="266" spans="1:32" x14ac:dyDescent="0.3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38" t="str">
        <f>IF(OR(A266="Автомат",A266="Дифавтомат"),IF(W266="","",COUNTIFS(Однолинейка!$H$3:$H$3000,U266,Однолинейка!$A$3:$A$3000,Щит_спец)),IF(A266="Аппарат",IF(C266="","",COUNTIFS(Однолинейка!$I$3:$I$3000,C266,Однолинейка!$A$3:$A$3000,Щит_спец)+COUNTIFS(Однолинейка!$J$3:$J$3000,C266,Однолинейка!$A$3:$A$3000,Щит_спец)+COUNTIFS(Однолинейка!$K$3:$K$3000,C266,Однолинейка!$A$3:$A$3000,Щит_спец)),IF(A266="Модуль",IF(C266="","",COUNTIFS(Однолинейка!$AW$3:$AW$3000,"?*",Однолинейка!$AI$3:$AI$3000,C266,Однолинейка!$A$3:$A$3000,Щит_спец)),IF(A266="Клемма",IF(C266="","",IF(C266=$S$7,SUMIFS(Однолинейка!$BW$3:$BW$3000,Однолинейка!$A$3:$A$3000,Щит_спец),IF(C266=$S$8,SUMIFS(Однолинейка!$BX$3:$BX$3000,Однолинейка!$A$3:$A$3000,Щит_спец),""))),""))))</f>
        <v/>
      </c>
      <c r="O266" s="74"/>
      <c r="P266" s="38" t="str">
        <f t="shared" si="36"/>
        <v/>
      </c>
      <c r="U266" s="38" t="str">
        <f t="shared" si="37"/>
        <v/>
      </c>
      <c r="V266" s="38" t="str">
        <f t="shared" si="38"/>
        <v/>
      </c>
      <c r="W266" s="38" t="str">
        <f>IF(AND(U266&lt;&gt;"",OR($S$4="(все)",B266=$S$4),IF($S$4="(все)",COUNTIF($U$4:U266,U266),COUNTIFS($U$4:U266,U266,$B$4:B266,B266))=1),MAX($W$3:W265)+1,"")</f>
        <v/>
      </c>
      <c r="X266" s="38" t="str">
        <f t="shared" si="39"/>
        <v/>
      </c>
      <c r="Y266" s="38" t="str">
        <f>IF(AND(A266="Аппарат",C266&lt;&gt;"",OR($S$5="(все)",B266=$S$5)),MAX($Y$3:Y265)+1,"")</f>
        <v/>
      </c>
      <c r="Z266" s="38" t="str">
        <f t="shared" si="40"/>
        <v/>
      </c>
      <c r="AA266" s="38" t="str">
        <f>IF(AND(A266="Модуль",C266&lt;&gt;"",OR($S$6="(все)",B266=$S$6)),MAX($AA$3:AA265)+1,"")</f>
        <v/>
      </c>
      <c r="AB266" s="38" t="str">
        <f t="shared" si="41"/>
        <v/>
      </c>
      <c r="AC266" s="38" t="str">
        <f>IF(OR(B266="",COUNTIF($B$4:B266,B266)&gt;1),"",MAX($AC$3:AC265)+1)</f>
        <v/>
      </c>
      <c r="AD266" s="38" t="str">
        <f t="shared" si="42"/>
        <v/>
      </c>
      <c r="AE266" s="38" t="str">
        <f t="shared" si="43"/>
        <v/>
      </c>
      <c r="AF266" s="38" t="str">
        <f t="shared" si="44"/>
        <v/>
      </c>
    </row>
    <row r="267" spans="1:32" x14ac:dyDescent="0.3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38" t="str">
        <f>IF(OR(A267="Автомат",A267="Дифавтомат"),IF(W267="","",COUNTIFS(Однолинейка!$H$3:$H$3000,U267,Однолинейка!$A$3:$A$3000,Щит_спец)),IF(A267="Аппарат",IF(C267="","",COUNTIFS(Однолинейка!$I$3:$I$3000,C267,Однолинейка!$A$3:$A$3000,Щит_спец)+COUNTIFS(Однолинейка!$J$3:$J$3000,C267,Однолинейка!$A$3:$A$3000,Щит_спец)+COUNTIFS(Однолинейка!$K$3:$K$3000,C267,Однолинейка!$A$3:$A$3000,Щит_спец)),IF(A267="Модуль",IF(C267="","",COUNTIFS(Однолинейка!$AW$3:$AW$3000,"?*",Однолинейка!$AI$3:$AI$3000,C267,Однолинейка!$A$3:$A$3000,Щит_спец)),IF(A267="Клемма",IF(C267="","",IF(C267=$S$7,SUMIFS(Однолинейка!$BW$3:$BW$3000,Однолинейка!$A$3:$A$3000,Щит_спец),IF(C267=$S$8,SUMIFS(Однолинейка!$BX$3:$BX$3000,Однолинейка!$A$3:$A$3000,Щит_спец),""))),""))))</f>
        <v/>
      </c>
      <c r="O267" s="74"/>
      <c r="P267" s="38" t="str">
        <f t="shared" si="36"/>
        <v/>
      </c>
      <c r="U267" s="38" t="str">
        <f t="shared" si="37"/>
        <v/>
      </c>
      <c r="V267" s="38" t="str">
        <f t="shared" si="38"/>
        <v/>
      </c>
      <c r="W267" s="38" t="str">
        <f>IF(AND(U267&lt;&gt;"",OR($S$4="(все)",B267=$S$4),IF($S$4="(все)",COUNTIF($U$4:U267,U267),COUNTIFS($U$4:U267,U267,$B$4:B267,B267))=1),MAX($W$3:W266)+1,"")</f>
        <v/>
      </c>
      <c r="X267" s="38" t="str">
        <f t="shared" si="39"/>
        <v/>
      </c>
      <c r="Y267" s="38" t="str">
        <f>IF(AND(A267="Аппарат",C267&lt;&gt;"",OR($S$5="(все)",B267=$S$5)),MAX($Y$3:Y266)+1,"")</f>
        <v/>
      </c>
      <c r="Z267" s="38" t="str">
        <f t="shared" si="40"/>
        <v/>
      </c>
      <c r="AA267" s="38" t="str">
        <f>IF(AND(A267="Модуль",C267&lt;&gt;"",OR($S$6="(все)",B267=$S$6)),MAX($AA$3:AA266)+1,"")</f>
        <v/>
      </c>
      <c r="AB267" s="38" t="str">
        <f t="shared" si="41"/>
        <v/>
      </c>
      <c r="AC267" s="38" t="str">
        <f>IF(OR(B267="",COUNTIF($B$4:B267,B267)&gt;1),"",MAX($AC$3:AC266)+1)</f>
        <v/>
      </c>
      <c r="AD267" s="38" t="str">
        <f t="shared" si="42"/>
        <v/>
      </c>
      <c r="AE267" s="38" t="str">
        <f t="shared" si="43"/>
        <v/>
      </c>
      <c r="AF267" s="38" t="str">
        <f t="shared" si="44"/>
        <v/>
      </c>
    </row>
    <row r="268" spans="1:32" x14ac:dyDescent="0.3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38" t="str">
        <f>IF(OR(A268="Автомат",A268="Дифавтомат"),IF(W268="","",COUNTIFS(Однолинейка!$H$3:$H$3000,U268,Однолинейка!$A$3:$A$3000,Щит_спец)),IF(A268="Аппарат",IF(C268="","",COUNTIFS(Однолинейка!$I$3:$I$3000,C268,Однолинейка!$A$3:$A$3000,Щит_спец)+COUNTIFS(Однолинейка!$J$3:$J$3000,C268,Однолинейка!$A$3:$A$3000,Щит_спец)+COUNTIFS(Однолинейка!$K$3:$K$3000,C268,Однолинейка!$A$3:$A$3000,Щит_спец)),IF(A268="Модуль",IF(C268="","",COUNTIFS(Однолинейка!$AW$3:$AW$3000,"?*",Однолинейка!$AI$3:$AI$3000,C268,Однолинейка!$A$3:$A$3000,Щит_спец)),IF(A268="Клемма",IF(C268="","",IF(C268=$S$7,SUMIFS(Однолинейка!$BW$3:$BW$3000,Однолинейка!$A$3:$A$3000,Щит_спец),IF(C268=$S$8,SUMIFS(Однолинейка!$BX$3:$BX$3000,Однолинейка!$A$3:$A$3000,Щит_спец),""))),""))))</f>
        <v/>
      </c>
      <c r="O268" s="74"/>
      <c r="P268" s="38" t="str">
        <f t="shared" si="36"/>
        <v/>
      </c>
      <c r="U268" s="38" t="str">
        <f t="shared" si="37"/>
        <v/>
      </c>
      <c r="V268" s="38" t="str">
        <f t="shared" si="38"/>
        <v/>
      </c>
      <c r="W268" s="38" t="str">
        <f>IF(AND(U268&lt;&gt;"",OR($S$4="(все)",B268=$S$4),IF($S$4="(все)",COUNTIF($U$4:U268,U268),COUNTIFS($U$4:U268,U268,$B$4:B268,B268))=1),MAX($W$3:W267)+1,"")</f>
        <v/>
      </c>
      <c r="X268" s="38" t="str">
        <f t="shared" si="39"/>
        <v/>
      </c>
      <c r="Y268" s="38" t="str">
        <f>IF(AND(A268="Аппарат",C268&lt;&gt;"",OR($S$5="(все)",B268=$S$5)),MAX($Y$3:Y267)+1,"")</f>
        <v/>
      </c>
      <c r="Z268" s="38" t="str">
        <f t="shared" si="40"/>
        <v/>
      </c>
      <c r="AA268" s="38" t="str">
        <f>IF(AND(A268="Модуль",C268&lt;&gt;"",OR($S$6="(все)",B268=$S$6)),MAX($AA$3:AA267)+1,"")</f>
        <v/>
      </c>
      <c r="AB268" s="38" t="str">
        <f t="shared" si="41"/>
        <v/>
      </c>
      <c r="AC268" s="38" t="str">
        <f>IF(OR(B268="",COUNTIF($B$4:B268,B268)&gt;1),"",MAX($AC$3:AC267)+1)</f>
        <v/>
      </c>
      <c r="AD268" s="38" t="str">
        <f t="shared" si="42"/>
        <v/>
      </c>
      <c r="AE268" s="38" t="str">
        <f t="shared" si="43"/>
        <v/>
      </c>
      <c r="AF268" s="38" t="str">
        <f t="shared" si="44"/>
        <v/>
      </c>
    </row>
    <row r="269" spans="1:32" x14ac:dyDescent="0.3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38" t="str">
        <f>IF(OR(A269="Автомат",A269="Дифавтомат"),IF(W269="","",COUNTIFS(Однолинейка!$H$3:$H$3000,U269,Однолинейка!$A$3:$A$3000,Щит_спец)),IF(A269="Аппарат",IF(C269="","",COUNTIFS(Однолинейка!$I$3:$I$3000,C269,Однолинейка!$A$3:$A$3000,Щит_спец)+COUNTIFS(Однолинейка!$J$3:$J$3000,C269,Однолинейка!$A$3:$A$3000,Щит_спец)+COUNTIFS(Однолинейка!$K$3:$K$3000,C269,Однолинейка!$A$3:$A$3000,Щит_спец)),IF(A269="Модуль",IF(C269="","",COUNTIFS(Однолинейка!$AW$3:$AW$3000,"?*",Однолинейка!$AI$3:$AI$3000,C269,Однолинейка!$A$3:$A$3000,Щит_спец)),IF(A269="Клемма",IF(C269="","",IF(C269=$S$7,SUMIFS(Однолинейка!$BW$3:$BW$3000,Однолинейка!$A$3:$A$3000,Щит_спец),IF(C269=$S$8,SUMIFS(Однолинейка!$BX$3:$BX$3000,Однолинейка!$A$3:$A$3000,Щит_спец),""))),""))))</f>
        <v/>
      </c>
      <c r="O269" s="74"/>
      <c r="P269" s="38" t="str">
        <f t="shared" si="36"/>
        <v/>
      </c>
      <c r="U269" s="38" t="str">
        <f t="shared" si="37"/>
        <v/>
      </c>
      <c r="V269" s="38" t="str">
        <f t="shared" si="38"/>
        <v/>
      </c>
      <c r="W269" s="38" t="str">
        <f>IF(AND(U269&lt;&gt;"",OR($S$4="(все)",B269=$S$4),IF($S$4="(все)",COUNTIF($U$4:U269,U269),COUNTIFS($U$4:U269,U269,$B$4:B269,B269))=1),MAX($W$3:W268)+1,"")</f>
        <v/>
      </c>
      <c r="X269" s="38" t="str">
        <f t="shared" si="39"/>
        <v/>
      </c>
      <c r="Y269" s="38" t="str">
        <f>IF(AND(A269="Аппарат",C269&lt;&gt;"",OR($S$5="(все)",B269=$S$5)),MAX($Y$3:Y268)+1,"")</f>
        <v/>
      </c>
      <c r="Z269" s="38" t="str">
        <f t="shared" si="40"/>
        <v/>
      </c>
      <c r="AA269" s="38" t="str">
        <f>IF(AND(A269="Модуль",C269&lt;&gt;"",OR($S$6="(все)",B269=$S$6)),MAX($AA$3:AA268)+1,"")</f>
        <v/>
      </c>
      <c r="AB269" s="38" t="str">
        <f t="shared" si="41"/>
        <v/>
      </c>
      <c r="AC269" s="38" t="str">
        <f>IF(OR(B269="",COUNTIF($B$4:B269,B269)&gt;1),"",MAX($AC$3:AC268)+1)</f>
        <v/>
      </c>
      <c r="AD269" s="38" t="str">
        <f t="shared" si="42"/>
        <v/>
      </c>
      <c r="AE269" s="38" t="str">
        <f t="shared" si="43"/>
        <v/>
      </c>
      <c r="AF269" s="38" t="str">
        <f t="shared" si="44"/>
        <v/>
      </c>
    </row>
    <row r="270" spans="1:32" x14ac:dyDescent="0.3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38" t="str">
        <f>IF(OR(A270="Автомат",A270="Дифавтомат"),IF(W270="","",COUNTIFS(Однолинейка!$H$3:$H$3000,U270,Однолинейка!$A$3:$A$3000,Щит_спец)),IF(A270="Аппарат",IF(C270="","",COUNTIFS(Однолинейка!$I$3:$I$3000,C270,Однолинейка!$A$3:$A$3000,Щит_спец)+COUNTIFS(Однолинейка!$J$3:$J$3000,C270,Однолинейка!$A$3:$A$3000,Щит_спец)+COUNTIFS(Однолинейка!$K$3:$K$3000,C270,Однолинейка!$A$3:$A$3000,Щит_спец)),IF(A270="Модуль",IF(C270="","",COUNTIFS(Однолинейка!$AW$3:$AW$3000,"?*",Однолинейка!$AI$3:$AI$3000,C270,Однолинейка!$A$3:$A$3000,Щит_спец)),IF(A270="Клемма",IF(C270="","",IF(C270=$S$7,SUMIFS(Однолинейка!$BW$3:$BW$3000,Однолинейка!$A$3:$A$3000,Щит_спец),IF(C270=$S$8,SUMIFS(Однолинейка!$BX$3:$BX$3000,Однолинейка!$A$3:$A$3000,Щит_спец),""))),""))))</f>
        <v/>
      </c>
      <c r="O270" s="74"/>
      <c r="P270" s="38" t="str">
        <f t="shared" si="36"/>
        <v/>
      </c>
      <c r="U270" s="38" t="str">
        <f t="shared" si="37"/>
        <v/>
      </c>
      <c r="V270" s="38" t="str">
        <f t="shared" si="38"/>
        <v/>
      </c>
      <c r="W270" s="38" t="str">
        <f>IF(AND(U270&lt;&gt;"",OR($S$4="(все)",B270=$S$4),IF($S$4="(все)",COUNTIF($U$4:U270,U270),COUNTIFS($U$4:U270,U270,$B$4:B270,B270))=1),MAX($W$3:W269)+1,"")</f>
        <v/>
      </c>
      <c r="X270" s="38" t="str">
        <f t="shared" si="39"/>
        <v/>
      </c>
      <c r="Y270" s="38" t="str">
        <f>IF(AND(A270="Аппарат",C270&lt;&gt;"",OR($S$5="(все)",B270=$S$5)),MAX($Y$3:Y269)+1,"")</f>
        <v/>
      </c>
      <c r="Z270" s="38" t="str">
        <f t="shared" si="40"/>
        <v/>
      </c>
      <c r="AA270" s="38" t="str">
        <f>IF(AND(A270="Модуль",C270&lt;&gt;"",OR($S$6="(все)",B270=$S$6)),MAX($AA$3:AA269)+1,"")</f>
        <v/>
      </c>
      <c r="AB270" s="38" t="str">
        <f t="shared" si="41"/>
        <v/>
      </c>
      <c r="AC270" s="38" t="str">
        <f>IF(OR(B270="",COUNTIF($B$4:B270,B270)&gt;1),"",MAX($AC$3:AC269)+1)</f>
        <v/>
      </c>
      <c r="AD270" s="38" t="str">
        <f t="shared" si="42"/>
        <v/>
      </c>
      <c r="AE270" s="38" t="str">
        <f t="shared" si="43"/>
        <v/>
      </c>
      <c r="AF270" s="38" t="str">
        <f t="shared" si="44"/>
        <v/>
      </c>
    </row>
    <row r="271" spans="1:32" x14ac:dyDescent="0.3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38" t="str">
        <f>IF(OR(A271="Автомат",A271="Дифавтомат"),IF(W271="","",COUNTIFS(Однолинейка!$H$3:$H$3000,U271,Однолинейка!$A$3:$A$3000,Щит_спец)),IF(A271="Аппарат",IF(C271="","",COUNTIFS(Однолинейка!$I$3:$I$3000,C271,Однолинейка!$A$3:$A$3000,Щит_спец)+COUNTIFS(Однолинейка!$J$3:$J$3000,C271,Однолинейка!$A$3:$A$3000,Щит_спец)+COUNTIFS(Однолинейка!$K$3:$K$3000,C271,Однолинейка!$A$3:$A$3000,Щит_спец)),IF(A271="Модуль",IF(C271="","",COUNTIFS(Однолинейка!$AW$3:$AW$3000,"?*",Однолинейка!$AI$3:$AI$3000,C271,Однолинейка!$A$3:$A$3000,Щит_спец)),IF(A271="Клемма",IF(C271="","",IF(C271=$S$7,SUMIFS(Однолинейка!$BW$3:$BW$3000,Однолинейка!$A$3:$A$3000,Щит_спец),IF(C271=$S$8,SUMIFS(Однолинейка!$BX$3:$BX$3000,Однолинейка!$A$3:$A$3000,Щит_спец),""))),""))))</f>
        <v/>
      </c>
      <c r="O271" s="74"/>
      <c r="P271" s="38" t="str">
        <f t="shared" si="36"/>
        <v/>
      </c>
      <c r="U271" s="38" t="str">
        <f t="shared" si="37"/>
        <v/>
      </c>
      <c r="V271" s="38" t="str">
        <f t="shared" si="38"/>
        <v/>
      </c>
      <c r="W271" s="38" t="str">
        <f>IF(AND(U271&lt;&gt;"",OR($S$4="(все)",B271=$S$4),IF($S$4="(все)",COUNTIF($U$4:U271,U271),COUNTIFS($U$4:U271,U271,$B$4:B271,B271))=1),MAX($W$3:W270)+1,"")</f>
        <v/>
      </c>
      <c r="X271" s="38" t="str">
        <f t="shared" si="39"/>
        <v/>
      </c>
      <c r="Y271" s="38" t="str">
        <f>IF(AND(A271="Аппарат",C271&lt;&gt;"",OR($S$5="(все)",B271=$S$5)),MAX($Y$3:Y270)+1,"")</f>
        <v/>
      </c>
      <c r="Z271" s="38" t="str">
        <f t="shared" si="40"/>
        <v/>
      </c>
      <c r="AA271" s="38" t="str">
        <f>IF(AND(A271="Модуль",C271&lt;&gt;"",OR($S$6="(все)",B271=$S$6)),MAX($AA$3:AA270)+1,"")</f>
        <v/>
      </c>
      <c r="AB271" s="38" t="str">
        <f t="shared" si="41"/>
        <v/>
      </c>
      <c r="AC271" s="38" t="str">
        <f>IF(OR(B271="",COUNTIF($B$4:B271,B271)&gt;1),"",MAX($AC$3:AC270)+1)</f>
        <v/>
      </c>
      <c r="AD271" s="38" t="str">
        <f t="shared" si="42"/>
        <v/>
      </c>
      <c r="AE271" s="38" t="str">
        <f t="shared" si="43"/>
        <v/>
      </c>
      <c r="AF271" s="38" t="str">
        <f t="shared" si="44"/>
        <v/>
      </c>
    </row>
    <row r="272" spans="1:32" x14ac:dyDescent="0.3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38" t="str">
        <f>IF(OR(A272="Автомат",A272="Дифавтомат"),IF(W272="","",COUNTIFS(Однолинейка!$H$3:$H$3000,U272,Однолинейка!$A$3:$A$3000,Щит_спец)),IF(A272="Аппарат",IF(C272="","",COUNTIFS(Однолинейка!$I$3:$I$3000,C272,Однолинейка!$A$3:$A$3000,Щит_спец)+COUNTIFS(Однолинейка!$J$3:$J$3000,C272,Однолинейка!$A$3:$A$3000,Щит_спец)+COUNTIFS(Однолинейка!$K$3:$K$3000,C272,Однолинейка!$A$3:$A$3000,Щит_спец)),IF(A272="Модуль",IF(C272="","",COUNTIFS(Однолинейка!$AW$3:$AW$3000,"?*",Однолинейка!$AI$3:$AI$3000,C272,Однолинейка!$A$3:$A$3000,Щит_спец)),IF(A272="Клемма",IF(C272="","",IF(C272=$S$7,SUMIFS(Однолинейка!$BW$3:$BW$3000,Однолинейка!$A$3:$A$3000,Щит_спец),IF(C272=$S$8,SUMIFS(Однолинейка!$BX$3:$BX$3000,Однолинейка!$A$3:$A$3000,Щит_спец),""))),""))))</f>
        <v/>
      </c>
      <c r="O272" s="74"/>
      <c r="P272" s="38" t="str">
        <f t="shared" si="36"/>
        <v/>
      </c>
      <c r="U272" s="38" t="str">
        <f t="shared" si="37"/>
        <v/>
      </c>
      <c r="V272" s="38" t="str">
        <f t="shared" si="38"/>
        <v/>
      </c>
      <c r="W272" s="38" t="str">
        <f>IF(AND(U272&lt;&gt;"",OR($S$4="(все)",B272=$S$4),IF($S$4="(все)",COUNTIF($U$4:U272,U272),COUNTIFS($U$4:U272,U272,$B$4:B272,B272))=1),MAX($W$3:W271)+1,"")</f>
        <v/>
      </c>
      <c r="X272" s="38" t="str">
        <f t="shared" si="39"/>
        <v/>
      </c>
      <c r="Y272" s="38" t="str">
        <f>IF(AND(A272="Аппарат",C272&lt;&gt;"",OR($S$5="(все)",B272=$S$5)),MAX($Y$3:Y271)+1,"")</f>
        <v/>
      </c>
      <c r="Z272" s="38" t="str">
        <f t="shared" si="40"/>
        <v/>
      </c>
      <c r="AA272" s="38" t="str">
        <f>IF(AND(A272="Модуль",C272&lt;&gt;"",OR($S$6="(все)",B272=$S$6)),MAX($AA$3:AA271)+1,"")</f>
        <v/>
      </c>
      <c r="AB272" s="38" t="str">
        <f t="shared" si="41"/>
        <v/>
      </c>
      <c r="AC272" s="38" t="str">
        <f>IF(OR(B272="",COUNTIF($B$4:B272,B272)&gt;1),"",MAX($AC$3:AC271)+1)</f>
        <v/>
      </c>
      <c r="AD272" s="38" t="str">
        <f t="shared" si="42"/>
        <v/>
      </c>
      <c r="AE272" s="38" t="str">
        <f t="shared" si="43"/>
        <v/>
      </c>
      <c r="AF272" s="38" t="str">
        <f t="shared" si="44"/>
        <v/>
      </c>
    </row>
    <row r="273" spans="1:32" x14ac:dyDescent="0.3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38" t="str">
        <f>IF(OR(A273="Автомат",A273="Дифавтомат"),IF(W273="","",COUNTIFS(Однолинейка!$H$3:$H$3000,U273,Однолинейка!$A$3:$A$3000,Щит_спец)),IF(A273="Аппарат",IF(C273="","",COUNTIFS(Однолинейка!$I$3:$I$3000,C273,Однолинейка!$A$3:$A$3000,Щит_спец)+COUNTIFS(Однолинейка!$J$3:$J$3000,C273,Однолинейка!$A$3:$A$3000,Щит_спец)+COUNTIFS(Однолинейка!$K$3:$K$3000,C273,Однолинейка!$A$3:$A$3000,Щит_спец)),IF(A273="Модуль",IF(C273="","",COUNTIFS(Однолинейка!$AW$3:$AW$3000,"?*",Однолинейка!$AI$3:$AI$3000,C273,Однолинейка!$A$3:$A$3000,Щит_спец)),IF(A273="Клемма",IF(C273="","",IF(C273=$S$7,SUMIFS(Однолинейка!$BW$3:$BW$3000,Однолинейка!$A$3:$A$3000,Щит_спец),IF(C273=$S$8,SUMIFS(Однолинейка!$BX$3:$BX$3000,Однолинейка!$A$3:$A$3000,Щит_спец),""))),""))))</f>
        <v/>
      </c>
      <c r="O273" s="74"/>
      <c r="P273" s="38" t="str">
        <f t="shared" si="36"/>
        <v/>
      </c>
      <c r="U273" s="38" t="str">
        <f t="shared" si="37"/>
        <v/>
      </c>
      <c r="V273" s="38" t="str">
        <f t="shared" si="38"/>
        <v/>
      </c>
      <c r="W273" s="38" t="str">
        <f>IF(AND(U273&lt;&gt;"",OR($S$4="(все)",B273=$S$4),IF($S$4="(все)",COUNTIF($U$4:U273,U273),COUNTIFS($U$4:U273,U273,$B$4:B273,B273))=1),MAX($W$3:W272)+1,"")</f>
        <v/>
      </c>
      <c r="X273" s="38" t="str">
        <f t="shared" si="39"/>
        <v/>
      </c>
      <c r="Y273" s="38" t="str">
        <f>IF(AND(A273="Аппарат",C273&lt;&gt;"",OR($S$5="(все)",B273=$S$5)),MAX($Y$3:Y272)+1,"")</f>
        <v/>
      </c>
      <c r="Z273" s="38" t="str">
        <f t="shared" si="40"/>
        <v/>
      </c>
      <c r="AA273" s="38" t="str">
        <f>IF(AND(A273="Модуль",C273&lt;&gt;"",OR($S$6="(все)",B273=$S$6)),MAX($AA$3:AA272)+1,"")</f>
        <v/>
      </c>
      <c r="AB273" s="38" t="str">
        <f t="shared" si="41"/>
        <v/>
      </c>
      <c r="AC273" s="38" t="str">
        <f>IF(OR(B273="",COUNTIF($B$4:B273,B273)&gt;1),"",MAX($AC$3:AC272)+1)</f>
        <v/>
      </c>
      <c r="AD273" s="38" t="str">
        <f t="shared" si="42"/>
        <v/>
      </c>
      <c r="AE273" s="38" t="str">
        <f t="shared" si="43"/>
        <v/>
      </c>
      <c r="AF273" s="38" t="str">
        <f t="shared" si="44"/>
        <v/>
      </c>
    </row>
    <row r="274" spans="1:32" x14ac:dyDescent="0.3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38" t="str">
        <f>IF(OR(A274="Автомат",A274="Дифавтомат"),IF(W274="","",COUNTIFS(Однолинейка!$H$3:$H$3000,U274,Однолинейка!$A$3:$A$3000,Щит_спец)),IF(A274="Аппарат",IF(C274="","",COUNTIFS(Однолинейка!$I$3:$I$3000,C274,Однолинейка!$A$3:$A$3000,Щит_спец)+COUNTIFS(Однолинейка!$J$3:$J$3000,C274,Однолинейка!$A$3:$A$3000,Щит_спец)+COUNTIFS(Однолинейка!$K$3:$K$3000,C274,Однолинейка!$A$3:$A$3000,Щит_спец)),IF(A274="Модуль",IF(C274="","",COUNTIFS(Однолинейка!$AW$3:$AW$3000,"?*",Однолинейка!$AI$3:$AI$3000,C274,Однолинейка!$A$3:$A$3000,Щит_спец)),IF(A274="Клемма",IF(C274="","",IF(C274=$S$7,SUMIFS(Однолинейка!$BW$3:$BW$3000,Однолинейка!$A$3:$A$3000,Щит_спец),IF(C274=$S$8,SUMIFS(Однолинейка!$BX$3:$BX$3000,Однолинейка!$A$3:$A$3000,Щит_спец),""))),""))))</f>
        <v/>
      </c>
      <c r="O274" s="74"/>
      <c r="P274" s="38" t="str">
        <f t="shared" si="36"/>
        <v/>
      </c>
      <c r="U274" s="38" t="str">
        <f t="shared" si="37"/>
        <v/>
      </c>
      <c r="V274" s="38" t="str">
        <f t="shared" si="38"/>
        <v/>
      </c>
      <c r="W274" s="38" t="str">
        <f>IF(AND(U274&lt;&gt;"",OR($S$4="(все)",B274=$S$4),IF($S$4="(все)",COUNTIF($U$4:U274,U274),COUNTIFS($U$4:U274,U274,$B$4:B274,B274))=1),MAX($W$3:W273)+1,"")</f>
        <v/>
      </c>
      <c r="X274" s="38" t="str">
        <f t="shared" si="39"/>
        <v/>
      </c>
      <c r="Y274" s="38" t="str">
        <f>IF(AND(A274="Аппарат",C274&lt;&gt;"",OR($S$5="(все)",B274=$S$5)),MAX($Y$3:Y273)+1,"")</f>
        <v/>
      </c>
      <c r="Z274" s="38" t="str">
        <f t="shared" si="40"/>
        <v/>
      </c>
      <c r="AA274" s="38" t="str">
        <f>IF(AND(A274="Модуль",C274&lt;&gt;"",OR($S$6="(все)",B274=$S$6)),MAX($AA$3:AA273)+1,"")</f>
        <v/>
      </c>
      <c r="AB274" s="38" t="str">
        <f t="shared" si="41"/>
        <v/>
      </c>
      <c r="AC274" s="38" t="str">
        <f>IF(OR(B274="",COUNTIF($B$4:B274,B274)&gt;1),"",MAX($AC$3:AC273)+1)</f>
        <v/>
      </c>
      <c r="AD274" s="38" t="str">
        <f t="shared" si="42"/>
        <v/>
      </c>
      <c r="AE274" s="38" t="str">
        <f t="shared" si="43"/>
        <v/>
      </c>
      <c r="AF274" s="38" t="str">
        <f t="shared" si="44"/>
        <v/>
      </c>
    </row>
    <row r="275" spans="1:32" x14ac:dyDescent="0.3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38" t="str">
        <f>IF(OR(A275="Автомат",A275="Дифавтомат"),IF(W275="","",COUNTIFS(Однолинейка!$H$3:$H$3000,U275,Однолинейка!$A$3:$A$3000,Щит_спец)),IF(A275="Аппарат",IF(C275="","",COUNTIFS(Однолинейка!$I$3:$I$3000,C275,Однолинейка!$A$3:$A$3000,Щит_спец)+COUNTIFS(Однолинейка!$J$3:$J$3000,C275,Однолинейка!$A$3:$A$3000,Щит_спец)+COUNTIFS(Однолинейка!$K$3:$K$3000,C275,Однолинейка!$A$3:$A$3000,Щит_спец)),IF(A275="Модуль",IF(C275="","",COUNTIFS(Однолинейка!$AW$3:$AW$3000,"?*",Однолинейка!$AI$3:$AI$3000,C275,Однолинейка!$A$3:$A$3000,Щит_спец)),IF(A275="Клемма",IF(C275="","",IF(C275=$S$7,SUMIFS(Однолинейка!$BW$3:$BW$3000,Однолинейка!$A$3:$A$3000,Щит_спец),IF(C275=$S$8,SUMIFS(Однолинейка!$BX$3:$BX$3000,Однолинейка!$A$3:$A$3000,Щит_спец),""))),""))))</f>
        <v/>
      </c>
      <c r="O275" s="74"/>
      <c r="P275" s="38" t="str">
        <f t="shared" si="36"/>
        <v/>
      </c>
      <c r="U275" s="38" t="str">
        <f t="shared" si="37"/>
        <v/>
      </c>
      <c r="V275" s="38" t="str">
        <f t="shared" si="38"/>
        <v/>
      </c>
      <c r="W275" s="38" t="str">
        <f>IF(AND(U275&lt;&gt;"",OR($S$4="(все)",B275=$S$4),IF($S$4="(все)",COUNTIF($U$4:U275,U275),COUNTIFS($U$4:U275,U275,$B$4:B275,B275))=1),MAX($W$3:W274)+1,"")</f>
        <v/>
      </c>
      <c r="X275" s="38" t="str">
        <f t="shared" si="39"/>
        <v/>
      </c>
      <c r="Y275" s="38" t="str">
        <f>IF(AND(A275="Аппарат",C275&lt;&gt;"",OR($S$5="(все)",B275=$S$5)),MAX($Y$3:Y274)+1,"")</f>
        <v/>
      </c>
      <c r="Z275" s="38" t="str">
        <f t="shared" si="40"/>
        <v/>
      </c>
      <c r="AA275" s="38" t="str">
        <f>IF(AND(A275="Модуль",C275&lt;&gt;"",OR($S$6="(все)",B275=$S$6)),MAX($AA$3:AA274)+1,"")</f>
        <v/>
      </c>
      <c r="AB275" s="38" t="str">
        <f t="shared" si="41"/>
        <v/>
      </c>
      <c r="AC275" s="38" t="str">
        <f>IF(OR(B275="",COUNTIF($B$4:B275,B275)&gt;1),"",MAX($AC$3:AC274)+1)</f>
        <v/>
      </c>
      <c r="AD275" s="38" t="str">
        <f t="shared" si="42"/>
        <v/>
      </c>
      <c r="AE275" s="38" t="str">
        <f t="shared" si="43"/>
        <v/>
      </c>
      <c r="AF275" s="38" t="str">
        <f t="shared" si="44"/>
        <v/>
      </c>
    </row>
    <row r="276" spans="1:32" x14ac:dyDescent="0.3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38" t="str">
        <f>IF(OR(A276="Автомат",A276="Дифавтомат"),IF(W276="","",COUNTIFS(Однолинейка!$H$3:$H$3000,U276,Однолинейка!$A$3:$A$3000,Щит_спец)),IF(A276="Аппарат",IF(C276="","",COUNTIFS(Однолинейка!$I$3:$I$3000,C276,Однолинейка!$A$3:$A$3000,Щит_спец)+COUNTIFS(Однолинейка!$J$3:$J$3000,C276,Однолинейка!$A$3:$A$3000,Щит_спец)+COUNTIFS(Однолинейка!$K$3:$K$3000,C276,Однолинейка!$A$3:$A$3000,Щит_спец)),IF(A276="Модуль",IF(C276="","",COUNTIFS(Однолинейка!$AW$3:$AW$3000,"?*",Однолинейка!$AI$3:$AI$3000,C276,Однолинейка!$A$3:$A$3000,Щит_спец)),IF(A276="Клемма",IF(C276="","",IF(C276=$S$7,SUMIFS(Однолинейка!$BW$3:$BW$3000,Однолинейка!$A$3:$A$3000,Щит_спец),IF(C276=$S$8,SUMIFS(Однолинейка!$BX$3:$BX$3000,Однолинейка!$A$3:$A$3000,Щит_спец),""))),""))))</f>
        <v/>
      </c>
      <c r="O276" s="74"/>
      <c r="P276" s="38" t="str">
        <f t="shared" si="36"/>
        <v/>
      </c>
      <c r="U276" s="38" t="str">
        <f t="shared" si="37"/>
        <v/>
      </c>
      <c r="V276" s="38" t="str">
        <f t="shared" si="38"/>
        <v/>
      </c>
      <c r="W276" s="38" t="str">
        <f>IF(AND(U276&lt;&gt;"",OR($S$4="(все)",B276=$S$4),IF($S$4="(все)",COUNTIF($U$4:U276,U276),COUNTIFS($U$4:U276,U276,$B$4:B276,B276))=1),MAX($W$3:W275)+1,"")</f>
        <v/>
      </c>
      <c r="X276" s="38" t="str">
        <f t="shared" si="39"/>
        <v/>
      </c>
      <c r="Y276" s="38" t="str">
        <f>IF(AND(A276="Аппарат",C276&lt;&gt;"",OR($S$5="(все)",B276=$S$5)),MAX($Y$3:Y275)+1,"")</f>
        <v/>
      </c>
      <c r="Z276" s="38" t="str">
        <f t="shared" si="40"/>
        <v/>
      </c>
      <c r="AA276" s="38" t="str">
        <f>IF(AND(A276="Модуль",C276&lt;&gt;"",OR($S$6="(все)",B276=$S$6)),MAX($AA$3:AA275)+1,"")</f>
        <v/>
      </c>
      <c r="AB276" s="38" t="str">
        <f t="shared" si="41"/>
        <v/>
      </c>
      <c r="AC276" s="38" t="str">
        <f>IF(OR(B276="",COUNTIF($B$4:B276,B276)&gt;1),"",MAX($AC$3:AC275)+1)</f>
        <v/>
      </c>
      <c r="AD276" s="38" t="str">
        <f t="shared" si="42"/>
        <v/>
      </c>
      <c r="AE276" s="38" t="str">
        <f t="shared" si="43"/>
        <v/>
      </c>
      <c r="AF276" s="38" t="str">
        <f t="shared" si="44"/>
        <v/>
      </c>
    </row>
    <row r="277" spans="1:32" x14ac:dyDescent="0.3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38" t="str">
        <f>IF(OR(A277="Автомат",A277="Дифавтомат"),IF(W277="","",COUNTIFS(Однолинейка!$H$3:$H$3000,U277,Однолинейка!$A$3:$A$3000,Щит_спец)),IF(A277="Аппарат",IF(C277="","",COUNTIFS(Однолинейка!$I$3:$I$3000,C277,Однолинейка!$A$3:$A$3000,Щит_спец)+COUNTIFS(Однолинейка!$J$3:$J$3000,C277,Однолинейка!$A$3:$A$3000,Щит_спец)+COUNTIFS(Однолинейка!$K$3:$K$3000,C277,Однолинейка!$A$3:$A$3000,Щит_спец)),IF(A277="Модуль",IF(C277="","",COUNTIFS(Однолинейка!$AW$3:$AW$3000,"?*",Однолинейка!$AI$3:$AI$3000,C277,Однолинейка!$A$3:$A$3000,Щит_спец)),IF(A277="Клемма",IF(C277="","",IF(C277=$S$7,SUMIFS(Однолинейка!$BW$3:$BW$3000,Однолинейка!$A$3:$A$3000,Щит_спец),IF(C277=$S$8,SUMIFS(Однолинейка!$BX$3:$BX$3000,Однолинейка!$A$3:$A$3000,Щит_спец),""))),""))))</f>
        <v/>
      </c>
      <c r="O277" s="74"/>
      <c r="P277" s="38" t="str">
        <f t="shared" si="36"/>
        <v/>
      </c>
      <c r="U277" s="38" t="str">
        <f t="shared" si="37"/>
        <v/>
      </c>
      <c r="V277" s="38" t="str">
        <f t="shared" si="38"/>
        <v/>
      </c>
      <c r="W277" s="38" t="str">
        <f>IF(AND(U277&lt;&gt;"",OR($S$4="(все)",B277=$S$4),IF($S$4="(все)",COUNTIF($U$4:U277,U277),COUNTIFS($U$4:U277,U277,$B$4:B277,B277))=1),MAX($W$3:W276)+1,"")</f>
        <v/>
      </c>
      <c r="X277" s="38" t="str">
        <f t="shared" si="39"/>
        <v/>
      </c>
      <c r="Y277" s="38" t="str">
        <f>IF(AND(A277="Аппарат",C277&lt;&gt;"",OR($S$5="(все)",B277=$S$5)),MAX($Y$3:Y276)+1,"")</f>
        <v/>
      </c>
      <c r="Z277" s="38" t="str">
        <f t="shared" si="40"/>
        <v/>
      </c>
      <c r="AA277" s="38" t="str">
        <f>IF(AND(A277="Модуль",C277&lt;&gt;"",OR($S$6="(все)",B277=$S$6)),MAX($AA$3:AA276)+1,"")</f>
        <v/>
      </c>
      <c r="AB277" s="38" t="str">
        <f t="shared" si="41"/>
        <v/>
      </c>
      <c r="AC277" s="38" t="str">
        <f>IF(OR(B277="",COUNTIF($B$4:B277,B277)&gt;1),"",MAX($AC$3:AC276)+1)</f>
        <v/>
      </c>
      <c r="AD277" s="38" t="str">
        <f t="shared" si="42"/>
        <v/>
      </c>
      <c r="AE277" s="38" t="str">
        <f t="shared" si="43"/>
        <v/>
      </c>
      <c r="AF277" s="38" t="str">
        <f t="shared" si="44"/>
        <v/>
      </c>
    </row>
    <row r="278" spans="1:32" x14ac:dyDescent="0.3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38" t="str">
        <f>IF(OR(A278="Автомат",A278="Дифавтомат"),IF(W278="","",COUNTIFS(Однолинейка!$H$3:$H$3000,U278,Однолинейка!$A$3:$A$3000,Щит_спец)),IF(A278="Аппарат",IF(C278="","",COUNTIFS(Однолинейка!$I$3:$I$3000,C278,Однолинейка!$A$3:$A$3000,Щит_спец)+COUNTIFS(Однолинейка!$J$3:$J$3000,C278,Однолинейка!$A$3:$A$3000,Щит_спец)+COUNTIFS(Однолинейка!$K$3:$K$3000,C278,Однолинейка!$A$3:$A$3000,Щит_спец)),IF(A278="Модуль",IF(C278="","",COUNTIFS(Однолинейка!$AW$3:$AW$3000,"?*",Однолинейка!$AI$3:$AI$3000,C278,Однолинейка!$A$3:$A$3000,Щит_спец)),IF(A278="Клемма",IF(C278="","",IF(C278=$S$7,SUMIFS(Однолинейка!$BW$3:$BW$3000,Однолинейка!$A$3:$A$3000,Щит_спец),IF(C278=$S$8,SUMIFS(Однолинейка!$BX$3:$BX$3000,Однолинейка!$A$3:$A$3000,Щит_спец),""))),""))))</f>
        <v/>
      </c>
      <c r="O278" s="74"/>
      <c r="P278" s="38" t="str">
        <f t="shared" si="36"/>
        <v/>
      </c>
      <c r="U278" s="38" t="str">
        <f t="shared" si="37"/>
        <v/>
      </c>
      <c r="V278" s="38" t="str">
        <f t="shared" si="38"/>
        <v/>
      </c>
      <c r="W278" s="38" t="str">
        <f>IF(AND(U278&lt;&gt;"",OR($S$4="(все)",B278=$S$4),IF($S$4="(все)",COUNTIF($U$4:U278,U278),COUNTIFS($U$4:U278,U278,$B$4:B278,B278))=1),MAX($W$3:W277)+1,"")</f>
        <v/>
      </c>
      <c r="X278" s="38" t="str">
        <f t="shared" si="39"/>
        <v/>
      </c>
      <c r="Y278" s="38" t="str">
        <f>IF(AND(A278="Аппарат",C278&lt;&gt;"",OR($S$5="(все)",B278=$S$5)),MAX($Y$3:Y277)+1,"")</f>
        <v/>
      </c>
      <c r="Z278" s="38" t="str">
        <f t="shared" si="40"/>
        <v/>
      </c>
      <c r="AA278" s="38" t="str">
        <f>IF(AND(A278="Модуль",C278&lt;&gt;"",OR($S$6="(все)",B278=$S$6)),MAX($AA$3:AA277)+1,"")</f>
        <v/>
      </c>
      <c r="AB278" s="38" t="str">
        <f t="shared" si="41"/>
        <v/>
      </c>
      <c r="AC278" s="38" t="str">
        <f>IF(OR(B278="",COUNTIF($B$4:B278,B278)&gt;1),"",MAX($AC$3:AC277)+1)</f>
        <v/>
      </c>
      <c r="AD278" s="38" t="str">
        <f t="shared" si="42"/>
        <v/>
      </c>
      <c r="AE278" s="38" t="str">
        <f t="shared" si="43"/>
        <v/>
      </c>
      <c r="AF278" s="38" t="str">
        <f t="shared" si="44"/>
        <v/>
      </c>
    </row>
    <row r="279" spans="1:32" x14ac:dyDescent="0.3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38" t="str">
        <f>IF(OR(A279="Автомат",A279="Дифавтомат"),IF(W279="","",COUNTIFS(Однолинейка!$H$3:$H$3000,U279,Однолинейка!$A$3:$A$3000,Щит_спец)),IF(A279="Аппарат",IF(C279="","",COUNTIFS(Однолинейка!$I$3:$I$3000,C279,Однолинейка!$A$3:$A$3000,Щит_спец)+COUNTIFS(Однолинейка!$J$3:$J$3000,C279,Однолинейка!$A$3:$A$3000,Щит_спец)+COUNTIFS(Однолинейка!$K$3:$K$3000,C279,Однолинейка!$A$3:$A$3000,Щит_спец)),IF(A279="Модуль",IF(C279="","",COUNTIFS(Однолинейка!$AW$3:$AW$3000,"?*",Однолинейка!$AI$3:$AI$3000,C279,Однолинейка!$A$3:$A$3000,Щит_спец)),IF(A279="Клемма",IF(C279="","",IF(C279=$S$7,SUMIFS(Однолинейка!$BW$3:$BW$3000,Однолинейка!$A$3:$A$3000,Щит_спец),IF(C279=$S$8,SUMIFS(Однолинейка!$BX$3:$BX$3000,Однолинейка!$A$3:$A$3000,Щит_спец),""))),""))))</f>
        <v/>
      </c>
      <c r="O279" s="74"/>
      <c r="P279" s="38" t="str">
        <f t="shared" si="36"/>
        <v/>
      </c>
      <c r="U279" s="38" t="str">
        <f t="shared" si="37"/>
        <v/>
      </c>
      <c r="V279" s="38" t="str">
        <f t="shared" si="38"/>
        <v/>
      </c>
      <c r="W279" s="38" t="str">
        <f>IF(AND(U279&lt;&gt;"",OR($S$4="(все)",B279=$S$4),IF($S$4="(все)",COUNTIF($U$4:U279,U279),COUNTIFS($U$4:U279,U279,$B$4:B279,B279))=1),MAX($W$3:W278)+1,"")</f>
        <v/>
      </c>
      <c r="X279" s="38" t="str">
        <f t="shared" si="39"/>
        <v/>
      </c>
      <c r="Y279" s="38" t="str">
        <f>IF(AND(A279="Аппарат",C279&lt;&gt;"",OR($S$5="(все)",B279=$S$5)),MAX($Y$3:Y278)+1,"")</f>
        <v/>
      </c>
      <c r="Z279" s="38" t="str">
        <f t="shared" si="40"/>
        <v/>
      </c>
      <c r="AA279" s="38" t="str">
        <f>IF(AND(A279="Модуль",C279&lt;&gt;"",OR($S$6="(все)",B279=$S$6)),MAX($AA$3:AA278)+1,"")</f>
        <v/>
      </c>
      <c r="AB279" s="38" t="str">
        <f t="shared" si="41"/>
        <v/>
      </c>
      <c r="AC279" s="38" t="str">
        <f>IF(OR(B279="",COUNTIF($B$4:B279,B279)&gt;1),"",MAX($AC$3:AC278)+1)</f>
        <v/>
      </c>
      <c r="AD279" s="38" t="str">
        <f t="shared" si="42"/>
        <v/>
      </c>
      <c r="AE279" s="38" t="str">
        <f t="shared" si="43"/>
        <v/>
      </c>
      <c r="AF279" s="38" t="str">
        <f t="shared" si="44"/>
        <v/>
      </c>
    </row>
    <row r="280" spans="1:32" x14ac:dyDescent="0.3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38" t="str">
        <f>IF(OR(A280="Автомат",A280="Дифавтомат"),IF(W280="","",COUNTIFS(Однолинейка!$H$3:$H$3000,U280,Однолинейка!$A$3:$A$3000,Щит_спец)),IF(A280="Аппарат",IF(C280="","",COUNTIFS(Однолинейка!$I$3:$I$3000,C280,Однолинейка!$A$3:$A$3000,Щит_спец)+COUNTIFS(Однолинейка!$J$3:$J$3000,C280,Однолинейка!$A$3:$A$3000,Щит_спец)+COUNTIFS(Однолинейка!$K$3:$K$3000,C280,Однолинейка!$A$3:$A$3000,Щит_спец)),IF(A280="Модуль",IF(C280="","",COUNTIFS(Однолинейка!$AW$3:$AW$3000,"?*",Однолинейка!$AI$3:$AI$3000,C280,Однолинейка!$A$3:$A$3000,Щит_спец)),IF(A280="Клемма",IF(C280="","",IF(C280=$S$7,SUMIFS(Однолинейка!$BW$3:$BW$3000,Однолинейка!$A$3:$A$3000,Щит_спец),IF(C280=$S$8,SUMIFS(Однолинейка!$BX$3:$BX$3000,Однолинейка!$A$3:$A$3000,Щит_спец),""))),""))))</f>
        <v/>
      </c>
      <c r="O280" s="74"/>
      <c r="P280" s="38" t="str">
        <f t="shared" si="36"/>
        <v/>
      </c>
      <c r="U280" s="38" t="str">
        <f t="shared" si="37"/>
        <v/>
      </c>
      <c r="V280" s="38" t="str">
        <f t="shared" si="38"/>
        <v/>
      </c>
      <c r="W280" s="38" t="str">
        <f>IF(AND(U280&lt;&gt;"",OR($S$4="(все)",B280=$S$4),IF($S$4="(все)",COUNTIF($U$4:U280,U280),COUNTIFS($U$4:U280,U280,$B$4:B280,B280))=1),MAX($W$3:W279)+1,"")</f>
        <v/>
      </c>
      <c r="X280" s="38" t="str">
        <f t="shared" si="39"/>
        <v/>
      </c>
      <c r="Y280" s="38" t="str">
        <f>IF(AND(A280="Аппарат",C280&lt;&gt;"",OR($S$5="(все)",B280=$S$5)),MAX($Y$3:Y279)+1,"")</f>
        <v/>
      </c>
      <c r="Z280" s="38" t="str">
        <f t="shared" si="40"/>
        <v/>
      </c>
      <c r="AA280" s="38" t="str">
        <f>IF(AND(A280="Модуль",C280&lt;&gt;"",OR($S$6="(все)",B280=$S$6)),MAX($AA$3:AA279)+1,"")</f>
        <v/>
      </c>
      <c r="AB280" s="38" t="str">
        <f t="shared" si="41"/>
        <v/>
      </c>
      <c r="AC280" s="38" t="str">
        <f>IF(OR(B280="",COUNTIF($B$4:B280,B280)&gt;1),"",MAX($AC$3:AC279)+1)</f>
        <v/>
      </c>
      <c r="AD280" s="38" t="str">
        <f t="shared" si="42"/>
        <v/>
      </c>
      <c r="AE280" s="38" t="str">
        <f t="shared" si="43"/>
        <v/>
      </c>
      <c r="AF280" s="38" t="str">
        <f t="shared" si="44"/>
        <v/>
      </c>
    </row>
    <row r="281" spans="1:32" x14ac:dyDescent="0.3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38" t="str">
        <f>IF(OR(A281="Автомат",A281="Дифавтомат"),IF(W281="","",COUNTIFS(Однолинейка!$H$3:$H$3000,U281,Однолинейка!$A$3:$A$3000,Щит_спец)),IF(A281="Аппарат",IF(C281="","",COUNTIFS(Однолинейка!$I$3:$I$3000,C281,Однолинейка!$A$3:$A$3000,Щит_спец)+COUNTIFS(Однолинейка!$J$3:$J$3000,C281,Однолинейка!$A$3:$A$3000,Щит_спец)+COUNTIFS(Однолинейка!$K$3:$K$3000,C281,Однолинейка!$A$3:$A$3000,Щит_спец)),IF(A281="Модуль",IF(C281="","",COUNTIFS(Однолинейка!$AW$3:$AW$3000,"?*",Однолинейка!$AI$3:$AI$3000,C281,Однолинейка!$A$3:$A$3000,Щит_спец)),IF(A281="Клемма",IF(C281="","",IF(C281=$S$7,SUMIFS(Однолинейка!$BW$3:$BW$3000,Однолинейка!$A$3:$A$3000,Щит_спец),IF(C281=$S$8,SUMIFS(Однолинейка!$BX$3:$BX$3000,Однолинейка!$A$3:$A$3000,Щит_спец),""))),""))))</f>
        <v/>
      </c>
      <c r="O281" s="74"/>
      <c r="P281" s="38" t="str">
        <f t="shared" si="36"/>
        <v/>
      </c>
      <c r="U281" s="38" t="str">
        <f t="shared" si="37"/>
        <v/>
      </c>
      <c r="V281" s="38" t="str">
        <f t="shared" si="38"/>
        <v/>
      </c>
      <c r="W281" s="38" t="str">
        <f>IF(AND(U281&lt;&gt;"",OR($S$4="(все)",B281=$S$4),IF($S$4="(все)",COUNTIF($U$4:U281,U281),COUNTIFS($U$4:U281,U281,$B$4:B281,B281))=1),MAX($W$3:W280)+1,"")</f>
        <v/>
      </c>
      <c r="X281" s="38" t="str">
        <f t="shared" si="39"/>
        <v/>
      </c>
      <c r="Y281" s="38" t="str">
        <f>IF(AND(A281="Аппарат",C281&lt;&gt;"",OR($S$5="(все)",B281=$S$5)),MAX($Y$3:Y280)+1,"")</f>
        <v/>
      </c>
      <c r="Z281" s="38" t="str">
        <f t="shared" si="40"/>
        <v/>
      </c>
      <c r="AA281" s="38" t="str">
        <f>IF(AND(A281="Модуль",C281&lt;&gt;"",OR($S$6="(все)",B281=$S$6)),MAX($AA$3:AA280)+1,"")</f>
        <v/>
      </c>
      <c r="AB281" s="38" t="str">
        <f t="shared" si="41"/>
        <v/>
      </c>
      <c r="AC281" s="38" t="str">
        <f>IF(OR(B281="",COUNTIF($B$4:B281,B281)&gt;1),"",MAX($AC$3:AC280)+1)</f>
        <v/>
      </c>
      <c r="AD281" s="38" t="str">
        <f t="shared" si="42"/>
        <v/>
      </c>
      <c r="AE281" s="38" t="str">
        <f t="shared" si="43"/>
        <v/>
      </c>
      <c r="AF281" s="38" t="str">
        <f t="shared" si="44"/>
        <v/>
      </c>
    </row>
    <row r="282" spans="1:32" x14ac:dyDescent="0.3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38" t="str">
        <f>IF(OR(A282="Автомат",A282="Дифавтомат"),IF(W282="","",COUNTIFS(Однолинейка!$H$3:$H$3000,U282,Однолинейка!$A$3:$A$3000,Щит_спец)),IF(A282="Аппарат",IF(C282="","",COUNTIFS(Однолинейка!$I$3:$I$3000,C282,Однолинейка!$A$3:$A$3000,Щит_спец)+COUNTIFS(Однолинейка!$J$3:$J$3000,C282,Однолинейка!$A$3:$A$3000,Щит_спец)+COUNTIFS(Однолинейка!$K$3:$K$3000,C282,Однолинейка!$A$3:$A$3000,Щит_спец)),IF(A282="Модуль",IF(C282="","",COUNTIFS(Однолинейка!$AW$3:$AW$3000,"?*",Однолинейка!$AI$3:$AI$3000,C282,Однолинейка!$A$3:$A$3000,Щит_спец)),IF(A282="Клемма",IF(C282="","",IF(C282=$S$7,SUMIFS(Однолинейка!$BW$3:$BW$3000,Однолинейка!$A$3:$A$3000,Щит_спец),IF(C282=$S$8,SUMIFS(Однолинейка!$BX$3:$BX$3000,Однолинейка!$A$3:$A$3000,Щит_спец),""))),""))))</f>
        <v/>
      </c>
      <c r="O282" s="74"/>
      <c r="P282" s="38" t="str">
        <f t="shared" si="36"/>
        <v/>
      </c>
      <c r="U282" s="38" t="str">
        <f t="shared" si="37"/>
        <v/>
      </c>
      <c r="V282" s="38" t="str">
        <f t="shared" si="38"/>
        <v/>
      </c>
      <c r="W282" s="38" t="str">
        <f>IF(AND(U282&lt;&gt;"",OR($S$4="(все)",B282=$S$4),IF($S$4="(все)",COUNTIF($U$4:U282,U282),COUNTIFS($U$4:U282,U282,$B$4:B282,B282))=1),MAX($W$3:W281)+1,"")</f>
        <v/>
      </c>
      <c r="X282" s="38" t="str">
        <f t="shared" si="39"/>
        <v/>
      </c>
      <c r="Y282" s="38" t="str">
        <f>IF(AND(A282="Аппарат",C282&lt;&gt;"",OR($S$5="(все)",B282=$S$5)),MAX($Y$3:Y281)+1,"")</f>
        <v/>
      </c>
      <c r="Z282" s="38" t="str">
        <f t="shared" si="40"/>
        <v/>
      </c>
      <c r="AA282" s="38" t="str">
        <f>IF(AND(A282="Модуль",C282&lt;&gt;"",OR($S$6="(все)",B282=$S$6)),MAX($AA$3:AA281)+1,"")</f>
        <v/>
      </c>
      <c r="AB282" s="38" t="str">
        <f t="shared" si="41"/>
        <v/>
      </c>
      <c r="AC282" s="38" t="str">
        <f>IF(OR(B282="",COUNTIF($B$4:B282,B282)&gt;1),"",MAX($AC$3:AC281)+1)</f>
        <v/>
      </c>
      <c r="AD282" s="38" t="str">
        <f t="shared" si="42"/>
        <v/>
      </c>
      <c r="AE282" s="38" t="str">
        <f t="shared" si="43"/>
        <v/>
      </c>
      <c r="AF282" s="38" t="str">
        <f t="shared" si="44"/>
        <v/>
      </c>
    </row>
    <row r="283" spans="1:32" x14ac:dyDescent="0.3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38" t="str">
        <f>IF(OR(A283="Автомат",A283="Дифавтомат"),IF(W283="","",COUNTIFS(Однолинейка!$H$3:$H$3000,U283,Однолинейка!$A$3:$A$3000,Щит_спец)),IF(A283="Аппарат",IF(C283="","",COUNTIFS(Однолинейка!$I$3:$I$3000,C283,Однолинейка!$A$3:$A$3000,Щит_спец)+COUNTIFS(Однолинейка!$J$3:$J$3000,C283,Однолинейка!$A$3:$A$3000,Щит_спец)+COUNTIFS(Однолинейка!$K$3:$K$3000,C283,Однолинейка!$A$3:$A$3000,Щит_спец)),IF(A283="Модуль",IF(C283="","",COUNTIFS(Однолинейка!$AW$3:$AW$3000,"?*",Однолинейка!$AI$3:$AI$3000,C283,Однолинейка!$A$3:$A$3000,Щит_спец)),IF(A283="Клемма",IF(C283="","",IF(C283=$S$7,SUMIFS(Однолинейка!$BW$3:$BW$3000,Однолинейка!$A$3:$A$3000,Щит_спец),IF(C283=$S$8,SUMIFS(Однолинейка!$BX$3:$BX$3000,Однолинейка!$A$3:$A$3000,Щит_спец),""))),""))))</f>
        <v/>
      </c>
      <c r="O283" s="74"/>
      <c r="P283" s="38" t="str">
        <f t="shared" si="36"/>
        <v/>
      </c>
      <c r="U283" s="38" t="str">
        <f t="shared" si="37"/>
        <v/>
      </c>
      <c r="V283" s="38" t="str">
        <f t="shared" si="38"/>
        <v/>
      </c>
      <c r="W283" s="38" t="str">
        <f>IF(AND(U283&lt;&gt;"",OR($S$4="(все)",B283=$S$4),IF($S$4="(все)",COUNTIF($U$4:U283,U283),COUNTIFS($U$4:U283,U283,$B$4:B283,B283))=1),MAX($W$3:W282)+1,"")</f>
        <v/>
      </c>
      <c r="X283" s="38" t="str">
        <f t="shared" si="39"/>
        <v/>
      </c>
      <c r="Y283" s="38" t="str">
        <f>IF(AND(A283="Аппарат",C283&lt;&gt;"",OR($S$5="(все)",B283=$S$5)),MAX($Y$3:Y282)+1,"")</f>
        <v/>
      </c>
      <c r="Z283" s="38" t="str">
        <f t="shared" si="40"/>
        <v/>
      </c>
      <c r="AA283" s="38" t="str">
        <f>IF(AND(A283="Модуль",C283&lt;&gt;"",OR($S$6="(все)",B283=$S$6)),MAX($AA$3:AA282)+1,"")</f>
        <v/>
      </c>
      <c r="AB283" s="38" t="str">
        <f t="shared" si="41"/>
        <v/>
      </c>
      <c r="AC283" s="38" t="str">
        <f>IF(OR(B283="",COUNTIF($B$4:B283,B283)&gt;1),"",MAX($AC$3:AC282)+1)</f>
        <v/>
      </c>
      <c r="AD283" s="38" t="str">
        <f t="shared" si="42"/>
        <v/>
      </c>
      <c r="AE283" s="38" t="str">
        <f t="shared" si="43"/>
        <v/>
      </c>
      <c r="AF283" s="38" t="str">
        <f t="shared" si="44"/>
        <v/>
      </c>
    </row>
    <row r="284" spans="1:32" x14ac:dyDescent="0.3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38" t="str">
        <f>IF(OR(A284="Автомат",A284="Дифавтомат"),IF(W284="","",COUNTIFS(Однолинейка!$H$3:$H$3000,U284,Однолинейка!$A$3:$A$3000,Щит_спец)),IF(A284="Аппарат",IF(C284="","",COUNTIFS(Однолинейка!$I$3:$I$3000,C284,Однолинейка!$A$3:$A$3000,Щит_спец)+COUNTIFS(Однолинейка!$J$3:$J$3000,C284,Однолинейка!$A$3:$A$3000,Щит_спец)+COUNTIFS(Однолинейка!$K$3:$K$3000,C284,Однолинейка!$A$3:$A$3000,Щит_спец)),IF(A284="Модуль",IF(C284="","",COUNTIFS(Однолинейка!$AW$3:$AW$3000,"?*",Однолинейка!$AI$3:$AI$3000,C284,Однолинейка!$A$3:$A$3000,Щит_спец)),IF(A284="Клемма",IF(C284="","",IF(C284=$S$7,SUMIFS(Однолинейка!$BW$3:$BW$3000,Однолинейка!$A$3:$A$3000,Щит_спец),IF(C284=$S$8,SUMIFS(Однолинейка!$BX$3:$BX$3000,Однолинейка!$A$3:$A$3000,Щит_спец),""))),""))))</f>
        <v/>
      </c>
      <c r="O284" s="74"/>
      <c r="P284" s="38" t="str">
        <f t="shared" si="36"/>
        <v/>
      </c>
      <c r="U284" s="38" t="str">
        <f t="shared" si="37"/>
        <v/>
      </c>
      <c r="V284" s="38" t="str">
        <f t="shared" si="38"/>
        <v/>
      </c>
      <c r="W284" s="38" t="str">
        <f>IF(AND(U284&lt;&gt;"",OR($S$4="(все)",B284=$S$4),IF($S$4="(все)",COUNTIF($U$4:U284,U284),COUNTIFS($U$4:U284,U284,$B$4:B284,B284))=1),MAX($W$3:W283)+1,"")</f>
        <v/>
      </c>
      <c r="X284" s="38" t="str">
        <f t="shared" si="39"/>
        <v/>
      </c>
      <c r="Y284" s="38" t="str">
        <f>IF(AND(A284="Аппарат",C284&lt;&gt;"",OR($S$5="(все)",B284=$S$5)),MAX($Y$3:Y283)+1,"")</f>
        <v/>
      </c>
      <c r="Z284" s="38" t="str">
        <f t="shared" si="40"/>
        <v/>
      </c>
      <c r="AA284" s="38" t="str">
        <f>IF(AND(A284="Модуль",C284&lt;&gt;"",OR($S$6="(все)",B284=$S$6)),MAX($AA$3:AA283)+1,"")</f>
        <v/>
      </c>
      <c r="AB284" s="38" t="str">
        <f t="shared" si="41"/>
        <v/>
      </c>
      <c r="AC284" s="38" t="str">
        <f>IF(OR(B284="",COUNTIF($B$4:B284,B284)&gt;1),"",MAX($AC$3:AC283)+1)</f>
        <v/>
      </c>
      <c r="AD284" s="38" t="str">
        <f t="shared" si="42"/>
        <v/>
      </c>
      <c r="AE284" s="38" t="str">
        <f t="shared" si="43"/>
        <v/>
      </c>
      <c r="AF284" s="38" t="str">
        <f t="shared" si="44"/>
        <v/>
      </c>
    </row>
    <row r="285" spans="1:32" x14ac:dyDescent="0.3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38" t="str">
        <f>IF(OR(A285="Автомат",A285="Дифавтомат"),IF(W285="","",COUNTIFS(Однолинейка!$H$3:$H$3000,U285,Однолинейка!$A$3:$A$3000,Щит_спец)),IF(A285="Аппарат",IF(C285="","",COUNTIFS(Однолинейка!$I$3:$I$3000,C285,Однолинейка!$A$3:$A$3000,Щит_спец)+COUNTIFS(Однолинейка!$J$3:$J$3000,C285,Однолинейка!$A$3:$A$3000,Щит_спец)+COUNTIFS(Однолинейка!$K$3:$K$3000,C285,Однолинейка!$A$3:$A$3000,Щит_спец)),IF(A285="Модуль",IF(C285="","",COUNTIFS(Однолинейка!$AW$3:$AW$3000,"?*",Однолинейка!$AI$3:$AI$3000,C285,Однолинейка!$A$3:$A$3000,Щит_спец)),IF(A285="Клемма",IF(C285="","",IF(C285=$S$7,SUMIFS(Однолинейка!$BW$3:$BW$3000,Однолинейка!$A$3:$A$3000,Щит_спец),IF(C285=$S$8,SUMIFS(Однолинейка!$BX$3:$BX$3000,Однолинейка!$A$3:$A$3000,Щит_спец),""))),""))))</f>
        <v/>
      </c>
      <c r="O285" s="74"/>
      <c r="P285" s="38" t="str">
        <f t="shared" si="36"/>
        <v/>
      </c>
      <c r="U285" s="38" t="str">
        <f t="shared" si="37"/>
        <v/>
      </c>
      <c r="V285" s="38" t="str">
        <f t="shared" si="38"/>
        <v/>
      </c>
      <c r="W285" s="38" t="str">
        <f>IF(AND(U285&lt;&gt;"",OR($S$4="(все)",B285=$S$4),IF($S$4="(все)",COUNTIF($U$4:U285,U285),COUNTIFS($U$4:U285,U285,$B$4:B285,B285))=1),MAX($W$3:W284)+1,"")</f>
        <v/>
      </c>
      <c r="X285" s="38" t="str">
        <f t="shared" si="39"/>
        <v/>
      </c>
      <c r="Y285" s="38" t="str">
        <f>IF(AND(A285="Аппарат",C285&lt;&gt;"",OR($S$5="(все)",B285=$S$5)),MAX($Y$3:Y284)+1,"")</f>
        <v/>
      </c>
      <c r="Z285" s="38" t="str">
        <f t="shared" si="40"/>
        <v/>
      </c>
      <c r="AA285" s="38" t="str">
        <f>IF(AND(A285="Модуль",C285&lt;&gt;"",OR($S$6="(все)",B285=$S$6)),MAX($AA$3:AA284)+1,"")</f>
        <v/>
      </c>
      <c r="AB285" s="38" t="str">
        <f t="shared" si="41"/>
        <v/>
      </c>
      <c r="AC285" s="38" t="str">
        <f>IF(OR(B285="",COUNTIF($B$4:B285,B285)&gt;1),"",MAX($AC$3:AC284)+1)</f>
        <v/>
      </c>
      <c r="AD285" s="38" t="str">
        <f t="shared" si="42"/>
        <v/>
      </c>
      <c r="AE285" s="38" t="str">
        <f t="shared" si="43"/>
        <v/>
      </c>
      <c r="AF285" s="38" t="str">
        <f t="shared" si="44"/>
        <v/>
      </c>
    </row>
    <row r="286" spans="1:32" x14ac:dyDescent="0.3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38" t="str">
        <f>IF(OR(A286="Автомат",A286="Дифавтомат"),IF(W286="","",COUNTIFS(Однолинейка!$H$3:$H$3000,U286,Однолинейка!$A$3:$A$3000,Щит_спец)),IF(A286="Аппарат",IF(C286="","",COUNTIFS(Однолинейка!$I$3:$I$3000,C286,Однолинейка!$A$3:$A$3000,Щит_спец)+COUNTIFS(Однолинейка!$J$3:$J$3000,C286,Однолинейка!$A$3:$A$3000,Щит_спец)+COUNTIFS(Однолинейка!$K$3:$K$3000,C286,Однолинейка!$A$3:$A$3000,Щит_спец)),IF(A286="Модуль",IF(C286="","",COUNTIFS(Однолинейка!$AW$3:$AW$3000,"?*",Однолинейка!$AI$3:$AI$3000,C286,Однолинейка!$A$3:$A$3000,Щит_спец)),IF(A286="Клемма",IF(C286="","",IF(C286=$S$7,SUMIFS(Однолинейка!$BW$3:$BW$3000,Однолинейка!$A$3:$A$3000,Щит_спец),IF(C286=$S$8,SUMIFS(Однолинейка!$BX$3:$BX$3000,Однолинейка!$A$3:$A$3000,Щит_спец),""))),""))))</f>
        <v/>
      </c>
      <c r="O286" s="74"/>
      <c r="P286" s="38" t="str">
        <f t="shared" si="36"/>
        <v/>
      </c>
      <c r="U286" s="38" t="str">
        <f t="shared" si="37"/>
        <v/>
      </c>
      <c r="V286" s="38" t="str">
        <f t="shared" si="38"/>
        <v/>
      </c>
      <c r="W286" s="38" t="str">
        <f>IF(AND(U286&lt;&gt;"",OR($S$4="(все)",B286=$S$4),IF($S$4="(все)",COUNTIF($U$4:U286,U286),COUNTIFS($U$4:U286,U286,$B$4:B286,B286))=1),MAX($W$3:W285)+1,"")</f>
        <v/>
      </c>
      <c r="X286" s="38" t="str">
        <f t="shared" si="39"/>
        <v/>
      </c>
      <c r="Y286" s="38" t="str">
        <f>IF(AND(A286="Аппарат",C286&lt;&gt;"",OR($S$5="(все)",B286=$S$5)),MAX($Y$3:Y285)+1,"")</f>
        <v/>
      </c>
      <c r="Z286" s="38" t="str">
        <f t="shared" si="40"/>
        <v/>
      </c>
      <c r="AA286" s="38" t="str">
        <f>IF(AND(A286="Модуль",C286&lt;&gt;"",OR($S$6="(все)",B286=$S$6)),MAX($AA$3:AA285)+1,"")</f>
        <v/>
      </c>
      <c r="AB286" s="38" t="str">
        <f t="shared" si="41"/>
        <v/>
      </c>
      <c r="AC286" s="38" t="str">
        <f>IF(OR(B286="",COUNTIF($B$4:B286,B286)&gt;1),"",MAX($AC$3:AC285)+1)</f>
        <v/>
      </c>
      <c r="AD286" s="38" t="str">
        <f t="shared" si="42"/>
        <v/>
      </c>
      <c r="AE286" s="38" t="str">
        <f t="shared" si="43"/>
        <v/>
      </c>
      <c r="AF286" s="38" t="str">
        <f t="shared" si="44"/>
        <v/>
      </c>
    </row>
    <row r="287" spans="1:32" x14ac:dyDescent="0.3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38" t="str">
        <f>IF(OR(A287="Автомат",A287="Дифавтомат"),IF(W287="","",COUNTIFS(Однолинейка!$H$3:$H$3000,U287,Однолинейка!$A$3:$A$3000,Щит_спец)),IF(A287="Аппарат",IF(C287="","",COUNTIFS(Однолинейка!$I$3:$I$3000,C287,Однолинейка!$A$3:$A$3000,Щит_спец)+COUNTIFS(Однолинейка!$J$3:$J$3000,C287,Однолинейка!$A$3:$A$3000,Щит_спец)+COUNTIFS(Однолинейка!$K$3:$K$3000,C287,Однолинейка!$A$3:$A$3000,Щит_спец)),IF(A287="Модуль",IF(C287="","",COUNTIFS(Однолинейка!$AW$3:$AW$3000,"?*",Однолинейка!$AI$3:$AI$3000,C287,Однолинейка!$A$3:$A$3000,Щит_спец)),IF(A287="Клемма",IF(C287="","",IF(C287=$S$7,SUMIFS(Однолинейка!$BW$3:$BW$3000,Однолинейка!$A$3:$A$3000,Щит_спец),IF(C287=$S$8,SUMIFS(Однолинейка!$BX$3:$BX$3000,Однолинейка!$A$3:$A$3000,Щит_спец),""))),""))))</f>
        <v/>
      </c>
      <c r="O287" s="74"/>
      <c r="P287" s="38" t="str">
        <f t="shared" si="36"/>
        <v/>
      </c>
      <c r="U287" s="38" t="str">
        <f t="shared" si="37"/>
        <v/>
      </c>
      <c r="V287" s="38" t="str">
        <f t="shared" si="38"/>
        <v/>
      </c>
      <c r="W287" s="38" t="str">
        <f>IF(AND(U287&lt;&gt;"",OR($S$4="(все)",B287=$S$4),IF($S$4="(все)",COUNTIF($U$4:U287,U287),COUNTIFS($U$4:U287,U287,$B$4:B287,B287))=1),MAX($W$3:W286)+1,"")</f>
        <v/>
      </c>
      <c r="X287" s="38" t="str">
        <f t="shared" si="39"/>
        <v/>
      </c>
      <c r="Y287" s="38" t="str">
        <f>IF(AND(A287="Аппарат",C287&lt;&gt;"",OR($S$5="(все)",B287=$S$5)),MAX($Y$3:Y286)+1,"")</f>
        <v/>
      </c>
      <c r="Z287" s="38" t="str">
        <f t="shared" si="40"/>
        <v/>
      </c>
      <c r="AA287" s="38" t="str">
        <f>IF(AND(A287="Модуль",C287&lt;&gt;"",OR($S$6="(все)",B287=$S$6)),MAX($AA$3:AA286)+1,"")</f>
        <v/>
      </c>
      <c r="AB287" s="38" t="str">
        <f t="shared" si="41"/>
        <v/>
      </c>
      <c r="AC287" s="38" t="str">
        <f>IF(OR(B287="",COUNTIF($B$4:B287,B287)&gt;1),"",MAX($AC$3:AC286)+1)</f>
        <v/>
      </c>
      <c r="AD287" s="38" t="str">
        <f t="shared" si="42"/>
        <v/>
      </c>
      <c r="AE287" s="38" t="str">
        <f t="shared" si="43"/>
        <v/>
      </c>
      <c r="AF287" s="38" t="str">
        <f t="shared" si="44"/>
        <v/>
      </c>
    </row>
    <row r="288" spans="1:32" x14ac:dyDescent="0.3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38" t="str">
        <f>IF(OR(A288="Автомат",A288="Дифавтомат"),IF(W288="","",COUNTIFS(Однолинейка!$H$3:$H$3000,U288,Однолинейка!$A$3:$A$3000,Щит_спец)),IF(A288="Аппарат",IF(C288="","",COUNTIFS(Однолинейка!$I$3:$I$3000,C288,Однолинейка!$A$3:$A$3000,Щит_спец)+COUNTIFS(Однолинейка!$J$3:$J$3000,C288,Однолинейка!$A$3:$A$3000,Щит_спец)+COUNTIFS(Однолинейка!$K$3:$K$3000,C288,Однолинейка!$A$3:$A$3000,Щит_спец)),IF(A288="Модуль",IF(C288="","",COUNTIFS(Однолинейка!$AW$3:$AW$3000,"?*",Однолинейка!$AI$3:$AI$3000,C288,Однолинейка!$A$3:$A$3000,Щит_спец)),IF(A288="Клемма",IF(C288="","",IF(C288=$S$7,SUMIFS(Однолинейка!$BW$3:$BW$3000,Однолинейка!$A$3:$A$3000,Щит_спец),IF(C288=$S$8,SUMIFS(Однолинейка!$BX$3:$BX$3000,Однолинейка!$A$3:$A$3000,Щит_спец),""))),""))))</f>
        <v/>
      </c>
      <c r="O288" s="74"/>
      <c r="P288" s="38" t="str">
        <f t="shared" si="36"/>
        <v/>
      </c>
      <c r="U288" s="38" t="str">
        <f t="shared" si="37"/>
        <v/>
      </c>
      <c r="V288" s="38" t="str">
        <f t="shared" si="38"/>
        <v/>
      </c>
      <c r="W288" s="38" t="str">
        <f>IF(AND(U288&lt;&gt;"",OR($S$4="(все)",B288=$S$4),IF($S$4="(все)",COUNTIF($U$4:U288,U288),COUNTIFS($U$4:U288,U288,$B$4:B288,B288))=1),MAX($W$3:W287)+1,"")</f>
        <v/>
      </c>
      <c r="X288" s="38" t="str">
        <f t="shared" si="39"/>
        <v/>
      </c>
      <c r="Y288" s="38" t="str">
        <f>IF(AND(A288="Аппарат",C288&lt;&gt;"",OR($S$5="(все)",B288=$S$5)),MAX($Y$3:Y287)+1,"")</f>
        <v/>
      </c>
      <c r="Z288" s="38" t="str">
        <f t="shared" si="40"/>
        <v/>
      </c>
      <c r="AA288" s="38" t="str">
        <f>IF(AND(A288="Модуль",C288&lt;&gt;"",OR($S$6="(все)",B288=$S$6)),MAX($AA$3:AA287)+1,"")</f>
        <v/>
      </c>
      <c r="AB288" s="38" t="str">
        <f t="shared" si="41"/>
        <v/>
      </c>
      <c r="AC288" s="38" t="str">
        <f>IF(OR(B288="",COUNTIF($B$4:B288,B288)&gt;1),"",MAX($AC$3:AC287)+1)</f>
        <v/>
      </c>
      <c r="AD288" s="38" t="str">
        <f t="shared" si="42"/>
        <v/>
      </c>
      <c r="AE288" s="38" t="str">
        <f t="shared" si="43"/>
        <v/>
      </c>
      <c r="AF288" s="38" t="str">
        <f t="shared" si="44"/>
        <v/>
      </c>
    </row>
    <row r="289" spans="1:32" x14ac:dyDescent="0.3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38" t="str">
        <f>IF(OR(A289="Автомат",A289="Дифавтомат"),IF(W289="","",COUNTIFS(Однолинейка!$H$3:$H$3000,U289,Однолинейка!$A$3:$A$3000,Щит_спец)),IF(A289="Аппарат",IF(C289="","",COUNTIFS(Однолинейка!$I$3:$I$3000,C289,Однолинейка!$A$3:$A$3000,Щит_спец)+COUNTIFS(Однолинейка!$J$3:$J$3000,C289,Однолинейка!$A$3:$A$3000,Щит_спец)+COUNTIFS(Однолинейка!$K$3:$K$3000,C289,Однолинейка!$A$3:$A$3000,Щит_спец)),IF(A289="Модуль",IF(C289="","",COUNTIFS(Однолинейка!$AW$3:$AW$3000,"?*",Однолинейка!$AI$3:$AI$3000,C289,Однолинейка!$A$3:$A$3000,Щит_спец)),IF(A289="Клемма",IF(C289="","",IF(C289=$S$7,SUMIFS(Однолинейка!$BW$3:$BW$3000,Однолинейка!$A$3:$A$3000,Щит_спец),IF(C289=$S$8,SUMIFS(Однолинейка!$BX$3:$BX$3000,Однолинейка!$A$3:$A$3000,Щит_спец),""))),""))))</f>
        <v/>
      </c>
      <c r="O289" s="74"/>
      <c r="P289" s="38" t="str">
        <f t="shared" si="36"/>
        <v/>
      </c>
      <c r="U289" s="38" t="str">
        <f t="shared" si="37"/>
        <v/>
      </c>
      <c r="V289" s="38" t="str">
        <f t="shared" si="38"/>
        <v/>
      </c>
      <c r="W289" s="38" t="str">
        <f>IF(AND(U289&lt;&gt;"",OR($S$4="(все)",B289=$S$4),IF($S$4="(все)",COUNTIF($U$4:U289,U289),COUNTIFS($U$4:U289,U289,$B$4:B289,B289))=1),MAX($W$3:W288)+1,"")</f>
        <v/>
      </c>
      <c r="X289" s="38" t="str">
        <f t="shared" si="39"/>
        <v/>
      </c>
      <c r="Y289" s="38" t="str">
        <f>IF(AND(A289="Аппарат",C289&lt;&gt;"",OR($S$5="(все)",B289=$S$5)),MAX($Y$3:Y288)+1,"")</f>
        <v/>
      </c>
      <c r="Z289" s="38" t="str">
        <f t="shared" si="40"/>
        <v/>
      </c>
      <c r="AA289" s="38" t="str">
        <f>IF(AND(A289="Модуль",C289&lt;&gt;"",OR($S$6="(все)",B289=$S$6)),MAX($AA$3:AA288)+1,"")</f>
        <v/>
      </c>
      <c r="AB289" s="38" t="str">
        <f t="shared" si="41"/>
        <v/>
      </c>
      <c r="AC289" s="38" t="str">
        <f>IF(OR(B289="",COUNTIF($B$4:B289,B289)&gt;1),"",MAX($AC$3:AC288)+1)</f>
        <v/>
      </c>
      <c r="AD289" s="38" t="str">
        <f t="shared" si="42"/>
        <v/>
      </c>
      <c r="AE289" s="38" t="str">
        <f t="shared" si="43"/>
        <v/>
      </c>
      <c r="AF289" s="38" t="str">
        <f t="shared" si="44"/>
        <v/>
      </c>
    </row>
    <row r="290" spans="1:32" x14ac:dyDescent="0.3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38" t="str">
        <f>IF(OR(A290="Автомат",A290="Дифавтомат"),IF(W290="","",COUNTIFS(Однолинейка!$H$3:$H$3000,U290,Однолинейка!$A$3:$A$3000,Щит_спец)),IF(A290="Аппарат",IF(C290="","",COUNTIFS(Однолинейка!$I$3:$I$3000,C290,Однолинейка!$A$3:$A$3000,Щит_спец)+COUNTIFS(Однолинейка!$J$3:$J$3000,C290,Однолинейка!$A$3:$A$3000,Щит_спец)+COUNTIFS(Однолинейка!$K$3:$K$3000,C290,Однолинейка!$A$3:$A$3000,Щит_спец)),IF(A290="Модуль",IF(C290="","",COUNTIFS(Однолинейка!$AW$3:$AW$3000,"?*",Однолинейка!$AI$3:$AI$3000,C290,Однолинейка!$A$3:$A$3000,Щит_спец)),IF(A290="Клемма",IF(C290="","",IF(C290=$S$7,SUMIFS(Однолинейка!$BW$3:$BW$3000,Однолинейка!$A$3:$A$3000,Щит_спец),IF(C290=$S$8,SUMIFS(Однолинейка!$BX$3:$BX$3000,Однолинейка!$A$3:$A$3000,Щит_спец),""))),""))))</f>
        <v/>
      </c>
      <c r="O290" s="74"/>
      <c r="P290" s="38" t="str">
        <f t="shared" si="36"/>
        <v/>
      </c>
      <c r="U290" s="38" t="str">
        <f t="shared" si="37"/>
        <v/>
      </c>
      <c r="V290" s="38" t="str">
        <f t="shared" si="38"/>
        <v/>
      </c>
      <c r="W290" s="38" t="str">
        <f>IF(AND(U290&lt;&gt;"",OR($S$4="(все)",B290=$S$4),IF($S$4="(все)",COUNTIF($U$4:U290,U290),COUNTIFS($U$4:U290,U290,$B$4:B290,B290))=1),MAX($W$3:W289)+1,"")</f>
        <v/>
      </c>
      <c r="X290" s="38" t="str">
        <f t="shared" si="39"/>
        <v/>
      </c>
      <c r="Y290" s="38" t="str">
        <f>IF(AND(A290="Аппарат",C290&lt;&gt;"",OR($S$5="(все)",B290=$S$5)),MAX($Y$3:Y289)+1,"")</f>
        <v/>
      </c>
      <c r="Z290" s="38" t="str">
        <f t="shared" si="40"/>
        <v/>
      </c>
      <c r="AA290" s="38" t="str">
        <f>IF(AND(A290="Модуль",C290&lt;&gt;"",OR($S$6="(все)",B290=$S$6)),MAX($AA$3:AA289)+1,"")</f>
        <v/>
      </c>
      <c r="AB290" s="38" t="str">
        <f t="shared" si="41"/>
        <v/>
      </c>
      <c r="AC290" s="38" t="str">
        <f>IF(OR(B290="",COUNTIF($B$4:B290,B290)&gt;1),"",MAX($AC$3:AC289)+1)</f>
        <v/>
      </c>
      <c r="AD290" s="38" t="str">
        <f t="shared" si="42"/>
        <v/>
      </c>
      <c r="AE290" s="38" t="str">
        <f t="shared" si="43"/>
        <v/>
      </c>
      <c r="AF290" s="38" t="str">
        <f t="shared" si="44"/>
        <v/>
      </c>
    </row>
    <row r="291" spans="1:32" x14ac:dyDescent="0.3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38" t="str">
        <f>IF(OR(A291="Автомат",A291="Дифавтомат"),IF(W291="","",COUNTIFS(Однолинейка!$H$3:$H$3000,U291,Однолинейка!$A$3:$A$3000,Щит_спец)),IF(A291="Аппарат",IF(C291="","",COUNTIFS(Однолинейка!$I$3:$I$3000,C291,Однолинейка!$A$3:$A$3000,Щит_спец)+COUNTIFS(Однолинейка!$J$3:$J$3000,C291,Однолинейка!$A$3:$A$3000,Щит_спец)+COUNTIFS(Однолинейка!$K$3:$K$3000,C291,Однолинейка!$A$3:$A$3000,Щит_спец)),IF(A291="Модуль",IF(C291="","",COUNTIFS(Однолинейка!$AW$3:$AW$3000,"?*",Однолинейка!$AI$3:$AI$3000,C291,Однолинейка!$A$3:$A$3000,Щит_спец)),IF(A291="Клемма",IF(C291="","",IF(C291=$S$7,SUMIFS(Однолинейка!$BW$3:$BW$3000,Однолинейка!$A$3:$A$3000,Щит_спец),IF(C291=$S$8,SUMIFS(Однолинейка!$BX$3:$BX$3000,Однолинейка!$A$3:$A$3000,Щит_спец),""))),""))))</f>
        <v/>
      </c>
      <c r="O291" s="74"/>
      <c r="P291" s="38" t="str">
        <f t="shared" si="36"/>
        <v/>
      </c>
      <c r="U291" s="38" t="str">
        <f t="shared" si="37"/>
        <v/>
      </c>
      <c r="V291" s="38" t="str">
        <f t="shared" si="38"/>
        <v/>
      </c>
      <c r="W291" s="38" t="str">
        <f>IF(AND(U291&lt;&gt;"",OR($S$4="(все)",B291=$S$4),IF($S$4="(все)",COUNTIF($U$4:U291,U291),COUNTIFS($U$4:U291,U291,$B$4:B291,B291))=1),MAX($W$3:W290)+1,"")</f>
        <v/>
      </c>
      <c r="X291" s="38" t="str">
        <f t="shared" si="39"/>
        <v/>
      </c>
      <c r="Y291" s="38" t="str">
        <f>IF(AND(A291="Аппарат",C291&lt;&gt;"",OR($S$5="(все)",B291=$S$5)),MAX($Y$3:Y290)+1,"")</f>
        <v/>
      </c>
      <c r="Z291" s="38" t="str">
        <f t="shared" si="40"/>
        <v/>
      </c>
      <c r="AA291" s="38" t="str">
        <f>IF(AND(A291="Модуль",C291&lt;&gt;"",OR($S$6="(все)",B291=$S$6)),MAX($AA$3:AA290)+1,"")</f>
        <v/>
      </c>
      <c r="AB291" s="38" t="str">
        <f t="shared" si="41"/>
        <v/>
      </c>
      <c r="AC291" s="38" t="str">
        <f>IF(OR(B291="",COUNTIF($B$4:B291,B291)&gt;1),"",MAX($AC$3:AC290)+1)</f>
        <v/>
      </c>
      <c r="AD291" s="38" t="str">
        <f t="shared" si="42"/>
        <v/>
      </c>
      <c r="AE291" s="38" t="str">
        <f t="shared" si="43"/>
        <v/>
      </c>
      <c r="AF291" s="38" t="str">
        <f t="shared" si="44"/>
        <v/>
      </c>
    </row>
    <row r="292" spans="1:32" x14ac:dyDescent="0.3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38" t="str">
        <f>IF(OR(A292="Автомат",A292="Дифавтомат"),IF(W292="","",COUNTIFS(Однолинейка!$H$3:$H$3000,U292,Однолинейка!$A$3:$A$3000,Щит_спец)),IF(A292="Аппарат",IF(C292="","",COUNTIFS(Однолинейка!$I$3:$I$3000,C292,Однолинейка!$A$3:$A$3000,Щит_спец)+COUNTIFS(Однолинейка!$J$3:$J$3000,C292,Однолинейка!$A$3:$A$3000,Щит_спец)+COUNTIFS(Однолинейка!$K$3:$K$3000,C292,Однолинейка!$A$3:$A$3000,Щит_спец)),IF(A292="Модуль",IF(C292="","",COUNTIFS(Однолинейка!$AW$3:$AW$3000,"?*",Однолинейка!$AI$3:$AI$3000,C292,Однолинейка!$A$3:$A$3000,Щит_спец)),IF(A292="Клемма",IF(C292="","",IF(C292=$S$7,SUMIFS(Однолинейка!$BW$3:$BW$3000,Однолинейка!$A$3:$A$3000,Щит_спец),IF(C292=$S$8,SUMIFS(Однолинейка!$BX$3:$BX$3000,Однолинейка!$A$3:$A$3000,Щит_спец),""))),""))))</f>
        <v/>
      </c>
      <c r="O292" s="74"/>
      <c r="P292" s="38" t="str">
        <f t="shared" si="36"/>
        <v/>
      </c>
      <c r="U292" s="38" t="str">
        <f t="shared" si="37"/>
        <v/>
      </c>
      <c r="V292" s="38" t="str">
        <f t="shared" si="38"/>
        <v/>
      </c>
      <c r="W292" s="38" t="str">
        <f>IF(AND(U292&lt;&gt;"",OR($S$4="(все)",B292=$S$4),IF($S$4="(все)",COUNTIF($U$4:U292,U292),COUNTIFS($U$4:U292,U292,$B$4:B292,B292))=1),MAX($W$3:W291)+1,"")</f>
        <v/>
      </c>
      <c r="X292" s="38" t="str">
        <f t="shared" si="39"/>
        <v/>
      </c>
      <c r="Y292" s="38" t="str">
        <f>IF(AND(A292="Аппарат",C292&lt;&gt;"",OR($S$5="(все)",B292=$S$5)),MAX($Y$3:Y291)+1,"")</f>
        <v/>
      </c>
      <c r="Z292" s="38" t="str">
        <f t="shared" si="40"/>
        <v/>
      </c>
      <c r="AA292" s="38" t="str">
        <f>IF(AND(A292="Модуль",C292&lt;&gt;"",OR($S$6="(все)",B292=$S$6)),MAX($AA$3:AA291)+1,"")</f>
        <v/>
      </c>
      <c r="AB292" s="38" t="str">
        <f t="shared" si="41"/>
        <v/>
      </c>
      <c r="AC292" s="38" t="str">
        <f>IF(OR(B292="",COUNTIF($B$4:B292,B292)&gt;1),"",MAX($AC$3:AC291)+1)</f>
        <v/>
      </c>
      <c r="AD292" s="38" t="str">
        <f t="shared" si="42"/>
        <v/>
      </c>
      <c r="AE292" s="38" t="str">
        <f t="shared" si="43"/>
        <v/>
      </c>
      <c r="AF292" s="38" t="str">
        <f t="shared" si="44"/>
        <v/>
      </c>
    </row>
    <row r="293" spans="1:32" x14ac:dyDescent="0.3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38" t="str">
        <f>IF(OR(A293="Автомат",A293="Дифавтомат"),IF(W293="","",COUNTIFS(Однолинейка!$H$3:$H$3000,U293,Однолинейка!$A$3:$A$3000,Щит_спец)),IF(A293="Аппарат",IF(C293="","",COUNTIFS(Однолинейка!$I$3:$I$3000,C293,Однолинейка!$A$3:$A$3000,Щит_спец)+COUNTIFS(Однолинейка!$J$3:$J$3000,C293,Однолинейка!$A$3:$A$3000,Щит_спец)+COUNTIFS(Однолинейка!$K$3:$K$3000,C293,Однолинейка!$A$3:$A$3000,Щит_спец)),IF(A293="Модуль",IF(C293="","",COUNTIFS(Однолинейка!$AW$3:$AW$3000,"?*",Однолинейка!$AI$3:$AI$3000,C293,Однолинейка!$A$3:$A$3000,Щит_спец)),IF(A293="Клемма",IF(C293="","",IF(C293=$S$7,SUMIFS(Однолинейка!$BW$3:$BW$3000,Однолинейка!$A$3:$A$3000,Щит_спец),IF(C293=$S$8,SUMIFS(Однолинейка!$BX$3:$BX$3000,Однолинейка!$A$3:$A$3000,Щит_спец),""))),""))))</f>
        <v/>
      </c>
      <c r="O293" s="74"/>
      <c r="P293" s="38" t="str">
        <f t="shared" si="36"/>
        <v/>
      </c>
      <c r="U293" s="38" t="str">
        <f t="shared" si="37"/>
        <v/>
      </c>
      <c r="V293" s="38" t="str">
        <f t="shared" si="38"/>
        <v/>
      </c>
      <c r="W293" s="38" t="str">
        <f>IF(AND(U293&lt;&gt;"",OR($S$4="(все)",B293=$S$4),IF($S$4="(все)",COUNTIF($U$4:U293,U293),COUNTIFS($U$4:U293,U293,$B$4:B293,B293))=1),MAX($W$3:W292)+1,"")</f>
        <v/>
      </c>
      <c r="X293" s="38" t="str">
        <f t="shared" si="39"/>
        <v/>
      </c>
      <c r="Y293" s="38" t="str">
        <f>IF(AND(A293="Аппарат",C293&lt;&gt;"",OR($S$5="(все)",B293=$S$5)),MAX($Y$3:Y292)+1,"")</f>
        <v/>
      </c>
      <c r="Z293" s="38" t="str">
        <f t="shared" si="40"/>
        <v/>
      </c>
      <c r="AA293" s="38" t="str">
        <f>IF(AND(A293="Модуль",C293&lt;&gt;"",OR($S$6="(все)",B293=$S$6)),MAX($AA$3:AA292)+1,"")</f>
        <v/>
      </c>
      <c r="AB293" s="38" t="str">
        <f t="shared" si="41"/>
        <v/>
      </c>
      <c r="AC293" s="38" t="str">
        <f>IF(OR(B293="",COUNTIF($B$4:B293,B293)&gt;1),"",MAX($AC$3:AC292)+1)</f>
        <v/>
      </c>
      <c r="AD293" s="38" t="str">
        <f t="shared" si="42"/>
        <v/>
      </c>
      <c r="AE293" s="38" t="str">
        <f t="shared" si="43"/>
        <v/>
      </c>
      <c r="AF293" s="38" t="str">
        <f t="shared" si="44"/>
        <v/>
      </c>
    </row>
    <row r="294" spans="1:32" x14ac:dyDescent="0.3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38" t="str">
        <f>IF(OR(A294="Автомат",A294="Дифавтомат"),IF(W294="","",COUNTIFS(Однолинейка!$H$3:$H$3000,U294,Однолинейка!$A$3:$A$3000,Щит_спец)),IF(A294="Аппарат",IF(C294="","",COUNTIFS(Однолинейка!$I$3:$I$3000,C294,Однолинейка!$A$3:$A$3000,Щит_спец)+COUNTIFS(Однолинейка!$J$3:$J$3000,C294,Однолинейка!$A$3:$A$3000,Щит_спец)+COUNTIFS(Однолинейка!$K$3:$K$3000,C294,Однолинейка!$A$3:$A$3000,Щит_спец)),IF(A294="Модуль",IF(C294="","",COUNTIFS(Однолинейка!$AW$3:$AW$3000,"?*",Однолинейка!$AI$3:$AI$3000,C294,Однолинейка!$A$3:$A$3000,Щит_спец)),IF(A294="Клемма",IF(C294="","",IF(C294=$S$7,SUMIFS(Однолинейка!$BW$3:$BW$3000,Однолинейка!$A$3:$A$3000,Щит_спец),IF(C294=$S$8,SUMIFS(Однолинейка!$BX$3:$BX$3000,Однолинейка!$A$3:$A$3000,Щит_спец),""))),""))))</f>
        <v/>
      </c>
      <c r="O294" s="74"/>
      <c r="P294" s="38" t="str">
        <f t="shared" si="36"/>
        <v/>
      </c>
      <c r="U294" s="38" t="str">
        <f t="shared" si="37"/>
        <v/>
      </c>
      <c r="V294" s="38" t="str">
        <f t="shared" si="38"/>
        <v/>
      </c>
      <c r="W294" s="38" t="str">
        <f>IF(AND(U294&lt;&gt;"",OR($S$4="(все)",B294=$S$4),IF($S$4="(все)",COUNTIF($U$4:U294,U294),COUNTIFS($U$4:U294,U294,$B$4:B294,B294))=1),MAX($W$3:W293)+1,"")</f>
        <v/>
      </c>
      <c r="X294" s="38" t="str">
        <f t="shared" si="39"/>
        <v/>
      </c>
      <c r="Y294" s="38" t="str">
        <f>IF(AND(A294="Аппарат",C294&lt;&gt;"",OR($S$5="(все)",B294=$S$5)),MAX($Y$3:Y293)+1,"")</f>
        <v/>
      </c>
      <c r="Z294" s="38" t="str">
        <f t="shared" si="40"/>
        <v/>
      </c>
      <c r="AA294" s="38" t="str">
        <f>IF(AND(A294="Модуль",C294&lt;&gt;"",OR($S$6="(все)",B294=$S$6)),MAX($AA$3:AA293)+1,"")</f>
        <v/>
      </c>
      <c r="AB294" s="38" t="str">
        <f t="shared" si="41"/>
        <v/>
      </c>
      <c r="AC294" s="38" t="str">
        <f>IF(OR(B294="",COUNTIF($B$4:B294,B294)&gt;1),"",MAX($AC$3:AC293)+1)</f>
        <v/>
      </c>
      <c r="AD294" s="38" t="str">
        <f t="shared" si="42"/>
        <v/>
      </c>
      <c r="AE294" s="38" t="str">
        <f t="shared" si="43"/>
        <v/>
      </c>
      <c r="AF294" s="38" t="str">
        <f t="shared" si="44"/>
        <v/>
      </c>
    </row>
    <row r="295" spans="1:32" x14ac:dyDescent="0.3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38" t="str">
        <f>IF(OR(A295="Автомат",A295="Дифавтомат"),IF(W295="","",COUNTIFS(Однолинейка!$H$3:$H$3000,U295,Однолинейка!$A$3:$A$3000,Щит_спец)),IF(A295="Аппарат",IF(C295="","",COUNTIFS(Однолинейка!$I$3:$I$3000,C295,Однолинейка!$A$3:$A$3000,Щит_спец)+COUNTIFS(Однолинейка!$J$3:$J$3000,C295,Однолинейка!$A$3:$A$3000,Щит_спец)+COUNTIFS(Однолинейка!$K$3:$K$3000,C295,Однолинейка!$A$3:$A$3000,Щит_спец)),IF(A295="Модуль",IF(C295="","",COUNTIFS(Однолинейка!$AW$3:$AW$3000,"?*",Однолинейка!$AI$3:$AI$3000,C295,Однолинейка!$A$3:$A$3000,Щит_спец)),IF(A295="Клемма",IF(C295="","",IF(C295=$S$7,SUMIFS(Однолинейка!$BW$3:$BW$3000,Однолинейка!$A$3:$A$3000,Щит_спец),IF(C295=$S$8,SUMIFS(Однолинейка!$BX$3:$BX$3000,Однолинейка!$A$3:$A$3000,Щит_спец),""))),""))))</f>
        <v/>
      </c>
      <c r="O295" s="74"/>
      <c r="P295" s="38" t="str">
        <f t="shared" si="36"/>
        <v/>
      </c>
      <c r="U295" s="38" t="str">
        <f t="shared" si="37"/>
        <v/>
      </c>
      <c r="V295" s="38" t="str">
        <f t="shared" si="38"/>
        <v/>
      </c>
      <c r="W295" s="38" t="str">
        <f>IF(AND(U295&lt;&gt;"",OR($S$4="(все)",B295=$S$4),IF($S$4="(все)",COUNTIF($U$4:U295,U295),COUNTIFS($U$4:U295,U295,$B$4:B295,B295))=1),MAX($W$3:W294)+1,"")</f>
        <v/>
      </c>
      <c r="X295" s="38" t="str">
        <f t="shared" si="39"/>
        <v/>
      </c>
      <c r="Y295" s="38" t="str">
        <f>IF(AND(A295="Аппарат",C295&lt;&gt;"",OR($S$5="(все)",B295=$S$5)),MAX($Y$3:Y294)+1,"")</f>
        <v/>
      </c>
      <c r="Z295" s="38" t="str">
        <f t="shared" si="40"/>
        <v/>
      </c>
      <c r="AA295" s="38" t="str">
        <f>IF(AND(A295="Модуль",C295&lt;&gt;"",OR($S$6="(все)",B295=$S$6)),MAX($AA$3:AA294)+1,"")</f>
        <v/>
      </c>
      <c r="AB295" s="38" t="str">
        <f t="shared" si="41"/>
        <v/>
      </c>
      <c r="AC295" s="38" t="str">
        <f>IF(OR(B295="",COUNTIF($B$4:B295,B295)&gt;1),"",MAX($AC$3:AC294)+1)</f>
        <v/>
      </c>
      <c r="AD295" s="38" t="str">
        <f t="shared" si="42"/>
        <v/>
      </c>
      <c r="AE295" s="38" t="str">
        <f t="shared" si="43"/>
        <v/>
      </c>
      <c r="AF295" s="38" t="str">
        <f t="shared" si="44"/>
        <v/>
      </c>
    </row>
    <row r="296" spans="1:32" x14ac:dyDescent="0.3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38" t="str">
        <f>IF(OR(A296="Автомат",A296="Дифавтомат"),IF(W296="","",COUNTIFS(Однолинейка!$H$3:$H$3000,U296,Однолинейка!$A$3:$A$3000,Щит_спец)),IF(A296="Аппарат",IF(C296="","",COUNTIFS(Однолинейка!$I$3:$I$3000,C296,Однолинейка!$A$3:$A$3000,Щит_спец)+COUNTIFS(Однолинейка!$J$3:$J$3000,C296,Однолинейка!$A$3:$A$3000,Щит_спец)+COUNTIFS(Однолинейка!$K$3:$K$3000,C296,Однолинейка!$A$3:$A$3000,Щит_спец)),IF(A296="Модуль",IF(C296="","",COUNTIFS(Однолинейка!$AW$3:$AW$3000,"?*",Однолинейка!$AI$3:$AI$3000,C296,Однолинейка!$A$3:$A$3000,Щит_спец)),IF(A296="Клемма",IF(C296="","",IF(C296=$S$7,SUMIFS(Однолинейка!$BW$3:$BW$3000,Однолинейка!$A$3:$A$3000,Щит_спец),IF(C296=$S$8,SUMIFS(Однолинейка!$BX$3:$BX$3000,Однолинейка!$A$3:$A$3000,Щит_спец),""))),""))))</f>
        <v/>
      </c>
      <c r="O296" s="74"/>
      <c r="P296" s="38" t="str">
        <f t="shared" si="36"/>
        <v/>
      </c>
      <c r="U296" s="38" t="str">
        <f t="shared" si="37"/>
        <v/>
      </c>
      <c r="V296" s="38" t="str">
        <f t="shared" si="38"/>
        <v/>
      </c>
      <c r="W296" s="38" t="str">
        <f>IF(AND(U296&lt;&gt;"",OR($S$4="(все)",B296=$S$4),IF($S$4="(все)",COUNTIF($U$4:U296,U296),COUNTIFS($U$4:U296,U296,$B$4:B296,B296))=1),MAX($W$3:W295)+1,"")</f>
        <v/>
      </c>
      <c r="X296" s="38" t="str">
        <f t="shared" si="39"/>
        <v/>
      </c>
      <c r="Y296" s="38" t="str">
        <f>IF(AND(A296="Аппарат",C296&lt;&gt;"",OR($S$5="(все)",B296=$S$5)),MAX($Y$3:Y295)+1,"")</f>
        <v/>
      </c>
      <c r="Z296" s="38" t="str">
        <f t="shared" si="40"/>
        <v/>
      </c>
      <c r="AA296" s="38" t="str">
        <f>IF(AND(A296="Модуль",C296&lt;&gt;"",OR($S$6="(все)",B296=$S$6)),MAX($AA$3:AA295)+1,"")</f>
        <v/>
      </c>
      <c r="AB296" s="38" t="str">
        <f t="shared" si="41"/>
        <v/>
      </c>
      <c r="AC296" s="38" t="str">
        <f>IF(OR(B296="",COUNTIF($B$4:B296,B296)&gt;1),"",MAX($AC$3:AC295)+1)</f>
        <v/>
      </c>
      <c r="AD296" s="38" t="str">
        <f t="shared" si="42"/>
        <v/>
      </c>
      <c r="AE296" s="38" t="str">
        <f t="shared" si="43"/>
        <v/>
      </c>
      <c r="AF296" s="38" t="str">
        <f t="shared" si="44"/>
        <v/>
      </c>
    </row>
    <row r="297" spans="1:32" x14ac:dyDescent="0.3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38" t="str">
        <f>IF(OR(A297="Автомат",A297="Дифавтомат"),IF(W297="","",COUNTIFS(Однолинейка!$H$3:$H$3000,U297,Однолинейка!$A$3:$A$3000,Щит_спец)),IF(A297="Аппарат",IF(C297="","",COUNTIFS(Однолинейка!$I$3:$I$3000,C297,Однолинейка!$A$3:$A$3000,Щит_спец)+COUNTIFS(Однолинейка!$J$3:$J$3000,C297,Однолинейка!$A$3:$A$3000,Щит_спец)+COUNTIFS(Однолинейка!$K$3:$K$3000,C297,Однолинейка!$A$3:$A$3000,Щит_спец)),IF(A297="Модуль",IF(C297="","",COUNTIFS(Однолинейка!$AW$3:$AW$3000,"?*",Однолинейка!$AI$3:$AI$3000,C297,Однолинейка!$A$3:$A$3000,Щит_спец)),IF(A297="Клемма",IF(C297="","",IF(C297=$S$7,SUMIFS(Однолинейка!$BW$3:$BW$3000,Однолинейка!$A$3:$A$3000,Щит_спец),IF(C297=$S$8,SUMIFS(Однолинейка!$BX$3:$BX$3000,Однолинейка!$A$3:$A$3000,Щит_спец),""))),""))))</f>
        <v/>
      </c>
      <c r="O297" s="74"/>
      <c r="P297" s="38" t="str">
        <f t="shared" si="36"/>
        <v/>
      </c>
      <c r="U297" s="38" t="str">
        <f t="shared" si="37"/>
        <v/>
      </c>
      <c r="V297" s="38" t="str">
        <f t="shared" si="38"/>
        <v/>
      </c>
      <c r="W297" s="38" t="str">
        <f>IF(AND(U297&lt;&gt;"",OR($S$4="(все)",B297=$S$4),IF($S$4="(все)",COUNTIF($U$4:U297,U297),COUNTIFS($U$4:U297,U297,$B$4:B297,B297))=1),MAX($W$3:W296)+1,"")</f>
        <v/>
      </c>
      <c r="X297" s="38" t="str">
        <f t="shared" si="39"/>
        <v/>
      </c>
      <c r="Y297" s="38" t="str">
        <f>IF(AND(A297="Аппарат",C297&lt;&gt;"",OR($S$5="(все)",B297=$S$5)),MAX($Y$3:Y296)+1,"")</f>
        <v/>
      </c>
      <c r="Z297" s="38" t="str">
        <f t="shared" si="40"/>
        <v/>
      </c>
      <c r="AA297" s="38" t="str">
        <f>IF(AND(A297="Модуль",C297&lt;&gt;"",OR($S$6="(все)",B297=$S$6)),MAX($AA$3:AA296)+1,"")</f>
        <v/>
      </c>
      <c r="AB297" s="38" t="str">
        <f t="shared" si="41"/>
        <v/>
      </c>
      <c r="AC297" s="38" t="str">
        <f>IF(OR(B297="",COUNTIF($B$4:B297,B297)&gt;1),"",MAX($AC$3:AC296)+1)</f>
        <v/>
      </c>
      <c r="AD297" s="38" t="str">
        <f t="shared" si="42"/>
        <v/>
      </c>
      <c r="AE297" s="38" t="str">
        <f t="shared" si="43"/>
        <v/>
      </c>
      <c r="AF297" s="38" t="str">
        <f t="shared" si="44"/>
        <v/>
      </c>
    </row>
    <row r="298" spans="1:32" x14ac:dyDescent="0.3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38" t="str">
        <f>IF(OR(A298="Автомат",A298="Дифавтомат"),IF(W298="","",COUNTIFS(Однолинейка!$H$3:$H$3000,U298,Однолинейка!$A$3:$A$3000,Щит_спец)),IF(A298="Аппарат",IF(C298="","",COUNTIFS(Однолинейка!$I$3:$I$3000,C298,Однолинейка!$A$3:$A$3000,Щит_спец)+COUNTIFS(Однолинейка!$J$3:$J$3000,C298,Однолинейка!$A$3:$A$3000,Щит_спец)+COUNTIFS(Однолинейка!$K$3:$K$3000,C298,Однолинейка!$A$3:$A$3000,Щит_спец)),IF(A298="Модуль",IF(C298="","",COUNTIFS(Однолинейка!$AW$3:$AW$3000,"?*",Однолинейка!$AI$3:$AI$3000,C298,Однолинейка!$A$3:$A$3000,Щит_спец)),IF(A298="Клемма",IF(C298="","",IF(C298=$S$7,SUMIFS(Однолинейка!$BW$3:$BW$3000,Однолинейка!$A$3:$A$3000,Щит_спец),IF(C298=$S$8,SUMIFS(Однолинейка!$BX$3:$BX$3000,Однолинейка!$A$3:$A$3000,Щит_спец),""))),""))))</f>
        <v/>
      </c>
      <c r="O298" s="74"/>
      <c r="P298" s="38" t="str">
        <f t="shared" si="36"/>
        <v/>
      </c>
      <c r="U298" s="38" t="str">
        <f t="shared" si="37"/>
        <v/>
      </c>
      <c r="V298" s="38" t="str">
        <f t="shared" si="38"/>
        <v/>
      </c>
      <c r="W298" s="38" t="str">
        <f>IF(AND(U298&lt;&gt;"",OR($S$4="(все)",B298=$S$4),IF($S$4="(все)",COUNTIF($U$4:U298,U298),COUNTIFS($U$4:U298,U298,$B$4:B298,B298))=1),MAX($W$3:W297)+1,"")</f>
        <v/>
      </c>
      <c r="X298" s="38" t="str">
        <f t="shared" si="39"/>
        <v/>
      </c>
      <c r="Y298" s="38" t="str">
        <f>IF(AND(A298="Аппарат",C298&lt;&gt;"",OR($S$5="(все)",B298=$S$5)),MAX($Y$3:Y297)+1,"")</f>
        <v/>
      </c>
      <c r="Z298" s="38" t="str">
        <f t="shared" si="40"/>
        <v/>
      </c>
      <c r="AA298" s="38" t="str">
        <f>IF(AND(A298="Модуль",C298&lt;&gt;"",OR($S$6="(все)",B298=$S$6)),MAX($AA$3:AA297)+1,"")</f>
        <v/>
      </c>
      <c r="AB298" s="38" t="str">
        <f t="shared" si="41"/>
        <v/>
      </c>
      <c r="AC298" s="38" t="str">
        <f>IF(OR(B298="",COUNTIF($B$4:B298,B298)&gt;1),"",MAX($AC$3:AC297)+1)</f>
        <v/>
      </c>
      <c r="AD298" s="38" t="str">
        <f t="shared" si="42"/>
        <v/>
      </c>
      <c r="AE298" s="38" t="str">
        <f t="shared" si="43"/>
        <v/>
      </c>
      <c r="AF298" s="38" t="str">
        <f t="shared" si="44"/>
        <v/>
      </c>
    </row>
    <row r="299" spans="1:32" x14ac:dyDescent="0.3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38" t="str">
        <f>IF(OR(A299="Автомат",A299="Дифавтомат"),IF(W299="","",COUNTIFS(Однолинейка!$H$3:$H$3000,U299,Однолинейка!$A$3:$A$3000,Щит_спец)),IF(A299="Аппарат",IF(C299="","",COUNTIFS(Однолинейка!$I$3:$I$3000,C299,Однолинейка!$A$3:$A$3000,Щит_спец)+COUNTIFS(Однолинейка!$J$3:$J$3000,C299,Однолинейка!$A$3:$A$3000,Щит_спец)+COUNTIFS(Однолинейка!$K$3:$K$3000,C299,Однолинейка!$A$3:$A$3000,Щит_спец)),IF(A299="Модуль",IF(C299="","",COUNTIFS(Однолинейка!$AW$3:$AW$3000,"?*",Однолинейка!$AI$3:$AI$3000,C299,Однолинейка!$A$3:$A$3000,Щит_спец)),IF(A299="Клемма",IF(C299="","",IF(C299=$S$7,SUMIFS(Однолинейка!$BW$3:$BW$3000,Однолинейка!$A$3:$A$3000,Щит_спец),IF(C299=$S$8,SUMIFS(Однолинейка!$BX$3:$BX$3000,Однолинейка!$A$3:$A$3000,Щит_спец),""))),""))))</f>
        <v/>
      </c>
      <c r="O299" s="74"/>
      <c r="P299" s="38" t="str">
        <f t="shared" si="36"/>
        <v/>
      </c>
      <c r="U299" s="38" t="str">
        <f t="shared" si="37"/>
        <v/>
      </c>
      <c r="V299" s="38" t="str">
        <f t="shared" si="38"/>
        <v/>
      </c>
      <c r="W299" s="38" t="str">
        <f>IF(AND(U299&lt;&gt;"",OR($S$4="(все)",B299=$S$4),IF($S$4="(все)",COUNTIF($U$4:U299,U299),COUNTIFS($U$4:U299,U299,$B$4:B299,B299))=1),MAX($W$3:W298)+1,"")</f>
        <v/>
      </c>
      <c r="X299" s="38" t="str">
        <f t="shared" si="39"/>
        <v/>
      </c>
      <c r="Y299" s="38" t="str">
        <f>IF(AND(A299="Аппарат",C299&lt;&gt;"",OR($S$5="(все)",B299=$S$5)),MAX($Y$3:Y298)+1,"")</f>
        <v/>
      </c>
      <c r="Z299" s="38" t="str">
        <f t="shared" si="40"/>
        <v/>
      </c>
      <c r="AA299" s="38" t="str">
        <f>IF(AND(A299="Модуль",C299&lt;&gt;"",OR($S$6="(все)",B299=$S$6)),MAX($AA$3:AA298)+1,"")</f>
        <v/>
      </c>
      <c r="AB299" s="38" t="str">
        <f t="shared" si="41"/>
        <v/>
      </c>
      <c r="AC299" s="38" t="str">
        <f>IF(OR(B299="",COUNTIF($B$4:B299,B299)&gt;1),"",MAX($AC$3:AC298)+1)</f>
        <v/>
      </c>
      <c r="AD299" s="38" t="str">
        <f t="shared" si="42"/>
        <v/>
      </c>
      <c r="AE299" s="38" t="str">
        <f t="shared" si="43"/>
        <v/>
      </c>
      <c r="AF299" s="38" t="str">
        <f t="shared" si="44"/>
        <v/>
      </c>
    </row>
    <row r="300" spans="1:32" x14ac:dyDescent="0.3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38" t="str">
        <f>IF(OR(A300="Автомат",A300="Дифавтомат"),IF(W300="","",COUNTIFS(Однолинейка!$H$3:$H$3000,U300,Однолинейка!$A$3:$A$3000,Щит_спец)),IF(A300="Аппарат",IF(C300="","",COUNTIFS(Однолинейка!$I$3:$I$3000,C300,Однолинейка!$A$3:$A$3000,Щит_спец)+COUNTIFS(Однолинейка!$J$3:$J$3000,C300,Однолинейка!$A$3:$A$3000,Щит_спец)+COUNTIFS(Однолинейка!$K$3:$K$3000,C300,Однолинейка!$A$3:$A$3000,Щит_спец)),IF(A300="Модуль",IF(C300="","",COUNTIFS(Однолинейка!$AW$3:$AW$3000,"?*",Однолинейка!$AI$3:$AI$3000,C300,Однолинейка!$A$3:$A$3000,Щит_спец)),IF(A300="Клемма",IF(C300="","",IF(C300=$S$7,SUMIFS(Однолинейка!$BW$3:$BW$3000,Однолинейка!$A$3:$A$3000,Щит_спец),IF(C300=$S$8,SUMIFS(Однолинейка!$BX$3:$BX$3000,Однолинейка!$A$3:$A$3000,Щит_спец),""))),""))))</f>
        <v/>
      </c>
      <c r="O300" s="74"/>
      <c r="P300" s="38" t="str">
        <f t="shared" si="36"/>
        <v/>
      </c>
      <c r="U300" s="38" t="str">
        <f t="shared" si="37"/>
        <v/>
      </c>
      <c r="V300" s="38" t="str">
        <f t="shared" si="38"/>
        <v/>
      </c>
      <c r="W300" s="38" t="str">
        <f>IF(AND(U300&lt;&gt;"",OR($S$4="(все)",B300=$S$4),IF($S$4="(все)",COUNTIF($U$4:U300,U300),COUNTIFS($U$4:U300,U300,$B$4:B300,B300))=1),MAX($W$3:W299)+1,"")</f>
        <v/>
      </c>
      <c r="X300" s="38" t="str">
        <f t="shared" si="39"/>
        <v/>
      </c>
      <c r="Y300" s="38" t="str">
        <f>IF(AND(A300="Аппарат",C300&lt;&gt;"",OR($S$5="(все)",B300=$S$5)),MAX($Y$3:Y299)+1,"")</f>
        <v/>
      </c>
      <c r="Z300" s="38" t="str">
        <f t="shared" si="40"/>
        <v/>
      </c>
      <c r="AA300" s="38" t="str">
        <f>IF(AND(A300="Модуль",C300&lt;&gt;"",OR($S$6="(все)",B300=$S$6)),MAX($AA$3:AA299)+1,"")</f>
        <v/>
      </c>
      <c r="AB300" s="38" t="str">
        <f t="shared" si="41"/>
        <v/>
      </c>
      <c r="AC300" s="38" t="str">
        <f>IF(OR(B300="",COUNTIF($B$4:B300,B300)&gt;1),"",MAX($AC$3:AC299)+1)</f>
        <v/>
      </c>
      <c r="AD300" s="38" t="str">
        <f t="shared" si="42"/>
        <v/>
      </c>
      <c r="AE300" s="38" t="str">
        <f t="shared" si="43"/>
        <v/>
      </c>
      <c r="AF300" s="38" t="str">
        <f t="shared" si="44"/>
        <v/>
      </c>
    </row>
    <row r="301" spans="1:32" x14ac:dyDescent="0.3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38" t="str">
        <f>IF(OR(A301="Автомат",A301="Дифавтомат"),IF(W301="","",COUNTIFS(Однолинейка!$H$3:$H$3000,U301,Однолинейка!$A$3:$A$3000,Щит_спец)),IF(A301="Аппарат",IF(C301="","",COUNTIFS(Однолинейка!$I$3:$I$3000,C301,Однолинейка!$A$3:$A$3000,Щит_спец)+COUNTIFS(Однолинейка!$J$3:$J$3000,C301,Однолинейка!$A$3:$A$3000,Щит_спец)+COUNTIFS(Однолинейка!$K$3:$K$3000,C301,Однолинейка!$A$3:$A$3000,Щит_спец)),IF(A301="Модуль",IF(C301="","",COUNTIFS(Однолинейка!$AW$3:$AW$3000,"?*",Однолинейка!$AI$3:$AI$3000,C301,Однолинейка!$A$3:$A$3000,Щит_спец)),IF(A301="Клемма",IF(C301="","",IF(C301=$S$7,SUMIFS(Однолинейка!$BW$3:$BW$3000,Однолинейка!$A$3:$A$3000,Щит_спец),IF(C301=$S$8,SUMIFS(Однолинейка!$BX$3:$BX$3000,Однолинейка!$A$3:$A$3000,Щит_спец),""))),""))))</f>
        <v/>
      </c>
      <c r="O301" s="74"/>
      <c r="P301" s="38" t="str">
        <f t="shared" si="36"/>
        <v/>
      </c>
      <c r="U301" s="38" t="str">
        <f t="shared" si="37"/>
        <v/>
      </c>
      <c r="V301" s="38" t="str">
        <f t="shared" si="38"/>
        <v/>
      </c>
      <c r="W301" s="38" t="str">
        <f>IF(AND(U301&lt;&gt;"",OR($S$4="(все)",B301=$S$4),IF($S$4="(все)",COUNTIF($U$4:U301,U301),COUNTIFS($U$4:U301,U301,$B$4:B301,B301))=1),MAX($W$3:W300)+1,"")</f>
        <v/>
      </c>
      <c r="X301" s="38" t="str">
        <f t="shared" si="39"/>
        <v/>
      </c>
      <c r="Y301" s="38" t="str">
        <f>IF(AND(A301="Аппарат",C301&lt;&gt;"",OR($S$5="(все)",B301=$S$5)),MAX($Y$3:Y300)+1,"")</f>
        <v/>
      </c>
      <c r="Z301" s="38" t="str">
        <f t="shared" si="40"/>
        <v/>
      </c>
      <c r="AA301" s="38" t="str">
        <f>IF(AND(A301="Модуль",C301&lt;&gt;"",OR($S$6="(все)",B301=$S$6)),MAX($AA$3:AA300)+1,"")</f>
        <v/>
      </c>
      <c r="AB301" s="38" t="str">
        <f t="shared" si="41"/>
        <v/>
      </c>
      <c r="AC301" s="38" t="str">
        <f>IF(OR(B301="",COUNTIF($B$4:B301,B301)&gt;1),"",MAX($AC$3:AC300)+1)</f>
        <v/>
      </c>
      <c r="AD301" s="38" t="str">
        <f t="shared" si="42"/>
        <v/>
      </c>
      <c r="AE301" s="38" t="str">
        <f t="shared" si="43"/>
        <v/>
      </c>
      <c r="AF301" s="38" t="str">
        <f t="shared" si="44"/>
        <v/>
      </c>
    </row>
    <row r="302" spans="1:32" x14ac:dyDescent="0.3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38" t="str">
        <f>IF(OR(A302="Автомат",A302="Дифавтомат"),IF(W302="","",COUNTIFS(Однолинейка!$H$3:$H$3000,U302,Однолинейка!$A$3:$A$3000,Щит_спец)),IF(A302="Аппарат",IF(C302="","",COUNTIFS(Однолинейка!$I$3:$I$3000,C302,Однолинейка!$A$3:$A$3000,Щит_спец)+COUNTIFS(Однолинейка!$J$3:$J$3000,C302,Однолинейка!$A$3:$A$3000,Щит_спец)+COUNTIFS(Однолинейка!$K$3:$K$3000,C302,Однолинейка!$A$3:$A$3000,Щит_спец)),IF(A302="Модуль",IF(C302="","",COUNTIFS(Однолинейка!$AW$3:$AW$3000,"?*",Однолинейка!$AI$3:$AI$3000,C302,Однолинейка!$A$3:$A$3000,Щит_спец)),IF(A302="Клемма",IF(C302="","",IF(C302=$S$7,SUMIFS(Однолинейка!$BW$3:$BW$3000,Однолинейка!$A$3:$A$3000,Щит_спец),IF(C302=$S$8,SUMIFS(Однолинейка!$BX$3:$BX$3000,Однолинейка!$A$3:$A$3000,Щит_спец),""))),""))))</f>
        <v/>
      </c>
      <c r="O302" s="74"/>
      <c r="P302" s="38" t="str">
        <f t="shared" si="36"/>
        <v/>
      </c>
      <c r="U302" s="38" t="str">
        <f t="shared" si="37"/>
        <v/>
      </c>
      <c r="V302" s="38" t="str">
        <f t="shared" si="38"/>
        <v/>
      </c>
      <c r="W302" s="38" t="str">
        <f>IF(AND(U302&lt;&gt;"",OR($S$4="(все)",B302=$S$4),IF($S$4="(все)",COUNTIF($U$4:U302,U302),COUNTIFS($U$4:U302,U302,$B$4:B302,B302))=1),MAX($W$3:W301)+1,"")</f>
        <v/>
      </c>
      <c r="X302" s="38" t="str">
        <f t="shared" si="39"/>
        <v/>
      </c>
      <c r="Y302" s="38" t="str">
        <f>IF(AND(A302="Аппарат",C302&lt;&gt;"",OR($S$5="(все)",B302=$S$5)),MAX($Y$3:Y301)+1,"")</f>
        <v/>
      </c>
      <c r="Z302" s="38" t="str">
        <f t="shared" si="40"/>
        <v/>
      </c>
      <c r="AA302" s="38" t="str">
        <f>IF(AND(A302="Модуль",C302&lt;&gt;"",OR($S$6="(все)",B302=$S$6)),MAX($AA$3:AA301)+1,"")</f>
        <v/>
      </c>
      <c r="AB302" s="38" t="str">
        <f t="shared" si="41"/>
        <v/>
      </c>
      <c r="AC302" s="38" t="str">
        <f>IF(OR(B302="",COUNTIF($B$4:B302,B302)&gt;1),"",MAX($AC$3:AC301)+1)</f>
        <v/>
      </c>
      <c r="AD302" s="38" t="str">
        <f t="shared" si="42"/>
        <v/>
      </c>
      <c r="AE302" s="38" t="str">
        <f t="shared" si="43"/>
        <v/>
      </c>
      <c r="AF302" s="38" t="str">
        <f t="shared" si="44"/>
        <v/>
      </c>
    </row>
    <row r="303" spans="1:32" x14ac:dyDescent="0.3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38" t="str">
        <f>IF(OR(A303="Автомат",A303="Дифавтомат"),IF(W303="","",COUNTIFS(Однолинейка!$H$3:$H$3000,U303,Однолинейка!$A$3:$A$3000,Щит_спец)),IF(A303="Аппарат",IF(C303="","",COUNTIFS(Однолинейка!$I$3:$I$3000,C303,Однолинейка!$A$3:$A$3000,Щит_спец)+COUNTIFS(Однолинейка!$J$3:$J$3000,C303,Однолинейка!$A$3:$A$3000,Щит_спец)+COUNTIFS(Однолинейка!$K$3:$K$3000,C303,Однолинейка!$A$3:$A$3000,Щит_спец)),IF(A303="Модуль",IF(C303="","",COUNTIFS(Однолинейка!$AW$3:$AW$3000,"?*",Однолинейка!$AI$3:$AI$3000,C303,Однолинейка!$A$3:$A$3000,Щит_спец)),IF(A303="Клемма",IF(C303="","",IF(C303=$S$7,SUMIFS(Однолинейка!$BW$3:$BW$3000,Однолинейка!$A$3:$A$3000,Щит_спец),IF(C303=$S$8,SUMIFS(Однолинейка!$BX$3:$BX$3000,Однолинейка!$A$3:$A$3000,Щит_спец),""))),""))))</f>
        <v/>
      </c>
      <c r="O303" s="74"/>
      <c r="P303" s="38" t="str">
        <f t="shared" si="36"/>
        <v/>
      </c>
      <c r="U303" s="38" t="str">
        <f t="shared" si="37"/>
        <v/>
      </c>
      <c r="V303" s="38" t="str">
        <f t="shared" si="38"/>
        <v/>
      </c>
      <c r="W303" s="38" t="str">
        <f>IF(AND(U303&lt;&gt;"",OR($S$4="(все)",B303=$S$4),IF($S$4="(все)",COUNTIF($U$4:U303,U303),COUNTIFS($U$4:U303,U303,$B$4:B303,B303))=1),MAX($W$3:W302)+1,"")</f>
        <v/>
      </c>
      <c r="X303" s="38" t="str">
        <f t="shared" si="39"/>
        <v/>
      </c>
      <c r="Y303" s="38" t="str">
        <f>IF(AND(A303="Аппарат",C303&lt;&gt;"",OR($S$5="(все)",B303=$S$5)),MAX($Y$3:Y302)+1,"")</f>
        <v/>
      </c>
      <c r="Z303" s="38" t="str">
        <f t="shared" si="40"/>
        <v/>
      </c>
      <c r="AA303" s="38" t="str">
        <f>IF(AND(A303="Модуль",C303&lt;&gt;"",OR($S$6="(все)",B303=$S$6)),MAX($AA$3:AA302)+1,"")</f>
        <v/>
      </c>
      <c r="AB303" s="38" t="str">
        <f t="shared" si="41"/>
        <v/>
      </c>
      <c r="AC303" s="38" t="str">
        <f>IF(OR(B303="",COUNTIF($B$4:B303,B303)&gt;1),"",MAX($AC$3:AC302)+1)</f>
        <v/>
      </c>
      <c r="AD303" s="38" t="str">
        <f t="shared" si="42"/>
        <v/>
      </c>
      <c r="AE303" s="38" t="str">
        <f t="shared" si="43"/>
        <v/>
      </c>
      <c r="AF303" s="38" t="str">
        <f t="shared" si="44"/>
        <v/>
      </c>
    </row>
    <row r="304" spans="1:32" x14ac:dyDescent="0.3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38" t="str">
        <f>IF(OR(A304="Автомат",A304="Дифавтомат"),IF(W304="","",COUNTIFS(Однолинейка!$H$3:$H$3000,U304,Однолинейка!$A$3:$A$3000,Щит_спец)),IF(A304="Аппарат",IF(C304="","",COUNTIFS(Однолинейка!$I$3:$I$3000,C304,Однолинейка!$A$3:$A$3000,Щит_спец)+COUNTIFS(Однолинейка!$J$3:$J$3000,C304,Однолинейка!$A$3:$A$3000,Щит_спец)+COUNTIFS(Однолинейка!$K$3:$K$3000,C304,Однолинейка!$A$3:$A$3000,Щит_спец)),IF(A304="Модуль",IF(C304="","",COUNTIFS(Однолинейка!$AW$3:$AW$3000,"?*",Однолинейка!$AI$3:$AI$3000,C304,Однолинейка!$A$3:$A$3000,Щит_спец)),IF(A304="Клемма",IF(C304="","",IF(C304=$S$7,SUMIFS(Однолинейка!$BW$3:$BW$3000,Однолинейка!$A$3:$A$3000,Щит_спец),IF(C304=$S$8,SUMIFS(Однолинейка!$BX$3:$BX$3000,Однолинейка!$A$3:$A$3000,Щит_спец),""))),""))))</f>
        <v/>
      </c>
      <c r="O304" s="74"/>
      <c r="P304" s="38" t="str">
        <f t="shared" si="36"/>
        <v/>
      </c>
      <c r="U304" s="38" t="str">
        <f t="shared" si="37"/>
        <v/>
      </c>
      <c r="V304" s="38" t="str">
        <f t="shared" si="38"/>
        <v/>
      </c>
      <c r="W304" s="38" t="str">
        <f>IF(AND(U304&lt;&gt;"",OR($S$4="(все)",B304=$S$4),IF($S$4="(все)",COUNTIF($U$4:U304,U304),COUNTIFS($U$4:U304,U304,$B$4:B304,B304))=1),MAX($W$3:W303)+1,"")</f>
        <v/>
      </c>
      <c r="X304" s="38" t="str">
        <f t="shared" si="39"/>
        <v/>
      </c>
      <c r="Y304" s="38" t="str">
        <f>IF(AND(A304="Аппарат",C304&lt;&gt;"",OR($S$5="(все)",B304=$S$5)),MAX($Y$3:Y303)+1,"")</f>
        <v/>
      </c>
      <c r="Z304" s="38" t="str">
        <f t="shared" si="40"/>
        <v/>
      </c>
      <c r="AA304" s="38" t="str">
        <f>IF(AND(A304="Модуль",C304&lt;&gt;"",OR($S$6="(все)",B304=$S$6)),MAX($AA$3:AA303)+1,"")</f>
        <v/>
      </c>
      <c r="AB304" s="38" t="str">
        <f t="shared" si="41"/>
        <v/>
      </c>
      <c r="AC304" s="38" t="str">
        <f>IF(OR(B304="",COUNTIF($B$4:B304,B304)&gt;1),"",MAX($AC$3:AC303)+1)</f>
        <v/>
      </c>
      <c r="AD304" s="38" t="str">
        <f t="shared" si="42"/>
        <v/>
      </c>
      <c r="AE304" s="38" t="str">
        <f t="shared" si="43"/>
        <v/>
      </c>
      <c r="AF304" s="38" t="str">
        <f t="shared" si="44"/>
        <v/>
      </c>
    </row>
    <row r="305" spans="1:32" x14ac:dyDescent="0.3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38" t="str">
        <f>IF(OR(A305="Автомат",A305="Дифавтомат"),IF(W305="","",COUNTIFS(Однолинейка!$H$3:$H$3000,U305,Однолинейка!$A$3:$A$3000,Щит_спец)),IF(A305="Аппарат",IF(C305="","",COUNTIFS(Однолинейка!$I$3:$I$3000,C305,Однолинейка!$A$3:$A$3000,Щит_спец)+COUNTIFS(Однолинейка!$J$3:$J$3000,C305,Однолинейка!$A$3:$A$3000,Щит_спец)+COUNTIFS(Однолинейка!$K$3:$K$3000,C305,Однолинейка!$A$3:$A$3000,Щит_спец)),IF(A305="Модуль",IF(C305="","",COUNTIFS(Однолинейка!$AW$3:$AW$3000,"?*",Однолинейка!$AI$3:$AI$3000,C305,Однолинейка!$A$3:$A$3000,Щит_спец)),IF(A305="Клемма",IF(C305="","",IF(C305=$S$7,SUMIFS(Однолинейка!$BW$3:$BW$3000,Однолинейка!$A$3:$A$3000,Щит_спец),IF(C305=$S$8,SUMIFS(Однолинейка!$BX$3:$BX$3000,Однолинейка!$A$3:$A$3000,Щит_спец),""))),""))))</f>
        <v/>
      </c>
      <c r="O305" s="74"/>
      <c r="P305" s="38" t="str">
        <f t="shared" si="36"/>
        <v/>
      </c>
      <c r="U305" s="38" t="str">
        <f t="shared" si="37"/>
        <v/>
      </c>
      <c r="V305" s="38" t="str">
        <f t="shared" si="38"/>
        <v/>
      </c>
      <c r="W305" s="38" t="str">
        <f>IF(AND(U305&lt;&gt;"",OR($S$4="(все)",B305=$S$4),IF($S$4="(все)",COUNTIF($U$4:U305,U305),COUNTIFS($U$4:U305,U305,$B$4:B305,B305))=1),MAX($W$3:W304)+1,"")</f>
        <v/>
      </c>
      <c r="X305" s="38" t="str">
        <f t="shared" si="39"/>
        <v/>
      </c>
      <c r="Y305" s="38" t="str">
        <f>IF(AND(A305="Аппарат",C305&lt;&gt;"",OR($S$5="(все)",B305=$S$5)),MAX($Y$3:Y304)+1,"")</f>
        <v/>
      </c>
      <c r="Z305" s="38" t="str">
        <f t="shared" si="40"/>
        <v/>
      </c>
      <c r="AA305" s="38" t="str">
        <f>IF(AND(A305="Модуль",C305&lt;&gt;"",OR($S$6="(все)",B305=$S$6)),MAX($AA$3:AA304)+1,"")</f>
        <v/>
      </c>
      <c r="AB305" s="38" t="str">
        <f t="shared" si="41"/>
        <v/>
      </c>
      <c r="AC305" s="38" t="str">
        <f>IF(OR(B305="",COUNTIF($B$4:B305,B305)&gt;1),"",MAX($AC$3:AC304)+1)</f>
        <v/>
      </c>
      <c r="AD305" s="38" t="str">
        <f t="shared" si="42"/>
        <v/>
      </c>
      <c r="AE305" s="38" t="str">
        <f t="shared" si="43"/>
        <v/>
      </c>
      <c r="AF305" s="38" t="str">
        <f t="shared" si="44"/>
        <v/>
      </c>
    </row>
    <row r="306" spans="1:32" x14ac:dyDescent="0.3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38" t="str">
        <f>IF(OR(A306="Автомат",A306="Дифавтомат"),IF(W306="","",COUNTIFS(Однолинейка!$H$3:$H$3000,U306,Однолинейка!$A$3:$A$3000,Щит_спец)),IF(A306="Аппарат",IF(C306="","",COUNTIFS(Однолинейка!$I$3:$I$3000,C306,Однолинейка!$A$3:$A$3000,Щит_спец)+COUNTIFS(Однолинейка!$J$3:$J$3000,C306,Однолинейка!$A$3:$A$3000,Щит_спец)+COUNTIFS(Однолинейка!$K$3:$K$3000,C306,Однолинейка!$A$3:$A$3000,Щит_спец)),IF(A306="Модуль",IF(C306="","",COUNTIFS(Однолинейка!$AW$3:$AW$3000,"?*",Однолинейка!$AI$3:$AI$3000,C306,Однолинейка!$A$3:$A$3000,Щит_спец)),IF(A306="Клемма",IF(C306="","",IF(C306=$S$7,SUMIFS(Однолинейка!$BW$3:$BW$3000,Однолинейка!$A$3:$A$3000,Щит_спец),IF(C306=$S$8,SUMIFS(Однолинейка!$BX$3:$BX$3000,Однолинейка!$A$3:$A$3000,Щит_спец),""))),""))))</f>
        <v/>
      </c>
      <c r="O306" s="74"/>
      <c r="P306" s="38" t="str">
        <f t="shared" si="36"/>
        <v/>
      </c>
      <c r="U306" s="38" t="str">
        <f t="shared" si="37"/>
        <v/>
      </c>
      <c r="V306" s="38" t="str">
        <f t="shared" si="38"/>
        <v/>
      </c>
      <c r="W306" s="38" t="str">
        <f>IF(AND(U306&lt;&gt;"",OR($S$4="(все)",B306=$S$4),IF($S$4="(все)",COUNTIF($U$4:U306,U306),COUNTIFS($U$4:U306,U306,$B$4:B306,B306))=1),MAX($W$3:W305)+1,"")</f>
        <v/>
      </c>
      <c r="X306" s="38" t="str">
        <f t="shared" si="39"/>
        <v/>
      </c>
      <c r="Y306" s="38" t="str">
        <f>IF(AND(A306="Аппарат",C306&lt;&gt;"",OR($S$5="(все)",B306=$S$5)),MAX($Y$3:Y305)+1,"")</f>
        <v/>
      </c>
      <c r="Z306" s="38" t="str">
        <f t="shared" si="40"/>
        <v/>
      </c>
      <c r="AA306" s="38" t="str">
        <f>IF(AND(A306="Модуль",C306&lt;&gt;"",OR($S$6="(все)",B306=$S$6)),MAX($AA$3:AA305)+1,"")</f>
        <v/>
      </c>
      <c r="AB306" s="38" t="str">
        <f t="shared" si="41"/>
        <v/>
      </c>
      <c r="AC306" s="38" t="str">
        <f>IF(OR(B306="",COUNTIF($B$4:B306,B306)&gt;1),"",MAX($AC$3:AC305)+1)</f>
        <v/>
      </c>
      <c r="AD306" s="38" t="str">
        <f t="shared" si="42"/>
        <v/>
      </c>
      <c r="AE306" s="38" t="str">
        <f t="shared" si="43"/>
        <v/>
      </c>
      <c r="AF306" s="38" t="str">
        <f t="shared" si="44"/>
        <v/>
      </c>
    </row>
    <row r="307" spans="1:32" x14ac:dyDescent="0.3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38" t="str">
        <f>IF(OR(A307="Автомат",A307="Дифавтомат"),IF(W307="","",COUNTIFS(Однолинейка!$H$3:$H$3000,U307,Однолинейка!$A$3:$A$3000,Щит_спец)),IF(A307="Аппарат",IF(C307="","",COUNTIFS(Однолинейка!$I$3:$I$3000,C307,Однолинейка!$A$3:$A$3000,Щит_спец)+COUNTIFS(Однолинейка!$J$3:$J$3000,C307,Однолинейка!$A$3:$A$3000,Щит_спец)+COUNTIFS(Однолинейка!$K$3:$K$3000,C307,Однолинейка!$A$3:$A$3000,Щит_спец)),IF(A307="Модуль",IF(C307="","",COUNTIFS(Однолинейка!$AW$3:$AW$3000,"?*",Однолинейка!$AI$3:$AI$3000,C307,Однолинейка!$A$3:$A$3000,Щит_спец)),IF(A307="Клемма",IF(C307="","",IF(C307=$S$7,SUMIFS(Однолинейка!$BW$3:$BW$3000,Однолинейка!$A$3:$A$3000,Щит_спец),IF(C307=$S$8,SUMIFS(Однолинейка!$BX$3:$BX$3000,Однолинейка!$A$3:$A$3000,Щит_спец),""))),""))))</f>
        <v/>
      </c>
      <c r="O307" s="74"/>
      <c r="P307" s="38" t="str">
        <f t="shared" si="36"/>
        <v/>
      </c>
      <c r="U307" s="38" t="str">
        <f t="shared" si="37"/>
        <v/>
      </c>
      <c r="V307" s="38" t="str">
        <f t="shared" si="38"/>
        <v/>
      </c>
      <c r="W307" s="38" t="str">
        <f>IF(AND(U307&lt;&gt;"",OR($S$4="(все)",B307=$S$4),IF($S$4="(все)",COUNTIF($U$4:U307,U307),COUNTIFS($U$4:U307,U307,$B$4:B307,B307))=1),MAX($W$3:W306)+1,"")</f>
        <v/>
      </c>
      <c r="X307" s="38" t="str">
        <f t="shared" si="39"/>
        <v/>
      </c>
      <c r="Y307" s="38" t="str">
        <f>IF(AND(A307="Аппарат",C307&lt;&gt;"",OR($S$5="(все)",B307=$S$5)),MAX($Y$3:Y306)+1,"")</f>
        <v/>
      </c>
      <c r="Z307" s="38" t="str">
        <f t="shared" si="40"/>
        <v/>
      </c>
      <c r="AA307" s="38" t="str">
        <f>IF(AND(A307="Модуль",C307&lt;&gt;"",OR($S$6="(все)",B307=$S$6)),MAX($AA$3:AA306)+1,"")</f>
        <v/>
      </c>
      <c r="AB307" s="38" t="str">
        <f t="shared" si="41"/>
        <v/>
      </c>
      <c r="AC307" s="38" t="str">
        <f>IF(OR(B307="",COUNTIF($B$4:B307,B307)&gt;1),"",MAX($AC$3:AC306)+1)</f>
        <v/>
      </c>
      <c r="AD307" s="38" t="str">
        <f t="shared" si="42"/>
        <v/>
      </c>
      <c r="AE307" s="38" t="str">
        <f t="shared" si="43"/>
        <v/>
      </c>
      <c r="AF307" s="38" t="str">
        <f t="shared" si="44"/>
        <v/>
      </c>
    </row>
    <row r="308" spans="1:32" x14ac:dyDescent="0.3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38" t="str">
        <f>IF(OR(A308="Автомат",A308="Дифавтомат"),IF(W308="","",COUNTIFS(Однолинейка!$H$3:$H$3000,U308,Однолинейка!$A$3:$A$3000,Щит_спец)),IF(A308="Аппарат",IF(C308="","",COUNTIFS(Однолинейка!$I$3:$I$3000,C308,Однолинейка!$A$3:$A$3000,Щит_спец)+COUNTIFS(Однолинейка!$J$3:$J$3000,C308,Однолинейка!$A$3:$A$3000,Щит_спец)+COUNTIFS(Однолинейка!$K$3:$K$3000,C308,Однолинейка!$A$3:$A$3000,Щит_спец)),IF(A308="Модуль",IF(C308="","",COUNTIFS(Однолинейка!$AW$3:$AW$3000,"?*",Однолинейка!$AI$3:$AI$3000,C308,Однолинейка!$A$3:$A$3000,Щит_спец)),IF(A308="Клемма",IF(C308="","",IF(C308=$S$7,SUMIFS(Однолинейка!$BW$3:$BW$3000,Однолинейка!$A$3:$A$3000,Щит_спец),IF(C308=$S$8,SUMIFS(Однолинейка!$BX$3:$BX$3000,Однолинейка!$A$3:$A$3000,Щит_спец),""))),""))))</f>
        <v/>
      </c>
      <c r="O308" s="74"/>
      <c r="P308" s="38" t="str">
        <f t="shared" si="36"/>
        <v/>
      </c>
      <c r="U308" s="38" t="str">
        <f t="shared" si="37"/>
        <v/>
      </c>
      <c r="V308" s="38" t="str">
        <f t="shared" si="38"/>
        <v/>
      </c>
      <c r="W308" s="38" t="str">
        <f>IF(AND(U308&lt;&gt;"",OR($S$4="(все)",B308=$S$4),IF($S$4="(все)",COUNTIF($U$4:U308,U308),COUNTIFS($U$4:U308,U308,$B$4:B308,B308))=1),MAX($W$3:W307)+1,"")</f>
        <v/>
      </c>
      <c r="X308" s="38" t="str">
        <f t="shared" si="39"/>
        <v/>
      </c>
      <c r="Y308" s="38" t="str">
        <f>IF(AND(A308="Аппарат",C308&lt;&gt;"",OR($S$5="(все)",B308=$S$5)),MAX($Y$3:Y307)+1,"")</f>
        <v/>
      </c>
      <c r="Z308" s="38" t="str">
        <f t="shared" si="40"/>
        <v/>
      </c>
      <c r="AA308" s="38" t="str">
        <f>IF(AND(A308="Модуль",C308&lt;&gt;"",OR($S$6="(все)",B308=$S$6)),MAX($AA$3:AA307)+1,"")</f>
        <v/>
      </c>
      <c r="AB308" s="38" t="str">
        <f t="shared" si="41"/>
        <v/>
      </c>
      <c r="AC308" s="38" t="str">
        <f>IF(OR(B308="",COUNTIF($B$4:B308,B308)&gt;1),"",MAX($AC$3:AC307)+1)</f>
        <v/>
      </c>
      <c r="AD308" s="38" t="str">
        <f t="shared" si="42"/>
        <v/>
      </c>
      <c r="AE308" s="38" t="str">
        <f t="shared" si="43"/>
        <v/>
      </c>
      <c r="AF308" s="38" t="str">
        <f t="shared" si="44"/>
        <v/>
      </c>
    </row>
    <row r="309" spans="1:32" x14ac:dyDescent="0.3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38" t="str">
        <f>IF(OR(A309="Автомат",A309="Дифавтомат"),IF(W309="","",COUNTIFS(Однолинейка!$H$3:$H$3000,U309,Однолинейка!$A$3:$A$3000,Щит_спец)),IF(A309="Аппарат",IF(C309="","",COUNTIFS(Однолинейка!$I$3:$I$3000,C309,Однолинейка!$A$3:$A$3000,Щит_спец)+COUNTIFS(Однолинейка!$J$3:$J$3000,C309,Однолинейка!$A$3:$A$3000,Щит_спец)+COUNTIFS(Однолинейка!$K$3:$K$3000,C309,Однолинейка!$A$3:$A$3000,Щит_спец)),IF(A309="Модуль",IF(C309="","",COUNTIFS(Однолинейка!$AW$3:$AW$3000,"?*",Однолинейка!$AI$3:$AI$3000,C309,Однолинейка!$A$3:$A$3000,Щит_спец)),IF(A309="Клемма",IF(C309="","",IF(C309=$S$7,SUMIFS(Однолинейка!$BW$3:$BW$3000,Однолинейка!$A$3:$A$3000,Щит_спец),IF(C309=$S$8,SUMIFS(Однолинейка!$BX$3:$BX$3000,Однолинейка!$A$3:$A$3000,Щит_спец),""))),""))))</f>
        <v/>
      </c>
      <c r="O309" s="74"/>
      <c r="P309" s="38" t="str">
        <f t="shared" si="36"/>
        <v/>
      </c>
      <c r="U309" s="38" t="str">
        <f t="shared" si="37"/>
        <v/>
      </c>
      <c r="V309" s="38" t="str">
        <f t="shared" si="38"/>
        <v/>
      </c>
      <c r="W309" s="38" t="str">
        <f>IF(AND(U309&lt;&gt;"",OR($S$4="(все)",B309=$S$4),IF($S$4="(все)",COUNTIF($U$4:U309,U309),COUNTIFS($U$4:U309,U309,$B$4:B309,B309))=1),MAX($W$3:W308)+1,"")</f>
        <v/>
      </c>
      <c r="X309" s="38" t="str">
        <f t="shared" si="39"/>
        <v/>
      </c>
      <c r="Y309" s="38" t="str">
        <f>IF(AND(A309="Аппарат",C309&lt;&gt;"",OR($S$5="(все)",B309=$S$5)),MAX($Y$3:Y308)+1,"")</f>
        <v/>
      </c>
      <c r="Z309" s="38" t="str">
        <f t="shared" si="40"/>
        <v/>
      </c>
      <c r="AA309" s="38" t="str">
        <f>IF(AND(A309="Модуль",C309&lt;&gt;"",OR($S$6="(все)",B309=$S$6)),MAX($AA$3:AA308)+1,"")</f>
        <v/>
      </c>
      <c r="AB309" s="38" t="str">
        <f t="shared" si="41"/>
        <v/>
      </c>
      <c r="AC309" s="38" t="str">
        <f>IF(OR(B309="",COUNTIF($B$4:B309,B309)&gt;1),"",MAX($AC$3:AC308)+1)</f>
        <v/>
      </c>
      <c r="AD309" s="38" t="str">
        <f t="shared" si="42"/>
        <v/>
      </c>
      <c r="AE309" s="38" t="str">
        <f t="shared" si="43"/>
        <v/>
      </c>
      <c r="AF309" s="38" t="str">
        <f t="shared" si="44"/>
        <v/>
      </c>
    </row>
    <row r="310" spans="1:32" x14ac:dyDescent="0.3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38" t="str">
        <f>IF(OR(A310="Автомат",A310="Дифавтомат"),IF(W310="","",COUNTIFS(Однолинейка!$H$3:$H$3000,U310,Однолинейка!$A$3:$A$3000,Щит_спец)),IF(A310="Аппарат",IF(C310="","",COUNTIFS(Однолинейка!$I$3:$I$3000,C310,Однолинейка!$A$3:$A$3000,Щит_спец)+COUNTIFS(Однолинейка!$J$3:$J$3000,C310,Однолинейка!$A$3:$A$3000,Щит_спец)+COUNTIFS(Однолинейка!$K$3:$K$3000,C310,Однолинейка!$A$3:$A$3000,Щит_спец)),IF(A310="Модуль",IF(C310="","",COUNTIFS(Однолинейка!$AW$3:$AW$3000,"?*",Однолинейка!$AI$3:$AI$3000,C310,Однолинейка!$A$3:$A$3000,Щит_спец)),IF(A310="Клемма",IF(C310="","",IF(C310=$S$7,SUMIFS(Однолинейка!$BW$3:$BW$3000,Однолинейка!$A$3:$A$3000,Щит_спец),IF(C310=$S$8,SUMIFS(Однолинейка!$BX$3:$BX$3000,Однолинейка!$A$3:$A$3000,Щит_спец),""))),""))))</f>
        <v/>
      </c>
      <c r="O310" s="74"/>
      <c r="P310" s="38" t="str">
        <f t="shared" si="36"/>
        <v/>
      </c>
      <c r="U310" s="38" t="str">
        <f t="shared" si="37"/>
        <v/>
      </c>
      <c r="V310" s="38" t="str">
        <f t="shared" si="38"/>
        <v/>
      </c>
      <c r="W310" s="38" t="str">
        <f>IF(AND(U310&lt;&gt;"",OR($S$4="(все)",B310=$S$4),IF($S$4="(все)",COUNTIF($U$4:U310,U310),COUNTIFS($U$4:U310,U310,$B$4:B310,B310))=1),MAX($W$3:W309)+1,"")</f>
        <v/>
      </c>
      <c r="X310" s="38" t="str">
        <f t="shared" si="39"/>
        <v/>
      </c>
      <c r="Y310" s="38" t="str">
        <f>IF(AND(A310="Аппарат",C310&lt;&gt;"",OR($S$5="(все)",B310=$S$5)),MAX($Y$3:Y309)+1,"")</f>
        <v/>
      </c>
      <c r="Z310" s="38" t="str">
        <f t="shared" si="40"/>
        <v/>
      </c>
      <c r="AA310" s="38" t="str">
        <f>IF(AND(A310="Модуль",C310&lt;&gt;"",OR($S$6="(все)",B310=$S$6)),MAX($AA$3:AA309)+1,"")</f>
        <v/>
      </c>
      <c r="AB310" s="38" t="str">
        <f t="shared" si="41"/>
        <v/>
      </c>
      <c r="AC310" s="38" t="str">
        <f>IF(OR(B310="",COUNTIF($B$4:B310,B310)&gt;1),"",MAX($AC$3:AC309)+1)</f>
        <v/>
      </c>
      <c r="AD310" s="38" t="str">
        <f t="shared" si="42"/>
        <v/>
      </c>
      <c r="AE310" s="38" t="str">
        <f t="shared" si="43"/>
        <v/>
      </c>
      <c r="AF310" s="38" t="str">
        <f t="shared" si="44"/>
        <v/>
      </c>
    </row>
    <row r="311" spans="1:32" x14ac:dyDescent="0.3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38" t="str">
        <f>IF(OR(A311="Автомат",A311="Дифавтомат"),IF(W311="","",COUNTIFS(Однолинейка!$H$3:$H$3000,U311,Однолинейка!$A$3:$A$3000,Щит_спец)),IF(A311="Аппарат",IF(C311="","",COUNTIFS(Однолинейка!$I$3:$I$3000,C311,Однолинейка!$A$3:$A$3000,Щит_спец)+COUNTIFS(Однолинейка!$J$3:$J$3000,C311,Однолинейка!$A$3:$A$3000,Щит_спец)+COUNTIFS(Однолинейка!$K$3:$K$3000,C311,Однолинейка!$A$3:$A$3000,Щит_спец)),IF(A311="Модуль",IF(C311="","",COUNTIFS(Однолинейка!$AW$3:$AW$3000,"?*",Однолинейка!$AI$3:$AI$3000,C311,Однолинейка!$A$3:$A$3000,Щит_спец)),IF(A311="Клемма",IF(C311="","",IF(C311=$S$7,SUMIFS(Однолинейка!$BW$3:$BW$3000,Однолинейка!$A$3:$A$3000,Щит_спец),IF(C311=$S$8,SUMIFS(Однолинейка!$BX$3:$BX$3000,Однолинейка!$A$3:$A$3000,Щит_спец),""))),""))))</f>
        <v/>
      </c>
      <c r="O311" s="74"/>
      <c r="P311" s="38" t="str">
        <f t="shared" si="36"/>
        <v/>
      </c>
      <c r="U311" s="38" t="str">
        <f t="shared" si="37"/>
        <v/>
      </c>
      <c r="V311" s="38" t="str">
        <f t="shared" si="38"/>
        <v/>
      </c>
      <c r="W311" s="38" t="str">
        <f>IF(AND(U311&lt;&gt;"",OR($S$4="(все)",B311=$S$4),IF($S$4="(все)",COUNTIF($U$4:U311,U311),COUNTIFS($U$4:U311,U311,$B$4:B311,B311))=1),MAX($W$3:W310)+1,"")</f>
        <v/>
      </c>
      <c r="X311" s="38" t="str">
        <f t="shared" si="39"/>
        <v/>
      </c>
      <c r="Y311" s="38" t="str">
        <f>IF(AND(A311="Аппарат",C311&lt;&gt;"",OR($S$5="(все)",B311=$S$5)),MAX($Y$3:Y310)+1,"")</f>
        <v/>
      </c>
      <c r="Z311" s="38" t="str">
        <f t="shared" si="40"/>
        <v/>
      </c>
      <c r="AA311" s="38" t="str">
        <f>IF(AND(A311="Модуль",C311&lt;&gt;"",OR($S$6="(все)",B311=$S$6)),MAX($AA$3:AA310)+1,"")</f>
        <v/>
      </c>
      <c r="AB311" s="38" t="str">
        <f t="shared" si="41"/>
        <v/>
      </c>
      <c r="AC311" s="38" t="str">
        <f>IF(OR(B311="",COUNTIF($B$4:B311,B311)&gt;1),"",MAX($AC$3:AC310)+1)</f>
        <v/>
      </c>
      <c r="AD311" s="38" t="str">
        <f t="shared" si="42"/>
        <v/>
      </c>
      <c r="AE311" s="38" t="str">
        <f t="shared" si="43"/>
        <v/>
      </c>
      <c r="AF311" s="38" t="str">
        <f t="shared" si="44"/>
        <v/>
      </c>
    </row>
    <row r="312" spans="1:32" x14ac:dyDescent="0.3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38" t="str">
        <f>IF(OR(A312="Автомат",A312="Дифавтомат"),IF(W312="","",COUNTIFS(Однолинейка!$H$3:$H$3000,U312,Однолинейка!$A$3:$A$3000,Щит_спец)),IF(A312="Аппарат",IF(C312="","",COUNTIFS(Однолинейка!$I$3:$I$3000,C312,Однолинейка!$A$3:$A$3000,Щит_спец)+COUNTIFS(Однолинейка!$J$3:$J$3000,C312,Однолинейка!$A$3:$A$3000,Щит_спец)+COUNTIFS(Однолинейка!$K$3:$K$3000,C312,Однолинейка!$A$3:$A$3000,Щит_спец)),IF(A312="Модуль",IF(C312="","",COUNTIFS(Однолинейка!$AW$3:$AW$3000,"?*",Однолинейка!$AI$3:$AI$3000,C312,Однолинейка!$A$3:$A$3000,Щит_спец)),IF(A312="Клемма",IF(C312="","",IF(C312=$S$7,SUMIFS(Однолинейка!$BW$3:$BW$3000,Однолинейка!$A$3:$A$3000,Щит_спец),IF(C312=$S$8,SUMIFS(Однолинейка!$BX$3:$BX$3000,Однолинейка!$A$3:$A$3000,Щит_спец),""))),""))))</f>
        <v/>
      </c>
      <c r="O312" s="74"/>
      <c r="P312" s="38" t="str">
        <f t="shared" si="36"/>
        <v/>
      </c>
      <c r="U312" s="38" t="str">
        <f t="shared" si="37"/>
        <v/>
      </c>
      <c r="V312" s="38" t="str">
        <f t="shared" si="38"/>
        <v/>
      </c>
      <c r="W312" s="38" t="str">
        <f>IF(AND(U312&lt;&gt;"",OR($S$4="(все)",B312=$S$4),IF($S$4="(все)",COUNTIF($U$4:U312,U312),COUNTIFS($U$4:U312,U312,$B$4:B312,B312))=1),MAX($W$3:W311)+1,"")</f>
        <v/>
      </c>
      <c r="X312" s="38" t="str">
        <f t="shared" si="39"/>
        <v/>
      </c>
      <c r="Y312" s="38" t="str">
        <f>IF(AND(A312="Аппарат",C312&lt;&gt;"",OR($S$5="(все)",B312=$S$5)),MAX($Y$3:Y311)+1,"")</f>
        <v/>
      </c>
      <c r="Z312" s="38" t="str">
        <f t="shared" si="40"/>
        <v/>
      </c>
      <c r="AA312" s="38" t="str">
        <f>IF(AND(A312="Модуль",C312&lt;&gt;"",OR($S$6="(все)",B312=$S$6)),MAX($AA$3:AA311)+1,"")</f>
        <v/>
      </c>
      <c r="AB312" s="38" t="str">
        <f t="shared" si="41"/>
        <v/>
      </c>
      <c r="AC312" s="38" t="str">
        <f>IF(OR(B312="",COUNTIF($B$4:B312,B312)&gt;1),"",MAX($AC$3:AC311)+1)</f>
        <v/>
      </c>
      <c r="AD312" s="38" t="str">
        <f t="shared" si="42"/>
        <v/>
      </c>
      <c r="AE312" s="38" t="str">
        <f t="shared" si="43"/>
        <v/>
      </c>
      <c r="AF312" s="38" t="str">
        <f t="shared" si="44"/>
        <v/>
      </c>
    </row>
    <row r="313" spans="1:32" x14ac:dyDescent="0.3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38" t="str">
        <f>IF(OR(A313="Автомат",A313="Дифавтомат"),IF(W313="","",COUNTIFS(Однолинейка!$H$3:$H$3000,U313,Однолинейка!$A$3:$A$3000,Щит_спец)),IF(A313="Аппарат",IF(C313="","",COUNTIFS(Однолинейка!$I$3:$I$3000,C313,Однолинейка!$A$3:$A$3000,Щит_спец)+COUNTIFS(Однолинейка!$J$3:$J$3000,C313,Однолинейка!$A$3:$A$3000,Щит_спец)+COUNTIFS(Однолинейка!$K$3:$K$3000,C313,Однолинейка!$A$3:$A$3000,Щит_спец)),IF(A313="Модуль",IF(C313="","",COUNTIFS(Однолинейка!$AW$3:$AW$3000,"?*",Однолинейка!$AI$3:$AI$3000,C313,Однолинейка!$A$3:$A$3000,Щит_спец)),IF(A313="Клемма",IF(C313="","",IF(C313=$S$7,SUMIFS(Однолинейка!$BW$3:$BW$3000,Однолинейка!$A$3:$A$3000,Щит_спец),IF(C313=$S$8,SUMIFS(Однолинейка!$BX$3:$BX$3000,Однолинейка!$A$3:$A$3000,Щит_спец),""))),""))))</f>
        <v/>
      </c>
      <c r="O313" s="74"/>
      <c r="P313" s="38" t="str">
        <f t="shared" si="36"/>
        <v/>
      </c>
      <c r="U313" s="38" t="str">
        <f t="shared" si="37"/>
        <v/>
      </c>
      <c r="V313" s="38" t="str">
        <f t="shared" si="38"/>
        <v/>
      </c>
      <c r="W313" s="38" t="str">
        <f>IF(AND(U313&lt;&gt;"",OR($S$4="(все)",B313=$S$4),IF($S$4="(все)",COUNTIF($U$4:U313,U313),COUNTIFS($U$4:U313,U313,$B$4:B313,B313))=1),MAX($W$3:W312)+1,"")</f>
        <v/>
      </c>
      <c r="X313" s="38" t="str">
        <f t="shared" si="39"/>
        <v/>
      </c>
      <c r="Y313" s="38" t="str">
        <f>IF(AND(A313="Аппарат",C313&lt;&gt;"",OR($S$5="(все)",B313=$S$5)),MAX($Y$3:Y312)+1,"")</f>
        <v/>
      </c>
      <c r="Z313" s="38" t="str">
        <f t="shared" si="40"/>
        <v/>
      </c>
      <c r="AA313" s="38" t="str">
        <f>IF(AND(A313="Модуль",C313&lt;&gt;"",OR($S$6="(все)",B313=$S$6)),MAX($AA$3:AA312)+1,"")</f>
        <v/>
      </c>
      <c r="AB313" s="38" t="str">
        <f t="shared" si="41"/>
        <v/>
      </c>
      <c r="AC313" s="38" t="str">
        <f>IF(OR(B313="",COUNTIF($B$4:B313,B313)&gt;1),"",MAX($AC$3:AC312)+1)</f>
        <v/>
      </c>
      <c r="AD313" s="38" t="str">
        <f t="shared" si="42"/>
        <v/>
      </c>
      <c r="AE313" s="38" t="str">
        <f t="shared" si="43"/>
        <v/>
      </c>
      <c r="AF313" s="38" t="str">
        <f t="shared" si="44"/>
        <v/>
      </c>
    </row>
    <row r="314" spans="1:32" x14ac:dyDescent="0.3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38" t="str">
        <f>IF(OR(A314="Автомат",A314="Дифавтомат"),IF(W314="","",COUNTIFS(Однолинейка!$H$3:$H$3000,U314,Однолинейка!$A$3:$A$3000,Щит_спец)),IF(A314="Аппарат",IF(C314="","",COUNTIFS(Однолинейка!$I$3:$I$3000,C314,Однолинейка!$A$3:$A$3000,Щит_спец)+COUNTIFS(Однолинейка!$J$3:$J$3000,C314,Однолинейка!$A$3:$A$3000,Щит_спец)+COUNTIFS(Однолинейка!$K$3:$K$3000,C314,Однолинейка!$A$3:$A$3000,Щит_спец)),IF(A314="Модуль",IF(C314="","",COUNTIFS(Однолинейка!$AW$3:$AW$3000,"?*",Однолинейка!$AI$3:$AI$3000,C314,Однолинейка!$A$3:$A$3000,Щит_спец)),IF(A314="Клемма",IF(C314="","",IF(C314=$S$7,SUMIFS(Однолинейка!$BW$3:$BW$3000,Однолинейка!$A$3:$A$3000,Щит_спец),IF(C314=$S$8,SUMIFS(Однолинейка!$BX$3:$BX$3000,Однолинейка!$A$3:$A$3000,Щит_спец),""))),""))))</f>
        <v/>
      </c>
      <c r="O314" s="74"/>
      <c r="P314" s="38" t="str">
        <f t="shared" si="36"/>
        <v/>
      </c>
      <c r="U314" s="38" t="str">
        <f t="shared" si="37"/>
        <v/>
      </c>
      <c r="V314" s="38" t="str">
        <f t="shared" si="38"/>
        <v/>
      </c>
      <c r="W314" s="38" t="str">
        <f>IF(AND(U314&lt;&gt;"",OR($S$4="(все)",B314=$S$4),IF($S$4="(все)",COUNTIF($U$4:U314,U314),COUNTIFS($U$4:U314,U314,$B$4:B314,B314))=1),MAX($W$3:W313)+1,"")</f>
        <v/>
      </c>
      <c r="X314" s="38" t="str">
        <f t="shared" si="39"/>
        <v/>
      </c>
      <c r="Y314" s="38" t="str">
        <f>IF(AND(A314="Аппарат",C314&lt;&gt;"",OR($S$5="(все)",B314=$S$5)),MAX($Y$3:Y313)+1,"")</f>
        <v/>
      </c>
      <c r="Z314" s="38" t="str">
        <f t="shared" si="40"/>
        <v/>
      </c>
      <c r="AA314" s="38" t="str">
        <f>IF(AND(A314="Модуль",C314&lt;&gt;"",OR($S$6="(все)",B314=$S$6)),MAX($AA$3:AA313)+1,"")</f>
        <v/>
      </c>
      <c r="AB314" s="38" t="str">
        <f t="shared" si="41"/>
        <v/>
      </c>
      <c r="AC314" s="38" t="str">
        <f>IF(OR(B314="",COUNTIF($B$4:B314,B314)&gt;1),"",MAX($AC$3:AC313)+1)</f>
        <v/>
      </c>
      <c r="AD314" s="38" t="str">
        <f t="shared" si="42"/>
        <v/>
      </c>
      <c r="AE314" s="38" t="str">
        <f t="shared" si="43"/>
        <v/>
      </c>
      <c r="AF314" s="38" t="str">
        <f t="shared" si="44"/>
        <v/>
      </c>
    </row>
    <row r="315" spans="1:32" x14ac:dyDescent="0.3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38" t="str">
        <f>IF(OR(A315="Автомат",A315="Дифавтомат"),IF(W315="","",COUNTIFS(Однолинейка!$H$3:$H$3000,U315,Однолинейка!$A$3:$A$3000,Щит_спец)),IF(A315="Аппарат",IF(C315="","",COUNTIFS(Однолинейка!$I$3:$I$3000,C315,Однолинейка!$A$3:$A$3000,Щит_спец)+COUNTIFS(Однолинейка!$J$3:$J$3000,C315,Однолинейка!$A$3:$A$3000,Щит_спец)+COUNTIFS(Однолинейка!$K$3:$K$3000,C315,Однолинейка!$A$3:$A$3000,Щит_спец)),IF(A315="Модуль",IF(C315="","",COUNTIFS(Однолинейка!$AW$3:$AW$3000,"?*",Однолинейка!$AI$3:$AI$3000,C315,Однолинейка!$A$3:$A$3000,Щит_спец)),IF(A315="Клемма",IF(C315="","",IF(C315=$S$7,SUMIFS(Однолинейка!$BW$3:$BW$3000,Однолинейка!$A$3:$A$3000,Щит_спец),IF(C315=$S$8,SUMIFS(Однолинейка!$BX$3:$BX$3000,Однолинейка!$A$3:$A$3000,Щит_спец),""))),""))))</f>
        <v/>
      </c>
      <c r="O315" s="74"/>
      <c r="P315" s="38" t="str">
        <f t="shared" si="36"/>
        <v/>
      </c>
      <c r="U315" s="38" t="str">
        <f t="shared" si="37"/>
        <v/>
      </c>
      <c r="V315" s="38" t="str">
        <f t="shared" si="38"/>
        <v/>
      </c>
      <c r="W315" s="38" t="str">
        <f>IF(AND(U315&lt;&gt;"",OR($S$4="(все)",B315=$S$4),IF($S$4="(все)",COUNTIF($U$4:U315,U315),COUNTIFS($U$4:U315,U315,$B$4:B315,B315))=1),MAX($W$3:W314)+1,"")</f>
        <v/>
      </c>
      <c r="X315" s="38" t="str">
        <f t="shared" si="39"/>
        <v/>
      </c>
      <c r="Y315" s="38" t="str">
        <f>IF(AND(A315="Аппарат",C315&lt;&gt;"",OR($S$5="(все)",B315=$S$5)),MAX($Y$3:Y314)+1,"")</f>
        <v/>
      </c>
      <c r="Z315" s="38" t="str">
        <f t="shared" si="40"/>
        <v/>
      </c>
      <c r="AA315" s="38" t="str">
        <f>IF(AND(A315="Модуль",C315&lt;&gt;"",OR($S$6="(все)",B315=$S$6)),MAX($AA$3:AA314)+1,"")</f>
        <v/>
      </c>
      <c r="AB315" s="38" t="str">
        <f t="shared" si="41"/>
        <v/>
      </c>
      <c r="AC315" s="38" t="str">
        <f>IF(OR(B315="",COUNTIF($B$4:B315,B315)&gt;1),"",MAX($AC$3:AC314)+1)</f>
        <v/>
      </c>
      <c r="AD315" s="38" t="str">
        <f t="shared" si="42"/>
        <v/>
      </c>
      <c r="AE315" s="38" t="str">
        <f t="shared" si="43"/>
        <v/>
      </c>
      <c r="AF315" s="38" t="str">
        <f t="shared" si="44"/>
        <v/>
      </c>
    </row>
    <row r="316" spans="1:32" x14ac:dyDescent="0.3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38" t="str">
        <f>IF(OR(A316="Автомат",A316="Дифавтомат"),IF(W316="","",COUNTIFS(Однолинейка!$H$3:$H$3000,U316,Однолинейка!$A$3:$A$3000,Щит_спец)),IF(A316="Аппарат",IF(C316="","",COUNTIFS(Однолинейка!$I$3:$I$3000,C316,Однолинейка!$A$3:$A$3000,Щит_спец)+COUNTIFS(Однолинейка!$J$3:$J$3000,C316,Однолинейка!$A$3:$A$3000,Щит_спец)+COUNTIFS(Однолинейка!$K$3:$K$3000,C316,Однолинейка!$A$3:$A$3000,Щит_спец)),IF(A316="Модуль",IF(C316="","",COUNTIFS(Однолинейка!$AW$3:$AW$3000,"?*",Однолинейка!$AI$3:$AI$3000,C316,Однолинейка!$A$3:$A$3000,Щит_спец)),IF(A316="Клемма",IF(C316="","",IF(C316=$S$7,SUMIFS(Однолинейка!$BW$3:$BW$3000,Однолинейка!$A$3:$A$3000,Щит_спец),IF(C316=$S$8,SUMIFS(Однолинейка!$BX$3:$BX$3000,Однолинейка!$A$3:$A$3000,Щит_спец),""))),""))))</f>
        <v/>
      </c>
      <c r="O316" s="74"/>
      <c r="P316" s="38" t="str">
        <f t="shared" si="36"/>
        <v/>
      </c>
      <c r="U316" s="38" t="str">
        <f t="shared" si="37"/>
        <v/>
      </c>
      <c r="V316" s="38" t="str">
        <f t="shared" si="38"/>
        <v/>
      </c>
      <c r="W316" s="38" t="str">
        <f>IF(AND(U316&lt;&gt;"",OR($S$4="(все)",B316=$S$4),IF($S$4="(все)",COUNTIF($U$4:U316,U316),COUNTIFS($U$4:U316,U316,$B$4:B316,B316))=1),MAX($W$3:W315)+1,"")</f>
        <v/>
      </c>
      <c r="X316" s="38" t="str">
        <f t="shared" si="39"/>
        <v/>
      </c>
      <c r="Y316" s="38" t="str">
        <f>IF(AND(A316="Аппарат",C316&lt;&gt;"",OR($S$5="(все)",B316=$S$5)),MAX($Y$3:Y315)+1,"")</f>
        <v/>
      </c>
      <c r="Z316" s="38" t="str">
        <f t="shared" si="40"/>
        <v/>
      </c>
      <c r="AA316" s="38" t="str">
        <f>IF(AND(A316="Модуль",C316&lt;&gt;"",OR($S$6="(все)",B316=$S$6)),MAX($AA$3:AA315)+1,"")</f>
        <v/>
      </c>
      <c r="AB316" s="38" t="str">
        <f t="shared" si="41"/>
        <v/>
      </c>
      <c r="AC316" s="38" t="str">
        <f>IF(OR(B316="",COUNTIF($B$4:B316,B316)&gt;1),"",MAX($AC$3:AC315)+1)</f>
        <v/>
      </c>
      <c r="AD316" s="38" t="str">
        <f t="shared" si="42"/>
        <v/>
      </c>
      <c r="AE316" s="38" t="str">
        <f t="shared" si="43"/>
        <v/>
      </c>
      <c r="AF316" s="38" t="str">
        <f t="shared" si="44"/>
        <v/>
      </c>
    </row>
    <row r="317" spans="1:32" x14ac:dyDescent="0.3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38" t="str">
        <f>IF(OR(A317="Автомат",A317="Дифавтомат"),IF(W317="","",COUNTIFS(Однолинейка!$H$3:$H$3000,U317,Однолинейка!$A$3:$A$3000,Щит_спец)),IF(A317="Аппарат",IF(C317="","",COUNTIFS(Однолинейка!$I$3:$I$3000,C317,Однолинейка!$A$3:$A$3000,Щит_спец)+COUNTIFS(Однолинейка!$J$3:$J$3000,C317,Однолинейка!$A$3:$A$3000,Щит_спец)+COUNTIFS(Однолинейка!$K$3:$K$3000,C317,Однолинейка!$A$3:$A$3000,Щит_спец)),IF(A317="Модуль",IF(C317="","",COUNTIFS(Однолинейка!$AW$3:$AW$3000,"?*",Однолинейка!$AI$3:$AI$3000,C317,Однолинейка!$A$3:$A$3000,Щит_спец)),IF(A317="Клемма",IF(C317="","",IF(C317=$S$7,SUMIFS(Однолинейка!$BW$3:$BW$3000,Однолинейка!$A$3:$A$3000,Щит_спец),IF(C317=$S$8,SUMIFS(Однолинейка!$BX$3:$BX$3000,Однолинейка!$A$3:$A$3000,Щит_спец),""))),""))))</f>
        <v/>
      </c>
      <c r="O317" s="74"/>
      <c r="P317" s="38" t="str">
        <f t="shared" si="36"/>
        <v/>
      </c>
      <c r="U317" s="38" t="str">
        <f t="shared" si="37"/>
        <v/>
      </c>
      <c r="V317" s="38" t="str">
        <f t="shared" si="38"/>
        <v/>
      </c>
      <c r="W317" s="38" t="str">
        <f>IF(AND(U317&lt;&gt;"",OR($S$4="(все)",B317=$S$4),IF($S$4="(все)",COUNTIF($U$4:U317,U317),COUNTIFS($U$4:U317,U317,$B$4:B317,B317))=1),MAX($W$3:W316)+1,"")</f>
        <v/>
      </c>
      <c r="X317" s="38" t="str">
        <f t="shared" si="39"/>
        <v/>
      </c>
      <c r="Y317" s="38" t="str">
        <f>IF(AND(A317="Аппарат",C317&lt;&gt;"",OR($S$5="(все)",B317=$S$5)),MAX($Y$3:Y316)+1,"")</f>
        <v/>
      </c>
      <c r="Z317" s="38" t="str">
        <f t="shared" si="40"/>
        <v/>
      </c>
      <c r="AA317" s="38" t="str">
        <f>IF(AND(A317="Модуль",C317&lt;&gt;"",OR($S$6="(все)",B317=$S$6)),MAX($AA$3:AA316)+1,"")</f>
        <v/>
      </c>
      <c r="AB317" s="38" t="str">
        <f t="shared" si="41"/>
        <v/>
      </c>
      <c r="AC317" s="38" t="str">
        <f>IF(OR(B317="",COUNTIF($B$4:B317,B317)&gt;1),"",MAX($AC$3:AC316)+1)</f>
        <v/>
      </c>
      <c r="AD317" s="38" t="str">
        <f t="shared" si="42"/>
        <v/>
      </c>
      <c r="AE317" s="38" t="str">
        <f t="shared" si="43"/>
        <v/>
      </c>
      <c r="AF317" s="38" t="str">
        <f t="shared" si="44"/>
        <v/>
      </c>
    </row>
    <row r="318" spans="1:32" x14ac:dyDescent="0.3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38" t="str">
        <f>IF(OR(A318="Автомат",A318="Дифавтомат"),IF(W318="","",COUNTIFS(Однолинейка!$H$3:$H$3000,U318,Однолинейка!$A$3:$A$3000,Щит_спец)),IF(A318="Аппарат",IF(C318="","",COUNTIFS(Однолинейка!$I$3:$I$3000,C318,Однолинейка!$A$3:$A$3000,Щит_спец)+COUNTIFS(Однолинейка!$J$3:$J$3000,C318,Однолинейка!$A$3:$A$3000,Щит_спец)+COUNTIFS(Однолинейка!$K$3:$K$3000,C318,Однолинейка!$A$3:$A$3000,Щит_спец)),IF(A318="Модуль",IF(C318="","",COUNTIFS(Однолинейка!$AW$3:$AW$3000,"?*",Однолинейка!$AI$3:$AI$3000,C318,Однолинейка!$A$3:$A$3000,Щит_спец)),IF(A318="Клемма",IF(C318="","",IF(C318=$S$7,SUMIFS(Однолинейка!$BW$3:$BW$3000,Однолинейка!$A$3:$A$3000,Щит_спец),IF(C318=$S$8,SUMIFS(Однолинейка!$BX$3:$BX$3000,Однолинейка!$A$3:$A$3000,Щит_спец),""))),""))))</f>
        <v/>
      </c>
      <c r="O318" s="74"/>
      <c r="P318" s="38" t="str">
        <f t="shared" si="36"/>
        <v/>
      </c>
      <c r="U318" s="38" t="str">
        <f t="shared" si="37"/>
        <v/>
      </c>
      <c r="V318" s="38" t="str">
        <f t="shared" si="38"/>
        <v/>
      </c>
      <c r="W318" s="38" t="str">
        <f>IF(AND(U318&lt;&gt;"",OR($S$4="(все)",B318=$S$4),IF($S$4="(все)",COUNTIF($U$4:U318,U318),COUNTIFS($U$4:U318,U318,$B$4:B318,B318))=1),MAX($W$3:W317)+1,"")</f>
        <v/>
      </c>
      <c r="X318" s="38" t="str">
        <f t="shared" si="39"/>
        <v/>
      </c>
      <c r="Y318" s="38" t="str">
        <f>IF(AND(A318="Аппарат",C318&lt;&gt;"",OR($S$5="(все)",B318=$S$5)),MAX($Y$3:Y317)+1,"")</f>
        <v/>
      </c>
      <c r="Z318" s="38" t="str">
        <f t="shared" si="40"/>
        <v/>
      </c>
      <c r="AA318" s="38" t="str">
        <f>IF(AND(A318="Модуль",C318&lt;&gt;"",OR($S$6="(все)",B318=$S$6)),MAX($AA$3:AA317)+1,"")</f>
        <v/>
      </c>
      <c r="AB318" s="38" t="str">
        <f t="shared" si="41"/>
        <v/>
      </c>
      <c r="AC318" s="38" t="str">
        <f>IF(OR(B318="",COUNTIF($B$4:B318,B318)&gt;1),"",MAX($AC$3:AC317)+1)</f>
        <v/>
      </c>
      <c r="AD318" s="38" t="str">
        <f t="shared" si="42"/>
        <v/>
      </c>
      <c r="AE318" s="38" t="str">
        <f t="shared" si="43"/>
        <v/>
      </c>
      <c r="AF318" s="38" t="str">
        <f t="shared" si="44"/>
        <v/>
      </c>
    </row>
    <row r="319" spans="1:32" x14ac:dyDescent="0.3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38" t="str">
        <f>IF(OR(A319="Автомат",A319="Дифавтомат"),IF(W319="","",COUNTIFS(Однолинейка!$H$3:$H$3000,U319,Однолинейка!$A$3:$A$3000,Щит_спец)),IF(A319="Аппарат",IF(C319="","",COUNTIFS(Однолинейка!$I$3:$I$3000,C319,Однолинейка!$A$3:$A$3000,Щит_спец)+COUNTIFS(Однолинейка!$J$3:$J$3000,C319,Однолинейка!$A$3:$A$3000,Щит_спец)+COUNTIFS(Однолинейка!$K$3:$K$3000,C319,Однолинейка!$A$3:$A$3000,Щит_спец)),IF(A319="Модуль",IF(C319="","",COUNTIFS(Однолинейка!$AW$3:$AW$3000,"?*",Однолинейка!$AI$3:$AI$3000,C319,Однолинейка!$A$3:$A$3000,Щит_спец)),IF(A319="Клемма",IF(C319="","",IF(C319=$S$7,SUMIFS(Однолинейка!$BW$3:$BW$3000,Однолинейка!$A$3:$A$3000,Щит_спец),IF(C319=$S$8,SUMIFS(Однолинейка!$BX$3:$BX$3000,Однолинейка!$A$3:$A$3000,Щит_спец),""))),""))))</f>
        <v/>
      </c>
      <c r="O319" s="74"/>
      <c r="P319" s="38" t="str">
        <f t="shared" si="36"/>
        <v/>
      </c>
      <c r="U319" s="38" t="str">
        <f t="shared" si="37"/>
        <v/>
      </c>
      <c r="V319" s="38" t="str">
        <f t="shared" si="38"/>
        <v/>
      </c>
      <c r="W319" s="38" t="str">
        <f>IF(AND(U319&lt;&gt;"",OR($S$4="(все)",B319=$S$4),IF($S$4="(все)",COUNTIF($U$4:U319,U319),COUNTIFS($U$4:U319,U319,$B$4:B319,B319))=1),MAX($W$3:W318)+1,"")</f>
        <v/>
      </c>
      <c r="X319" s="38" t="str">
        <f t="shared" si="39"/>
        <v/>
      </c>
      <c r="Y319" s="38" t="str">
        <f>IF(AND(A319="Аппарат",C319&lt;&gt;"",OR($S$5="(все)",B319=$S$5)),MAX($Y$3:Y318)+1,"")</f>
        <v/>
      </c>
      <c r="Z319" s="38" t="str">
        <f t="shared" si="40"/>
        <v/>
      </c>
      <c r="AA319" s="38" t="str">
        <f>IF(AND(A319="Модуль",C319&lt;&gt;"",OR($S$6="(все)",B319=$S$6)),MAX($AA$3:AA318)+1,"")</f>
        <v/>
      </c>
      <c r="AB319" s="38" t="str">
        <f t="shared" si="41"/>
        <v/>
      </c>
      <c r="AC319" s="38" t="str">
        <f>IF(OR(B319="",COUNTIF($B$4:B319,B319)&gt;1),"",MAX($AC$3:AC318)+1)</f>
        <v/>
      </c>
      <c r="AD319" s="38" t="str">
        <f t="shared" si="42"/>
        <v/>
      </c>
      <c r="AE319" s="38" t="str">
        <f t="shared" si="43"/>
        <v/>
      </c>
      <c r="AF319" s="38" t="str">
        <f t="shared" si="44"/>
        <v/>
      </c>
    </row>
    <row r="320" spans="1:32" x14ac:dyDescent="0.3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38" t="str">
        <f>IF(OR(A320="Автомат",A320="Дифавтомат"),IF(W320="","",COUNTIFS(Однолинейка!$H$3:$H$3000,U320,Однолинейка!$A$3:$A$3000,Щит_спец)),IF(A320="Аппарат",IF(C320="","",COUNTIFS(Однолинейка!$I$3:$I$3000,C320,Однолинейка!$A$3:$A$3000,Щит_спец)+COUNTIFS(Однолинейка!$J$3:$J$3000,C320,Однолинейка!$A$3:$A$3000,Щит_спец)+COUNTIFS(Однолинейка!$K$3:$K$3000,C320,Однолинейка!$A$3:$A$3000,Щит_спец)),IF(A320="Модуль",IF(C320="","",COUNTIFS(Однолинейка!$AW$3:$AW$3000,"?*",Однолинейка!$AI$3:$AI$3000,C320,Однолинейка!$A$3:$A$3000,Щит_спец)),IF(A320="Клемма",IF(C320="","",IF(C320=$S$7,SUMIFS(Однолинейка!$BW$3:$BW$3000,Однолинейка!$A$3:$A$3000,Щит_спец),IF(C320=$S$8,SUMIFS(Однолинейка!$BX$3:$BX$3000,Однолинейка!$A$3:$A$3000,Щит_спец),""))),""))))</f>
        <v/>
      </c>
      <c r="O320" s="74"/>
      <c r="P320" s="38" t="str">
        <f t="shared" si="36"/>
        <v/>
      </c>
      <c r="U320" s="38" t="str">
        <f t="shared" si="37"/>
        <v/>
      </c>
      <c r="V320" s="38" t="str">
        <f t="shared" si="38"/>
        <v/>
      </c>
      <c r="W320" s="38" t="str">
        <f>IF(AND(U320&lt;&gt;"",OR($S$4="(все)",B320=$S$4),IF($S$4="(все)",COUNTIF($U$4:U320,U320),COUNTIFS($U$4:U320,U320,$B$4:B320,B320))=1),MAX($W$3:W319)+1,"")</f>
        <v/>
      </c>
      <c r="X320" s="38" t="str">
        <f t="shared" si="39"/>
        <v/>
      </c>
      <c r="Y320" s="38" t="str">
        <f>IF(AND(A320="Аппарат",C320&lt;&gt;"",OR($S$5="(все)",B320=$S$5)),MAX($Y$3:Y319)+1,"")</f>
        <v/>
      </c>
      <c r="Z320" s="38" t="str">
        <f t="shared" si="40"/>
        <v/>
      </c>
      <c r="AA320" s="38" t="str">
        <f>IF(AND(A320="Модуль",C320&lt;&gt;"",OR($S$6="(все)",B320=$S$6)),MAX($AA$3:AA319)+1,"")</f>
        <v/>
      </c>
      <c r="AB320" s="38" t="str">
        <f t="shared" si="41"/>
        <v/>
      </c>
      <c r="AC320" s="38" t="str">
        <f>IF(OR(B320="",COUNTIF($B$4:B320,B320)&gt;1),"",MAX($AC$3:AC319)+1)</f>
        <v/>
      </c>
      <c r="AD320" s="38" t="str">
        <f t="shared" si="42"/>
        <v/>
      </c>
      <c r="AE320" s="38" t="str">
        <f t="shared" si="43"/>
        <v/>
      </c>
      <c r="AF320" s="38" t="str">
        <f t="shared" si="44"/>
        <v/>
      </c>
    </row>
    <row r="321" spans="1:32" x14ac:dyDescent="0.3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38" t="str">
        <f>IF(OR(A321="Автомат",A321="Дифавтомат"),IF(W321="","",COUNTIFS(Однолинейка!$H$3:$H$3000,U321,Однолинейка!$A$3:$A$3000,Щит_спец)),IF(A321="Аппарат",IF(C321="","",COUNTIFS(Однолинейка!$I$3:$I$3000,C321,Однолинейка!$A$3:$A$3000,Щит_спец)+COUNTIFS(Однолинейка!$J$3:$J$3000,C321,Однолинейка!$A$3:$A$3000,Щит_спец)+COUNTIFS(Однолинейка!$K$3:$K$3000,C321,Однолинейка!$A$3:$A$3000,Щит_спец)),IF(A321="Модуль",IF(C321="","",COUNTIFS(Однолинейка!$AW$3:$AW$3000,"?*",Однолинейка!$AI$3:$AI$3000,C321,Однолинейка!$A$3:$A$3000,Щит_спец)),IF(A321="Клемма",IF(C321="","",IF(C321=$S$7,SUMIFS(Однолинейка!$BW$3:$BW$3000,Однолинейка!$A$3:$A$3000,Щит_спец),IF(C321=$S$8,SUMIFS(Однолинейка!$BX$3:$BX$3000,Однолинейка!$A$3:$A$3000,Щит_спец),""))),""))))</f>
        <v/>
      </c>
      <c r="O321" s="74"/>
      <c r="P321" s="38" t="str">
        <f t="shared" si="36"/>
        <v/>
      </c>
      <c r="U321" s="38" t="str">
        <f t="shared" si="37"/>
        <v/>
      </c>
      <c r="V321" s="38" t="str">
        <f t="shared" si="38"/>
        <v/>
      </c>
      <c r="W321" s="38" t="str">
        <f>IF(AND(U321&lt;&gt;"",OR($S$4="(все)",B321=$S$4),IF($S$4="(все)",COUNTIF($U$4:U321,U321),COUNTIFS($U$4:U321,U321,$B$4:B321,B321))=1),MAX($W$3:W320)+1,"")</f>
        <v/>
      </c>
      <c r="X321" s="38" t="str">
        <f t="shared" si="39"/>
        <v/>
      </c>
      <c r="Y321" s="38" t="str">
        <f>IF(AND(A321="Аппарат",C321&lt;&gt;"",OR($S$5="(все)",B321=$S$5)),MAX($Y$3:Y320)+1,"")</f>
        <v/>
      </c>
      <c r="Z321" s="38" t="str">
        <f t="shared" si="40"/>
        <v/>
      </c>
      <c r="AA321" s="38" t="str">
        <f>IF(AND(A321="Модуль",C321&lt;&gt;"",OR($S$6="(все)",B321=$S$6)),MAX($AA$3:AA320)+1,"")</f>
        <v/>
      </c>
      <c r="AB321" s="38" t="str">
        <f t="shared" si="41"/>
        <v/>
      </c>
      <c r="AC321" s="38" t="str">
        <f>IF(OR(B321="",COUNTIF($B$4:B321,B321)&gt;1),"",MAX($AC$3:AC320)+1)</f>
        <v/>
      </c>
      <c r="AD321" s="38" t="str">
        <f t="shared" si="42"/>
        <v/>
      </c>
      <c r="AE321" s="38" t="str">
        <f t="shared" si="43"/>
        <v/>
      </c>
      <c r="AF321" s="38" t="str">
        <f t="shared" si="44"/>
        <v/>
      </c>
    </row>
    <row r="322" spans="1:32" x14ac:dyDescent="0.3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38" t="str">
        <f>IF(OR(A322="Автомат",A322="Дифавтомат"),IF(W322="","",COUNTIFS(Однолинейка!$H$3:$H$3000,U322,Однолинейка!$A$3:$A$3000,Щит_спец)),IF(A322="Аппарат",IF(C322="","",COUNTIFS(Однолинейка!$I$3:$I$3000,C322,Однолинейка!$A$3:$A$3000,Щит_спец)+COUNTIFS(Однолинейка!$J$3:$J$3000,C322,Однолинейка!$A$3:$A$3000,Щит_спец)+COUNTIFS(Однолинейка!$K$3:$K$3000,C322,Однолинейка!$A$3:$A$3000,Щит_спец)),IF(A322="Модуль",IF(C322="","",COUNTIFS(Однолинейка!$AW$3:$AW$3000,"?*",Однолинейка!$AI$3:$AI$3000,C322,Однолинейка!$A$3:$A$3000,Щит_спец)),IF(A322="Клемма",IF(C322="","",IF(C322=$S$7,SUMIFS(Однолинейка!$BW$3:$BW$3000,Однолинейка!$A$3:$A$3000,Щит_спец),IF(C322=$S$8,SUMIFS(Однолинейка!$BX$3:$BX$3000,Однолинейка!$A$3:$A$3000,Щит_спец),""))),""))))</f>
        <v/>
      </c>
      <c r="O322" s="74"/>
      <c r="P322" s="38" t="str">
        <f t="shared" si="36"/>
        <v/>
      </c>
      <c r="U322" s="38" t="str">
        <f t="shared" si="37"/>
        <v/>
      </c>
      <c r="V322" s="38" t="str">
        <f t="shared" si="38"/>
        <v/>
      </c>
      <c r="W322" s="38" t="str">
        <f>IF(AND(U322&lt;&gt;"",OR($S$4="(все)",B322=$S$4),IF($S$4="(все)",COUNTIF($U$4:U322,U322),COUNTIFS($U$4:U322,U322,$B$4:B322,B322))=1),MAX($W$3:W321)+1,"")</f>
        <v/>
      </c>
      <c r="X322" s="38" t="str">
        <f t="shared" si="39"/>
        <v/>
      </c>
      <c r="Y322" s="38" t="str">
        <f>IF(AND(A322="Аппарат",C322&lt;&gt;"",OR($S$5="(все)",B322=$S$5)),MAX($Y$3:Y321)+1,"")</f>
        <v/>
      </c>
      <c r="Z322" s="38" t="str">
        <f t="shared" si="40"/>
        <v/>
      </c>
      <c r="AA322" s="38" t="str">
        <f>IF(AND(A322="Модуль",C322&lt;&gt;"",OR($S$6="(все)",B322=$S$6)),MAX($AA$3:AA321)+1,"")</f>
        <v/>
      </c>
      <c r="AB322" s="38" t="str">
        <f t="shared" si="41"/>
        <v/>
      </c>
      <c r="AC322" s="38" t="str">
        <f>IF(OR(B322="",COUNTIF($B$4:B322,B322)&gt;1),"",MAX($AC$3:AC321)+1)</f>
        <v/>
      </c>
      <c r="AD322" s="38" t="str">
        <f t="shared" si="42"/>
        <v/>
      </c>
      <c r="AE322" s="38" t="str">
        <f t="shared" si="43"/>
        <v/>
      </c>
      <c r="AF322" s="38" t="str">
        <f t="shared" si="44"/>
        <v/>
      </c>
    </row>
    <row r="323" spans="1:32" x14ac:dyDescent="0.3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38" t="str">
        <f>IF(OR(A323="Автомат",A323="Дифавтомат"),IF(W323="","",COUNTIFS(Однолинейка!$H$3:$H$3000,U323,Однолинейка!$A$3:$A$3000,Щит_спец)),IF(A323="Аппарат",IF(C323="","",COUNTIFS(Однолинейка!$I$3:$I$3000,C323,Однолинейка!$A$3:$A$3000,Щит_спец)+COUNTIFS(Однолинейка!$J$3:$J$3000,C323,Однолинейка!$A$3:$A$3000,Щит_спец)+COUNTIFS(Однолинейка!$K$3:$K$3000,C323,Однолинейка!$A$3:$A$3000,Щит_спец)),IF(A323="Модуль",IF(C323="","",COUNTIFS(Однолинейка!$AW$3:$AW$3000,"?*",Однолинейка!$AI$3:$AI$3000,C323,Однолинейка!$A$3:$A$3000,Щит_спец)),IF(A323="Клемма",IF(C323="","",IF(C323=$S$7,SUMIFS(Однолинейка!$BW$3:$BW$3000,Однолинейка!$A$3:$A$3000,Щит_спец),IF(C323=$S$8,SUMIFS(Однолинейка!$BX$3:$BX$3000,Однолинейка!$A$3:$A$3000,Щит_спец),""))),""))))</f>
        <v/>
      </c>
      <c r="O323" s="74"/>
      <c r="P323" s="38" t="str">
        <f t="shared" si="36"/>
        <v/>
      </c>
      <c r="U323" s="38" t="str">
        <f t="shared" si="37"/>
        <v/>
      </c>
      <c r="V323" s="38" t="str">
        <f t="shared" si="38"/>
        <v/>
      </c>
      <c r="W323" s="38" t="str">
        <f>IF(AND(U323&lt;&gt;"",OR($S$4="(все)",B323=$S$4),IF($S$4="(все)",COUNTIF($U$4:U323,U323),COUNTIFS($U$4:U323,U323,$B$4:B323,B323))=1),MAX($W$3:W322)+1,"")</f>
        <v/>
      </c>
      <c r="X323" s="38" t="str">
        <f t="shared" si="39"/>
        <v/>
      </c>
      <c r="Y323" s="38" t="str">
        <f>IF(AND(A323="Аппарат",C323&lt;&gt;"",OR($S$5="(все)",B323=$S$5)),MAX($Y$3:Y322)+1,"")</f>
        <v/>
      </c>
      <c r="Z323" s="38" t="str">
        <f t="shared" si="40"/>
        <v/>
      </c>
      <c r="AA323" s="38" t="str">
        <f>IF(AND(A323="Модуль",C323&lt;&gt;"",OR($S$6="(все)",B323=$S$6)),MAX($AA$3:AA322)+1,"")</f>
        <v/>
      </c>
      <c r="AB323" s="38" t="str">
        <f t="shared" si="41"/>
        <v/>
      </c>
      <c r="AC323" s="38" t="str">
        <f>IF(OR(B323="",COUNTIF($B$4:B323,B323)&gt;1),"",MAX($AC$3:AC322)+1)</f>
        <v/>
      </c>
      <c r="AD323" s="38" t="str">
        <f t="shared" si="42"/>
        <v/>
      </c>
      <c r="AE323" s="38" t="str">
        <f t="shared" si="43"/>
        <v/>
      </c>
      <c r="AF323" s="38" t="str">
        <f t="shared" si="44"/>
        <v/>
      </c>
    </row>
    <row r="324" spans="1:32" x14ac:dyDescent="0.3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38" t="str">
        <f>IF(OR(A324="Автомат",A324="Дифавтомат"),IF(W324="","",COUNTIFS(Однолинейка!$H$3:$H$3000,U324,Однолинейка!$A$3:$A$3000,Щит_спец)),IF(A324="Аппарат",IF(C324="","",COUNTIFS(Однолинейка!$I$3:$I$3000,C324,Однолинейка!$A$3:$A$3000,Щит_спец)+COUNTIFS(Однолинейка!$J$3:$J$3000,C324,Однолинейка!$A$3:$A$3000,Щит_спец)+COUNTIFS(Однолинейка!$K$3:$K$3000,C324,Однолинейка!$A$3:$A$3000,Щит_спец)),IF(A324="Модуль",IF(C324="","",COUNTIFS(Однолинейка!$AW$3:$AW$3000,"?*",Однолинейка!$AI$3:$AI$3000,C324,Однолинейка!$A$3:$A$3000,Щит_спец)),IF(A324="Клемма",IF(C324="","",IF(C324=$S$7,SUMIFS(Однолинейка!$BW$3:$BW$3000,Однолинейка!$A$3:$A$3000,Щит_спец),IF(C324=$S$8,SUMIFS(Однолинейка!$BX$3:$BX$3000,Однолинейка!$A$3:$A$3000,Щит_спец),""))),""))))</f>
        <v/>
      </c>
      <c r="O324" s="74"/>
      <c r="P324" s="38" t="str">
        <f t="shared" ref="P324:P387" si="45">IF(COUNT(N324,O324)=0,"",SUM(N324,O324))</f>
        <v/>
      </c>
      <c r="U324" s="38" t="str">
        <f t="shared" ref="U324:U387" si="46">IF(OR(A324="Автомат",A324="Дифавтомат"),I324&amp;" С"&amp;J324&amp;"А"&amp;IF(K324="да"," 30мА",IF(ISNUMBER(K324)," "&amp;K324&amp;"мА","")),"")</f>
        <v/>
      </c>
      <c r="V324" s="38" t="str">
        <f t="shared" ref="V324:V387" si="47">IF(U324="","",B324&amp;"|"&amp;U324)</f>
        <v/>
      </c>
      <c r="W324" s="38" t="str">
        <f>IF(AND(U324&lt;&gt;"",OR($S$4="(все)",B324=$S$4),IF($S$4="(все)",COUNTIF($U$4:U324,U324),COUNTIFS($U$4:U324,U324,$B$4:B324,B324))=1),MAX($W$3:W323)+1,"")</f>
        <v/>
      </c>
      <c r="X324" s="38" t="str">
        <f t="shared" ref="X324:X387" si="48">IFERROR(INDEX($U$4:$U$500,MATCH(ROW()-3,$W$4:$W$500,0)),"")</f>
        <v/>
      </c>
      <c r="Y324" s="38" t="str">
        <f>IF(AND(A324="Аппарат",C324&lt;&gt;"",OR($S$5="(все)",B324=$S$5)),MAX($Y$3:Y323)+1,"")</f>
        <v/>
      </c>
      <c r="Z324" s="38" t="str">
        <f t="shared" ref="Z324:Z387" si="49">IFERROR(INDEX($C$4:$C$500,MATCH(ROW()-3,$Y$4:$Y$500,0)),"")</f>
        <v/>
      </c>
      <c r="AA324" s="38" t="str">
        <f>IF(AND(A324="Модуль",C324&lt;&gt;"",OR($S$6="(все)",B324=$S$6)),MAX($AA$3:AA323)+1,"")</f>
        <v/>
      </c>
      <c r="AB324" s="38" t="str">
        <f t="shared" ref="AB324:AB387" si="50">IFERROR(INDEX($C$4:$C$500,MATCH(ROW()-3,$AA$4:$AA$500,0)),"")</f>
        <v/>
      </c>
      <c r="AC324" s="38" t="str">
        <f>IF(OR(B324="",COUNTIF($B$4:B324,B324)&gt;1),"",MAX($AC$3:AC323)+1)</f>
        <v/>
      </c>
      <c r="AD324" s="38" t="str">
        <f t="shared" ref="AD324:AD387" si="51">IFERROR(INDEX($B$4:$B$500,MATCH(ROW()-3,$AC$4:$AC$500,0)),"")</f>
        <v/>
      </c>
      <c r="AE324" s="38" t="str">
        <f t="shared" ref="AE324:AE387" si="52">IF(AND(A324&lt;&gt;"",N(P324)&gt;0),IFERROR(MATCH(A324,$R$12:$R$25,0),99)*1000+ROW(),"")</f>
        <v/>
      </c>
      <c r="AF324" s="38" t="str">
        <f t="shared" ref="AF324:AF387" si="53">IF(AE324="","",COUNTIF($AE$4:$AE$500,"&lt;="&amp;AE324))</f>
        <v/>
      </c>
    </row>
    <row r="325" spans="1:32" x14ac:dyDescent="0.3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38" t="str">
        <f>IF(OR(A325="Автомат",A325="Дифавтомат"),IF(W325="","",COUNTIFS(Однолинейка!$H$3:$H$3000,U325,Однолинейка!$A$3:$A$3000,Щит_спец)),IF(A325="Аппарат",IF(C325="","",COUNTIFS(Однолинейка!$I$3:$I$3000,C325,Однолинейка!$A$3:$A$3000,Щит_спец)+COUNTIFS(Однолинейка!$J$3:$J$3000,C325,Однолинейка!$A$3:$A$3000,Щит_спец)+COUNTIFS(Однолинейка!$K$3:$K$3000,C325,Однолинейка!$A$3:$A$3000,Щит_спец)),IF(A325="Модуль",IF(C325="","",COUNTIFS(Однолинейка!$AW$3:$AW$3000,"?*",Однолинейка!$AI$3:$AI$3000,C325,Однолинейка!$A$3:$A$3000,Щит_спец)),IF(A325="Клемма",IF(C325="","",IF(C325=$S$7,SUMIFS(Однолинейка!$BW$3:$BW$3000,Однолинейка!$A$3:$A$3000,Щит_спец),IF(C325=$S$8,SUMIFS(Однолинейка!$BX$3:$BX$3000,Однолинейка!$A$3:$A$3000,Щит_спец),""))),""))))</f>
        <v/>
      </c>
      <c r="O325" s="74"/>
      <c r="P325" s="38" t="str">
        <f t="shared" si="45"/>
        <v/>
      </c>
      <c r="U325" s="38" t="str">
        <f t="shared" si="46"/>
        <v/>
      </c>
      <c r="V325" s="38" t="str">
        <f t="shared" si="47"/>
        <v/>
      </c>
      <c r="W325" s="38" t="str">
        <f>IF(AND(U325&lt;&gt;"",OR($S$4="(все)",B325=$S$4),IF($S$4="(все)",COUNTIF($U$4:U325,U325),COUNTIFS($U$4:U325,U325,$B$4:B325,B325))=1),MAX($W$3:W324)+1,"")</f>
        <v/>
      </c>
      <c r="X325" s="38" t="str">
        <f t="shared" si="48"/>
        <v/>
      </c>
      <c r="Y325" s="38" t="str">
        <f>IF(AND(A325="Аппарат",C325&lt;&gt;"",OR($S$5="(все)",B325=$S$5)),MAX($Y$3:Y324)+1,"")</f>
        <v/>
      </c>
      <c r="Z325" s="38" t="str">
        <f t="shared" si="49"/>
        <v/>
      </c>
      <c r="AA325" s="38" t="str">
        <f>IF(AND(A325="Модуль",C325&lt;&gt;"",OR($S$6="(все)",B325=$S$6)),MAX($AA$3:AA324)+1,"")</f>
        <v/>
      </c>
      <c r="AB325" s="38" t="str">
        <f t="shared" si="50"/>
        <v/>
      </c>
      <c r="AC325" s="38" t="str">
        <f>IF(OR(B325="",COUNTIF($B$4:B325,B325)&gt;1),"",MAX($AC$3:AC324)+1)</f>
        <v/>
      </c>
      <c r="AD325" s="38" t="str">
        <f t="shared" si="51"/>
        <v/>
      </c>
      <c r="AE325" s="38" t="str">
        <f t="shared" si="52"/>
        <v/>
      </c>
      <c r="AF325" s="38" t="str">
        <f t="shared" si="53"/>
        <v/>
      </c>
    </row>
    <row r="326" spans="1:32" x14ac:dyDescent="0.3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38" t="str">
        <f>IF(OR(A326="Автомат",A326="Дифавтомат"),IF(W326="","",COUNTIFS(Однолинейка!$H$3:$H$3000,U326,Однолинейка!$A$3:$A$3000,Щит_спец)),IF(A326="Аппарат",IF(C326="","",COUNTIFS(Однолинейка!$I$3:$I$3000,C326,Однолинейка!$A$3:$A$3000,Щит_спец)+COUNTIFS(Однолинейка!$J$3:$J$3000,C326,Однолинейка!$A$3:$A$3000,Щит_спец)+COUNTIFS(Однолинейка!$K$3:$K$3000,C326,Однолинейка!$A$3:$A$3000,Щит_спец)),IF(A326="Модуль",IF(C326="","",COUNTIFS(Однолинейка!$AW$3:$AW$3000,"?*",Однолинейка!$AI$3:$AI$3000,C326,Однолинейка!$A$3:$A$3000,Щит_спец)),IF(A326="Клемма",IF(C326="","",IF(C326=$S$7,SUMIFS(Однолинейка!$BW$3:$BW$3000,Однолинейка!$A$3:$A$3000,Щит_спец),IF(C326=$S$8,SUMIFS(Однолинейка!$BX$3:$BX$3000,Однолинейка!$A$3:$A$3000,Щит_спец),""))),""))))</f>
        <v/>
      </c>
      <c r="O326" s="74"/>
      <c r="P326" s="38" t="str">
        <f t="shared" si="45"/>
        <v/>
      </c>
      <c r="U326" s="38" t="str">
        <f t="shared" si="46"/>
        <v/>
      </c>
      <c r="V326" s="38" t="str">
        <f t="shared" si="47"/>
        <v/>
      </c>
      <c r="W326" s="38" t="str">
        <f>IF(AND(U326&lt;&gt;"",OR($S$4="(все)",B326=$S$4),IF($S$4="(все)",COUNTIF($U$4:U326,U326),COUNTIFS($U$4:U326,U326,$B$4:B326,B326))=1),MAX($W$3:W325)+1,"")</f>
        <v/>
      </c>
      <c r="X326" s="38" t="str">
        <f t="shared" si="48"/>
        <v/>
      </c>
      <c r="Y326" s="38" t="str">
        <f>IF(AND(A326="Аппарат",C326&lt;&gt;"",OR($S$5="(все)",B326=$S$5)),MAX($Y$3:Y325)+1,"")</f>
        <v/>
      </c>
      <c r="Z326" s="38" t="str">
        <f t="shared" si="49"/>
        <v/>
      </c>
      <c r="AA326" s="38" t="str">
        <f>IF(AND(A326="Модуль",C326&lt;&gt;"",OR($S$6="(все)",B326=$S$6)),MAX($AA$3:AA325)+1,"")</f>
        <v/>
      </c>
      <c r="AB326" s="38" t="str">
        <f t="shared" si="50"/>
        <v/>
      </c>
      <c r="AC326" s="38" t="str">
        <f>IF(OR(B326="",COUNTIF($B$4:B326,B326)&gt;1),"",MAX($AC$3:AC325)+1)</f>
        <v/>
      </c>
      <c r="AD326" s="38" t="str">
        <f t="shared" si="51"/>
        <v/>
      </c>
      <c r="AE326" s="38" t="str">
        <f t="shared" si="52"/>
        <v/>
      </c>
      <c r="AF326" s="38" t="str">
        <f t="shared" si="53"/>
        <v/>
      </c>
    </row>
    <row r="327" spans="1:32" x14ac:dyDescent="0.3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38" t="str">
        <f>IF(OR(A327="Автомат",A327="Дифавтомат"),IF(W327="","",COUNTIFS(Однолинейка!$H$3:$H$3000,U327,Однолинейка!$A$3:$A$3000,Щит_спец)),IF(A327="Аппарат",IF(C327="","",COUNTIFS(Однолинейка!$I$3:$I$3000,C327,Однолинейка!$A$3:$A$3000,Щит_спец)+COUNTIFS(Однолинейка!$J$3:$J$3000,C327,Однолинейка!$A$3:$A$3000,Щит_спец)+COUNTIFS(Однолинейка!$K$3:$K$3000,C327,Однолинейка!$A$3:$A$3000,Щит_спец)),IF(A327="Модуль",IF(C327="","",COUNTIFS(Однолинейка!$AW$3:$AW$3000,"?*",Однолинейка!$AI$3:$AI$3000,C327,Однолинейка!$A$3:$A$3000,Щит_спец)),IF(A327="Клемма",IF(C327="","",IF(C327=$S$7,SUMIFS(Однолинейка!$BW$3:$BW$3000,Однолинейка!$A$3:$A$3000,Щит_спец),IF(C327=$S$8,SUMIFS(Однолинейка!$BX$3:$BX$3000,Однолинейка!$A$3:$A$3000,Щит_спец),""))),""))))</f>
        <v/>
      </c>
      <c r="O327" s="74"/>
      <c r="P327" s="38" t="str">
        <f t="shared" si="45"/>
        <v/>
      </c>
      <c r="U327" s="38" t="str">
        <f t="shared" si="46"/>
        <v/>
      </c>
      <c r="V327" s="38" t="str">
        <f t="shared" si="47"/>
        <v/>
      </c>
      <c r="W327" s="38" t="str">
        <f>IF(AND(U327&lt;&gt;"",OR($S$4="(все)",B327=$S$4),IF($S$4="(все)",COUNTIF($U$4:U327,U327),COUNTIFS($U$4:U327,U327,$B$4:B327,B327))=1),MAX($W$3:W326)+1,"")</f>
        <v/>
      </c>
      <c r="X327" s="38" t="str">
        <f t="shared" si="48"/>
        <v/>
      </c>
      <c r="Y327" s="38" t="str">
        <f>IF(AND(A327="Аппарат",C327&lt;&gt;"",OR($S$5="(все)",B327=$S$5)),MAX($Y$3:Y326)+1,"")</f>
        <v/>
      </c>
      <c r="Z327" s="38" t="str">
        <f t="shared" si="49"/>
        <v/>
      </c>
      <c r="AA327" s="38" t="str">
        <f>IF(AND(A327="Модуль",C327&lt;&gt;"",OR($S$6="(все)",B327=$S$6)),MAX($AA$3:AA326)+1,"")</f>
        <v/>
      </c>
      <c r="AB327" s="38" t="str">
        <f t="shared" si="50"/>
        <v/>
      </c>
      <c r="AC327" s="38" t="str">
        <f>IF(OR(B327="",COUNTIF($B$4:B327,B327)&gt;1),"",MAX($AC$3:AC326)+1)</f>
        <v/>
      </c>
      <c r="AD327" s="38" t="str">
        <f t="shared" si="51"/>
        <v/>
      </c>
      <c r="AE327" s="38" t="str">
        <f t="shared" si="52"/>
        <v/>
      </c>
      <c r="AF327" s="38" t="str">
        <f t="shared" si="53"/>
        <v/>
      </c>
    </row>
    <row r="328" spans="1:32" x14ac:dyDescent="0.3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38" t="str">
        <f>IF(OR(A328="Автомат",A328="Дифавтомат"),IF(W328="","",COUNTIFS(Однолинейка!$H$3:$H$3000,U328,Однолинейка!$A$3:$A$3000,Щит_спец)),IF(A328="Аппарат",IF(C328="","",COUNTIFS(Однолинейка!$I$3:$I$3000,C328,Однолинейка!$A$3:$A$3000,Щит_спец)+COUNTIFS(Однолинейка!$J$3:$J$3000,C328,Однолинейка!$A$3:$A$3000,Щит_спец)+COUNTIFS(Однолинейка!$K$3:$K$3000,C328,Однолинейка!$A$3:$A$3000,Щит_спец)),IF(A328="Модуль",IF(C328="","",COUNTIFS(Однолинейка!$AW$3:$AW$3000,"?*",Однолинейка!$AI$3:$AI$3000,C328,Однолинейка!$A$3:$A$3000,Щит_спец)),IF(A328="Клемма",IF(C328="","",IF(C328=$S$7,SUMIFS(Однолинейка!$BW$3:$BW$3000,Однолинейка!$A$3:$A$3000,Щит_спец),IF(C328=$S$8,SUMIFS(Однолинейка!$BX$3:$BX$3000,Однолинейка!$A$3:$A$3000,Щит_спец),""))),""))))</f>
        <v/>
      </c>
      <c r="O328" s="74"/>
      <c r="P328" s="38" t="str">
        <f t="shared" si="45"/>
        <v/>
      </c>
      <c r="U328" s="38" t="str">
        <f t="shared" si="46"/>
        <v/>
      </c>
      <c r="V328" s="38" t="str">
        <f t="shared" si="47"/>
        <v/>
      </c>
      <c r="W328" s="38" t="str">
        <f>IF(AND(U328&lt;&gt;"",OR($S$4="(все)",B328=$S$4),IF($S$4="(все)",COUNTIF($U$4:U328,U328),COUNTIFS($U$4:U328,U328,$B$4:B328,B328))=1),MAX($W$3:W327)+1,"")</f>
        <v/>
      </c>
      <c r="X328" s="38" t="str">
        <f t="shared" si="48"/>
        <v/>
      </c>
      <c r="Y328" s="38" t="str">
        <f>IF(AND(A328="Аппарат",C328&lt;&gt;"",OR($S$5="(все)",B328=$S$5)),MAX($Y$3:Y327)+1,"")</f>
        <v/>
      </c>
      <c r="Z328" s="38" t="str">
        <f t="shared" si="49"/>
        <v/>
      </c>
      <c r="AA328" s="38" t="str">
        <f>IF(AND(A328="Модуль",C328&lt;&gt;"",OR($S$6="(все)",B328=$S$6)),MAX($AA$3:AA327)+1,"")</f>
        <v/>
      </c>
      <c r="AB328" s="38" t="str">
        <f t="shared" si="50"/>
        <v/>
      </c>
      <c r="AC328" s="38" t="str">
        <f>IF(OR(B328="",COUNTIF($B$4:B328,B328)&gt;1),"",MAX($AC$3:AC327)+1)</f>
        <v/>
      </c>
      <c r="AD328" s="38" t="str">
        <f t="shared" si="51"/>
        <v/>
      </c>
      <c r="AE328" s="38" t="str">
        <f t="shared" si="52"/>
        <v/>
      </c>
      <c r="AF328" s="38" t="str">
        <f t="shared" si="53"/>
        <v/>
      </c>
    </row>
    <row r="329" spans="1:32" x14ac:dyDescent="0.3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38" t="str">
        <f>IF(OR(A329="Автомат",A329="Дифавтомат"),IF(W329="","",COUNTIFS(Однолинейка!$H$3:$H$3000,U329,Однолинейка!$A$3:$A$3000,Щит_спец)),IF(A329="Аппарат",IF(C329="","",COUNTIFS(Однолинейка!$I$3:$I$3000,C329,Однолинейка!$A$3:$A$3000,Щит_спец)+COUNTIFS(Однолинейка!$J$3:$J$3000,C329,Однолинейка!$A$3:$A$3000,Щит_спец)+COUNTIFS(Однолинейка!$K$3:$K$3000,C329,Однолинейка!$A$3:$A$3000,Щит_спец)),IF(A329="Модуль",IF(C329="","",COUNTIFS(Однолинейка!$AW$3:$AW$3000,"?*",Однолинейка!$AI$3:$AI$3000,C329,Однолинейка!$A$3:$A$3000,Щит_спец)),IF(A329="Клемма",IF(C329="","",IF(C329=$S$7,SUMIFS(Однолинейка!$BW$3:$BW$3000,Однолинейка!$A$3:$A$3000,Щит_спец),IF(C329=$S$8,SUMIFS(Однолинейка!$BX$3:$BX$3000,Однолинейка!$A$3:$A$3000,Щит_спец),""))),""))))</f>
        <v/>
      </c>
      <c r="O329" s="74"/>
      <c r="P329" s="38" t="str">
        <f t="shared" si="45"/>
        <v/>
      </c>
      <c r="U329" s="38" t="str">
        <f t="shared" si="46"/>
        <v/>
      </c>
      <c r="V329" s="38" t="str">
        <f t="shared" si="47"/>
        <v/>
      </c>
      <c r="W329" s="38" t="str">
        <f>IF(AND(U329&lt;&gt;"",OR($S$4="(все)",B329=$S$4),IF($S$4="(все)",COUNTIF($U$4:U329,U329),COUNTIFS($U$4:U329,U329,$B$4:B329,B329))=1),MAX($W$3:W328)+1,"")</f>
        <v/>
      </c>
      <c r="X329" s="38" t="str">
        <f t="shared" si="48"/>
        <v/>
      </c>
      <c r="Y329" s="38" t="str">
        <f>IF(AND(A329="Аппарат",C329&lt;&gt;"",OR($S$5="(все)",B329=$S$5)),MAX($Y$3:Y328)+1,"")</f>
        <v/>
      </c>
      <c r="Z329" s="38" t="str">
        <f t="shared" si="49"/>
        <v/>
      </c>
      <c r="AA329" s="38" t="str">
        <f>IF(AND(A329="Модуль",C329&lt;&gt;"",OR($S$6="(все)",B329=$S$6)),MAX($AA$3:AA328)+1,"")</f>
        <v/>
      </c>
      <c r="AB329" s="38" t="str">
        <f t="shared" si="50"/>
        <v/>
      </c>
      <c r="AC329" s="38" t="str">
        <f>IF(OR(B329="",COUNTIF($B$4:B329,B329)&gt;1),"",MAX($AC$3:AC328)+1)</f>
        <v/>
      </c>
      <c r="AD329" s="38" t="str">
        <f t="shared" si="51"/>
        <v/>
      </c>
      <c r="AE329" s="38" t="str">
        <f t="shared" si="52"/>
        <v/>
      </c>
      <c r="AF329" s="38" t="str">
        <f t="shared" si="53"/>
        <v/>
      </c>
    </row>
    <row r="330" spans="1:32" x14ac:dyDescent="0.3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38" t="str">
        <f>IF(OR(A330="Автомат",A330="Дифавтомат"),IF(W330="","",COUNTIFS(Однолинейка!$H$3:$H$3000,U330,Однолинейка!$A$3:$A$3000,Щит_спец)),IF(A330="Аппарат",IF(C330="","",COUNTIFS(Однолинейка!$I$3:$I$3000,C330,Однолинейка!$A$3:$A$3000,Щит_спец)+COUNTIFS(Однолинейка!$J$3:$J$3000,C330,Однолинейка!$A$3:$A$3000,Щит_спец)+COUNTIFS(Однолинейка!$K$3:$K$3000,C330,Однолинейка!$A$3:$A$3000,Щит_спец)),IF(A330="Модуль",IF(C330="","",COUNTIFS(Однолинейка!$AW$3:$AW$3000,"?*",Однолинейка!$AI$3:$AI$3000,C330,Однолинейка!$A$3:$A$3000,Щит_спец)),IF(A330="Клемма",IF(C330="","",IF(C330=$S$7,SUMIFS(Однолинейка!$BW$3:$BW$3000,Однолинейка!$A$3:$A$3000,Щит_спец),IF(C330=$S$8,SUMIFS(Однолинейка!$BX$3:$BX$3000,Однолинейка!$A$3:$A$3000,Щит_спец),""))),""))))</f>
        <v/>
      </c>
      <c r="O330" s="74"/>
      <c r="P330" s="38" t="str">
        <f t="shared" si="45"/>
        <v/>
      </c>
      <c r="U330" s="38" t="str">
        <f t="shared" si="46"/>
        <v/>
      </c>
      <c r="V330" s="38" t="str">
        <f t="shared" si="47"/>
        <v/>
      </c>
      <c r="W330" s="38" t="str">
        <f>IF(AND(U330&lt;&gt;"",OR($S$4="(все)",B330=$S$4),IF($S$4="(все)",COUNTIF($U$4:U330,U330),COUNTIFS($U$4:U330,U330,$B$4:B330,B330))=1),MAX($W$3:W329)+1,"")</f>
        <v/>
      </c>
      <c r="X330" s="38" t="str">
        <f t="shared" si="48"/>
        <v/>
      </c>
      <c r="Y330" s="38" t="str">
        <f>IF(AND(A330="Аппарат",C330&lt;&gt;"",OR($S$5="(все)",B330=$S$5)),MAX($Y$3:Y329)+1,"")</f>
        <v/>
      </c>
      <c r="Z330" s="38" t="str">
        <f t="shared" si="49"/>
        <v/>
      </c>
      <c r="AA330" s="38" t="str">
        <f>IF(AND(A330="Модуль",C330&lt;&gt;"",OR($S$6="(все)",B330=$S$6)),MAX($AA$3:AA329)+1,"")</f>
        <v/>
      </c>
      <c r="AB330" s="38" t="str">
        <f t="shared" si="50"/>
        <v/>
      </c>
      <c r="AC330" s="38" t="str">
        <f>IF(OR(B330="",COUNTIF($B$4:B330,B330)&gt;1),"",MAX($AC$3:AC329)+1)</f>
        <v/>
      </c>
      <c r="AD330" s="38" t="str">
        <f t="shared" si="51"/>
        <v/>
      </c>
      <c r="AE330" s="38" t="str">
        <f t="shared" si="52"/>
        <v/>
      </c>
      <c r="AF330" s="38" t="str">
        <f t="shared" si="53"/>
        <v/>
      </c>
    </row>
    <row r="331" spans="1:32" x14ac:dyDescent="0.3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38" t="str">
        <f>IF(OR(A331="Автомат",A331="Дифавтомат"),IF(W331="","",COUNTIFS(Однолинейка!$H$3:$H$3000,U331,Однолинейка!$A$3:$A$3000,Щит_спец)),IF(A331="Аппарат",IF(C331="","",COUNTIFS(Однолинейка!$I$3:$I$3000,C331,Однолинейка!$A$3:$A$3000,Щит_спец)+COUNTIFS(Однолинейка!$J$3:$J$3000,C331,Однолинейка!$A$3:$A$3000,Щит_спец)+COUNTIFS(Однолинейка!$K$3:$K$3000,C331,Однолинейка!$A$3:$A$3000,Щит_спец)),IF(A331="Модуль",IF(C331="","",COUNTIFS(Однолинейка!$AW$3:$AW$3000,"?*",Однолинейка!$AI$3:$AI$3000,C331,Однолинейка!$A$3:$A$3000,Щит_спец)),IF(A331="Клемма",IF(C331="","",IF(C331=$S$7,SUMIFS(Однолинейка!$BW$3:$BW$3000,Однолинейка!$A$3:$A$3000,Щит_спец),IF(C331=$S$8,SUMIFS(Однолинейка!$BX$3:$BX$3000,Однолинейка!$A$3:$A$3000,Щит_спец),""))),""))))</f>
        <v/>
      </c>
      <c r="O331" s="74"/>
      <c r="P331" s="38" t="str">
        <f t="shared" si="45"/>
        <v/>
      </c>
      <c r="U331" s="38" t="str">
        <f t="shared" si="46"/>
        <v/>
      </c>
      <c r="V331" s="38" t="str">
        <f t="shared" si="47"/>
        <v/>
      </c>
      <c r="W331" s="38" t="str">
        <f>IF(AND(U331&lt;&gt;"",OR($S$4="(все)",B331=$S$4),IF($S$4="(все)",COUNTIF($U$4:U331,U331),COUNTIFS($U$4:U331,U331,$B$4:B331,B331))=1),MAX($W$3:W330)+1,"")</f>
        <v/>
      </c>
      <c r="X331" s="38" t="str">
        <f t="shared" si="48"/>
        <v/>
      </c>
      <c r="Y331" s="38" t="str">
        <f>IF(AND(A331="Аппарат",C331&lt;&gt;"",OR($S$5="(все)",B331=$S$5)),MAX($Y$3:Y330)+1,"")</f>
        <v/>
      </c>
      <c r="Z331" s="38" t="str">
        <f t="shared" si="49"/>
        <v/>
      </c>
      <c r="AA331" s="38" t="str">
        <f>IF(AND(A331="Модуль",C331&lt;&gt;"",OR($S$6="(все)",B331=$S$6)),MAX($AA$3:AA330)+1,"")</f>
        <v/>
      </c>
      <c r="AB331" s="38" t="str">
        <f t="shared" si="50"/>
        <v/>
      </c>
      <c r="AC331" s="38" t="str">
        <f>IF(OR(B331="",COUNTIF($B$4:B331,B331)&gt;1),"",MAX($AC$3:AC330)+1)</f>
        <v/>
      </c>
      <c r="AD331" s="38" t="str">
        <f t="shared" si="51"/>
        <v/>
      </c>
      <c r="AE331" s="38" t="str">
        <f t="shared" si="52"/>
        <v/>
      </c>
      <c r="AF331" s="38" t="str">
        <f t="shared" si="53"/>
        <v/>
      </c>
    </row>
    <row r="332" spans="1:32" x14ac:dyDescent="0.3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38" t="str">
        <f>IF(OR(A332="Автомат",A332="Дифавтомат"),IF(W332="","",COUNTIFS(Однолинейка!$H$3:$H$3000,U332,Однолинейка!$A$3:$A$3000,Щит_спец)),IF(A332="Аппарат",IF(C332="","",COUNTIFS(Однолинейка!$I$3:$I$3000,C332,Однолинейка!$A$3:$A$3000,Щит_спец)+COUNTIFS(Однолинейка!$J$3:$J$3000,C332,Однолинейка!$A$3:$A$3000,Щит_спец)+COUNTIFS(Однолинейка!$K$3:$K$3000,C332,Однолинейка!$A$3:$A$3000,Щит_спец)),IF(A332="Модуль",IF(C332="","",COUNTIFS(Однолинейка!$AW$3:$AW$3000,"?*",Однолинейка!$AI$3:$AI$3000,C332,Однолинейка!$A$3:$A$3000,Щит_спец)),IF(A332="Клемма",IF(C332="","",IF(C332=$S$7,SUMIFS(Однолинейка!$BW$3:$BW$3000,Однолинейка!$A$3:$A$3000,Щит_спец),IF(C332=$S$8,SUMIFS(Однолинейка!$BX$3:$BX$3000,Однолинейка!$A$3:$A$3000,Щит_спец),""))),""))))</f>
        <v/>
      </c>
      <c r="O332" s="74"/>
      <c r="P332" s="38" t="str">
        <f t="shared" si="45"/>
        <v/>
      </c>
      <c r="U332" s="38" t="str">
        <f t="shared" si="46"/>
        <v/>
      </c>
      <c r="V332" s="38" t="str">
        <f t="shared" si="47"/>
        <v/>
      </c>
      <c r="W332" s="38" t="str">
        <f>IF(AND(U332&lt;&gt;"",OR($S$4="(все)",B332=$S$4),IF($S$4="(все)",COUNTIF($U$4:U332,U332),COUNTIFS($U$4:U332,U332,$B$4:B332,B332))=1),MAX($W$3:W331)+1,"")</f>
        <v/>
      </c>
      <c r="X332" s="38" t="str">
        <f t="shared" si="48"/>
        <v/>
      </c>
      <c r="Y332" s="38" t="str">
        <f>IF(AND(A332="Аппарат",C332&lt;&gt;"",OR($S$5="(все)",B332=$S$5)),MAX($Y$3:Y331)+1,"")</f>
        <v/>
      </c>
      <c r="Z332" s="38" t="str">
        <f t="shared" si="49"/>
        <v/>
      </c>
      <c r="AA332" s="38" t="str">
        <f>IF(AND(A332="Модуль",C332&lt;&gt;"",OR($S$6="(все)",B332=$S$6)),MAX($AA$3:AA331)+1,"")</f>
        <v/>
      </c>
      <c r="AB332" s="38" t="str">
        <f t="shared" si="50"/>
        <v/>
      </c>
      <c r="AC332" s="38" t="str">
        <f>IF(OR(B332="",COUNTIF($B$4:B332,B332)&gt;1),"",MAX($AC$3:AC331)+1)</f>
        <v/>
      </c>
      <c r="AD332" s="38" t="str">
        <f t="shared" si="51"/>
        <v/>
      </c>
      <c r="AE332" s="38" t="str">
        <f t="shared" si="52"/>
        <v/>
      </c>
      <c r="AF332" s="38" t="str">
        <f t="shared" si="53"/>
        <v/>
      </c>
    </row>
    <row r="333" spans="1:32" x14ac:dyDescent="0.3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38" t="str">
        <f>IF(OR(A333="Автомат",A333="Дифавтомат"),IF(W333="","",COUNTIFS(Однолинейка!$H$3:$H$3000,U333,Однолинейка!$A$3:$A$3000,Щит_спец)),IF(A333="Аппарат",IF(C333="","",COUNTIFS(Однолинейка!$I$3:$I$3000,C333,Однолинейка!$A$3:$A$3000,Щит_спец)+COUNTIFS(Однолинейка!$J$3:$J$3000,C333,Однолинейка!$A$3:$A$3000,Щит_спец)+COUNTIFS(Однолинейка!$K$3:$K$3000,C333,Однолинейка!$A$3:$A$3000,Щит_спец)),IF(A333="Модуль",IF(C333="","",COUNTIFS(Однолинейка!$AW$3:$AW$3000,"?*",Однолинейка!$AI$3:$AI$3000,C333,Однолинейка!$A$3:$A$3000,Щит_спец)),IF(A333="Клемма",IF(C333="","",IF(C333=$S$7,SUMIFS(Однолинейка!$BW$3:$BW$3000,Однолинейка!$A$3:$A$3000,Щит_спец),IF(C333=$S$8,SUMIFS(Однолинейка!$BX$3:$BX$3000,Однолинейка!$A$3:$A$3000,Щит_спец),""))),""))))</f>
        <v/>
      </c>
      <c r="O333" s="74"/>
      <c r="P333" s="38" t="str">
        <f t="shared" si="45"/>
        <v/>
      </c>
      <c r="U333" s="38" t="str">
        <f t="shared" si="46"/>
        <v/>
      </c>
      <c r="V333" s="38" t="str">
        <f t="shared" si="47"/>
        <v/>
      </c>
      <c r="W333" s="38" t="str">
        <f>IF(AND(U333&lt;&gt;"",OR($S$4="(все)",B333=$S$4),IF($S$4="(все)",COUNTIF($U$4:U333,U333),COUNTIFS($U$4:U333,U333,$B$4:B333,B333))=1),MAX($W$3:W332)+1,"")</f>
        <v/>
      </c>
      <c r="X333" s="38" t="str">
        <f t="shared" si="48"/>
        <v/>
      </c>
      <c r="Y333" s="38" t="str">
        <f>IF(AND(A333="Аппарат",C333&lt;&gt;"",OR($S$5="(все)",B333=$S$5)),MAX($Y$3:Y332)+1,"")</f>
        <v/>
      </c>
      <c r="Z333" s="38" t="str">
        <f t="shared" si="49"/>
        <v/>
      </c>
      <c r="AA333" s="38" t="str">
        <f>IF(AND(A333="Модуль",C333&lt;&gt;"",OR($S$6="(все)",B333=$S$6)),MAX($AA$3:AA332)+1,"")</f>
        <v/>
      </c>
      <c r="AB333" s="38" t="str">
        <f t="shared" si="50"/>
        <v/>
      </c>
      <c r="AC333" s="38" t="str">
        <f>IF(OR(B333="",COUNTIF($B$4:B333,B333)&gt;1),"",MAX($AC$3:AC332)+1)</f>
        <v/>
      </c>
      <c r="AD333" s="38" t="str">
        <f t="shared" si="51"/>
        <v/>
      </c>
      <c r="AE333" s="38" t="str">
        <f t="shared" si="52"/>
        <v/>
      </c>
      <c r="AF333" s="38" t="str">
        <f t="shared" si="53"/>
        <v/>
      </c>
    </row>
    <row r="334" spans="1:32" x14ac:dyDescent="0.3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38" t="str">
        <f>IF(OR(A334="Автомат",A334="Дифавтомат"),IF(W334="","",COUNTIFS(Однолинейка!$H$3:$H$3000,U334,Однолинейка!$A$3:$A$3000,Щит_спец)),IF(A334="Аппарат",IF(C334="","",COUNTIFS(Однолинейка!$I$3:$I$3000,C334,Однолинейка!$A$3:$A$3000,Щит_спец)+COUNTIFS(Однолинейка!$J$3:$J$3000,C334,Однолинейка!$A$3:$A$3000,Щит_спец)+COUNTIFS(Однолинейка!$K$3:$K$3000,C334,Однолинейка!$A$3:$A$3000,Щит_спец)),IF(A334="Модуль",IF(C334="","",COUNTIFS(Однолинейка!$AW$3:$AW$3000,"?*",Однолинейка!$AI$3:$AI$3000,C334,Однолинейка!$A$3:$A$3000,Щит_спец)),IF(A334="Клемма",IF(C334="","",IF(C334=$S$7,SUMIFS(Однолинейка!$BW$3:$BW$3000,Однолинейка!$A$3:$A$3000,Щит_спец),IF(C334=$S$8,SUMIFS(Однолинейка!$BX$3:$BX$3000,Однолинейка!$A$3:$A$3000,Щит_спец),""))),""))))</f>
        <v/>
      </c>
      <c r="O334" s="74"/>
      <c r="P334" s="38" t="str">
        <f t="shared" si="45"/>
        <v/>
      </c>
      <c r="U334" s="38" t="str">
        <f t="shared" si="46"/>
        <v/>
      </c>
      <c r="V334" s="38" t="str">
        <f t="shared" si="47"/>
        <v/>
      </c>
      <c r="W334" s="38" t="str">
        <f>IF(AND(U334&lt;&gt;"",OR($S$4="(все)",B334=$S$4),IF($S$4="(все)",COUNTIF($U$4:U334,U334),COUNTIFS($U$4:U334,U334,$B$4:B334,B334))=1),MAX($W$3:W333)+1,"")</f>
        <v/>
      </c>
      <c r="X334" s="38" t="str">
        <f t="shared" si="48"/>
        <v/>
      </c>
      <c r="Y334" s="38" t="str">
        <f>IF(AND(A334="Аппарат",C334&lt;&gt;"",OR($S$5="(все)",B334=$S$5)),MAX($Y$3:Y333)+1,"")</f>
        <v/>
      </c>
      <c r="Z334" s="38" t="str">
        <f t="shared" si="49"/>
        <v/>
      </c>
      <c r="AA334" s="38" t="str">
        <f>IF(AND(A334="Модуль",C334&lt;&gt;"",OR($S$6="(все)",B334=$S$6)),MAX($AA$3:AA333)+1,"")</f>
        <v/>
      </c>
      <c r="AB334" s="38" t="str">
        <f t="shared" si="50"/>
        <v/>
      </c>
      <c r="AC334" s="38" t="str">
        <f>IF(OR(B334="",COUNTIF($B$4:B334,B334)&gt;1),"",MAX($AC$3:AC333)+1)</f>
        <v/>
      </c>
      <c r="AD334" s="38" t="str">
        <f t="shared" si="51"/>
        <v/>
      </c>
      <c r="AE334" s="38" t="str">
        <f t="shared" si="52"/>
        <v/>
      </c>
      <c r="AF334" s="38" t="str">
        <f t="shared" si="53"/>
        <v/>
      </c>
    </row>
    <row r="335" spans="1:32" x14ac:dyDescent="0.3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38" t="str">
        <f>IF(OR(A335="Автомат",A335="Дифавтомат"),IF(W335="","",COUNTIFS(Однолинейка!$H$3:$H$3000,U335,Однолинейка!$A$3:$A$3000,Щит_спец)),IF(A335="Аппарат",IF(C335="","",COUNTIFS(Однолинейка!$I$3:$I$3000,C335,Однолинейка!$A$3:$A$3000,Щит_спец)+COUNTIFS(Однолинейка!$J$3:$J$3000,C335,Однолинейка!$A$3:$A$3000,Щит_спец)+COUNTIFS(Однолинейка!$K$3:$K$3000,C335,Однолинейка!$A$3:$A$3000,Щит_спец)),IF(A335="Модуль",IF(C335="","",COUNTIFS(Однолинейка!$AW$3:$AW$3000,"?*",Однолинейка!$AI$3:$AI$3000,C335,Однолинейка!$A$3:$A$3000,Щит_спец)),IF(A335="Клемма",IF(C335="","",IF(C335=$S$7,SUMIFS(Однолинейка!$BW$3:$BW$3000,Однолинейка!$A$3:$A$3000,Щит_спец),IF(C335=$S$8,SUMIFS(Однолинейка!$BX$3:$BX$3000,Однолинейка!$A$3:$A$3000,Щит_спец),""))),""))))</f>
        <v/>
      </c>
      <c r="O335" s="74"/>
      <c r="P335" s="38" t="str">
        <f t="shared" si="45"/>
        <v/>
      </c>
      <c r="U335" s="38" t="str">
        <f t="shared" si="46"/>
        <v/>
      </c>
      <c r="V335" s="38" t="str">
        <f t="shared" si="47"/>
        <v/>
      </c>
      <c r="W335" s="38" t="str">
        <f>IF(AND(U335&lt;&gt;"",OR($S$4="(все)",B335=$S$4),IF($S$4="(все)",COUNTIF($U$4:U335,U335),COUNTIFS($U$4:U335,U335,$B$4:B335,B335))=1),MAX($W$3:W334)+1,"")</f>
        <v/>
      </c>
      <c r="X335" s="38" t="str">
        <f t="shared" si="48"/>
        <v/>
      </c>
      <c r="Y335" s="38" t="str">
        <f>IF(AND(A335="Аппарат",C335&lt;&gt;"",OR($S$5="(все)",B335=$S$5)),MAX($Y$3:Y334)+1,"")</f>
        <v/>
      </c>
      <c r="Z335" s="38" t="str">
        <f t="shared" si="49"/>
        <v/>
      </c>
      <c r="AA335" s="38" t="str">
        <f>IF(AND(A335="Модуль",C335&lt;&gt;"",OR($S$6="(все)",B335=$S$6)),MAX($AA$3:AA334)+1,"")</f>
        <v/>
      </c>
      <c r="AB335" s="38" t="str">
        <f t="shared" si="50"/>
        <v/>
      </c>
      <c r="AC335" s="38" t="str">
        <f>IF(OR(B335="",COUNTIF($B$4:B335,B335)&gt;1),"",MAX($AC$3:AC334)+1)</f>
        <v/>
      </c>
      <c r="AD335" s="38" t="str">
        <f t="shared" si="51"/>
        <v/>
      </c>
      <c r="AE335" s="38" t="str">
        <f t="shared" si="52"/>
        <v/>
      </c>
      <c r="AF335" s="38" t="str">
        <f t="shared" si="53"/>
        <v/>
      </c>
    </row>
    <row r="336" spans="1:32" x14ac:dyDescent="0.3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38" t="str">
        <f>IF(OR(A336="Автомат",A336="Дифавтомат"),IF(W336="","",COUNTIFS(Однолинейка!$H$3:$H$3000,U336,Однолинейка!$A$3:$A$3000,Щит_спец)),IF(A336="Аппарат",IF(C336="","",COUNTIFS(Однолинейка!$I$3:$I$3000,C336,Однолинейка!$A$3:$A$3000,Щит_спец)+COUNTIFS(Однолинейка!$J$3:$J$3000,C336,Однолинейка!$A$3:$A$3000,Щит_спец)+COUNTIFS(Однолинейка!$K$3:$K$3000,C336,Однолинейка!$A$3:$A$3000,Щит_спец)),IF(A336="Модуль",IF(C336="","",COUNTIFS(Однолинейка!$AW$3:$AW$3000,"?*",Однолинейка!$AI$3:$AI$3000,C336,Однолинейка!$A$3:$A$3000,Щит_спец)),IF(A336="Клемма",IF(C336="","",IF(C336=$S$7,SUMIFS(Однолинейка!$BW$3:$BW$3000,Однолинейка!$A$3:$A$3000,Щит_спец),IF(C336=$S$8,SUMIFS(Однолинейка!$BX$3:$BX$3000,Однолинейка!$A$3:$A$3000,Щит_спец),""))),""))))</f>
        <v/>
      </c>
      <c r="O336" s="74"/>
      <c r="P336" s="38" t="str">
        <f t="shared" si="45"/>
        <v/>
      </c>
      <c r="U336" s="38" t="str">
        <f t="shared" si="46"/>
        <v/>
      </c>
      <c r="V336" s="38" t="str">
        <f t="shared" si="47"/>
        <v/>
      </c>
      <c r="W336" s="38" t="str">
        <f>IF(AND(U336&lt;&gt;"",OR($S$4="(все)",B336=$S$4),IF($S$4="(все)",COUNTIF($U$4:U336,U336),COUNTIFS($U$4:U336,U336,$B$4:B336,B336))=1),MAX($W$3:W335)+1,"")</f>
        <v/>
      </c>
      <c r="X336" s="38" t="str">
        <f t="shared" si="48"/>
        <v/>
      </c>
      <c r="Y336" s="38" t="str">
        <f>IF(AND(A336="Аппарат",C336&lt;&gt;"",OR($S$5="(все)",B336=$S$5)),MAX($Y$3:Y335)+1,"")</f>
        <v/>
      </c>
      <c r="Z336" s="38" t="str">
        <f t="shared" si="49"/>
        <v/>
      </c>
      <c r="AA336" s="38" t="str">
        <f>IF(AND(A336="Модуль",C336&lt;&gt;"",OR($S$6="(все)",B336=$S$6)),MAX($AA$3:AA335)+1,"")</f>
        <v/>
      </c>
      <c r="AB336" s="38" t="str">
        <f t="shared" si="50"/>
        <v/>
      </c>
      <c r="AC336" s="38" t="str">
        <f>IF(OR(B336="",COUNTIF($B$4:B336,B336)&gt;1),"",MAX($AC$3:AC335)+1)</f>
        <v/>
      </c>
      <c r="AD336" s="38" t="str">
        <f t="shared" si="51"/>
        <v/>
      </c>
      <c r="AE336" s="38" t="str">
        <f t="shared" si="52"/>
        <v/>
      </c>
      <c r="AF336" s="38" t="str">
        <f t="shared" si="53"/>
        <v/>
      </c>
    </row>
    <row r="337" spans="1:32" x14ac:dyDescent="0.3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38" t="str">
        <f>IF(OR(A337="Автомат",A337="Дифавтомат"),IF(W337="","",COUNTIFS(Однолинейка!$H$3:$H$3000,U337,Однолинейка!$A$3:$A$3000,Щит_спец)),IF(A337="Аппарат",IF(C337="","",COUNTIFS(Однолинейка!$I$3:$I$3000,C337,Однолинейка!$A$3:$A$3000,Щит_спец)+COUNTIFS(Однолинейка!$J$3:$J$3000,C337,Однолинейка!$A$3:$A$3000,Щит_спец)+COUNTIFS(Однолинейка!$K$3:$K$3000,C337,Однолинейка!$A$3:$A$3000,Щит_спец)),IF(A337="Модуль",IF(C337="","",COUNTIFS(Однолинейка!$AW$3:$AW$3000,"?*",Однолинейка!$AI$3:$AI$3000,C337,Однолинейка!$A$3:$A$3000,Щит_спец)),IF(A337="Клемма",IF(C337="","",IF(C337=$S$7,SUMIFS(Однолинейка!$BW$3:$BW$3000,Однолинейка!$A$3:$A$3000,Щит_спец),IF(C337=$S$8,SUMIFS(Однолинейка!$BX$3:$BX$3000,Однолинейка!$A$3:$A$3000,Щит_спец),""))),""))))</f>
        <v/>
      </c>
      <c r="O337" s="74"/>
      <c r="P337" s="38" t="str">
        <f t="shared" si="45"/>
        <v/>
      </c>
      <c r="U337" s="38" t="str">
        <f t="shared" si="46"/>
        <v/>
      </c>
      <c r="V337" s="38" t="str">
        <f t="shared" si="47"/>
        <v/>
      </c>
      <c r="W337" s="38" t="str">
        <f>IF(AND(U337&lt;&gt;"",OR($S$4="(все)",B337=$S$4),IF($S$4="(все)",COUNTIF($U$4:U337,U337),COUNTIFS($U$4:U337,U337,$B$4:B337,B337))=1),MAX($W$3:W336)+1,"")</f>
        <v/>
      </c>
      <c r="X337" s="38" t="str">
        <f t="shared" si="48"/>
        <v/>
      </c>
      <c r="Y337" s="38" t="str">
        <f>IF(AND(A337="Аппарат",C337&lt;&gt;"",OR($S$5="(все)",B337=$S$5)),MAX($Y$3:Y336)+1,"")</f>
        <v/>
      </c>
      <c r="Z337" s="38" t="str">
        <f t="shared" si="49"/>
        <v/>
      </c>
      <c r="AA337" s="38" t="str">
        <f>IF(AND(A337="Модуль",C337&lt;&gt;"",OR($S$6="(все)",B337=$S$6)),MAX($AA$3:AA336)+1,"")</f>
        <v/>
      </c>
      <c r="AB337" s="38" t="str">
        <f t="shared" si="50"/>
        <v/>
      </c>
      <c r="AC337" s="38" t="str">
        <f>IF(OR(B337="",COUNTIF($B$4:B337,B337)&gt;1),"",MAX($AC$3:AC336)+1)</f>
        <v/>
      </c>
      <c r="AD337" s="38" t="str">
        <f t="shared" si="51"/>
        <v/>
      </c>
      <c r="AE337" s="38" t="str">
        <f t="shared" si="52"/>
        <v/>
      </c>
      <c r="AF337" s="38" t="str">
        <f t="shared" si="53"/>
        <v/>
      </c>
    </row>
    <row r="338" spans="1:32" x14ac:dyDescent="0.3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38" t="str">
        <f>IF(OR(A338="Автомат",A338="Дифавтомат"),IF(W338="","",COUNTIFS(Однолинейка!$H$3:$H$3000,U338,Однолинейка!$A$3:$A$3000,Щит_спец)),IF(A338="Аппарат",IF(C338="","",COUNTIFS(Однолинейка!$I$3:$I$3000,C338,Однолинейка!$A$3:$A$3000,Щит_спец)+COUNTIFS(Однолинейка!$J$3:$J$3000,C338,Однолинейка!$A$3:$A$3000,Щит_спец)+COUNTIFS(Однолинейка!$K$3:$K$3000,C338,Однолинейка!$A$3:$A$3000,Щит_спец)),IF(A338="Модуль",IF(C338="","",COUNTIFS(Однолинейка!$AW$3:$AW$3000,"?*",Однолинейка!$AI$3:$AI$3000,C338,Однолинейка!$A$3:$A$3000,Щит_спец)),IF(A338="Клемма",IF(C338="","",IF(C338=$S$7,SUMIFS(Однолинейка!$BW$3:$BW$3000,Однолинейка!$A$3:$A$3000,Щит_спец),IF(C338=$S$8,SUMIFS(Однолинейка!$BX$3:$BX$3000,Однолинейка!$A$3:$A$3000,Щит_спец),""))),""))))</f>
        <v/>
      </c>
      <c r="O338" s="74"/>
      <c r="P338" s="38" t="str">
        <f t="shared" si="45"/>
        <v/>
      </c>
      <c r="U338" s="38" t="str">
        <f t="shared" si="46"/>
        <v/>
      </c>
      <c r="V338" s="38" t="str">
        <f t="shared" si="47"/>
        <v/>
      </c>
      <c r="W338" s="38" t="str">
        <f>IF(AND(U338&lt;&gt;"",OR($S$4="(все)",B338=$S$4),IF($S$4="(все)",COUNTIF($U$4:U338,U338),COUNTIFS($U$4:U338,U338,$B$4:B338,B338))=1),MAX($W$3:W337)+1,"")</f>
        <v/>
      </c>
      <c r="X338" s="38" t="str">
        <f t="shared" si="48"/>
        <v/>
      </c>
      <c r="Y338" s="38" t="str">
        <f>IF(AND(A338="Аппарат",C338&lt;&gt;"",OR($S$5="(все)",B338=$S$5)),MAX($Y$3:Y337)+1,"")</f>
        <v/>
      </c>
      <c r="Z338" s="38" t="str">
        <f t="shared" si="49"/>
        <v/>
      </c>
      <c r="AA338" s="38" t="str">
        <f>IF(AND(A338="Модуль",C338&lt;&gt;"",OR($S$6="(все)",B338=$S$6)),MAX($AA$3:AA337)+1,"")</f>
        <v/>
      </c>
      <c r="AB338" s="38" t="str">
        <f t="shared" si="50"/>
        <v/>
      </c>
      <c r="AC338" s="38" t="str">
        <f>IF(OR(B338="",COUNTIF($B$4:B338,B338)&gt;1),"",MAX($AC$3:AC337)+1)</f>
        <v/>
      </c>
      <c r="AD338" s="38" t="str">
        <f t="shared" si="51"/>
        <v/>
      </c>
      <c r="AE338" s="38" t="str">
        <f t="shared" si="52"/>
        <v/>
      </c>
      <c r="AF338" s="38" t="str">
        <f t="shared" si="53"/>
        <v/>
      </c>
    </row>
    <row r="339" spans="1:32" x14ac:dyDescent="0.3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38" t="str">
        <f>IF(OR(A339="Автомат",A339="Дифавтомат"),IF(W339="","",COUNTIFS(Однолинейка!$H$3:$H$3000,U339,Однолинейка!$A$3:$A$3000,Щит_спец)),IF(A339="Аппарат",IF(C339="","",COUNTIFS(Однолинейка!$I$3:$I$3000,C339,Однолинейка!$A$3:$A$3000,Щит_спец)+COUNTIFS(Однолинейка!$J$3:$J$3000,C339,Однолинейка!$A$3:$A$3000,Щит_спец)+COUNTIFS(Однолинейка!$K$3:$K$3000,C339,Однолинейка!$A$3:$A$3000,Щит_спец)),IF(A339="Модуль",IF(C339="","",COUNTIFS(Однолинейка!$AW$3:$AW$3000,"?*",Однолинейка!$AI$3:$AI$3000,C339,Однолинейка!$A$3:$A$3000,Щит_спец)),IF(A339="Клемма",IF(C339="","",IF(C339=$S$7,SUMIFS(Однолинейка!$BW$3:$BW$3000,Однолинейка!$A$3:$A$3000,Щит_спец),IF(C339=$S$8,SUMIFS(Однолинейка!$BX$3:$BX$3000,Однолинейка!$A$3:$A$3000,Щит_спец),""))),""))))</f>
        <v/>
      </c>
      <c r="O339" s="74"/>
      <c r="P339" s="38" t="str">
        <f t="shared" si="45"/>
        <v/>
      </c>
      <c r="U339" s="38" t="str">
        <f t="shared" si="46"/>
        <v/>
      </c>
      <c r="V339" s="38" t="str">
        <f t="shared" si="47"/>
        <v/>
      </c>
      <c r="W339" s="38" t="str">
        <f>IF(AND(U339&lt;&gt;"",OR($S$4="(все)",B339=$S$4),IF($S$4="(все)",COUNTIF($U$4:U339,U339),COUNTIFS($U$4:U339,U339,$B$4:B339,B339))=1),MAX($W$3:W338)+1,"")</f>
        <v/>
      </c>
      <c r="X339" s="38" t="str">
        <f t="shared" si="48"/>
        <v/>
      </c>
      <c r="Y339" s="38" t="str">
        <f>IF(AND(A339="Аппарат",C339&lt;&gt;"",OR($S$5="(все)",B339=$S$5)),MAX($Y$3:Y338)+1,"")</f>
        <v/>
      </c>
      <c r="Z339" s="38" t="str">
        <f t="shared" si="49"/>
        <v/>
      </c>
      <c r="AA339" s="38" t="str">
        <f>IF(AND(A339="Модуль",C339&lt;&gt;"",OR($S$6="(все)",B339=$S$6)),MAX($AA$3:AA338)+1,"")</f>
        <v/>
      </c>
      <c r="AB339" s="38" t="str">
        <f t="shared" si="50"/>
        <v/>
      </c>
      <c r="AC339" s="38" t="str">
        <f>IF(OR(B339="",COUNTIF($B$4:B339,B339)&gt;1),"",MAX($AC$3:AC338)+1)</f>
        <v/>
      </c>
      <c r="AD339" s="38" t="str">
        <f t="shared" si="51"/>
        <v/>
      </c>
      <c r="AE339" s="38" t="str">
        <f t="shared" si="52"/>
        <v/>
      </c>
      <c r="AF339" s="38" t="str">
        <f t="shared" si="53"/>
        <v/>
      </c>
    </row>
    <row r="340" spans="1:32" x14ac:dyDescent="0.3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38" t="str">
        <f>IF(OR(A340="Автомат",A340="Дифавтомат"),IF(W340="","",COUNTIFS(Однолинейка!$H$3:$H$3000,U340,Однолинейка!$A$3:$A$3000,Щит_спец)),IF(A340="Аппарат",IF(C340="","",COUNTIFS(Однолинейка!$I$3:$I$3000,C340,Однолинейка!$A$3:$A$3000,Щит_спец)+COUNTIFS(Однолинейка!$J$3:$J$3000,C340,Однолинейка!$A$3:$A$3000,Щит_спец)+COUNTIFS(Однолинейка!$K$3:$K$3000,C340,Однолинейка!$A$3:$A$3000,Щит_спец)),IF(A340="Модуль",IF(C340="","",COUNTIFS(Однолинейка!$AW$3:$AW$3000,"?*",Однолинейка!$AI$3:$AI$3000,C340,Однолинейка!$A$3:$A$3000,Щит_спец)),IF(A340="Клемма",IF(C340="","",IF(C340=$S$7,SUMIFS(Однолинейка!$BW$3:$BW$3000,Однолинейка!$A$3:$A$3000,Щит_спец),IF(C340=$S$8,SUMIFS(Однолинейка!$BX$3:$BX$3000,Однолинейка!$A$3:$A$3000,Щит_спец),""))),""))))</f>
        <v/>
      </c>
      <c r="O340" s="74"/>
      <c r="P340" s="38" t="str">
        <f t="shared" si="45"/>
        <v/>
      </c>
      <c r="U340" s="38" t="str">
        <f t="shared" si="46"/>
        <v/>
      </c>
      <c r="V340" s="38" t="str">
        <f t="shared" si="47"/>
        <v/>
      </c>
      <c r="W340" s="38" t="str">
        <f>IF(AND(U340&lt;&gt;"",OR($S$4="(все)",B340=$S$4),IF($S$4="(все)",COUNTIF($U$4:U340,U340),COUNTIFS($U$4:U340,U340,$B$4:B340,B340))=1),MAX($W$3:W339)+1,"")</f>
        <v/>
      </c>
      <c r="X340" s="38" t="str">
        <f t="shared" si="48"/>
        <v/>
      </c>
      <c r="Y340" s="38" t="str">
        <f>IF(AND(A340="Аппарат",C340&lt;&gt;"",OR($S$5="(все)",B340=$S$5)),MAX($Y$3:Y339)+1,"")</f>
        <v/>
      </c>
      <c r="Z340" s="38" t="str">
        <f t="shared" si="49"/>
        <v/>
      </c>
      <c r="AA340" s="38" t="str">
        <f>IF(AND(A340="Модуль",C340&lt;&gt;"",OR($S$6="(все)",B340=$S$6)),MAX($AA$3:AA339)+1,"")</f>
        <v/>
      </c>
      <c r="AB340" s="38" t="str">
        <f t="shared" si="50"/>
        <v/>
      </c>
      <c r="AC340" s="38" t="str">
        <f>IF(OR(B340="",COUNTIF($B$4:B340,B340)&gt;1),"",MAX($AC$3:AC339)+1)</f>
        <v/>
      </c>
      <c r="AD340" s="38" t="str">
        <f t="shared" si="51"/>
        <v/>
      </c>
      <c r="AE340" s="38" t="str">
        <f t="shared" si="52"/>
        <v/>
      </c>
      <c r="AF340" s="38" t="str">
        <f t="shared" si="53"/>
        <v/>
      </c>
    </row>
    <row r="341" spans="1:32" x14ac:dyDescent="0.3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38" t="str">
        <f>IF(OR(A341="Автомат",A341="Дифавтомат"),IF(W341="","",COUNTIFS(Однолинейка!$H$3:$H$3000,U341,Однолинейка!$A$3:$A$3000,Щит_спец)),IF(A341="Аппарат",IF(C341="","",COUNTIFS(Однолинейка!$I$3:$I$3000,C341,Однолинейка!$A$3:$A$3000,Щит_спец)+COUNTIFS(Однолинейка!$J$3:$J$3000,C341,Однолинейка!$A$3:$A$3000,Щит_спец)+COUNTIFS(Однолинейка!$K$3:$K$3000,C341,Однолинейка!$A$3:$A$3000,Щит_спец)),IF(A341="Модуль",IF(C341="","",COUNTIFS(Однолинейка!$AW$3:$AW$3000,"?*",Однолинейка!$AI$3:$AI$3000,C341,Однолинейка!$A$3:$A$3000,Щит_спец)),IF(A341="Клемма",IF(C341="","",IF(C341=$S$7,SUMIFS(Однолинейка!$BW$3:$BW$3000,Однолинейка!$A$3:$A$3000,Щит_спец),IF(C341=$S$8,SUMIFS(Однолинейка!$BX$3:$BX$3000,Однолинейка!$A$3:$A$3000,Щит_спец),""))),""))))</f>
        <v/>
      </c>
      <c r="O341" s="74"/>
      <c r="P341" s="38" t="str">
        <f t="shared" si="45"/>
        <v/>
      </c>
      <c r="U341" s="38" t="str">
        <f t="shared" si="46"/>
        <v/>
      </c>
      <c r="V341" s="38" t="str">
        <f t="shared" si="47"/>
        <v/>
      </c>
      <c r="W341" s="38" t="str">
        <f>IF(AND(U341&lt;&gt;"",OR($S$4="(все)",B341=$S$4),IF($S$4="(все)",COUNTIF($U$4:U341,U341),COUNTIFS($U$4:U341,U341,$B$4:B341,B341))=1),MAX($W$3:W340)+1,"")</f>
        <v/>
      </c>
      <c r="X341" s="38" t="str">
        <f t="shared" si="48"/>
        <v/>
      </c>
      <c r="Y341" s="38" t="str">
        <f>IF(AND(A341="Аппарат",C341&lt;&gt;"",OR($S$5="(все)",B341=$S$5)),MAX($Y$3:Y340)+1,"")</f>
        <v/>
      </c>
      <c r="Z341" s="38" t="str">
        <f t="shared" si="49"/>
        <v/>
      </c>
      <c r="AA341" s="38" t="str">
        <f>IF(AND(A341="Модуль",C341&lt;&gt;"",OR($S$6="(все)",B341=$S$6)),MAX($AA$3:AA340)+1,"")</f>
        <v/>
      </c>
      <c r="AB341" s="38" t="str">
        <f t="shared" si="50"/>
        <v/>
      </c>
      <c r="AC341" s="38" t="str">
        <f>IF(OR(B341="",COUNTIF($B$4:B341,B341)&gt;1),"",MAX($AC$3:AC340)+1)</f>
        <v/>
      </c>
      <c r="AD341" s="38" t="str">
        <f t="shared" si="51"/>
        <v/>
      </c>
      <c r="AE341" s="38" t="str">
        <f t="shared" si="52"/>
        <v/>
      </c>
      <c r="AF341" s="38" t="str">
        <f t="shared" si="53"/>
        <v/>
      </c>
    </row>
    <row r="342" spans="1:32" x14ac:dyDescent="0.3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38" t="str">
        <f>IF(OR(A342="Автомат",A342="Дифавтомат"),IF(W342="","",COUNTIFS(Однолинейка!$H$3:$H$3000,U342,Однолинейка!$A$3:$A$3000,Щит_спец)),IF(A342="Аппарат",IF(C342="","",COUNTIFS(Однолинейка!$I$3:$I$3000,C342,Однолинейка!$A$3:$A$3000,Щит_спец)+COUNTIFS(Однолинейка!$J$3:$J$3000,C342,Однолинейка!$A$3:$A$3000,Щит_спец)+COUNTIFS(Однолинейка!$K$3:$K$3000,C342,Однолинейка!$A$3:$A$3000,Щит_спец)),IF(A342="Модуль",IF(C342="","",COUNTIFS(Однолинейка!$AW$3:$AW$3000,"?*",Однолинейка!$AI$3:$AI$3000,C342,Однолинейка!$A$3:$A$3000,Щит_спец)),IF(A342="Клемма",IF(C342="","",IF(C342=$S$7,SUMIFS(Однолинейка!$BW$3:$BW$3000,Однолинейка!$A$3:$A$3000,Щит_спец),IF(C342=$S$8,SUMIFS(Однолинейка!$BX$3:$BX$3000,Однолинейка!$A$3:$A$3000,Щит_спец),""))),""))))</f>
        <v/>
      </c>
      <c r="O342" s="74"/>
      <c r="P342" s="38" t="str">
        <f t="shared" si="45"/>
        <v/>
      </c>
      <c r="U342" s="38" t="str">
        <f t="shared" si="46"/>
        <v/>
      </c>
      <c r="V342" s="38" t="str">
        <f t="shared" si="47"/>
        <v/>
      </c>
      <c r="W342" s="38" t="str">
        <f>IF(AND(U342&lt;&gt;"",OR($S$4="(все)",B342=$S$4),IF($S$4="(все)",COUNTIF($U$4:U342,U342),COUNTIFS($U$4:U342,U342,$B$4:B342,B342))=1),MAX($W$3:W341)+1,"")</f>
        <v/>
      </c>
      <c r="X342" s="38" t="str">
        <f t="shared" si="48"/>
        <v/>
      </c>
      <c r="Y342" s="38" t="str">
        <f>IF(AND(A342="Аппарат",C342&lt;&gt;"",OR($S$5="(все)",B342=$S$5)),MAX($Y$3:Y341)+1,"")</f>
        <v/>
      </c>
      <c r="Z342" s="38" t="str">
        <f t="shared" si="49"/>
        <v/>
      </c>
      <c r="AA342" s="38" t="str">
        <f>IF(AND(A342="Модуль",C342&lt;&gt;"",OR($S$6="(все)",B342=$S$6)),MAX($AA$3:AA341)+1,"")</f>
        <v/>
      </c>
      <c r="AB342" s="38" t="str">
        <f t="shared" si="50"/>
        <v/>
      </c>
      <c r="AC342" s="38" t="str">
        <f>IF(OR(B342="",COUNTIF($B$4:B342,B342)&gt;1),"",MAX($AC$3:AC341)+1)</f>
        <v/>
      </c>
      <c r="AD342" s="38" t="str">
        <f t="shared" si="51"/>
        <v/>
      </c>
      <c r="AE342" s="38" t="str">
        <f t="shared" si="52"/>
        <v/>
      </c>
      <c r="AF342" s="38" t="str">
        <f t="shared" si="53"/>
        <v/>
      </c>
    </row>
    <row r="343" spans="1:32" x14ac:dyDescent="0.3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38" t="str">
        <f>IF(OR(A343="Автомат",A343="Дифавтомат"),IF(W343="","",COUNTIFS(Однолинейка!$H$3:$H$3000,U343,Однолинейка!$A$3:$A$3000,Щит_спец)),IF(A343="Аппарат",IF(C343="","",COUNTIFS(Однолинейка!$I$3:$I$3000,C343,Однолинейка!$A$3:$A$3000,Щит_спец)+COUNTIFS(Однолинейка!$J$3:$J$3000,C343,Однолинейка!$A$3:$A$3000,Щит_спец)+COUNTIFS(Однолинейка!$K$3:$K$3000,C343,Однолинейка!$A$3:$A$3000,Щит_спец)),IF(A343="Модуль",IF(C343="","",COUNTIFS(Однолинейка!$AW$3:$AW$3000,"?*",Однолинейка!$AI$3:$AI$3000,C343,Однолинейка!$A$3:$A$3000,Щит_спец)),IF(A343="Клемма",IF(C343="","",IF(C343=$S$7,SUMIFS(Однолинейка!$BW$3:$BW$3000,Однолинейка!$A$3:$A$3000,Щит_спец),IF(C343=$S$8,SUMIFS(Однолинейка!$BX$3:$BX$3000,Однолинейка!$A$3:$A$3000,Щит_спец),""))),""))))</f>
        <v/>
      </c>
      <c r="O343" s="74"/>
      <c r="P343" s="38" t="str">
        <f t="shared" si="45"/>
        <v/>
      </c>
      <c r="U343" s="38" t="str">
        <f t="shared" si="46"/>
        <v/>
      </c>
      <c r="V343" s="38" t="str">
        <f t="shared" si="47"/>
        <v/>
      </c>
      <c r="W343" s="38" t="str">
        <f>IF(AND(U343&lt;&gt;"",OR($S$4="(все)",B343=$S$4),IF($S$4="(все)",COUNTIF($U$4:U343,U343),COUNTIFS($U$4:U343,U343,$B$4:B343,B343))=1),MAX($W$3:W342)+1,"")</f>
        <v/>
      </c>
      <c r="X343" s="38" t="str">
        <f t="shared" si="48"/>
        <v/>
      </c>
      <c r="Y343" s="38" t="str">
        <f>IF(AND(A343="Аппарат",C343&lt;&gt;"",OR($S$5="(все)",B343=$S$5)),MAX($Y$3:Y342)+1,"")</f>
        <v/>
      </c>
      <c r="Z343" s="38" t="str">
        <f t="shared" si="49"/>
        <v/>
      </c>
      <c r="AA343" s="38" t="str">
        <f>IF(AND(A343="Модуль",C343&lt;&gt;"",OR($S$6="(все)",B343=$S$6)),MAX($AA$3:AA342)+1,"")</f>
        <v/>
      </c>
      <c r="AB343" s="38" t="str">
        <f t="shared" si="50"/>
        <v/>
      </c>
      <c r="AC343" s="38" t="str">
        <f>IF(OR(B343="",COUNTIF($B$4:B343,B343)&gt;1),"",MAX($AC$3:AC342)+1)</f>
        <v/>
      </c>
      <c r="AD343" s="38" t="str">
        <f t="shared" si="51"/>
        <v/>
      </c>
      <c r="AE343" s="38" t="str">
        <f t="shared" si="52"/>
        <v/>
      </c>
      <c r="AF343" s="38" t="str">
        <f t="shared" si="53"/>
        <v/>
      </c>
    </row>
    <row r="344" spans="1:32" x14ac:dyDescent="0.3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38" t="str">
        <f>IF(OR(A344="Автомат",A344="Дифавтомат"),IF(W344="","",COUNTIFS(Однолинейка!$H$3:$H$3000,U344,Однолинейка!$A$3:$A$3000,Щит_спец)),IF(A344="Аппарат",IF(C344="","",COUNTIFS(Однолинейка!$I$3:$I$3000,C344,Однолинейка!$A$3:$A$3000,Щит_спец)+COUNTIFS(Однолинейка!$J$3:$J$3000,C344,Однолинейка!$A$3:$A$3000,Щит_спец)+COUNTIFS(Однолинейка!$K$3:$K$3000,C344,Однолинейка!$A$3:$A$3000,Щит_спец)),IF(A344="Модуль",IF(C344="","",COUNTIFS(Однолинейка!$AW$3:$AW$3000,"?*",Однолинейка!$AI$3:$AI$3000,C344,Однолинейка!$A$3:$A$3000,Щит_спец)),IF(A344="Клемма",IF(C344="","",IF(C344=$S$7,SUMIFS(Однолинейка!$BW$3:$BW$3000,Однолинейка!$A$3:$A$3000,Щит_спец),IF(C344=$S$8,SUMIFS(Однолинейка!$BX$3:$BX$3000,Однолинейка!$A$3:$A$3000,Щит_спец),""))),""))))</f>
        <v/>
      </c>
      <c r="O344" s="74"/>
      <c r="P344" s="38" t="str">
        <f t="shared" si="45"/>
        <v/>
      </c>
      <c r="U344" s="38" t="str">
        <f t="shared" si="46"/>
        <v/>
      </c>
      <c r="V344" s="38" t="str">
        <f t="shared" si="47"/>
        <v/>
      </c>
      <c r="W344" s="38" t="str">
        <f>IF(AND(U344&lt;&gt;"",OR($S$4="(все)",B344=$S$4),IF($S$4="(все)",COUNTIF($U$4:U344,U344),COUNTIFS($U$4:U344,U344,$B$4:B344,B344))=1),MAX($W$3:W343)+1,"")</f>
        <v/>
      </c>
      <c r="X344" s="38" t="str">
        <f t="shared" si="48"/>
        <v/>
      </c>
      <c r="Y344" s="38" t="str">
        <f>IF(AND(A344="Аппарат",C344&lt;&gt;"",OR($S$5="(все)",B344=$S$5)),MAX($Y$3:Y343)+1,"")</f>
        <v/>
      </c>
      <c r="Z344" s="38" t="str">
        <f t="shared" si="49"/>
        <v/>
      </c>
      <c r="AA344" s="38" t="str">
        <f>IF(AND(A344="Модуль",C344&lt;&gt;"",OR($S$6="(все)",B344=$S$6)),MAX($AA$3:AA343)+1,"")</f>
        <v/>
      </c>
      <c r="AB344" s="38" t="str">
        <f t="shared" si="50"/>
        <v/>
      </c>
      <c r="AC344" s="38" t="str">
        <f>IF(OR(B344="",COUNTIF($B$4:B344,B344)&gt;1),"",MAX($AC$3:AC343)+1)</f>
        <v/>
      </c>
      <c r="AD344" s="38" t="str">
        <f t="shared" si="51"/>
        <v/>
      </c>
      <c r="AE344" s="38" t="str">
        <f t="shared" si="52"/>
        <v/>
      </c>
      <c r="AF344" s="38" t="str">
        <f t="shared" si="53"/>
        <v/>
      </c>
    </row>
    <row r="345" spans="1:32" x14ac:dyDescent="0.3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38" t="str">
        <f>IF(OR(A345="Автомат",A345="Дифавтомат"),IF(W345="","",COUNTIFS(Однолинейка!$H$3:$H$3000,U345,Однолинейка!$A$3:$A$3000,Щит_спец)),IF(A345="Аппарат",IF(C345="","",COUNTIFS(Однолинейка!$I$3:$I$3000,C345,Однолинейка!$A$3:$A$3000,Щит_спец)+COUNTIFS(Однолинейка!$J$3:$J$3000,C345,Однолинейка!$A$3:$A$3000,Щит_спец)+COUNTIFS(Однолинейка!$K$3:$K$3000,C345,Однолинейка!$A$3:$A$3000,Щит_спец)),IF(A345="Модуль",IF(C345="","",COUNTIFS(Однолинейка!$AW$3:$AW$3000,"?*",Однолинейка!$AI$3:$AI$3000,C345,Однолинейка!$A$3:$A$3000,Щит_спец)),IF(A345="Клемма",IF(C345="","",IF(C345=$S$7,SUMIFS(Однолинейка!$BW$3:$BW$3000,Однолинейка!$A$3:$A$3000,Щит_спец),IF(C345=$S$8,SUMIFS(Однолинейка!$BX$3:$BX$3000,Однолинейка!$A$3:$A$3000,Щит_спец),""))),""))))</f>
        <v/>
      </c>
      <c r="O345" s="74"/>
      <c r="P345" s="38" t="str">
        <f t="shared" si="45"/>
        <v/>
      </c>
      <c r="U345" s="38" t="str">
        <f t="shared" si="46"/>
        <v/>
      </c>
      <c r="V345" s="38" t="str">
        <f t="shared" si="47"/>
        <v/>
      </c>
      <c r="W345" s="38" t="str">
        <f>IF(AND(U345&lt;&gt;"",OR($S$4="(все)",B345=$S$4),IF($S$4="(все)",COUNTIF($U$4:U345,U345),COUNTIFS($U$4:U345,U345,$B$4:B345,B345))=1),MAX($W$3:W344)+1,"")</f>
        <v/>
      </c>
      <c r="X345" s="38" t="str">
        <f t="shared" si="48"/>
        <v/>
      </c>
      <c r="Y345" s="38" t="str">
        <f>IF(AND(A345="Аппарат",C345&lt;&gt;"",OR($S$5="(все)",B345=$S$5)),MAX($Y$3:Y344)+1,"")</f>
        <v/>
      </c>
      <c r="Z345" s="38" t="str">
        <f t="shared" si="49"/>
        <v/>
      </c>
      <c r="AA345" s="38" t="str">
        <f>IF(AND(A345="Модуль",C345&lt;&gt;"",OR($S$6="(все)",B345=$S$6)),MAX($AA$3:AA344)+1,"")</f>
        <v/>
      </c>
      <c r="AB345" s="38" t="str">
        <f t="shared" si="50"/>
        <v/>
      </c>
      <c r="AC345" s="38" t="str">
        <f>IF(OR(B345="",COUNTIF($B$4:B345,B345)&gt;1),"",MAX($AC$3:AC344)+1)</f>
        <v/>
      </c>
      <c r="AD345" s="38" t="str">
        <f t="shared" si="51"/>
        <v/>
      </c>
      <c r="AE345" s="38" t="str">
        <f t="shared" si="52"/>
        <v/>
      </c>
      <c r="AF345" s="38" t="str">
        <f t="shared" si="53"/>
        <v/>
      </c>
    </row>
    <row r="346" spans="1:32" x14ac:dyDescent="0.3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38" t="str">
        <f>IF(OR(A346="Автомат",A346="Дифавтомат"),IF(W346="","",COUNTIFS(Однолинейка!$H$3:$H$3000,U346,Однолинейка!$A$3:$A$3000,Щит_спец)),IF(A346="Аппарат",IF(C346="","",COUNTIFS(Однолинейка!$I$3:$I$3000,C346,Однолинейка!$A$3:$A$3000,Щит_спец)+COUNTIFS(Однолинейка!$J$3:$J$3000,C346,Однолинейка!$A$3:$A$3000,Щит_спец)+COUNTIFS(Однолинейка!$K$3:$K$3000,C346,Однолинейка!$A$3:$A$3000,Щит_спец)),IF(A346="Модуль",IF(C346="","",COUNTIFS(Однолинейка!$AW$3:$AW$3000,"?*",Однолинейка!$AI$3:$AI$3000,C346,Однолинейка!$A$3:$A$3000,Щит_спец)),IF(A346="Клемма",IF(C346="","",IF(C346=$S$7,SUMIFS(Однолинейка!$BW$3:$BW$3000,Однолинейка!$A$3:$A$3000,Щит_спец),IF(C346=$S$8,SUMIFS(Однолинейка!$BX$3:$BX$3000,Однолинейка!$A$3:$A$3000,Щит_спец),""))),""))))</f>
        <v/>
      </c>
      <c r="O346" s="74"/>
      <c r="P346" s="38" t="str">
        <f t="shared" si="45"/>
        <v/>
      </c>
      <c r="U346" s="38" t="str">
        <f t="shared" si="46"/>
        <v/>
      </c>
      <c r="V346" s="38" t="str">
        <f t="shared" si="47"/>
        <v/>
      </c>
      <c r="W346" s="38" t="str">
        <f>IF(AND(U346&lt;&gt;"",OR($S$4="(все)",B346=$S$4),IF($S$4="(все)",COUNTIF($U$4:U346,U346),COUNTIFS($U$4:U346,U346,$B$4:B346,B346))=1),MAX($W$3:W345)+1,"")</f>
        <v/>
      </c>
      <c r="X346" s="38" t="str">
        <f t="shared" si="48"/>
        <v/>
      </c>
      <c r="Y346" s="38" t="str">
        <f>IF(AND(A346="Аппарат",C346&lt;&gt;"",OR($S$5="(все)",B346=$S$5)),MAX($Y$3:Y345)+1,"")</f>
        <v/>
      </c>
      <c r="Z346" s="38" t="str">
        <f t="shared" si="49"/>
        <v/>
      </c>
      <c r="AA346" s="38" t="str">
        <f>IF(AND(A346="Модуль",C346&lt;&gt;"",OR($S$6="(все)",B346=$S$6)),MAX($AA$3:AA345)+1,"")</f>
        <v/>
      </c>
      <c r="AB346" s="38" t="str">
        <f t="shared" si="50"/>
        <v/>
      </c>
      <c r="AC346" s="38" t="str">
        <f>IF(OR(B346="",COUNTIF($B$4:B346,B346)&gt;1),"",MAX($AC$3:AC345)+1)</f>
        <v/>
      </c>
      <c r="AD346" s="38" t="str">
        <f t="shared" si="51"/>
        <v/>
      </c>
      <c r="AE346" s="38" t="str">
        <f t="shared" si="52"/>
        <v/>
      </c>
      <c r="AF346" s="38" t="str">
        <f t="shared" si="53"/>
        <v/>
      </c>
    </row>
    <row r="347" spans="1:32" x14ac:dyDescent="0.3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38" t="str">
        <f>IF(OR(A347="Автомат",A347="Дифавтомат"),IF(W347="","",COUNTIFS(Однолинейка!$H$3:$H$3000,U347,Однолинейка!$A$3:$A$3000,Щит_спец)),IF(A347="Аппарат",IF(C347="","",COUNTIFS(Однолинейка!$I$3:$I$3000,C347,Однолинейка!$A$3:$A$3000,Щит_спец)+COUNTIFS(Однолинейка!$J$3:$J$3000,C347,Однолинейка!$A$3:$A$3000,Щит_спец)+COUNTIFS(Однолинейка!$K$3:$K$3000,C347,Однолинейка!$A$3:$A$3000,Щит_спец)),IF(A347="Модуль",IF(C347="","",COUNTIFS(Однолинейка!$AW$3:$AW$3000,"?*",Однолинейка!$AI$3:$AI$3000,C347,Однолинейка!$A$3:$A$3000,Щит_спец)),IF(A347="Клемма",IF(C347="","",IF(C347=$S$7,SUMIFS(Однолинейка!$BW$3:$BW$3000,Однолинейка!$A$3:$A$3000,Щит_спец),IF(C347=$S$8,SUMIFS(Однолинейка!$BX$3:$BX$3000,Однолинейка!$A$3:$A$3000,Щит_спец),""))),""))))</f>
        <v/>
      </c>
      <c r="O347" s="74"/>
      <c r="P347" s="38" t="str">
        <f t="shared" si="45"/>
        <v/>
      </c>
      <c r="U347" s="38" t="str">
        <f t="shared" si="46"/>
        <v/>
      </c>
      <c r="V347" s="38" t="str">
        <f t="shared" si="47"/>
        <v/>
      </c>
      <c r="W347" s="38" t="str">
        <f>IF(AND(U347&lt;&gt;"",OR($S$4="(все)",B347=$S$4),IF($S$4="(все)",COUNTIF($U$4:U347,U347),COUNTIFS($U$4:U347,U347,$B$4:B347,B347))=1),MAX($W$3:W346)+1,"")</f>
        <v/>
      </c>
      <c r="X347" s="38" t="str">
        <f t="shared" si="48"/>
        <v/>
      </c>
      <c r="Y347" s="38" t="str">
        <f>IF(AND(A347="Аппарат",C347&lt;&gt;"",OR($S$5="(все)",B347=$S$5)),MAX($Y$3:Y346)+1,"")</f>
        <v/>
      </c>
      <c r="Z347" s="38" t="str">
        <f t="shared" si="49"/>
        <v/>
      </c>
      <c r="AA347" s="38" t="str">
        <f>IF(AND(A347="Модуль",C347&lt;&gt;"",OR($S$6="(все)",B347=$S$6)),MAX($AA$3:AA346)+1,"")</f>
        <v/>
      </c>
      <c r="AB347" s="38" t="str">
        <f t="shared" si="50"/>
        <v/>
      </c>
      <c r="AC347" s="38" t="str">
        <f>IF(OR(B347="",COUNTIF($B$4:B347,B347)&gt;1),"",MAX($AC$3:AC346)+1)</f>
        <v/>
      </c>
      <c r="AD347" s="38" t="str">
        <f t="shared" si="51"/>
        <v/>
      </c>
      <c r="AE347" s="38" t="str">
        <f t="shared" si="52"/>
        <v/>
      </c>
      <c r="AF347" s="38" t="str">
        <f t="shared" si="53"/>
        <v/>
      </c>
    </row>
    <row r="348" spans="1:32" x14ac:dyDescent="0.3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38" t="str">
        <f>IF(OR(A348="Автомат",A348="Дифавтомат"),IF(W348="","",COUNTIFS(Однолинейка!$H$3:$H$3000,U348,Однолинейка!$A$3:$A$3000,Щит_спец)),IF(A348="Аппарат",IF(C348="","",COUNTIFS(Однолинейка!$I$3:$I$3000,C348,Однолинейка!$A$3:$A$3000,Щит_спец)+COUNTIFS(Однолинейка!$J$3:$J$3000,C348,Однолинейка!$A$3:$A$3000,Щит_спец)+COUNTIFS(Однолинейка!$K$3:$K$3000,C348,Однолинейка!$A$3:$A$3000,Щит_спец)),IF(A348="Модуль",IF(C348="","",COUNTIFS(Однолинейка!$AW$3:$AW$3000,"?*",Однолинейка!$AI$3:$AI$3000,C348,Однолинейка!$A$3:$A$3000,Щит_спец)),IF(A348="Клемма",IF(C348="","",IF(C348=$S$7,SUMIFS(Однолинейка!$BW$3:$BW$3000,Однолинейка!$A$3:$A$3000,Щит_спец),IF(C348=$S$8,SUMIFS(Однолинейка!$BX$3:$BX$3000,Однолинейка!$A$3:$A$3000,Щит_спец),""))),""))))</f>
        <v/>
      </c>
      <c r="O348" s="74"/>
      <c r="P348" s="38" t="str">
        <f t="shared" si="45"/>
        <v/>
      </c>
      <c r="U348" s="38" t="str">
        <f t="shared" si="46"/>
        <v/>
      </c>
      <c r="V348" s="38" t="str">
        <f t="shared" si="47"/>
        <v/>
      </c>
      <c r="W348" s="38" t="str">
        <f>IF(AND(U348&lt;&gt;"",OR($S$4="(все)",B348=$S$4),IF($S$4="(все)",COUNTIF($U$4:U348,U348),COUNTIFS($U$4:U348,U348,$B$4:B348,B348))=1),MAX($W$3:W347)+1,"")</f>
        <v/>
      </c>
      <c r="X348" s="38" t="str">
        <f t="shared" si="48"/>
        <v/>
      </c>
      <c r="Y348" s="38" t="str">
        <f>IF(AND(A348="Аппарат",C348&lt;&gt;"",OR($S$5="(все)",B348=$S$5)),MAX($Y$3:Y347)+1,"")</f>
        <v/>
      </c>
      <c r="Z348" s="38" t="str">
        <f t="shared" si="49"/>
        <v/>
      </c>
      <c r="AA348" s="38" t="str">
        <f>IF(AND(A348="Модуль",C348&lt;&gt;"",OR($S$6="(все)",B348=$S$6)),MAX($AA$3:AA347)+1,"")</f>
        <v/>
      </c>
      <c r="AB348" s="38" t="str">
        <f t="shared" si="50"/>
        <v/>
      </c>
      <c r="AC348" s="38" t="str">
        <f>IF(OR(B348="",COUNTIF($B$4:B348,B348)&gt;1),"",MAX($AC$3:AC347)+1)</f>
        <v/>
      </c>
      <c r="AD348" s="38" t="str">
        <f t="shared" si="51"/>
        <v/>
      </c>
      <c r="AE348" s="38" t="str">
        <f t="shared" si="52"/>
        <v/>
      </c>
      <c r="AF348" s="38" t="str">
        <f t="shared" si="53"/>
        <v/>
      </c>
    </row>
    <row r="349" spans="1:32" x14ac:dyDescent="0.3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38" t="str">
        <f>IF(OR(A349="Автомат",A349="Дифавтомат"),IF(W349="","",COUNTIFS(Однолинейка!$H$3:$H$3000,U349,Однолинейка!$A$3:$A$3000,Щит_спец)),IF(A349="Аппарат",IF(C349="","",COUNTIFS(Однолинейка!$I$3:$I$3000,C349,Однолинейка!$A$3:$A$3000,Щит_спец)+COUNTIFS(Однолинейка!$J$3:$J$3000,C349,Однолинейка!$A$3:$A$3000,Щит_спец)+COUNTIFS(Однолинейка!$K$3:$K$3000,C349,Однолинейка!$A$3:$A$3000,Щит_спец)),IF(A349="Модуль",IF(C349="","",COUNTIFS(Однолинейка!$AW$3:$AW$3000,"?*",Однолинейка!$AI$3:$AI$3000,C349,Однолинейка!$A$3:$A$3000,Щит_спец)),IF(A349="Клемма",IF(C349="","",IF(C349=$S$7,SUMIFS(Однолинейка!$BW$3:$BW$3000,Однолинейка!$A$3:$A$3000,Щит_спец),IF(C349=$S$8,SUMIFS(Однолинейка!$BX$3:$BX$3000,Однолинейка!$A$3:$A$3000,Щит_спец),""))),""))))</f>
        <v/>
      </c>
      <c r="O349" s="74"/>
      <c r="P349" s="38" t="str">
        <f t="shared" si="45"/>
        <v/>
      </c>
      <c r="U349" s="38" t="str">
        <f t="shared" si="46"/>
        <v/>
      </c>
      <c r="V349" s="38" t="str">
        <f t="shared" si="47"/>
        <v/>
      </c>
      <c r="W349" s="38" t="str">
        <f>IF(AND(U349&lt;&gt;"",OR($S$4="(все)",B349=$S$4),IF($S$4="(все)",COUNTIF($U$4:U349,U349),COUNTIFS($U$4:U349,U349,$B$4:B349,B349))=1),MAX($W$3:W348)+1,"")</f>
        <v/>
      </c>
      <c r="X349" s="38" t="str">
        <f t="shared" si="48"/>
        <v/>
      </c>
      <c r="Y349" s="38" t="str">
        <f>IF(AND(A349="Аппарат",C349&lt;&gt;"",OR($S$5="(все)",B349=$S$5)),MAX($Y$3:Y348)+1,"")</f>
        <v/>
      </c>
      <c r="Z349" s="38" t="str">
        <f t="shared" si="49"/>
        <v/>
      </c>
      <c r="AA349" s="38" t="str">
        <f>IF(AND(A349="Модуль",C349&lt;&gt;"",OR($S$6="(все)",B349=$S$6)),MAX($AA$3:AA348)+1,"")</f>
        <v/>
      </c>
      <c r="AB349" s="38" t="str">
        <f t="shared" si="50"/>
        <v/>
      </c>
      <c r="AC349" s="38" t="str">
        <f>IF(OR(B349="",COUNTIF($B$4:B349,B349)&gt;1),"",MAX($AC$3:AC348)+1)</f>
        <v/>
      </c>
      <c r="AD349" s="38" t="str">
        <f t="shared" si="51"/>
        <v/>
      </c>
      <c r="AE349" s="38" t="str">
        <f t="shared" si="52"/>
        <v/>
      </c>
      <c r="AF349" s="38" t="str">
        <f t="shared" si="53"/>
        <v/>
      </c>
    </row>
    <row r="350" spans="1:32" x14ac:dyDescent="0.3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38" t="str">
        <f>IF(OR(A350="Автомат",A350="Дифавтомат"),IF(W350="","",COUNTIFS(Однолинейка!$H$3:$H$3000,U350,Однолинейка!$A$3:$A$3000,Щит_спец)),IF(A350="Аппарат",IF(C350="","",COUNTIFS(Однолинейка!$I$3:$I$3000,C350,Однолинейка!$A$3:$A$3000,Щит_спец)+COUNTIFS(Однолинейка!$J$3:$J$3000,C350,Однолинейка!$A$3:$A$3000,Щит_спец)+COUNTIFS(Однолинейка!$K$3:$K$3000,C350,Однолинейка!$A$3:$A$3000,Щит_спец)),IF(A350="Модуль",IF(C350="","",COUNTIFS(Однолинейка!$AW$3:$AW$3000,"?*",Однолинейка!$AI$3:$AI$3000,C350,Однолинейка!$A$3:$A$3000,Щит_спец)),IF(A350="Клемма",IF(C350="","",IF(C350=$S$7,SUMIFS(Однолинейка!$BW$3:$BW$3000,Однолинейка!$A$3:$A$3000,Щит_спец),IF(C350=$S$8,SUMIFS(Однолинейка!$BX$3:$BX$3000,Однолинейка!$A$3:$A$3000,Щит_спец),""))),""))))</f>
        <v/>
      </c>
      <c r="O350" s="74"/>
      <c r="P350" s="38" t="str">
        <f t="shared" si="45"/>
        <v/>
      </c>
      <c r="U350" s="38" t="str">
        <f t="shared" si="46"/>
        <v/>
      </c>
      <c r="V350" s="38" t="str">
        <f t="shared" si="47"/>
        <v/>
      </c>
      <c r="W350" s="38" t="str">
        <f>IF(AND(U350&lt;&gt;"",OR($S$4="(все)",B350=$S$4),IF($S$4="(все)",COUNTIF($U$4:U350,U350),COUNTIFS($U$4:U350,U350,$B$4:B350,B350))=1),MAX($W$3:W349)+1,"")</f>
        <v/>
      </c>
      <c r="X350" s="38" t="str">
        <f t="shared" si="48"/>
        <v/>
      </c>
      <c r="Y350" s="38" t="str">
        <f>IF(AND(A350="Аппарат",C350&lt;&gt;"",OR($S$5="(все)",B350=$S$5)),MAX($Y$3:Y349)+1,"")</f>
        <v/>
      </c>
      <c r="Z350" s="38" t="str">
        <f t="shared" si="49"/>
        <v/>
      </c>
      <c r="AA350" s="38" t="str">
        <f>IF(AND(A350="Модуль",C350&lt;&gt;"",OR($S$6="(все)",B350=$S$6)),MAX($AA$3:AA349)+1,"")</f>
        <v/>
      </c>
      <c r="AB350" s="38" t="str">
        <f t="shared" si="50"/>
        <v/>
      </c>
      <c r="AC350" s="38" t="str">
        <f>IF(OR(B350="",COUNTIF($B$4:B350,B350)&gt;1),"",MAX($AC$3:AC349)+1)</f>
        <v/>
      </c>
      <c r="AD350" s="38" t="str">
        <f t="shared" si="51"/>
        <v/>
      </c>
      <c r="AE350" s="38" t="str">
        <f t="shared" si="52"/>
        <v/>
      </c>
      <c r="AF350" s="38" t="str">
        <f t="shared" si="53"/>
        <v/>
      </c>
    </row>
    <row r="351" spans="1:32" x14ac:dyDescent="0.3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38" t="str">
        <f>IF(OR(A351="Автомат",A351="Дифавтомат"),IF(W351="","",COUNTIFS(Однолинейка!$H$3:$H$3000,U351,Однолинейка!$A$3:$A$3000,Щит_спец)),IF(A351="Аппарат",IF(C351="","",COUNTIFS(Однолинейка!$I$3:$I$3000,C351,Однолинейка!$A$3:$A$3000,Щит_спец)+COUNTIFS(Однолинейка!$J$3:$J$3000,C351,Однолинейка!$A$3:$A$3000,Щит_спец)+COUNTIFS(Однолинейка!$K$3:$K$3000,C351,Однолинейка!$A$3:$A$3000,Щит_спец)),IF(A351="Модуль",IF(C351="","",COUNTIFS(Однолинейка!$AW$3:$AW$3000,"?*",Однолинейка!$AI$3:$AI$3000,C351,Однолинейка!$A$3:$A$3000,Щит_спец)),IF(A351="Клемма",IF(C351="","",IF(C351=$S$7,SUMIFS(Однолинейка!$BW$3:$BW$3000,Однолинейка!$A$3:$A$3000,Щит_спец),IF(C351=$S$8,SUMIFS(Однолинейка!$BX$3:$BX$3000,Однолинейка!$A$3:$A$3000,Щит_спец),""))),""))))</f>
        <v/>
      </c>
      <c r="O351" s="74"/>
      <c r="P351" s="38" t="str">
        <f t="shared" si="45"/>
        <v/>
      </c>
      <c r="U351" s="38" t="str">
        <f t="shared" si="46"/>
        <v/>
      </c>
      <c r="V351" s="38" t="str">
        <f t="shared" si="47"/>
        <v/>
      </c>
      <c r="W351" s="38" t="str">
        <f>IF(AND(U351&lt;&gt;"",OR($S$4="(все)",B351=$S$4),IF($S$4="(все)",COUNTIF($U$4:U351,U351),COUNTIFS($U$4:U351,U351,$B$4:B351,B351))=1),MAX($W$3:W350)+1,"")</f>
        <v/>
      </c>
      <c r="X351" s="38" t="str">
        <f t="shared" si="48"/>
        <v/>
      </c>
      <c r="Y351" s="38" t="str">
        <f>IF(AND(A351="Аппарат",C351&lt;&gt;"",OR($S$5="(все)",B351=$S$5)),MAX($Y$3:Y350)+1,"")</f>
        <v/>
      </c>
      <c r="Z351" s="38" t="str">
        <f t="shared" si="49"/>
        <v/>
      </c>
      <c r="AA351" s="38" t="str">
        <f>IF(AND(A351="Модуль",C351&lt;&gt;"",OR($S$6="(все)",B351=$S$6)),MAX($AA$3:AA350)+1,"")</f>
        <v/>
      </c>
      <c r="AB351" s="38" t="str">
        <f t="shared" si="50"/>
        <v/>
      </c>
      <c r="AC351" s="38" t="str">
        <f>IF(OR(B351="",COUNTIF($B$4:B351,B351)&gt;1),"",MAX($AC$3:AC350)+1)</f>
        <v/>
      </c>
      <c r="AD351" s="38" t="str">
        <f t="shared" si="51"/>
        <v/>
      </c>
      <c r="AE351" s="38" t="str">
        <f t="shared" si="52"/>
        <v/>
      </c>
      <c r="AF351" s="38" t="str">
        <f t="shared" si="53"/>
        <v/>
      </c>
    </row>
    <row r="352" spans="1:32" x14ac:dyDescent="0.3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38" t="str">
        <f>IF(OR(A352="Автомат",A352="Дифавтомат"),IF(W352="","",COUNTIFS(Однолинейка!$H$3:$H$3000,U352,Однолинейка!$A$3:$A$3000,Щит_спец)),IF(A352="Аппарат",IF(C352="","",COUNTIFS(Однолинейка!$I$3:$I$3000,C352,Однолинейка!$A$3:$A$3000,Щит_спец)+COUNTIFS(Однолинейка!$J$3:$J$3000,C352,Однолинейка!$A$3:$A$3000,Щит_спец)+COUNTIFS(Однолинейка!$K$3:$K$3000,C352,Однолинейка!$A$3:$A$3000,Щит_спец)),IF(A352="Модуль",IF(C352="","",COUNTIFS(Однолинейка!$AW$3:$AW$3000,"?*",Однолинейка!$AI$3:$AI$3000,C352,Однолинейка!$A$3:$A$3000,Щит_спец)),IF(A352="Клемма",IF(C352="","",IF(C352=$S$7,SUMIFS(Однолинейка!$BW$3:$BW$3000,Однолинейка!$A$3:$A$3000,Щит_спец),IF(C352=$S$8,SUMIFS(Однолинейка!$BX$3:$BX$3000,Однолинейка!$A$3:$A$3000,Щит_спец),""))),""))))</f>
        <v/>
      </c>
      <c r="O352" s="74"/>
      <c r="P352" s="38" t="str">
        <f t="shared" si="45"/>
        <v/>
      </c>
      <c r="U352" s="38" t="str">
        <f t="shared" si="46"/>
        <v/>
      </c>
      <c r="V352" s="38" t="str">
        <f t="shared" si="47"/>
        <v/>
      </c>
      <c r="W352" s="38" t="str">
        <f>IF(AND(U352&lt;&gt;"",OR($S$4="(все)",B352=$S$4),IF($S$4="(все)",COUNTIF($U$4:U352,U352),COUNTIFS($U$4:U352,U352,$B$4:B352,B352))=1),MAX($W$3:W351)+1,"")</f>
        <v/>
      </c>
      <c r="X352" s="38" t="str">
        <f t="shared" si="48"/>
        <v/>
      </c>
      <c r="Y352" s="38" t="str">
        <f>IF(AND(A352="Аппарат",C352&lt;&gt;"",OR($S$5="(все)",B352=$S$5)),MAX($Y$3:Y351)+1,"")</f>
        <v/>
      </c>
      <c r="Z352" s="38" t="str">
        <f t="shared" si="49"/>
        <v/>
      </c>
      <c r="AA352" s="38" t="str">
        <f>IF(AND(A352="Модуль",C352&lt;&gt;"",OR($S$6="(все)",B352=$S$6)),MAX($AA$3:AA351)+1,"")</f>
        <v/>
      </c>
      <c r="AB352" s="38" t="str">
        <f t="shared" si="50"/>
        <v/>
      </c>
      <c r="AC352" s="38" t="str">
        <f>IF(OR(B352="",COUNTIF($B$4:B352,B352)&gt;1),"",MAX($AC$3:AC351)+1)</f>
        <v/>
      </c>
      <c r="AD352" s="38" t="str">
        <f t="shared" si="51"/>
        <v/>
      </c>
      <c r="AE352" s="38" t="str">
        <f t="shared" si="52"/>
        <v/>
      </c>
      <c r="AF352" s="38" t="str">
        <f t="shared" si="53"/>
        <v/>
      </c>
    </row>
    <row r="353" spans="1:32" x14ac:dyDescent="0.3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38" t="str">
        <f>IF(OR(A353="Автомат",A353="Дифавтомат"),IF(W353="","",COUNTIFS(Однолинейка!$H$3:$H$3000,U353,Однолинейка!$A$3:$A$3000,Щит_спец)),IF(A353="Аппарат",IF(C353="","",COUNTIFS(Однолинейка!$I$3:$I$3000,C353,Однолинейка!$A$3:$A$3000,Щит_спец)+COUNTIFS(Однолинейка!$J$3:$J$3000,C353,Однолинейка!$A$3:$A$3000,Щит_спец)+COUNTIFS(Однолинейка!$K$3:$K$3000,C353,Однолинейка!$A$3:$A$3000,Щит_спец)),IF(A353="Модуль",IF(C353="","",COUNTIFS(Однолинейка!$AW$3:$AW$3000,"?*",Однолинейка!$AI$3:$AI$3000,C353,Однолинейка!$A$3:$A$3000,Щит_спец)),IF(A353="Клемма",IF(C353="","",IF(C353=$S$7,SUMIFS(Однолинейка!$BW$3:$BW$3000,Однолинейка!$A$3:$A$3000,Щит_спец),IF(C353=$S$8,SUMIFS(Однолинейка!$BX$3:$BX$3000,Однолинейка!$A$3:$A$3000,Щит_спец),""))),""))))</f>
        <v/>
      </c>
      <c r="O353" s="74"/>
      <c r="P353" s="38" t="str">
        <f t="shared" si="45"/>
        <v/>
      </c>
      <c r="U353" s="38" t="str">
        <f t="shared" si="46"/>
        <v/>
      </c>
      <c r="V353" s="38" t="str">
        <f t="shared" si="47"/>
        <v/>
      </c>
      <c r="W353" s="38" t="str">
        <f>IF(AND(U353&lt;&gt;"",OR($S$4="(все)",B353=$S$4),IF($S$4="(все)",COUNTIF($U$4:U353,U353),COUNTIFS($U$4:U353,U353,$B$4:B353,B353))=1),MAX($W$3:W352)+1,"")</f>
        <v/>
      </c>
      <c r="X353" s="38" t="str">
        <f t="shared" si="48"/>
        <v/>
      </c>
      <c r="Y353" s="38" t="str">
        <f>IF(AND(A353="Аппарат",C353&lt;&gt;"",OR($S$5="(все)",B353=$S$5)),MAX($Y$3:Y352)+1,"")</f>
        <v/>
      </c>
      <c r="Z353" s="38" t="str">
        <f t="shared" si="49"/>
        <v/>
      </c>
      <c r="AA353" s="38" t="str">
        <f>IF(AND(A353="Модуль",C353&lt;&gt;"",OR($S$6="(все)",B353=$S$6)),MAX($AA$3:AA352)+1,"")</f>
        <v/>
      </c>
      <c r="AB353" s="38" t="str">
        <f t="shared" si="50"/>
        <v/>
      </c>
      <c r="AC353" s="38" t="str">
        <f>IF(OR(B353="",COUNTIF($B$4:B353,B353)&gt;1),"",MAX($AC$3:AC352)+1)</f>
        <v/>
      </c>
      <c r="AD353" s="38" t="str">
        <f t="shared" si="51"/>
        <v/>
      </c>
      <c r="AE353" s="38" t="str">
        <f t="shared" si="52"/>
        <v/>
      </c>
      <c r="AF353" s="38" t="str">
        <f t="shared" si="53"/>
        <v/>
      </c>
    </row>
    <row r="354" spans="1:32" x14ac:dyDescent="0.3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38" t="str">
        <f>IF(OR(A354="Автомат",A354="Дифавтомат"),IF(W354="","",COUNTIFS(Однолинейка!$H$3:$H$3000,U354,Однолинейка!$A$3:$A$3000,Щит_спец)),IF(A354="Аппарат",IF(C354="","",COUNTIFS(Однолинейка!$I$3:$I$3000,C354,Однолинейка!$A$3:$A$3000,Щит_спец)+COUNTIFS(Однолинейка!$J$3:$J$3000,C354,Однолинейка!$A$3:$A$3000,Щит_спец)+COUNTIFS(Однолинейка!$K$3:$K$3000,C354,Однолинейка!$A$3:$A$3000,Щит_спец)),IF(A354="Модуль",IF(C354="","",COUNTIFS(Однолинейка!$AW$3:$AW$3000,"?*",Однолинейка!$AI$3:$AI$3000,C354,Однолинейка!$A$3:$A$3000,Щит_спец)),IF(A354="Клемма",IF(C354="","",IF(C354=$S$7,SUMIFS(Однолинейка!$BW$3:$BW$3000,Однолинейка!$A$3:$A$3000,Щит_спец),IF(C354=$S$8,SUMIFS(Однолинейка!$BX$3:$BX$3000,Однолинейка!$A$3:$A$3000,Щит_спец),""))),""))))</f>
        <v/>
      </c>
      <c r="O354" s="74"/>
      <c r="P354" s="38" t="str">
        <f t="shared" si="45"/>
        <v/>
      </c>
      <c r="U354" s="38" t="str">
        <f t="shared" si="46"/>
        <v/>
      </c>
      <c r="V354" s="38" t="str">
        <f t="shared" si="47"/>
        <v/>
      </c>
      <c r="W354" s="38" t="str">
        <f>IF(AND(U354&lt;&gt;"",OR($S$4="(все)",B354=$S$4),IF($S$4="(все)",COUNTIF($U$4:U354,U354),COUNTIFS($U$4:U354,U354,$B$4:B354,B354))=1),MAX($W$3:W353)+1,"")</f>
        <v/>
      </c>
      <c r="X354" s="38" t="str">
        <f t="shared" si="48"/>
        <v/>
      </c>
      <c r="Y354" s="38" t="str">
        <f>IF(AND(A354="Аппарат",C354&lt;&gt;"",OR($S$5="(все)",B354=$S$5)),MAX($Y$3:Y353)+1,"")</f>
        <v/>
      </c>
      <c r="Z354" s="38" t="str">
        <f t="shared" si="49"/>
        <v/>
      </c>
      <c r="AA354" s="38" t="str">
        <f>IF(AND(A354="Модуль",C354&lt;&gt;"",OR($S$6="(все)",B354=$S$6)),MAX($AA$3:AA353)+1,"")</f>
        <v/>
      </c>
      <c r="AB354" s="38" t="str">
        <f t="shared" si="50"/>
        <v/>
      </c>
      <c r="AC354" s="38" t="str">
        <f>IF(OR(B354="",COUNTIF($B$4:B354,B354)&gt;1),"",MAX($AC$3:AC353)+1)</f>
        <v/>
      </c>
      <c r="AD354" s="38" t="str">
        <f t="shared" si="51"/>
        <v/>
      </c>
      <c r="AE354" s="38" t="str">
        <f t="shared" si="52"/>
        <v/>
      </c>
      <c r="AF354" s="38" t="str">
        <f t="shared" si="53"/>
        <v/>
      </c>
    </row>
    <row r="355" spans="1:32" x14ac:dyDescent="0.3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38" t="str">
        <f>IF(OR(A355="Автомат",A355="Дифавтомат"),IF(W355="","",COUNTIFS(Однолинейка!$H$3:$H$3000,U355,Однолинейка!$A$3:$A$3000,Щит_спец)),IF(A355="Аппарат",IF(C355="","",COUNTIFS(Однолинейка!$I$3:$I$3000,C355,Однолинейка!$A$3:$A$3000,Щит_спец)+COUNTIFS(Однолинейка!$J$3:$J$3000,C355,Однолинейка!$A$3:$A$3000,Щит_спец)+COUNTIFS(Однолинейка!$K$3:$K$3000,C355,Однолинейка!$A$3:$A$3000,Щит_спец)),IF(A355="Модуль",IF(C355="","",COUNTIFS(Однолинейка!$AW$3:$AW$3000,"?*",Однолинейка!$AI$3:$AI$3000,C355,Однолинейка!$A$3:$A$3000,Щит_спец)),IF(A355="Клемма",IF(C355="","",IF(C355=$S$7,SUMIFS(Однолинейка!$BW$3:$BW$3000,Однолинейка!$A$3:$A$3000,Щит_спец),IF(C355=$S$8,SUMIFS(Однолинейка!$BX$3:$BX$3000,Однолинейка!$A$3:$A$3000,Щит_спец),""))),""))))</f>
        <v/>
      </c>
      <c r="O355" s="74"/>
      <c r="P355" s="38" t="str">
        <f t="shared" si="45"/>
        <v/>
      </c>
      <c r="U355" s="38" t="str">
        <f t="shared" si="46"/>
        <v/>
      </c>
      <c r="V355" s="38" t="str">
        <f t="shared" si="47"/>
        <v/>
      </c>
      <c r="W355" s="38" t="str">
        <f>IF(AND(U355&lt;&gt;"",OR($S$4="(все)",B355=$S$4),IF($S$4="(все)",COUNTIF($U$4:U355,U355),COUNTIFS($U$4:U355,U355,$B$4:B355,B355))=1),MAX($W$3:W354)+1,"")</f>
        <v/>
      </c>
      <c r="X355" s="38" t="str">
        <f t="shared" si="48"/>
        <v/>
      </c>
      <c r="Y355" s="38" t="str">
        <f>IF(AND(A355="Аппарат",C355&lt;&gt;"",OR($S$5="(все)",B355=$S$5)),MAX($Y$3:Y354)+1,"")</f>
        <v/>
      </c>
      <c r="Z355" s="38" t="str">
        <f t="shared" si="49"/>
        <v/>
      </c>
      <c r="AA355" s="38" t="str">
        <f>IF(AND(A355="Модуль",C355&lt;&gt;"",OR($S$6="(все)",B355=$S$6)),MAX($AA$3:AA354)+1,"")</f>
        <v/>
      </c>
      <c r="AB355" s="38" t="str">
        <f t="shared" si="50"/>
        <v/>
      </c>
      <c r="AC355" s="38" t="str">
        <f>IF(OR(B355="",COUNTIF($B$4:B355,B355)&gt;1),"",MAX($AC$3:AC354)+1)</f>
        <v/>
      </c>
      <c r="AD355" s="38" t="str">
        <f t="shared" si="51"/>
        <v/>
      </c>
      <c r="AE355" s="38" t="str">
        <f t="shared" si="52"/>
        <v/>
      </c>
      <c r="AF355" s="38" t="str">
        <f t="shared" si="53"/>
        <v/>
      </c>
    </row>
    <row r="356" spans="1:32" x14ac:dyDescent="0.3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38" t="str">
        <f>IF(OR(A356="Автомат",A356="Дифавтомат"),IF(W356="","",COUNTIFS(Однолинейка!$H$3:$H$3000,U356,Однолинейка!$A$3:$A$3000,Щит_спец)),IF(A356="Аппарат",IF(C356="","",COUNTIFS(Однолинейка!$I$3:$I$3000,C356,Однолинейка!$A$3:$A$3000,Щит_спец)+COUNTIFS(Однолинейка!$J$3:$J$3000,C356,Однолинейка!$A$3:$A$3000,Щит_спец)+COUNTIFS(Однолинейка!$K$3:$K$3000,C356,Однолинейка!$A$3:$A$3000,Щит_спец)),IF(A356="Модуль",IF(C356="","",COUNTIFS(Однолинейка!$AW$3:$AW$3000,"?*",Однолинейка!$AI$3:$AI$3000,C356,Однолинейка!$A$3:$A$3000,Щит_спец)),IF(A356="Клемма",IF(C356="","",IF(C356=$S$7,SUMIFS(Однолинейка!$BW$3:$BW$3000,Однолинейка!$A$3:$A$3000,Щит_спец),IF(C356=$S$8,SUMIFS(Однолинейка!$BX$3:$BX$3000,Однолинейка!$A$3:$A$3000,Щит_спец),""))),""))))</f>
        <v/>
      </c>
      <c r="O356" s="74"/>
      <c r="P356" s="38" t="str">
        <f t="shared" si="45"/>
        <v/>
      </c>
      <c r="U356" s="38" t="str">
        <f t="shared" si="46"/>
        <v/>
      </c>
      <c r="V356" s="38" t="str">
        <f t="shared" si="47"/>
        <v/>
      </c>
      <c r="W356" s="38" t="str">
        <f>IF(AND(U356&lt;&gt;"",OR($S$4="(все)",B356=$S$4),IF($S$4="(все)",COUNTIF($U$4:U356,U356),COUNTIFS($U$4:U356,U356,$B$4:B356,B356))=1),MAX($W$3:W355)+1,"")</f>
        <v/>
      </c>
      <c r="X356" s="38" t="str">
        <f t="shared" si="48"/>
        <v/>
      </c>
      <c r="Y356" s="38" t="str">
        <f>IF(AND(A356="Аппарат",C356&lt;&gt;"",OR($S$5="(все)",B356=$S$5)),MAX($Y$3:Y355)+1,"")</f>
        <v/>
      </c>
      <c r="Z356" s="38" t="str">
        <f t="shared" si="49"/>
        <v/>
      </c>
      <c r="AA356" s="38" t="str">
        <f>IF(AND(A356="Модуль",C356&lt;&gt;"",OR($S$6="(все)",B356=$S$6)),MAX($AA$3:AA355)+1,"")</f>
        <v/>
      </c>
      <c r="AB356" s="38" t="str">
        <f t="shared" si="50"/>
        <v/>
      </c>
      <c r="AC356" s="38" t="str">
        <f>IF(OR(B356="",COUNTIF($B$4:B356,B356)&gt;1),"",MAX($AC$3:AC355)+1)</f>
        <v/>
      </c>
      <c r="AD356" s="38" t="str">
        <f t="shared" si="51"/>
        <v/>
      </c>
      <c r="AE356" s="38" t="str">
        <f t="shared" si="52"/>
        <v/>
      </c>
      <c r="AF356" s="38" t="str">
        <f t="shared" si="53"/>
        <v/>
      </c>
    </row>
    <row r="357" spans="1:32" x14ac:dyDescent="0.3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38" t="str">
        <f>IF(OR(A357="Автомат",A357="Дифавтомат"),IF(W357="","",COUNTIFS(Однолинейка!$H$3:$H$3000,U357,Однолинейка!$A$3:$A$3000,Щит_спец)),IF(A357="Аппарат",IF(C357="","",COUNTIFS(Однолинейка!$I$3:$I$3000,C357,Однолинейка!$A$3:$A$3000,Щит_спец)+COUNTIFS(Однолинейка!$J$3:$J$3000,C357,Однолинейка!$A$3:$A$3000,Щит_спец)+COUNTIFS(Однолинейка!$K$3:$K$3000,C357,Однолинейка!$A$3:$A$3000,Щит_спец)),IF(A357="Модуль",IF(C357="","",COUNTIFS(Однолинейка!$AW$3:$AW$3000,"?*",Однолинейка!$AI$3:$AI$3000,C357,Однолинейка!$A$3:$A$3000,Щит_спец)),IF(A357="Клемма",IF(C357="","",IF(C357=$S$7,SUMIFS(Однолинейка!$BW$3:$BW$3000,Однолинейка!$A$3:$A$3000,Щит_спец),IF(C357=$S$8,SUMIFS(Однолинейка!$BX$3:$BX$3000,Однолинейка!$A$3:$A$3000,Щит_спец),""))),""))))</f>
        <v/>
      </c>
      <c r="O357" s="74"/>
      <c r="P357" s="38" t="str">
        <f t="shared" si="45"/>
        <v/>
      </c>
      <c r="U357" s="38" t="str">
        <f t="shared" si="46"/>
        <v/>
      </c>
      <c r="V357" s="38" t="str">
        <f t="shared" si="47"/>
        <v/>
      </c>
      <c r="W357" s="38" t="str">
        <f>IF(AND(U357&lt;&gt;"",OR($S$4="(все)",B357=$S$4),IF($S$4="(все)",COUNTIF($U$4:U357,U357),COUNTIFS($U$4:U357,U357,$B$4:B357,B357))=1),MAX($W$3:W356)+1,"")</f>
        <v/>
      </c>
      <c r="X357" s="38" t="str">
        <f t="shared" si="48"/>
        <v/>
      </c>
      <c r="Y357" s="38" t="str">
        <f>IF(AND(A357="Аппарат",C357&lt;&gt;"",OR($S$5="(все)",B357=$S$5)),MAX($Y$3:Y356)+1,"")</f>
        <v/>
      </c>
      <c r="Z357" s="38" t="str">
        <f t="shared" si="49"/>
        <v/>
      </c>
      <c r="AA357" s="38" t="str">
        <f>IF(AND(A357="Модуль",C357&lt;&gt;"",OR($S$6="(все)",B357=$S$6)),MAX($AA$3:AA356)+1,"")</f>
        <v/>
      </c>
      <c r="AB357" s="38" t="str">
        <f t="shared" si="50"/>
        <v/>
      </c>
      <c r="AC357" s="38" t="str">
        <f>IF(OR(B357="",COUNTIF($B$4:B357,B357)&gt;1),"",MAX($AC$3:AC356)+1)</f>
        <v/>
      </c>
      <c r="AD357" s="38" t="str">
        <f t="shared" si="51"/>
        <v/>
      </c>
      <c r="AE357" s="38" t="str">
        <f t="shared" si="52"/>
        <v/>
      </c>
      <c r="AF357" s="38" t="str">
        <f t="shared" si="53"/>
        <v/>
      </c>
    </row>
    <row r="358" spans="1:32" x14ac:dyDescent="0.3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38" t="str">
        <f>IF(OR(A358="Автомат",A358="Дифавтомат"),IF(W358="","",COUNTIFS(Однолинейка!$H$3:$H$3000,U358,Однолинейка!$A$3:$A$3000,Щит_спец)),IF(A358="Аппарат",IF(C358="","",COUNTIFS(Однолинейка!$I$3:$I$3000,C358,Однолинейка!$A$3:$A$3000,Щит_спец)+COUNTIFS(Однолинейка!$J$3:$J$3000,C358,Однолинейка!$A$3:$A$3000,Щит_спец)+COUNTIFS(Однолинейка!$K$3:$K$3000,C358,Однолинейка!$A$3:$A$3000,Щит_спец)),IF(A358="Модуль",IF(C358="","",COUNTIFS(Однолинейка!$AW$3:$AW$3000,"?*",Однолинейка!$AI$3:$AI$3000,C358,Однолинейка!$A$3:$A$3000,Щит_спец)),IF(A358="Клемма",IF(C358="","",IF(C358=$S$7,SUMIFS(Однолинейка!$BW$3:$BW$3000,Однолинейка!$A$3:$A$3000,Щит_спец),IF(C358=$S$8,SUMIFS(Однолинейка!$BX$3:$BX$3000,Однолинейка!$A$3:$A$3000,Щит_спец),""))),""))))</f>
        <v/>
      </c>
      <c r="O358" s="74"/>
      <c r="P358" s="38" t="str">
        <f t="shared" si="45"/>
        <v/>
      </c>
      <c r="U358" s="38" t="str">
        <f t="shared" si="46"/>
        <v/>
      </c>
      <c r="V358" s="38" t="str">
        <f t="shared" si="47"/>
        <v/>
      </c>
      <c r="W358" s="38" t="str">
        <f>IF(AND(U358&lt;&gt;"",OR($S$4="(все)",B358=$S$4),IF($S$4="(все)",COUNTIF($U$4:U358,U358),COUNTIFS($U$4:U358,U358,$B$4:B358,B358))=1),MAX($W$3:W357)+1,"")</f>
        <v/>
      </c>
      <c r="X358" s="38" t="str">
        <f t="shared" si="48"/>
        <v/>
      </c>
      <c r="Y358" s="38" t="str">
        <f>IF(AND(A358="Аппарат",C358&lt;&gt;"",OR($S$5="(все)",B358=$S$5)),MAX($Y$3:Y357)+1,"")</f>
        <v/>
      </c>
      <c r="Z358" s="38" t="str">
        <f t="shared" si="49"/>
        <v/>
      </c>
      <c r="AA358" s="38" t="str">
        <f>IF(AND(A358="Модуль",C358&lt;&gt;"",OR($S$6="(все)",B358=$S$6)),MAX($AA$3:AA357)+1,"")</f>
        <v/>
      </c>
      <c r="AB358" s="38" t="str">
        <f t="shared" si="50"/>
        <v/>
      </c>
      <c r="AC358" s="38" t="str">
        <f>IF(OR(B358="",COUNTIF($B$4:B358,B358)&gt;1),"",MAX($AC$3:AC357)+1)</f>
        <v/>
      </c>
      <c r="AD358" s="38" t="str">
        <f t="shared" si="51"/>
        <v/>
      </c>
      <c r="AE358" s="38" t="str">
        <f t="shared" si="52"/>
        <v/>
      </c>
      <c r="AF358" s="38" t="str">
        <f t="shared" si="53"/>
        <v/>
      </c>
    </row>
    <row r="359" spans="1:32" x14ac:dyDescent="0.3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38" t="str">
        <f>IF(OR(A359="Автомат",A359="Дифавтомат"),IF(W359="","",COUNTIFS(Однолинейка!$H$3:$H$3000,U359,Однолинейка!$A$3:$A$3000,Щит_спец)),IF(A359="Аппарат",IF(C359="","",COUNTIFS(Однолинейка!$I$3:$I$3000,C359,Однолинейка!$A$3:$A$3000,Щит_спец)+COUNTIFS(Однолинейка!$J$3:$J$3000,C359,Однолинейка!$A$3:$A$3000,Щит_спец)+COUNTIFS(Однолинейка!$K$3:$K$3000,C359,Однолинейка!$A$3:$A$3000,Щит_спец)),IF(A359="Модуль",IF(C359="","",COUNTIFS(Однолинейка!$AW$3:$AW$3000,"?*",Однолинейка!$AI$3:$AI$3000,C359,Однолинейка!$A$3:$A$3000,Щит_спец)),IF(A359="Клемма",IF(C359="","",IF(C359=$S$7,SUMIFS(Однолинейка!$BW$3:$BW$3000,Однолинейка!$A$3:$A$3000,Щит_спец),IF(C359=$S$8,SUMIFS(Однолинейка!$BX$3:$BX$3000,Однолинейка!$A$3:$A$3000,Щит_спец),""))),""))))</f>
        <v/>
      </c>
      <c r="O359" s="74"/>
      <c r="P359" s="38" t="str">
        <f t="shared" si="45"/>
        <v/>
      </c>
      <c r="U359" s="38" t="str">
        <f t="shared" si="46"/>
        <v/>
      </c>
      <c r="V359" s="38" t="str">
        <f t="shared" si="47"/>
        <v/>
      </c>
      <c r="W359" s="38" t="str">
        <f>IF(AND(U359&lt;&gt;"",OR($S$4="(все)",B359=$S$4),IF($S$4="(все)",COUNTIF($U$4:U359,U359),COUNTIFS($U$4:U359,U359,$B$4:B359,B359))=1),MAX($W$3:W358)+1,"")</f>
        <v/>
      </c>
      <c r="X359" s="38" t="str">
        <f t="shared" si="48"/>
        <v/>
      </c>
      <c r="Y359" s="38" t="str">
        <f>IF(AND(A359="Аппарат",C359&lt;&gt;"",OR($S$5="(все)",B359=$S$5)),MAX($Y$3:Y358)+1,"")</f>
        <v/>
      </c>
      <c r="Z359" s="38" t="str">
        <f t="shared" si="49"/>
        <v/>
      </c>
      <c r="AA359" s="38" t="str">
        <f>IF(AND(A359="Модуль",C359&lt;&gt;"",OR($S$6="(все)",B359=$S$6)),MAX($AA$3:AA358)+1,"")</f>
        <v/>
      </c>
      <c r="AB359" s="38" t="str">
        <f t="shared" si="50"/>
        <v/>
      </c>
      <c r="AC359" s="38" t="str">
        <f>IF(OR(B359="",COUNTIF($B$4:B359,B359)&gt;1),"",MAX($AC$3:AC358)+1)</f>
        <v/>
      </c>
      <c r="AD359" s="38" t="str">
        <f t="shared" si="51"/>
        <v/>
      </c>
      <c r="AE359" s="38" t="str">
        <f t="shared" si="52"/>
        <v/>
      </c>
      <c r="AF359" s="38" t="str">
        <f t="shared" si="53"/>
        <v/>
      </c>
    </row>
    <row r="360" spans="1:32" x14ac:dyDescent="0.3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38" t="str">
        <f>IF(OR(A360="Автомат",A360="Дифавтомат"),IF(W360="","",COUNTIFS(Однолинейка!$H$3:$H$3000,U360,Однолинейка!$A$3:$A$3000,Щит_спец)),IF(A360="Аппарат",IF(C360="","",COUNTIFS(Однолинейка!$I$3:$I$3000,C360,Однолинейка!$A$3:$A$3000,Щит_спец)+COUNTIFS(Однолинейка!$J$3:$J$3000,C360,Однолинейка!$A$3:$A$3000,Щит_спец)+COUNTIFS(Однолинейка!$K$3:$K$3000,C360,Однолинейка!$A$3:$A$3000,Щит_спец)),IF(A360="Модуль",IF(C360="","",COUNTIFS(Однолинейка!$AW$3:$AW$3000,"?*",Однолинейка!$AI$3:$AI$3000,C360,Однолинейка!$A$3:$A$3000,Щит_спец)),IF(A360="Клемма",IF(C360="","",IF(C360=$S$7,SUMIFS(Однолинейка!$BW$3:$BW$3000,Однолинейка!$A$3:$A$3000,Щит_спец),IF(C360=$S$8,SUMIFS(Однолинейка!$BX$3:$BX$3000,Однолинейка!$A$3:$A$3000,Щит_спец),""))),""))))</f>
        <v/>
      </c>
      <c r="O360" s="74"/>
      <c r="P360" s="38" t="str">
        <f t="shared" si="45"/>
        <v/>
      </c>
      <c r="U360" s="38" t="str">
        <f t="shared" si="46"/>
        <v/>
      </c>
      <c r="V360" s="38" t="str">
        <f t="shared" si="47"/>
        <v/>
      </c>
      <c r="W360" s="38" t="str">
        <f>IF(AND(U360&lt;&gt;"",OR($S$4="(все)",B360=$S$4),IF($S$4="(все)",COUNTIF($U$4:U360,U360),COUNTIFS($U$4:U360,U360,$B$4:B360,B360))=1),MAX($W$3:W359)+1,"")</f>
        <v/>
      </c>
      <c r="X360" s="38" t="str">
        <f t="shared" si="48"/>
        <v/>
      </c>
      <c r="Y360" s="38" t="str">
        <f>IF(AND(A360="Аппарат",C360&lt;&gt;"",OR($S$5="(все)",B360=$S$5)),MAX($Y$3:Y359)+1,"")</f>
        <v/>
      </c>
      <c r="Z360" s="38" t="str">
        <f t="shared" si="49"/>
        <v/>
      </c>
      <c r="AA360" s="38" t="str">
        <f>IF(AND(A360="Модуль",C360&lt;&gt;"",OR($S$6="(все)",B360=$S$6)),MAX($AA$3:AA359)+1,"")</f>
        <v/>
      </c>
      <c r="AB360" s="38" t="str">
        <f t="shared" si="50"/>
        <v/>
      </c>
      <c r="AC360" s="38" t="str">
        <f>IF(OR(B360="",COUNTIF($B$4:B360,B360)&gt;1),"",MAX($AC$3:AC359)+1)</f>
        <v/>
      </c>
      <c r="AD360" s="38" t="str">
        <f t="shared" si="51"/>
        <v/>
      </c>
      <c r="AE360" s="38" t="str">
        <f t="shared" si="52"/>
        <v/>
      </c>
      <c r="AF360" s="38" t="str">
        <f t="shared" si="53"/>
        <v/>
      </c>
    </row>
    <row r="361" spans="1:32" x14ac:dyDescent="0.3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38" t="str">
        <f>IF(OR(A361="Автомат",A361="Дифавтомат"),IF(W361="","",COUNTIFS(Однолинейка!$H$3:$H$3000,U361,Однолинейка!$A$3:$A$3000,Щит_спец)),IF(A361="Аппарат",IF(C361="","",COUNTIFS(Однолинейка!$I$3:$I$3000,C361,Однолинейка!$A$3:$A$3000,Щит_спец)+COUNTIFS(Однолинейка!$J$3:$J$3000,C361,Однолинейка!$A$3:$A$3000,Щит_спец)+COUNTIFS(Однолинейка!$K$3:$K$3000,C361,Однолинейка!$A$3:$A$3000,Щит_спец)),IF(A361="Модуль",IF(C361="","",COUNTIFS(Однолинейка!$AW$3:$AW$3000,"?*",Однолинейка!$AI$3:$AI$3000,C361,Однолинейка!$A$3:$A$3000,Щит_спец)),IF(A361="Клемма",IF(C361="","",IF(C361=$S$7,SUMIFS(Однолинейка!$BW$3:$BW$3000,Однолинейка!$A$3:$A$3000,Щит_спец),IF(C361=$S$8,SUMIFS(Однолинейка!$BX$3:$BX$3000,Однолинейка!$A$3:$A$3000,Щит_спец),""))),""))))</f>
        <v/>
      </c>
      <c r="O361" s="74"/>
      <c r="P361" s="38" t="str">
        <f t="shared" si="45"/>
        <v/>
      </c>
      <c r="U361" s="38" t="str">
        <f t="shared" si="46"/>
        <v/>
      </c>
      <c r="V361" s="38" t="str">
        <f t="shared" si="47"/>
        <v/>
      </c>
      <c r="W361" s="38" t="str">
        <f>IF(AND(U361&lt;&gt;"",OR($S$4="(все)",B361=$S$4),IF($S$4="(все)",COUNTIF($U$4:U361,U361),COUNTIFS($U$4:U361,U361,$B$4:B361,B361))=1),MAX($W$3:W360)+1,"")</f>
        <v/>
      </c>
      <c r="X361" s="38" t="str">
        <f t="shared" si="48"/>
        <v/>
      </c>
      <c r="Y361" s="38" t="str">
        <f>IF(AND(A361="Аппарат",C361&lt;&gt;"",OR($S$5="(все)",B361=$S$5)),MAX($Y$3:Y360)+1,"")</f>
        <v/>
      </c>
      <c r="Z361" s="38" t="str">
        <f t="shared" si="49"/>
        <v/>
      </c>
      <c r="AA361" s="38" t="str">
        <f>IF(AND(A361="Модуль",C361&lt;&gt;"",OR($S$6="(все)",B361=$S$6)),MAX($AA$3:AA360)+1,"")</f>
        <v/>
      </c>
      <c r="AB361" s="38" t="str">
        <f t="shared" si="50"/>
        <v/>
      </c>
      <c r="AC361" s="38" t="str">
        <f>IF(OR(B361="",COUNTIF($B$4:B361,B361)&gt;1),"",MAX($AC$3:AC360)+1)</f>
        <v/>
      </c>
      <c r="AD361" s="38" t="str">
        <f t="shared" si="51"/>
        <v/>
      </c>
      <c r="AE361" s="38" t="str">
        <f t="shared" si="52"/>
        <v/>
      </c>
      <c r="AF361" s="38" t="str">
        <f t="shared" si="53"/>
        <v/>
      </c>
    </row>
    <row r="362" spans="1:32" x14ac:dyDescent="0.3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38" t="str">
        <f>IF(OR(A362="Автомат",A362="Дифавтомат"),IF(W362="","",COUNTIFS(Однолинейка!$H$3:$H$3000,U362,Однолинейка!$A$3:$A$3000,Щит_спец)),IF(A362="Аппарат",IF(C362="","",COUNTIFS(Однолинейка!$I$3:$I$3000,C362,Однолинейка!$A$3:$A$3000,Щит_спец)+COUNTIFS(Однолинейка!$J$3:$J$3000,C362,Однолинейка!$A$3:$A$3000,Щит_спец)+COUNTIFS(Однолинейка!$K$3:$K$3000,C362,Однолинейка!$A$3:$A$3000,Щит_спец)),IF(A362="Модуль",IF(C362="","",COUNTIFS(Однолинейка!$AW$3:$AW$3000,"?*",Однолинейка!$AI$3:$AI$3000,C362,Однолинейка!$A$3:$A$3000,Щит_спец)),IF(A362="Клемма",IF(C362="","",IF(C362=$S$7,SUMIFS(Однолинейка!$BW$3:$BW$3000,Однолинейка!$A$3:$A$3000,Щит_спец),IF(C362=$S$8,SUMIFS(Однолинейка!$BX$3:$BX$3000,Однолинейка!$A$3:$A$3000,Щит_спец),""))),""))))</f>
        <v/>
      </c>
      <c r="O362" s="74"/>
      <c r="P362" s="38" t="str">
        <f t="shared" si="45"/>
        <v/>
      </c>
      <c r="U362" s="38" t="str">
        <f t="shared" si="46"/>
        <v/>
      </c>
      <c r="V362" s="38" t="str">
        <f t="shared" si="47"/>
        <v/>
      </c>
      <c r="W362" s="38" t="str">
        <f>IF(AND(U362&lt;&gt;"",OR($S$4="(все)",B362=$S$4),IF($S$4="(все)",COUNTIF($U$4:U362,U362),COUNTIFS($U$4:U362,U362,$B$4:B362,B362))=1),MAX($W$3:W361)+1,"")</f>
        <v/>
      </c>
      <c r="X362" s="38" t="str">
        <f t="shared" si="48"/>
        <v/>
      </c>
      <c r="Y362" s="38" t="str">
        <f>IF(AND(A362="Аппарат",C362&lt;&gt;"",OR($S$5="(все)",B362=$S$5)),MAX($Y$3:Y361)+1,"")</f>
        <v/>
      </c>
      <c r="Z362" s="38" t="str">
        <f t="shared" si="49"/>
        <v/>
      </c>
      <c r="AA362" s="38" t="str">
        <f>IF(AND(A362="Модуль",C362&lt;&gt;"",OR($S$6="(все)",B362=$S$6)),MAX($AA$3:AA361)+1,"")</f>
        <v/>
      </c>
      <c r="AB362" s="38" t="str">
        <f t="shared" si="50"/>
        <v/>
      </c>
      <c r="AC362" s="38" t="str">
        <f>IF(OR(B362="",COUNTIF($B$4:B362,B362)&gt;1),"",MAX($AC$3:AC361)+1)</f>
        <v/>
      </c>
      <c r="AD362" s="38" t="str">
        <f t="shared" si="51"/>
        <v/>
      </c>
      <c r="AE362" s="38" t="str">
        <f t="shared" si="52"/>
        <v/>
      </c>
      <c r="AF362" s="38" t="str">
        <f t="shared" si="53"/>
        <v/>
      </c>
    </row>
    <row r="363" spans="1:32" x14ac:dyDescent="0.3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38" t="str">
        <f>IF(OR(A363="Автомат",A363="Дифавтомат"),IF(W363="","",COUNTIFS(Однолинейка!$H$3:$H$3000,U363,Однолинейка!$A$3:$A$3000,Щит_спец)),IF(A363="Аппарат",IF(C363="","",COUNTIFS(Однолинейка!$I$3:$I$3000,C363,Однолинейка!$A$3:$A$3000,Щит_спец)+COUNTIFS(Однолинейка!$J$3:$J$3000,C363,Однолинейка!$A$3:$A$3000,Щит_спец)+COUNTIFS(Однолинейка!$K$3:$K$3000,C363,Однолинейка!$A$3:$A$3000,Щит_спец)),IF(A363="Модуль",IF(C363="","",COUNTIFS(Однолинейка!$AW$3:$AW$3000,"?*",Однолинейка!$AI$3:$AI$3000,C363,Однолинейка!$A$3:$A$3000,Щит_спец)),IF(A363="Клемма",IF(C363="","",IF(C363=$S$7,SUMIFS(Однолинейка!$BW$3:$BW$3000,Однолинейка!$A$3:$A$3000,Щит_спец),IF(C363=$S$8,SUMIFS(Однолинейка!$BX$3:$BX$3000,Однолинейка!$A$3:$A$3000,Щит_спец),""))),""))))</f>
        <v/>
      </c>
      <c r="O363" s="74"/>
      <c r="P363" s="38" t="str">
        <f t="shared" si="45"/>
        <v/>
      </c>
      <c r="U363" s="38" t="str">
        <f t="shared" si="46"/>
        <v/>
      </c>
      <c r="V363" s="38" t="str">
        <f t="shared" si="47"/>
        <v/>
      </c>
      <c r="W363" s="38" t="str">
        <f>IF(AND(U363&lt;&gt;"",OR($S$4="(все)",B363=$S$4),IF($S$4="(все)",COUNTIF($U$4:U363,U363),COUNTIFS($U$4:U363,U363,$B$4:B363,B363))=1),MAX($W$3:W362)+1,"")</f>
        <v/>
      </c>
      <c r="X363" s="38" t="str">
        <f t="shared" si="48"/>
        <v/>
      </c>
      <c r="Y363" s="38" t="str">
        <f>IF(AND(A363="Аппарат",C363&lt;&gt;"",OR($S$5="(все)",B363=$S$5)),MAX($Y$3:Y362)+1,"")</f>
        <v/>
      </c>
      <c r="Z363" s="38" t="str">
        <f t="shared" si="49"/>
        <v/>
      </c>
      <c r="AA363" s="38" t="str">
        <f>IF(AND(A363="Модуль",C363&lt;&gt;"",OR($S$6="(все)",B363=$S$6)),MAX($AA$3:AA362)+1,"")</f>
        <v/>
      </c>
      <c r="AB363" s="38" t="str">
        <f t="shared" si="50"/>
        <v/>
      </c>
      <c r="AC363" s="38" t="str">
        <f>IF(OR(B363="",COUNTIF($B$4:B363,B363)&gt;1),"",MAX($AC$3:AC362)+1)</f>
        <v/>
      </c>
      <c r="AD363" s="38" t="str">
        <f t="shared" si="51"/>
        <v/>
      </c>
      <c r="AE363" s="38" t="str">
        <f t="shared" si="52"/>
        <v/>
      </c>
      <c r="AF363" s="38" t="str">
        <f t="shared" si="53"/>
        <v/>
      </c>
    </row>
    <row r="364" spans="1:32" x14ac:dyDescent="0.3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38" t="str">
        <f>IF(OR(A364="Автомат",A364="Дифавтомат"),IF(W364="","",COUNTIFS(Однолинейка!$H$3:$H$3000,U364,Однолинейка!$A$3:$A$3000,Щит_спец)),IF(A364="Аппарат",IF(C364="","",COUNTIFS(Однолинейка!$I$3:$I$3000,C364,Однолинейка!$A$3:$A$3000,Щит_спец)+COUNTIFS(Однолинейка!$J$3:$J$3000,C364,Однолинейка!$A$3:$A$3000,Щит_спец)+COUNTIFS(Однолинейка!$K$3:$K$3000,C364,Однолинейка!$A$3:$A$3000,Щит_спец)),IF(A364="Модуль",IF(C364="","",COUNTIFS(Однолинейка!$AW$3:$AW$3000,"?*",Однолинейка!$AI$3:$AI$3000,C364,Однолинейка!$A$3:$A$3000,Щит_спец)),IF(A364="Клемма",IF(C364="","",IF(C364=$S$7,SUMIFS(Однолинейка!$BW$3:$BW$3000,Однолинейка!$A$3:$A$3000,Щит_спец),IF(C364=$S$8,SUMIFS(Однолинейка!$BX$3:$BX$3000,Однолинейка!$A$3:$A$3000,Щит_спец),""))),""))))</f>
        <v/>
      </c>
      <c r="O364" s="74"/>
      <c r="P364" s="38" t="str">
        <f t="shared" si="45"/>
        <v/>
      </c>
      <c r="U364" s="38" t="str">
        <f t="shared" si="46"/>
        <v/>
      </c>
      <c r="V364" s="38" t="str">
        <f t="shared" si="47"/>
        <v/>
      </c>
      <c r="W364" s="38" t="str">
        <f>IF(AND(U364&lt;&gt;"",OR($S$4="(все)",B364=$S$4),IF($S$4="(все)",COUNTIF($U$4:U364,U364),COUNTIFS($U$4:U364,U364,$B$4:B364,B364))=1),MAX($W$3:W363)+1,"")</f>
        <v/>
      </c>
      <c r="X364" s="38" t="str">
        <f t="shared" si="48"/>
        <v/>
      </c>
      <c r="Y364" s="38" t="str">
        <f>IF(AND(A364="Аппарат",C364&lt;&gt;"",OR($S$5="(все)",B364=$S$5)),MAX($Y$3:Y363)+1,"")</f>
        <v/>
      </c>
      <c r="Z364" s="38" t="str">
        <f t="shared" si="49"/>
        <v/>
      </c>
      <c r="AA364" s="38" t="str">
        <f>IF(AND(A364="Модуль",C364&lt;&gt;"",OR($S$6="(все)",B364=$S$6)),MAX($AA$3:AA363)+1,"")</f>
        <v/>
      </c>
      <c r="AB364" s="38" t="str">
        <f t="shared" si="50"/>
        <v/>
      </c>
      <c r="AC364" s="38" t="str">
        <f>IF(OR(B364="",COUNTIF($B$4:B364,B364)&gt;1),"",MAX($AC$3:AC363)+1)</f>
        <v/>
      </c>
      <c r="AD364" s="38" t="str">
        <f t="shared" si="51"/>
        <v/>
      </c>
      <c r="AE364" s="38" t="str">
        <f t="shared" si="52"/>
        <v/>
      </c>
      <c r="AF364" s="38" t="str">
        <f t="shared" si="53"/>
        <v/>
      </c>
    </row>
    <row r="365" spans="1:32" x14ac:dyDescent="0.3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38" t="str">
        <f>IF(OR(A365="Автомат",A365="Дифавтомат"),IF(W365="","",COUNTIFS(Однолинейка!$H$3:$H$3000,U365,Однолинейка!$A$3:$A$3000,Щит_спец)),IF(A365="Аппарат",IF(C365="","",COUNTIFS(Однолинейка!$I$3:$I$3000,C365,Однолинейка!$A$3:$A$3000,Щит_спец)+COUNTIFS(Однолинейка!$J$3:$J$3000,C365,Однолинейка!$A$3:$A$3000,Щит_спец)+COUNTIFS(Однолинейка!$K$3:$K$3000,C365,Однолинейка!$A$3:$A$3000,Щит_спец)),IF(A365="Модуль",IF(C365="","",COUNTIFS(Однолинейка!$AW$3:$AW$3000,"?*",Однолинейка!$AI$3:$AI$3000,C365,Однолинейка!$A$3:$A$3000,Щит_спец)),IF(A365="Клемма",IF(C365="","",IF(C365=$S$7,SUMIFS(Однолинейка!$BW$3:$BW$3000,Однолинейка!$A$3:$A$3000,Щит_спец),IF(C365=$S$8,SUMIFS(Однолинейка!$BX$3:$BX$3000,Однолинейка!$A$3:$A$3000,Щит_спец),""))),""))))</f>
        <v/>
      </c>
      <c r="O365" s="74"/>
      <c r="P365" s="38" t="str">
        <f t="shared" si="45"/>
        <v/>
      </c>
      <c r="U365" s="38" t="str">
        <f t="shared" si="46"/>
        <v/>
      </c>
      <c r="V365" s="38" t="str">
        <f t="shared" si="47"/>
        <v/>
      </c>
      <c r="W365" s="38" t="str">
        <f>IF(AND(U365&lt;&gt;"",OR($S$4="(все)",B365=$S$4),IF($S$4="(все)",COUNTIF($U$4:U365,U365),COUNTIFS($U$4:U365,U365,$B$4:B365,B365))=1),MAX($W$3:W364)+1,"")</f>
        <v/>
      </c>
      <c r="X365" s="38" t="str">
        <f t="shared" si="48"/>
        <v/>
      </c>
      <c r="Y365" s="38" t="str">
        <f>IF(AND(A365="Аппарат",C365&lt;&gt;"",OR($S$5="(все)",B365=$S$5)),MAX($Y$3:Y364)+1,"")</f>
        <v/>
      </c>
      <c r="Z365" s="38" t="str">
        <f t="shared" si="49"/>
        <v/>
      </c>
      <c r="AA365" s="38" t="str">
        <f>IF(AND(A365="Модуль",C365&lt;&gt;"",OR($S$6="(все)",B365=$S$6)),MAX($AA$3:AA364)+1,"")</f>
        <v/>
      </c>
      <c r="AB365" s="38" t="str">
        <f t="shared" si="50"/>
        <v/>
      </c>
      <c r="AC365" s="38" t="str">
        <f>IF(OR(B365="",COUNTIF($B$4:B365,B365)&gt;1),"",MAX($AC$3:AC364)+1)</f>
        <v/>
      </c>
      <c r="AD365" s="38" t="str">
        <f t="shared" si="51"/>
        <v/>
      </c>
      <c r="AE365" s="38" t="str">
        <f t="shared" si="52"/>
        <v/>
      </c>
      <c r="AF365" s="38" t="str">
        <f t="shared" si="53"/>
        <v/>
      </c>
    </row>
    <row r="366" spans="1:32" x14ac:dyDescent="0.3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38" t="str">
        <f>IF(OR(A366="Автомат",A366="Дифавтомат"),IF(W366="","",COUNTIFS(Однолинейка!$H$3:$H$3000,U366,Однолинейка!$A$3:$A$3000,Щит_спец)),IF(A366="Аппарат",IF(C366="","",COUNTIFS(Однолинейка!$I$3:$I$3000,C366,Однолинейка!$A$3:$A$3000,Щит_спец)+COUNTIFS(Однолинейка!$J$3:$J$3000,C366,Однолинейка!$A$3:$A$3000,Щит_спец)+COUNTIFS(Однолинейка!$K$3:$K$3000,C366,Однолинейка!$A$3:$A$3000,Щит_спец)),IF(A366="Модуль",IF(C366="","",COUNTIFS(Однолинейка!$AW$3:$AW$3000,"?*",Однолинейка!$AI$3:$AI$3000,C366,Однолинейка!$A$3:$A$3000,Щит_спец)),IF(A366="Клемма",IF(C366="","",IF(C366=$S$7,SUMIFS(Однолинейка!$BW$3:$BW$3000,Однолинейка!$A$3:$A$3000,Щит_спец),IF(C366=$S$8,SUMIFS(Однолинейка!$BX$3:$BX$3000,Однолинейка!$A$3:$A$3000,Щит_спец),""))),""))))</f>
        <v/>
      </c>
      <c r="O366" s="74"/>
      <c r="P366" s="38" t="str">
        <f t="shared" si="45"/>
        <v/>
      </c>
      <c r="U366" s="38" t="str">
        <f t="shared" si="46"/>
        <v/>
      </c>
      <c r="V366" s="38" t="str">
        <f t="shared" si="47"/>
        <v/>
      </c>
      <c r="W366" s="38" t="str">
        <f>IF(AND(U366&lt;&gt;"",OR($S$4="(все)",B366=$S$4),IF($S$4="(все)",COUNTIF($U$4:U366,U366),COUNTIFS($U$4:U366,U366,$B$4:B366,B366))=1),MAX($W$3:W365)+1,"")</f>
        <v/>
      </c>
      <c r="X366" s="38" t="str">
        <f t="shared" si="48"/>
        <v/>
      </c>
      <c r="Y366" s="38" t="str">
        <f>IF(AND(A366="Аппарат",C366&lt;&gt;"",OR($S$5="(все)",B366=$S$5)),MAX($Y$3:Y365)+1,"")</f>
        <v/>
      </c>
      <c r="Z366" s="38" t="str">
        <f t="shared" si="49"/>
        <v/>
      </c>
      <c r="AA366" s="38" t="str">
        <f>IF(AND(A366="Модуль",C366&lt;&gt;"",OR($S$6="(все)",B366=$S$6)),MAX($AA$3:AA365)+1,"")</f>
        <v/>
      </c>
      <c r="AB366" s="38" t="str">
        <f t="shared" si="50"/>
        <v/>
      </c>
      <c r="AC366" s="38" t="str">
        <f>IF(OR(B366="",COUNTIF($B$4:B366,B366)&gt;1),"",MAX($AC$3:AC365)+1)</f>
        <v/>
      </c>
      <c r="AD366" s="38" t="str">
        <f t="shared" si="51"/>
        <v/>
      </c>
      <c r="AE366" s="38" t="str">
        <f t="shared" si="52"/>
        <v/>
      </c>
      <c r="AF366" s="38" t="str">
        <f t="shared" si="53"/>
        <v/>
      </c>
    </row>
    <row r="367" spans="1:32" x14ac:dyDescent="0.3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38" t="str">
        <f>IF(OR(A367="Автомат",A367="Дифавтомат"),IF(W367="","",COUNTIFS(Однолинейка!$H$3:$H$3000,U367,Однолинейка!$A$3:$A$3000,Щит_спец)),IF(A367="Аппарат",IF(C367="","",COUNTIFS(Однолинейка!$I$3:$I$3000,C367,Однолинейка!$A$3:$A$3000,Щит_спец)+COUNTIFS(Однолинейка!$J$3:$J$3000,C367,Однолинейка!$A$3:$A$3000,Щит_спец)+COUNTIFS(Однолинейка!$K$3:$K$3000,C367,Однолинейка!$A$3:$A$3000,Щит_спец)),IF(A367="Модуль",IF(C367="","",COUNTIFS(Однолинейка!$AW$3:$AW$3000,"?*",Однолинейка!$AI$3:$AI$3000,C367,Однолинейка!$A$3:$A$3000,Щит_спец)),IF(A367="Клемма",IF(C367="","",IF(C367=$S$7,SUMIFS(Однолинейка!$BW$3:$BW$3000,Однолинейка!$A$3:$A$3000,Щит_спец),IF(C367=$S$8,SUMIFS(Однолинейка!$BX$3:$BX$3000,Однолинейка!$A$3:$A$3000,Щит_спец),""))),""))))</f>
        <v/>
      </c>
      <c r="O367" s="74"/>
      <c r="P367" s="38" t="str">
        <f t="shared" si="45"/>
        <v/>
      </c>
      <c r="U367" s="38" t="str">
        <f t="shared" si="46"/>
        <v/>
      </c>
      <c r="V367" s="38" t="str">
        <f t="shared" si="47"/>
        <v/>
      </c>
      <c r="W367" s="38" t="str">
        <f>IF(AND(U367&lt;&gt;"",OR($S$4="(все)",B367=$S$4),IF($S$4="(все)",COUNTIF($U$4:U367,U367),COUNTIFS($U$4:U367,U367,$B$4:B367,B367))=1),MAX($W$3:W366)+1,"")</f>
        <v/>
      </c>
      <c r="X367" s="38" t="str">
        <f t="shared" si="48"/>
        <v/>
      </c>
      <c r="Y367" s="38" t="str">
        <f>IF(AND(A367="Аппарат",C367&lt;&gt;"",OR($S$5="(все)",B367=$S$5)),MAX($Y$3:Y366)+1,"")</f>
        <v/>
      </c>
      <c r="Z367" s="38" t="str">
        <f t="shared" si="49"/>
        <v/>
      </c>
      <c r="AA367" s="38" t="str">
        <f>IF(AND(A367="Модуль",C367&lt;&gt;"",OR($S$6="(все)",B367=$S$6)),MAX($AA$3:AA366)+1,"")</f>
        <v/>
      </c>
      <c r="AB367" s="38" t="str">
        <f t="shared" si="50"/>
        <v/>
      </c>
      <c r="AC367" s="38" t="str">
        <f>IF(OR(B367="",COUNTIF($B$4:B367,B367)&gt;1),"",MAX($AC$3:AC366)+1)</f>
        <v/>
      </c>
      <c r="AD367" s="38" t="str">
        <f t="shared" si="51"/>
        <v/>
      </c>
      <c r="AE367" s="38" t="str">
        <f t="shared" si="52"/>
        <v/>
      </c>
      <c r="AF367" s="38" t="str">
        <f t="shared" si="53"/>
        <v/>
      </c>
    </row>
    <row r="368" spans="1:32" x14ac:dyDescent="0.3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38" t="str">
        <f>IF(OR(A368="Автомат",A368="Дифавтомат"),IF(W368="","",COUNTIFS(Однолинейка!$H$3:$H$3000,U368,Однолинейка!$A$3:$A$3000,Щит_спец)),IF(A368="Аппарат",IF(C368="","",COUNTIFS(Однолинейка!$I$3:$I$3000,C368,Однолинейка!$A$3:$A$3000,Щит_спец)+COUNTIFS(Однолинейка!$J$3:$J$3000,C368,Однолинейка!$A$3:$A$3000,Щит_спец)+COUNTIFS(Однолинейка!$K$3:$K$3000,C368,Однолинейка!$A$3:$A$3000,Щит_спец)),IF(A368="Модуль",IF(C368="","",COUNTIFS(Однолинейка!$AW$3:$AW$3000,"?*",Однолинейка!$AI$3:$AI$3000,C368,Однолинейка!$A$3:$A$3000,Щит_спец)),IF(A368="Клемма",IF(C368="","",IF(C368=$S$7,SUMIFS(Однолинейка!$BW$3:$BW$3000,Однолинейка!$A$3:$A$3000,Щит_спец),IF(C368=$S$8,SUMIFS(Однолинейка!$BX$3:$BX$3000,Однолинейка!$A$3:$A$3000,Щит_спец),""))),""))))</f>
        <v/>
      </c>
      <c r="O368" s="74"/>
      <c r="P368" s="38" t="str">
        <f t="shared" si="45"/>
        <v/>
      </c>
      <c r="U368" s="38" t="str">
        <f t="shared" si="46"/>
        <v/>
      </c>
      <c r="V368" s="38" t="str">
        <f t="shared" si="47"/>
        <v/>
      </c>
      <c r="W368" s="38" t="str">
        <f>IF(AND(U368&lt;&gt;"",OR($S$4="(все)",B368=$S$4),IF($S$4="(все)",COUNTIF($U$4:U368,U368),COUNTIFS($U$4:U368,U368,$B$4:B368,B368))=1),MAX($W$3:W367)+1,"")</f>
        <v/>
      </c>
      <c r="X368" s="38" t="str">
        <f t="shared" si="48"/>
        <v/>
      </c>
      <c r="Y368" s="38" t="str">
        <f>IF(AND(A368="Аппарат",C368&lt;&gt;"",OR($S$5="(все)",B368=$S$5)),MAX($Y$3:Y367)+1,"")</f>
        <v/>
      </c>
      <c r="Z368" s="38" t="str">
        <f t="shared" si="49"/>
        <v/>
      </c>
      <c r="AA368" s="38" t="str">
        <f>IF(AND(A368="Модуль",C368&lt;&gt;"",OR($S$6="(все)",B368=$S$6)),MAX($AA$3:AA367)+1,"")</f>
        <v/>
      </c>
      <c r="AB368" s="38" t="str">
        <f t="shared" si="50"/>
        <v/>
      </c>
      <c r="AC368" s="38" t="str">
        <f>IF(OR(B368="",COUNTIF($B$4:B368,B368)&gt;1),"",MAX($AC$3:AC367)+1)</f>
        <v/>
      </c>
      <c r="AD368" s="38" t="str">
        <f t="shared" si="51"/>
        <v/>
      </c>
      <c r="AE368" s="38" t="str">
        <f t="shared" si="52"/>
        <v/>
      </c>
      <c r="AF368" s="38" t="str">
        <f t="shared" si="53"/>
        <v/>
      </c>
    </row>
    <row r="369" spans="1:32" x14ac:dyDescent="0.3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38" t="str">
        <f>IF(OR(A369="Автомат",A369="Дифавтомат"),IF(W369="","",COUNTIFS(Однолинейка!$H$3:$H$3000,U369,Однолинейка!$A$3:$A$3000,Щит_спец)),IF(A369="Аппарат",IF(C369="","",COUNTIFS(Однолинейка!$I$3:$I$3000,C369,Однолинейка!$A$3:$A$3000,Щит_спец)+COUNTIFS(Однолинейка!$J$3:$J$3000,C369,Однолинейка!$A$3:$A$3000,Щит_спец)+COUNTIFS(Однолинейка!$K$3:$K$3000,C369,Однолинейка!$A$3:$A$3000,Щит_спец)),IF(A369="Модуль",IF(C369="","",COUNTIFS(Однолинейка!$AW$3:$AW$3000,"?*",Однолинейка!$AI$3:$AI$3000,C369,Однолинейка!$A$3:$A$3000,Щит_спец)),IF(A369="Клемма",IF(C369="","",IF(C369=$S$7,SUMIFS(Однолинейка!$BW$3:$BW$3000,Однолинейка!$A$3:$A$3000,Щит_спец),IF(C369=$S$8,SUMIFS(Однолинейка!$BX$3:$BX$3000,Однолинейка!$A$3:$A$3000,Щит_спец),""))),""))))</f>
        <v/>
      </c>
      <c r="O369" s="74"/>
      <c r="P369" s="38" t="str">
        <f t="shared" si="45"/>
        <v/>
      </c>
      <c r="U369" s="38" t="str">
        <f t="shared" si="46"/>
        <v/>
      </c>
      <c r="V369" s="38" t="str">
        <f t="shared" si="47"/>
        <v/>
      </c>
      <c r="W369" s="38" t="str">
        <f>IF(AND(U369&lt;&gt;"",OR($S$4="(все)",B369=$S$4),IF($S$4="(все)",COUNTIF($U$4:U369,U369),COUNTIFS($U$4:U369,U369,$B$4:B369,B369))=1),MAX($W$3:W368)+1,"")</f>
        <v/>
      </c>
      <c r="X369" s="38" t="str">
        <f t="shared" si="48"/>
        <v/>
      </c>
      <c r="Y369" s="38" t="str">
        <f>IF(AND(A369="Аппарат",C369&lt;&gt;"",OR($S$5="(все)",B369=$S$5)),MAX($Y$3:Y368)+1,"")</f>
        <v/>
      </c>
      <c r="Z369" s="38" t="str">
        <f t="shared" si="49"/>
        <v/>
      </c>
      <c r="AA369" s="38" t="str">
        <f>IF(AND(A369="Модуль",C369&lt;&gt;"",OR($S$6="(все)",B369=$S$6)),MAX($AA$3:AA368)+1,"")</f>
        <v/>
      </c>
      <c r="AB369" s="38" t="str">
        <f t="shared" si="50"/>
        <v/>
      </c>
      <c r="AC369" s="38" t="str">
        <f>IF(OR(B369="",COUNTIF($B$4:B369,B369)&gt;1),"",MAX($AC$3:AC368)+1)</f>
        <v/>
      </c>
      <c r="AD369" s="38" t="str">
        <f t="shared" si="51"/>
        <v/>
      </c>
      <c r="AE369" s="38" t="str">
        <f t="shared" si="52"/>
        <v/>
      </c>
      <c r="AF369" s="38" t="str">
        <f t="shared" si="53"/>
        <v/>
      </c>
    </row>
    <row r="370" spans="1:32" x14ac:dyDescent="0.3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38" t="str">
        <f>IF(OR(A370="Автомат",A370="Дифавтомат"),IF(W370="","",COUNTIFS(Однолинейка!$H$3:$H$3000,U370,Однолинейка!$A$3:$A$3000,Щит_спец)),IF(A370="Аппарат",IF(C370="","",COUNTIFS(Однолинейка!$I$3:$I$3000,C370,Однолинейка!$A$3:$A$3000,Щит_спец)+COUNTIFS(Однолинейка!$J$3:$J$3000,C370,Однолинейка!$A$3:$A$3000,Щит_спец)+COUNTIFS(Однолинейка!$K$3:$K$3000,C370,Однолинейка!$A$3:$A$3000,Щит_спец)),IF(A370="Модуль",IF(C370="","",COUNTIFS(Однолинейка!$AW$3:$AW$3000,"?*",Однолинейка!$AI$3:$AI$3000,C370,Однолинейка!$A$3:$A$3000,Щит_спец)),IF(A370="Клемма",IF(C370="","",IF(C370=$S$7,SUMIFS(Однолинейка!$BW$3:$BW$3000,Однолинейка!$A$3:$A$3000,Щит_спец),IF(C370=$S$8,SUMIFS(Однолинейка!$BX$3:$BX$3000,Однолинейка!$A$3:$A$3000,Щит_спец),""))),""))))</f>
        <v/>
      </c>
      <c r="O370" s="74"/>
      <c r="P370" s="38" t="str">
        <f t="shared" si="45"/>
        <v/>
      </c>
      <c r="U370" s="38" t="str">
        <f t="shared" si="46"/>
        <v/>
      </c>
      <c r="V370" s="38" t="str">
        <f t="shared" si="47"/>
        <v/>
      </c>
      <c r="W370" s="38" t="str">
        <f>IF(AND(U370&lt;&gt;"",OR($S$4="(все)",B370=$S$4),IF($S$4="(все)",COUNTIF($U$4:U370,U370),COUNTIFS($U$4:U370,U370,$B$4:B370,B370))=1),MAX($W$3:W369)+1,"")</f>
        <v/>
      </c>
      <c r="X370" s="38" t="str">
        <f t="shared" si="48"/>
        <v/>
      </c>
      <c r="Y370" s="38" t="str">
        <f>IF(AND(A370="Аппарат",C370&lt;&gt;"",OR($S$5="(все)",B370=$S$5)),MAX($Y$3:Y369)+1,"")</f>
        <v/>
      </c>
      <c r="Z370" s="38" t="str">
        <f t="shared" si="49"/>
        <v/>
      </c>
      <c r="AA370" s="38" t="str">
        <f>IF(AND(A370="Модуль",C370&lt;&gt;"",OR($S$6="(все)",B370=$S$6)),MAX($AA$3:AA369)+1,"")</f>
        <v/>
      </c>
      <c r="AB370" s="38" t="str">
        <f t="shared" si="50"/>
        <v/>
      </c>
      <c r="AC370" s="38" t="str">
        <f>IF(OR(B370="",COUNTIF($B$4:B370,B370)&gt;1),"",MAX($AC$3:AC369)+1)</f>
        <v/>
      </c>
      <c r="AD370" s="38" t="str">
        <f t="shared" si="51"/>
        <v/>
      </c>
      <c r="AE370" s="38" t="str">
        <f t="shared" si="52"/>
        <v/>
      </c>
      <c r="AF370" s="38" t="str">
        <f t="shared" si="53"/>
        <v/>
      </c>
    </row>
    <row r="371" spans="1:32" x14ac:dyDescent="0.3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38" t="str">
        <f>IF(OR(A371="Автомат",A371="Дифавтомат"),IF(W371="","",COUNTIFS(Однолинейка!$H$3:$H$3000,U371,Однолинейка!$A$3:$A$3000,Щит_спец)),IF(A371="Аппарат",IF(C371="","",COUNTIFS(Однолинейка!$I$3:$I$3000,C371,Однолинейка!$A$3:$A$3000,Щит_спец)+COUNTIFS(Однолинейка!$J$3:$J$3000,C371,Однолинейка!$A$3:$A$3000,Щит_спец)+COUNTIFS(Однолинейка!$K$3:$K$3000,C371,Однолинейка!$A$3:$A$3000,Щит_спец)),IF(A371="Модуль",IF(C371="","",COUNTIFS(Однолинейка!$AW$3:$AW$3000,"?*",Однолинейка!$AI$3:$AI$3000,C371,Однолинейка!$A$3:$A$3000,Щит_спец)),IF(A371="Клемма",IF(C371="","",IF(C371=$S$7,SUMIFS(Однолинейка!$BW$3:$BW$3000,Однолинейка!$A$3:$A$3000,Щит_спец),IF(C371=$S$8,SUMIFS(Однолинейка!$BX$3:$BX$3000,Однолинейка!$A$3:$A$3000,Щит_спец),""))),""))))</f>
        <v/>
      </c>
      <c r="O371" s="74"/>
      <c r="P371" s="38" t="str">
        <f t="shared" si="45"/>
        <v/>
      </c>
      <c r="U371" s="38" t="str">
        <f t="shared" si="46"/>
        <v/>
      </c>
      <c r="V371" s="38" t="str">
        <f t="shared" si="47"/>
        <v/>
      </c>
      <c r="W371" s="38" t="str">
        <f>IF(AND(U371&lt;&gt;"",OR($S$4="(все)",B371=$S$4),IF($S$4="(все)",COUNTIF($U$4:U371,U371),COUNTIFS($U$4:U371,U371,$B$4:B371,B371))=1),MAX($W$3:W370)+1,"")</f>
        <v/>
      </c>
      <c r="X371" s="38" t="str">
        <f t="shared" si="48"/>
        <v/>
      </c>
      <c r="Y371" s="38" t="str">
        <f>IF(AND(A371="Аппарат",C371&lt;&gt;"",OR($S$5="(все)",B371=$S$5)),MAX($Y$3:Y370)+1,"")</f>
        <v/>
      </c>
      <c r="Z371" s="38" t="str">
        <f t="shared" si="49"/>
        <v/>
      </c>
      <c r="AA371" s="38" t="str">
        <f>IF(AND(A371="Модуль",C371&lt;&gt;"",OR($S$6="(все)",B371=$S$6)),MAX($AA$3:AA370)+1,"")</f>
        <v/>
      </c>
      <c r="AB371" s="38" t="str">
        <f t="shared" si="50"/>
        <v/>
      </c>
      <c r="AC371" s="38" t="str">
        <f>IF(OR(B371="",COUNTIF($B$4:B371,B371)&gt;1),"",MAX($AC$3:AC370)+1)</f>
        <v/>
      </c>
      <c r="AD371" s="38" t="str">
        <f t="shared" si="51"/>
        <v/>
      </c>
      <c r="AE371" s="38" t="str">
        <f t="shared" si="52"/>
        <v/>
      </c>
      <c r="AF371" s="38" t="str">
        <f t="shared" si="53"/>
        <v/>
      </c>
    </row>
    <row r="372" spans="1:32" x14ac:dyDescent="0.3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38" t="str">
        <f>IF(OR(A372="Автомат",A372="Дифавтомат"),IF(W372="","",COUNTIFS(Однолинейка!$H$3:$H$3000,U372,Однолинейка!$A$3:$A$3000,Щит_спец)),IF(A372="Аппарат",IF(C372="","",COUNTIFS(Однолинейка!$I$3:$I$3000,C372,Однолинейка!$A$3:$A$3000,Щит_спец)+COUNTIFS(Однолинейка!$J$3:$J$3000,C372,Однолинейка!$A$3:$A$3000,Щит_спец)+COUNTIFS(Однолинейка!$K$3:$K$3000,C372,Однолинейка!$A$3:$A$3000,Щит_спец)),IF(A372="Модуль",IF(C372="","",COUNTIFS(Однолинейка!$AW$3:$AW$3000,"?*",Однолинейка!$AI$3:$AI$3000,C372,Однолинейка!$A$3:$A$3000,Щит_спец)),IF(A372="Клемма",IF(C372="","",IF(C372=$S$7,SUMIFS(Однолинейка!$BW$3:$BW$3000,Однолинейка!$A$3:$A$3000,Щит_спец),IF(C372=$S$8,SUMIFS(Однолинейка!$BX$3:$BX$3000,Однолинейка!$A$3:$A$3000,Щит_спец),""))),""))))</f>
        <v/>
      </c>
      <c r="O372" s="74"/>
      <c r="P372" s="38" t="str">
        <f t="shared" si="45"/>
        <v/>
      </c>
      <c r="U372" s="38" t="str">
        <f t="shared" si="46"/>
        <v/>
      </c>
      <c r="V372" s="38" t="str">
        <f t="shared" si="47"/>
        <v/>
      </c>
      <c r="W372" s="38" t="str">
        <f>IF(AND(U372&lt;&gt;"",OR($S$4="(все)",B372=$S$4),IF($S$4="(все)",COUNTIF($U$4:U372,U372),COUNTIFS($U$4:U372,U372,$B$4:B372,B372))=1),MAX($W$3:W371)+1,"")</f>
        <v/>
      </c>
      <c r="X372" s="38" t="str">
        <f t="shared" si="48"/>
        <v/>
      </c>
      <c r="Y372" s="38" t="str">
        <f>IF(AND(A372="Аппарат",C372&lt;&gt;"",OR($S$5="(все)",B372=$S$5)),MAX($Y$3:Y371)+1,"")</f>
        <v/>
      </c>
      <c r="Z372" s="38" t="str">
        <f t="shared" si="49"/>
        <v/>
      </c>
      <c r="AA372" s="38" t="str">
        <f>IF(AND(A372="Модуль",C372&lt;&gt;"",OR($S$6="(все)",B372=$S$6)),MAX($AA$3:AA371)+1,"")</f>
        <v/>
      </c>
      <c r="AB372" s="38" t="str">
        <f t="shared" si="50"/>
        <v/>
      </c>
      <c r="AC372" s="38" t="str">
        <f>IF(OR(B372="",COUNTIF($B$4:B372,B372)&gt;1),"",MAX($AC$3:AC371)+1)</f>
        <v/>
      </c>
      <c r="AD372" s="38" t="str">
        <f t="shared" si="51"/>
        <v/>
      </c>
      <c r="AE372" s="38" t="str">
        <f t="shared" si="52"/>
        <v/>
      </c>
      <c r="AF372" s="38" t="str">
        <f t="shared" si="53"/>
        <v/>
      </c>
    </row>
    <row r="373" spans="1:32" x14ac:dyDescent="0.3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38" t="str">
        <f>IF(OR(A373="Автомат",A373="Дифавтомат"),IF(W373="","",COUNTIFS(Однолинейка!$H$3:$H$3000,U373,Однолинейка!$A$3:$A$3000,Щит_спец)),IF(A373="Аппарат",IF(C373="","",COUNTIFS(Однолинейка!$I$3:$I$3000,C373,Однолинейка!$A$3:$A$3000,Щит_спец)+COUNTIFS(Однолинейка!$J$3:$J$3000,C373,Однолинейка!$A$3:$A$3000,Щит_спец)+COUNTIFS(Однолинейка!$K$3:$K$3000,C373,Однолинейка!$A$3:$A$3000,Щит_спец)),IF(A373="Модуль",IF(C373="","",COUNTIFS(Однолинейка!$AW$3:$AW$3000,"?*",Однолинейка!$AI$3:$AI$3000,C373,Однолинейка!$A$3:$A$3000,Щит_спец)),IF(A373="Клемма",IF(C373="","",IF(C373=$S$7,SUMIFS(Однолинейка!$BW$3:$BW$3000,Однолинейка!$A$3:$A$3000,Щит_спец),IF(C373=$S$8,SUMIFS(Однолинейка!$BX$3:$BX$3000,Однолинейка!$A$3:$A$3000,Щит_спец),""))),""))))</f>
        <v/>
      </c>
      <c r="O373" s="74"/>
      <c r="P373" s="38" t="str">
        <f t="shared" si="45"/>
        <v/>
      </c>
      <c r="U373" s="38" t="str">
        <f t="shared" si="46"/>
        <v/>
      </c>
      <c r="V373" s="38" t="str">
        <f t="shared" si="47"/>
        <v/>
      </c>
      <c r="W373" s="38" t="str">
        <f>IF(AND(U373&lt;&gt;"",OR($S$4="(все)",B373=$S$4),IF($S$4="(все)",COUNTIF($U$4:U373,U373),COUNTIFS($U$4:U373,U373,$B$4:B373,B373))=1),MAX($W$3:W372)+1,"")</f>
        <v/>
      </c>
      <c r="X373" s="38" t="str">
        <f t="shared" si="48"/>
        <v/>
      </c>
      <c r="Y373" s="38" t="str">
        <f>IF(AND(A373="Аппарат",C373&lt;&gt;"",OR($S$5="(все)",B373=$S$5)),MAX($Y$3:Y372)+1,"")</f>
        <v/>
      </c>
      <c r="Z373" s="38" t="str">
        <f t="shared" si="49"/>
        <v/>
      </c>
      <c r="AA373" s="38" t="str">
        <f>IF(AND(A373="Модуль",C373&lt;&gt;"",OR($S$6="(все)",B373=$S$6)),MAX($AA$3:AA372)+1,"")</f>
        <v/>
      </c>
      <c r="AB373" s="38" t="str">
        <f t="shared" si="50"/>
        <v/>
      </c>
      <c r="AC373" s="38" t="str">
        <f>IF(OR(B373="",COUNTIF($B$4:B373,B373)&gt;1),"",MAX($AC$3:AC372)+1)</f>
        <v/>
      </c>
      <c r="AD373" s="38" t="str">
        <f t="shared" si="51"/>
        <v/>
      </c>
      <c r="AE373" s="38" t="str">
        <f t="shared" si="52"/>
        <v/>
      </c>
      <c r="AF373" s="38" t="str">
        <f t="shared" si="53"/>
        <v/>
      </c>
    </row>
    <row r="374" spans="1:32" x14ac:dyDescent="0.3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38" t="str">
        <f>IF(OR(A374="Автомат",A374="Дифавтомат"),IF(W374="","",COUNTIFS(Однолинейка!$H$3:$H$3000,U374,Однолинейка!$A$3:$A$3000,Щит_спец)),IF(A374="Аппарат",IF(C374="","",COUNTIFS(Однолинейка!$I$3:$I$3000,C374,Однолинейка!$A$3:$A$3000,Щит_спец)+COUNTIFS(Однолинейка!$J$3:$J$3000,C374,Однолинейка!$A$3:$A$3000,Щит_спец)+COUNTIFS(Однолинейка!$K$3:$K$3000,C374,Однолинейка!$A$3:$A$3000,Щит_спец)),IF(A374="Модуль",IF(C374="","",COUNTIFS(Однолинейка!$AW$3:$AW$3000,"?*",Однолинейка!$AI$3:$AI$3000,C374,Однолинейка!$A$3:$A$3000,Щит_спец)),IF(A374="Клемма",IF(C374="","",IF(C374=$S$7,SUMIFS(Однолинейка!$BW$3:$BW$3000,Однолинейка!$A$3:$A$3000,Щит_спец),IF(C374=$S$8,SUMIFS(Однолинейка!$BX$3:$BX$3000,Однолинейка!$A$3:$A$3000,Щит_спец),""))),""))))</f>
        <v/>
      </c>
      <c r="O374" s="74"/>
      <c r="P374" s="38" t="str">
        <f t="shared" si="45"/>
        <v/>
      </c>
      <c r="U374" s="38" t="str">
        <f t="shared" si="46"/>
        <v/>
      </c>
      <c r="V374" s="38" t="str">
        <f t="shared" si="47"/>
        <v/>
      </c>
      <c r="W374" s="38" t="str">
        <f>IF(AND(U374&lt;&gt;"",OR($S$4="(все)",B374=$S$4),IF($S$4="(все)",COUNTIF($U$4:U374,U374),COUNTIFS($U$4:U374,U374,$B$4:B374,B374))=1),MAX($W$3:W373)+1,"")</f>
        <v/>
      </c>
      <c r="X374" s="38" t="str">
        <f t="shared" si="48"/>
        <v/>
      </c>
      <c r="Y374" s="38" t="str">
        <f>IF(AND(A374="Аппарат",C374&lt;&gt;"",OR($S$5="(все)",B374=$S$5)),MAX($Y$3:Y373)+1,"")</f>
        <v/>
      </c>
      <c r="Z374" s="38" t="str">
        <f t="shared" si="49"/>
        <v/>
      </c>
      <c r="AA374" s="38" t="str">
        <f>IF(AND(A374="Модуль",C374&lt;&gt;"",OR($S$6="(все)",B374=$S$6)),MAX($AA$3:AA373)+1,"")</f>
        <v/>
      </c>
      <c r="AB374" s="38" t="str">
        <f t="shared" si="50"/>
        <v/>
      </c>
      <c r="AC374" s="38" t="str">
        <f>IF(OR(B374="",COUNTIF($B$4:B374,B374)&gt;1),"",MAX($AC$3:AC373)+1)</f>
        <v/>
      </c>
      <c r="AD374" s="38" t="str">
        <f t="shared" si="51"/>
        <v/>
      </c>
      <c r="AE374" s="38" t="str">
        <f t="shared" si="52"/>
        <v/>
      </c>
      <c r="AF374" s="38" t="str">
        <f t="shared" si="53"/>
        <v/>
      </c>
    </row>
    <row r="375" spans="1:32" x14ac:dyDescent="0.3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38" t="str">
        <f>IF(OR(A375="Автомат",A375="Дифавтомат"),IF(W375="","",COUNTIFS(Однолинейка!$H$3:$H$3000,U375,Однолинейка!$A$3:$A$3000,Щит_спец)),IF(A375="Аппарат",IF(C375="","",COUNTIFS(Однолинейка!$I$3:$I$3000,C375,Однолинейка!$A$3:$A$3000,Щит_спец)+COUNTIFS(Однолинейка!$J$3:$J$3000,C375,Однолинейка!$A$3:$A$3000,Щит_спец)+COUNTIFS(Однолинейка!$K$3:$K$3000,C375,Однолинейка!$A$3:$A$3000,Щит_спец)),IF(A375="Модуль",IF(C375="","",COUNTIFS(Однолинейка!$AW$3:$AW$3000,"?*",Однолинейка!$AI$3:$AI$3000,C375,Однолинейка!$A$3:$A$3000,Щит_спец)),IF(A375="Клемма",IF(C375="","",IF(C375=$S$7,SUMIFS(Однолинейка!$BW$3:$BW$3000,Однолинейка!$A$3:$A$3000,Щит_спец),IF(C375=$S$8,SUMIFS(Однолинейка!$BX$3:$BX$3000,Однолинейка!$A$3:$A$3000,Щит_спец),""))),""))))</f>
        <v/>
      </c>
      <c r="O375" s="74"/>
      <c r="P375" s="38" t="str">
        <f t="shared" si="45"/>
        <v/>
      </c>
      <c r="U375" s="38" t="str">
        <f t="shared" si="46"/>
        <v/>
      </c>
      <c r="V375" s="38" t="str">
        <f t="shared" si="47"/>
        <v/>
      </c>
      <c r="W375" s="38" t="str">
        <f>IF(AND(U375&lt;&gt;"",OR($S$4="(все)",B375=$S$4),IF($S$4="(все)",COUNTIF($U$4:U375,U375),COUNTIFS($U$4:U375,U375,$B$4:B375,B375))=1),MAX($W$3:W374)+1,"")</f>
        <v/>
      </c>
      <c r="X375" s="38" t="str">
        <f t="shared" si="48"/>
        <v/>
      </c>
      <c r="Y375" s="38" t="str">
        <f>IF(AND(A375="Аппарат",C375&lt;&gt;"",OR($S$5="(все)",B375=$S$5)),MAX($Y$3:Y374)+1,"")</f>
        <v/>
      </c>
      <c r="Z375" s="38" t="str">
        <f t="shared" si="49"/>
        <v/>
      </c>
      <c r="AA375" s="38" t="str">
        <f>IF(AND(A375="Модуль",C375&lt;&gt;"",OR($S$6="(все)",B375=$S$6)),MAX($AA$3:AA374)+1,"")</f>
        <v/>
      </c>
      <c r="AB375" s="38" t="str">
        <f t="shared" si="50"/>
        <v/>
      </c>
      <c r="AC375" s="38" t="str">
        <f>IF(OR(B375="",COUNTIF($B$4:B375,B375)&gt;1),"",MAX($AC$3:AC374)+1)</f>
        <v/>
      </c>
      <c r="AD375" s="38" t="str">
        <f t="shared" si="51"/>
        <v/>
      </c>
      <c r="AE375" s="38" t="str">
        <f t="shared" si="52"/>
        <v/>
      </c>
      <c r="AF375" s="38" t="str">
        <f t="shared" si="53"/>
        <v/>
      </c>
    </row>
    <row r="376" spans="1:32" x14ac:dyDescent="0.3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38" t="str">
        <f>IF(OR(A376="Автомат",A376="Дифавтомат"),IF(W376="","",COUNTIFS(Однолинейка!$H$3:$H$3000,U376,Однолинейка!$A$3:$A$3000,Щит_спец)),IF(A376="Аппарат",IF(C376="","",COUNTIFS(Однолинейка!$I$3:$I$3000,C376,Однолинейка!$A$3:$A$3000,Щит_спец)+COUNTIFS(Однолинейка!$J$3:$J$3000,C376,Однолинейка!$A$3:$A$3000,Щит_спец)+COUNTIFS(Однолинейка!$K$3:$K$3000,C376,Однолинейка!$A$3:$A$3000,Щит_спец)),IF(A376="Модуль",IF(C376="","",COUNTIFS(Однолинейка!$AW$3:$AW$3000,"?*",Однолинейка!$AI$3:$AI$3000,C376,Однолинейка!$A$3:$A$3000,Щит_спец)),IF(A376="Клемма",IF(C376="","",IF(C376=$S$7,SUMIFS(Однолинейка!$BW$3:$BW$3000,Однолинейка!$A$3:$A$3000,Щит_спец),IF(C376=$S$8,SUMIFS(Однолинейка!$BX$3:$BX$3000,Однолинейка!$A$3:$A$3000,Щит_спец),""))),""))))</f>
        <v/>
      </c>
      <c r="O376" s="74"/>
      <c r="P376" s="38" t="str">
        <f t="shared" si="45"/>
        <v/>
      </c>
      <c r="U376" s="38" t="str">
        <f t="shared" si="46"/>
        <v/>
      </c>
      <c r="V376" s="38" t="str">
        <f t="shared" si="47"/>
        <v/>
      </c>
      <c r="W376" s="38" t="str">
        <f>IF(AND(U376&lt;&gt;"",OR($S$4="(все)",B376=$S$4),IF($S$4="(все)",COUNTIF($U$4:U376,U376),COUNTIFS($U$4:U376,U376,$B$4:B376,B376))=1),MAX($W$3:W375)+1,"")</f>
        <v/>
      </c>
      <c r="X376" s="38" t="str">
        <f t="shared" si="48"/>
        <v/>
      </c>
      <c r="Y376" s="38" t="str">
        <f>IF(AND(A376="Аппарат",C376&lt;&gt;"",OR($S$5="(все)",B376=$S$5)),MAX($Y$3:Y375)+1,"")</f>
        <v/>
      </c>
      <c r="Z376" s="38" t="str">
        <f t="shared" si="49"/>
        <v/>
      </c>
      <c r="AA376" s="38" t="str">
        <f>IF(AND(A376="Модуль",C376&lt;&gt;"",OR($S$6="(все)",B376=$S$6)),MAX($AA$3:AA375)+1,"")</f>
        <v/>
      </c>
      <c r="AB376" s="38" t="str">
        <f t="shared" si="50"/>
        <v/>
      </c>
      <c r="AC376" s="38" t="str">
        <f>IF(OR(B376="",COUNTIF($B$4:B376,B376)&gt;1),"",MAX($AC$3:AC375)+1)</f>
        <v/>
      </c>
      <c r="AD376" s="38" t="str">
        <f t="shared" si="51"/>
        <v/>
      </c>
      <c r="AE376" s="38" t="str">
        <f t="shared" si="52"/>
        <v/>
      </c>
      <c r="AF376" s="38" t="str">
        <f t="shared" si="53"/>
        <v/>
      </c>
    </row>
    <row r="377" spans="1:32" x14ac:dyDescent="0.3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38" t="str">
        <f>IF(OR(A377="Автомат",A377="Дифавтомат"),IF(W377="","",COUNTIFS(Однолинейка!$H$3:$H$3000,U377,Однолинейка!$A$3:$A$3000,Щит_спец)),IF(A377="Аппарат",IF(C377="","",COUNTIFS(Однолинейка!$I$3:$I$3000,C377,Однолинейка!$A$3:$A$3000,Щит_спец)+COUNTIFS(Однолинейка!$J$3:$J$3000,C377,Однолинейка!$A$3:$A$3000,Щит_спец)+COUNTIFS(Однолинейка!$K$3:$K$3000,C377,Однолинейка!$A$3:$A$3000,Щит_спец)),IF(A377="Модуль",IF(C377="","",COUNTIFS(Однолинейка!$AW$3:$AW$3000,"?*",Однолинейка!$AI$3:$AI$3000,C377,Однолинейка!$A$3:$A$3000,Щит_спец)),IF(A377="Клемма",IF(C377="","",IF(C377=$S$7,SUMIFS(Однолинейка!$BW$3:$BW$3000,Однолинейка!$A$3:$A$3000,Щит_спец),IF(C377=$S$8,SUMIFS(Однолинейка!$BX$3:$BX$3000,Однолинейка!$A$3:$A$3000,Щит_спец),""))),""))))</f>
        <v/>
      </c>
      <c r="O377" s="74"/>
      <c r="P377" s="38" t="str">
        <f t="shared" si="45"/>
        <v/>
      </c>
      <c r="U377" s="38" t="str">
        <f t="shared" si="46"/>
        <v/>
      </c>
      <c r="V377" s="38" t="str">
        <f t="shared" si="47"/>
        <v/>
      </c>
      <c r="W377" s="38" t="str">
        <f>IF(AND(U377&lt;&gt;"",OR($S$4="(все)",B377=$S$4),IF($S$4="(все)",COUNTIF($U$4:U377,U377),COUNTIFS($U$4:U377,U377,$B$4:B377,B377))=1),MAX($W$3:W376)+1,"")</f>
        <v/>
      </c>
      <c r="X377" s="38" t="str">
        <f t="shared" si="48"/>
        <v/>
      </c>
      <c r="Y377" s="38" t="str">
        <f>IF(AND(A377="Аппарат",C377&lt;&gt;"",OR($S$5="(все)",B377=$S$5)),MAX($Y$3:Y376)+1,"")</f>
        <v/>
      </c>
      <c r="Z377" s="38" t="str">
        <f t="shared" si="49"/>
        <v/>
      </c>
      <c r="AA377" s="38" t="str">
        <f>IF(AND(A377="Модуль",C377&lt;&gt;"",OR($S$6="(все)",B377=$S$6)),MAX($AA$3:AA376)+1,"")</f>
        <v/>
      </c>
      <c r="AB377" s="38" t="str">
        <f t="shared" si="50"/>
        <v/>
      </c>
      <c r="AC377" s="38" t="str">
        <f>IF(OR(B377="",COUNTIF($B$4:B377,B377)&gt;1),"",MAX($AC$3:AC376)+1)</f>
        <v/>
      </c>
      <c r="AD377" s="38" t="str">
        <f t="shared" si="51"/>
        <v/>
      </c>
      <c r="AE377" s="38" t="str">
        <f t="shared" si="52"/>
        <v/>
      </c>
      <c r="AF377" s="38" t="str">
        <f t="shared" si="53"/>
        <v/>
      </c>
    </row>
    <row r="378" spans="1:32" x14ac:dyDescent="0.3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38" t="str">
        <f>IF(OR(A378="Автомат",A378="Дифавтомат"),IF(W378="","",COUNTIFS(Однолинейка!$H$3:$H$3000,U378,Однолинейка!$A$3:$A$3000,Щит_спец)),IF(A378="Аппарат",IF(C378="","",COUNTIFS(Однолинейка!$I$3:$I$3000,C378,Однолинейка!$A$3:$A$3000,Щит_спец)+COUNTIFS(Однолинейка!$J$3:$J$3000,C378,Однолинейка!$A$3:$A$3000,Щит_спец)+COUNTIFS(Однолинейка!$K$3:$K$3000,C378,Однолинейка!$A$3:$A$3000,Щит_спец)),IF(A378="Модуль",IF(C378="","",COUNTIFS(Однолинейка!$AW$3:$AW$3000,"?*",Однолинейка!$AI$3:$AI$3000,C378,Однолинейка!$A$3:$A$3000,Щит_спец)),IF(A378="Клемма",IF(C378="","",IF(C378=$S$7,SUMIFS(Однолинейка!$BW$3:$BW$3000,Однолинейка!$A$3:$A$3000,Щит_спец),IF(C378=$S$8,SUMIFS(Однолинейка!$BX$3:$BX$3000,Однолинейка!$A$3:$A$3000,Щит_спец),""))),""))))</f>
        <v/>
      </c>
      <c r="O378" s="74"/>
      <c r="P378" s="38" t="str">
        <f t="shared" si="45"/>
        <v/>
      </c>
      <c r="U378" s="38" t="str">
        <f t="shared" si="46"/>
        <v/>
      </c>
      <c r="V378" s="38" t="str">
        <f t="shared" si="47"/>
        <v/>
      </c>
      <c r="W378" s="38" t="str">
        <f>IF(AND(U378&lt;&gt;"",OR($S$4="(все)",B378=$S$4),IF($S$4="(все)",COUNTIF($U$4:U378,U378),COUNTIFS($U$4:U378,U378,$B$4:B378,B378))=1),MAX($W$3:W377)+1,"")</f>
        <v/>
      </c>
      <c r="X378" s="38" t="str">
        <f t="shared" si="48"/>
        <v/>
      </c>
      <c r="Y378" s="38" t="str">
        <f>IF(AND(A378="Аппарат",C378&lt;&gt;"",OR($S$5="(все)",B378=$S$5)),MAX($Y$3:Y377)+1,"")</f>
        <v/>
      </c>
      <c r="Z378" s="38" t="str">
        <f t="shared" si="49"/>
        <v/>
      </c>
      <c r="AA378" s="38" t="str">
        <f>IF(AND(A378="Модуль",C378&lt;&gt;"",OR($S$6="(все)",B378=$S$6)),MAX($AA$3:AA377)+1,"")</f>
        <v/>
      </c>
      <c r="AB378" s="38" t="str">
        <f t="shared" si="50"/>
        <v/>
      </c>
      <c r="AC378" s="38" t="str">
        <f>IF(OR(B378="",COUNTIF($B$4:B378,B378)&gt;1),"",MAX($AC$3:AC377)+1)</f>
        <v/>
      </c>
      <c r="AD378" s="38" t="str">
        <f t="shared" si="51"/>
        <v/>
      </c>
      <c r="AE378" s="38" t="str">
        <f t="shared" si="52"/>
        <v/>
      </c>
      <c r="AF378" s="38" t="str">
        <f t="shared" si="53"/>
        <v/>
      </c>
    </row>
    <row r="379" spans="1:32" x14ac:dyDescent="0.3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38" t="str">
        <f>IF(OR(A379="Автомат",A379="Дифавтомат"),IF(W379="","",COUNTIFS(Однолинейка!$H$3:$H$3000,U379,Однолинейка!$A$3:$A$3000,Щит_спец)),IF(A379="Аппарат",IF(C379="","",COUNTIFS(Однолинейка!$I$3:$I$3000,C379,Однолинейка!$A$3:$A$3000,Щит_спец)+COUNTIFS(Однолинейка!$J$3:$J$3000,C379,Однолинейка!$A$3:$A$3000,Щит_спец)+COUNTIFS(Однолинейка!$K$3:$K$3000,C379,Однолинейка!$A$3:$A$3000,Щит_спец)),IF(A379="Модуль",IF(C379="","",COUNTIFS(Однолинейка!$AW$3:$AW$3000,"?*",Однолинейка!$AI$3:$AI$3000,C379,Однолинейка!$A$3:$A$3000,Щит_спец)),IF(A379="Клемма",IF(C379="","",IF(C379=$S$7,SUMIFS(Однолинейка!$BW$3:$BW$3000,Однолинейка!$A$3:$A$3000,Щит_спец),IF(C379=$S$8,SUMIFS(Однолинейка!$BX$3:$BX$3000,Однолинейка!$A$3:$A$3000,Щит_спец),""))),""))))</f>
        <v/>
      </c>
      <c r="O379" s="74"/>
      <c r="P379" s="38" t="str">
        <f t="shared" si="45"/>
        <v/>
      </c>
      <c r="U379" s="38" t="str">
        <f t="shared" si="46"/>
        <v/>
      </c>
      <c r="V379" s="38" t="str">
        <f t="shared" si="47"/>
        <v/>
      </c>
      <c r="W379" s="38" t="str">
        <f>IF(AND(U379&lt;&gt;"",OR($S$4="(все)",B379=$S$4),IF($S$4="(все)",COUNTIF($U$4:U379,U379),COUNTIFS($U$4:U379,U379,$B$4:B379,B379))=1),MAX($W$3:W378)+1,"")</f>
        <v/>
      </c>
      <c r="X379" s="38" t="str">
        <f t="shared" si="48"/>
        <v/>
      </c>
      <c r="Y379" s="38" t="str">
        <f>IF(AND(A379="Аппарат",C379&lt;&gt;"",OR($S$5="(все)",B379=$S$5)),MAX($Y$3:Y378)+1,"")</f>
        <v/>
      </c>
      <c r="Z379" s="38" t="str">
        <f t="shared" si="49"/>
        <v/>
      </c>
      <c r="AA379" s="38" t="str">
        <f>IF(AND(A379="Модуль",C379&lt;&gt;"",OR($S$6="(все)",B379=$S$6)),MAX($AA$3:AA378)+1,"")</f>
        <v/>
      </c>
      <c r="AB379" s="38" t="str">
        <f t="shared" si="50"/>
        <v/>
      </c>
      <c r="AC379" s="38" t="str">
        <f>IF(OR(B379="",COUNTIF($B$4:B379,B379)&gt;1),"",MAX($AC$3:AC378)+1)</f>
        <v/>
      </c>
      <c r="AD379" s="38" t="str">
        <f t="shared" si="51"/>
        <v/>
      </c>
      <c r="AE379" s="38" t="str">
        <f t="shared" si="52"/>
        <v/>
      </c>
      <c r="AF379" s="38" t="str">
        <f t="shared" si="53"/>
        <v/>
      </c>
    </row>
    <row r="380" spans="1:32" x14ac:dyDescent="0.3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38" t="str">
        <f>IF(OR(A380="Автомат",A380="Дифавтомат"),IF(W380="","",COUNTIFS(Однолинейка!$H$3:$H$3000,U380,Однолинейка!$A$3:$A$3000,Щит_спец)),IF(A380="Аппарат",IF(C380="","",COUNTIFS(Однолинейка!$I$3:$I$3000,C380,Однолинейка!$A$3:$A$3000,Щит_спец)+COUNTIFS(Однолинейка!$J$3:$J$3000,C380,Однолинейка!$A$3:$A$3000,Щит_спец)+COUNTIFS(Однолинейка!$K$3:$K$3000,C380,Однолинейка!$A$3:$A$3000,Щит_спец)),IF(A380="Модуль",IF(C380="","",COUNTIFS(Однолинейка!$AW$3:$AW$3000,"?*",Однолинейка!$AI$3:$AI$3000,C380,Однолинейка!$A$3:$A$3000,Щит_спец)),IF(A380="Клемма",IF(C380="","",IF(C380=$S$7,SUMIFS(Однолинейка!$BW$3:$BW$3000,Однолинейка!$A$3:$A$3000,Щит_спец),IF(C380=$S$8,SUMIFS(Однолинейка!$BX$3:$BX$3000,Однолинейка!$A$3:$A$3000,Щит_спец),""))),""))))</f>
        <v/>
      </c>
      <c r="O380" s="74"/>
      <c r="P380" s="38" t="str">
        <f t="shared" si="45"/>
        <v/>
      </c>
      <c r="U380" s="38" t="str">
        <f t="shared" si="46"/>
        <v/>
      </c>
      <c r="V380" s="38" t="str">
        <f t="shared" si="47"/>
        <v/>
      </c>
      <c r="W380" s="38" t="str">
        <f>IF(AND(U380&lt;&gt;"",OR($S$4="(все)",B380=$S$4),IF($S$4="(все)",COUNTIF($U$4:U380,U380),COUNTIFS($U$4:U380,U380,$B$4:B380,B380))=1),MAX($W$3:W379)+1,"")</f>
        <v/>
      </c>
      <c r="X380" s="38" t="str">
        <f t="shared" si="48"/>
        <v/>
      </c>
      <c r="Y380" s="38" t="str">
        <f>IF(AND(A380="Аппарат",C380&lt;&gt;"",OR($S$5="(все)",B380=$S$5)),MAX($Y$3:Y379)+1,"")</f>
        <v/>
      </c>
      <c r="Z380" s="38" t="str">
        <f t="shared" si="49"/>
        <v/>
      </c>
      <c r="AA380" s="38" t="str">
        <f>IF(AND(A380="Модуль",C380&lt;&gt;"",OR($S$6="(все)",B380=$S$6)),MAX($AA$3:AA379)+1,"")</f>
        <v/>
      </c>
      <c r="AB380" s="38" t="str">
        <f t="shared" si="50"/>
        <v/>
      </c>
      <c r="AC380" s="38" t="str">
        <f>IF(OR(B380="",COUNTIF($B$4:B380,B380)&gt;1),"",MAX($AC$3:AC379)+1)</f>
        <v/>
      </c>
      <c r="AD380" s="38" t="str">
        <f t="shared" si="51"/>
        <v/>
      </c>
      <c r="AE380" s="38" t="str">
        <f t="shared" si="52"/>
        <v/>
      </c>
      <c r="AF380" s="38" t="str">
        <f t="shared" si="53"/>
        <v/>
      </c>
    </row>
    <row r="381" spans="1:32" x14ac:dyDescent="0.3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38" t="str">
        <f>IF(OR(A381="Автомат",A381="Дифавтомат"),IF(W381="","",COUNTIFS(Однолинейка!$H$3:$H$3000,U381,Однолинейка!$A$3:$A$3000,Щит_спец)),IF(A381="Аппарат",IF(C381="","",COUNTIFS(Однолинейка!$I$3:$I$3000,C381,Однолинейка!$A$3:$A$3000,Щит_спец)+COUNTIFS(Однолинейка!$J$3:$J$3000,C381,Однолинейка!$A$3:$A$3000,Щит_спец)+COUNTIFS(Однолинейка!$K$3:$K$3000,C381,Однолинейка!$A$3:$A$3000,Щит_спец)),IF(A381="Модуль",IF(C381="","",COUNTIFS(Однолинейка!$AW$3:$AW$3000,"?*",Однолинейка!$AI$3:$AI$3000,C381,Однолинейка!$A$3:$A$3000,Щит_спец)),IF(A381="Клемма",IF(C381="","",IF(C381=$S$7,SUMIFS(Однолинейка!$BW$3:$BW$3000,Однолинейка!$A$3:$A$3000,Щит_спец),IF(C381=$S$8,SUMIFS(Однолинейка!$BX$3:$BX$3000,Однолинейка!$A$3:$A$3000,Щит_спец),""))),""))))</f>
        <v/>
      </c>
      <c r="O381" s="74"/>
      <c r="P381" s="38" t="str">
        <f t="shared" si="45"/>
        <v/>
      </c>
      <c r="U381" s="38" t="str">
        <f t="shared" si="46"/>
        <v/>
      </c>
      <c r="V381" s="38" t="str">
        <f t="shared" si="47"/>
        <v/>
      </c>
      <c r="W381" s="38" t="str">
        <f>IF(AND(U381&lt;&gt;"",OR($S$4="(все)",B381=$S$4),IF($S$4="(все)",COUNTIF($U$4:U381,U381),COUNTIFS($U$4:U381,U381,$B$4:B381,B381))=1),MAX($W$3:W380)+1,"")</f>
        <v/>
      </c>
      <c r="X381" s="38" t="str">
        <f t="shared" si="48"/>
        <v/>
      </c>
      <c r="Y381" s="38" t="str">
        <f>IF(AND(A381="Аппарат",C381&lt;&gt;"",OR($S$5="(все)",B381=$S$5)),MAX($Y$3:Y380)+1,"")</f>
        <v/>
      </c>
      <c r="Z381" s="38" t="str">
        <f t="shared" si="49"/>
        <v/>
      </c>
      <c r="AA381" s="38" t="str">
        <f>IF(AND(A381="Модуль",C381&lt;&gt;"",OR($S$6="(все)",B381=$S$6)),MAX($AA$3:AA380)+1,"")</f>
        <v/>
      </c>
      <c r="AB381" s="38" t="str">
        <f t="shared" si="50"/>
        <v/>
      </c>
      <c r="AC381" s="38" t="str">
        <f>IF(OR(B381="",COUNTIF($B$4:B381,B381)&gt;1),"",MAX($AC$3:AC380)+1)</f>
        <v/>
      </c>
      <c r="AD381" s="38" t="str">
        <f t="shared" si="51"/>
        <v/>
      </c>
      <c r="AE381" s="38" t="str">
        <f t="shared" si="52"/>
        <v/>
      </c>
      <c r="AF381" s="38" t="str">
        <f t="shared" si="53"/>
        <v/>
      </c>
    </row>
    <row r="382" spans="1:32" x14ac:dyDescent="0.3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38" t="str">
        <f>IF(OR(A382="Автомат",A382="Дифавтомат"),IF(W382="","",COUNTIFS(Однолинейка!$H$3:$H$3000,U382,Однолинейка!$A$3:$A$3000,Щит_спец)),IF(A382="Аппарат",IF(C382="","",COUNTIFS(Однолинейка!$I$3:$I$3000,C382,Однолинейка!$A$3:$A$3000,Щит_спец)+COUNTIFS(Однолинейка!$J$3:$J$3000,C382,Однолинейка!$A$3:$A$3000,Щит_спец)+COUNTIFS(Однолинейка!$K$3:$K$3000,C382,Однолинейка!$A$3:$A$3000,Щит_спец)),IF(A382="Модуль",IF(C382="","",COUNTIFS(Однолинейка!$AW$3:$AW$3000,"?*",Однолинейка!$AI$3:$AI$3000,C382,Однолинейка!$A$3:$A$3000,Щит_спец)),IF(A382="Клемма",IF(C382="","",IF(C382=$S$7,SUMIFS(Однолинейка!$BW$3:$BW$3000,Однолинейка!$A$3:$A$3000,Щит_спец),IF(C382=$S$8,SUMIFS(Однолинейка!$BX$3:$BX$3000,Однолинейка!$A$3:$A$3000,Щит_спец),""))),""))))</f>
        <v/>
      </c>
      <c r="O382" s="74"/>
      <c r="P382" s="38" t="str">
        <f t="shared" si="45"/>
        <v/>
      </c>
      <c r="U382" s="38" t="str">
        <f t="shared" si="46"/>
        <v/>
      </c>
      <c r="V382" s="38" t="str">
        <f t="shared" si="47"/>
        <v/>
      </c>
      <c r="W382" s="38" t="str">
        <f>IF(AND(U382&lt;&gt;"",OR($S$4="(все)",B382=$S$4),IF($S$4="(все)",COUNTIF($U$4:U382,U382),COUNTIFS($U$4:U382,U382,$B$4:B382,B382))=1),MAX($W$3:W381)+1,"")</f>
        <v/>
      </c>
      <c r="X382" s="38" t="str">
        <f t="shared" si="48"/>
        <v/>
      </c>
      <c r="Y382" s="38" t="str">
        <f>IF(AND(A382="Аппарат",C382&lt;&gt;"",OR($S$5="(все)",B382=$S$5)),MAX($Y$3:Y381)+1,"")</f>
        <v/>
      </c>
      <c r="Z382" s="38" t="str">
        <f t="shared" si="49"/>
        <v/>
      </c>
      <c r="AA382" s="38" t="str">
        <f>IF(AND(A382="Модуль",C382&lt;&gt;"",OR($S$6="(все)",B382=$S$6)),MAX($AA$3:AA381)+1,"")</f>
        <v/>
      </c>
      <c r="AB382" s="38" t="str">
        <f t="shared" si="50"/>
        <v/>
      </c>
      <c r="AC382" s="38" t="str">
        <f>IF(OR(B382="",COUNTIF($B$4:B382,B382)&gt;1),"",MAX($AC$3:AC381)+1)</f>
        <v/>
      </c>
      <c r="AD382" s="38" t="str">
        <f t="shared" si="51"/>
        <v/>
      </c>
      <c r="AE382" s="38" t="str">
        <f t="shared" si="52"/>
        <v/>
      </c>
      <c r="AF382" s="38" t="str">
        <f t="shared" si="53"/>
        <v/>
      </c>
    </row>
    <row r="383" spans="1:32" x14ac:dyDescent="0.3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38" t="str">
        <f>IF(OR(A383="Автомат",A383="Дифавтомат"),IF(W383="","",COUNTIFS(Однолинейка!$H$3:$H$3000,U383,Однолинейка!$A$3:$A$3000,Щит_спец)),IF(A383="Аппарат",IF(C383="","",COUNTIFS(Однолинейка!$I$3:$I$3000,C383,Однолинейка!$A$3:$A$3000,Щит_спец)+COUNTIFS(Однолинейка!$J$3:$J$3000,C383,Однолинейка!$A$3:$A$3000,Щит_спец)+COUNTIFS(Однолинейка!$K$3:$K$3000,C383,Однолинейка!$A$3:$A$3000,Щит_спец)),IF(A383="Модуль",IF(C383="","",COUNTIFS(Однолинейка!$AW$3:$AW$3000,"?*",Однолинейка!$AI$3:$AI$3000,C383,Однолинейка!$A$3:$A$3000,Щит_спец)),IF(A383="Клемма",IF(C383="","",IF(C383=$S$7,SUMIFS(Однолинейка!$BW$3:$BW$3000,Однолинейка!$A$3:$A$3000,Щит_спец),IF(C383=$S$8,SUMIFS(Однолинейка!$BX$3:$BX$3000,Однолинейка!$A$3:$A$3000,Щит_спец),""))),""))))</f>
        <v/>
      </c>
      <c r="O383" s="74"/>
      <c r="P383" s="38" t="str">
        <f t="shared" si="45"/>
        <v/>
      </c>
      <c r="U383" s="38" t="str">
        <f t="shared" si="46"/>
        <v/>
      </c>
      <c r="V383" s="38" t="str">
        <f t="shared" si="47"/>
        <v/>
      </c>
      <c r="W383" s="38" t="str">
        <f>IF(AND(U383&lt;&gt;"",OR($S$4="(все)",B383=$S$4),IF($S$4="(все)",COUNTIF($U$4:U383,U383),COUNTIFS($U$4:U383,U383,$B$4:B383,B383))=1),MAX($W$3:W382)+1,"")</f>
        <v/>
      </c>
      <c r="X383" s="38" t="str">
        <f t="shared" si="48"/>
        <v/>
      </c>
      <c r="Y383" s="38" t="str">
        <f>IF(AND(A383="Аппарат",C383&lt;&gt;"",OR($S$5="(все)",B383=$S$5)),MAX($Y$3:Y382)+1,"")</f>
        <v/>
      </c>
      <c r="Z383" s="38" t="str">
        <f t="shared" si="49"/>
        <v/>
      </c>
      <c r="AA383" s="38" t="str">
        <f>IF(AND(A383="Модуль",C383&lt;&gt;"",OR($S$6="(все)",B383=$S$6)),MAX($AA$3:AA382)+1,"")</f>
        <v/>
      </c>
      <c r="AB383" s="38" t="str">
        <f t="shared" si="50"/>
        <v/>
      </c>
      <c r="AC383" s="38" t="str">
        <f>IF(OR(B383="",COUNTIF($B$4:B383,B383)&gt;1),"",MAX($AC$3:AC382)+1)</f>
        <v/>
      </c>
      <c r="AD383" s="38" t="str">
        <f t="shared" si="51"/>
        <v/>
      </c>
      <c r="AE383" s="38" t="str">
        <f t="shared" si="52"/>
        <v/>
      </c>
      <c r="AF383" s="38" t="str">
        <f t="shared" si="53"/>
        <v/>
      </c>
    </row>
    <row r="384" spans="1:32" x14ac:dyDescent="0.3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38" t="str">
        <f>IF(OR(A384="Автомат",A384="Дифавтомат"),IF(W384="","",COUNTIFS(Однолинейка!$H$3:$H$3000,U384,Однолинейка!$A$3:$A$3000,Щит_спец)),IF(A384="Аппарат",IF(C384="","",COUNTIFS(Однолинейка!$I$3:$I$3000,C384,Однолинейка!$A$3:$A$3000,Щит_спец)+COUNTIFS(Однолинейка!$J$3:$J$3000,C384,Однолинейка!$A$3:$A$3000,Щит_спец)+COUNTIFS(Однолинейка!$K$3:$K$3000,C384,Однолинейка!$A$3:$A$3000,Щит_спец)),IF(A384="Модуль",IF(C384="","",COUNTIFS(Однолинейка!$AW$3:$AW$3000,"?*",Однолинейка!$AI$3:$AI$3000,C384,Однолинейка!$A$3:$A$3000,Щит_спец)),IF(A384="Клемма",IF(C384="","",IF(C384=$S$7,SUMIFS(Однолинейка!$BW$3:$BW$3000,Однолинейка!$A$3:$A$3000,Щит_спец),IF(C384=$S$8,SUMIFS(Однолинейка!$BX$3:$BX$3000,Однолинейка!$A$3:$A$3000,Щит_спец),""))),""))))</f>
        <v/>
      </c>
      <c r="O384" s="74"/>
      <c r="P384" s="38" t="str">
        <f t="shared" si="45"/>
        <v/>
      </c>
      <c r="U384" s="38" t="str">
        <f t="shared" si="46"/>
        <v/>
      </c>
      <c r="V384" s="38" t="str">
        <f t="shared" si="47"/>
        <v/>
      </c>
      <c r="W384" s="38" t="str">
        <f>IF(AND(U384&lt;&gt;"",OR($S$4="(все)",B384=$S$4),IF($S$4="(все)",COUNTIF($U$4:U384,U384),COUNTIFS($U$4:U384,U384,$B$4:B384,B384))=1),MAX($W$3:W383)+1,"")</f>
        <v/>
      </c>
      <c r="X384" s="38" t="str">
        <f t="shared" si="48"/>
        <v/>
      </c>
      <c r="Y384" s="38" t="str">
        <f>IF(AND(A384="Аппарат",C384&lt;&gt;"",OR($S$5="(все)",B384=$S$5)),MAX($Y$3:Y383)+1,"")</f>
        <v/>
      </c>
      <c r="Z384" s="38" t="str">
        <f t="shared" si="49"/>
        <v/>
      </c>
      <c r="AA384" s="38" t="str">
        <f>IF(AND(A384="Модуль",C384&lt;&gt;"",OR($S$6="(все)",B384=$S$6)),MAX($AA$3:AA383)+1,"")</f>
        <v/>
      </c>
      <c r="AB384" s="38" t="str">
        <f t="shared" si="50"/>
        <v/>
      </c>
      <c r="AC384" s="38" t="str">
        <f>IF(OR(B384="",COUNTIF($B$4:B384,B384)&gt;1),"",MAX($AC$3:AC383)+1)</f>
        <v/>
      </c>
      <c r="AD384" s="38" t="str">
        <f t="shared" si="51"/>
        <v/>
      </c>
      <c r="AE384" s="38" t="str">
        <f t="shared" si="52"/>
        <v/>
      </c>
      <c r="AF384" s="38" t="str">
        <f t="shared" si="53"/>
        <v/>
      </c>
    </row>
    <row r="385" spans="1:32" x14ac:dyDescent="0.3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38" t="str">
        <f>IF(OR(A385="Автомат",A385="Дифавтомат"),IF(W385="","",COUNTIFS(Однолинейка!$H$3:$H$3000,U385,Однолинейка!$A$3:$A$3000,Щит_спец)),IF(A385="Аппарат",IF(C385="","",COUNTIFS(Однолинейка!$I$3:$I$3000,C385,Однолинейка!$A$3:$A$3000,Щит_спец)+COUNTIFS(Однолинейка!$J$3:$J$3000,C385,Однолинейка!$A$3:$A$3000,Щит_спец)+COUNTIFS(Однолинейка!$K$3:$K$3000,C385,Однолинейка!$A$3:$A$3000,Щит_спец)),IF(A385="Модуль",IF(C385="","",COUNTIFS(Однолинейка!$AW$3:$AW$3000,"?*",Однолинейка!$AI$3:$AI$3000,C385,Однолинейка!$A$3:$A$3000,Щит_спец)),IF(A385="Клемма",IF(C385="","",IF(C385=$S$7,SUMIFS(Однолинейка!$BW$3:$BW$3000,Однолинейка!$A$3:$A$3000,Щит_спец),IF(C385=$S$8,SUMIFS(Однолинейка!$BX$3:$BX$3000,Однолинейка!$A$3:$A$3000,Щит_спец),""))),""))))</f>
        <v/>
      </c>
      <c r="O385" s="74"/>
      <c r="P385" s="38" t="str">
        <f t="shared" si="45"/>
        <v/>
      </c>
      <c r="U385" s="38" t="str">
        <f t="shared" si="46"/>
        <v/>
      </c>
      <c r="V385" s="38" t="str">
        <f t="shared" si="47"/>
        <v/>
      </c>
      <c r="W385" s="38" t="str">
        <f>IF(AND(U385&lt;&gt;"",OR($S$4="(все)",B385=$S$4),IF($S$4="(все)",COUNTIF($U$4:U385,U385),COUNTIFS($U$4:U385,U385,$B$4:B385,B385))=1),MAX($W$3:W384)+1,"")</f>
        <v/>
      </c>
      <c r="X385" s="38" t="str">
        <f t="shared" si="48"/>
        <v/>
      </c>
      <c r="Y385" s="38" t="str">
        <f>IF(AND(A385="Аппарат",C385&lt;&gt;"",OR($S$5="(все)",B385=$S$5)),MAX($Y$3:Y384)+1,"")</f>
        <v/>
      </c>
      <c r="Z385" s="38" t="str">
        <f t="shared" si="49"/>
        <v/>
      </c>
      <c r="AA385" s="38" t="str">
        <f>IF(AND(A385="Модуль",C385&lt;&gt;"",OR($S$6="(все)",B385=$S$6)),MAX($AA$3:AA384)+1,"")</f>
        <v/>
      </c>
      <c r="AB385" s="38" t="str">
        <f t="shared" si="50"/>
        <v/>
      </c>
      <c r="AC385" s="38" t="str">
        <f>IF(OR(B385="",COUNTIF($B$4:B385,B385)&gt;1),"",MAX($AC$3:AC384)+1)</f>
        <v/>
      </c>
      <c r="AD385" s="38" t="str">
        <f t="shared" si="51"/>
        <v/>
      </c>
      <c r="AE385" s="38" t="str">
        <f t="shared" si="52"/>
        <v/>
      </c>
      <c r="AF385" s="38" t="str">
        <f t="shared" si="53"/>
        <v/>
      </c>
    </row>
    <row r="386" spans="1:32" x14ac:dyDescent="0.3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38" t="str">
        <f>IF(OR(A386="Автомат",A386="Дифавтомат"),IF(W386="","",COUNTIFS(Однолинейка!$H$3:$H$3000,U386,Однолинейка!$A$3:$A$3000,Щит_спец)),IF(A386="Аппарат",IF(C386="","",COUNTIFS(Однолинейка!$I$3:$I$3000,C386,Однолинейка!$A$3:$A$3000,Щит_спец)+COUNTIFS(Однолинейка!$J$3:$J$3000,C386,Однолинейка!$A$3:$A$3000,Щит_спец)+COUNTIFS(Однолинейка!$K$3:$K$3000,C386,Однолинейка!$A$3:$A$3000,Щит_спец)),IF(A386="Модуль",IF(C386="","",COUNTIFS(Однолинейка!$AW$3:$AW$3000,"?*",Однолинейка!$AI$3:$AI$3000,C386,Однолинейка!$A$3:$A$3000,Щит_спец)),IF(A386="Клемма",IF(C386="","",IF(C386=$S$7,SUMIFS(Однолинейка!$BW$3:$BW$3000,Однолинейка!$A$3:$A$3000,Щит_спец),IF(C386=$S$8,SUMIFS(Однолинейка!$BX$3:$BX$3000,Однолинейка!$A$3:$A$3000,Щит_спец),""))),""))))</f>
        <v/>
      </c>
      <c r="O386" s="74"/>
      <c r="P386" s="38" t="str">
        <f t="shared" si="45"/>
        <v/>
      </c>
      <c r="U386" s="38" t="str">
        <f t="shared" si="46"/>
        <v/>
      </c>
      <c r="V386" s="38" t="str">
        <f t="shared" si="47"/>
        <v/>
      </c>
      <c r="W386" s="38" t="str">
        <f>IF(AND(U386&lt;&gt;"",OR($S$4="(все)",B386=$S$4),IF($S$4="(все)",COUNTIF($U$4:U386,U386),COUNTIFS($U$4:U386,U386,$B$4:B386,B386))=1),MAX($W$3:W385)+1,"")</f>
        <v/>
      </c>
      <c r="X386" s="38" t="str">
        <f t="shared" si="48"/>
        <v/>
      </c>
      <c r="Y386" s="38" t="str">
        <f>IF(AND(A386="Аппарат",C386&lt;&gt;"",OR($S$5="(все)",B386=$S$5)),MAX($Y$3:Y385)+1,"")</f>
        <v/>
      </c>
      <c r="Z386" s="38" t="str">
        <f t="shared" si="49"/>
        <v/>
      </c>
      <c r="AA386" s="38" t="str">
        <f>IF(AND(A386="Модуль",C386&lt;&gt;"",OR($S$6="(все)",B386=$S$6)),MAX($AA$3:AA385)+1,"")</f>
        <v/>
      </c>
      <c r="AB386" s="38" t="str">
        <f t="shared" si="50"/>
        <v/>
      </c>
      <c r="AC386" s="38" t="str">
        <f>IF(OR(B386="",COUNTIF($B$4:B386,B386)&gt;1),"",MAX($AC$3:AC385)+1)</f>
        <v/>
      </c>
      <c r="AD386" s="38" t="str">
        <f t="shared" si="51"/>
        <v/>
      </c>
      <c r="AE386" s="38" t="str">
        <f t="shared" si="52"/>
        <v/>
      </c>
      <c r="AF386" s="38" t="str">
        <f t="shared" si="53"/>
        <v/>
      </c>
    </row>
    <row r="387" spans="1:32" x14ac:dyDescent="0.3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38" t="str">
        <f>IF(OR(A387="Автомат",A387="Дифавтомат"),IF(W387="","",COUNTIFS(Однолинейка!$H$3:$H$3000,U387,Однолинейка!$A$3:$A$3000,Щит_спец)),IF(A387="Аппарат",IF(C387="","",COUNTIFS(Однолинейка!$I$3:$I$3000,C387,Однолинейка!$A$3:$A$3000,Щит_спец)+COUNTIFS(Однолинейка!$J$3:$J$3000,C387,Однолинейка!$A$3:$A$3000,Щит_спец)+COUNTIFS(Однолинейка!$K$3:$K$3000,C387,Однолинейка!$A$3:$A$3000,Щит_спец)),IF(A387="Модуль",IF(C387="","",COUNTIFS(Однолинейка!$AW$3:$AW$3000,"?*",Однолинейка!$AI$3:$AI$3000,C387,Однолинейка!$A$3:$A$3000,Щит_спец)),IF(A387="Клемма",IF(C387="","",IF(C387=$S$7,SUMIFS(Однолинейка!$BW$3:$BW$3000,Однолинейка!$A$3:$A$3000,Щит_спец),IF(C387=$S$8,SUMIFS(Однолинейка!$BX$3:$BX$3000,Однолинейка!$A$3:$A$3000,Щит_спец),""))),""))))</f>
        <v/>
      </c>
      <c r="O387" s="74"/>
      <c r="P387" s="38" t="str">
        <f t="shared" si="45"/>
        <v/>
      </c>
      <c r="U387" s="38" t="str">
        <f t="shared" si="46"/>
        <v/>
      </c>
      <c r="V387" s="38" t="str">
        <f t="shared" si="47"/>
        <v/>
      </c>
      <c r="W387" s="38" t="str">
        <f>IF(AND(U387&lt;&gt;"",OR($S$4="(все)",B387=$S$4),IF($S$4="(все)",COUNTIF($U$4:U387,U387),COUNTIFS($U$4:U387,U387,$B$4:B387,B387))=1),MAX($W$3:W386)+1,"")</f>
        <v/>
      </c>
      <c r="X387" s="38" t="str">
        <f t="shared" si="48"/>
        <v/>
      </c>
      <c r="Y387" s="38" t="str">
        <f>IF(AND(A387="Аппарат",C387&lt;&gt;"",OR($S$5="(все)",B387=$S$5)),MAX($Y$3:Y386)+1,"")</f>
        <v/>
      </c>
      <c r="Z387" s="38" t="str">
        <f t="shared" si="49"/>
        <v/>
      </c>
      <c r="AA387" s="38" t="str">
        <f>IF(AND(A387="Модуль",C387&lt;&gt;"",OR($S$6="(все)",B387=$S$6)),MAX($AA$3:AA386)+1,"")</f>
        <v/>
      </c>
      <c r="AB387" s="38" t="str">
        <f t="shared" si="50"/>
        <v/>
      </c>
      <c r="AC387" s="38" t="str">
        <f>IF(OR(B387="",COUNTIF($B$4:B387,B387)&gt;1),"",MAX($AC$3:AC386)+1)</f>
        <v/>
      </c>
      <c r="AD387" s="38" t="str">
        <f t="shared" si="51"/>
        <v/>
      </c>
      <c r="AE387" s="38" t="str">
        <f t="shared" si="52"/>
        <v/>
      </c>
      <c r="AF387" s="38" t="str">
        <f t="shared" si="53"/>
        <v/>
      </c>
    </row>
    <row r="388" spans="1:32" x14ac:dyDescent="0.3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38" t="str">
        <f>IF(OR(A388="Автомат",A388="Дифавтомат"),IF(W388="","",COUNTIFS(Однолинейка!$H$3:$H$3000,U388,Однолинейка!$A$3:$A$3000,Щит_спец)),IF(A388="Аппарат",IF(C388="","",COUNTIFS(Однолинейка!$I$3:$I$3000,C388,Однолинейка!$A$3:$A$3000,Щит_спец)+COUNTIFS(Однолинейка!$J$3:$J$3000,C388,Однолинейка!$A$3:$A$3000,Щит_спец)+COUNTIFS(Однолинейка!$K$3:$K$3000,C388,Однолинейка!$A$3:$A$3000,Щит_спец)),IF(A388="Модуль",IF(C388="","",COUNTIFS(Однолинейка!$AW$3:$AW$3000,"?*",Однолинейка!$AI$3:$AI$3000,C388,Однолинейка!$A$3:$A$3000,Щит_спец)),IF(A388="Клемма",IF(C388="","",IF(C388=$S$7,SUMIFS(Однолинейка!$BW$3:$BW$3000,Однолинейка!$A$3:$A$3000,Щит_спец),IF(C388=$S$8,SUMIFS(Однолинейка!$BX$3:$BX$3000,Однолинейка!$A$3:$A$3000,Щит_спец),""))),""))))</f>
        <v/>
      </c>
      <c r="O388" s="74"/>
      <c r="P388" s="38" t="str">
        <f t="shared" ref="P388:P451" si="54">IF(COUNT(N388,O388)=0,"",SUM(N388,O388))</f>
        <v/>
      </c>
      <c r="U388" s="38" t="str">
        <f t="shared" ref="U388:U451" si="55">IF(OR(A388="Автомат",A388="Дифавтомат"),I388&amp;" С"&amp;J388&amp;"А"&amp;IF(K388="да"," 30мА",IF(ISNUMBER(K388)," "&amp;K388&amp;"мА","")),"")</f>
        <v/>
      </c>
      <c r="V388" s="38" t="str">
        <f t="shared" ref="V388:V451" si="56">IF(U388="","",B388&amp;"|"&amp;U388)</f>
        <v/>
      </c>
      <c r="W388" s="38" t="str">
        <f>IF(AND(U388&lt;&gt;"",OR($S$4="(все)",B388=$S$4),IF($S$4="(все)",COUNTIF($U$4:U388,U388),COUNTIFS($U$4:U388,U388,$B$4:B388,B388))=1),MAX($W$3:W387)+1,"")</f>
        <v/>
      </c>
      <c r="X388" s="38" t="str">
        <f t="shared" ref="X388:X451" si="57">IFERROR(INDEX($U$4:$U$500,MATCH(ROW()-3,$W$4:$W$500,0)),"")</f>
        <v/>
      </c>
      <c r="Y388" s="38" t="str">
        <f>IF(AND(A388="Аппарат",C388&lt;&gt;"",OR($S$5="(все)",B388=$S$5)),MAX($Y$3:Y387)+1,"")</f>
        <v/>
      </c>
      <c r="Z388" s="38" t="str">
        <f t="shared" ref="Z388:Z451" si="58">IFERROR(INDEX($C$4:$C$500,MATCH(ROW()-3,$Y$4:$Y$500,0)),"")</f>
        <v/>
      </c>
      <c r="AA388" s="38" t="str">
        <f>IF(AND(A388="Модуль",C388&lt;&gt;"",OR($S$6="(все)",B388=$S$6)),MAX($AA$3:AA387)+1,"")</f>
        <v/>
      </c>
      <c r="AB388" s="38" t="str">
        <f t="shared" ref="AB388:AB451" si="59">IFERROR(INDEX($C$4:$C$500,MATCH(ROW()-3,$AA$4:$AA$500,0)),"")</f>
        <v/>
      </c>
      <c r="AC388" s="38" t="str">
        <f>IF(OR(B388="",COUNTIF($B$4:B388,B388)&gt;1),"",MAX($AC$3:AC387)+1)</f>
        <v/>
      </c>
      <c r="AD388" s="38" t="str">
        <f t="shared" ref="AD388:AD451" si="60">IFERROR(INDEX($B$4:$B$500,MATCH(ROW()-3,$AC$4:$AC$500,0)),"")</f>
        <v/>
      </c>
      <c r="AE388" s="38" t="str">
        <f t="shared" ref="AE388:AE451" si="61">IF(AND(A388&lt;&gt;"",N(P388)&gt;0),IFERROR(MATCH(A388,$R$12:$R$25,0),99)*1000+ROW(),"")</f>
        <v/>
      </c>
      <c r="AF388" s="38" t="str">
        <f t="shared" ref="AF388:AF451" si="62">IF(AE388="","",COUNTIF($AE$4:$AE$500,"&lt;="&amp;AE388))</f>
        <v/>
      </c>
    </row>
    <row r="389" spans="1:32" x14ac:dyDescent="0.3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38" t="str">
        <f>IF(OR(A389="Автомат",A389="Дифавтомат"),IF(W389="","",COUNTIFS(Однолинейка!$H$3:$H$3000,U389,Однолинейка!$A$3:$A$3000,Щит_спец)),IF(A389="Аппарат",IF(C389="","",COUNTIFS(Однолинейка!$I$3:$I$3000,C389,Однолинейка!$A$3:$A$3000,Щит_спец)+COUNTIFS(Однолинейка!$J$3:$J$3000,C389,Однолинейка!$A$3:$A$3000,Щит_спец)+COUNTIFS(Однолинейка!$K$3:$K$3000,C389,Однолинейка!$A$3:$A$3000,Щит_спец)),IF(A389="Модуль",IF(C389="","",COUNTIFS(Однолинейка!$AW$3:$AW$3000,"?*",Однолинейка!$AI$3:$AI$3000,C389,Однолинейка!$A$3:$A$3000,Щит_спец)),IF(A389="Клемма",IF(C389="","",IF(C389=$S$7,SUMIFS(Однолинейка!$BW$3:$BW$3000,Однолинейка!$A$3:$A$3000,Щит_спец),IF(C389=$S$8,SUMIFS(Однолинейка!$BX$3:$BX$3000,Однолинейка!$A$3:$A$3000,Щит_спец),""))),""))))</f>
        <v/>
      </c>
      <c r="O389" s="74"/>
      <c r="P389" s="38" t="str">
        <f t="shared" si="54"/>
        <v/>
      </c>
      <c r="U389" s="38" t="str">
        <f t="shared" si="55"/>
        <v/>
      </c>
      <c r="V389" s="38" t="str">
        <f t="shared" si="56"/>
        <v/>
      </c>
      <c r="W389" s="38" t="str">
        <f>IF(AND(U389&lt;&gt;"",OR($S$4="(все)",B389=$S$4),IF($S$4="(все)",COUNTIF($U$4:U389,U389),COUNTIFS($U$4:U389,U389,$B$4:B389,B389))=1),MAX($W$3:W388)+1,"")</f>
        <v/>
      </c>
      <c r="X389" s="38" t="str">
        <f t="shared" si="57"/>
        <v/>
      </c>
      <c r="Y389" s="38" t="str">
        <f>IF(AND(A389="Аппарат",C389&lt;&gt;"",OR($S$5="(все)",B389=$S$5)),MAX($Y$3:Y388)+1,"")</f>
        <v/>
      </c>
      <c r="Z389" s="38" t="str">
        <f t="shared" si="58"/>
        <v/>
      </c>
      <c r="AA389" s="38" t="str">
        <f>IF(AND(A389="Модуль",C389&lt;&gt;"",OR($S$6="(все)",B389=$S$6)),MAX($AA$3:AA388)+1,"")</f>
        <v/>
      </c>
      <c r="AB389" s="38" t="str">
        <f t="shared" si="59"/>
        <v/>
      </c>
      <c r="AC389" s="38" t="str">
        <f>IF(OR(B389="",COUNTIF($B$4:B389,B389)&gt;1),"",MAX($AC$3:AC388)+1)</f>
        <v/>
      </c>
      <c r="AD389" s="38" t="str">
        <f t="shared" si="60"/>
        <v/>
      </c>
      <c r="AE389" s="38" t="str">
        <f t="shared" si="61"/>
        <v/>
      </c>
      <c r="AF389" s="38" t="str">
        <f t="shared" si="62"/>
        <v/>
      </c>
    </row>
    <row r="390" spans="1:32" x14ac:dyDescent="0.3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38" t="str">
        <f>IF(OR(A390="Автомат",A390="Дифавтомат"),IF(W390="","",COUNTIFS(Однолинейка!$H$3:$H$3000,U390,Однолинейка!$A$3:$A$3000,Щит_спец)),IF(A390="Аппарат",IF(C390="","",COUNTIFS(Однолинейка!$I$3:$I$3000,C390,Однолинейка!$A$3:$A$3000,Щит_спец)+COUNTIFS(Однолинейка!$J$3:$J$3000,C390,Однолинейка!$A$3:$A$3000,Щит_спец)+COUNTIFS(Однолинейка!$K$3:$K$3000,C390,Однолинейка!$A$3:$A$3000,Щит_спец)),IF(A390="Модуль",IF(C390="","",COUNTIFS(Однолинейка!$AW$3:$AW$3000,"?*",Однолинейка!$AI$3:$AI$3000,C390,Однолинейка!$A$3:$A$3000,Щит_спец)),IF(A390="Клемма",IF(C390="","",IF(C390=$S$7,SUMIFS(Однолинейка!$BW$3:$BW$3000,Однолинейка!$A$3:$A$3000,Щит_спец),IF(C390=$S$8,SUMIFS(Однолинейка!$BX$3:$BX$3000,Однолинейка!$A$3:$A$3000,Щит_спец),""))),""))))</f>
        <v/>
      </c>
      <c r="O390" s="74"/>
      <c r="P390" s="38" t="str">
        <f t="shared" si="54"/>
        <v/>
      </c>
      <c r="U390" s="38" t="str">
        <f t="shared" si="55"/>
        <v/>
      </c>
      <c r="V390" s="38" t="str">
        <f t="shared" si="56"/>
        <v/>
      </c>
      <c r="W390" s="38" t="str">
        <f>IF(AND(U390&lt;&gt;"",OR($S$4="(все)",B390=$S$4),IF($S$4="(все)",COUNTIF($U$4:U390,U390),COUNTIFS($U$4:U390,U390,$B$4:B390,B390))=1),MAX($W$3:W389)+1,"")</f>
        <v/>
      </c>
      <c r="X390" s="38" t="str">
        <f t="shared" si="57"/>
        <v/>
      </c>
      <c r="Y390" s="38" t="str">
        <f>IF(AND(A390="Аппарат",C390&lt;&gt;"",OR($S$5="(все)",B390=$S$5)),MAX($Y$3:Y389)+1,"")</f>
        <v/>
      </c>
      <c r="Z390" s="38" t="str">
        <f t="shared" si="58"/>
        <v/>
      </c>
      <c r="AA390" s="38" t="str">
        <f>IF(AND(A390="Модуль",C390&lt;&gt;"",OR($S$6="(все)",B390=$S$6)),MAX($AA$3:AA389)+1,"")</f>
        <v/>
      </c>
      <c r="AB390" s="38" t="str">
        <f t="shared" si="59"/>
        <v/>
      </c>
      <c r="AC390" s="38" t="str">
        <f>IF(OR(B390="",COUNTIF($B$4:B390,B390)&gt;1),"",MAX($AC$3:AC389)+1)</f>
        <v/>
      </c>
      <c r="AD390" s="38" t="str">
        <f t="shared" si="60"/>
        <v/>
      </c>
      <c r="AE390" s="38" t="str">
        <f t="shared" si="61"/>
        <v/>
      </c>
      <c r="AF390" s="38" t="str">
        <f t="shared" si="62"/>
        <v/>
      </c>
    </row>
    <row r="391" spans="1:32" x14ac:dyDescent="0.3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38" t="str">
        <f>IF(OR(A391="Автомат",A391="Дифавтомат"),IF(W391="","",COUNTIFS(Однолинейка!$H$3:$H$3000,U391,Однолинейка!$A$3:$A$3000,Щит_спец)),IF(A391="Аппарат",IF(C391="","",COUNTIFS(Однолинейка!$I$3:$I$3000,C391,Однолинейка!$A$3:$A$3000,Щит_спец)+COUNTIFS(Однолинейка!$J$3:$J$3000,C391,Однолинейка!$A$3:$A$3000,Щит_спец)+COUNTIFS(Однолинейка!$K$3:$K$3000,C391,Однолинейка!$A$3:$A$3000,Щит_спец)),IF(A391="Модуль",IF(C391="","",COUNTIFS(Однолинейка!$AW$3:$AW$3000,"?*",Однолинейка!$AI$3:$AI$3000,C391,Однолинейка!$A$3:$A$3000,Щит_спец)),IF(A391="Клемма",IF(C391="","",IF(C391=$S$7,SUMIFS(Однолинейка!$BW$3:$BW$3000,Однолинейка!$A$3:$A$3000,Щит_спец),IF(C391=$S$8,SUMIFS(Однолинейка!$BX$3:$BX$3000,Однолинейка!$A$3:$A$3000,Щит_спец),""))),""))))</f>
        <v/>
      </c>
      <c r="O391" s="74"/>
      <c r="P391" s="38" t="str">
        <f t="shared" si="54"/>
        <v/>
      </c>
      <c r="U391" s="38" t="str">
        <f t="shared" si="55"/>
        <v/>
      </c>
      <c r="V391" s="38" t="str">
        <f t="shared" si="56"/>
        <v/>
      </c>
      <c r="W391" s="38" t="str">
        <f>IF(AND(U391&lt;&gt;"",OR($S$4="(все)",B391=$S$4),IF($S$4="(все)",COUNTIF($U$4:U391,U391),COUNTIFS($U$4:U391,U391,$B$4:B391,B391))=1),MAX($W$3:W390)+1,"")</f>
        <v/>
      </c>
      <c r="X391" s="38" t="str">
        <f t="shared" si="57"/>
        <v/>
      </c>
      <c r="Y391" s="38" t="str">
        <f>IF(AND(A391="Аппарат",C391&lt;&gt;"",OR($S$5="(все)",B391=$S$5)),MAX($Y$3:Y390)+1,"")</f>
        <v/>
      </c>
      <c r="Z391" s="38" t="str">
        <f t="shared" si="58"/>
        <v/>
      </c>
      <c r="AA391" s="38" t="str">
        <f>IF(AND(A391="Модуль",C391&lt;&gt;"",OR($S$6="(все)",B391=$S$6)),MAX($AA$3:AA390)+1,"")</f>
        <v/>
      </c>
      <c r="AB391" s="38" t="str">
        <f t="shared" si="59"/>
        <v/>
      </c>
      <c r="AC391" s="38" t="str">
        <f>IF(OR(B391="",COUNTIF($B$4:B391,B391)&gt;1),"",MAX($AC$3:AC390)+1)</f>
        <v/>
      </c>
      <c r="AD391" s="38" t="str">
        <f t="shared" si="60"/>
        <v/>
      </c>
      <c r="AE391" s="38" t="str">
        <f t="shared" si="61"/>
        <v/>
      </c>
      <c r="AF391" s="38" t="str">
        <f t="shared" si="62"/>
        <v/>
      </c>
    </row>
    <row r="392" spans="1:32" x14ac:dyDescent="0.3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38" t="str">
        <f>IF(OR(A392="Автомат",A392="Дифавтомат"),IF(W392="","",COUNTIFS(Однолинейка!$H$3:$H$3000,U392,Однолинейка!$A$3:$A$3000,Щит_спец)),IF(A392="Аппарат",IF(C392="","",COUNTIFS(Однолинейка!$I$3:$I$3000,C392,Однолинейка!$A$3:$A$3000,Щит_спец)+COUNTIFS(Однолинейка!$J$3:$J$3000,C392,Однолинейка!$A$3:$A$3000,Щит_спец)+COUNTIFS(Однолинейка!$K$3:$K$3000,C392,Однолинейка!$A$3:$A$3000,Щит_спец)),IF(A392="Модуль",IF(C392="","",COUNTIFS(Однолинейка!$AW$3:$AW$3000,"?*",Однолинейка!$AI$3:$AI$3000,C392,Однолинейка!$A$3:$A$3000,Щит_спец)),IF(A392="Клемма",IF(C392="","",IF(C392=$S$7,SUMIFS(Однолинейка!$BW$3:$BW$3000,Однолинейка!$A$3:$A$3000,Щит_спец),IF(C392=$S$8,SUMIFS(Однолинейка!$BX$3:$BX$3000,Однолинейка!$A$3:$A$3000,Щит_спец),""))),""))))</f>
        <v/>
      </c>
      <c r="O392" s="74"/>
      <c r="P392" s="38" t="str">
        <f t="shared" si="54"/>
        <v/>
      </c>
      <c r="U392" s="38" t="str">
        <f t="shared" si="55"/>
        <v/>
      </c>
      <c r="V392" s="38" t="str">
        <f t="shared" si="56"/>
        <v/>
      </c>
      <c r="W392" s="38" t="str">
        <f>IF(AND(U392&lt;&gt;"",OR($S$4="(все)",B392=$S$4),IF($S$4="(все)",COUNTIF($U$4:U392,U392),COUNTIFS($U$4:U392,U392,$B$4:B392,B392))=1),MAX($W$3:W391)+1,"")</f>
        <v/>
      </c>
      <c r="X392" s="38" t="str">
        <f t="shared" si="57"/>
        <v/>
      </c>
      <c r="Y392" s="38" t="str">
        <f>IF(AND(A392="Аппарат",C392&lt;&gt;"",OR($S$5="(все)",B392=$S$5)),MAX($Y$3:Y391)+1,"")</f>
        <v/>
      </c>
      <c r="Z392" s="38" t="str">
        <f t="shared" si="58"/>
        <v/>
      </c>
      <c r="AA392" s="38" t="str">
        <f>IF(AND(A392="Модуль",C392&lt;&gt;"",OR($S$6="(все)",B392=$S$6)),MAX($AA$3:AA391)+1,"")</f>
        <v/>
      </c>
      <c r="AB392" s="38" t="str">
        <f t="shared" si="59"/>
        <v/>
      </c>
      <c r="AC392" s="38" t="str">
        <f>IF(OR(B392="",COUNTIF($B$4:B392,B392)&gt;1),"",MAX($AC$3:AC391)+1)</f>
        <v/>
      </c>
      <c r="AD392" s="38" t="str">
        <f t="shared" si="60"/>
        <v/>
      </c>
      <c r="AE392" s="38" t="str">
        <f t="shared" si="61"/>
        <v/>
      </c>
      <c r="AF392" s="38" t="str">
        <f t="shared" si="62"/>
        <v/>
      </c>
    </row>
    <row r="393" spans="1:32" x14ac:dyDescent="0.3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38" t="str">
        <f>IF(OR(A393="Автомат",A393="Дифавтомат"),IF(W393="","",COUNTIFS(Однолинейка!$H$3:$H$3000,U393,Однолинейка!$A$3:$A$3000,Щит_спец)),IF(A393="Аппарат",IF(C393="","",COUNTIFS(Однолинейка!$I$3:$I$3000,C393,Однолинейка!$A$3:$A$3000,Щит_спец)+COUNTIFS(Однолинейка!$J$3:$J$3000,C393,Однолинейка!$A$3:$A$3000,Щит_спец)+COUNTIFS(Однолинейка!$K$3:$K$3000,C393,Однолинейка!$A$3:$A$3000,Щит_спец)),IF(A393="Модуль",IF(C393="","",COUNTIFS(Однолинейка!$AW$3:$AW$3000,"?*",Однолинейка!$AI$3:$AI$3000,C393,Однолинейка!$A$3:$A$3000,Щит_спец)),IF(A393="Клемма",IF(C393="","",IF(C393=$S$7,SUMIFS(Однолинейка!$BW$3:$BW$3000,Однолинейка!$A$3:$A$3000,Щит_спец),IF(C393=$S$8,SUMIFS(Однолинейка!$BX$3:$BX$3000,Однолинейка!$A$3:$A$3000,Щит_спец),""))),""))))</f>
        <v/>
      </c>
      <c r="O393" s="74"/>
      <c r="P393" s="38" t="str">
        <f t="shared" si="54"/>
        <v/>
      </c>
      <c r="U393" s="38" t="str">
        <f t="shared" si="55"/>
        <v/>
      </c>
      <c r="V393" s="38" t="str">
        <f t="shared" si="56"/>
        <v/>
      </c>
      <c r="W393" s="38" t="str">
        <f>IF(AND(U393&lt;&gt;"",OR($S$4="(все)",B393=$S$4),IF($S$4="(все)",COUNTIF($U$4:U393,U393),COUNTIFS($U$4:U393,U393,$B$4:B393,B393))=1),MAX($W$3:W392)+1,"")</f>
        <v/>
      </c>
      <c r="X393" s="38" t="str">
        <f t="shared" si="57"/>
        <v/>
      </c>
      <c r="Y393" s="38" t="str">
        <f>IF(AND(A393="Аппарат",C393&lt;&gt;"",OR($S$5="(все)",B393=$S$5)),MAX($Y$3:Y392)+1,"")</f>
        <v/>
      </c>
      <c r="Z393" s="38" t="str">
        <f t="shared" si="58"/>
        <v/>
      </c>
      <c r="AA393" s="38" t="str">
        <f>IF(AND(A393="Модуль",C393&lt;&gt;"",OR($S$6="(все)",B393=$S$6)),MAX($AA$3:AA392)+1,"")</f>
        <v/>
      </c>
      <c r="AB393" s="38" t="str">
        <f t="shared" si="59"/>
        <v/>
      </c>
      <c r="AC393" s="38" t="str">
        <f>IF(OR(B393="",COUNTIF($B$4:B393,B393)&gt;1),"",MAX($AC$3:AC392)+1)</f>
        <v/>
      </c>
      <c r="AD393" s="38" t="str">
        <f t="shared" si="60"/>
        <v/>
      </c>
      <c r="AE393" s="38" t="str">
        <f t="shared" si="61"/>
        <v/>
      </c>
      <c r="AF393" s="38" t="str">
        <f t="shared" si="62"/>
        <v/>
      </c>
    </row>
    <row r="394" spans="1:32" x14ac:dyDescent="0.3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38" t="str">
        <f>IF(OR(A394="Автомат",A394="Дифавтомат"),IF(W394="","",COUNTIFS(Однолинейка!$H$3:$H$3000,U394,Однолинейка!$A$3:$A$3000,Щит_спец)),IF(A394="Аппарат",IF(C394="","",COUNTIFS(Однолинейка!$I$3:$I$3000,C394,Однолинейка!$A$3:$A$3000,Щит_спец)+COUNTIFS(Однолинейка!$J$3:$J$3000,C394,Однолинейка!$A$3:$A$3000,Щит_спец)+COUNTIFS(Однолинейка!$K$3:$K$3000,C394,Однолинейка!$A$3:$A$3000,Щит_спец)),IF(A394="Модуль",IF(C394="","",COUNTIFS(Однолинейка!$AW$3:$AW$3000,"?*",Однолинейка!$AI$3:$AI$3000,C394,Однолинейка!$A$3:$A$3000,Щит_спец)),IF(A394="Клемма",IF(C394="","",IF(C394=$S$7,SUMIFS(Однолинейка!$BW$3:$BW$3000,Однолинейка!$A$3:$A$3000,Щит_спец),IF(C394=$S$8,SUMIFS(Однолинейка!$BX$3:$BX$3000,Однолинейка!$A$3:$A$3000,Щит_спец),""))),""))))</f>
        <v/>
      </c>
      <c r="O394" s="74"/>
      <c r="P394" s="38" t="str">
        <f t="shared" si="54"/>
        <v/>
      </c>
      <c r="U394" s="38" t="str">
        <f t="shared" si="55"/>
        <v/>
      </c>
      <c r="V394" s="38" t="str">
        <f t="shared" si="56"/>
        <v/>
      </c>
      <c r="W394" s="38" t="str">
        <f>IF(AND(U394&lt;&gt;"",OR($S$4="(все)",B394=$S$4),IF($S$4="(все)",COUNTIF($U$4:U394,U394),COUNTIFS($U$4:U394,U394,$B$4:B394,B394))=1),MAX($W$3:W393)+1,"")</f>
        <v/>
      </c>
      <c r="X394" s="38" t="str">
        <f t="shared" si="57"/>
        <v/>
      </c>
      <c r="Y394" s="38" t="str">
        <f>IF(AND(A394="Аппарат",C394&lt;&gt;"",OR($S$5="(все)",B394=$S$5)),MAX($Y$3:Y393)+1,"")</f>
        <v/>
      </c>
      <c r="Z394" s="38" t="str">
        <f t="shared" si="58"/>
        <v/>
      </c>
      <c r="AA394" s="38" t="str">
        <f>IF(AND(A394="Модуль",C394&lt;&gt;"",OR($S$6="(все)",B394=$S$6)),MAX($AA$3:AA393)+1,"")</f>
        <v/>
      </c>
      <c r="AB394" s="38" t="str">
        <f t="shared" si="59"/>
        <v/>
      </c>
      <c r="AC394" s="38" t="str">
        <f>IF(OR(B394="",COUNTIF($B$4:B394,B394)&gt;1),"",MAX($AC$3:AC393)+1)</f>
        <v/>
      </c>
      <c r="AD394" s="38" t="str">
        <f t="shared" si="60"/>
        <v/>
      </c>
      <c r="AE394" s="38" t="str">
        <f t="shared" si="61"/>
        <v/>
      </c>
      <c r="AF394" s="38" t="str">
        <f t="shared" si="62"/>
        <v/>
      </c>
    </row>
    <row r="395" spans="1:32" x14ac:dyDescent="0.3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38" t="str">
        <f>IF(OR(A395="Автомат",A395="Дифавтомат"),IF(W395="","",COUNTIFS(Однолинейка!$H$3:$H$3000,U395,Однолинейка!$A$3:$A$3000,Щит_спец)),IF(A395="Аппарат",IF(C395="","",COUNTIFS(Однолинейка!$I$3:$I$3000,C395,Однолинейка!$A$3:$A$3000,Щит_спец)+COUNTIFS(Однолинейка!$J$3:$J$3000,C395,Однолинейка!$A$3:$A$3000,Щит_спец)+COUNTIFS(Однолинейка!$K$3:$K$3000,C395,Однолинейка!$A$3:$A$3000,Щит_спец)),IF(A395="Модуль",IF(C395="","",COUNTIFS(Однолинейка!$AW$3:$AW$3000,"?*",Однолинейка!$AI$3:$AI$3000,C395,Однолинейка!$A$3:$A$3000,Щит_спец)),IF(A395="Клемма",IF(C395="","",IF(C395=$S$7,SUMIFS(Однолинейка!$BW$3:$BW$3000,Однолинейка!$A$3:$A$3000,Щит_спец),IF(C395=$S$8,SUMIFS(Однолинейка!$BX$3:$BX$3000,Однолинейка!$A$3:$A$3000,Щит_спец),""))),""))))</f>
        <v/>
      </c>
      <c r="O395" s="74"/>
      <c r="P395" s="38" t="str">
        <f t="shared" si="54"/>
        <v/>
      </c>
      <c r="U395" s="38" t="str">
        <f t="shared" si="55"/>
        <v/>
      </c>
      <c r="V395" s="38" t="str">
        <f t="shared" si="56"/>
        <v/>
      </c>
      <c r="W395" s="38" t="str">
        <f>IF(AND(U395&lt;&gt;"",OR($S$4="(все)",B395=$S$4),IF($S$4="(все)",COUNTIF($U$4:U395,U395),COUNTIFS($U$4:U395,U395,$B$4:B395,B395))=1),MAX($W$3:W394)+1,"")</f>
        <v/>
      </c>
      <c r="X395" s="38" t="str">
        <f t="shared" si="57"/>
        <v/>
      </c>
      <c r="Y395" s="38" t="str">
        <f>IF(AND(A395="Аппарат",C395&lt;&gt;"",OR($S$5="(все)",B395=$S$5)),MAX($Y$3:Y394)+1,"")</f>
        <v/>
      </c>
      <c r="Z395" s="38" t="str">
        <f t="shared" si="58"/>
        <v/>
      </c>
      <c r="AA395" s="38" t="str">
        <f>IF(AND(A395="Модуль",C395&lt;&gt;"",OR($S$6="(все)",B395=$S$6)),MAX($AA$3:AA394)+1,"")</f>
        <v/>
      </c>
      <c r="AB395" s="38" t="str">
        <f t="shared" si="59"/>
        <v/>
      </c>
      <c r="AC395" s="38" t="str">
        <f>IF(OR(B395="",COUNTIF($B$4:B395,B395)&gt;1),"",MAX($AC$3:AC394)+1)</f>
        <v/>
      </c>
      <c r="AD395" s="38" t="str">
        <f t="shared" si="60"/>
        <v/>
      </c>
      <c r="AE395" s="38" t="str">
        <f t="shared" si="61"/>
        <v/>
      </c>
      <c r="AF395" s="38" t="str">
        <f t="shared" si="62"/>
        <v/>
      </c>
    </row>
    <row r="396" spans="1:32" x14ac:dyDescent="0.3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38" t="str">
        <f>IF(OR(A396="Автомат",A396="Дифавтомат"),IF(W396="","",COUNTIFS(Однолинейка!$H$3:$H$3000,U396,Однолинейка!$A$3:$A$3000,Щит_спец)),IF(A396="Аппарат",IF(C396="","",COUNTIFS(Однолинейка!$I$3:$I$3000,C396,Однолинейка!$A$3:$A$3000,Щит_спец)+COUNTIFS(Однолинейка!$J$3:$J$3000,C396,Однолинейка!$A$3:$A$3000,Щит_спец)+COUNTIFS(Однолинейка!$K$3:$K$3000,C396,Однолинейка!$A$3:$A$3000,Щит_спец)),IF(A396="Модуль",IF(C396="","",COUNTIFS(Однолинейка!$AW$3:$AW$3000,"?*",Однолинейка!$AI$3:$AI$3000,C396,Однолинейка!$A$3:$A$3000,Щит_спец)),IF(A396="Клемма",IF(C396="","",IF(C396=$S$7,SUMIFS(Однолинейка!$BW$3:$BW$3000,Однолинейка!$A$3:$A$3000,Щит_спец),IF(C396=$S$8,SUMIFS(Однолинейка!$BX$3:$BX$3000,Однолинейка!$A$3:$A$3000,Щит_спец),""))),""))))</f>
        <v/>
      </c>
      <c r="O396" s="74"/>
      <c r="P396" s="38" t="str">
        <f t="shared" si="54"/>
        <v/>
      </c>
      <c r="U396" s="38" t="str">
        <f t="shared" si="55"/>
        <v/>
      </c>
      <c r="V396" s="38" t="str">
        <f t="shared" si="56"/>
        <v/>
      </c>
      <c r="W396" s="38" t="str">
        <f>IF(AND(U396&lt;&gt;"",OR($S$4="(все)",B396=$S$4),IF($S$4="(все)",COUNTIF($U$4:U396,U396),COUNTIFS($U$4:U396,U396,$B$4:B396,B396))=1),MAX($W$3:W395)+1,"")</f>
        <v/>
      </c>
      <c r="X396" s="38" t="str">
        <f t="shared" si="57"/>
        <v/>
      </c>
      <c r="Y396" s="38" t="str">
        <f>IF(AND(A396="Аппарат",C396&lt;&gt;"",OR($S$5="(все)",B396=$S$5)),MAX($Y$3:Y395)+1,"")</f>
        <v/>
      </c>
      <c r="Z396" s="38" t="str">
        <f t="shared" si="58"/>
        <v/>
      </c>
      <c r="AA396" s="38" t="str">
        <f>IF(AND(A396="Модуль",C396&lt;&gt;"",OR($S$6="(все)",B396=$S$6)),MAX($AA$3:AA395)+1,"")</f>
        <v/>
      </c>
      <c r="AB396" s="38" t="str">
        <f t="shared" si="59"/>
        <v/>
      </c>
      <c r="AC396" s="38" t="str">
        <f>IF(OR(B396="",COUNTIF($B$4:B396,B396)&gt;1),"",MAX($AC$3:AC395)+1)</f>
        <v/>
      </c>
      <c r="AD396" s="38" t="str">
        <f t="shared" si="60"/>
        <v/>
      </c>
      <c r="AE396" s="38" t="str">
        <f t="shared" si="61"/>
        <v/>
      </c>
      <c r="AF396" s="38" t="str">
        <f t="shared" si="62"/>
        <v/>
      </c>
    </row>
    <row r="397" spans="1:32" x14ac:dyDescent="0.3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38" t="str">
        <f>IF(OR(A397="Автомат",A397="Дифавтомат"),IF(W397="","",COUNTIFS(Однолинейка!$H$3:$H$3000,U397,Однолинейка!$A$3:$A$3000,Щит_спец)),IF(A397="Аппарат",IF(C397="","",COUNTIFS(Однолинейка!$I$3:$I$3000,C397,Однолинейка!$A$3:$A$3000,Щит_спец)+COUNTIFS(Однолинейка!$J$3:$J$3000,C397,Однолинейка!$A$3:$A$3000,Щит_спец)+COUNTIFS(Однолинейка!$K$3:$K$3000,C397,Однолинейка!$A$3:$A$3000,Щит_спец)),IF(A397="Модуль",IF(C397="","",COUNTIFS(Однолинейка!$AW$3:$AW$3000,"?*",Однолинейка!$AI$3:$AI$3000,C397,Однолинейка!$A$3:$A$3000,Щит_спец)),IF(A397="Клемма",IF(C397="","",IF(C397=$S$7,SUMIFS(Однолинейка!$BW$3:$BW$3000,Однолинейка!$A$3:$A$3000,Щит_спец),IF(C397=$S$8,SUMIFS(Однолинейка!$BX$3:$BX$3000,Однолинейка!$A$3:$A$3000,Щит_спец),""))),""))))</f>
        <v/>
      </c>
      <c r="O397" s="74"/>
      <c r="P397" s="38" t="str">
        <f t="shared" si="54"/>
        <v/>
      </c>
      <c r="U397" s="38" t="str">
        <f t="shared" si="55"/>
        <v/>
      </c>
      <c r="V397" s="38" t="str">
        <f t="shared" si="56"/>
        <v/>
      </c>
      <c r="W397" s="38" t="str">
        <f>IF(AND(U397&lt;&gt;"",OR($S$4="(все)",B397=$S$4),IF($S$4="(все)",COUNTIF($U$4:U397,U397),COUNTIFS($U$4:U397,U397,$B$4:B397,B397))=1),MAX($W$3:W396)+1,"")</f>
        <v/>
      </c>
      <c r="X397" s="38" t="str">
        <f t="shared" si="57"/>
        <v/>
      </c>
      <c r="Y397" s="38" t="str">
        <f>IF(AND(A397="Аппарат",C397&lt;&gt;"",OR($S$5="(все)",B397=$S$5)),MAX($Y$3:Y396)+1,"")</f>
        <v/>
      </c>
      <c r="Z397" s="38" t="str">
        <f t="shared" si="58"/>
        <v/>
      </c>
      <c r="AA397" s="38" t="str">
        <f>IF(AND(A397="Модуль",C397&lt;&gt;"",OR($S$6="(все)",B397=$S$6)),MAX($AA$3:AA396)+1,"")</f>
        <v/>
      </c>
      <c r="AB397" s="38" t="str">
        <f t="shared" si="59"/>
        <v/>
      </c>
      <c r="AC397" s="38" t="str">
        <f>IF(OR(B397="",COUNTIF($B$4:B397,B397)&gt;1),"",MAX($AC$3:AC396)+1)</f>
        <v/>
      </c>
      <c r="AD397" s="38" t="str">
        <f t="shared" si="60"/>
        <v/>
      </c>
      <c r="AE397" s="38" t="str">
        <f t="shared" si="61"/>
        <v/>
      </c>
      <c r="AF397" s="38" t="str">
        <f t="shared" si="62"/>
        <v/>
      </c>
    </row>
    <row r="398" spans="1:32" x14ac:dyDescent="0.3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38" t="str">
        <f>IF(OR(A398="Автомат",A398="Дифавтомат"),IF(W398="","",COUNTIFS(Однолинейка!$H$3:$H$3000,U398,Однолинейка!$A$3:$A$3000,Щит_спец)),IF(A398="Аппарат",IF(C398="","",COUNTIFS(Однолинейка!$I$3:$I$3000,C398,Однолинейка!$A$3:$A$3000,Щит_спец)+COUNTIFS(Однолинейка!$J$3:$J$3000,C398,Однолинейка!$A$3:$A$3000,Щит_спец)+COUNTIFS(Однолинейка!$K$3:$K$3000,C398,Однолинейка!$A$3:$A$3000,Щит_спец)),IF(A398="Модуль",IF(C398="","",COUNTIFS(Однолинейка!$AW$3:$AW$3000,"?*",Однолинейка!$AI$3:$AI$3000,C398,Однолинейка!$A$3:$A$3000,Щит_спец)),IF(A398="Клемма",IF(C398="","",IF(C398=$S$7,SUMIFS(Однолинейка!$BW$3:$BW$3000,Однолинейка!$A$3:$A$3000,Щит_спец),IF(C398=$S$8,SUMIFS(Однолинейка!$BX$3:$BX$3000,Однолинейка!$A$3:$A$3000,Щит_спец),""))),""))))</f>
        <v/>
      </c>
      <c r="O398" s="74"/>
      <c r="P398" s="38" t="str">
        <f t="shared" si="54"/>
        <v/>
      </c>
      <c r="U398" s="38" t="str">
        <f t="shared" si="55"/>
        <v/>
      </c>
      <c r="V398" s="38" t="str">
        <f t="shared" si="56"/>
        <v/>
      </c>
      <c r="W398" s="38" t="str">
        <f>IF(AND(U398&lt;&gt;"",OR($S$4="(все)",B398=$S$4),IF($S$4="(все)",COUNTIF($U$4:U398,U398),COUNTIFS($U$4:U398,U398,$B$4:B398,B398))=1),MAX($W$3:W397)+1,"")</f>
        <v/>
      </c>
      <c r="X398" s="38" t="str">
        <f t="shared" si="57"/>
        <v/>
      </c>
      <c r="Y398" s="38" t="str">
        <f>IF(AND(A398="Аппарат",C398&lt;&gt;"",OR($S$5="(все)",B398=$S$5)),MAX($Y$3:Y397)+1,"")</f>
        <v/>
      </c>
      <c r="Z398" s="38" t="str">
        <f t="shared" si="58"/>
        <v/>
      </c>
      <c r="AA398" s="38" t="str">
        <f>IF(AND(A398="Модуль",C398&lt;&gt;"",OR($S$6="(все)",B398=$S$6)),MAX($AA$3:AA397)+1,"")</f>
        <v/>
      </c>
      <c r="AB398" s="38" t="str">
        <f t="shared" si="59"/>
        <v/>
      </c>
      <c r="AC398" s="38" t="str">
        <f>IF(OR(B398="",COUNTIF($B$4:B398,B398)&gt;1),"",MAX($AC$3:AC397)+1)</f>
        <v/>
      </c>
      <c r="AD398" s="38" t="str">
        <f t="shared" si="60"/>
        <v/>
      </c>
      <c r="AE398" s="38" t="str">
        <f t="shared" si="61"/>
        <v/>
      </c>
      <c r="AF398" s="38" t="str">
        <f t="shared" si="62"/>
        <v/>
      </c>
    </row>
    <row r="399" spans="1:32" x14ac:dyDescent="0.3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38" t="str">
        <f>IF(OR(A399="Автомат",A399="Дифавтомат"),IF(W399="","",COUNTIFS(Однолинейка!$H$3:$H$3000,U399,Однолинейка!$A$3:$A$3000,Щит_спец)),IF(A399="Аппарат",IF(C399="","",COUNTIFS(Однолинейка!$I$3:$I$3000,C399,Однолинейка!$A$3:$A$3000,Щит_спец)+COUNTIFS(Однолинейка!$J$3:$J$3000,C399,Однолинейка!$A$3:$A$3000,Щит_спец)+COUNTIFS(Однолинейка!$K$3:$K$3000,C399,Однолинейка!$A$3:$A$3000,Щит_спец)),IF(A399="Модуль",IF(C399="","",COUNTIFS(Однолинейка!$AW$3:$AW$3000,"?*",Однолинейка!$AI$3:$AI$3000,C399,Однолинейка!$A$3:$A$3000,Щит_спец)),IF(A399="Клемма",IF(C399="","",IF(C399=$S$7,SUMIFS(Однолинейка!$BW$3:$BW$3000,Однолинейка!$A$3:$A$3000,Щит_спец),IF(C399=$S$8,SUMIFS(Однолинейка!$BX$3:$BX$3000,Однолинейка!$A$3:$A$3000,Щит_спец),""))),""))))</f>
        <v/>
      </c>
      <c r="O399" s="74"/>
      <c r="P399" s="38" t="str">
        <f t="shared" si="54"/>
        <v/>
      </c>
      <c r="U399" s="38" t="str">
        <f t="shared" si="55"/>
        <v/>
      </c>
      <c r="V399" s="38" t="str">
        <f t="shared" si="56"/>
        <v/>
      </c>
      <c r="W399" s="38" t="str">
        <f>IF(AND(U399&lt;&gt;"",OR($S$4="(все)",B399=$S$4),IF($S$4="(все)",COUNTIF($U$4:U399,U399),COUNTIFS($U$4:U399,U399,$B$4:B399,B399))=1),MAX($W$3:W398)+1,"")</f>
        <v/>
      </c>
      <c r="X399" s="38" t="str">
        <f t="shared" si="57"/>
        <v/>
      </c>
      <c r="Y399" s="38" t="str">
        <f>IF(AND(A399="Аппарат",C399&lt;&gt;"",OR($S$5="(все)",B399=$S$5)),MAX($Y$3:Y398)+1,"")</f>
        <v/>
      </c>
      <c r="Z399" s="38" t="str">
        <f t="shared" si="58"/>
        <v/>
      </c>
      <c r="AA399" s="38" t="str">
        <f>IF(AND(A399="Модуль",C399&lt;&gt;"",OR($S$6="(все)",B399=$S$6)),MAX($AA$3:AA398)+1,"")</f>
        <v/>
      </c>
      <c r="AB399" s="38" t="str">
        <f t="shared" si="59"/>
        <v/>
      </c>
      <c r="AC399" s="38" t="str">
        <f>IF(OR(B399="",COUNTIF($B$4:B399,B399)&gt;1),"",MAX($AC$3:AC398)+1)</f>
        <v/>
      </c>
      <c r="AD399" s="38" t="str">
        <f t="shared" si="60"/>
        <v/>
      </c>
      <c r="AE399" s="38" t="str">
        <f t="shared" si="61"/>
        <v/>
      </c>
      <c r="AF399" s="38" t="str">
        <f t="shared" si="62"/>
        <v/>
      </c>
    </row>
    <row r="400" spans="1:32" x14ac:dyDescent="0.3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38" t="str">
        <f>IF(OR(A400="Автомат",A400="Дифавтомат"),IF(W400="","",COUNTIFS(Однолинейка!$H$3:$H$3000,U400,Однолинейка!$A$3:$A$3000,Щит_спец)),IF(A400="Аппарат",IF(C400="","",COUNTIFS(Однолинейка!$I$3:$I$3000,C400,Однолинейка!$A$3:$A$3000,Щит_спец)+COUNTIFS(Однолинейка!$J$3:$J$3000,C400,Однолинейка!$A$3:$A$3000,Щит_спец)+COUNTIFS(Однолинейка!$K$3:$K$3000,C400,Однолинейка!$A$3:$A$3000,Щит_спец)),IF(A400="Модуль",IF(C400="","",COUNTIFS(Однолинейка!$AW$3:$AW$3000,"?*",Однолинейка!$AI$3:$AI$3000,C400,Однолинейка!$A$3:$A$3000,Щит_спец)),IF(A400="Клемма",IF(C400="","",IF(C400=$S$7,SUMIFS(Однолинейка!$BW$3:$BW$3000,Однолинейка!$A$3:$A$3000,Щит_спец),IF(C400=$S$8,SUMIFS(Однолинейка!$BX$3:$BX$3000,Однолинейка!$A$3:$A$3000,Щит_спец),""))),""))))</f>
        <v/>
      </c>
      <c r="O400" s="74"/>
      <c r="P400" s="38" t="str">
        <f t="shared" si="54"/>
        <v/>
      </c>
      <c r="U400" s="38" t="str">
        <f t="shared" si="55"/>
        <v/>
      </c>
      <c r="V400" s="38" t="str">
        <f t="shared" si="56"/>
        <v/>
      </c>
      <c r="W400" s="38" t="str">
        <f>IF(AND(U400&lt;&gt;"",OR($S$4="(все)",B400=$S$4),IF($S$4="(все)",COUNTIF($U$4:U400,U400),COUNTIFS($U$4:U400,U400,$B$4:B400,B400))=1),MAX($W$3:W399)+1,"")</f>
        <v/>
      </c>
      <c r="X400" s="38" t="str">
        <f t="shared" si="57"/>
        <v/>
      </c>
      <c r="Y400" s="38" t="str">
        <f>IF(AND(A400="Аппарат",C400&lt;&gt;"",OR($S$5="(все)",B400=$S$5)),MAX($Y$3:Y399)+1,"")</f>
        <v/>
      </c>
      <c r="Z400" s="38" t="str">
        <f t="shared" si="58"/>
        <v/>
      </c>
      <c r="AA400" s="38" t="str">
        <f>IF(AND(A400="Модуль",C400&lt;&gt;"",OR($S$6="(все)",B400=$S$6)),MAX($AA$3:AA399)+1,"")</f>
        <v/>
      </c>
      <c r="AB400" s="38" t="str">
        <f t="shared" si="59"/>
        <v/>
      </c>
      <c r="AC400" s="38" t="str">
        <f>IF(OR(B400="",COUNTIF($B$4:B400,B400)&gt;1),"",MAX($AC$3:AC399)+1)</f>
        <v/>
      </c>
      <c r="AD400" s="38" t="str">
        <f t="shared" si="60"/>
        <v/>
      </c>
      <c r="AE400" s="38" t="str">
        <f t="shared" si="61"/>
        <v/>
      </c>
      <c r="AF400" s="38" t="str">
        <f t="shared" si="62"/>
        <v/>
      </c>
    </row>
    <row r="401" spans="1:32" x14ac:dyDescent="0.3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38" t="str">
        <f>IF(OR(A401="Автомат",A401="Дифавтомат"),IF(W401="","",COUNTIFS(Однолинейка!$H$3:$H$3000,U401,Однолинейка!$A$3:$A$3000,Щит_спец)),IF(A401="Аппарат",IF(C401="","",COUNTIFS(Однолинейка!$I$3:$I$3000,C401,Однолинейка!$A$3:$A$3000,Щит_спец)+COUNTIFS(Однолинейка!$J$3:$J$3000,C401,Однолинейка!$A$3:$A$3000,Щит_спец)+COUNTIFS(Однолинейка!$K$3:$K$3000,C401,Однолинейка!$A$3:$A$3000,Щит_спец)),IF(A401="Модуль",IF(C401="","",COUNTIFS(Однолинейка!$AW$3:$AW$3000,"?*",Однолинейка!$AI$3:$AI$3000,C401,Однолинейка!$A$3:$A$3000,Щит_спец)),IF(A401="Клемма",IF(C401="","",IF(C401=$S$7,SUMIFS(Однолинейка!$BW$3:$BW$3000,Однолинейка!$A$3:$A$3000,Щит_спец),IF(C401=$S$8,SUMIFS(Однолинейка!$BX$3:$BX$3000,Однолинейка!$A$3:$A$3000,Щит_спец),""))),""))))</f>
        <v/>
      </c>
      <c r="O401" s="74"/>
      <c r="P401" s="38" t="str">
        <f t="shared" si="54"/>
        <v/>
      </c>
      <c r="U401" s="38" t="str">
        <f t="shared" si="55"/>
        <v/>
      </c>
      <c r="V401" s="38" t="str">
        <f t="shared" si="56"/>
        <v/>
      </c>
      <c r="W401" s="38" t="str">
        <f>IF(AND(U401&lt;&gt;"",OR($S$4="(все)",B401=$S$4),IF($S$4="(все)",COUNTIF($U$4:U401,U401),COUNTIFS($U$4:U401,U401,$B$4:B401,B401))=1),MAX($W$3:W400)+1,"")</f>
        <v/>
      </c>
      <c r="X401" s="38" t="str">
        <f t="shared" si="57"/>
        <v/>
      </c>
      <c r="Y401" s="38" t="str">
        <f>IF(AND(A401="Аппарат",C401&lt;&gt;"",OR($S$5="(все)",B401=$S$5)),MAX($Y$3:Y400)+1,"")</f>
        <v/>
      </c>
      <c r="Z401" s="38" t="str">
        <f t="shared" si="58"/>
        <v/>
      </c>
      <c r="AA401" s="38" t="str">
        <f>IF(AND(A401="Модуль",C401&lt;&gt;"",OR($S$6="(все)",B401=$S$6)),MAX($AA$3:AA400)+1,"")</f>
        <v/>
      </c>
      <c r="AB401" s="38" t="str">
        <f t="shared" si="59"/>
        <v/>
      </c>
      <c r="AC401" s="38" t="str">
        <f>IF(OR(B401="",COUNTIF($B$4:B401,B401)&gt;1),"",MAX($AC$3:AC400)+1)</f>
        <v/>
      </c>
      <c r="AD401" s="38" t="str">
        <f t="shared" si="60"/>
        <v/>
      </c>
      <c r="AE401" s="38" t="str">
        <f t="shared" si="61"/>
        <v/>
      </c>
      <c r="AF401" s="38" t="str">
        <f t="shared" si="62"/>
        <v/>
      </c>
    </row>
    <row r="402" spans="1:32" x14ac:dyDescent="0.3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38" t="str">
        <f>IF(OR(A402="Автомат",A402="Дифавтомат"),IF(W402="","",COUNTIFS(Однолинейка!$H$3:$H$3000,U402,Однолинейка!$A$3:$A$3000,Щит_спец)),IF(A402="Аппарат",IF(C402="","",COUNTIFS(Однолинейка!$I$3:$I$3000,C402,Однолинейка!$A$3:$A$3000,Щит_спец)+COUNTIFS(Однолинейка!$J$3:$J$3000,C402,Однолинейка!$A$3:$A$3000,Щит_спец)+COUNTIFS(Однолинейка!$K$3:$K$3000,C402,Однолинейка!$A$3:$A$3000,Щит_спец)),IF(A402="Модуль",IF(C402="","",COUNTIFS(Однолинейка!$AW$3:$AW$3000,"?*",Однолинейка!$AI$3:$AI$3000,C402,Однолинейка!$A$3:$A$3000,Щит_спец)),IF(A402="Клемма",IF(C402="","",IF(C402=$S$7,SUMIFS(Однолинейка!$BW$3:$BW$3000,Однолинейка!$A$3:$A$3000,Щит_спец),IF(C402=$S$8,SUMIFS(Однолинейка!$BX$3:$BX$3000,Однолинейка!$A$3:$A$3000,Щит_спец),""))),""))))</f>
        <v/>
      </c>
      <c r="O402" s="74"/>
      <c r="P402" s="38" t="str">
        <f t="shared" si="54"/>
        <v/>
      </c>
      <c r="U402" s="38" t="str">
        <f t="shared" si="55"/>
        <v/>
      </c>
      <c r="V402" s="38" t="str">
        <f t="shared" si="56"/>
        <v/>
      </c>
      <c r="W402" s="38" t="str">
        <f>IF(AND(U402&lt;&gt;"",OR($S$4="(все)",B402=$S$4),IF($S$4="(все)",COUNTIF($U$4:U402,U402),COUNTIFS($U$4:U402,U402,$B$4:B402,B402))=1),MAX($W$3:W401)+1,"")</f>
        <v/>
      </c>
      <c r="X402" s="38" t="str">
        <f t="shared" si="57"/>
        <v/>
      </c>
      <c r="Y402" s="38" t="str">
        <f>IF(AND(A402="Аппарат",C402&lt;&gt;"",OR($S$5="(все)",B402=$S$5)),MAX($Y$3:Y401)+1,"")</f>
        <v/>
      </c>
      <c r="Z402" s="38" t="str">
        <f t="shared" si="58"/>
        <v/>
      </c>
      <c r="AA402" s="38" t="str">
        <f>IF(AND(A402="Модуль",C402&lt;&gt;"",OR($S$6="(все)",B402=$S$6)),MAX($AA$3:AA401)+1,"")</f>
        <v/>
      </c>
      <c r="AB402" s="38" t="str">
        <f t="shared" si="59"/>
        <v/>
      </c>
      <c r="AC402" s="38" t="str">
        <f>IF(OR(B402="",COUNTIF($B$4:B402,B402)&gt;1),"",MAX($AC$3:AC401)+1)</f>
        <v/>
      </c>
      <c r="AD402" s="38" t="str">
        <f t="shared" si="60"/>
        <v/>
      </c>
      <c r="AE402" s="38" t="str">
        <f t="shared" si="61"/>
        <v/>
      </c>
      <c r="AF402" s="38" t="str">
        <f t="shared" si="62"/>
        <v/>
      </c>
    </row>
    <row r="403" spans="1:32" x14ac:dyDescent="0.3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38" t="str">
        <f>IF(OR(A403="Автомат",A403="Дифавтомат"),IF(W403="","",COUNTIFS(Однолинейка!$H$3:$H$3000,U403,Однолинейка!$A$3:$A$3000,Щит_спец)),IF(A403="Аппарат",IF(C403="","",COUNTIFS(Однолинейка!$I$3:$I$3000,C403,Однолинейка!$A$3:$A$3000,Щит_спец)+COUNTIFS(Однолинейка!$J$3:$J$3000,C403,Однолинейка!$A$3:$A$3000,Щит_спец)+COUNTIFS(Однолинейка!$K$3:$K$3000,C403,Однолинейка!$A$3:$A$3000,Щит_спец)),IF(A403="Модуль",IF(C403="","",COUNTIFS(Однолинейка!$AW$3:$AW$3000,"?*",Однолинейка!$AI$3:$AI$3000,C403,Однолинейка!$A$3:$A$3000,Щит_спец)),IF(A403="Клемма",IF(C403="","",IF(C403=$S$7,SUMIFS(Однолинейка!$BW$3:$BW$3000,Однолинейка!$A$3:$A$3000,Щит_спец),IF(C403=$S$8,SUMIFS(Однолинейка!$BX$3:$BX$3000,Однолинейка!$A$3:$A$3000,Щит_спец),""))),""))))</f>
        <v/>
      </c>
      <c r="O403" s="74"/>
      <c r="P403" s="38" t="str">
        <f t="shared" si="54"/>
        <v/>
      </c>
      <c r="U403" s="38" t="str">
        <f t="shared" si="55"/>
        <v/>
      </c>
      <c r="V403" s="38" t="str">
        <f t="shared" si="56"/>
        <v/>
      </c>
      <c r="W403" s="38" t="str">
        <f>IF(AND(U403&lt;&gt;"",OR($S$4="(все)",B403=$S$4),IF($S$4="(все)",COUNTIF($U$4:U403,U403),COUNTIFS($U$4:U403,U403,$B$4:B403,B403))=1),MAX($W$3:W402)+1,"")</f>
        <v/>
      </c>
      <c r="X403" s="38" t="str">
        <f t="shared" si="57"/>
        <v/>
      </c>
      <c r="Y403" s="38" t="str">
        <f>IF(AND(A403="Аппарат",C403&lt;&gt;"",OR($S$5="(все)",B403=$S$5)),MAX($Y$3:Y402)+1,"")</f>
        <v/>
      </c>
      <c r="Z403" s="38" t="str">
        <f t="shared" si="58"/>
        <v/>
      </c>
      <c r="AA403" s="38" t="str">
        <f>IF(AND(A403="Модуль",C403&lt;&gt;"",OR($S$6="(все)",B403=$S$6)),MAX($AA$3:AA402)+1,"")</f>
        <v/>
      </c>
      <c r="AB403" s="38" t="str">
        <f t="shared" si="59"/>
        <v/>
      </c>
      <c r="AC403" s="38" t="str">
        <f>IF(OR(B403="",COUNTIF($B$4:B403,B403)&gt;1),"",MAX($AC$3:AC402)+1)</f>
        <v/>
      </c>
      <c r="AD403" s="38" t="str">
        <f t="shared" si="60"/>
        <v/>
      </c>
      <c r="AE403" s="38" t="str">
        <f t="shared" si="61"/>
        <v/>
      </c>
      <c r="AF403" s="38" t="str">
        <f t="shared" si="62"/>
        <v/>
      </c>
    </row>
    <row r="404" spans="1:32" x14ac:dyDescent="0.3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38" t="str">
        <f>IF(OR(A404="Автомат",A404="Дифавтомат"),IF(W404="","",COUNTIFS(Однолинейка!$H$3:$H$3000,U404,Однолинейка!$A$3:$A$3000,Щит_спец)),IF(A404="Аппарат",IF(C404="","",COUNTIFS(Однолинейка!$I$3:$I$3000,C404,Однолинейка!$A$3:$A$3000,Щит_спец)+COUNTIFS(Однолинейка!$J$3:$J$3000,C404,Однолинейка!$A$3:$A$3000,Щит_спец)+COUNTIFS(Однолинейка!$K$3:$K$3000,C404,Однолинейка!$A$3:$A$3000,Щит_спец)),IF(A404="Модуль",IF(C404="","",COUNTIFS(Однолинейка!$AW$3:$AW$3000,"?*",Однолинейка!$AI$3:$AI$3000,C404,Однолинейка!$A$3:$A$3000,Щит_спец)),IF(A404="Клемма",IF(C404="","",IF(C404=$S$7,SUMIFS(Однолинейка!$BW$3:$BW$3000,Однолинейка!$A$3:$A$3000,Щит_спец),IF(C404=$S$8,SUMIFS(Однолинейка!$BX$3:$BX$3000,Однолинейка!$A$3:$A$3000,Щит_спец),""))),""))))</f>
        <v/>
      </c>
      <c r="O404" s="74"/>
      <c r="P404" s="38" t="str">
        <f t="shared" si="54"/>
        <v/>
      </c>
      <c r="U404" s="38" t="str">
        <f t="shared" si="55"/>
        <v/>
      </c>
      <c r="V404" s="38" t="str">
        <f t="shared" si="56"/>
        <v/>
      </c>
      <c r="W404" s="38" t="str">
        <f>IF(AND(U404&lt;&gt;"",OR($S$4="(все)",B404=$S$4),IF($S$4="(все)",COUNTIF($U$4:U404,U404),COUNTIFS($U$4:U404,U404,$B$4:B404,B404))=1),MAX($W$3:W403)+1,"")</f>
        <v/>
      </c>
      <c r="X404" s="38" t="str">
        <f t="shared" si="57"/>
        <v/>
      </c>
      <c r="Y404" s="38" t="str">
        <f>IF(AND(A404="Аппарат",C404&lt;&gt;"",OR($S$5="(все)",B404=$S$5)),MAX($Y$3:Y403)+1,"")</f>
        <v/>
      </c>
      <c r="Z404" s="38" t="str">
        <f t="shared" si="58"/>
        <v/>
      </c>
      <c r="AA404" s="38" t="str">
        <f>IF(AND(A404="Модуль",C404&lt;&gt;"",OR($S$6="(все)",B404=$S$6)),MAX($AA$3:AA403)+1,"")</f>
        <v/>
      </c>
      <c r="AB404" s="38" t="str">
        <f t="shared" si="59"/>
        <v/>
      </c>
      <c r="AC404" s="38" t="str">
        <f>IF(OR(B404="",COUNTIF($B$4:B404,B404)&gt;1),"",MAX($AC$3:AC403)+1)</f>
        <v/>
      </c>
      <c r="AD404" s="38" t="str">
        <f t="shared" si="60"/>
        <v/>
      </c>
      <c r="AE404" s="38" t="str">
        <f t="shared" si="61"/>
        <v/>
      </c>
      <c r="AF404" s="38" t="str">
        <f t="shared" si="62"/>
        <v/>
      </c>
    </row>
    <row r="405" spans="1:32" x14ac:dyDescent="0.3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38" t="str">
        <f>IF(OR(A405="Автомат",A405="Дифавтомат"),IF(W405="","",COUNTIFS(Однолинейка!$H$3:$H$3000,U405,Однолинейка!$A$3:$A$3000,Щит_спец)),IF(A405="Аппарат",IF(C405="","",COUNTIFS(Однолинейка!$I$3:$I$3000,C405,Однолинейка!$A$3:$A$3000,Щит_спец)+COUNTIFS(Однолинейка!$J$3:$J$3000,C405,Однолинейка!$A$3:$A$3000,Щит_спец)+COUNTIFS(Однолинейка!$K$3:$K$3000,C405,Однолинейка!$A$3:$A$3000,Щит_спец)),IF(A405="Модуль",IF(C405="","",COUNTIFS(Однолинейка!$AW$3:$AW$3000,"?*",Однолинейка!$AI$3:$AI$3000,C405,Однолинейка!$A$3:$A$3000,Щит_спец)),IF(A405="Клемма",IF(C405="","",IF(C405=$S$7,SUMIFS(Однолинейка!$BW$3:$BW$3000,Однолинейка!$A$3:$A$3000,Щит_спец),IF(C405=$S$8,SUMIFS(Однолинейка!$BX$3:$BX$3000,Однолинейка!$A$3:$A$3000,Щит_спец),""))),""))))</f>
        <v/>
      </c>
      <c r="O405" s="74"/>
      <c r="P405" s="38" t="str">
        <f t="shared" si="54"/>
        <v/>
      </c>
      <c r="U405" s="38" t="str">
        <f t="shared" si="55"/>
        <v/>
      </c>
      <c r="V405" s="38" t="str">
        <f t="shared" si="56"/>
        <v/>
      </c>
      <c r="W405" s="38" t="str">
        <f>IF(AND(U405&lt;&gt;"",OR($S$4="(все)",B405=$S$4),IF($S$4="(все)",COUNTIF($U$4:U405,U405),COUNTIFS($U$4:U405,U405,$B$4:B405,B405))=1),MAX($W$3:W404)+1,"")</f>
        <v/>
      </c>
      <c r="X405" s="38" t="str">
        <f t="shared" si="57"/>
        <v/>
      </c>
      <c r="Y405" s="38" t="str">
        <f>IF(AND(A405="Аппарат",C405&lt;&gt;"",OR($S$5="(все)",B405=$S$5)),MAX($Y$3:Y404)+1,"")</f>
        <v/>
      </c>
      <c r="Z405" s="38" t="str">
        <f t="shared" si="58"/>
        <v/>
      </c>
      <c r="AA405" s="38" t="str">
        <f>IF(AND(A405="Модуль",C405&lt;&gt;"",OR($S$6="(все)",B405=$S$6)),MAX($AA$3:AA404)+1,"")</f>
        <v/>
      </c>
      <c r="AB405" s="38" t="str">
        <f t="shared" si="59"/>
        <v/>
      </c>
      <c r="AC405" s="38" t="str">
        <f>IF(OR(B405="",COUNTIF($B$4:B405,B405)&gt;1),"",MAX($AC$3:AC404)+1)</f>
        <v/>
      </c>
      <c r="AD405" s="38" t="str">
        <f t="shared" si="60"/>
        <v/>
      </c>
      <c r="AE405" s="38" t="str">
        <f t="shared" si="61"/>
        <v/>
      </c>
      <c r="AF405" s="38" t="str">
        <f t="shared" si="62"/>
        <v/>
      </c>
    </row>
    <row r="406" spans="1:32" x14ac:dyDescent="0.3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38" t="str">
        <f>IF(OR(A406="Автомат",A406="Дифавтомат"),IF(W406="","",COUNTIFS(Однолинейка!$H$3:$H$3000,U406,Однолинейка!$A$3:$A$3000,Щит_спец)),IF(A406="Аппарат",IF(C406="","",COUNTIFS(Однолинейка!$I$3:$I$3000,C406,Однолинейка!$A$3:$A$3000,Щит_спец)+COUNTIFS(Однолинейка!$J$3:$J$3000,C406,Однолинейка!$A$3:$A$3000,Щит_спец)+COUNTIFS(Однолинейка!$K$3:$K$3000,C406,Однолинейка!$A$3:$A$3000,Щит_спец)),IF(A406="Модуль",IF(C406="","",COUNTIFS(Однолинейка!$AW$3:$AW$3000,"?*",Однолинейка!$AI$3:$AI$3000,C406,Однолинейка!$A$3:$A$3000,Щит_спец)),IF(A406="Клемма",IF(C406="","",IF(C406=$S$7,SUMIFS(Однолинейка!$BW$3:$BW$3000,Однолинейка!$A$3:$A$3000,Щит_спец),IF(C406=$S$8,SUMIFS(Однолинейка!$BX$3:$BX$3000,Однолинейка!$A$3:$A$3000,Щит_спец),""))),""))))</f>
        <v/>
      </c>
      <c r="O406" s="74"/>
      <c r="P406" s="38" t="str">
        <f t="shared" si="54"/>
        <v/>
      </c>
      <c r="U406" s="38" t="str">
        <f t="shared" si="55"/>
        <v/>
      </c>
      <c r="V406" s="38" t="str">
        <f t="shared" si="56"/>
        <v/>
      </c>
      <c r="W406" s="38" t="str">
        <f>IF(AND(U406&lt;&gt;"",OR($S$4="(все)",B406=$S$4),IF($S$4="(все)",COUNTIF($U$4:U406,U406),COUNTIFS($U$4:U406,U406,$B$4:B406,B406))=1),MAX($W$3:W405)+1,"")</f>
        <v/>
      </c>
      <c r="X406" s="38" t="str">
        <f t="shared" si="57"/>
        <v/>
      </c>
      <c r="Y406" s="38" t="str">
        <f>IF(AND(A406="Аппарат",C406&lt;&gt;"",OR($S$5="(все)",B406=$S$5)),MAX($Y$3:Y405)+1,"")</f>
        <v/>
      </c>
      <c r="Z406" s="38" t="str">
        <f t="shared" si="58"/>
        <v/>
      </c>
      <c r="AA406" s="38" t="str">
        <f>IF(AND(A406="Модуль",C406&lt;&gt;"",OR($S$6="(все)",B406=$S$6)),MAX($AA$3:AA405)+1,"")</f>
        <v/>
      </c>
      <c r="AB406" s="38" t="str">
        <f t="shared" si="59"/>
        <v/>
      </c>
      <c r="AC406" s="38" t="str">
        <f>IF(OR(B406="",COUNTIF($B$4:B406,B406)&gt;1),"",MAX($AC$3:AC405)+1)</f>
        <v/>
      </c>
      <c r="AD406" s="38" t="str">
        <f t="shared" si="60"/>
        <v/>
      </c>
      <c r="AE406" s="38" t="str">
        <f t="shared" si="61"/>
        <v/>
      </c>
      <c r="AF406" s="38" t="str">
        <f t="shared" si="62"/>
        <v/>
      </c>
    </row>
    <row r="407" spans="1:32" x14ac:dyDescent="0.3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38" t="str">
        <f>IF(OR(A407="Автомат",A407="Дифавтомат"),IF(W407="","",COUNTIFS(Однолинейка!$H$3:$H$3000,U407,Однолинейка!$A$3:$A$3000,Щит_спец)),IF(A407="Аппарат",IF(C407="","",COUNTIFS(Однолинейка!$I$3:$I$3000,C407,Однолинейка!$A$3:$A$3000,Щит_спец)+COUNTIFS(Однолинейка!$J$3:$J$3000,C407,Однолинейка!$A$3:$A$3000,Щит_спец)+COUNTIFS(Однолинейка!$K$3:$K$3000,C407,Однолинейка!$A$3:$A$3000,Щит_спец)),IF(A407="Модуль",IF(C407="","",COUNTIFS(Однолинейка!$AW$3:$AW$3000,"?*",Однолинейка!$AI$3:$AI$3000,C407,Однолинейка!$A$3:$A$3000,Щит_спец)),IF(A407="Клемма",IF(C407="","",IF(C407=$S$7,SUMIFS(Однолинейка!$BW$3:$BW$3000,Однолинейка!$A$3:$A$3000,Щит_спец),IF(C407=$S$8,SUMIFS(Однолинейка!$BX$3:$BX$3000,Однолинейка!$A$3:$A$3000,Щит_спец),""))),""))))</f>
        <v/>
      </c>
      <c r="O407" s="74"/>
      <c r="P407" s="38" t="str">
        <f t="shared" si="54"/>
        <v/>
      </c>
      <c r="U407" s="38" t="str">
        <f t="shared" si="55"/>
        <v/>
      </c>
      <c r="V407" s="38" t="str">
        <f t="shared" si="56"/>
        <v/>
      </c>
      <c r="W407" s="38" t="str">
        <f>IF(AND(U407&lt;&gt;"",OR($S$4="(все)",B407=$S$4),IF($S$4="(все)",COUNTIF($U$4:U407,U407),COUNTIFS($U$4:U407,U407,$B$4:B407,B407))=1),MAX($W$3:W406)+1,"")</f>
        <v/>
      </c>
      <c r="X407" s="38" t="str">
        <f t="shared" si="57"/>
        <v/>
      </c>
      <c r="Y407" s="38" t="str">
        <f>IF(AND(A407="Аппарат",C407&lt;&gt;"",OR($S$5="(все)",B407=$S$5)),MAX($Y$3:Y406)+1,"")</f>
        <v/>
      </c>
      <c r="Z407" s="38" t="str">
        <f t="shared" si="58"/>
        <v/>
      </c>
      <c r="AA407" s="38" t="str">
        <f>IF(AND(A407="Модуль",C407&lt;&gt;"",OR($S$6="(все)",B407=$S$6)),MAX($AA$3:AA406)+1,"")</f>
        <v/>
      </c>
      <c r="AB407" s="38" t="str">
        <f t="shared" si="59"/>
        <v/>
      </c>
      <c r="AC407" s="38" t="str">
        <f>IF(OR(B407="",COUNTIF($B$4:B407,B407)&gt;1),"",MAX($AC$3:AC406)+1)</f>
        <v/>
      </c>
      <c r="AD407" s="38" t="str">
        <f t="shared" si="60"/>
        <v/>
      </c>
      <c r="AE407" s="38" t="str">
        <f t="shared" si="61"/>
        <v/>
      </c>
      <c r="AF407" s="38" t="str">
        <f t="shared" si="62"/>
        <v/>
      </c>
    </row>
    <row r="408" spans="1:32" x14ac:dyDescent="0.3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38" t="str">
        <f>IF(OR(A408="Автомат",A408="Дифавтомат"),IF(W408="","",COUNTIFS(Однолинейка!$H$3:$H$3000,U408,Однолинейка!$A$3:$A$3000,Щит_спец)),IF(A408="Аппарат",IF(C408="","",COUNTIFS(Однолинейка!$I$3:$I$3000,C408,Однолинейка!$A$3:$A$3000,Щит_спец)+COUNTIFS(Однолинейка!$J$3:$J$3000,C408,Однолинейка!$A$3:$A$3000,Щит_спец)+COUNTIFS(Однолинейка!$K$3:$K$3000,C408,Однолинейка!$A$3:$A$3000,Щит_спец)),IF(A408="Модуль",IF(C408="","",COUNTIFS(Однолинейка!$AW$3:$AW$3000,"?*",Однолинейка!$AI$3:$AI$3000,C408,Однолинейка!$A$3:$A$3000,Щит_спец)),IF(A408="Клемма",IF(C408="","",IF(C408=$S$7,SUMIFS(Однолинейка!$BW$3:$BW$3000,Однолинейка!$A$3:$A$3000,Щит_спец),IF(C408=$S$8,SUMIFS(Однолинейка!$BX$3:$BX$3000,Однолинейка!$A$3:$A$3000,Щит_спец),""))),""))))</f>
        <v/>
      </c>
      <c r="O408" s="74"/>
      <c r="P408" s="38" t="str">
        <f t="shared" si="54"/>
        <v/>
      </c>
      <c r="U408" s="38" t="str">
        <f t="shared" si="55"/>
        <v/>
      </c>
      <c r="V408" s="38" t="str">
        <f t="shared" si="56"/>
        <v/>
      </c>
      <c r="W408" s="38" t="str">
        <f>IF(AND(U408&lt;&gt;"",OR($S$4="(все)",B408=$S$4),IF($S$4="(все)",COUNTIF($U$4:U408,U408),COUNTIFS($U$4:U408,U408,$B$4:B408,B408))=1),MAX($W$3:W407)+1,"")</f>
        <v/>
      </c>
      <c r="X408" s="38" t="str">
        <f t="shared" si="57"/>
        <v/>
      </c>
      <c r="Y408" s="38" t="str">
        <f>IF(AND(A408="Аппарат",C408&lt;&gt;"",OR($S$5="(все)",B408=$S$5)),MAX($Y$3:Y407)+1,"")</f>
        <v/>
      </c>
      <c r="Z408" s="38" t="str">
        <f t="shared" si="58"/>
        <v/>
      </c>
      <c r="AA408" s="38" t="str">
        <f>IF(AND(A408="Модуль",C408&lt;&gt;"",OR($S$6="(все)",B408=$S$6)),MAX($AA$3:AA407)+1,"")</f>
        <v/>
      </c>
      <c r="AB408" s="38" t="str">
        <f t="shared" si="59"/>
        <v/>
      </c>
      <c r="AC408" s="38" t="str">
        <f>IF(OR(B408="",COUNTIF($B$4:B408,B408)&gt;1),"",MAX($AC$3:AC407)+1)</f>
        <v/>
      </c>
      <c r="AD408" s="38" t="str">
        <f t="shared" si="60"/>
        <v/>
      </c>
      <c r="AE408" s="38" t="str">
        <f t="shared" si="61"/>
        <v/>
      </c>
      <c r="AF408" s="38" t="str">
        <f t="shared" si="62"/>
        <v/>
      </c>
    </row>
    <row r="409" spans="1:32" x14ac:dyDescent="0.3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38" t="str">
        <f>IF(OR(A409="Автомат",A409="Дифавтомат"),IF(W409="","",COUNTIFS(Однолинейка!$H$3:$H$3000,U409,Однолинейка!$A$3:$A$3000,Щит_спец)),IF(A409="Аппарат",IF(C409="","",COUNTIFS(Однолинейка!$I$3:$I$3000,C409,Однолинейка!$A$3:$A$3000,Щит_спец)+COUNTIFS(Однолинейка!$J$3:$J$3000,C409,Однолинейка!$A$3:$A$3000,Щит_спец)+COUNTIFS(Однолинейка!$K$3:$K$3000,C409,Однолинейка!$A$3:$A$3000,Щит_спец)),IF(A409="Модуль",IF(C409="","",COUNTIFS(Однолинейка!$AW$3:$AW$3000,"?*",Однолинейка!$AI$3:$AI$3000,C409,Однолинейка!$A$3:$A$3000,Щит_спец)),IF(A409="Клемма",IF(C409="","",IF(C409=$S$7,SUMIFS(Однолинейка!$BW$3:$BW$3000,Однолинейка!$A$3:$A$3000,Щит_спец),IF(C409=$S$8,SUMIFS(Однолинейка!$BX$3:$BX$3000,Однолинейка!$A$3:$A$3000,Щит_спец),""))),""))))</f>
        <v/>
      </c>
      <c r="O409" s="74"/>
      <c r="P409" s="38" t="str">
        <f t="shared" si="54"/>
        <v/>
      </c>
      <c r="U409" s="38" t="str">
        <f t="shared" si="55"/>
        <v/>
      </c>
      <c r="V409" s="38" t="str">
        <f t="shared" si="56"/>
        <v/>
      </c>
      <c r="W409" s="38" t="str">
        <f>IF(AND(U409&lt;&gt;"",OR($S$4="(все)",B409=$S$4),IF($S$4="(все)",COUNTIF($U$4:U409,U409),COUNTIFS($U$4:U409,U409,$B$4:B409,B409))=1),MAX($W$3:W408)+1,"")</f>
        <v/>
      </c>
      <c r="X409" s="38" t="str">
        <f t="shared" si="57"/>
        <v/>
      </c>
      <c r="Y409" s="38" t="str">
        <f>IF(AND(A409="Аппарат",C409&lt;&gt;"",OR($S$5="(все)",B409=$S$5)),MAX($Y$3:Y408)+1,"")</f>
        <v/>
      </c>
      <c r="Z409" s="38" t="str">
        <f t="shared" si="58"/>
        <v/>
      </c>
      <c r="AA409" s="38" t="str">
        <f>IF(AND(A409="Модуль",C409&lt;&gt;"",OR($S$6="(все)",B409=$S$6)),MAX($AA$3:AA408)+1,"")</f>
        <v/>
      </c>
      <c r="AB409" s="38" t="str">
        <f t="shared" si="59"/>
        <v/>
      </c>
      <c r="AC409" s="38" t="str">
        <f>IF(OR(B409="",COUNTIF($B$4:B409,B409)&gt;1),"",MAX($AC$3:AC408)+1)</f>
        <v/>
      </c>
      <c r="AD409" s="38" t="str">
        <f t="shared" si="60"/>
        <v/>
      </c>
      <c r="AE409" s="38" t="str">
        <f t="shared" si="61"/>
        <v/>
      </c>
      <c r="AF409" s="38" t="str">
        <f t="shared" si="62"/>
        <v/>
      </c>
    </row>
    <row r="410" spans="1:32" x14ac:dyDescent="0.3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38" t="str">
        <f>IF(OR(A410="Автомат",A410="Дифавтомат"),IF(W410="","",COUNTIFS(Однолинейка!$H$3:$H$3000,U410,Однолинейка!$A$3:$A$3000,Щит_спец)),IF(A410="Аппарат",IF(C410="","",COUNTIFS(Однолинейка!$I$3:$I$3000,C410,Однолинейка!$A$3:$A$3000,Щит_спец)+COUNTIFS(Однолинейка!$J$3:$J$3000,C410,Однолинейка!$A$3:$A$3000,Щит_спец)+COUNTIFS(Однолинейка!$K$3:$K$3000,C410,Однолинейка!$A$3:$A$3000,Щит_спец)),IF(A410="Модуль",IF(C410="","",COUNTIFS(Однолинейка!$AW$3:$AW$3000,"?*",Однолинейка!$AI$3:$AI$3000,C410,Однолинейка!$A$3:$A$3000,Щит_спец)),IF(A410="Клемма",IF(C410="","",IF(C410=$S$7,SUMIFS(Однолинейка!$BW$3:$BW$3000,Однолинейка!$A$3:$A$3000,Щит_спец),IF(C410=$S$8,SUMIFS(Однолинейка!$BX$3:$BX$3000,Однолинейка!$A$3:$A$3000,Щит_спец),""))),""))))</f>
        <v/>
      </c>
      <c r="O410" s="74"/>
      <c r="P410" s="38" t="str">
        <f t="shared" si="54"/>
        <v/>
      </c>
      <c r="U410" s="38" t="str">
        <f t="shared" si="55"/>
        <v/>
      </c>
      <c r="V410" s="38" t="str">
        <f t="shared" si="56"/>
        <v/>
      </c>
      <c r="W410" s="38" t="str">
        <f>IF(AND(U410&lt;&gt;"",OR($S$4="(все)",B410=$S$4),IF($S$4="(все)",COUNTIF($U$4:U410,U410),COUNTIFS($U$4:U410,U410,$B$4:B410,B410))=1),MAX($W$3:W409)+1,"")</f>
        <v/>
      </c>
      <c r="X410" s="38" t="str">
        <f t="shared" si="57"/>
        <v/>
      </c>
      <c r="Y410" s="38" t="str">
        <f>IF(AND(A410="Аппарат",C410&lt;&gt;"",OR($S$5="(все)",B410=$S$5)),MAX($Y$3:Y409)+1,"")</f>
        <v/>
      </c>
      <c r="Z410" s="38" t="str">
        <f t="shared" si="58"/>
        <v/>
      </c>
      <c r="AA410" s="38" t="str">
        <f>IF(AND(A410="Модуль",C410&lt;&gt;"",OR($S$6="(все)",B410=$S$6)),MAX($AA$3:AA409)+1,"")</f>
        <v/>
      </c>
      <c r="AB410" s="38" t="str">
        <f t="shared" si="59"/>
        <v/>
      </c>
      <c r="AC410" s="38" t="str">
        <f>IF(OR(B410="",COUNTIF($B$4:B410,B410)&gt;1),"",MAX($AC$3:AC409)+1)</f>
        <v/>
      </c>
      <c r="AD410" s="38" t="str">
        <f t="shared" si="60"/>
        <v/>
      </c>
      <c r="AE410" s="38" t="str">
        <f t="shared" si="61"/>
        <v/>
      </c>
      <c r="AF410" s="38" t="str">
        <f t="shared" si="62"/>
        <v/>
      </c>
    </row>
    <row r="411" spans="1:32" x14ac:dyDescent="0.3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38" t="str">
        <f>IF(OR(A411="Автомат",A411="Дифавтомат"),IF(W411="","",COUNTIFS(Однолинейка!$H$3:$H$3000,U411,Однолинейка!$A$3:$A$3000,Щит_спец)),IF(A411="Аппарат",IF(C411="","",COUNTIFS(Однолинейка!$I$3:$I$3000,C411,Однолинейка!$A$3:$A$3000,Щит_спец)+COUNTIFS(Однолинейка!$J$3:$J$3000,C411,Однолинейка!$A$3:$A$3000,Щит_спец)+COUNTIFS(Однолинейка!$K$3:$K$3000,C411,Однолинейка!$A$3:$A$3000,Щит_спец)),IF(A411="Модуль",IF(C411="","",COUNTIFS(Однолинейка!$AW$3:$AW$3000,"?*",Однолинейка!$AI$3:$AI$3000,C411,Однолинейка!$A$3:$A$3000,Щит_спец)),IF(A411="Клемма",IF(C411="","",IF(C411=$S$7,SUMIFS(Однолинейка!$BW$3:$BW$3000,Однолинейка!$A$3:$A$3000,Щит_спец),IF(C411=$S$8,SUMIFS(Однолинейка!$BX$3:$BX$3000,Однолинейка!$A$3:$A$3000,Щит_спец),""))),""))))</f>
        <v/>
      </c>
      <c r="O411" s="74"/>
      <c r="P411" s="38" t="str">
        <f t="shared" si="54"/>
        <v/>
      </c>
      <c r="U411" s="38" t="str">
        <f t="shared" si="55"/>
        <v/>
      </c>
      <c r="V411" s="38" t="str">
        <f t="shared" si="56"/>
        <v/>
      </c>
      <c r="W411" s="38" t="str">
        <f>IF(AND(U411&lt;&gt;"",OR($S$4="(все)",B411=$S$4),IF($S$4="(все)",COUNTIF($U$4:U411,U411),COUNTIFS($U$4:U411,U411,$B$4:B411,B411))=1),MAX($W$3:W410)+1,"")</f>
        <v/>
      </c>
      <c r="X411" s="38" t="str">
        <f t="shared" si="57"/>
        <v/>
      </c>
      <c r="Y411" s="38" t="str">
        <f>IF(AND(A411="Аппарат",C411&lt;&gt;"",OR($S$5="(все)",B411=$S$5)),MAX($Y$3:Y410)+1,"")</f>
        <v/>
      </c>
      <c r="Z411" s="38" t="str">
        <f t="shared" si="58"/>
        <v/>
      </c>
      <c r="AA411" s="38" t="str">
        <f>IF(AND(A411="Модуль",C411&lt;&gt;"",OR($S$6="(все)",B411=$S$6)),MAX($AA$3:AA410)+1,"")</f>
        <v/>
      </c>
      <c r="AB411" s="38" t="str">
        <f t="shared" si="59"/>
        <v/>
      </c>
      <c r="AC411" s="38" t="str">
        <f>IF(OR(B411="",COUNTIF($B$4:B411,B411)&gt;1),"",MAX($AC$3:AC410)+1)</f>
        <v/>
      </c>
      <c r="AD411" s="38" t="str">
        <f t="shared" si="60"/>
        <v/>
      </c>
      <c r="AE411" s="38" t="str">
        <f t="shared" si="61"/>
        <v/>
      </c>
      <c r="AF411" s="38" t="str">
        <f t="shared" si="62"/>
        <v/>
      </c>
    </row>
    <row r="412" spans="1:32" x14ac:dyDescent="0.3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38" t="str">
        <f>IF(OR(A412="Автомат",A412="Дифавтомат"),IF(W412="","",COUNTIFS(Однолинейка!$H$3:$H$3000,U412,Однолинейка!$A$3:$A$3000,Щит_спец)),IF(A412="Аппарат",IF(C412="","",COUNTIFS(Однолинейка!$I$3:$I$3000,C412,Однолинейка!$A$3:$A$3000,Щит_спец)+COUNTIFS(Однолинейка!$J$3:$J$3000,C412,Однолинейка!$A$3:$A$3000,Щит_спец)+COUNTIFS(Однолинейка!$K$3:$K$3000,C412,Однолинейка!$A$3:$A$3000,Щит_спец)),IF(A412="Модуль",IF(C412="","",COUNTIFS(Однолинейка!$AW$3:$AW$3000,"?*",Однолинейка!$AI$3:$AI$3000,C412,Однолинейка!$A$3:$A$3000,Щит_спец)),IF(A412="Клемма",IF(C412="","",IF(C412=$S$7,SUMIFS(Однолинейка!$BW$3:$BW$3000,Однолинейка!$A$3:$A$3000,Щит_спец),IF(C412=$S$8,SUMIFS(Однолинейка!$BX$3:$BX$3000,Однолинейка!$A$3:$A$3000,Щит_спец),""))),""))))</f>
        <v/>
      </c>
      <c r="O412" s="74"/>
      <c r="P412" s="38" t="str">
        <f t="shared" si="54"/>
        <v/>
      </c>
      <c r="U412" s="38" t="str">
        <f t="shared" si="55"/>
        <v/>
      </c>
      <c r="V412" s="38" t="str">
        <f t="shared" si="56"/>
        <v/>
      </c>
      <c r="W412" s="38" t="str">
        <f>IF(AND(U412&lt;&gt;"",OR($S$4="(все)",B412=$S$4),IF($S$4="(все)",COUNTIF($U$4:U412,U412),COUNTIFS($U$4:U412,U412,$B$4:B412,B412))=1),MAX($W$3:W411)+1,"")</f>
        <v/>
      </c>
      <c r="X412" s="38" t="str">
        <f t="shared" si="57"/>
        <v/>
      </c>
      <c r="Y412" s="38" t="str">
        <f>IF(AND(A412="Аппарат",C412&lt;&gt;"",OR($S$5="(все)",B412=$S$5)),MAX($Y$3:Y411)+1,"")</f>
        <v/>
      </c>
      <c r="Z412" s="38" t="str">
        <f t="shared" si="58"/>
        <v/>
      </c>
      <c r="AA412" s="38" t="str">
        <f>IF(AND(A412="Модуль",C412&lt;&gt;"",OR($S$6="(все)",B412=$S$6)),MAX($AA$3:AA411)+1,"")</f>
        <v/>
      </c>
      <c r="AB412" s="38" t="str">
        <f t="shared" si="59"/>
        <v/>
      </c>
      <c r="AC412" s="38" t="str">
        <f>IF(OR(B412="",COUNTIF($B$4:B412,B412)&gt;1),"",MAX($AC$3:AC411)+1)</f>
        <v/>
      </c>
      <c r="AD412" s="38" t="str">
        <f t="shared" si="60"/>
        <v/>
      </c>
      <c r="AE412" s="38" t="str">
        <f t="shared" si="61"/>
        <v/>
      </c>
      <c r="AF412" s="38" t="str">
        <f t="shared" si="62"/>
        <v/>
      </c>
    </row>
    <row r="413" spans="1:32" x14ac:dyDescent="0.3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38" t="str">
        <f>IF(OR(A413="Автомат",A413="Дифавтомат"),IF(W413="","",COUNTIFS(Однолинейка!$H$3:$H$3000,U413,Однолинейка!$A$3:$A$3000,Щит_спец)),IF(A413="Аппарат",IF(C413="","",COUNTIFS(Однолинейка!$I$3:$I$3000,C413,Однолинейка!$A$3:$A$3000,Щит_спец)+COUNTIFS(Однолинейка!$J$3:$J$3000,C413,Однолинейка!$A$3:$A$3000,Щит_спец)+COUNTIFS(Однолинейка!$K$3:$K$3000,C413,Однолинейка!$A$3:$A$3000,Щит_спец)),IF(A413="Модуль",IF(C413="","",COUNTIFS(Однолинейка!$AW$3:$AW$3000,"?*",Однолинейка!$AI$3:$AI$3000,C413,Однолинейка!$A$3:$A$3000,Щит_спец)),IF(A413="Клемма",IF(C413="","",IF(C413=$S$7,SUMIFS(Однолинейка!$BW$3:$BW$3000,Однолинейка!$A$3:$A$3000,Щит_спец),IF(C413=$S$8,SUMIFS(Однолинейка!$BX$3:$BX$3000,Однолинейка!$A$3:$A$3000,Щит_спец),""))),""))))</f>
        <v/>
      </c>
      <c r="O413" s="74"/>
      <c r="P413" s="38" t="str">
        <f t="shared" si="54"/>
        <v/>
      </c>
      <c r="U413" s="38" t="str">
        <f t="shared" si="55"/>
        <v/>
      </c>
      <c r="V413" s="38" t="str">
        <f t="shared" si="56"/>
        <v/>
      </c>
      <c r="W413" s="38" t="str">
        <f>IF(AND(U413&lt;&gt;"",OR($S$4="(все)",B413=$S$4),IF($S$4="(все)",COUNTIF($U$4:U413,U413),COUNTIFS($U$4:U413,U413,$B$4:B413,B413))=1),MAX($W$3:W412)+1,"")</f>
        <v/>
      </c>
      <c r="X413" s="38" t="str">
        <f t="shared" si="57"/>
        <v/>
      </c>
      <c r="Y413" s="38" t="str">
        <f>IF(AND(A413="Аппарат",C413&lt;&gt;"",OR($S$5="(все)",B413=$S$5)),MAX($Y$3:Y412)+1,"")</f>
        <v/>
      </c>
      <c r="Z413" s="38" t="str">
        <f t="shared" si="58"/>
        <v/>
      </c>
      <c r="AA413" s="38" t="str">
        <f>IF(AND(A413="Модуль",C413&lt;&gt;"",OR($S$6="(все)",B413=$S$6)),MAX($AA$3:AA412)+1,"")</f>
        <v/>
      </c>
      <c r="AB413" s="38" t="str">
        <f t="shared" si="59"/>
        <v/>
      </c>
      <c r="AC413" s="38" t="str">
        <f>IF(OR(B413="",COUNTIF($B$4:B413,B413)&gt;1),"",MAX($AC$3:AC412)+1)</f>
        <v/>
      </c>
      <c r="AD413" s="38" t="str">
        <f t="shared" si="60"/>
        <v/>
      </c>
      <c r="AE413" s="38" t="str">
        <f t="shared" si="61"/>
        <v/>
      </c>
      <c r="AF413" s="38" t="str">
        <f t="shared" si="62"/>
        <v/>
      </c>
    </row>
    <row r="414" spans="1:32" x14ac:dyDescent="0.3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38" t="str">
        <f>IF(OR(A414="Автомат",A414="Дифавтомат"),IF(W414="","",COUNTIFS(Однолинейка!$H$3:$H$3000,U414,Однолинейка!$A$3:$A$3000,Щит_спец)),IF(A414="Аппарат",IF(C414="","",COUNTIFS(Однолинейка!$I$3:$I$3000,C414,Однолинейка!$A$3:$A$3000,Щит_спец)+COUNTIFS(Однолинейка!$J$3:$J$3000,C414,Однолинейка!$A$3:$A$3000,Щит_спец)+COUNTIFS(Однолинейка!$K$3:$K$3000,C414,Однолинейка!$A$3:$A$3000,Щит_спец)),IF(A414="Модуль",IF(C414="","",COUNTIFS(Однолинейка!$AW$3:$AW$3000,"?*",Однолинейка!$AI$3:$AI$3000,C414,Однолинейка!$A$3:$A$3000,Щит_спец)),IF(A414="Клемма",IF(C414="","",IF(C414=$S$7,SUMIFS(Однолинейка!$BW$3:$BW$3000,Однолинейка!$A$3:$A$3000,Щит_спец),IF(C414=$S$8,SUMIFS(Однолинейка!$BX$3:$BX$3000,Однолинейка!$A$3:$A$3000,Щит_спец),""))),""))))</f>
        <v/>
      </c>
      <c r="O414" s="74"/>
      <c r="P414" s="38" t="str">
        <f t="shared" si="54"/>
        <v/>
      </c>
      <c r="U414" s="38" t="str">
        <f t="shared" si="55"/>
        <v/>
      </c>
      <c r="V414" s="38" t="str">
        <f t="shared" si="56"/>
        <v/>
      </c>
      <c r="W414" s="38" t="str">
        <f>IF(AND(U414&lt;&gt;"",OR($S$4="(все)",B414=$S$4),IF($S$4="(все)",COUNTIF($U$4:U414,U414),COUNTIFS($U$4:U414,U414,$B$4:B414,B414))=1),MAX($W$3:W413)+1,"")</f>
        <v/>
      </c>
      <c r="X414" s="38" t="str">
        <f t="shared" si="57"/>
        <v/>
      </c>
      <c r="Y414" s="38" t="str">
        <f>IF(AND(A414="Аппарат",C414&lt;&gt;"",OR($S$5="(все)",B414=$S$5)),MAX($Y$3:Y413)+1,"")</f>
        <v/>
      </c>
      <c r="Z414" s="38" t="str">
        <f t="shared" si="58"/>
        <v/>
      </c>
      <c r="AA414" s="38" t="str">
        <f>IF(AND(A414="Модуль",C414&lt;&gt;"",OR($S$6="(все)",B414=$S$6)),MAX($AA$3:AA413)+1,"")</f>
        <v/>
      </c>
      <c r="AB414" s="38" t="str">
        <f t="shared" si="59"/>
        <v/>
      </c>
      <c r="AC414" s="38" t="str">
        <f>IF(OR(B414="",COUNTIF($B$4:B414,B414)&gt;1),"",MAX($AC$3:AC413)+1)</f>
        <v/>
      </c>
      <c r="AD414" s="38" t="str">
        <f t="shared" si="60"/>
        <v/>
      </c>
      <c r="AE414" s="38" t="str">
        <f t="shared" si="61"/>
        <v/>
      </c>
      <c r="AF414" s="38" t="str">
        <f t="shared" si="62"/>
        <v/>
      </c>
    </row>
    <row r="415" spans="1:32" x14ac:dyDescent="0.3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38" t="str">
        <f>IF(OR(A415="Автомат",A415="Дифавтомат"),IF(W415="","",COUNTIFS(Однолинейка!$H$3:$H$3000,U415,Однолинейка!$A$3:$A$3000,Щит_спец)),IF(A415="Аппарат",IF(C415="","",COUNTIFS(Однолинейка!$I$3:$I$3000,C415,Однолинейка!$A$3:$A$3000,Щит_спец)+COUNTIFS(Однолинейка!$J$3:$J$3000,C415,Однолинейка!$A$3:$A$3000,Щит_спец)+COUNTIFS(Однолинейка!$K$3:$K$3000,C415,Однолинейка!$A$3:$A$3000,Щит_спец)),IF(A415="Модуль",IF(C415="","",COUNTIFS(Однолинейка!$AW$3:$AW$3000,"?*",Однолинейка!$AI$3:$AI$3000,C415,Однолинейка!$A$3:$A$3000,Щит_спец)),IF(A415="Клемма",IF(C415="","",IF(C415=$S$7,SUMIFS(Однолинейка!$BW$3:$BW$3000,Однолинейка!$A$3:$A$3000,Щит_спец),IF(C415=$S$8,SUMIFS(Однолинейка!$BX$3:$BX$3000,Однолинейка!$A$3:$A$3000,Щит_спец),""))),""))))</f>
        <v/>
      </c>
      <c r="O415" s="74"/>
      <c r="P415" s="38" t="str">
        <f t="shared" si="54"/>
        <v/>
      </c>
      <c r="U415" s="38" t="str">
        <f t="shared" si="55"/>
        <v/>
      </c>
      <c r="V415" s="38" t="str">
        <f t="shared" si="56"/>
        <v/>
      </c>
      <c r="W415" s="38" t="str">
        <f>IF(AND(U415&lt;&gt;"",OR($S$4="(все)",B415=$S$4),IF($S$4="(все)",COUNTIF($U$4:U415,U415),COUNTIFS($U$4:U415,U415,$B$4:B415,B415))=1),MAX($W$3:W414)+1,"")</f>
        <v/>
      </c>
      <c r="X415" s="38" t="str">
        <f t="shared" si="57"/>
        <v/>
      </c>
      <c r="Y415" s="38" t="str">
        <f>IF(AND(A415="Аппарат",C415&lt;&gt;"",OR($S$5="(все)",B415=$S$5)),MAX($Y$3:Y414)+1,"")</f>
        <v/>
      </c>
      <c r="Z415" s="38" t="str">
        <f t="shared" si="58"/>
        <v/>
      </c>
      <c r="AA415" s="38" t="str">
        <f>IF(AND(A415="Модуль",C415&lt;&gt;"",OR($S$6="(все)",B415=$S$6)),MAX($AA$3:AA414)+1,"")</f>
        <v/>
      </c>
      <c r="AB415" s="38" t="str">
        <f t="shared" si="59"/>
        <v/>
      </c>
      <c r="AC415" s="38" t="str">
        <f>IF(OR(B415="",COUNTIF($B$4:B415,B415)&gt;1),"",MAX($AC$3:AC414)+1)</f>
        <v/>
      </c>
      <c r="AD415" s="38" t="str">
        <f t="shared" si="60"/>
        <v/>
      </c>
      <c r="AE415" s="38" t="str">
        <f t="shared" si="61"/>
        <v/>
      </c>
      <c r="AF415" s="38" t="str">
        <f t="shared" si="62"/>
        <v/>
      </c>
    </row>
    <row r="416" spans="1:32" x14ac:dyDescent="0.3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38" t="str">
        <f>IF(OR(A416="Автомат",A416="Дифавтомат"),IF(W416="","",COUNTIFS(Однолинейка!$H$3:$H$3000,U416,Однолинейка!$A$3:$A$3000,Щит_спец)),IF(A416="Аппарат",IF(C416="","",COUNTIFS(Однолинейка!$I$3:$I$3000,C416,Однолинейка!$A$3:$A$3000,Щит_спец)+COUNTIFS(Однолинейка!$J$3:$J$3000,C416,Однолинейка!$A$3:$A$3000,Щит_спец)+COUNTIFS(Однолинейка!$K$3:$K$3000,C416,Однолинейка!$A$3:$A$3000,Щит_спец)),IF(A416="Модуль",IF(C416="","",COUNTIFS(Однолинейка!$AW$3:$AW$3000,"?*",Однолинейка!$AI$3:$AI$3000,C416,Однолинейка!$A$3:$A$3000,Щит_спец)),IF(A416="Клемма",IF(C416="","",IF(C416=$S$7,SUMIFS(Однолинейка!$BW$3:$BW$3000,Однолинейка!$A$3:$A$3000,Щит_спец),IF(C416=$S$8,SUMIFS(Однолинейка!$BX$3:$BX$3000,Однолинейка!$A$3:$A$3000,Щит_спец),""))),""))))</f>
        <v/>
      </c>
      <c r="O416" s="74"/>
      <c r="P416" s="38" t="str">
        <f t="shared" si="54"/>
        <v/>
      </c>
      <c r="U416" s="38" t="str">
        <f t="shared" si="55"/>
        <v/>
      </c>
      <c r="V416" s="38" t="str">
        <f t="shared" si="56"/>
        <v/>
      </c>
      <c r="W416" s="38" t="str">
        <f>IF(AND(U416&lt;&gt;"",OR($S$4="(все)",B416=$S$4),IF($S$4="(все)",COUNTIF($U$4:U416,U416),COUNTIFS($U$4:U416,U416,$B$4:B416,B416))=1),MAX($W$3:W415)+1,"")</f>
        <v/>
      </c>
      <c r="X416" s="38" t="str">
        <f t="shared" si="57"/>
        <v/>
      </c>
      <c r="Y416" s="38" t="str">
        <f>IF(AND(A416="Аппарат",C416&lt;&gt;"",OR($S$5="(все)",B416=$S$5)),MAX($Y$3:Y415)+1,"")</f>
        <v/>
      </c>
      <c r="Z416" s="38" t="str">
        <f t="shared" si="58"/>
        <v/>
      </c>
      <c r="AA416" s="38" t="str">
        <f>IF(AND(A416="Модуль",C416&lt;&gt;"",OR($S$6="(все)",B416=$S$6)),MAX($AA$3:AA415)+1,"")</f>
        <v/>
      </c>
      <c r="AB416" s="38" t="str">
        <f t="shared" si="59"/>
        <v/>
      </c>
      <c r="AC416" s="38" t="str">
        <f>IF(OR(B416="",COUNTIF($B$4:B416,B416)&gt;1),"",MAX($AC$3:AC415)+1)</f>
        <v/>
      </c>
      <c r="AD416" s="38" t="str">
        <f t="shared" si="60"/>
        <v/>
      </c>
      <c r="AE416" s="38" t="str">
        <f t="shared" si="61"/>
        <v/>
      </c>
      <c r="AF416" s="38" t="str">
        <f t="shared" si="62"/>
        <v/>
      </c>
    </row>
    <row r="417" spans="1:32" x14ac:dyDescent="0.3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38" t="str">
        <f>IF(OR(A417="Автомат",A417="Дифавтомат"),IF(W417="","",COUNTIFS(Однолинейка!$H$3:$H$3000,U417,Однолинейка!$A$3:$A$3000,Щит_спец)),IF(A417="Аппарат",IF(C417="","",COUNTIFS(Однолинейка!$I$3:$I$3000,C417,Однолинейка!$A$3:$A$3000,Щит_спец)+COUNTIFS(Однолинейка!$J$3:$J$3000,C417,Однолинейка!$A$3:$A$3000,Щит_спец)+COUNTIFS(Однолинейка!$K$3:$K$3000,C417,Однолинейка!$A$3:$A$3000,Щит_спец)),IF(A417="Модуль",IF(C417="","",COUNTIFS(Однолинейка!$AW$3:$AW$3000,"?*",Однолинейка!$AI$3:$AI$3000,C417,Однолинейка!$A$3:$A$3000,Щит_спец)),IF(A417="Клемма",IF(C417="","",IF(C417=$S$7,SUMIFS(Однолинейка!$BW$3:$BW$3000,Однолинейка!$A$3:$A$3000,Щит_спец),IF(C417=$S$8,SUMIFS(Однолинейка!$BX$3:$BX$3000,Однолинейка!$A$3:$A$3000,Щит_спец),""))),""))))</f>
        <v/>
      </c>
      <c r="O417" s="74"/>
      <c r="P417" s="38" t="str">
        <f t="shared" si="54"/>
        <v/>
      </c>
      <c r="U417" s="38" t="str">
        <f t="shared" si="55"/>
        <v/>
      </c>
      <c r="V417" s="38" t="str">
        <f t="shared" si="56"/>
        <v/>
      </c>
      <c r="W417" s="38" t="str">
        <f>IF(AND(U417&lt;&gt;"",OR($S$4="(все)",B417=$S$4),IF($S$4="(все)",COUNTIF($U$4:U417,U417),COUNTIFS($U$4:U417,U417,$B$4:B417,B417))=1),MAX($W$3:W416)+1,"")</f>
        <v/>
      </c>
      <c r="X417" s="38" t="str">
        <f t="shared" si="57"/>
        <v/>
      </c>
      <c r="Y417" s="38" t="str">
        <f>IF(AND(A417="Аппарат",C417&lt;&gt;"",OR($S$5="(все)",B417=$S$5)),MAX($Y$3:Y416)+1,"")</f>
        <v/>
      </c>
      <c r="Z417" s="38" t="str">
        <f t="shared" si="58"/>
        <v/>
      </c>
      <c r="AA417" s="38" t="str">
        <f>IF(AND(A417="Модуль",C417&lt;&gt;"",OR($S$6="(все)",B417=$S$6)),MAX($AA$3:AA416)+1,"")</f>
        <v/>
      </c>
      <c r="AB417" s="38" t="str">
        <f t="shared" si="59"/>
        <v/>
      </c>
      <c r="AC417" s="38" t="str">
        <f>IF(OR(B417="",COUNTIF($B$4:B417,B417)&gt;1),"",MAX($AC$3:AC416)+1)</f>
        <v/>
      </c>
      <c r="AD417" s="38" t="str">
        <f t="shared" si="60"/>
        <v/>
      </c>
      <c r="AE417" s="38" t="str">
        <f t="shared" si="61"/>
        <v/>
      </c>
      <c r="AF417" s="38" t="str">
        <f t="shared" si="62"/>
        <v/>
      </c>
    </row>
    <row r="418" spans="1:32" x14ac:dyDescent="0.3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38" t="str">
        <f>IF(OR(A418="Автомат",A418="Дифавтомат"),IF(W418="","",COUNTIFS(Однолинейка!$H$3:$H$3000,U418,Однолинейка!$A$3:$A$3000,Щит_спец)),IF(A418="Аппарат",IF(C418="","",COUNTIFS(Однолинейка!$I$3:$I$3000,C418,Однолинейка!$A$3:$A$3000,Щит_спец)+COUNTIFS(Однолинейка!$J$3:$J$3000,C418,Однолинейка!$A$3:$A$3000,Щит_спец)+COUNTIFS(Однолинейка!$K$3:$K$3000,C418,Однолинейка!$A$3:$A$3000,Щит_спец)),IF(A418="Модуль",IF(C418="","",COUNTIFS(Однолинейка!$AW$3:$AW$3000,"?*",Однолинейка!$AI$3:$AI$3000,C418,Однолинейка!$A$3:$A$3000,Щит_спец)),IF(A418="Клемма",IF(C418="","",IF(C418=$S$7,SUMIFS(Однолинейка!$BW$3:$BW$3000,Однолинейка!$A$3:$A$3000,Щит_спец),IF(C418=$S$8,SUMIFS(Однолинейка!$BX$3:$BX$3000,Однолинейка!$A$3:$A$3000,Щит_спец),""))),""))))</f>
        <v/>
      </c>
      <c r="O418" s="74"/>
      <c r="P418" s="38" t="str">
        <f t="shared" si="54"/>
        <v/>
      </c>
      <c r="U418" s="38" t="str">
        <f t="shared" si="55"/>
        <v/>
      </c>
      <c r="V418" s="38" t="str">
        <f t="shared" si="56"/>
        <v/>
      </c>
      <c r="W418" s="38" t="str">
        <f>IF(AND(U418&lt;&gt;"",OR($S$4="(все)",B418=$S$4),IF($S$4="(все)",COUNTIF($U$4:U418,U418),COUNTIFS($U$4:U418,U418,$B$4:B418,B418))=1),MAX($W$3:W417)+1,"")</f>
        <v/>
      </c>
      <c r="X418" s="38" t="str">
        <f t="shared" si="57"/>
        <v/>
      </c>
      <c r="Y418" s="38" t="str">
        <f>IF(AND(A418="Аппарат",C418&lt;&gt;"",OR($S$5="(все)",B418=$S$5)),MAX($Y$3:Y417)+1,"")</f>
        <v/>
      </c>
      <c r="Z418" s="38" t="str">
        <f t="shared" si="58"/>
        <v/>
      </c>
      <c r="AA418" s="38" t="str">
        <f>IF(AND(A418="Модуль",C418&lt;&gt;"",OR($S$6="(все)",B418=$S$6)),MAX($AA$3:AA417)+1,"")</f>
        <v/>
      </c>
      <c r="AB418" s="38" t="str">
        <f t="shared" si="59"/>
        <v/>
      </c>
      <c r="AC418" s="38" t="str">
        <f>IF(OR(B418="",COUNTIF($B$4:B418,B418)&gt;1),"",MAX($AC$3:AC417)+1)</f>
        <v/>
      </c>
      <c r="AD418" s="38" t="str">
        <f t="shared" si="60"/>
        <v/>
      </c>
      <c r="AE418" s="38" t="str">
        <f t="shared" si="61"/>
        <v/>
      </c>
      <c r="AF418" s="38" t="str">
        <f t="shared" si="62"/>
        <v/>
      </c>
    </row>
    <row r="419" spans="1:32" x14ac:dyDescent="0.3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38" t="str">
        <f>IF(OR(A419="Автомат",A419="Дифавтомат"),IF(W419="","",COUNTIFS(Однолинейка!$H$3:$H$3000,U419,Однолинейка!$A$3:$A$3000,Щит_спец)),IF(A419="Аппарат",IF(C419="","",COUNTIFS(Однолинейка!$I$3:$I$3000,C419,Однолинейка!$A$3:$A$3000,Щит_спец)+COUNTIFS(Однолинейка!$J$3:$J$3000,C419,Однолинейка!$A$3:$A$3000,Щит_спец)+COUNTIFS(Однолинейка!$K$3:$K$3000,C419,Однолинейка!$A$3:$A$3000,Щит_спец)),IF(A419="Модуль",IF(C419="","",COUNTIFS(Однолинейка!$AW$3:$AW$3000,"?*",Однолинейка!$AI$3:$AI$3000,C419,Однолинейка!$A$3:$A$3000,Щит_спец)),IF(A419="Клемма",IF(C419="","",IF(C419=$S$7,SUMIFS(Однолинейка!$BW$3:$BW$3000,Однолинейка!$A$3:$A$3000,Щит_спец),IF(C419=$S$8,SUMIFS(Однолинейка!$BX$3:$BX$3000,Однолинейка!$A$3:$A$3000,Щит_спец),""))),""))))</f>
        <v/>
      </c>
      <c r="O419" s="74"/>
      <c r="P419" s="38" t="str">
        <f t="shared" si="54"/>
        <v/>
      </c>
      <c r="U419" s="38" t="str">
        <f t="shared" si="55"/>
        <v/>
      </c>
      <c r="V419" s="38" t="str">
        <f t="shared" si="56"/>
        <v/>
      </c>
      <c r="W419" s="38" t="str">
        <f>IF(AND(U419&lt;&gt;"",OR($S$4="(все)",B419=$S$4),IF($S$4="(все)",COUNTIF($U$4:U419,U419),COUNTIFS($U$4:U419,U419,$B$4:B419,B419))=1),MAX($W$3:W418)+1,"")</f>
        <v/>
      </c>
      <c r="X419" s="38" t="str">
        <f t="shared" si="57"/>
        <v/>
      </c>
      <c r="Y419" s="38" t="str">
        <f>IF(AND(A419="Аппарат",C419&lt;&gt;"",OR($S$5="(все)",B419=$S$5)),MAX($Y$3:Y418)+1,"")</f>
        <v/>
      </c>
      <c r="Z419" s="38" t="str">
        <f t="shared" si="58"/>
        <v/>
      </c>
      <c r="AA419" s="38" t="str">
        <f>IF(AND(A419="Модуль",C419&lt;&gt;"",OR($S$6="(все)",B419=$S$6)),MAX($AA$3:AA418)+1,"")</f>
        <v/>
      </c>
      <c r="AB419" s="38" t="str">
        <f t="shared" si="59"/>
        <v/>
      </c>
      <c r="AC419" s="38" t="str">
        <f>IF(OR(B419="",COUNTIF($B$4:B419,B419)&gt;1),"",MAX($AC$3:AC418)+1)</f>
        <v/>
      </c>
      <c r="AD419" s="38" t="str">
        <f t="shared" si="60"/>
        <v/>
      </c>
      <c r="AE419" s="38" t="str">
        <f t="shared" si="61"/>
        <v/>
      </c>
      <c r="AF419" s="38" t="str">
        <f t="shared" si="62"/>
        <v/>
      </c>
    </row>
    <row r="420" spans="1:32" x14ac:dyDescent="0.3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38" t="str">
        <f>IF(OR(A420="Автомат",A420="Дифавтомат"),IF(W420="","",COUNTIFS(Однолинейка!$H$3:$H$3000,U420,Однолинейка!$A$3:$A$3000,Щит_спец)),IF(A420="Аппарат",IF(C420="","",COUNTIFS(Однолинейка!$I$3:$I$3000,C420,Однолинейка!$A$3:$A$3000,Щит_спец)+COUNTIFS(Однолинейка!$J$3:$J$3000,C420,Однолинейка!$A$3:$A$3000,Щит_спец)+COUNTIFS(Однолинейка!$K$3:$K$3000,C420,Однолинейка!$A$3:$A$3000,Щит_спец)),IF(A420="Модуль",IF(C420="","",COUNTIFS(Однолинейка!$AW$3:$AW$3000,"?*",Однолинейка!$AI$3:$AI$3000,C420,Однолинейка!$A$3:$A$3000,Щит_спец)),IF(A420="Клемма",IF(C420="","",IF(C420=$S$7,SUMIFS(Однолинейка!$BW$3:$BW$3000,Однолинейка!$A$3:$A$3000,Щит_спец),IF(C420=$S$8,SUMIFS(Однолинейка!$BX$3:$BX$3000,Однолинейка!$A$3:$A$3000,Щит_спец),""))),""))))</f>
        <v/>
      </c>
      <c r="O420" s="74"/>
      <c r="P420" s="38" t="str">
        <f t="shared" si="54"/>
        <v/>
      </c>
      <c r="U420" s="38" t="str">
        <f t="shared" si="55"/>
        <v/>
      </c>
      <c r="V420" s="38" t="str">
        <f t="shared" si="56"/>
        <v/>
      </c>
      <c r="W420" s="38" t="str">
        <f>IF(AND(U420&lt;&gt;"",OR($S$4="(все)",B420=$S$4),IF($S$4="(все)",COUNTIF($U$4:U420,U420),COUNTIFS($U$4:U420,U420,$B$4:B420,B420))=1),MAX($W$3:W419)+1,"")</f>
        <v/>
      </c>
      <c r="X420" s="38" t="str">
        <f t="shared" si="57"/>
        <v/>
      </c>
      <c r="Y420" s="38" t="str">
        <f>IF(AND(A420="Аппарат",C420&lt;&gt;"",OR($S$5="(все)",B420=$S$5)),MAX($Y$3:Y419)+1,"")</f>
        <v/>
      </c>
      <c r="Z420" s="38" t="str">
        <f t="shared" si="58"/>
        <v/>
      </c>
      <c r="AA420" s="38" t="str">
        <f>IF(AND(A420="Модуль",C420&lt;&gt;"",OR($S$6="(все)",B420=$S$6)),MAX($AA$3:AA419)+1,"")</f>
        <v/>
      </c>
      <c r="AB420" s="38" t="str">
        <f t="shared" si="59"/>
        <v/>
      </c>
      <c r="AC420" s="38" t="str">
        <f>IF(OR(B420="",COUNTIF($B$4:B420,B420)&gt;1),"",MAX($AC$3:AC419)+1)</f>
        <v/>
      </c>
      <c r="AD420" s="38" t="str">
        <f t="shared" si="60"/>
        <v/>
      </c>
      <c r="AE420" s="38" t="str">
        <f t="shared" si="61"/>
        <v/>
      </c>
      <c r="AF420" s="38" t="str">
        <f t="shared" si="62"/>
        <v/>
      </c>
    </row>
    <row r="421" spans="1:32" x14ac:dyDescent="0.3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38" t="str">
        <f>IF(OR(A421="Автомат",A421="Дифавтомат"),IF(W421="","",COUNTIFS(Однолинейка!$H$3:$H$3000,U421,Однолинейка!$A$3:$A$3000,Щит_спец)),IF(A421="Аппарат",IF(C421="","",COUNTIFS(Однолинейка!$I$3:$I$3000,C421,Однолинейка!$A$3:$A$3000,Щит_спец)+COUNTIFS(Однолинейка!$J$3:$J$3000,C421,Однолинейка!$A$3:$A$3000,Щит_спец)+COUNTIFS(Однолинейка!$K$3:$K$3000,C421,Однолинейка!$A$3:$A$3000,Щит_спец)),IF(A421="Модуль",IF(C421="","",COUNTIFS(Однолинейка!$AW$3:$AW$3000,"?*",Однолинейка!$AI$3:$AI$3000,C421,Однолинейка!$A$3:$A$3000,Щит_спец)),IF(A421="Клемма",IF(C421="","",IF(C421=$S$7,SUMIFS(Однолинейка!$BW$3:$BW$3000,Однолинейка!$A$3:$A$3000,Щит_спец),IF(C421=$S$8,SUMIFS(Однолинейка!$BX$3:$BX$3000,Однолинейка!$A$3:$A$3000,Щит_спец),""))),""))))</f>
        <v/>
      </c>
      <c r="O421" s="74"/>
      <c r="P421" s="38" t="str">
        <f t="shared" si="54"/>
        <v/>
      </c>
      <c r="U421" s="38" t="str">
        <f t="shared" si="55"/>
        <v/>
      </c>
      <c r="V421" s="38" t="str">
        <f t="shared" si="56"/>
        <v/>
      </c>
      <c r="W421" s="38" t="str">
        <f>IF(AND(U421&lt;&gt;"",OR($S$4="(все)",B421=$S$4),IF($S$4="(все)",COUNTIF($U$4:U421,U421),COUNTIFS($U$4:U421,U421,$B$4:B421,B421))=1),MAX($W$3:W420)+1,"")</f>
        <v/>
      </c>
      <c r="X421" s="38" t="str">
        <f t="shared" si="57"/>
        <v/>
      </c>
      <c r="Y421" s="38" t="str">
        <f>IF(AND(A421="Аппарат",C421&lt;&gt;"",OR($S$5="(все)",B421=$S$5)),MAX($Y$3:Y420)+1,"")</f>
        <v/>
      </c>
      <c r="Z421" s="38" t="str">
        <f t="shared" si="58"/>
        <v/>
      </c>
      <c r="AA421" s="38" t="str">
        <f>IF(AND(A421="Модуль",C421&lt;&gt;"",OR($S$6="(все)",B421=$S$6)),MAX($AA$3:AA420)+1,"")</f>
        <v/>
      </c>
      <c r="AB421" s="38" t="str">
        <f t="shared" si="59"/>
        <v/>
      </c>
      <c r="AC421" s="38" t="str">
        <f>IF(OR(B421="",COUNTIF($B$4:B421,B421)&gt;1),"",MAX($AC$3:AC420)+1)</f>
        <v/>
      </c>
      <c r="AD421" s="38" t="str">
        <f t="shared" si="60"/>
        <v/>
      </c>
      <c r="AE421" s="38" t="str">
        <f t="shared" si="61"/>
        <v/>
      </c>
      <c r="AF421" s="38" t="str">
        <f t="shared" si="62"/>
        <v/>
      </c>
    </row>
    <row r="422" spans="1:32" x14ac:dyDescent="0.3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38" t="str">
        <f>IF(OR(A422="Автомат",A422="Дифавтомат"),IF(W422="","",COUNTIFS(Однолинейка!$H$3:$H$3000,U422,Однолинейка!$A$3:$A$3000,Щит_спец)),IF(A422="Аппарат",IF(C422="","",COUNTIFS(Однолинейка!$I$3:$I$3000,C422,Однолинейка!$A$3:$A$3000,Щит_спец)+COUNTIFS(Однолинейка!$J$3:$J$3000,C422,Однолинейка!$A$3:$A$3000,Щит_спец)+COUNTIFS(Однолинейка!$K$3:$K$3000,C422,Однолинейка!$A$3:$A$3000,Щит_спец)),IF(A422="Модуль",IF(C422="","",COUNTIFS(Однолинейка!$AW$3:$AW$3000,"?*",Однолинейка!$AI$3:$AI$3000,C422,Однолинейка!$A$3:$A$3000,Щит_спец)),IF(A422="Клемма",IF(C422="","",IF(C422=$S$7,SUMIFS(Однолинейка!$BW$3:$BW$3000,Однолинейка!$A$3:$A$3000,Щит_спец),IF(C422=$S$8,SUMIFS(Однолинейка!$BX$3:$BX$3000,Однолинейка!$A$3:$A$3000,Щит_спец),""))),""))))</f>
        <v/>
      </c>
      <c r="O422" s="74"/>
      <c r="P422" s="38" t="str">
        <f t="shared" si="54"/>
        <v/>
      </c>
      <c r="U422" s="38" t="str">
        <f t="shared" si="55"/>
        <v/>
      </c>
      <c r="V422" s="38" t="str">
        <f t="shared" si="56"/>
        <v/>
      </c>
      <c r="W422" s="38" t="str">
        <f>IF(AND(U422&lt;&gt;"",OR($S$4="(все)",B422=$S$4),IF($S$4="(все)",COUNTIF($U$4:U422,U422),COUNTIFS($U$4:U422,U422,$B$4:B422,B422))=1),MAX($W$3:W421)+1,"")</f>
        <v/>
      </c>
      <c r="X422" s="38" t="str">
        <f t="shared" si="57"/>
        <v/>
      </c>
      <c r="Y422" s="38" t="str">
        <f>IF(AND(A422="Аппарат",C422&lt;&gt;"",OR($S$5="(все)",B422=$S$5)),MAX($Y$3:Y421)+1,"")</f>
        <v/>
      </c>
      <c r="Z422" s="38" t="str">
        <f t="shared" si="58"/>
        <v/>
      </c>
      <c r="AA422" s="38" t="str">
        <f>IF(AND(A422="Модуль",C422&lt;&gt;"",OR($S$6="(все)",B422=$S$6)),MAX($AA$3:AA421)+1,"")</f>
        <v/>
      </c>
      <c r="AB422" s="38" t="str">
        <f t="shared" si="59"/>
        <v/>
      </c>
      <c r="AC422" s="38" t="str">
        <f>IF(OR(B422="",COUNTIF($B$4:B422,B422)&gt;1),"",MAX($AC$3:AC421)+1)</f>
        <v/>
      </c>
      <c r="AD422" s="38" t="str">
        <f t="shared" si="60"/>
        <v/>
      </c>
      <c r="AE422" s="38" t="str">
        <f t="shared" si="61"/>
        <v/>
      </c>
      <c r="AF422" s="38" t="str">
        <f t="shared" si="62"/>
        <v/>
      </c>
    </row>
    <row r="423" spans="1:32" x14ac:dyDescent="0.3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38" t="str">
        <f>IF(OR(A423="Автомат",A423="Дифавтомат"),IF(W423="","",COUNTIFS(Однолинейка!$H$3:$H$3000,U423,Однолинейка!$A$3:$A$3000,Щит_спец)),IF(A423="Аппарат",IF(C423="","",COUNTIFS(Однолинейка!$I$3:$I$3000,C423,Однолинейка!$A$3:$A$3000,Щит_спец)+COUNTIFS(Однолинейка!$J$3:$J$3000,C423,Однолинейка!$A$3:$A$3000,Щит_спец)+COUNTIFS(Однолинейка!$K$3:$K$3000,C423,Однолинейка!$A$3:$A$3000,Щит_спец)),IF(A423="Модуль",IF(C423="","",COUNTIFS(Однолинейка!$AW$3:$AW$3000,"?*",Однолинейка!$AI$3:$AI$3000,C423,Однолинейка!$A$3:$A$3000,Щит_спец)),IF(A423="Клемма",IF(C423="","",IF(C423=$S$7,SUMIFS(Однолинейка!$BW$3:$BW$3000,Однолинейка!$A$3:$A$3000,Щит_спец),IF(C423=$S$8,SUMIFS(Однолинейка!$BX$3:$BX$3000,Однолинейка!$A$3:$A$3000,Щит_спец),""))),""))))</f>
        <v/>
      </c>
      <c r="O423" s="74"/>
      <c r="P423" s="38" t="str">
        <f t="shared" si="54"/>
        <v/>
      </c>
      <c r="U423" s="38" t="str">
        <f t="shared" si="55"/>
        <v/>
      </c>
      <c r="V423" s="38" t="str">
        <f t="shared" si="56"/>
        <v/>
      </c>
      <c r="W423" s="38" t="str">
        <f>IF(AND(U423&lt;&gt;"",OR($S$4="(все)",B423=$S$4),IF($S$4="(все)",COUNTIF($U$4:U423,U423),COUNTIFS($U$4:U423,U423,$B$4:B423,B423))=1),MAX($W$3:W422)+1,"")</f>
        <v/>
      </c>
      <c r="X423" s="38" t="str">
        <f t="shared" si="57"/>
        <v/>
      </c>
      <c r="Y423" s="38" t="str">
        <f>IF(AND(A423="Аппарат",C423&lt;&gt;"",OR($S$5="(все)",B423=$S$5)),MAX($Y$3:Y422)+1,"")</f>
        <v/>
      </c>
      <c r="Z423" s="38" t="str">
        <f t="shared" si="58"/>
        <v/>
      </c>
      <c r="AA423" s="38" t="str">
        <f>IF(AND(A423="Модуль",C423&lt;&gt;"",OR($S$6="(все)",B423=$S$6)),MAX($AA$3:AA422)+1,"")</f>
        <v/>
      </c>
      <c r="AB423" s="38" t="str">
        <f t="shared" si="59"/>
        <v/>
      </c>
      <c r="AC423" s="38" t="str">
        <f>IF(OR(B423="",COUNTIF($B$4:B423,B423)&gt;1),"",MAX($AC$3:AC422)+1)</f>
        <v/>
      </c>
      <c r="AD423" s="38" t="str">
        <f t="shared" si="60"/>
        <v/>
      </c>
      <c r="AE423" s="38" t="str">
        <f t="shared" si="61"/>
        <v/>
      </c>
      <c r="AF423" s="38" t="str">
        <f t="shared" si="62"/>
        <v/>
      </c>
    </row>
    <row r="424" spans="1:32" x14ac:dyDescent="0.3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38" t="str">
        <f>IF(OR(A424="Автомат",A424="Дифавтомат"),IF(W424="","",COUNTIFS(Однолинейка!$H$3:$H$3000,U424,Однолинейка!$A$3:$A$3000,Щит_спец)),IF(A424="Аппарат",IF(C424="","",COUNTIFS(Однолинейка!$I$3:$I$3000,C424,Однолинейка!$A$3:$A$3000,Щит_спец)+COUNTIFS(Однолинейка!$J$3:$J$3000,C424,Однолинейка!$A$3:$A$3000,Щит_спец)+COUNTIFS(Однолинейка!$K$3:$K$3000,C424,Однолинейка!$A$3:$A$3000,Щит_спец)),IF(A424="Модуль",IF(C424="","",COUNTIFS(Однолинейка!$AW$3:$AW$3000,"?*",Однолинейка!$AI$3:$AI$3000,C424,Однолинейка!$A$3:$A$3000,Щит_спец)),IF(A424="Клемма",IF(C424="","",IF(C424=$S$7,SUMIFS(Однолинейка!$BW$3:$BW$3000,Однолинейка!$A$3:$A$3000,Щит_спец),IF(C424=$S$8,SUMIFS(Однолинейка!$BX$3:$BX$3000,Однолинейка!$A$3:$A$3000,Щит_спец),""))),""))))</f>
        <v/>
      </c>
      <c r="O424" s="74"/>
      <c r="P424" s="38" t="str">
        <f t="shared" si="54"/>
        <v/>
      </c>
      <c r="U424" s="38" t="str">
        <f t="shared" si="55"/>
        <v/>
      </c>
      <c r="V424" s="38" t="str">
        <f t="shared" si="56"/>
        <v/>
      </c>
      <c r="W424" s="38" t="str">
        <f>IF(AND(U424&lt;&gt;"",OR($S$4="(все)",B424=$S$4),IF($S$4="(все)",COUNTIF($U$4:U424,U424),COUNTIFS($U$4:U424,U424,$B$4:B424,B424))=1),MAX($W$3:W423)+1,"")</f>
        <v/>
      </c>
      <c r="X424" s="38" t="str">
        <f t="shared" si="57"/>
        <v/>
      </c>
      <c r="Y424" s="38" t="str">
        <f>IF(AND(A424="Аппарат",C424&lt;&gt;"",OR($S$5="(все)",B424=$S$5)),MAX($Y$3:Y423)+1,"")</f>
        <v/>
      </c>
      <c r="Z424" s="38" t="str">
        <f t="shared" si="58"/>
        <v/>
      </c>
      <c r="AA424" s="38" t="str">
        <f>IF(AND(A424="Модуль",C424&lt;&gt;"",OR($S$6="(все)",B424=$S$6)),MAX($AA$3:AA423)+1,"")</f>
        <v/>
      </c>
      <c r="AB424" s="38" t="str">
        <f t="shared" si="59"/>
        <v/>
      </c>
      <c r="AC424" s="38" t="str">
        <f>IF(OR(B424="",COUNTIF($B$4:B424,B424)&gt;1),"",MAX($AC$3:AC423)+1)</f>
        <v/>
      </c>
      <c r="AD424" s="38" t="str">
        <f t="shared" si="60"/>
        <v/>
      </c>
      <c r="AE424" s="38" t="str">
        <f t="shared" si="61"/>
        <v/>
      </c>
      <c r="AF424" s="38" t="str">
        <f t="shared" si="62"/>
        <v/>
      </c>
    </row>
    <row r="425" spans="1:32" x14ac:dyDescent="0.3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38" t="str">
        <f>IF(OR(A425="Автомат",A425="Дифавтомат"),IF(W425="","",COUNTIFS(Однолинейка!$H$3:$H$3000,U425,Однолинейка!$A$3:$A$3000,Щит_спец)),IF(A425="Аппарат",IF(C425="","",COUNTIFS(Однолинейка!$I$3:$I$3000,C425,Однолинейка!$A$3:$A$3000,Щит_спец)+COUNTIFS(Однолинейка!$J$3:$J$3000,C425,Однолинейка!$A$3:$A$3000,Щит_спец)+COUNTIFS(Однолинейка!$K$3:$K$3000,C425,Однолинейка!$A$3:$A$3000,Щит_спец)),IF(A425="Модуль",IF(C425="","",COUNTIFS(Однолинейка!$AW$3:$AW$3000,"?*",Однолинейка!$AI$3:$AI$3000,C425,Однолинейка!$A$3:$A$3000,Щит_спец)),IF(A425="Клемма",IF(C425="","",IF(C425=$S$7,SUMIFS(Однолинейка!$BW$3:$BW$3000,Однолинейка!$A$3:$A$3000,Щит_спец),IF(C425=$S$8,SUMIFS(Однолинейка!$BX$3:$BX$3000,Однолинейка!$A$3:$A$3000,Щит_спец),""))),""))))</f>
        <v/>
      </c>
      <c r="O425" s="74"/>
      <c r="P425" s="38" t="str">
        <f t="shared" si="54"/>
        <v/>
      </c>
      <c r="U425" s="38" t="str">
        <f t="shared" si="55"/>
        <v/>
      </c>
      <c r="V425" s="38" t="str">
        <f t="shared" si="56"/>
        <v/>
      </c>
      <c r="W425" s="38" t="str">
        <f>IF(AND(U425&lt;&gt;"",OR($S$4="(все)",B425=$S$4),IF($S$4="(все)",COUNTIF($U$4:U425,U425),COUNTIFS($U$4:U425,U425,$B$4:B425,B425))=1),MAX($W$3:W424)+1,"")</f>
        <v/>
      </c>
      <c r="X425" s="38" t="str">
        <f t="shared" si="57"/>
        <v/>
      </c>
      <c r="Y425" s="38" t="str">
        <f>IF(AND(A425="Аппарат",C425&lt;&gt;"",OR($S$5="(все)",B425=$S$5)),MAX($Y$3:Y424)+1,"")</f>
        <v/>
      </c>
      <c r="Z425" s="38" t="str">
        <f t="shared" si="58"/>
        <v/>
      </c>
      <c r="AA425" s="38" t="str">
        <f>IF(AND(A425="Модуль",C425&lt;&gt;"",OR($S$6="(все)",B425=$S$6)),MAX($AA$3:AA424)+1,"")</f>
        <v/>
      </c>
      <c r="AB425" s="38" t="str">
        <f t="shared" si="59"/>
        <v/>
      </c>
      <c r="AC425" s="38" t="str">
        <f>IF(OR(B425="",COUNTIF($B$4:B425,B425)&gt;1),"",MAX($AC$3:AC424)+1)</f>
        <v/>
      </c>
      <c r="AD425" s="38" t="str">
        <f t="shared" si="60"/>
        <v/>
      </c>
      <c r="AE425" s="38" t="str">
        <f t="shared" si="61"/>
        <v/>
      </c>
      <c r="AF425" s="38" t="str">
        <f t="shared" si="62"/>
        <v/>
      </c>
    </row>
    <row r="426" spans="1:32" x14ac:dyDescent="0.3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38" t="str">
        <f>IF(OR(A426="Автомат",A426="Дифавтомат"),IF(W426="","",COUNTIFS(Однолинейка!$H$3:$H$3000,U426,Однолинейка!$A$3:$A$3000,Щит_спец)),IF(A426="Аппарат",IF(C426="","",COUNTIFS(Однолинейка!$I$3:$I$3000,C426,Однолинейка!$A$3:$A$3000,Щит_спец)+COUNTIFS(Однолинейка!$J$3:$J$3000,C426,Однолинейка!$A$3:$A$3000,Щит_спец)+COUNTIFS(Однолинейка!$K$3:$K$3000,C426,Однолинейка!$A$3:$A$3000,Щит_спец)),IF(A426="Модуль",IF(C426="","",COUNTIFS(Однолинейка!$AW$3:$AW$3000,"?*",Однолинейка!$AI$3:$AI$3000,C426,Однолинейка!$A$3:$A$3000,Щит_спец)),IF(A426="Клемма",IF(C426="","",IF(C426=$S$7,SUMIFS(Однолинейка!$BW$3:$BW$3000,Однолинейка!$A$3:$A$3000,Щит_спец),IF(C426=$S$8,SUMIFS(Однолинейка!$BX$3:$BX$3000,Однолинейка!$A$3:$A$3000,Щит_спец),""))),""))))</f>
        <v/>
      </c>
      <c r="O426" s="74"/>
      <c r="P426" s="38" t="str">
        <f t="shared" si="54"/>
        <v/>
      </c>
      <c r="U426" s="38" t="str">
        <f t="shared" si="55"/>
        <v/>
      </c>
      <c r="V426" s="38" t="str">
        <f t="shared" si="56"/>
        <v/>
      </c>
      <c r="W426" s="38" t="str">
        <f>IF(AND(U426&lt;&gt;"",OR($S$4="(все)",B426=$S$4),IF($S$4="(все)",COUNTIF($U$4:U426,U426),COUNTIFS($U$4:U426,U426,$B$4:B426,B426))=1),MAX($W$3:W425)+1,"")</f>
        <v/>
      </c>
      <c r="X426" s="38" t="str">
        <f t="shared" si="57"/>
        <v/>
      </c>
      <c r="Y426" s="38" t="str">
        <f>IF(AND(A426="Аппарат",C426&lt;&gt;"",OR($S$5="(все)",B426=$S$5)),MAX($Y$3:Y425)+1,"")</f>
        <v/>
      </c>
      <c r="Z426" s="38" t="str">
        <f t="shared" si="58"/>
        <v/>
      </c>
      <c r="AA426" s="38" t="str">
        <f>IF(AND(A426="Модуль",C426&lt;&gt;"",OR($S$6="(все)",B426=$S$6)),MAX($AA$3:AA425)+1,"")</f>
        <v/>
      </c>
      <c r="AB426" s="38" t="str">
        <f t="shared" si="59"/>
        <v/>
      </c>
      <c r="AC426" s="38" t="str">
        <f>IF(OR(B426="",COUNTIF($B$4:B426,B426)&gt;1),"",MAX($AC$3:AC425)+1)</f>
        <v/>
      </c>
      <c r="AD426" s="38" t="str">
        <f t="shared" si="60"/>
        <v/>
      </c>
      <c r="AE426" s="38" t="str">
        <f t="shared" si="61"/>
        <v/>
      </c>
      <c r="AF426" s="38" t="str">
        <f t="shared" si="62"/>
        <v/>
      </c>
    </row>
    <row r="427" spans="1:32" x14ac:dyDescent="0.3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38" t="str">
        <f>IF(OR(A427="Автомат",A427="Дифавтомат"),IF(W427="","",COUNTIFS(Однолинейка!$H$3:$H$3000,U427,Однолинейка!$A$3:$A$3000,Щит_спец)),IF(A427="Аппарат",IF(C427="","",COUNTIFS(Однолинейка!$I$3:$I$3000,C427,Однолинейка!$A$3:$A$3000,Щит_спец)+COUNTIFS(Однолинейка!$J$3:$J$3000,C427,Однолинейка!$A$3:$A$3000,Щит_спец)+COUNTIFS(Однолинейка!$K$3:$K$3000,C427,Однолинейка!$A$3:$A$3000,Щит_спец)),IF(A427="Модуль",IF(C427="","",COUNTIFS(Однолинейка!$AW$3:$AW$3000,"?*",Однолинейка!$AI$3:$AI$3000,C427,Однолинейка!$A$3:$A$3000,Щит_спец)),IF(A427="Клемма",IF(C427="","",IF(C427=$S$7,SUMIFS(Однолинейка!$BW$3:$BW$3000,Однолинейка!$A$3:$A$3000,Щит_спец),IF(C427=$S$8,SUMIFS(Однолинейка!$BX$3:$BX$3000,Однолинейка!$A$3:$A$3000,Щит_спец),""))),""))))</f>
        <v/>
      </c>
      <c r="O427" s="74"/>
      <c r="P427" s="38" t="str">
        <f t="shared" si="54"/>
        <v/>
      </c>
      <c r="U427" s="38" t="str">
        <f t="shared" si="55"/>
        <v/>
      </c>
      <c r="V427" s="38" t="str">
        <f t="shared" si="56"/>
        <v/>
      </c>
      <c r="W427" s="38" t="str">
        <f>IF(AND(U427&lt;&gt;"",OR($S$4="(все)",B427=$S$4),IF($S$4="(все)",COUNTIF($U$4:U427,U427),COUNTIFS($U$4:U427,U427,$B$4:B427,B427))=1),MAX($W$3:W426)+1,"")</f>
        <v/>
      </c>
      <c r="X427" s="38" t="str">
        <f t="shared" si="57"/>
        <v/>
      </c>
      <c r="Y427" s="38" t="str">
        <f>IF(AND(A427="Аппарат",C427&lt;&gt;"",OR($S$5="(все)",B427=$S$5)),MAX($Y$3:Y426)+1,"")</f>
        <v/>
      </c>
      <c r="Z427" s="38" t="str">
        <f t="shared" si="58"/>
        <v/>
      </c>
      <c r="AA427" s="38" t="str">
        <f>IF(AND(A427="Модуль",C427&lt;&gt;"",OR($S$6="(все)",B427=$S$6)),MAX($AA$3:AA426)+1,"")</f>
        <v/>
      </c>
      <c r="AB427" s="38" t="str">
        <f t="shared" si="59"/>
        <v/>
      </c>
      <c r="AC427" s="38" t="str">
        <f>IF(OR(B427="",COUNTIF($B$4:B427,B427)&gt;1),"",MAX($AC$3:AC426)+1)</f>
        <v/>
      </c>
      <c r="AD427" s="38" t="str">
        <f t="shared" si="60"/>
        <v/>
      </c>
      <c r="AE427" s="38" t="str">
        <f t="shared" si="61"/>
        <v/>
      </c>
      <c r="AF427" s="38" t="str">
        <f t="shared" si="62"/>
        <v/>
      </c>
    </row>
    <row r="428" spans="1:32" x14ac:dyDescent="0.3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38" t="str">
        <f>IF(OR(A428="Автомат",A428="Дифавтомат"),IF(W428="","",COUNTIFS(Однолинейка!$H$3:$H$3000,U428,Однолинейка!$A$3:$A$3000,Щит_спец)),IF(A428="Аппарат",IF(C428="","",COUNTIFS(Однолинейка!$I$3:$I$3000,C428,Однолинейка!$A$3:$A$3000,Щит_спец)+COUNTIFS(Однолинейка!$J$3:$J$3000,C428,Однолинейка!$A$3:$A$3000,Щит_спец)+COUNTIFS(Однолинейка!$K$3:$K$3000,C428,Однолинейка!$A$3:$A$3000,Щит_спец)),IF(A428="Модуль",IF(C428="","",COUNTIFS(Однолинейка!$AW$3:$AW$3000,"?*",Однолинейка!$AI$3:$AI$3000,C428,Однолинейка!$A$3:$A$3000,Щит_спец)),IF(A428="Клемма",IF(C428="","",IF(C428=$S$7,SUMIFS(Однолинейка!$BW$3:$BW$3000,Однолинейка!$A$3:$A$3000,Щит_спец),IF(C428=$S$8,SUMIFS(Однолинейка!$BX$3:$BX$3000,Однолинейка!$A$3:$A$3000,Щит_спец),""))),""))))</f>
        <v/>
      </c>
      <c r="O428" s="74"/>
      <c r="P428" s="38" t="str">
        <f t="shared" si="54"/>
        <v/>
      </c>
      <c r="U428" s="38" t="str">
        <f t="shared" si="55"/>
        <v/>
      </c>
      <c r="V428" s="38" t="str">
        <f t="shared" si="56"/>
        <v/>
      </c>
      <c r="W428" s="38" t="str">
        <f>IF(AND(U428&lt;&gt;"",OR($S$4="(все)",B428=$S$4),IF($S$4="(все)",COUNTIF($U$4:U428,U428),COUNTIFS($U$4:U428,U428,$B$4:B428,B428))=1),MAX($W$3:W427)+1,"")</f>
        <v/>
      </c>
      <c r="X428" s="38" t="str">
        <f t="shared" si="57"/>
        <v/>
      </c>
      <c r="Y428" s="38" t="str">
        <f>IF(AND(A428="Аппарат",C428&lt;&gt;"",OR($S$5="(все)",B428=$S$5)),MAX($Y$3:Y427)+1,"")</f>
        <v/>
      </c>
      <c r="Z428" s="38" t="str">
        <f t="shared" si="58"/>
        <v/>
      </c>
      <c r="AA428" s="38" t="str">
        <f>IF(AND(A428="Модуль",C428&lt;&gt;"",OR($S$6="(все)",B428=$S$6)),MAX($AA$3:AA427)+1,"")</f>
        <v/>
      </c>
      <c r="AB428" s="38" t="str">
        <f t="shared" si="59"/>
        <v/>
      </c>
      <c r="AC428" s="38" t="str">
        <f>IF(OR(B428="",COUNTIF($B$4:B428,B428)&gt;1),"",MAX($AC$3:AC427)+1)</f>
        <v/>
      </c>
      <c r="AD428" s="38" t="str">
        <f t="shared" si="60"/>
        <v/>
      </c>
      <c r="AE428" s="38" t="str">
        <f t="shared" si="61"/>
        <v/>
      </c>
      <c r="AF428" s="38" t="str">
        <f t="shared" si="62"/>
        <v/>
      </c>
    </row>
    <row r="429" spans="1:32" x14ac:dyDescent="0.3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38" t="str">
        <f>IF(OR(A429="Автомат",A429="Дифавтомат"),IF(W429="","",COUNTIFS(Однолинейка!$H$3:$H$3000,U429,Однолинейка!$A$3:$A$3000,Щит_спец)),IF(A429="Аппарат",IF(C429="","",COUNTIFS(Однолинейка!$I$3:$I$3000,C429,Однолинейка!$A$3:$A$3000,Щит_спец)+COUNTIFS(Однолинейка!$J$3:$J$3000,C429,Однолинейка!$A$3:$A$3000,Щит_спец)+COUNTIFS(Однолинейка!$K$3:$K$3000,C429,Однолинейка!$A$3:$A$3000,Щит_спец)),IF(A429="Модуль",IF(C429="","",COUNTIFS(Однолинейка!$AW$3:$AW$3000,"?*",Однолинейка!$AI$3:$AI$3000,C429,Однолинейка!$A$3:$A$3000,Щит_спец)),IF(A429="Клемма",IF(C429="","",IF(C429=$S$7,SUMIFS(Однолинейка!$BW$3:$BW$3000,Однолинейка!$A$3:$A$3000,Щит_спец),IF(C429=$S$8,SUMIFS(Однолинейка!$BX$3:$BX$3000,Однолинейка!$A$3:$A$3000,Щит_спец),""))),""))))</f>
        <v/>
      </c>
      <c r="O429" s="74"/>
      <c r="P429" s="38" t="str">
        <f t="shared" si="54"/>
        <v/>
      </c>
      <c r="U429" s="38" t="str">
        <f t="shared" si="55"/>
        <v/>
      </c>
      <c r="V429" s="38" t="str">
        <f t="shared" si="56"/>
        <v/>
      </c>
      <c r="W429" s="38" t="str">
        <f>IF(AND(U429&lt;&gt;"",OR($S$4="(все)",B429=$S$4),IF($S$4="(все)",COUNTIF($U$4:U429,U429),COUNTIFS($U$4:U429,U429,$B$4:B429,B429))=1),MAX($W$3:W428)+1,"")</f>
        <v/>
      </c>
      <c r="X429" s="38" t="str">
        <f t="shared" si="57"/>
        <v/>
      </c>
      <c r="Y429" s="38" t="str">
        <f>IF(AND(A429="Аппарат",C429&lt;&gt;"",OR($S$5="(все)",B429=$S$5)),MAX($Y$3:Y428)+1,"")</f>
        <v/>
      </c>
      <c r="Z429" s="38" t="str">
        <f t="shared" si="58"/>
        <v/>
      </c>
      <c r="AA429" s="38" t="str">
        <f>IF(AND(A429="Модуль",C429&lt;&gt;"",OR($S$6="(все)",B429=$S$6)),MAX($AA$3:AA428)+1,"")</f>
        <v/>
      </c>
      <c r="AB429" s="38" t="str">
        <f t="shared" si="59"/>
        <v/>
      </c>
      <c r="AC429" s="38" t="str">
        <f>IF(OR(B429="",COUNTIF($B$4:B429,B429)&gt;1),"",MAX($AC$3:AC428)+1)</f>
        <v/>
      </c>
      <c r="AD429" s="38" t="str">
        <f t="shared" si="60"/>
        <v/>
      </c>
      <c r="AE429" s="38" t="str">
        <f t="shared" si="61"/>
        <v/>
      </c>
      <c r="AF429" s="38" t="str">
        <f t="shared" si="62"/>
        <v/>
      </c>
    </row>
    <row r="430" spans="1:32" x14ac:dyDescent="0.3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38" t="str">
        <f>IF(OR(A430="Автомат",A430="Дифавтомат"),IF(W430="","",COUNTIFS(Однолинейка!$H$3:$H$3000,U430,Однолинейка!$A$3:$A$3000,Щит_спец)),IF(A430="Аппарат",IF(C430="","",COUNTIFS(Однолинейка!$I$3:$I$3000,C430,Однолинейка!$A$3:$A$3000,Щит_спец)+COUNTIFS(Однолинейка!$J$3:$J$3000,C430,Однолинейка!$A$3:$A$3000,Щит_спец)+COUNTIFS(Однолинейка!$K$3:$K$3000,C430,Однолинейка!$A$3:$A$3000,Щит_спец)),IF(A430="Модуль",IF(C430="","",COUNTIFS(Однолинейка!$AW$3:$AW$3000,"?*",Однолинейка!$AI$3:$AI$3000,C430,Однолинейка!$A$3:$A$3000,Щит_спец)),IF(A430="Клемма",IF(C430="","",IF(C430=$S$7,SUMIFS(Однолинейка!$BW$3:$BW$3000,Однолинейка!$A$3:$A$3000,Щит_спец),IF(C430=$S$8,SUMIFS(Однолинейка!$BX$3:$BX$3000,Однолинейка!$A$3:$A$3000,Щит_спец),""))),""))))</f>
        <v/>
      </c>
      <c r="O430" s="74"/>
      <c r="P430" s="38" t="str">
        <f t="shared" si="54"/>
        <v/>
      </c>
      <c r="U430" s="38" t="str">
        <f t="shared" si="55"/>
        <v/>
      </c>
      <c r="V430" s="38" t="str">
        <f t="shared" si="56"/>
        <v/>
      </c>
      <c r="W430" s="38" t="str">
        <f>IF(AND(U430&lt;&gt;"",OR($S$4="(все)",B430=$S$4),IF($S$4="(все)",COUNTIF($U$4:U430,U430),COUNTIFS($U$4:U430,U430,$B$4:B430,B430))=1),MAX($W$3:W429)+1,"")</f>
        <v/>
      </c>
      <c r="X430" s="38" t="str">
        <f t="shared" si="57"/>
        <v/>
      </c>
      <c r="Y430" s="38" t="str">
        <f>IF(AND(A430="Аппарат",C430&lt;&gt;"",OR($S$5="(все)",B430=$S$5)),MAX($Y$3:Y429)+1,"")</f>
        <v/>
      </c>
      <c r="Z430" s="38" t="str">
        <f t="shared" si="58"/>
        <v/>
      </c>
      <c r="AA430" s="38" t="str">
        <f>IF(AND(A430="Модуль",C430&lt;&gt;"",OR($S$6="(все)",B430=$S$6)),MAX($AA$3:AA429)+1,"")</f>
        <v/>
      </c>
      <c r="AB430" s="38" t="str">
        <f t="shared" si="59"/>
        <v/>
      </c>
      <c r="AC430" s="38" t="str">
        <f>IF(OR(B430="",COUNTIF($B$4:B430,B430)&gt;1),"",MAX($AC$3:AC429)+1)</f>
        <v/>
      </c>
      <c r="AD430" s="38" t="str">
        <f t="shared" si="60"/>
        <v/>
      </c>
      <c r="AE430" s="38" t="str">
        <f t="shared" si="61"/>
        <v/>
      </c>
      <c r="AF430" s="38" t="str">
        <f t="shared" si="62"/>
        <v/>
      </c>
    </row>
    <row r="431" spans="1:32" x14ac:dyDescent="0.3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38" t="str">
        <f>IF(OR(A431="Автомат",A431="Дифавтомат"),IF(W431="","",COUNTIFS(Однолинейка!$H$3:$H$3000,U431,Однолинейка!$A$3:$A$3000,Щит_спец)),IF(A431="Аппарат",IF(C431="","",COUNTIFS(Однолинейка!$I$3:$I$3000,C431,Однолинейка!$A$3:$A$3000,Щит_спец)+COUNTIFS(Однолинейка!$J$3:$J$3000,C431,Однолинейка!$A$3:$A$3000,Щит_спец)+COUNTIFS(Однолинейка!$K$3:$K$3000,C431,Однолинейка!$A$3:$A$3000,Щит_спец)),IF(A431="Модуль",IF(C431="","",COUNTIFS(Однолинейка!$AW$3:$AW$3000,"?*",Однолинейка!$AI$3:$AI$3000,C431,Однолинейка!$A$3:$A$3000,Щит_спец)),IF(A431="Клемма",IF(C431="","",IF(C431=$S$7,SUMIFS(Однолинейка!$BW$3:$BW$3000,Однолинейка!$A$3:$A$3000,Щит_спец),IF(C431=$S$8,SUMIFS(Однолинейка!$BX$3:$BX$3000,Однолинейка!$A$3:$A$3000,Щит_спец),""))),""))))</f>
        <v/>
      </c>
      <c r="O431" s="74"/>
      <c r="P431" s="38" t="str">
        <f t="shared" si="54"/>
        <v/>
      </c>
      <c r="U431" s="38" t="str">
        <f t="shared" si="55"/>
        <v/>
      </c>
      <c r="V431" s="38" t="str">
        <f t="shared" si="56"/>
        <v/>
      </c>
      <c r="W431" s="38" t="str">
        <f>IF(AND(U431&lt;&gt;"",OR($S$4="(все)",B431=$S$4),IF($S$4="(все)",COUNTIF($U$4:U431,U431),COUNTIFS($U$4:U431,U431,$B$4:B431,B431))=1),MAX($W$3:W430)+1,"")</f>
        <v/>
      </c>
      <c r="X431" s="38" t="str">
        <f t="shared" si="57"/>
        <v/>
      </c>
      <c r="Y431" s="38" t="str">
        <f>IF(AND(A431="Аппарат",C431&lt;&gt;"",OR($S$5="(все)",B431=$S$5)),MAX($Y$3:Y430)+1,"")</f>
        <v/>
      </c>
      <c r="Z431" s="38" t="str">
        <f t="shared" si="58"/>
        <v/>
      </c>
      <c r="AA431" s="38" t="str">
        <f>IF(AND(A431="Модуль",C431&lt;&gt;"",OR($S$6="(все)",B431=$S$6)),MAX($AA$3:AA430)+1,"")</f>
        <v/>
      </c>
      <c r="AB431" s="38" t="str">
        <f t="shared" si="59"/>
        <v/>
      </c>
      <c r="AC431" s="38" t="str">
        <f>IF(OR(B431="",COUNTIF($B$4:B431,B431)&gt;1),"",MAX($AC$3:AC430)+1)</f>
        <v/>
      </c>
      <c r="AD431" s="38" t="str">
        <f t="shared" si="60"/>
        <v/>
      </c>
      <c r="AE431" s="38" t="str">
        <f t="shared" si="61"/>
        <v/>
      </c>
      <c r="AF431" s="38" t="str">
        <f t="shared" si="62"/>
        <v/>
      </c>
    </row>
    <row r="432" spans="1:32" x14ac:dyDescent="0.3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38" t="str">
        <f>IF(OR(A432="Автомат",A432="Дифавтомат"),IF(W432="","",COUNTIFS(Однолинейка!$H$3:$H$3000,U432,Однолинейка!$A$3:$A$3000,Щит_спец)),IF(A432="Аппарат",IF(C432="","",COUNTIFS(Однолинейка!$I$3:$I$3000,C432,Однолинейка!$A$3:$A$3000,Щит_спец)+COUNTIFS(Однолинейка!$J$3:$J$3000,C432,Однолинейка!$A$3:$A$3000,Щит_спец)+COUNTIFS(Однолинейка!$K$3:$K$3000,C432,Однолинейка!$A$3:$A$3000,Щит_спец)),IF(A432="Модуль",IF(C432="","",COUNTIFS(Однолинейка!$AW$3:$AW$3000,"?*",Однолинейка!$AI$3:$AI$3000,C432,Однолинейка!$A$3:$A$3000,Щит_спец)),IF(A432="Клемма",IF(C432="","",IF(C432=$S$7,SUMIFS(Однолинейка!$BW$3:$BW$3000,Однолинейка!$A$3:$A$3000,Щит_спец),IF(C432=$S$8,SUMIFS(Однолинейка!$BX$3:$BX$3000,Однолинейка!$A$3:$A$3000,Щит_спец),""))),""))))</f>
        <v/>
      </c>
      <c r="O432" s="74"/>
      <c r="P432" s="38" t="str">
        <f t="shared" si="54"/>
        <v/>
      </c>
      <c r="U432" s="38" t="str">
        <f t="shared" si="55"/>
        <v/>
      </c>
      <c r="V432" s="38" t="str">
        <f t="shared" si="56"/>
        <v/>
      </c>
      <c r="W432" s="38" t="str">
        <f>IF(AND(U432&lt;&gt;"",OR($S$4="(все)",B432=$S$4),IF($S$4="(все)",COUNTIF($U$4:U432,U432),COUNTIFS($U$4:U432,U432,$B$4:B432,B432))=1),MAX($W$3:W431)+1,"")</f>
        <v/>
      </c>
      <c r="X432" s="38" t="str">
        <f t="shared" si="57"/>
        <v/>
      </c>
      <c r="Y432" s="38" t="str">
        <f>IF(AND(A432="Аппарат",C432&lt;&gt;"",OR($S$5="(все)",B432=$S$5)),MAX($Y$3:Y431)+1,"")</f>
        <v/>
      </c>
      <c r="Z432" s="38" t="str">
        <f t="shared" si="58"/>
        <v/>
      </c>
      <c r="AA432" s="38" t="str">
        <f>IF(AND(A432="Модуль",C432&lt;&gt;"",OR($S$6="(все)",B432=$S$6)),MAX($AA$3:AA431)+1,"")</f>
        <v/>
      </c>
      <c r="AB432" s="38" t="str">
        <f t="shared" si="59"/>
        <v/>
      </c>
      <c r="AC432" s="38" t="str">
        <f>IF(OR(B432="",COUNTIF($B$4:B432,B432)&gt;1),"",MAX($AC$3:AC431)+1)</f>
        <v/>
      </c>
      <c r="AD432" s="38" t="str">
        <f t="shared" si="60"/>
        <v/>
      </c>
      <c r="AE432" s="38" t="str">
        <f t="shared" si="61"/>
        <v/>
      </c>
      <c r="AF432" s="38" t="str">
        <f t="shared" si="62"/>
        <v/>
      </c>
    </row>
    <row r="433" spans="1:32" x14ac:dyDescent="0.3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38" t="str">
        <f>IF(OR(A433="Автомат",A433="Дифавтомат"),IF(W433="","",COUNTIFS(Однолинейка!$H$3:$H$3000,U433,Однолинейка!$A$3:$A$3000,Щит_спец)),IF(A433="Аппарат",IF(C433="","",COUNTIFS(Однолинейка!$I$3:$I$3000,C433,Однолинейка!$A$3:$A$3000,Щит_спец)+COUNTIFS(Однолинейка!$J$3:$J$3000,C433,Однолинейка!$A$3:$A$3000,Щит_спец)+COUNTIFS(Однолинейка!$K$3:$K$3000,C433,Однолинейка!$A$3:$A$3000,Щит_спец)),IF(A433="Модуль",IF(C433="","",COUNTIFS(Однолинейка!$AW$3:$AW$3000,"?*",Однолинейка!$AI$3:$AI$3000,C433,Однолинейка!$A$3:$A$3000,Щит_спец)),IF(A433="Клемма",IF(C433="","",IF(C433=$S$7,SUMIFS(Однолинейка!$BW$3:$BW$3000,Однолинейка!$A$3:$A$3000,Щит_спец),IF(C433=$S$8,SUMIFS(Однолинейка!$BX$3:$BX$3000,Однолинейка!$A$3:$A$3000,Щит_спец),""))),""))))</f>
        <v/>
      </c>
      <c r="O433" s="74"/>
      <c r="P433" s="38" t="str">
        <f t="shared" si="54"/>
        <v/>
      </c>
      <c r="U433" s="38" t="str">
        <f t="shared" si="55"/>
        <v/>
      </c>
      <c r="V433" s="38" t="str">
        <f t="shared" si="56"/>
        <v/>
      </c>
      <c r="W433" s="38" t="str">
        <f>IF(AND(U433&lt;&gt;"",OR($S$4="(все)",B433=$S$4),IF($S$4="(все)",COUNTIF($U$4:U433,U433),COUNTIFS($U$4:U433,U433,$B$4:B433,B433))=1),MAX($W$3:W432)+1,"")</f>
        <v/>
      </c>
      <c r="X433" s="38" t="str">
        <f t="shared" si="57"/>
        <v/>
      </c>
      <c r="Y433" s="38" t="str">
        <f>IF(AND(A433="Аппарат",C433&lt;&gt;"",OR($S$5="(все)",B433=$S$5)),MAX($Y$3:Y432)+1,"")</f>
        <v/>
      </c>
      <c r="Z433" s="38" t="str">
        <f t="shared" si="58"/>
        <v/>
      </c>
      <c r="AA433" s="38" t="str">
        <f>IF(AND(A433="Модуль",C433&lt;&gt;"",OR($S$6="(все)",B433=$S$6)),MAX($AA$3:AA432)+1,"")</f>
        <v/>
      </c>
      <c r="AB433" s="38" t="str">
        <f t="shared" si="59"/>
        <v/>
      </c>
      <c r="AC433" s="38" t="str">
        <f>IF(OR(B433="",COUNTIF($B$4:B433,B433)&gt;1),"",MAX($AC$3:AC432)+1)</f>
        <v/>
      </c>
      <c r="AD433" s="38" t="str">
        <f t="shared" si="60"/>
        <v/>
      </c>
      <c r="AE433" s="38" t="str">
        <f t="shared" si="61"/>
        <v/>
      </c>
      <c r="AF433" s="38" t="str">
        <f t="shared" si="62"/>
        <v/>
      </c>
    </row>
    <row r="434" spans="1:32" x14ac:dyDescent="0.3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38" t="str">
        <f>IF(OR(A434="Автомат",A434="Дифавтомат"),IF(W434="","",COUNTIFS(Однолинейка!$H$3:$H$3000,U434,Однолинейка!$A$3:$A$3000,Щит_спец)),IF(A434="Аппарат",IF(C434="","",COUNTIFS(Однолинейка!$I$3:$I$3000,C434,Однолинейка!$A$3:$A$3000,Щит_спец)+COUNTIFS(Однолинейка!$J$3:$J$3000,C434,Однолинейка!$A$3:$A$3000,Щит_спец)+COUNTIFS(Однолинейка!$K$3:$K$3000,C434,Однолинейка!$A$3:$A$3000,Щит_спец)),IF(A434="Модуль",IF(C434="","",COUNTIFS(Однолинейка!$AW$3:$AW$3000,"?*",Однолинейка!$AI$3:$AI$3000,C434,Однолинейка!$A$3:$A$3000,Щит_спец)),IF(A434="Клемма",IF(C434="","",IF(C434=$S$7,SUMIFS(Однолинейка!$BW$3:$BW$3000,Однолинейка!$A$3:$A$3000,Щит_спец),IF(C434=$S$8,SUMIFS(Однолинейка!$BX$3:$BX$3000,Однолинейка!$A$3:$A$3000,Щит_спец),""))),""))))</f>
        <v/>
      </c>
      <c r="O434" s="74"/>
      <c r="P434" s="38" t="str">
        <f t="shared" si="54"/>
        <v/>
      </c>
      <c r="U434" s="38" t="str">
        <f t="shared" si="55"/>
        <v/>
      </c>
      <c r="V434" s="38" t="str">
        <f t="shared" si="56"/>
        <v/>
      </c>
      <c r="W434" s="38" t="str">
        <f>IF(AND(U434&lt;&gt;"",OR($S$4="(все)",B434=$S$4),IF($S$4="(все)",COUNTIF($U$4:U434,U434),COUNTIFS($U$4:U434,U434,$B$4:B434,B434))=1),MAX($W$3:W433)+1,"")</f>
        <v/>
      </c>
      <c r="X434" s="38" t="str">
        <f t="shared" si="57"/>
        <v/>
      </c>
      <c r="Y434" s="38" t="str">
        <f>IF(AND(A434="Аппарат",C434&lt;&gt;"",OR($S$5="(все)",B434=$S$5)),MAX($Y$3:Y433)+1,"")</f>
        <v/>
      </c>
      <c r="Z434" s="38" t="str">
        <f t="shared" si="58"/>
        <v/>
      </c>
      <c r="AA434" s="38" t="str">
        <f>IF(AND(A434="Модуль",C434&lt;&gt;"",OR($S$6="(все)",B434=$S$6)),MAX($AA$3:AA433)+1,"")</f>
        <v/>
      </c>
      <c r="AB434" s="38" t="str">
        <f t="shared" si="59"/>
        <v/>
      </c>
      <c r="AC434" s="38" t="str">
        <f>IF(OR(B434="",COUNTIF($B$4:B434,B434)&gt;1),"",MAX($AC$3:AC433)+1)</f>
        <v/>
      </c>
      <c r="AD434" s="38" t="str">
        <f t="shared" si="60"/>
        <v/>
      </c>
      <c r="AE434" s="38" t="str">
        <f t="shared" si="61"/>
        <v/>
      </c>
      <c r="AF434" s="38" t="str">
        <f t="shared" si="62"/>
        <v/>
      </c>
    </row>
    <row r="435" spans="1:32" x14ac:dyDescent="0.3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38" t="str">
        <f>IF(OR(A435="Автомат",A435="Дифавтомат"),IF(W435="","",COUNTIFS(Однолинейка!$H$3:$H$3000,U435,Однолинейка!$A$3:$A$3000,Щит_спец)),IF(A435="Аппарат",IF(C435="","",COUNTIFS(Однолинейка!$I$3:$I$3000,C435,Однолинейка!$A$3:$A$3000,Щит_спец)+COUNTIFS(Однолинейка!$J$3:$J$3000,C435,Однолинейка!$A$3:$A$3000,Щит_спец)+COUNTIFS(Однолинейка!$K$3:$K$3000,C435,Однолинейка!$A$3:$A$3000,Щит_спец)),IF(A435="Модуль",IF(C435="","",COUNTIFS(Однолинейка!$AW$3:$AW$3000,"?*",Однолинейка!$AI$3:$AI$3000,C435,Однолинейка!$A$3:$A$3000,Щит_спец)),IF(A435="Клемма",IF(C435="","",IF(C435=$S$7,SUMIFS(Однолинейка!$BW$3:$BW$3000,Однолинейка!$A$3:$A$3000,Щит_спец),IF(C435=$S$8,SUMIFS(Однолинейка!$BX$3:$BX$3000,Однолинейка!$A$3:$A$3000,Щит_спец),""))),""))))</f>
        <v/>
      </c>
      <c r="O435" s="74"/>
      <c r="P435" s="38" t="str">
        <f t="shared" si="54"/>
        <v/>
      </c>
      <c r="U435" s="38" t="str">
        <f t="shared" si="55"/>
        <v/>
      </c>
      <c r="V435" s="38" t="str">
        <f t="shared" si="56"/>
        <v/>
      </c>
      <c r="W435" s="38" t="str">
        <f>IF(AND(U435&lt;&gt;"",OR($S$4="(все)",B435=$S$4),IF($S$4="(все)",COUNTIF($U$4:U435,U435),COUNTIFS($U$4:U435,U435,$B$4:B435,B435))=1),MAX($W$3:W434)+1,"")</f>
        <v/>
      </c>
      <c r="X435" s="38" t="str">
        <f t="shared" si="57"/>
        <v/>
      </c>
      <c r="Y435" s="38" t="str">
        <f>IF(AND(A435="Аппарат",C435&lt;&gt;"",OR($S$5="(все)",B435=$S$5)),MAX($Y$3:Y434)+1,"")</f>
        <v/>
      </c>
      <c r="Z435" s="38" t="str">
        <f t="shared" si="58"/>
        <v/>
      </c>
      <c r="AA435" s="38" t="str">
        <f>IF(AND(A435="Модуль",C435&lt;&gt;"",OR($S$6="(все)",B435=$S$6)),MAX($AA$3:AA434)+1,"")</f>
        <v/>
      </c>
      <c r="AB435" s="38" t="str">
        <f t="shared" si="59"/>
        <v/>
      </c>
      <c r="AC435" s="38" t="str">
        <f>IF(OR(B435="",COUNTIF($B$4:B435,B435)&gt;1),"",MAX($AC$3:AC434)+1)</f>
        <v/>
      </c>
      <c r="AD435" s="38" t="str">
        <f t="shared" si="60"/>
        <v/>
      </c>
      <c r="AE435" s="38" t="str">
        <f t="shared" si="61"/>
        <v/>
      </c>
      <c r="AF435" s="38" t="str">
        <f t="shared" si="62"/>
        <v/>
      </c>
    </row>
    <row r="436" spans="1:32" x14ac:dyDescent="0.3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38" t="str">
        <f>IF(OR(A436="Автомат",A436="Дифавтомат"),IF(W436="","",COUNTIFS(Однолинейка!$H$3:$H$3000,U436,Однолинейка!$A$3:$A$3000,Щит_спец)),IF(A436="Аппарат",IF(C436="","",COUNTIFS(Однолинейка!$I$3:$I$3000,C436,Однолинейка!$A$3:$A$3000,Щит_спец)+COUNTIFS(Однолинейка!$J$3:$J$3000,C436,Однолинейка!$A$3:$A$3000,Щит_спец)+COUNTIFS(Однолинейка!$K$3:$K$3000,C436,Однолинейка!$A$3:$A$3000,Щит_спец)),IF(A436="Модуль",IF(C436="","",COUNTIFS(Однолинейка!$AW$3:$AW$3000,"?*",Однолинейка!$AI$3:$AI$3000,C436,Однолинейка!$A$3:$A$3000,Щит_спец)),IF(A436="Клемма",IF(C436="","",IF(C436=$S$7,SUMIFS(Однолинейка!$BW$3:$BW$3000,Однолинейка!$A$3:$A$3000,Щит_спец),IF(C436=$S$8,SUMIFS(Однолинейка!$BX$3:$BX$3000,Однолинейка!$A$3:$A$3000,Щит_спец),""))),""))))</f>
        <v/>
      </c>
      <c r="O436" s="74"/>
      <c r="P436" s="38" t="str">
        <f t="shared" si="54"/>
        <v/>
      </c>
      <c r="U436" s="38" t="str">
        <f t="shared" si="55"/>
        <v/>
      </c>
      <c r="V436" s="38" t="str">
        <f t="shared" si="56"/>
        <v/>
      </c>
      <c r="W436" s="38" t="str">
        <f>IF(AND(U436&lt;&gt;"",OR($S$4="(все)",B436=$S$4),IF($S$4="(все)",COUNTIF($U$4:U436,U436),COUNTIFS($U$4:U436,U436,$B$4:B436,B436))=1),MAX($W$3:W435)+1,"")</f>
        <v/>
      </c>
      <c r="X436" s="38" t="str">
        <f t="shared" si="57"/>
        <v/>
      </c>
      <c r="Y436" s="38" t="str">
        <f>IF(AND(A436="Аппарат",C436&lt;&gt;"",OR($S$5="(все)",B436=$S$5)),MAX($Y$3:Y435)+1,"")</f>
        <v/>
      </c>
      <c r="Z436" s="38" t="str">
        <f t="shared" si="58"/>
        <v/>
      </c>
      <c r="AA436" s="38" t="str">
        <f>IF(AND(A436="Модуль",C436&lt;&gt;"",OR($S$6="(все)",B436=$S$6)),MAX($AA$3:AA435)+1,"")</f>
        <v/>
      </c>
      <c r="AB436" s="38" t="str">
        <f t="shared" si="59"/>
        <v/>
      </c>
      <c r="AC436" s="38" t="str">
        <f>IF(OR(B436="",COUNTIF($B$4:B436,B436)&gt;1),"",MAX($AC$3:AC435)+1)</f>
        <v/>
      </c>
      <c r="AD436" s="38" t="str">
        <f t="shared" si="60"/>
        <v/>
      </c>
      <c r="AE436" s="38" t="str">
        <f t="shared" si="61"/>
        <v/>
      </c>
      <c r="AF436" s="38" t="str">
        <f t="shared" si="62"/>
        <v/>
      </c>
    </row>
    <row r="437" spans="1:32" x14ac:dyDescent="0.3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38" t="str">
        <f>IF(OR(A437="Автомат",A437="Дифавтомат"),IF(W437="","",COUNTIFS(Однолинейка!$H$3:$H$3000,U437,Однолинейка!$A$3:$A$3000,Щит_спец)),IF(A437="Аппарат",IF(C437="","",COUNTIFS(Однолинейка!$I$3:$I$3000,C437,Однолинейка!$A$3:$A$3000,Щит_спец)+COUNTIFS(Однолинейка!$J$3:$J$3000,C437,Однолинейка!$A$3:$A$3000,Щит_спец)+COUNTIFS(Однолинейка!$K$3:$K$3000,C437,Однолинейка!$A$3:$A$3000,Щит_спец)),IF(A437="Модуль",IF(C437="","",COUNTIFS(Однолинейка!$AW$3:$AW$3000,"?*",Однолинейка!$AI$3:$AI$3000,C437,Однолинейка!$A$3:$A$3000,Щит_спец)),IF(A437="Клемма",IF(C437="","",IF(C437=$S$7,SUMIFS(Однолинейка!$BW$3:$BW$3000,Однолинейка!$A$3:$A$3000,Щит_спец),IF(C437=$S$8,SUMIFS(Однолинейка!$BX$3:$BX$3000,Однолинейка!$A$3:$A$3000,Щит_спец),""))),""))))</f>
        <v/>
      </c>
      <c r="O437" s="74"/>
      <c r="P437" s="38" t="str">
        <f t="shared" si="54"/>
        <v/>
      </c>
      <c r="U437" s="38" t="str">
        <f t="shared" si="55"/>
        <v/>
      </c>
      <c r="V437" s="38" t="str">
        <f t="shared" si="56"/>
        <v/>
      </c>
      <c r="W437" s="38" t="str">
        <f>IF(AND(U437&lt;&gt;"",OR($S$4="(все)",B437=$S$4),IF($S$4="(все)",COUNTIF($U$4:U437,U437),COUNTIFS($U$4:U437,U437,$B$4:B437,B437))=1),MAX($W$3:W436)+1,"")</f>
        <v/>
      </c>
      <c r="X437" s="38" t="str">
        <f t="shared" si="57"/>
        <v/>
      </c>
      <c r="Y437" s="38" t="str">
        <f>IF(AND(A437="Аппарат",C437&lt;&gt;"",OR($S$5="(все)",B437=$S$5)),MAX($Y$3:Y436)+1,"")</f>
        <v/>
      </c>
      <c r="Z437" s="38" t="str">
        <f t="shared" si="58"/>
        <v/>
      </c>
      <c r="AA437" s="38" t="str">
        <f>IF(AND(A437="Модуль",C437&lt;&gt;"",OR($S$6="(все)",B437=$S$6)),MAX($AA$3:AA436)+1,"")</f>
        <v/>
      </c>
      <c r="AB437" s="38" t="str">
        <f t="shared" si="59"/>
        <v/>
      </c>
      <c r="AC437" s="38" t="str">
        <f>IF(OR(B437="",COUNTIF($B$4:B437,B437)&gt;1),"",MAX($AC$3:AC436)+1)</f>
        <v/>
      </c>
      <c r="AD437" s="38" t="str">
        <f t="shared" si="60"/>
        <v/>
      </c>
      <c r="AE437" s="38" t="str">
        <f t="shared" si="61"/>
        <v/>
      </c>
      <c r="AF437" s="38" t="str">
        <f t="shared" si="62"/>
        <v/>
      </c>
    </row>
    <row r="438" spans="1:32" x14ac:dyDescent="0.3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38" t="str">
        <f>IF(OR(A438="Автомат",A438="Дифавтомат"),IF(W438="","",COUNTIFS(Однолинейка!$H$3:$H$3000,U438,Однолинейка!$A$3:$A$3000,Щит_спец)),IF(A438="Аппарат",IF(C438="","",COUNTIFS(Однолинейка!$I$3:$I$3000,C438,Однолинейка!$A$3:$A$3000,Щит_спец)+COUNTIFS(Однолинейка!$J$3:$J$3000,C438,Однолинейка!$A$3:$A$3000,Щит_спец)+COUNTIFS(Однолинейка!$K$3:$K$3000,C438,Однолинейка!$A$3:$A$3000,Щит_спец)),IF(A438="Модуль",IF(C438="","",COUNTIFS(Однолинейка!$AW$3:$AW$3000,"?*",Однолинейка!$AI$3:$AI$3000,C438,Однолинейка!$A$3:$A$3000,Щит_спец)),IF(A438="Клемма",IF(C438="","",IF(C438=$S$7,SUMIFS(Однолинейка!$BW$3:$BW$3000,Однолинейка!$A$3:$A$3000,Щит_спец),IF(C438=$S$8,SUMIFS(Однолинейка!$BX$3:$BX$3000,Однолинейка!$A$3:$A$3000,Щит_спец),""))),""))))</f>
        <v/>
      </c>
      <c r="O438" s="74"/>
      <c r="P438" s="38" t="str">
        <f t="shared" si="54"/>
        <v/>
      </c>
      <c r="U438" s="38" t="str">
        <f t="shared" si="55"/>
        <v/>
      </c>
      <c r="V438" s="38" t="str">
        <f t="shared" si="56"/>
        <v/>
      </c>
      <c r="W438" s="38" t="str">
        <f>IF(AND(U438&lt;&gt;"",OR($S$4="(все)",B438=$S$4),IF($S$4="(все)",COUNTIF($U$4:U438,U438),COUNTIFS($U$4:U438,U438,$B$4:B438,B438))=1),MAX($W$3:W437)+1,"")</f>
        <v/>
      </c>
      <c r="X438" s="38" t="str">
        <f t="shared" si="57"/>
        <v/>
      </c>
      <c r="Y438" s="38" t="str">
        <f>IF(AND(A438="Аппарат",C438&lt;&gt;"",OR($S$5="(все)",B438=$S$5)),MAX($Y$3:Y437)+1,"")</f>
        <v/>
      </c>
      <c r="Z438" s="38" t="str">
        <f t="shared" si="58"/>
        <v/>
      </c>
      <c r="AA438" s="38" t="str">
        <f>IF(AND(A438="Модуль",C438&lt;&gt;"",OR($S$6="(все)",B438=$S$6)),MAX($AA$3:AA437)+1,"")</f>
        <v/>
      </c>
      <c r="AB438" s="38" t="str">
        <f t="shared" si="59"/>
        <v/>
      </c>
      <c r="AC438" s="38" t="str">
        <f>IF(OR(B438="",COUNTIF($B$4:B438,B438)&gt;1),"",MAX($AC$3:AC437)+1)</f>
        <v/>
      </c>
      <c r="AD438" s="38" t="str">
        <f t="shared" si="60"/>
        <v/>
      </c>
      <c r="AE438" s="38" t="str">
        <f t="shared" si="61"/>
        <v/>
      </c>
      <c r="AF438" s="38" t="str">
        <f t="shared" si="62"/>
        <v/>
      </c>
    </row>
    <row r="439" spans="1:32" x14ac:dyDescent="0.3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38" t="str">
        <f>IF(OR(A439="Автомат",A439="Дифавтомат"),IF(W439="","",COUNTIFS(Однолинейка!$H$3:$H$3000,U439,Однолинейка!$A$3:$A$3000,Щит_спец)),IF(A439="Аппарат",IF(C439="","",COUNTIFS(Однолинейка!$I$3:$I$3000,C439,Однолинейка!$A$3:$A$3000,Щит_спец)+COUNTIFS(Однолинейка!$J$3:$J$3000,C439,Однолинейка!$A$3:$A$3000,Щит_спец)+COUNTIFS(Однолинейка!$K$3:$K$3000,C439,Однолинейка!$A$3:$A$3000,Щит_спец)),IF(A439="Модуль",IF(C439="","",COUNTIFS(Однолинейка!$AW$3:$AW$3000,"?*",Однолинейка!$AI$3:$AI$3000,C439,Однолинейка!$A$3:$A$3000,Щит_спец)),IF(A439="Клемма",IF(C439="","",IF(C439=$S$7,SUMIFS(Однолинейка!$BW$3:$BW$3000,Однолинейка!$A$3:$A$3000,Щит_спец),IF(C439=$S$8,SUMIFS(Однолинейка!$BX$3:$BX$3000,Однолинейка!$A$3:$A$3000,Щит_спец),""))),""))))</f>
        <v/>
      </c>
      <c r="O439" s="74"/>
      <c r="P439" s="38" t="str">
        <f t="shared" si="54"/>
        <v/>
      </c>
      <c r="U439" s="38" t="str">
        <f t="shared" si="55"/>
        <v/>
      </c>
      <c r="V439" s="38" t="str">
        <f t="shared" si="56"/>
        <v/>
      </c>
      <c r="W439" s="38" t="str">
        <f>IF(AND(U439&lt;&gt;"",OR($S$4="(все)",B439=$S$4),IF($S$4="(все)",COUNTIF($U$4:U439,U439),COUNTIFS($U$4:U439,U439,$B$4:B439,B439))=1),MAX($W$3:W438)+1,"")</f>
        <v/>
      </c>
      <c r="X439" s="38" t="str">
        <f t="shared" si="57"/>
        <v/>
      </c>
      <c r="Y439" s="38" t="str">
        <f>IF(AND(A439="Аппарат",C439&lt;&gt;"",OR($S$5="(все)",B439=$S$5)),MAX($Y$3:Y438)+1,"")</f>
        <v/>
      </c>
      <c r="Z439" s="38" t="str">
        <f t="shared" si="58"/>
        <v/>
      </c>
      <c r="AA439" s="38" t="str">
        <f>IF(AND(A439="Модуль",C439&lt;&gt;"",OR($S$6="(все)",B439=$S$6)),MAX($AA$3:AA438)+1,"")</f>
        <v/>
      </c>
      <c r="AB439" s="38" t="str">
        <f t="shared" si="59"/>
        <v/>
      </c>
      <c r="AC439" s="38" t="str">
        <f>IF(OR(B439="",COUNTIF($B$4:B439,B439)&gt;1),"",MAX($AC$3:AC438)+1)</f>
        <v/>
      </c>
      <c r="AD439" s="38" t="str">
        <f t="shared" si="60"/>
        <v/>
      </c>
      <c r="AE439" s="38" t="str">
        <f t="shared" si="61"/>
        <v/>
      </c>
      <c r="AF439" s="38" t="str">
        <f t="shared" si="62"/>
        <v/>
      </c>
    </row>
    <row r="440" spans="1:32" x14ac:dyDescent="0.3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38" t="str">
        <f>IF(OR(A440="Автомат",A440="Дифавтомат"),IF(W440="","",COUNTIFS(Однолинейка!$H$3:$H$3000,U440,Однолинейка!$A$3:$A$3000,Щит_спец)),IF(A440="Аппарат",IF(C440="","",COUNTIFS(Однолинейка!$I$3:$I$3000,C440,Однолинейка!$A$3:$A$3000,Щит_спец)+COUNTIFS(Однолинейка!$J$3:$J$3000,C440,Однолинейка!$A$3:$A$3000,Щит_спец)+COUNTIFS(Однолинейка!$K$3:$K$3000,C440,Однолинейка!$A$3:$A$3000,Щит_спец)),IF(A440="Модуль",IF(C440="","",COUNTIFS(Однолинейка!$AW$3:$AW$3000,"?*",Однолинейка!$AI$3:$AI$3000,C440,Однолинейка!$A$3:$A$3000,Щит_спец)),IF(A440="Клемма",IF(C440="","",IF(C440=$S$7,SUMIFS(Однолинейка!$BW$3:$BW$3000,Однолинейка!$A$3:$A$3000,Щит_спец),IF(C440=$S$8,SUMIFS(Однолинейка!$BX$3:$BX$3000,Однолинейка!$A$3:$A$3000,Щит_спец),""))),""))))</f>
        <v/>
      </c>
      <c r="O440" s="74"/>
      <c r="P440" s="38" t="str">
        <f t="shared" si="54"/>
        <v/>
      </c>
      <c r="U440" s="38" t="str">
        <f t="shared" si="55"/>
        <v/>
      </c>
      <c r="V440" s="38" t="str">
        <f t="shared" si="56"/>
        <v/>
      </c>
      <c r="W440" s="38" t="str">
        <f>IF(AND(U440&lt;&gt;"",OR($S$4="(все)",B440=$S$4),IF($S$4="(все)",COUNTIF($U$4:U440,U440),COUNTIFS($U$4:U440,U440,$B$4:B440,B440))=1),MAX($W$3:W439)+1,"")</f>
        <v/>
      </c>
      <c r="X440" s="38" t="str">
        <f t="shared" si="57"/>
        <v/>
      </c>
      <c r="Y440" s="38" t="str">
        <f>IF(AND(A440="Аппарат",C440&lt;&gt;"",OR($S$5="(все)",B440=$S$5)),MAX($Y$3:Y439)+1,"")</f>
        <v/>
      </c>
      <c r="Z440" s="38" t="str">
        <f t="shared" si="58"/>
        <v/>
      </c>
      <c r="AA440" s="38" t="str">
        <f>IF(AND(A440="Модуль",C440&lt;&gt;"",OR($S$6="(все)",B440=$S$6)),MAX($AA$3:AA439)+1,"")</f>
        <v/>
      </c>
      <c r="AB440" s="38" t="str">
        <f t="shared" si="59"/>
        <v/>
      </c>
      <c r="AC440" s="38" t="str">
        <f>IF(OR(B440="",COUNTIF($B$4:B440,B440)&gt;1),"",MAX($AC$3:AC439)+1)</f>
        <v/>
      </c>
      <c r="AD440" s="38" t="str">
        <f t="shared" si="60"/>
        <v/>
      </c>
      <c r="AE440" s="38" t="str">
        <f t="shared" si="61"/>
        <v/>
      </c>
      <c r="AF440" s="38" t="str">
        <f t="shared" si="62"/>
        <v/>
      </c>
    </row>
    <row r="441" spans="1:32" x14ac:dyDescent="0.3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38" t="str">
        <f>IF(OR(A441="Автомат",A441="Дифавтомат"),IF(W441="","",COUNTIFS(Однолинейка!$H$3:$H$3000,U441,Однолинейка!$A$3:$A$3000,Щит_спец)),IF(A441="Аппарат",IF(C441="","",COUNTIFS(Однолинейка!$I$3:$I$3000,C441,Однолинейка!$A$3:$A$3000,Щит_спец)+COUNTIFS(Однолинейка!$J$3:$J$3000,C441,Однолинейка!$A$3:$A$3000,Щит_спец)+COUNTIFS(Однолинейка!$K$3:$K$3000,C441,Однолинейка!$A$3:$A$3000,Щит_спец)),IF(A441="Модуль",IF(C441="","",COUNTIFS(Однолинейка!$AW$3:$AW$3000,"?*",Однолинейка!$AI$3:$AI$3000,C441,Однолинейка!$A$3:$A$3000,Щит_спец)),IF(A441="Клемма",IF(C441="","",IF(C441=$S$7,SUMIFS(Однолинейка!$BW$3:$BW$3000,Однолинейка!$A$3:$A$3000,Щит_спец),IF(C441=$S$8,SUMIFS(Однолинейка!$BX$3:$BX$3000,Однолинейка!$A$3:$A$3000,Щит_спец),""))),""))))</f>
        <v/>
      </c>
      <c r="O441" s="74"/>
      <c r="P441" s="38" t="str">
        <f t="shared" si="54"/>
        <v/>
      </c>
      <c r="U441" s="38" t="str">
        <f t="shared" si="55"/>
        <v/>
      </c>
      <c r="V441" s="38" t="str">
        <f t="shared" si="56"/>
        <v/>
      </c>
      <c r="W441" s="38" t="str">
        <f>IF(AND(U441&lt;&gt;"",OR($S$4="(все)",B441=$S$4),IF($S$4="(все)",COUNTIF($U$4:U441,U441),COUNTIFS($U$4:U441,U441,$B$4:B441,B441))=1),MAX($W$3:W440)+1,"")</f>
        <v/>
      </c>
      <c r="X441" s="38" t="str">
        <f t="shared" si="57"/>
        <v/>
      </c>
      <c r="Y441" s="38" t="str">
        <f>IF(AND(A441="Аппарат",C441&lt;&gt;"",OR($S$5="(все)",B441=$S$5)),MAX($Y$3:Y440)+1,"")</f>
        <v/>
      </c>
      <c r="Z441" s="38" t="str">
        <f t="shared" si="58"/>
        <v/>
      </c>
      <c r="AA441" s="38" t="str">
        <f>IF(AND(A441="Модуль",C441&lt;&gt;"",OR($S$6="(все)",B441=$S$6)),MAX($AA$3:AA440)+1,"")</f>
        <v/>
      </c>
      <c r="AB441" s="38" t="str">
        <f t="shared" si="59"/>
        <v/>
      </c>
      <c r="AC441" s="38" t="str">
        <f>IF(OR(B441="",COUNTIF($B$4:B441,B441)&gt;1),"",MAX($AC$3:AC440)+1)</f>
        <v/>
      </c>
      <c r="AD441" s="38" t="str">
        <f t="shared" si="60"/>
        <v/>
      </c>
      <c r="AE441" s="38" t="str">
        <f t="shared" si="61"/>
        <v/>
      </c>
      <c r="AF441" s="38" t="str">
        <f t="shared" si="62"/>
        <v/>
      </c>
    </row>
    <row r="442" spans="1:32" x14ac:dyDescent="0.3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38" t="str">
        <f>IF(OR(A442="Автомат",A442="Дифавтомат"),IF(W442="","",COUNTIFS(Однолинейка!$H$3:$H$3000,U442,Однолинейка!$A$3:$A$3000,Щит_спец)),IF(A442="Аппарат",IF(C442="","",COUNTIFS(Однолинейка!$I$3:$I$3000,C442,Однолинейка!$A$3:$A$3000,Щит_спец)+COUNTIFS(Однолинейка!$J$3:$J$3000,C442,Однолинейка!$A$3:$A$3000,Щит_спец)+COUNTIFS(Однолинейка!$K$3:$K$3000,C442,Однолинейка!$A$3:$A$3000,Щит_спец)),IF(A442="Модуль",IF(C442="","",COUNTIFS(Однолинейка!$AW$3:$AW$3000,"?*",Однолинейка!$AI$3:$AI$3000,C442,Однолинейка!$A$3:$A$3000,Щит_спец)),IF(A442="Клемма",IF(C442="","",IF(C442=$S$7,SUMIFS(Однолинейка!$BW$3:$BW$3000,Однолинейка!$A$3:$A$3000,Щит_спец),IF(C442=$S$8,SUMIFS(Однолинейка!$BX$3:$BX$3000,Однолинейка!$A$3:$A$3000,Щит_спец),""))),""))))</f>
        <v/>
      </c>
      <c r="O442" s="74"/>
      <c r="P442" s="38" t="str">
        <f t="shared" si="54"/>
        <v/>
      </c>
      <c r="U442" s="38" t="str">
        <f t="shared" si="55"/>
        <v/>
      </c>
      <c r="V442" s="38" t="str">
        <f t="shared" si="56"/>
        <v/>
      </c>
      <c r="W442" s="38" t="str">
        <f>IF(AND(U442&lt;&gt;"",OR($S$4="(все)",B442=$S$4),IF($S$4="(все)",COUNTIF($U$4:U442,U442),COUNTIFS($U$4:U442,U442,$B$4:B442,B442))=1),MAX($W$3:W441)+1,"")</f>
        <v/>
      </c>
      <c r="X442" s="38" t="str">
        <f t="shared" si="57"/>
        <v/>
      </c>
      <c r="Y442" s="38" t="str">
        <f>IF(AND(A442="Аппарат",C442&lt;&gt;"",OR($S$5="(все)",B442=$S$5)),MAX($Y$3:Y441)+1,"")</f>
        <v/>
      </c>
      <c r="Z442" s="38" t="str">
        <f t="shared" si="58"/>
        <v/>
      </c>
      <c r="AA442" s="38" t="str">
        <f>IF(AND(A442="Модуль",C442&lt;&gt;"",OR($S$6="(все)",B442=$S$6)),MAX($AA$3:AA441)+1,"")</f>
        <v/>
      </c>
      <c r="AB442" s="38" t="str">
        <f t="shared" si="59"/>
        <v/>
      </c>
      <c r="AC442" s="38" t="str">
        <f>IF(OR(B442="",COUNTIF($B$4:B442,B442)&gt;1),"",MAX($AC$3:AC441)+1)</f>
        <v/>
      </c>
      <c r="AD442" s="38" t="str">
        <f t="shared" si="60"/>
        <v/>
      </c>
      <c r="AE442" s="38" t="str">
        <f t="shared" si="61"/>
        <v/>
      </c>
      <c r="AF442" s="38" t="str">
        <f t="shared" si="62"/>
        <v/>
      </c>
    </row>
    <row r="443" spans="1:32" x14ac:dyDescent="0.3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38" t="str">
        <f>IF(OR(A443="Автомат",A443="Дифавтомат"),IF(W443="","",COUNTIFS(Однолинейка!$H$3:$H$3000,U443,Однолинейка!$A$3:$A$3000,Щит_спец)),IF(A443="Аппарат",IF(C443="","",COUNTIFS(Однолинейка!$I$3:$I$3000,C443,Однолинейка!$A$3:$A$3000,Щит_спец)+COUNTIFS(Однолинейка!$J$3:$J$3000,C443,Однолинейка!$A$3:$A$3000,Щит_спец)+COUNTIFS(Однолинейка!$K$3:$K$3000,C443,Однолинейка!$A$3:$A$3000,Щит_спец)),IF(A443="Модуль",IF(C443="","",COUNTIFS(Однолинейка!$AW$3:$AW$3000,"?*",Однолинейка!$AI$3:$AI$3000,C443,Однолинейка!$A$3:$A$3000,Щит_спец)),IF(A443="Клемма",IF(C443="","",IF(C443=$S$7,SUMIFS(Однолинейка!$BW$3:$BW$3000,Однолинейка!$A$3:$A$3000,Щит_спец),IF(C443=$S$8,SUMIFS(Однолинейка!$BX$3:$BX$3000,Однолинейка!$A$3:$A$3000,Щит_спец),""))),""))))</f>
        <v/>
      </c>
      <c r="O443" s="74"/>
      <c r="P443" s="38" t="str">
        <f t="shared" si="54"/>
        <v/>
      </c>
      <c r="U443" s="38" t="str">
        <f t="shared" si="55"/>
        <v/>
      </c>
      <c r="V443" s="38" t="str">
        <f t="shared" si="56"/>
        <v/>
      </c>
      <c r="W443" s="38" t="str">
        <f>IF(AND(U443&lt;&gt;"",OR($S$4="(все)",B443=$S$4),IF($S$4="(все)",COUNTIF($U$4:U443,U443),COUNTIFS($U$4:U443,U443,$B$4:B443,B443))=1),MAX($W$3:W442)+1,"")</f>
        <v/>
      </c>
      <c r="X443" s="38" t="str">
        <f t="shared" si="57"/>
        <v/>
      </c>
      <c r="Y443" s="38" t="str">
        <f>IF(AND(A443="Аппарат",C443&lt;&gt;"",OR($S$5="(все)",B443=$S$5)),MAX($Y$3:Y442)+1,"")</f>
        <v/>
      </c>
      <c r="Z443" s="38" t="str">
        <f t="shared" si="58"/>
        <v/>
      </c>
      <c r="AA443" s="38" t="str">
        <f>IF(AND(A443="Модуль",C443&lt;&gt;"",OR($S$6="(все)",B443=$S$6)),MAX($AA$3:AA442)+1,"")</f>
        <v/>
      </c>
      <c r="AB443" s="38" t="str">
        <f t="shared" si="59"/>
        <v/>
      </c>
      <c r="AC443" s="38" t="str">
        <f>IF(OR(B443="",COUNTIF($B$4:B443,B443)&gt;1),"",MAX($AC$3:AC442)+1)</f>
        <v/>
      </c>
      <c r="AD443" s="38" t="str">
        <f t="shared" si="60"/>
        <v/>
      </c>
      <c r="AE443" s="38" t="str">
        <f t="shared" si="61"/>
        <v/>
      </c>
      <c r="AF443" s="38" t="str">
        <f t="shared" si="62"/>
        <v/>
      </c>
    </row>
    <row r="444" spans="1:32" x14ac:dyDescent="0.3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38" t="str">
        <f>IF(OR(A444="Автомат",A444="Дифавтомат"),IF(W444="","",COUNTIFS(Однолинейка!$H$3:$H$3000,U444,Однолинейка!$A$3:$A$3000,Щит_спец)),IF(A444="Аппарат",IF(C444="","",COUNTIFS(Однолинейка!$I$3:$I$3000,C444,Однолинейка!$A$3:$A$3000,Щит_спец)+COUNTIFS(Однолинейка!$J$3:$J$3000,C444,Однолинейка!$A$3:$A$3000,Щит_спец)+COUNTIFS(Однолинейка!$K$3:$K$3000,C444,Однолинейка!$A$3:$A$3000,Щит_спец)),IF(A444="Модуль",IF(C444="","",COUNTIFS(Однолинейка!$AW$3:$AW$3000,"?*",Однолинейка!$AI$3:$AI$3000,C444,Однолинейка!$A$3:$A$3000,Щит_спец)),IF(A444="Клемма",IF(C444="","",IF(C444=$S$7,SUMIFS(Однолинейка!$BW$3:$BW$3000,Однолинейка!$A$3:$A$3000,Щит_спец),IF(C444=$S$8,SUMIFS(Однолинейка!$BX$3:$BX$3000,Однолинейка!$A$3:$A$3000,Щит_спец),""))),""))))</f>
        <v/>
      </c>
      <c r="O444" s="74"/>
      <c r="P444" s="38" t="str">
        <f t="shared" si="54"/>
        <v/>
      </c>
      <c r="U444" s="38" t="str">
        <f t="shared" si="55"/>
        <v/>
      </c>
      <c r="V444" s="38" t="str">
        <f t="shared" si="56"/>
        <v/>
      </c>
      <c r="W444" s="38" t="str">
        <f>IF(AND(U444&lt;&gt;"",OR($S$4="(все)",B444=$S$4),IF($S$4="(все)",COUNTIF($U$4:U444,U444),COUNTIFS($U$4:U444,U444,$B$4:B444,B444))=1),MAX($W$3:W443)+1,"")</f>
        <v/>
      </c>
      <c r="X444" s="38" t="str">
        <f t="shared" si="57"/>
        <v/>
      </c>
      <c r="Y444" s="38" t="str">
        <f>IF(AND(A444="Аппарат",C444&lt;&gt;"",OR($S$5="(все)",B444=$S$5)),MAX($Y$3:Y443)+1,"")</f>
        <v/>
      </c>
      <c r="Z444" s="38" t="str">
        <f t="shared" si="58"/>
        <v/>
      </c>
      <c r="AA444" s="38" t="str">
        <f>IF(AND(A444="Модуль",C444&lt;&gt;"",OR($S$6="(все)",B444=$S$6)),MAX($AA$3:AA443)+1,"")</f>
        <v/>
      </c>
      <c r="AB444" s="38" t="str">
        <f t="shared" si="59"/>
        <v/>
      </c>
      <c r="AC444" s="38" t="str">
        <f>IF(OR(B444="",COUNTIF($B$4:B444,B444)&gt;1),"",MAX($AC$3:AC443)+1)</f>
        <v/>
      </c>
      <c r="AD444" s="38" t="str">
        <f t="shared" si="60"/>
        <v/>
      </c>
      <c r="AE444" s="38" t="str">
        <f t="shared" si="61"/>
        <v/>
      </c>
      <c r="AF444" s="38" t="str">
        <f t="shared" si="62"/>
        <v/>
      </c>
    </row>
    <row r="445" spans="1:32" x14ac:dyDescent="0.3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38" t="str">
        <f>IF(OR(A445="Автомат",A445="Дифавтомат"),IF(W445="","",COUNTIFS(Однолинейка!$H$3:$H$3000,U445,Однолинейка!$A$3:$A$3000,Щит_спец)),IF(A445="Аппарат",IF(C445="","",COUNTIFS(Однолинейка!$I$3:$I$3000,C445,Однолинейка!$A$3:$A$3000,Щит_спец)+COUNTIFS(Однолинейка!$J$3:$J$3000,C445,Однолинейка!$A$3:$A$3000,Щит_спец)+COUNTIFS(Однолинейка!$K$3:$K$3000,C445,Однолинейка!$A$3:$A$3000,Щит_спец)),IF(A445="Модуль",IF(C445="","",COUNTIFS(Однолинейка!$AW$3:$AW$3000,"?*",Однолинейка!$AI$3:$AI$3000,C445,Однолинейка!$A$3:$A$3000,Щит_спец)),IF(A445="Клемма",IF(C445="","",IF(C445=$S$7,SUMIFS(Однолинейка!$BW$3:$BW$3000,Однолинейка!$A$3:$A$3000,Щит_спец),IF(C445=$S$8,SUMIFS(Однолинейка!$BX$3:$BX$3000,Однолинейка!$A$3:$A$3000,Щит_спец),""))),""))))</f>
        <v/>
      </c>
      <c r="O445" s="74"/>
      <c r="P445" s="38" t="str">
        <f t="shared" si="54"/>
        <v/>
      </c>
      <c r="U445" s="38" t="str">
        <f t="shared" si="55"/>
        <v/>
      </c>
      <c r="V445" s="38" t="str">
        <f t="shared" si="56"/>
        <v/>
      </c>
      <c r="W445" s="38" t="str">
        <f>IF(AND(U445&lt;&gt;"",OR($S$4="(все)",B445=$S$4),IF($S$4="(все)",COUNTIF($U$4:U445,U445),COUNTIFS($U$4:U445,U445,$B$4:B445,B445))=1),MAX($W$3:W444)+1,"")</f>
        <v/>
      </c>
      <c r="X445" s="38" t="str">
        <f t="shared" si="57"/>
        <v/>
      </c>
      <c r="Y445" s="38" t="str">
        <f>IF(AND(A445="Аппарат",C445&lt;&gt;"",OR($S$5="(все)",B445=$S$5)),MAX($Y$3:Y444)+1,"")</f>
        <v/>
      </c>
      <c r="Z445" s="38" t="str">
        <f t="shared" si="58"/>
        <v/>
      </c>
      <c r="AA445" s="38" t="str">
        <f>IF(AND(A445="Модуль",C445&lt;&gt;"",OR($S$6="(все)",B445=$S$6)),MAX($AA$3:AA444)+1,"")</f>
        <v/>
      </c>
      <c r="AB445" s="38" t="str">
        <f t="shared" si="59"/>
        <v/>
      </c>
      <c r="AC445" s="38" t="str">
        <f>IF(OR(B445="",COUNTIF($B$4:B445,B445)&gt;1),"",MAX($AC$3:AC444)+1)</f>
        <v/>
      </c>
      <c r="AD445" s="38" t="str">
        <f t="shared" si="60"/>
        <v/>
      </c>
      <c r="AE445" s="38" t="str">
        <f t="shared" si="61"/>
        <v/>
      </c>
      <c r="AF445" s="38" t="str">
        <f t="shared" si="62"/>
        <v/>
      </c>
    </row>
    <row r="446" spans="1:32" x14ac:dyDescent="0.3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38" t="str">
        <f>IF(OR(A446="Автомат",A446="Дифавтомат"),IF(W446="","",COUNTIFS(Однолинейка!$H$3:$H$3000,U446,Однолинейка!$A$3:$A$3000,Щит_спец)),IF(A446="Аппарат",IF(C446="","",COUNTIFS(Однолинейка!$I$3:$I$3000,C446,Однолинейка!$A$3:$A$3000,Щит_спец)+COUNTIFS(Однолинейка!$J$3:$J$3000,C446,Однолинейка!$A$3:$A$3000,Щит_спец)+COUNTIFS(Однолинейка!$K$3:$K$3000,C446,Однолинейка!$A$3:$A$3000,Щит_спец)),IF(A446="Модуль",IF(C446="","",COUNTIFS(Однолинейка!$AW$3:$AW$3000,"?*",Однолинейка!$AI$3:$AI$3000,C446,Однолинейка!$A$3:$A$3000,Щит_спец)),IF(A446="Клемма",IF(C446="","",IF(C446=$S$7,SUMIFS(Однолинейка!$BW$3:$BW$3000,Однолинейка!$A$3:$A$3000,Щит_спец),IF(C446=$S$8,SUMIFS(Однолинейка!$BX$3:$BX$3000,Однолинейка!$A$3:$A$3000,Щит_спец),""))),""))))</f>
        <v/>
      </c>
      <c r="O446" s="74"/>
      <c r="P446" s="38" t="str">
        <f t="shared" si="54"/>
        <v/>
      </c>
      <c r="U446" s="38" t="str">
        <f t="shared" si="55"/>
        <v/>
      </c>
      <c r="V446" s="38" t="str">
        <f t="shared" si="56"/>
        <v/>
      </c>
      <c r="W446" s="38" t="str">
        <f>IF(AND(U446&lt;&gt;"",OR($S$4="(все)",B446=$S$4),IF($S$4="(все)",COUNTIF($U$4:U446,U446),COUNTIFS($U$4:U446,U446,$B$4:B446,B446))=1),MAX($W$3:W445)+1,"")</f>
        <v/>
      </c>
      <c r="X446" s="38" t="str">
        <f t="shared" si="57"/>
        <v/>
      </c>
      <c r="Y446" s="38" t="str">
        <f>IF(AND(A446="Аппарат",C446&lt;&gt;"",OR($S$5="(все)",B446=$S$5)),MAX($Y$3:Y445)+1,"")</f>
        <v/>
      </c>
      <c r="Z446" s="38" t="str">
        <f t="shared" si="58"/>
        <v/>
      </c>
      <c r="AA446" s="38" t="str">
        <f>IF(AND(A446="Модуль",C446&lt;&gt;"",OR($S$6="(все)",B446=$S$6)),MAX($AA$3:AA445)+1,"")</f>
        <v/>
      </c>
      <c r="AB446" s="38" t="str">
        <f t="shared" si="59"/>
        <v/>
      </c>
      <c r="AC446" s="38" t="str">
        <f>IF(OR(B446="",COUNTIF($B$4:B446,B446)&gt;1),"",MAX($AC$3:AC445)+1)</f>
        <v/>
      </c>
      <c r="AD446" s="38" t="str">
        <f t="shared" si="60"/>
        <v/>
      </c>
      <c r="AE446" s="38" t="str">
        <f t="shared" si="61"/>
        <v/>
      </c>
      <c r="AF446" s="38" t="str">
        <f t="shared" si="62"/>
        <v/>
      </c>
    </row>
    <row r="447" spans="1:32" x14ac:dyDescent="0.3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38" t="str">
        <f>IF(OR(A447="Автомат",A447="Дифавтомат"),IF(W447="","",COUNTIFS(Однолинейка!$H$3:$H$3000,U447,Однолинейка!$A$3:$A$3000,Щит_спец)),IF(A447="Аппарат",IF(C447="","",COUNTIFS(Однолинейка!$I$3:$I$3000,C447,Однолинейка!$A$3:$A$3000,Щит_спец)+COUNTIFS(Однолинейка!$J$3:$J$3000,C447,Однолинейка!$A$3:$A$3000,Щит_спец)+COUNTIFS(Однолинейка!$K$3:$K$3000,C447,Однолинейка!$A$3:$A$3000,Щит_спец)),IF(A447="Модуль",IF(C447="","",COUNTIFS(Однолинейка!$AW$3:$AW$3000,"?*",Однолинейка!$AI$3:$AI$3000,C447,Однолинейка!$A$3:$A$3000,Щит_спец)),IF(A447="Клемма",IF(C447="","",IF(C447=$S$7,SUMIFS(Однолинейка!$BW$3:$BW$3000,Однолинейка!$A$3:$A$3000,Щит_спец),IF(C447=$S$8,SUMIFS(Однолинейка!$BX$3:$BX$3000,Однолинейка!$A$3:$A$3000,Щит_спец),""))),""))))</f>
        <v/>
      </c>
      <c r="O447" s="74"/>
      <c r="P447" s="38" t="str">
        <f t="shared" si="54"/>
        <v/>
      </c>
      <c r="U447" s="38" t="str">
        <f t="shared" si="55"/>
        <v/>
      </c>
      <c r="V447" s="38" t="str">
        <f t="shared" si="56"/>
        <v/>
      </c>
      <c r="W447" s="38" t="str">
        <f>IF(AND(U447&lt;&gt;"",OR($S$4="(все)",B447=$S$4),IF($S$4="(все)",COUNTIF($U$4:U447,U447),COUNTIFS($U$4:U447,U447,$B$4:B447,B447))=1),MAX($W$3:W446)+1,"")</f>
        <v/>
      </c>
      <c r="X447" s="38" t="str">
        <f t="shared" si="57"/>
        <v/>
      </c>
      <c r="Y447" s="38" t="str">
        <f>IF(AND(A447="Аппарат",C447&lt;&gt;"",OR($S$5="(все)",B447=$S$5)),MAX($Y$3:Y446)+1,"")</f>
        <v/>
      </c>
      <c r="Z447" s="38" t="str">
        <f t="shared" si="58"/>
        <v/>
      </c>
      <c r="AA447" s="38" t="str">
        <f>IF(AND(A447="Модуль",C447&lt;&gt;"",OR($S$6="(все)",B447=$S$6)),MAX($AA$3:AA446)+1,"")</f>
        <v/>
      </c>
      <c r="AB447" s="38" t="str">
        <f t="shared" si="59"/>
        <v/>
      </c>
      <c r="AC447" s="38" t="str">
        <f>IF(OR(B447="",COUNTIF($B$4:B447,B447)&gt;1),"",MAX($AC$3:AC446)+1)</f>
        <v/>
      </c>
      <c r="AD447" s="38" t="str">
        <f t="shared" si="60"/>
        <v/>
      </c>
      <c r="AE447" s="38" t="str">
        <f t="shared" si="61"/>
        <v/>
      </c>
      <c r="AF447" s="38" t="str">
        <f t="shared" si="62"/>
        <v/>
      </c>
    </row>
    <row r="448" spans="1:32" x14ac:dyDescent="0.3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38" t="str">
        <f>IF(OR(A448="Автомат",A448="Дифавтомат"),IF(W448="","",COUNTIFS(Однолинейка!$H$3:$H$3000,U448,Однолинейка!$A$3:$A$3000,Щит_спец)),IF(A448="Аппарат",IF(C448="","",COUNTIFS(Однолинейка!$I$3:$I$3000,C448,Однолинейка!$A$3:$A$3000,Щит_спец)+COUNTIFS(Однолинейка!$J$3:$J$3000,C448,Однолинейка!$A$3:$A$3000,Щит_спец)+COUNTIFS(Однолинейка!$K$3:$K$3000,C448,Однолинейка!$A$3:$A$3000,Щит_спец)),IF(A448="Модуль",IF(C448="","",COUNTIFS(Однолинейка!$AW$3:$AW$3000,"?*",Однолинейка!$AI$3:$AI$3000,C448,Однолинейка!$A$3:$A$3000,Щит_спец)),IF(A448="Клемма",IF(C448="","",IF(C448=$S$7,SUMIFS(Однолинейка!$BW$3:$BW$3000,Однолинейка!$A$3:$A$3000,Щит_спец),IF(C448=$S$8,SUMIFS(Однолинейка!$BX$3:$BX$3000,Однолинейка!$A$3:$A$3000,Щит_спец),""))),""))))</f>
        <v/>
      </c>
      <c r="O448" s="74"/>
      <c r="P448" s="38" t="str">
        <f t="shared" si="54"/>
        <v/>
      </c>
      <c r="U448" s="38" t="str">
        <f t="shared" si="55"/>
        <v/>
      </c>
      <c r="V448" s="38" t="str">
        <f t="shared" si="56"/>
        <v/>
      </c>
      <c r="W448" s="38" t="str">
        <f>IF(AND(U448&lt;&gt;"",OR($S$4="(все)",B448=$S$4),IF($S$4="(все)",COUNTIF($U$4:U448,U448),COUNTIFS($U$4:U448,U448,$B$4:B448,B448))=1),MAX($W$3:W447)+1,"")</f>
        <v/>
      </c>
      <c r="X448" s="38" t="str">
        <f t="shared" si="57"/>
        <v/>
      </c>
      <c r="Y448" s="38" t="str">
        <f>IF(AND(A448="Аппарат",C448&lt;&gt;"",OR($S$5="(все)",B448=$S$5)),MAX($Y$3:Y447)+1,"")</f>
        <v/>
      </c>
      <c r="Z448" s="38" t="str">
        <f t="shared" si="58"/>
        <v/>
      </c>
      <c r="AA448" s="38" t="str">
        <f>IF(AND(A448="Модуль",C448&lt;&gt;"",OR($S$6="(все)",B448=$S$6)),MAX($AA$3:AA447)+1,"")</f>
        <v/>
      </c>
      <c r="AB448" s="38" t="str">
        <f t="shared" si="59"/>
        <v/>
      </c>
      <c r="AC448" s="38" t="str">
        <f>IF(OR(B448="",COUNTIF($B$4:B448,B448)&gt;1),"",MAX($AC$3:AC447)+1)</f>
        <v/>
      </c>
      <c r="AD448" s="38" t="str">
        <f t="shared" si="60"/>
        <v/>
      </c>
      <c r="AE448" s="38" t="str">
        <f t="shared" si="61"/>
        <v/>
      </c>
      <c r="AF448" s="38" t="str">
        <f t="shared" si="62"/>
        <v/>
      </c>
    </row>
    <row r="449" spans="1:32" x14ac:dyDescent="0.3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38" t="str">
        <f>IF(OR(A449="Автомат",A449="Дифавтомат"),IF(W449="","",COUNTIFS(Однолинейка!$H$3:$H$3000,U449,Однолинейка!$A$3:$A$3000,Щит_спец)),IF(A449="Аппарат",IF(C449="","",COUNTIFS(Однолинейка!$I$3:$I$3000,C449,Однолинейка!$A$3:$A$3000,Щит_спец)+COUNTIFS(Однолинейка!$J$3:$J$3000,C449,Однолинейка!$A$3:$A$3000,Щит_спец)+COUNTIFS(Однолинейка!$K$3:$K$3000,C449,Однолинейка!$A$3:$A$3000,Щит_спец)),IF(A449="Модуль",IF(C449="","",COUNTIFS(Однолинейка!$AW$3:$AW$3000,"?*",Однолинейка!$AI$3:$AI$3000,C449,Однолинейка!$A$3:$A$3000,Щит_спец)),IF(A449="Клемма",IF(C449="","",IF(C449=$S$7,SUMIFS(Однолинейка!$BW$3:$BW$3000,Однолинейка!$A$3:$A$3000,Щит_спец),IF(C449=$S$8,SUMIFS(Однолинейка!$BX$3:$BX$3000,Однолинейка!$A$3:$A$3000,Щит_спец),""))),""))))</f>
        <v/>
      </c>
      <c r="O449" s="74"/>
      <c r="P449" s="38" t="str">
        <f t="shared" si="54"/>
        <v/>
      </c>
      <c r="U449" s="38" t="str">
        <f t="shared" si="55"/>
        <v/>
      </c>
      <c r="V449" s="38" t="str">
        <f t="shared" si="56"/>
        <v/>
      </c>
      <c r="W449" s="38" t="str">
        <f>IF(AND(U449&lt;&gt;"",OR($S$4="(все)",B449=$S$4),IF($S$4="(все)",COUNTIF($U$4:U449,U449),COUNTIFS($U$4:U449,U449,$B$4:B449,B449))=1),MAX($W$3:W448)+1,"")</f>
        <v/>
      </c>
      <c r="X449" s="38" t="str">
        <f t="shared" si="57"/>
        <v/>
      </c>
      <c r="Y449" s="38" t="str">
        <f>IF(AND(A449="Аппарат",C449&lt;&gt;"",OR($S$5="(все)",B449=$S$5)),MAX($Y$3:Y448)+1,"")</f>
        <v/>
      </c>
      <c r="Z449" s="38" t="str">
        <f t="shared" si="58"/>
        <v/>
      </c>
      <c r="AA449" s="38" t="str">
        <f>IF(AND(A449="Модуль",C449&lt;&gt;"",OR($S$6="(все)",B449=$S$6)),MAX($AA$3:AA448)+1,"")</f>
        <v/>
      </c>
      <c r="AB449" s="38" t="str">
        <f t="shared" si="59"/>
        <v/>
      </c>
      <c r="AC449" s="38" t="str">
        <f>IF(OR(B449="",COUNTIF($B$4:B449,B449)&gt;1),"",MAX($AC$3:AC448)+1)</f>
        <v/>
      </c>
      <c r="AD449" s="38" t="str">
        <f t="shared" si="60"/>
        <v/>
      </c>
      <c r="AE449" s="38" t="str">
        <f t="shared" si="61"/>
        <v/>
      </c>
      <c r="AF449" s="38" t="str">
        <f t="shared" si="62"/>
        <v/>
      </c>
    </row>
    <row r="450" spans="1:32" x14ac:dyDescent="0.3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38" t="str">
        <f>IF(OR(A450="Автомат",A450="Дифавтомат"),IF(W450="","",COUNTIFS(Однолинейка!$H$3:$H$3000,U450,Однолинейка!$A$3:$A$3000,Щит_спец)),IF(A450="Аппарат",IF(C450="","",COUNTIFS(Однолинейка!$I$3:$I$3000,C450,Однолинейка!$A$3:$A$3000,Щит_спец)+COUNTIFS(Однолинейка!$J$3:$J$3000,C450,Однолинейка!$A$3:$A$3000,Щит_спец)+COUNTIFS(Однолинейка!$K$3:$K$3000,C450,Однолинейка!$A$3:$A$3000,Щит_спец)),IF(A450="Модуль",IF(C450="","",COUNTIFS(Однолинейка!$AW$3:$AW$3000,"?*",Однолинейка!$AI$3:$AI$3000,C450,Однолинейка!$A$3:$A$3000,Щит_спец)),IF(A450="Клемма",IF(C450="","",IF(C450=$S$7,SUMIFS(Однолинейка!$BW$3:$BW$3000,Однолинейка!$A$3:$A$3000,Щит_спец),IF(C450=$S$8,SUMIFS(Однолинейка!$BX$3:$BX$3000,Однолинейка!$A$3:$A$3000,Щит_спец),""))),""))))</f>
        <v/>
      </c>
      <c r="O450" s="74"/>
      <c r="P450" s="38" t="str">
        <f t="shared" si="54"/>
        <v/>
      </c>
      <c r="U450" s="38" t="str">
        <f t="shared" si="55"/>
        <v/>
      </c>
      <c r="V450" s="38" t="str">
        <f t="shared" si="56"/>
        <v/>
      </c>
      <c r="W450" s="38" t="str">
        <f>IF(AND(U450&lt;&gt;"",OR($S$4="(все)",B450=$S$4),IF($S$4="(все)",COUNTIF($U$4:U450,U450),COUNTIFS($U$4:U450,U450,$B$4:B450,B450))=1),MAX($W$3:W449)+1,"")</f>
        <v/>
      </c>
      <c r="X450" s="38" t="str">
        <f t="shared" si="57"/>
        <v/>
      </c>
      <c r="Y450" s="38" t="str">
        <f>IF(AND(A450="Аппарат",C450&lt;&gt;"",OR($S$5="(все)",B450=$S$5)),MAX($Y$3:Y449)+1,"")</f>
        <v/>
      </c>
      <c r="Z450" s="38" t="str">
        <f t="shared" si="58"/>
        <v/>
      </c>
      <c r="AA450" s="38" t="str">
        <f>IF(AND(A450="Модуль",C450&lt;&gt;"",OR($S$6="(все)",B450=$S$6)),MAX($AA$3:AA449)+1,"")</f>
        <v/>
      </c>
      <c r="AB450" s="38" t="str">
        <f t="shared" si="59"/>
        <v/>
      </c>
      <c r="AC450" s="38" t="str">
        <f>IF(OR(B450="",COUNTIF($B$4:B450,B450)&gt;1),"",MAX($AC$3:AC449)+1)</f>
        <v/>
      </c>
      <c r="AD450" s="38" t="str">
        <f t="shared" si="60"/>
        <v/>
      </c>
      <c r="AE450" s="38" t="str">
        <f t="shared" si="61"/>
        <v/>
      </c>
      <c r="AF450" s="38" t="str">
        <f t="shared" si="62"/>
        <v/>
      </c>
    </row>
    <row r="451" spans="1:32" x14ac:dyDescent="0.3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38" t="str">
        <f>IF(OR(A451="Автомат",A451="Дифавтомат"),IF(W451="","",COUNTIFS(Однолинейка!$H$3:$H$3000,U451,Однолинейка!$A$3:$A$3000,Щит_спец)),IF(A451="Аппарат",IF(C451="","",COUNTIFS(Однолинейка!$I$3:$I$3000,C451,Однолинейка!$A$3:$A$3000,Щит_спец)+COUNTIFS(Однолинейка!$J$3:$J$3000,C451,Однолинейка!$A$3:$A$3000,Щит_спец)+COUNTIFS(Однолинейка!$K$3:$K$3000,C451,Однолинейка!$A$3:$A$3000,Щит_спец)),IF(A451="Модуль",IF(C451="","",COUNTIFS(Однолинейка!$AW$3:$AW$3000,"?*",Однолинейка!$AI$3:$AI$3000,C451,Однолинейка!$A$3:$A$3000,Щит_спец)),IF(A451="Клемма",IF(C451="","",IF(C451=$S$7,SUMIFS(Однолинейка!$BW$3:$BW$3000,Однолинейка!$A$3:$A$3000,Щит_спец),IF(C451=$S$8,SUMIFS(Однолинейка!$BX$3:$BX$3000,Однолинейка!$A$3:$A$3000,Щит_спец),""))),""))))</f>
        <v/>
      </c>
      <c r="O451" s="74"/>
      <c r="P451" s="38" t="str">
        <f t="shared" si="54"/>
        <v/>
      </c>
      <c r="U451" s="38" t="str">
        <f t="shared" si="55"/>
        <v/>
      </c>
      <c r="V451" s="38" t="str">
        <f t="shared" si="56"/>
        <v/>
      </c>
      <c r="W451" s="38" t="str">
        <f>IF(AND(U451&lt;&gt;"",OR($S$4="(все)",B451=$S$4),IF($S$4="(все)",COUNTIF($U$4:U451,U451),COUNTIFS($U$4:U451,U451,$B$4:B451,B451))=1),MAX($W$3:W450)+1,"")</f>
        <v/>
      </c>
      <c r="X451" s="38" t="str">
        <f t="shared" si="57"/>
        <v/>
      </c>
      <c r="Y451" s="38" t="str">
        <f>IF(AND(A451="Аппарат",C451&lt;&gt;"",OR($S$5="(все)",B451=$S$5)),MAX($Y$3:Y450)+1,"")</f>
        <v/>
      </c>
      <c r="Z451" s="38" t="str">
        <f t="shared" si="58"/>
        <v/>
      </c>
      <c r="AA451" s="38" t="str">
        <f>IF(AND(A451="Модуль",C451&lt;&gt;"",OR($S$6="(все)",B451=$S$6)),MAX($AA$3:AA450)+1,"")</f>
        <v/>
      </c>
      <c r="AB451" s="38" t="str">
        <f t="shared" si="59"/>
        <v/>
      </c>
      <c r="AC451" s="38" t="str">
        <f>IF(OR(B451="",COUNTIF($B$4:B451,B451)&gt;1),"",MAX($AC$3:AC450)+1)</f>
        <v/>
      </c>
      <c r="AD451" s="38" t="str">
        <f t="shared" si="60"/>
        <v/>
      </c>
      <c r="AE451" s="38" t="str">
        <f t="shared" si="61"/>
        <v/>
      </c>
      <c r="AF451" s="38" t="str">
        <f t="shared" si="62"/>
        <v/>
      </c>
    </row>
    <row r="452" spans="1:32" x14ac:dyDescent="0.3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38" t="str">
        <f>IF(OR(A452="Автомат",A452="Дифавтомат"),IF(W452="","",COUNTIFS(Однолинейка!$H$3:$H$3000,U452,Однолинейка!$A$3:$A$3000,Щит_спец)),IF(A452="Аппарат",IF(C452="","",COUNTIFS(Однолинейка!$I$3:$I$3000,C452,Однолинейка!$A$3:$A$3000,Щит_спец)+COUNTIFS(Однолинейка!$J$3:$J$3000,C452,Однолинейка!$A$3:$A$3000,Щит_спец)+COUNTIFS(Однолинейка!$K$3:$K$3000,C452,Однолинейка!$A$3:$A$3000,Щит_спец)),IF(A452="Модуль",IF(C452="","",COUNTIFS(Однолинейка!$AW$3:$AW$3000,"?*",Однолинейка!$AI$3:$AI$3000,C452,Однолинейка!$A$3:$A$3000,Щит_спец)),IF(A452="Клемма",IF(C452="","",IF(C452=$S$7,SUMIFS(Однолинейка!$BW$3:$BW$3000,Однолинейка!$A$3:$A$3000,Щит_спец),IF(C452=$S$8,SUMIFS(Однолинейка!$BX$3:$BX$3000,Однолинейка!$A$3:$A$3000,Щит_спец),""))),""))))</f>
        <v/>
      </c>
      <c r="O452" s="74"/>
      <c r="P452" s="38" t="str">
        <f t="shared" ref="P452:P500" si="63">IF(COUNT(N452,O452)=0,"",SUM(N452,O452))</f>
        <v/>
      </c>
      <c r="U452" s="38" t="str">
        <f t="shared" ref="U452:U500" si="64">IF(OR(A452="Автомат",A452="Дифавтомат"),I452&amp;" С"&amp;J452&amp;"А"&amp;IF(K452="да"," 30мА",IF(ISNUMBER(K452)," "&amp;K452&amp;"мА","")),"")</f>
        <v/>
      </c>
      <c r="V452" s="38" t="str">
        <f t="shared" ref="V452:V500" si="65">IF(U452="","",B452&amp;"|"&amp;U452)</f>
        <v/>
      </c>
      <c r="W452" s="38" t="str">
        <f>IF(AND(U452&lt;&gt;"",OR($S$4="(все)",B452=$S$4),IF($S$4="(все)",COUNTIF($U$4:U452,U452),COUNTIFS($U$4:U452,U452,$B$4:B452,B452))=1),MAX($W$3:W451)+1,"")</f>
        <v/>
      </c>
      <c r="X452" s="38" t="str">
        <f t="shared" ref="X452:X500" si="66">IFERROR(INDEX($U$4:$U$500,MATCH(ROW()-3,$W$4:$W$500,0)),"")</f>
        <v/>
      </c>
      <c r="Y452" s="38" t="str">
        <f>IF(AND(A452="Аппарат",C452&lt;&gt;"",OR($S$5="(все)",B452=$S$5)),MAX($Y$3:Y451)+1,"")</f>
        <v/>
      </c>
      <c r="Z452" s="38" t="str">
        <f t="shared" ref="Z452:Z500" si="67">IFERROR(INDEX($C$4:$C$500,MATCH(ROW()-3,$Y$4:$Y$500,0)),"")</f>
        <v/>
      </c>
      <c r="AA452" s="38" t="str">
        <f>IF(AND(A452="Модуль",C452&lt;&gt;"",OR($S$6="(все)",B452=$S$6)),MAX($AA$3:AA451)+1,"")</f>
        <v/>
      </c>
      <c r="AB452" s="38" t="str">
        <f t="shared" ref="AB452:AB500" si="68">IFERROR(INDEX($C$4:$C$500,MATCH(ROW()-3,$AA$4:$AA$500,0)),"")</f>
        <v/>
      </c>
      <c r="AC452" s="38" t="str">
        <f>IF(OR(B452="",COUNTIF($B$4:B452,B452)&gt;1),"",MAX($AC$3:AC451)+1)</f>
        <v/>
      </c>
      <c r="AD452" s="38" t="str">
        <f t="shared" ref="AD452:AD500" si="69">IFERROR(INDEX($B$4:$B$500,MATCH(ROW()-3,$AC$4:$AC$500,0)),"")</f>
        <v/>
      </c>
      <c r="AE452" s="38" t="str">
        <f t="shared" ref="AE452:AE500" si="70">IF(AND(A452&lt;&gt;"",N(P452)&gt;0),IFERROR(MATCH(A452,$R$12:$R$25,0),99)*1000+ROW(),"")</f>
        <v/>
      </c>
      <c r="AF452" s="38" t="str">
        <f t="shared" ref="AF452:AF500" si="71">IF(AE452="","",COUNTIF($AE$4:$AE$500,"&lt;="&amp;AE452))</f>
        <v/>
      </c>
    </row>
    <row r="453" spans="1:32" x14ac:dyDescent="0.3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38" t="str">
        <f>IF(OR(A453="Автомат",A453="Дифавтомат"),IF(W453="","",COUNTIFS(Однолинейка!$H$3:$H$3000,U453,Однолинейка!$A$3:$A$3000,Щит_спец)),IF(A453="Аппарат",IF(C453="","",COUNTIFS(Однолинейка!$I$3:$I$3000,C453,Однолинейка!$A$3:$A$3000,Щит_спец)+COUNTIFS(Однолинейка!$J$3:$J$3000,C453,Однолинейка!$A$3:$A$3000,Щит_спец)+COUNTIFS(Однолинейка!$K$3:$K$3000,C453,Однолинейка!$A$3:$A$3000,Щит_спец)),IF(A453="Модуль",IF(C453="","",COUNTIFS(Однолинейка!$AW$3:$AW$3000,"?*",Однолинейка!$AI$3:$AI$3000,C453,Однолинейка!$A$3:$A$3000,Щит_спец)),IF(A453="Клемма",IF(C453="","",IF(C453=$S$7,SUMIFS(Однолинейка!$BW$3:$BW$3000,Однолинейка!$A$3:$A$3000,Щит_спец),IF(C453=$S$8,SUMIFS(Однолинейка!$BX$3:$BX$3000,Однолинейка!$A$3:$A$3000,Щит_спец),""))),""))))</f>
        <v/>
      </c>
      <c r="O453" s="74"/>
      <c r="P453" s="38" t="str">
        <f t="shared" si="63"/>
        <v/>
      </c>
      <c r="U453" s="38" t="str">
        <f t="shared" si="64"/>
        <v/>
      </c>
      <c r="V453" s="38" t="str">
        <f t="shared" si="65"/>
        <v/>
      </c>
      <c r="W453" s="38" t="str">
        <f>IF(AND(U453&lt;&gt;"",OR($S$4="(все)",B453=$S$4),IF($S$4="(все)",COUNTIF($U$4:U453,U453),COUNTIFS($U$4:U453,U453,$B$4:B453,B453))=1),MAX($W$3:W452)+1,"")</f>
        <v/>
      </c>
      <c r="X453" s="38" t="str">
        <f t="shared" si="66"/>
        <v/>
      </c>
      <c r="Y453" s="38" t="str">
        <f>IF(AND(A453="Аппарат",C453&lt;&gt;"",OR($S$5="(все)",B453=$S$5)),MAX($Y$3:Y452)+1,"")</f>
        <v/>
      </c>
      <c r="Z453" s="38" t="str">
        <f t="shared" si="67"/>
        <v/>
      </c>
      <c r="AA453" s="38" t="str">
        <f>IF(AND(A453="Модуль",C453&lt;&gt;"",OR($S$6="(все)",B453=$S$6)),MAX($AA$3:AA452)+1,"")</f>
        <v/>
      </c>
      <c r="AB453" s="38" t="str">
        <f t="shared" si="68"/>
        <v/>
      </c>
      <c r="AC453" s="38" t="str">
        <f>IF(OR(B453="",COUNTIF($B$4:B453,B453)&gt;1),"",MAX($AC$3:AC452)+1)</f>
        <v/>
      </c>
      <c r="AD453" s="38" t="str">
        <f t="shared" si="69"/>
        <v/>
      </c>
      <c r="AE453" s="38" t="str">
        <f t="shared" si="70"/>
        <v/>
      </c>
      <c r="AF453" s="38" t="str">
        <f t="shared" si="71"/>
        <v/>
      </c>
    </row>
    <row r="454" spans="1:32" x14ac:dyDescent="0.3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38" t="str">
        <f>IF(OR(A454="Автомат",A454="Дифавтомат"),IF(W454="","",COUNTIFS(Однолинейка!$H$3:$H$3000,U454,Однолинейка!$A$3:$A$3000,Щит_спец)),IF(A454="Аппарат",IF(C454="","",COUNTIFS(Однолинейка!$I$3:$I$3000,C454,Однолинейка!$A$3:$A$3000,Щит_спец)+COUNTIFS(Однолинейка!$J$3:$J$3000,C454,Однолинейка!$A$3:$A$3000,Щит_спец)+COUNTIFS(Однолинейка!$K$3:$K$3000,C454,Однолинейка!$A$3:$A$3000,Щит_спец)),IF(A454="Модуль",IF(C454="","",COUNTIFS(Однолинейка!$AW$3:$AW$3000,"?*",Однолинейка!$AI$3:$AI$3000,C454,Однолинейка!$A$3:$A$3000,Щит_спец)),IF(A454="Клемма",IF(C454="","",IF(C454=$S$7,SUMIFS(Однолинейка!$BW$3:$BW$3000,Однолинейка!$A$3:$A$3000,Щит_спец),IF(C454=$S$8,SUMIFS(Однолинейка!$BX$3:$BX$3000,Однолинейка!$A$3:$A$3000,Щит_спец),""))),""))))</f>
        <v/>
      </c>
      <c r="O454" s="74"/>
      <c r="P454" s="38" t="str">
        <f t="shared" si="63"/>
        <v/>
      </c>
      <c r="U454" s="38" t="str">
        <f t="shared" si="64"/>
        <v/>
      </c>
      <c r="V454" s="38" t="str">
        <f t="shared" si="65"/>
        <v/>
      </c>
      <c r="W454" s="38" t="str">
        <f>IF(AND(U454&lt;&gt;"",OR($S$4="(все)",B454=$S$4),IF($S$4="(все)",COUNTIF($U$4:U454,U454),COUNTIFS($U$4:U454,U454,$B$4:B454,B454))=1),MAX($W$3:W453)+1,"")</f>
        <v/>
      </c>
      <c r="X454" s="38" t="str">
        <f t="shared" si="66"/>
        <v/>
      </c>
      <c r="Y454" s="38" t="str">
        <f>IF(AND(A454="Аппарат",C454&lt;&gt;"",OR($S$5="(все)",B454=$S$5)),MAX($Y$3:Y453)+1,"")</f>
        <v/>
      </c>
      <c r="Z454" s="38" t="str">
        <f t="shared" si="67"/>
        <v/>
      </c>
      <c r="AA454" s="38" t="str">
        <f>IF(AND(A454="Модуль",C454&lt;&gt;"",OR($S$6="(все)",B454=$S$6)),MAX($AA$3:AA453)+1,"")</f>
        <v/>
      </c>
      <c r="AB454" s="38" t="str">
        <f t="shared" si="68"/>
        <v/>
      </c>
      <c r="AC454" s="38" t="str">
        <f>IF(OR(B454="",COUNTIF($B$4:B454,B454)&gt;1),"",MAX($AC$3:AC453)+1)</f>
        <v/>
      </c>
      <c r="AD454" s="38" t="str">
        <f t="shared" si="69"/>
        <v/>
      </c>
      <c r="AE454" s="38" t="str">
        <f t="shared" si="70"/>
        <v/>
      </c>
      <c r="AF454" s="38" t="str">
        <f t="shared" si="71"/>
        <v/>
      </c>
    </row>
    <row r="455" spans="1:32" x14ac:dyDescent="0.3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38" t="str">
        <f>IF(OR(A455="Автомат",A455="Дифавтомат"),IF(W455="","",COUNTIFS(Однолинейка!$H$3:$H$3000,U455,Однолинейка!$A$3:$A$3000,Щит_спец)),IF(A455="Аппарат",IF(C455="","",COUNTIFS(Однолинейка!$I$3:$I$3000,C455,Однолинейка!$A$3:$A$3000,Щит_спец)+COUNTIFS(Однолинейка!$J$3:$J$3000,C455,Однолинейка!$A$3:$A$3000,Щит_спец)+COUNTIFS(Однолинейка!$K$3:$K$3000,C455,Однолинейка!$A$3:$A$3000,Щит_спец)),IF(A455="Модуль",IF(C455="","",COUNTIFS(Однолинейка!$AW$3:$AW$3000,"?*",Однолинейка!$AI$3:$AI$3000,C455,Однолинейка!$A$3:$A$3000,Щит_спец)),IF(A455="Клемма",IF(C455="","",IF(C455=$S$7,SUMIFS(Однолинейка!$BW$3:$BW$3000,Однолинейка!$A$3:$A$3000,Щит_спец),IF(C455=$S$8,SUMIFS(Однолинейка!$BX$3:$BX$3000,Однолинейка!$A$3:$A$3000,Щит_спец),""))),""))))</f>
        <v/>
      </c>
      <c r="O455" s="74"/>
      <c r="P455" s="38" t="str">
        <f t="shared" si="63"/>
        <v/>
      </c>
      <c r="U455" s="38" t="str">
        <f t="shared" si="64"/>
        <v/>
      </c>
      <c r="V455" s="38" t="str">
        <f t="shared" si="65"/>
        <v/>
      </c>
      <c r="W455" s="38" t="str">
        <f>IF(AND(U455&lt;&gt;"",OR($S$4="(все)",B455=$S$4),IF($S$4="(все)",COUNTIF($U$4:U455,U455),COUNTIFS($U$4:U455,U455,$B$4:B455,B455))=1),MAX($W$3:W454)+1,"")</f>
        <v/>
      </c>
      <c r="X455" s="38" t="str">
        <f t="shared" si="66"/>
        <v/>
      </c>
      <c r="Y455" s="38" t="str">
        <f>IF(AND(A455="Аппарат",C455&lt;&gt;"",OR($S$5="(все)",B455=$S$5)),MAX($Y$3:Y454)+1,"")</f>
        <v/>
      </c>
      <c r="Z455" s="38" t="str">
        <f t="shared" si="67"/>
        <v/>
      </c>
      <c r="AA455" s="38" t="str">
        <f>IF(AND(A455="Модуль",C455&lt;&gt;"",OR($S$6="(все)",B455=$S$6)),MAX($AA$3:AA454)+1,"")</f>
        <v/>
      </c>
      <c r="AB455" s="38" t="str">
        <f t="shared" si="68"/>
        <v/>
      </c>
      <c r="AC455" s="38" t="str">
        <f>IF(OR(B455="",COUNTIF($B$4:B455,B455)&gt;1),"",MAX($AC$3:AC454)+1)</f>
        <v/>
      </c>
      <c r="AD455" s="38" t="str">
        <f t="shared" si="69"/>
        <v/>
      </c>
      <c r="AE455" s="38" t="str">
        <f t="shared" si="70"/>
        <v/>
      </c>
      <c r="AF455" s="38" t="str">
        <f t="shared" si="71"/>
        <v/>
      </c>
    </row>
    <row r="456" spans="1:32" x14ac:dyDescent="0.3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38" t="str">
        <f>IF(OR(A456="Автомат",A456="Дифавтомат"),IF(W456="","",COUNTIFS(Однолинейка!$H$3:$H$3000,U456,Однолинейка!$A$3:$A$3000,Щит_спец)),IF(A456="Аппарат",IF(C456="","",COUNTIFS(Однолинейка!$I$3:$I$3000,C456,Однолинейка!$A$3:$A$3000,Щит_спец)+COUNTIFS(Однолинейка!$J$3:$J$3000,C456,Однолинейка!$A$3:$A$3000,Щит_спец)+COUNTIFS(Однолинейка!$K$3:$K$3000,C456,Однолинейка!$A$3:$A$3000,Щит_спец)),IF(A456="Модуль",IF(C456="","",COUNTIFS(Однолинейка!$AW$3:$AW$3000,"?*",Однолинейка!$AI$3:$AI$3000,C456,Однолинейка!$A$3:$A$3000,Щит_спец)),IF(A456="Клемма",IF(C456="","",IF(C456=$S$7,SUMIFS(Однолинейка!$BW$3:$BW$3000,Однолинейка!$A$3:$A$3000,Щит_спец),IF(C456=$S$8,SUMIFS(Однолинейка!$BX$3:$BX$3000,Однолинейка!$A$3:$A$3000,Щит_спец),""))),""))))</f>
        <v/>
      </c>
      <c r="O456" s="74"/>
      <c r="P456" s="38" t="str">
        <f t="shared" si="63"/>
        <v/>
      </c>
      <c r="U456" s="38" t="str">
        <f t="shared" si="64"/>
        <v/>
      </c>
      <c r="V456" s="38" t="str">
        <f t="shared" si="65"/>
        <v/>
      </c>
      <c r="W456" s="38" t="str">
        <f>IF(AND(U456&lt;&gt;"",OR($S$4="(все)",B456=$S$4),IF($S$4="(все)",COUNTIF($U$4:U456,U456),COUNTIFS($U$4:U456,U456,$B$4:B456,B456))=1),MAX($W$3:W455)+1,"")</f>
        <v/>
      </c>
      <c r="X456" s="38" t="str">
        <f t="shared" si="66"/>
        <v/>
      </c>
      <c r="Y456" s="38" t="str">
        <f>IF(AND(A456="Аппарат",C456&lt;&gt;"",OR($S$5="(все)",B456=$S$5)),MAX($Y$3:Y455)+1,"")</f>
        <v/>
      </c>
      <c r="Z456" s="38" t="str">
        <f t="shared" si="67"/>
        <v/>
      </c>
      <c r="AA456" s="38" t="str">
        <f>IF(AND(A456="Модуль",C456&lt;&gt;"",OR($S$6="(все)",B456=$S$6)),MAX($AA$3:AA455)+1,"")</f>
        <v/>
      </c>
      <c r="AB456" s="38" t="str">
        <f t="shared" si="68"/>
        <v/>
      </c>
      <c r="AC456" s="38" t="str">
        <f>IF(OR(B456="",COUNTIF($B$4:B456,B456)&gt;1),"",MAX($AC$3:AC455)+1)</f>
        <v/>
      </c>
      <c r="AD456" s="38" t="str">
        <f t="shared" si="69"/>
        <v/>
      </c>
      <c r="AE456" s="38" t="str">
        <f t="shared" si="70"/>
        <v/>
      </c>
      <c r="AF456" s="38" t="str">
        <f t="shared" si="71"/>
        <v/>
      </c>
    </row>
    <row r="457" spans="1:32" x14ac:dyDescent="0.3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38" t="str">
        <f>IF(OR(A457="Автомат",A457="Дифавтомат"),IF(W457="","",COUNTIFS(Однолинейка!$H$3:$H$3000,U457,Однолинейка!$A$3:$A$3000,Щит_спец)),IF(A457="Аппарат",IF(C457="","",COUNTIFS(Однолинейка!$I$3:$I$3000,C457,Однолинейка!$A$3:$A$3000,Щит_спец)+COUNTIFS(Однолинейка!$J$3:$J$3000,C457,Однолинейка!$A$3:$A$3000,Щит_спец)+COUNTIFS(Однолинейка!$K$3:$K$3000,C457,Однолинейка!$A$3:$A$3000,Щит_спец)),IF(A457="Модуль",IF(C457="","",COUNTIFS(Однолинейка!$AW$3:$AW$3000,"?*",Однолинейка!$AI$3:$AI$3000,C457,Однолинейка!$A$3:$A$3000,Щит_спец)),IF(A457="Клемма",IF(C457="","",IF(C457=$S$7,SUMIFS(Однолинейка!$BW$3:$BW$3000,Однолинейка!$A$3:$A$3000,Щит_спец),IF(C457=$S$8,SUMIFS(Однолинейка!$BX$3:$BX$3000,Однолинейка!$A$3:$A$3000,Щит_спец),""))),""))))</f>
        <v/>
      </c>
      <c r="O457" s="74"/>
      <c r="P457" s="38" t="str">
        <f t="shared" si="63"/>
        <v/>
      </c>
      <c r="U457" s="38" t="str">
        <f t="shared" si="64"/>
        <v/>
      </c>
      <c r="V457" s="38" t="str">
        <f t="shared" si="65"/>
        <v/>
      </c>
      <c r="W457" s="38" t="str">
        <f>IF(AND(U457&lt;&gt;"",OR($S$4="(все)",B457=$S$4),IF($S$4="(все)",COUNTIF($U$4:U457,U457),COUNTIFS($U$4:U457,U457,$B$4:B457,B457))=1),MAX($W$3:W456)+1,"")</f>
        <v/>
      </c>
      <c r="X457" s="38" t="str">
        <f t="shared" si="66"/>
        <v/>
      </c>
      <c r="Y457" s="38" t="str">
        <f>IF(AND(A457="Аппарат",C457&lt;&gt;"",OR($S$5="(все)",B457=$S$5)),MAX($Y$3:Y456)+1,"")</f>
        <v/>
      </c>
      <c r="Z457" s="38" t="str">
        <f t="shared" si="67"/>
        <v/>
      </c>
      <c r="AA457" s="38" t="str">
        <f>IF(AND(A457="Модуль",C457&lt;&gt;"",OR($S$6="(все)",B457=$S$6)),MAX($AA$3:AA456)+1,"")</f>
        <v/>
      </c>
      <c r="AB457" s="38" t="str">
        <f t="shared" si="68"/>
        <v/>
      </c>
      <c r="AC457" s="38" t="str">
        <f>IF(OR(B457="",COUNTIF($B$4:B457,B457)&gt;1),"",MAX($AC$3:AC456)+1)</f>
        <v/>
      </c>
      <c r="AD457" s="38" t="str">
        <f t="shared" si="69"/>
        <v/>
      </c>
      <c r="AE457" s="38" t="str">
        <f t="shared" si="70"/>
        <v/>
      </c>
      <c r="AF457" s="38" t="str">
        <f t="shared" si="71"/>
        <v/>
      </c>
    </row>
    <row r="458" spans="1:32" x14ac:dyDescent="0.3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38" t="str">
        <f>IF(OR(A458="Автомат",A458="Дифавтомат"),IF(W458="","",COUNTIFS(Однолинейка!$H$3:$H$3000,U458,Однолинейка!$A$3:$A$3000,Щит_спец)),IF(A458="Аппарат",IF(C458="","",COUNTIFS(Однолинейка!$I$3:$I$3000,C458,Однолинейка!$A$3:$A$3000,Щит_спец)+COUNTIFS(Однолинейка!$J$3:$J$3000,C458,Однолинейка!$A$3:$A$3000,Щит_спец)+COUNTIFS(Однолинейка!$K$3:$K$3000,C458,Однолинейка!$A$3:$A$3000,Щит_спец)),IF(A458="Модуль",IF(C458="","",COUNTIFS(Однолинейка!$AW$3:$AW$3000,"?*",Однолинейка!$AI$3:$AI$3000,C458,Однолинейка!$A$3:$A$3000,Щит_спец)),IF(A458="Клемма",IF(C458="","",IF(C458=$S$7,SUMIFS(Однолинейка!$BW$3:$BW$3000,Однолинейка!$A$3:$A$3000,Щит_спец),IF(C458=$S$8,SUMIFS(Однолинейка!$BX$3:$BX$3000,Однолинейка!$A$3:$A$3000,Щит_спец),""))),""))))</f>
        <v/>
      </c>
      <c r="O458" s="74"/>
      <c r="P458" s="38" t="str">
        <f t="shared" si="63"/>
        <v/>
      </c>
      <c r="U458" s="38" t="str">
        <f t="shared" si="64"/>
        <v/>
      </c>
      <c r="V458" s="38" t="str">
        <f t="shared" si="65"/>
        <v/>
      </c>
      <c r="W458" s="38" t="str">
        <f>IF(AND(U458&lt;&gt;"",OR($S$4="(все)",B458=$S$4),IF($S$4="(все)",COUNTIF($U$4:U458,U458),COUNTIFS($U$4:U458,U458,$B$4:B458,B458))=1),MAX($W$3:W457)+1,"")</f>
        <v/>
      </c>
      <c r="X458" s="38" t="str">
        <f t="shared" si="66"/>
        <v/>
      </c>
      <c r="Y458" s="38" t="str">
        <f>IF(AND(A458="Аппарат",C458&lt;&gt;"",OR($S$5="(все)",B458=$S$5)),MAX($Y$3:Y457)+1,"")</f>
        <v/>
      </c>
      <c r="Z458" s="38" t="str">
        <f t="shared" si="67"/>
        <v/>
      </c>
      <c r="AA458" s="38" t="str">
        <f>IF(AND(A458="Модуль",C458&lt;&gt;"",OR($S$6="(все)",B458=$S$6)),MAX($AA$3:AA457)+1,"")</f>
        <v/>
      </c>
      <c r="AB458" s="38" t="str">
        <f t="shared" si="68"/>
        <v/>
      </c>
      <c r="AC458" s="38" t="str">
        <f>IF(OR(B458="",COUNTIF($B$4:B458,B458)&gt;1),"",MAX($AC$3:AC457)+1)</f>
        <v/>
      </c>
      <c r="AD458" s="38" t="str">
        <f t="shared" si="69"/>
        <v/>
      </c>
      <c r="AE458" s="38" t="str">
        <f t="shared" si="70"/>
        <v/>
      </c>
      <c r="AF458" s="38" t="str">
        <f t="shared" si="71"/>
        <v/>
      </c>
    </row>
    <row r="459" spans="1:32" x14ac:dyDescent="0.3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38" t="str">
        <f>IF(OR(A459="Автомат",A459="Дифавтомат"),IF(W459="","",COUNTIFS(Однолинейка!$H$3:$H$3000,U459,Однолинейка!$A$3:$A$3000,Щит_спец)),IF(A459="Аппарат",IF(C459="","",COUNTIFS(Однолинейка!$I$3:$I$3000,C459,Однолинейка!$A$3:$A$3000,Щит_спец)+COUNTIFS(Однолинейка!$J$3:$J$3000,C459,Однолинейка!$A$3:$A$3000,Щит_спец)+COUNTIFS(Однолинейка!$K$3:$K$3000,C459,Однолинейка!$A$3:$A$3000,Щит_спец)),IF(A459="Модуль",IF(C459="","",COUNTIFS(Однолинейка!$AW$3:$AW$3000,"?*",Однолинейка!$AI$3:$AI$3000,C459,Однолинейка!$A$3:$A$3000,Щит_спец)),IF(A459="Клемма",IF(C459="","",IF(C459=$S$7,SUMIFS(Однолинейка!$BW$3:$BW$3000,Однолинейка!$A$3:$A$3000,Щит_спец),IF(C459=$S$8,SUMIFS(Однолинейка!$BX$3:$BX$3000,Однолинейка!$A$3:$A$3000,Щит_спец),""))),""))))</f>
        <v/>
      </c>
      <c r="O459" s="74"/>
      <c r="P459" s="38" t="str">
        <f t="shared" si="63"/>
        <v/>
      </c>
      <c r="U459" s="38" t="str">
        <f t="shared" si="64"/>
        <v/>
      </c>
      <c r="V459" s="38" t="str">
        <f t="shared" si="65"/>
        <v/>
      </c>
      <c r="W459" s="38" t="str">
        <f>IF(AND(U459&lt;&gt;"",OR($S$4="(все)",B459=$S$4),IF($S$4="(все)",COUNTIF($U$4:U459,U459),COUNTIFS($U$4:U459,U459,$B$4:B459,B459))=1),MAX($W$3:W458)+1,"")</f>
        <v/>
      </c>
      <c r="X459" s="38" t="str">
        <f t="shared" si="66"/>
        <v/>
      </c>
      <c r="Y459" s="38" t="str">
        <f>IF(AND(A459="Аппарат",C459&lt;&gt;"",OR($S$5="(все)",B459=$S$5)),MAX($Y$3:Y458)+1,"")</f>
        <v/>
      </c>
      <c r="Z459" s="38" t="str">
        <f t="shared" si="67"/>
        <v/>
      </c>
      <c r="AA459" s="38" t="str">
        <f>IF(AND(A459="Модуль",C459&lt;&gt;"",OR($S$6="(все)",B459=$S$6)),MAX($AA$3:AA458)+1,"")</f>
        <v/>
      </c>
      <c r="AB459" s="38" t="str">
        <f t="shared" si="68"/>
        <v/>
      </c>
      <c r="AC459" s="38" t="str">
        <f>IF(OR(B459="",COUNTIF($B$4:B459,B459)&gt;1),"",MAX($AC$3:AC458)+1)</f>
        <v/>
      </c>
      <c r="AD459" s="38" t="str">
        <f t="shared" si="69"/>
        <v/>
      </c>
      <c r="AE459" s="38" t="str">
        <f t="shared" si="70"/>
        <v/>
      </c>
      <c r="AF459" s="38" t="str">
        <f t="shared" si="71"/>
        <v/>
      </c>
    </row>
    <row r="460" spans="1:32" x14ac:dyDescent="0.3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38" t="str">
        <f>IF(OR(A460="Автомат",A460="Дифавтомат"),IF(W460="","",COUNTIFS(Однолинейка!$H$3:$H$3000,U460,Однолинейка!$A$3:$A$3000,Щит_спец)),IF(A460="Аппарат",IF(C460="","",COUNTIFS(Однолинейка!$I$3:$I$3000,C460,Однолинейка!$A$3:$A$3000,Щит_спец)+COUNTIFS(Однолинейка!$J$3:$J$3000,C460,Однолинейка!$A$3:$A$3000,Щит_спец)+COUNTIFS(Однолинейка!$K$3:$K$3000,C460,Однолинейка!$A$3:$A$3000,Щит_спец)),IF(A460="Модуль",IF(C460="","",COUNTIFS(Однолинейка!$AW$3:$AW$3000,"?*",Однолинейка!$AI$3:$AI$3000,C460,Однолинейка!$A$3:$A$3000,Щит_спец)),IF(A460="Клемма",IF(C460="","",IF(C460=$S$7,SUMIFS(Однолинейка!$BW$3:$BW$3000,Однолинейка!$A$3:$A$3000,Щит_спец),IF(C460=$S$8,SUMIFS(Однолинейка!$BX$3:$BX$3000,Однолинейка!$A$3:$A$3000,Щит_спец),""))),""))))</f>
        <v/>
      </c>
      <c r="O460" s="74"/>
      <c r="P460" s="38" t="str">
        <f t="shared" si="63"/>
        <v/>
      </c>
      <c r="U460" s="38" t="str">
        <f t="shared" si="64"/>
        <v/>
      </c>
      <c r="V460" s="38" t="str">
        <f t="shared" si="65"/>
        <v/>
      </c>
      <c r="W460" s="38" t="str">
        <f>IF(AND(U460&lt;&gt;"",OR($S$4="(все)",B460=$S$4),IF($S$4="(все)",COUNTIF($U$4:U460,U460),COUNTIFS($U$4:U460,U460,$B$4:B460,B460))=1),MAX($W$3:W459)+1,"")</f>
        <v/>
      </c>
      <c r="X460" s="38" t="str">
        <f t="shared" si="66"/>
        <v/>
      </c>
      <c r="Y460" s="38" t="str">
        <f>IF(AND(A460="Аппарат",C460&lt;&gt;"",OR($S$5="(все)",B460=$S$5)),MAX($Y$3:Y459)+1,"")</f>
        <v/>
      </c>
      <c r="Z460" s="38" t="str">
        <f t="shared" si="67"/>
        <v/>
      </c>
      <c r="AA460" s="38" t="str">
        <f>IF(AND(A460="Модуль",C460&lt;&gt;"",OR($S$6="(все)",B460=$S$6)),MAX($AA$3:AA459)+1,"")</f>
        <v/>
      </c>
      <c r="AB460" s="38" t="str">
        <f t="shared" si="68"/>
        <v/>
      </c>
      <c r="AC460" s="38" t="str">
        <f>IF(OR(B460="",COUNTIF($B$4:B460,B460)&gt;1),"",MAX($AC$3:AC459)+1)</f>
        <v/>
      </c>
      <c r="AD460" s="38" t="str">
        <f t="shared" si="69"/>
        <v/>
      </c>
      <c r="AE460" s="38" t="str">
        <f t="shared" si="70"/>
        <v/>
      </c>
      <c r="AF460" s="38" t="str">
        <f t="shared" si="71"/>
        <v/>
      </c>
    </row>
    <row r="461" spans="1:32" x14ac:dyDescent="0.3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38" t="str">
        <f>IF(OR(A461="Автомат",A461="Дифавтомат"),IF(W461="","",COUNTIFS(Однолинейка!$H$3:$H$3000,U461,Однолинейка!$A$3:$A$3000,Щит_спец)),IF(A461="Аппарат",IF(C461="","",COUNTIFS(Однолинейка!$I$3:$I$3000,C461,Однолинейка!$A$3:$A$3000,Щит_спец)+COUNTIFS(Однолинейка!$J$3:$J$3000,C461,Однолинейка!$A$3:$A$3000,Щит_спец)+COUNTIFS(Однолинейка!$K$3:$K$3000,C461,Однолинейка!$A$3:$A$3000,Щит_спец)),IF(A461="Модуль",IF(C461="","",COUNTIFS(Однолинейка!$AW$3:$AW$3000,"?*",Однолинейка!$AI$3:$AI$3000,C461,Однолинейка!$A$3:$A$3000,Щит_спец)),IF(A461="Клемма",IF(C461="","",IF(C461=$S$7,SUMIFS(Однолинейка!$BW$3:$BW$3000,Однолинейка!$A$3:$A$3000,Щит_спец),IF(C461=$S$8,SUMIFS(Однолинейка!$BX$3:$BX$3000,Однолинейка!$A$3:$A$3000,Щит_спец),""))),""))))</f>
        <v/>
      </c>
      <c r="O461" s="74"/>
      <c r="P461" s="38" t="str">
        <f t="shared" si="63"/>
        <v/>
      </c>
      <c r="U461" s="38" t="str">
        <f t="shared" si="64"/>
        <v/>
      </c>
      <c r="V461" s="38" t="str">
        <f t="shared" si="65"/>
        <v/>
      </c>
      <c r="W461" s="38" t="str">
        <f>IF(AND(U461&lt;&gt;"",OR($S$4="(все)",B461=$S$4),IF($S$4="(все)",COUNTIF($U$4:U461,U461),COUNTIFS($U$4:U461,U461,$B$4:B461,B461))=1),MAX($W$3:W460)+1,"")</f>
        <v/>
      </c>
      <c r="X461" s="38" t="str">
        <f t="shared" si="66"/>
        <v/>
      </c>
      <c r="Y461" s="38" t="str">
        <f>IF(AND(A461="Аппарат",C461&lt;&gt;"",OR($S$5="(все)",B461=$S$5)),MAX($Y$3:Y460)+1,"")</f>
        <v/>
      </c>
      <c r="Z461" s="38" t="str">
        <f t="shared" si="67"/>
        <v/>
      </c>
      <c r="AA461" s="38" t="str">
        <f>IF(AND(A461="Модуль",C461&lt;&gt;"",OR($S$6="(все)",B461=$S$6)),MAX($AA$3:AA460)+1,"")</f>
        <v/>
      </c>
      <c r="AB461" s="38" t="str">
        <f t="shared" si="68"/>
        <v/>
      </c>
      <c r="AC461" s="38" t="str">
        <f>IF(OR(B461="",COUNTIF($B$4:B461,B461)&gt;1),"",MAX($AC$3:AC460)+1)</f>
        <v/>
      </c>
      <c r="AD461" s="38" t="str">
        <f t="shared" si="69"/>
        <v/>
      </c>
      <c r="AE461" s="38" t="str">
        <f t="shared" si="70"/>
        <v/>
      </c>
      <c r="AF461" s="38" t="str">
        <f t="shared" si="71"/>
        <v/>
      </c>
    </row>
    <row r="462" spans="1:32" x14ac:dyDescent="0.3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38" t="str">
        <f>IF(OR(A462="Автомат",A462="Дифавтомат"),IF(W462="","",COUNTIFS(Однолинейка!$H$3:$H$3000,U462,Однолинейка!$A$3:$A$3000,Щит_спец)),IF(A462="Аппарат",IF(C462="","",COUNTIFS(Однолинейка!$I$3:$I$3000,C462,Однолинейка!$A$3:$A$3000,Щит_спец)+COUNTIFS(Однолинейка!$J$3:$J$3000,C462,Однолинейка!$A$3:$A$3000,Щит_спец)+COUNTIFS(Однолинейка!$K$3:$K$3000,C462,Однолинейка!$A$3:$A$3000,Щит_спец)),IF(A462="Модуль",IF(C462="","",COUNTIFS(Однолинейка!$AW$3:$AW$3000,"?*",Однолинейка!$AI$3:$AI$3000,C462,Однолинейка!$A$3:$A$3000,Щит_спец)),IF(A462="Клемма",IF(C462="","",IF(C462=$S$7,SUMIFS(Однолинейка!$BW$3:$BW$3000,Однолинейка!$A$3:$A$3000,Щит_спец),IF(C462=$S$8,SUMIFS(Однолинейка!$BX$3:$BX$3000,Однолинейка!$A$3:$A$3000,Щит_спец),""))),""))))</f>
        <v/>
      </c>
      <c r="O462" s="74"/>
      <c r="P462" s="38" t="str">
        <f t="shared" si="63"/>
        <v/>
      </c>
      <c r="U462" s="38" t="str">
        <f t="shared" si="64"/>
        <v/>
      </c>
      <c r="V462" s="38" t="str">
        <f t="shared" si="65"/>
        <v/>
      </c>
      <c r="W462" s="38" t="str">
        <f>IF(AND(U462&lt;&gt;"",OR($S$4="(все)",B462=$S$4),IF($S$4="(все)",COUNTIF($U$4:U462,U462),COUNTIFS($U$4:U462,U462,$B$4:B462,B462))=1),MAX($W$3:W461)+1,"")</f>
        <v/>
      </c>
      <c r="X462" s="38" t="str">
        <f t="shared" si="66"/>
        <v/>
      </c>
      <c r="Y462" s="38" t="str">
        <f>IF(AND(A462="Аппарат",C462&lt;&gt;"",OR($S$5="(все)",B462=$S$5)),MAX($Y$3:Y461)+1,"")</f>
        <v/>
      </c>
      <c r="Z462" s="38" t="str">
        <f t="shared" si="67"/>
        <v/>
      </c>
      <c r="AA462" s="38" t="str">
        <f>IF(AND(A462="Модуль",C462&lt;&gt;"",OR($S$6="(все)",B462=$S$6)),MAX($AA$3:AA461)+1,"")</f>
        <v/>
      </c>
      <c r="AB462" s="38" t="str">
        <f t="shared" si="68"/>
        <v/>
      </c>
      <c r="AC462" s="38" t="str">
        <f>IF(OR(B462="",COUNTIF($B$4:B462,B462)&gt;1),"",MAX($AC$3:AC461)+1)</f>
        <v/>
      </c>
      <c r="AD462" s="38" t="str">
        <f t="shared" si="69"/>
        <v/>
      </c>
      <c r="AE462" s="38" t="str">
        <f t="shared" si="70"/>
        <v/>
      </c>
      <c r="AF462" s="38" t="str">
        <f t="shared" si="71"/>
        <v/>
      </c>
    </row>
    <row r="463" spans="1:32" x14ac:dyDescent="0.3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38" t="str">
        <f>IF(OR(A463="Автомат",A463="Дифавтомат"),IF(W463="","",COUNTIFS(Однолинейка!$H$3:$H$3000,U463,Однолинейка!$A$3:$A$3000,Щит_спец)),IF(A463="Аппарат",IF(C463="","",COUNTIFS(Однолинейка!$I$3:$I$3000,C463,Однолинейка!$A$3:$A$3000,Щит_спец)+COUNTIFS(Однолинейка!$J$3:$J$3000,C463,Однолинейка!$A$3:$A$3000,Щит_спец)+COUNTIFS(Однолинейка!$K$3:$K$3000,C463,Однолинейка!$A$3:$A$3000,Щит_спец)),IF(A463="Модуль",IF(C463="","",COUNTIFS(Однолинейка!$AW$3:$AW$3000,"?*",Однолинейка!$AI$3:$AI$3000,C463,Однолинейка!$A$3:$A$3000,Щит_спец)),IF(A463="Клемма",IF(C463="","",IF(C463=$S$7,SUMIFS(Однолинейка!$BW$3:$BW$3000,Однолинейка!$A$3:$A$3000,Щит_спец),IF(C463=$S$8,SUMIFS(Однолинейка!$BX$3:$BX$3000,Однолинейка!$A$3:$A$3000,Щит_спец),""))),""))))</f>
        <v/>
      </c>
      <c r="O463" s="74"/>
      <c r="P463" s="38" t="str">
        <f t="shared" si="63"/>
        <v/>
      </c>
      <c r="U463" s="38" t="str">
        <f t="shared" si="64"/>
        <v/>
      </c>
      <c r="V463" s="38" t="str">
        <f t="shared" si="65"/>
        <v/>
      </c>
      <c r="W463" s="38" t="str">
        <f>IF(AND(U463&lt;&gt;"",OR($S$4="(все)",B463=$S$4),IF($S$4="(все)",COUNTIF($U$4:U463,U463),COUNTIFS($U$4:U463,U463,$B$4:B463,B463))=1),MAX($W$3:W462)+1,"")</f>
        <v/>
      </c>
      <c r="X463" s="38" t="str">
        <f t="shared" si="66"/>
        <v/>
      </c>
      <c r="Y463" s="38" t="str">
        <f>IF(AND(A463="Аппарат",C463&lt;&gt;"",OR($S$5="(все)",B463=$S$5)),MAX($Y$3:Y462)+1,"")</f>
        <v/>
      </c>
      <c r="Z463" s="38" t="str">
        <f t="shared" si="67"/>
        <v/>
      </c>
      <c r="AA463" s="38" t="str">
        <f>IF(AND(A463="Модуль",C463&lt;&gt;"",OR($S$6="(все)",B463=$S$6)),MAX($AA$3:AA462)+1,"")</f>
        <v/>
      </c>
      <c r="AB463" s="38" t="str">
        <f t="shared" si="68"/>
        <v/>
      </c>
      <c r="AC463" s="38" t="str">
        <f>IF(OR(B463="",COUNTIF($B$4:B463,B463)&gt;1),"",MAX($AC$3:AC462)+1)</f>
        <v/>
      </c>
      <c r="AD463" s="38" t="str">
        <f t="shared" si="69"/>
        <v/>
      </c>
      <c r="AE463" s="38" t="str">
        <f t="shared" si="70"/>
        <v/>
      </c>
      <c r="AF463" s="38" t="str">
        <f t="shared" si="71"/>
        <v/>
      </c>
    </row>
    <row r="464" spans="1:32" x14ac:dyDescent="0.3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38" t="str">
        <f>IF(OR(A464="Автомат",A464="Дифавтомат"),IF(W464="","",COUNTIFS(Однолинейка!$H$3:$H$3000,U464,Однолинейка!$A$3:$A$3000,Щит_спец)),IF(A464="Аппарат",IF(C464="","",COUNTIFS(Однолинейка!$I$3:$I$3000,C464,Однолинейка!$A$3:$A$3000,Щит_спец)+COUNTIFS(Однолинейка!$J$3:$J$3000,C464,Однолинейка!$A$3:$A$3000,Щит_спец)+COUNTIFS(Однолинейка!$K$3:$K$3000,C464,Однолинейка!$A$3:$A$3000,Щит_спец)),IF(A464="Модуль",IF(C464="","",COUNTIFS(Однолинейка!$AW$3:$AW$3000,"?*",Однолинейка!$AI$3:$AI$3000,C464,Однолинейка!$A$3:$A$3000,Щит_спец)),IF(A464="Клемма",IF(C464="","",IF(C464=$S$7,SUMIFS(Однолинейка!$BW$3:$BW$3000,Однолинейка!$A$3:$A$3000,Щит_спец),IF(C464=$S$8,SUMIFS(Однолинейка!$BX$3:$BX$3000,Однолинейка!$A$3:$A$3000,Щит_спец),""))),""))))</f>
        <v/>
      </c>
      <c r="O464" s="74"/>
      <c r="P464" s="38" t="str">
        <f t="shared" si="63"/>
        <v/>
      </c>
      <c r="U464" s="38" t="str">
        <f t="shared" si="64"/>
        <v/>
      </c>
      <c r="V464" s="38" t="str">
        <f t="shared" si="65"/>
        <v/>
      </c>
      <c r="W464" s="38" t="str">
        <f>IF(AND(U464&lt;&gt;"",OR($S$4="(все)",B464=$S$4),IF($S$4="(все)",COUNTIF($U$4:U464,U464),COUNTIFS($U$4:U464,U464,$B$4:B464,B464))=1),MAX($W$3:W463)+1,"")</f>
        <v/>
      </c>
      <c r="X464" s="38" t="str">
        <f t="shared" si="66"/>
        <v/>
      </c>
      <c r="Y464" s="38" t="str">
        <f>IF(AND(A464="Аппарат",C464&lt;&gt;"",OR($S$5="(все)",B464=$S$5)),MAX($Y$3:Y463)+1,"")</f>
        <v/>
      </c>
      <c r="Z464" s="38" t="str">
        <f t="shared" si="67"/>
        <v/>
      </c>
      <c r="AA464" s="38" t="str">
        <f>IF(AND(A464="Модуль",C464&lt;&gt;"",OR($S$6="(все)",B464=$S$6)),MAX($AA$3:AA463)+1,"")</f>
        <v/>
      </c>
      <c r="AB464" s="38" t="str">
        <f t="shared" si="68"/>
        <v/>
      </c>
      <c r="AC464" s="38" t="str">
        <f>IF(OR(B464="",COUNTIF($B$4:B464,B464)&gt;1),"",MAX($AC$3:AC463)+1)</f>
        <v/>
      </c>
      <c r="AD464" s="38" t="str">
        <f t="shared" si="69"/>
        <v/>
      </c>
      <c r="AE464" s="38" t="str">
        <f t="shared" si="70"/>
        <v/>
      </c>
      <c r="AF464" s="38" t="str">
        <f t="shared" si="71"/>
        <v/>
      </c>
    </row>
    <row r="465" spans="1:32" x14ac:dyDescent="0.3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38" t="str">
        <f>IF(OR(A465="Автомат",A465="Дифавтомат"),IF(W465="","",COUNTIFS(Однолинейка!$H$3:$H$3000,U465,Однолинейка!$A$3:$A$3000,Щит_спец)),IF(A465="Аппарат",IF(C465="","",COUNTIFS(Однолинейка!$I$3:$I$3000,C465,Однолинейка!$A$3:$A$3000,Щит_спец)+COUNTIFS(Однолинейка!$J$3:$J$3000,C465,Однолинейка!$A$3:$A$3000,Щит_спец)+COUNTIFS(Однолинейка!$K$3:$K$3000,C465,Однолинейка!$A$3:$A$3000,Щит_спец)),IF(A465="Модуль",IF(C465="","",COUNTIFS(Однолинейка!$AW$3:$AW$3000,"?*",Однолинейка!$AI$3:$AI$3000,C465,Однолинейка!$A$3:$A$3000,Щит_спец)),IF(A465="Клемма",IF(C465="","",IF(C465=$S$7,SUMIFS(Однолинейка!$BW$3:$BW$3000,Однолинейка!$A$3:$A$3000,Щит_спец),IF(C465=$S$8,SUMIFS(Однолинейка!$BX$3:$BX$3000,Однолинейка!$A$3:$A$3000,Щит_спец),""))),""))))</f>
        <v/>
      </c>
      <c r="O465" s="74"/>
      <c r="P465" s="38" t="str">
        <f t="shared" si="63"/>
        <v/>
      </c>
      <c r="U465" s="38" t="str">
        <f t="shared" si="64"/>
        <v/>
      </c>
      <c r="V465" s="38" t="str">
        <f t="shared" si="65"/>
        <v/>
      </c>
      <c r="W465" s="38" t="str">
        <f>IF(AND(U465&lt;&gt;"",OR($S$4="(все)",B465=$S$4),IF($S$4="(все)",COUNTIF($U$4:U465,U465),COUNTIFS($U$4:U465,U465,$B$4:B465,B465))=1),MAX($W$3:W464)+1,"")</f>
        <v/>
      </c>
      <c r="X465" s="38" t="str">
        <f t="shared" si="66"/>
        <v/>
      </c>
      <c r="Y465" s="38" t="str">
        <f>IF(AND(A465="Аппарат",C465&lt;&gt;"",OR($S$5="(все)",B465=$S$5)),MAX($Y$3:Y464)+1,"")</f>
        <v/>
      </c>
      <c r="Z465" s="38" t="str">
        <f t="shared" si="67"/>
        <v/>
      </c>
      <c r="AA465" s="38" t="str">
        <f>IF(AND(A465="Модуль",C465&lt;&gt;"",OR($S$6="(все)",B465=$S$6)),MAX($AA$3:AA464)+1,"")</f>
        <v/>
      </c>
      <c r="AB465" s="38" t="str">
        <f t="shared" si="68"/>
        <v/>
      </c>
      <c r="AC465" s="38" t="str">
        <f>IF(OR(B465="",COUNTIF($B$4:B465,B465)&gt;1),"",MAX($AC$3:AC464)+1)</f>
        <v/>
      </c>
      <c r="AD465" s="38" t="str">
        <f t="shared" si="69"/>
        <v/>
      </c>
      <c r="AE465" s="38" t="str">
        <f t="shared" si="70"/>
        <v/>
      </c>
      <c r="AF465" s="38" t="str">
        <f t="shared" si="71"/>
        <v/>
      </c>
    </row>
    <row r="466" spans="1:32" x14ac:dyDescent="0.3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38" t="str">
        <f>IF(OR(A466="Автомат",A466="Дифавтомат"),IF(W466="","",COUNTIFS(Однолинейка!$H$3:$H$3000,U466,Однолинейка!$A$3:$A$3000,Щит_спец)),IF(A466="Аппарат",IF(C466="","",COUNTIFS(Однолинейка!$I$3:$I$3000,C466,Однолинейка!$A$3:$A$3000,Щит_спец)+COUNTIFS(Однолинейка!$J$3:$J$3000,C466,Однолинейка!$A$3:$A$3000,Щит_спец)+COUNTIFS(Однолинейка!$K$3:$K$3000,C466,Однолинейка!$A$3:$A$3000,Щит_спец)),IF(A466="Модуль",IF(C466="","",COUNTIFS(Однолинейка!$AW$3:$AW$3000,"?*",Однолинейка!$AI$3:$AI$3000,C466,Однолинейка!$A$3:$A$3000,Щит_спец)),IF(A466="Клемма",IF(C466="","",IF(C466=$S$7,SUMIFS(Однолинейка!$BW$3:$BW$3000,Однолинейка!$A$3:$A$3000,Щит_спец),IF(C466=$S$8,SUMIFS(Однолинейка!$BX$3:$BX$3000,Однолинейка!$A$3:$A$3000,Щит_спец),""))),""))))</f>
        <v/>
      </c>
      <c r="O466" s="74"/>
      <c r="P466" s="38" t="str">
        <f t="shared" si="63"/>
        <v/>
      </c>
      <c r="U466" s="38" t="str">
        <f t="shared" si="64"/>
        <v/>
      </c>
      <c r="V466" s="38" t="str">
        <f t="shared" si="65"/>
        <v/>
      </c>
      <c r="W466" s="38" t="str">
        <f>IF(AND(U466&lt;&gt;"",OR($S$4="(все)",B466=$S$4),IF($S$4="(все)",COUNTIF($U$4:U466,U466),COUNTIFS($U$4:U466,U466,$B$4:B466,B466))=1),MAX($W$3:W465)+1,"")</f>
        <v/>
      </c>
      <c r="X466" s="38" t="str">
        <f t="shared" si="66"/>
        <v/>
      </c>
      <c r="Y466" s="38" t="str">
        <f>IF(AND(A466="Аппарат",C466&lt;&gt;"",OR($S$5="(все)",B466=$S$5)),MAX($Y$3:Y465)+1,"")</f>
        <v/>
      </c>
      <c r="Z466" s="38" t="str">
        <f t="shared" si="67"/>
        <v/>
      </c>
      <c r="AA466" s="38" t="str">
        <f>IF(AND(A466="Модуль",C466&lt;&gt;"",OR($S$6="(все)",B466=$S$6)),MAX($AA$3:AA465)+1,"")</f>
        <v/>
      </c>
      <c r="AB466" s="38" t="str">
        <f t="shared" si="68"/>
        <v/>
      </c>
      <c r="AC466" s="38" t="str">
        <f>IF(OR(B466="",COUNTIF($B$4:B466,B466)&gt;1),"",MAX($AC$3:AC465)+1)</f>
        <v/>
      </c>
      <c r="AD466" s="38" t="str">
        <f t="shared" si="69"/>
        <v/>
      </c>
      <c r="AE466" s="38" t="str">
        <f t="shared" si="70"/>
        <v/>
      </c>
      <c r="AF466" s="38" t="str">
        <f t="shared" si="71"/>
        <v/>
      </c>
    </row>
    <row r="467" spans="1:32" x14ac:dyDescent="0.3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38" t="str">
        <f>IF(OR(A467="Автомат",A467="Дифавтомат"),IF(W467="","",COUNTIFS(Однолинейка!$H$3:$H$3000,U467,Однолинейка!$A$3:$A$3000,Щит_спец)),IF(A467="Аппарат",IF(C467="","",COUNTIFS(Однолинейка!$I$3:$I$3000,C467,Однолинейка!$A$3:$A$3000,Щит_спец)+COUNTIFS(Однолинейка!$J$3:$J$3000,C467,Однолинейка!$A$3:$A$3000,Щит_спец)+COUNTIFS(Однолинейка!$K$3:$K$3000,C467,Однолинейка!$A$3:$A$3000,Щит_спец)),IF(A467="Модуль",IF(C467="","",COUNTIFS(Однолинейка!$AW$3:$AW$3000,"?*",Однолинейка!$AI$3:$AI$3000,C467,Однолинейка!$A$3:$A$3000,Щит_спец)),IF(A467="Клемма",IF(C467="","",IF(C467=$S$7,SUMIFS(Однолинейка!$BW$3:$BW$3000,Однолинейка!$A$3:$A$3000,Щит_спец),IF(C467=$S$8,SUMIFS(Однолинейка!$BX$3:$BX$3000,Однолинейка!$A$3:$A$3000,Щит_спец),""))),""))))</f>
        <v/>
      </c>
      <c r="O467" s="74"/>
      <c r="P467" s="38" t="str">
        <f t="shared" si="63"/>
        <v/>
      </c>
      <c r="U467" s="38" t="str">
        <f t="shared" si="64"/>
        <v/>
      </c>
      <c r="V467" s="38" t="str">
        <f t="shared" si="65"/>
        <v/>
      </c>
      <c r="W467" s="38" t="str">
        <f>IF(AND(U467&lt;&gt;"",OR($S$4="(все)",B467=$S$4),IF($S$4="(все)",COUNTIF($U$4:U467,U467),COUNTIFS($U$4:U467,U467,$B$4:B467,B467))=1),MAX($W$3:W466)+1,"")</f>
        <v/>
      </c>
      <c r="X467" s="38" t="str">
        <f t="shared" si="66"/>
        <v/>
      </c>
      <c r="Y467" s="38" t="str">
        <f>IF(AND(A467="Аппарат",C467&lt;&gt;"",OR($S$5="(все)",B467=$S$5)),MAX($Y$3:Y466)+1,"")</f>
        <v/>
      </c>
      <c r="Z467" s="38" t="str">
        <f t="shared" si="67"/>
        <v/>
      </c>
      <c r="AA467" s="38" t="str">
        <f>IF(AND(A467="Модуль",C467&lt;&gt;"",OR($S$6="(все)",B467=$S$6)),MAX($AA$3:AA466)+1,"")</f>
        <v/>
      </c>
      <c r="AB467" s="38" t="str">
        <f t="shared" si="68"/>
        <v/>
      </c>
      <c r="AC467" s="38" t="str">
        <f>IF(OR(B467="",COUNTIF($B$4:B467,B467)&gt;1),"",MAX($AC$3:AC466)+1)</f>
        <v/>
      </c>
      <c r="AD467" s="38" t="str">
        <f t="shared" si="69"/>
        <v/>
      </c>
      <c r="AE467" s="38" t="str">
        <f t="shared" si="70"/>
        <v/>
      </c>
      <c r="AF467" s="38" t="str">
        <f t="shared" si="71"/>
        <v/>
      </c>
    </row>
    <row r="468" spans="1:32" x14ac:dyDescent="0.3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38" t="str">
        <f>IF(OR(A468="Автомат",A468="Дифавтомат"),IF(W468="","",COUNTIFS(Однолинейка!$H$3:$H$3000,U468,Однолинейка!$A$3:$A$3000,Щит_спец)),IF(A468="Аппарат",IF(C468="","",COUNTIFS(Однолинейка!$I$3:$I$3000,C468,Однолинейка!$A$3:$A$3000,Щит_спец)+COUNTIFS(Однолинейка!$J$3:$J$3000,C468,Однолинейка!$A$3:$A$3000,Щит_спец)+COUNTIFS(Однолинейка!$K$3:$K$3000,C468,Однолинейка!$A$3:$A$3000,Щит_спец)),IF(A468="Модуль",IF(C468="","",COUNTIFS(Однолинейка!$AW$3:$AW$3000,"?*",Однолинейка!$AI$3:$AI$3000,C468,Однолинейка!$A$3:$A$3000,Щит_спец)),IF(A468="Клемма",IF(C468="","",IF(C468=$S$7,SUMIFS(Однолинейка!$BW$3:$BW$3000,Однолинейка!$A$3:$A$3000,Щит_спец),IF(C468=$S$8,SUMIFS(Однолинейка!$BX$3:$BX$3000,Однолинейка!$A$3:$A$3000,Щит_спец),""))),""))))</f>
        <v/>
      </c>
      <c r="O468" s="74"/>
      <c r="P468" s="38" t="str">
        <f t="shared" si="63"/>
        <v/>
      </c>
      <c r="U468" s="38" t="str">
        <f t="shared" si="64"/>
        <v/>
      </c>
      <c r="V468" s="38" t="str">
        <f t="shared" si="65"/>
        <v/>
      </c>
      <c r="W468" s="38" t="str">
        <f>IF(AND(U468&lt;&gt;"",OR($S$4="(все)",B468=$S$4),IF($S$4="(все)",COUNTIF($U$4:U468,U468),COUNTIFS($U$4:U468,U468,$B$4:B468,B468))=1),MAX($W$3:W467)+1,"")</f>
        <v/>
      </c>
      <c r="X468" s="38" t="str">
        <f t="shared" si="66"/>
        <v/>
      </c>
      <c r="Y468" s="38" t="str">
        <f>IF(AND(A468="Аппарат",C468&lt;&gt;"",OR($S$5="(все)",B468=$S$5)),MAX($Y$3:Y467)+1,"")</f>
        <v/>
      </c>
      <c r="Z468" s="38" t="str">
        <f t="shared" si="67"/>
        <v/>
      </c>
      <c r="AA468" s="38" t="str">
        <f>IF(AND(A468="Модуль",C468&lt;&gt;"",OR($S$6="(все)",B468=$S$6)),MAX($AA$3:AA467)+1,"")</f>
        <v/>
      </c>
      <c r="AB468" s="38" t="str">
        <f t="shared" si="68"/>
        <v/>
      </c>
      <c r="AC468" s="38" t="str">
        <f>IF(OR(B468="",COUNTIF($B$4:B468,B468)&gt;1),"",MAX($AC$3:AC467)+1)</f>
        <v/>
      </c>
      <c r="AD468" s="38" t="str">
        <f t="shared" si="69"/>
        <v/>
      </c>
      <c r="AE468" s="38" t="str">
        <f t="shared" si="70"/>
        <v/>
      </c>
      <c r="AF468" s="38" t="str">
        <f t="shared" si="71"/>
        <v/>
      </c>
    </row>
    <row r="469" spans="1:32" x14ac:dyDescent="0.3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38" t="str">
        <f>IF(OR(A469="Автомат",A469="Дифавтомат"),IF(W469="","",COUNTIFS(Однолинейка!$H$3:$H$3000,U469,Однолинейка!$A$3:$A$3000,Щит_спец)),IF(A469="Аппарат",IF(C469="","",COUNTIFS(Однолинейка!$I$3:$I$3000,C469,Однолинейка!$A$3:$A$3000,Щит_спец)+COUNTIFS(Однолинейка!$J$3:$J$3000,C469,Однолинейка!$A$3:$A$3000,Щит_спец)+COUNTIFS(Однолинейка!$K$3:$K$3000,C469,Однолинейка!$A$3:$A$3000,Щит_спец)),IF(A469="Модуль",IF(C469="","",COUNTIFS(Однолинейка!$AW$3:$AW$3000,"?*",Однолинейка!$AI$3:$AI$3000,C469,Однолинейка!$A$3:$A$3000,Щит_спец)),IF(A469="Клемма",IF(C469="","",IF(C469=$S$7,SUMIFS(Однолинейка!$BW$3:$BW$3000,Однолинейка!$A$3:$A$3000,Щит_спец),IF(C469=$S$8,SUMIFS(Однолинейка!$BX$3:$BX$3000,Однолинейка!$A$3:$A$3000,Щит_спец),""))),""))))</f>
        <v/>
      </c>
      <c r="O469" s="74"/>
      <c r="P469" s="38" t="str">
        <f t="shared" si="63"/>
        <v/>
      </c>
      <c r="U469" s="38" t="str">
        <f t="shared" si="64"/>
        <v/>
      </c>
      <c r="V469" s="38" t="str">
        <f t="shared" si="65"/>
        <v/>
      </c>
      <c r="W469" s="38" t="str">
        <f>IF(AND(U469&lt;&gt;"",OR($S$4="(все)",B469=$S$4),IF($S$4="(все)",COUNTIF($U$4:U469,U469),COUNTIFS($U$4:U469,U469,$B$4:B469,B469))=1),MAX($W$3:W468)+1,"")</f>
        <v/>
      </c>
      <c r="X469" s="38" t="str">
        <f t="shared" si="66"/>
        <v/>
      </c>
      <c r="Y469" s="38" t="str">
        <f>IF(AND(A469="Аппарат",C469&lt;&gt;"",OR($S$5="(все)",B469=$S$5)),MAX($Y$3:Y468)+1,"")</f>
        <v/>
      </c>
      <c r="Z469" s="38" t="str">
        <f t="shared" si="67"/>
        <v/>
      </c>
      <c r="AA469" s="38" t="str">
        <f>IF(AND(A469="Модуль",C469&lt;&gt;"",OR($S$6="(все)",B469=$S$6)),MAX($AA$3:AA468)+1,"")</f>
        <v/>
      </c>
      <c r="AB469" s="38" t="str">
        <f t="shared" si="68"/>
        <v/>
      </c>
      <c r="AC469" s="38" t="str">
        <f>IF(OR(B469="",COUNTIF($B$4:B469,B469)&gt;1),"",MAX($AC$3:AC468)+1)</f>
        <v/>
      </c>
      <c r="AD469" s="38" t="str">
        <f t="shared" si="69"/>
        <v/>
      </c>
      <c r="AE469" s="38" t="str">
        <f t="shared" si="70"/>
        <v/>
      </c>
      <c r="AF469" s="38" t="str">
        <f t="shared" si="71"/>
        <v/>
      </c>
    </row>
    <row r="470" spans="1:32" x14ac:dyDescent="0.3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38" t="str">
        <f>IF(OR(A470="Автомат",A470="Дифавтомат"),IF(W470="","",COUNTIFS(Однолинейка!$H$3:$H$3000,U470,Однолинейка!$A$3:$A$3000,Щит_спец)),IF(A470="Аппарат",IF(C470="","",COUNTIFS(Однолинейка!$I$3:$I$3000,C470,Однолинейка!$A$3:$A$3000,Щит_спец)+COUNTIFS(Однолинейка!$J$3:$J$3000,C470,Однолинейка!$A$3:$A$3000,Щит_спец)+COUNTIFS(Однолинейка!$K$3:$K$3000,C470,Однолинейка!$A$3:$A$3000,Щит_спец)),IF(A470="Модуль",IF(C470="","",COUNTIFS(Однолинейка!$AW$3:$AW$3000,"?*",Однолинейка!$AI$3:$AI$3000,C470,Однолинейка!$A$3:$A$3000,Щит_спец)),IF(A470="Клемма",IF(C470="","",IF(C470=$S$7,SUMIFS(Однолинейка!$BW$3:$BW$3000,Однолинейка!$A$3:$A$3000,Щит_спец),IF(C470=$S$8,SUMIFS(Однолинейка!$BX$3:$BX$3000,Однолинейка!$A$3:$A$3000,Щит_спец),""))),""))))</f>
        <v/>
      </c>
      <c r="O470" s="74"/>
      <c r="P470" s="38" t="str">
        <f t="shared" si="63"/>
        <v/>
      </c>
      <c r="U470" s="38" t="str">
        <f t="shared" si="64"/>
        <v/>
      </c>
      <c r="V470" s="38" t="str">
        <f t="shared" si="65"/>
        <v/>
      </c>
      <c r="W470" s="38" t="str">
        <f>IF(AND(U470&lt;&gt;"",OR($S$4="(все)",B470=$S$4),IF($S$4="(все)",COUNTIF($U$4:U470,U470),COUNTIFS($U$4:U470,U470,$B$4:B470,B470))=1),MAX($W$3:W469)+1,"")</f>
        <v/>
      </c>
      <c r="X470" s="38" t="str">
        <f t="shared" si="66"/>
        <v/>
      </c>
      <c r="Y470" s="38" t="str">
        <f>IF(AND(A470="Аппарат",C470&lt;&gt;"",OR($S$5="(все)",B470=$S$5)),MAX($Y$3:Y469)+1,"")</f>
        <v/>
      </c>
      <c r="Z470" s="38" t="str">
        <f t="shared" si="67"/>
        <v/>
      </c>
      <c r="AA470" s="38" t="str">
        <f>IF(AND(A470="Модуль",C470&lt;&gt;"",OR($S$6="(все)",B470=$S$6)),MAX($AA$3:AA469)+1,"")</f>
        <v/>
      </c>
      <c r="AB470" s="38" t="str">
        <f t="shared" si="68"/>
        <v/>
      </c>
      <c r="AC470" s="38" t="str">
        <f>IF(OR(B470="",COUNTIF($B$4:B470,B470)&gt;1),"",MAX($AC$3:AC469)+1)</f>
        <v/>
      </c>
      <c r="AD470" s="38" t="str">
        <f t="shared" si="69"/>
        <v/>
      </c>
      <c r="AE470" s="38" t="str">
        <f t="shared" si="70"/>
        <v/>
      </c>
      <c r="AF470" s="38" t="str">
        <f t="shared" si="71"/>
        <v/>
      </c>
    </row>
    <row r="471" spans="1:32" x14ac:dyDescent="0.3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38" t="str">
        <f>IF(OR(A471="Автомат",A471="Дифавтомат"),IF(W471="","",COUNTIFS(Однолинейка!$H$3:$H$3000,U471,Однолинейка!$A$3:$A$3000,Щит_спец)),IF(A471="Аппарат",IF(C471="","",COUNTIFS(Однолинейка!$I$3:$I$3000,C471,Однолинейка!$A$3:$A$3000,Щит_спец)+COUNTIFS(Однолинейка!$J$3:$J$3000,C471,Однолинейка!$A$3:$A$3000,Щит_спец)+COUNTIFS(Однолинейка!$K$3:$K$3000,C471,Однолинейка!$A$3:$A$3000,Щит_спец)),IF(A471="Модуль",IF(C471="","",COUNTIFS(Однолинейка!$AW$3:$AW$3000,"?*",Однолинейка!$AI$3:$AI$3000,C471,Однолинейка!$A$3:$A$3000,Щит_спец)),IF(A471="Клемма",IF(C471="","",IF(C471=$S$7,SUMIFS(Однолинейка!$BW$3:$BW$3000,Однолинейка!$A$3:$A$3000,Щит_спец),IF(C471=$S$8,SUMIFS(Однолинейка!$BX$3:$BX$3000,Однолинейка!$A$3:$A$3000,Щит_спец),""))),""))))</f>
        <v/>
      </c>
      <c r="O471" s="74"/>
      <c r="P471" s="38" t="str">
        <f t="shared" si="63"/>
        <v/>
      </c>
      <c r="U471" s="38" t="str">
        <f t="shared" si="64"/>
        <v/>
      </c>
      <c r="V471" s="38" t="str">
        <f t="shared" si="65"/>
        <v/>
      </c>
      <c r="W471" s="38" t="str">
        <f>IF(AND(U471&lt;&gt;"",OR($S$4="(все)",B471=$S$4),IF($S$4="(все)",COUNTIF($U$4:U471,U471),COUNTIFS($U$4:U471,U471,$B$4:B471,B471))=1),MAX($W$3:W470)+1,"")</f>
        <v/>
      </c>
      <c r="X471" s="38" t="str">
        <f t="shared" si="66"/>
        <v/>
      </c>
      <c r="Y471" s="38" t="str">
        <f>IF(AND(A471="Аппарат",C471&lt;&gt;"",OR($S$5="(все)",B471=$S$5)),MAX($Y$3:Y470)+1,"")</f>
        <v/>
      </c>
      <c r="Z471" s="38" t="str">
        <f t="shared" si="67"/>
        <v/>
      </c>
      <c r="AA471" s="38" t="str">
        <f>IF(AND(A471="Модуль",C471&lt;&gt;"",OR($S$6="(все)",B471=$S$6)),MAX($AA$3:AA470)+1,"")</f>
        <v/>
      </c>
      <c r="AB471" s="38" t="str">
        <f t="shared" si="68"/>
        <v/>
      </c>
      <c r="AC471" s="38" t="str">
        <f>IF(OR(B471="",COUNTIF($B$4:B471,B471)&gt;1),"",MAX($AC$3:AC470)+1)</f>
        <v/>
      </c>
      <c r="AD471" s="38" t="str">
        <f t="shared" si="69"/>
        <v/>
      </c>
      <c r="AE471" s="38" t="str">
        <f t="shared" si="70"/>
        <v/>
      </c>
      <c r="AF471" s="38" t="str">
        <f t="shared" si="71"/>
        <v/>
      </c>
    </row>
    <row r="472" spans="1:32" x14ac:dyDescent="0.3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38" t="str">
        <f>IF(OR(A472="Автомат",A472="Дифавтомат"),IF(W472="","",COUNTIFS(Однолинейка!$H$3:$H$3000,U472,Однолинейка!$A$3:$A$3000,Щит_спец)),IF(A472="Аппарат",IF(C472="","",COUNTIFS(Однолинейка!$I$3:$I$3000,C472,Однолинейка!$A$3:$A$3000,Щит_спец)+COUNTIFS(Однолинейка!$J$3:$J$3000,C472,Однолинейка!$A$3:$A$3000,Щит_спец)+COUNTIFS(Однолинейка!$K$3:$K$3000,C472,Однолинейка!$A$3:$A$3000,Щит_спец)),IF(A472="Модуль",IF(C472="","",COUNTIFS(Однолинейка!$AW$3:$AW$3000,"?*",Однолинейка!$AI$3:$AI$3000,C472,Однолинейка!$A$3:$A$3000,Щит_спец)),IF(A472="Клемма",IF(C472="","",IF(C472=$S$7,SUMIFS(Однолинейка!$BW$3:$BW$3000,Однолинейка!$A$3:$A$3000,Щит_спец),IF(C472=$S$8,SUMIFS(Однолинейка!$BX$3:$BX$3000,Однолинейка!$A$3:$A$3000,Щит_спец),""))),""))))</f>
        <v/>
      </c>
      <c r="O472" s="74"/>
      <c r="P472" s="38" t="str">
        <f t="shared" si="63"/>
        <v/>
      </c>
      <c r="U472" s="38" t="str">
        <f t="shared" si="64"/>
        <v/>
      </c>
      <c r="V472" s="38" t="str">
        <f t="shared" si="65"/>
        <v/>
      </c>
      <c r="W472" s="38" t="str">
        <f>IF(AND(U472&lt;&gt;"",OR($S$4="(все)",B472=$S$4),IF($S$4="(все)",COUNTIF($U$4:U472,U472),COUNTIFS($U$4:U472,U472,$B$4:B472,B472))=1),MAX($W$3:W471)+1,"")</f>
        <v/>
      </c>
      <c r="X472" s="38" t="str">
        <f t="shared" si="66"/>
        <v/>
      </c>
      <c r="Y472" s="38" t="str">
        <f>IF(AND(A472="Аппарат",C472&lt;&gt;"",OR($S$5="(все)",B472=$S$5)),MAX($Y$3:Y471)+1,"")</f>
        <v/>
      </c>
      <c r="Z472" s="38" t="str">
        <f t="shared" si="67"/>
        <v/>
      </c>
      <c r="AA472" s="38" t="str">
        <f>IF(AND(A472="Модуль",C472&lt;&gt;"",OR($S$6="(все)",B472=$S$6)),MAX($AA$3:AA471)+1,"")</f>
        <v/>
      </c>
      <c r="AB472" s="38" t="str">
        <f t="shared" si="68"/>
        <v/>
      </c>
      <c r="AC472" s="38" t="str">
        <f>IF(OR(B472="",COUNTIF($B$4:B472,B472)&gt;1),"",MAX($AC$3:AC471)+1)</f>
        <v/>
      </c>
      <c r="AD472" s="38" t="str">
        <f t="shared" si="69"/>
        <v/>
      </c>
      <c r="AE472" s="38" t="str">
        <f t="shared" si="70"/>
        <v/>
      </c>
      <c r="AF472" s="38" t="str">
        <f t="shared" si="71"/>
        <v/>
      </c>
    </row>
    <row r="473" spans="1:32" x14ac:dyDescent="0.3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38" t="str">
        <f>IF(OR(A473="Автомат",A473="Дифавтомат"),IF(W473="","",COUNTIFS(Однолинейка!$H$3:$H$3000,U473,Однолинейка!$A$3:$A$3000,Щит_спец)),IF(A473="Аппарат",IF(C473="","",COUNTIFS(Однолинейка!$I$3:$I$3000,C473,Однолинейка!$A$3:$A$3000,Щит_спец)+COUNTIFS(Однолинейка!$J$3:$J$3000,C473,Однолинейка!$A$3:$A$3000,Щит_спец)+COUNTIFS(Однолинейка!$K$3:$K$3000,C473,Однолинейка!$A$3:$A$3000,Щит_спец)),IF(A473="Модуль",IF(C473="","",COUNTIFS(Однолинейка!$AW$3:$AW$3000,"?*",Однолинейка!$AI$3:$AI$3000,C473,Однолинейка!$A$3:$A$3000,Щит_спец)),IF(A473="Клемма",IF(C473="","",IF(C473=$S$7,SUMIFS(Однолинейка!$BW$3:$BW$3000,Однолинейка!$A$3:$A$3000,Щит_спец),IF(C473=$S$8,SUMIFS(Однолинейка!$BX$3:$BX$3000,Однолинейка!$A$3:$A$3000,Щит_спец),""))),""))))</f>
        <v/>
      </c>
      <c r="O473" s="74"/>
      <c r="P473" s="38" t="str">
        <f t="shared" si="63"/>
        <v/>
      </c>
      <c r="U473" s="38" t="str">
        <f t="shared" si="64"/>
        <v/>
      </c>
      <c r="V473" s="38" t="str">
        <f t="shared" si="65"/>
        <v/>
      </c>
      <c r="W473" s="38" t="str">
        <f>IF(AND(U473&lt;&gt;"",OR($S$4="(все)",B473=$S$4),IF($S$4="(все)",COUNTIF($U$4:U473,U473),COUNTIFS($U$4:U473,U473,$B$4:B473,B473))=1),MAX($W$3:W472)+1,"")</f>
        <v/>
      </c>
      <c r="X473" s="38" t="str">
        <f t="shared" si="66"/>
        <v/>
      </c>
      <c r="Y473" s="38" t="str">
        <f>IF(AND(A473="Аппарат",C473&lt;&gt;"",OR($S$5="(все)",B473=$S$5)),MAX($Y$3:Y472)+1,"")</f>
        <v/>
      </c>
      <c r="Z473" s="38" t="str">
        <f t="shared" si="67"/>
        <v/>
      </c>
      <c r="AA473" s="38" t="str">
        <f>IF(AND(A473="Модуль",C473&lt;&gt;"",OR($S$6="(все)",B473=$S$6)),MAX($AA$3:AA472)+1,"")</f>
        <v/>
      </c>
      <c r="AB473" s="38" t="str">
        <f t="shared" si="68"/>
        <v/>
      </c>
      <c r="AC473" s="38" t="str">
        <f>IF(OR(B473="",COUNTIF($B$4:B473,B473)&gt;1),"",MAX($AC$3:AC472)+1)</f>
        <v/>
      </c>
      <c r="AD473" s="38" t="str">
        <f t="shared" si="69"/>
        <v/>
      </c>
      <c r="AE473" s="38" t="str">
        <f t="shared" si="70"/>
        <v/>
      </c>
      <c r="AF473" s="38" t="str">
        <f t="shared" si="71"/>
        <v/>
      </c>
    </row>
    <row r="474" spans="1:32" x14ac:dyDescent="0.3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38" t="str">
        <f>IF(OR(A474="Автомат",A474="Дифавтомат"),IF(W474="","",COUNTIFS(Однолинейка!$H$3:$H$3000,U474,Однолинейка!$A$3:$A$3000,Щит_спец)),IF(A474="Аппарат",IF(C474="","",COUNTIFS(Однолинейка!$I$3:$I$3000,C474,Однолинейка!$A$3:$A$3000,Щит_спец)+COUNTIFS(Однолинейка!$J$3:$J$3000,C474,Однолинейка!$A$3:$A$3000,Щит_спец)+COUNTIFS(Однолинейка!$K$3:$K$3000,C474,Однолинейка!$A$3:$A$3000,Щит_спец)),IF(A474="Модуль",IF(C474="","",COUNTIFS(Однолинейка!$AW$3:$AW$3000,"?*",Однолинейка!$AI$3:$AI$3000,C474,Однолинейка!$A$3:$A$3000,Щит_спец)),IF(A474="Клемма",IF(C474="","",IF(C474=$S$7,SUMIFS(Однолинейка!$BW$3:$BW$3000,Однолинейка!$A$3:$A$3000,Щит_спец),IF(C474=$S$8,SUMIFS(Однолинейка!$BX$3:$BX$3000,Однолинейка!$A$3:$A$3000,Щит_спец),""))),""))))</f>
        <v/>
      </c>
      <c r="O474" s="74"/>
      <c r="P474" s="38" t="str">
        <f t="shared" si="63"/>
        <v/>
      </c>
      <c r="U474" s="38" t="str">
        <f t="shared" si="64"/>
        <v/>
      </c>
      <c r="V474" s="38" t="str">
        <f t="shared" si="65"/>
        <v/>
      </c>
      <c r="W474" s="38" t="str">
        <f>IF(AND(U474&lt;&gt;"",OR($S$4="(все)",B474=$S$4),IF($S$4="(все)",COUNTIF($U$4:U474,U474),COUNTIFS($U$4:U474,U474,$B$4:B474,B474))=1),MAX($W$3:W473)+1,"")</f>
        <v/>
      </c>
      <c r="X474" s="38" t="str">
        <f t="shared" si="66"/>
        <v/>
      </c>
      <c r="Y474" s="38" t="str">
        <f>IF(AND(A474="Аппарат",C474&lt;&gt;"",OR($S$5="(все)",B474=$S$5)),MAX($Y$3:Y473)+1,"")</f>
        <v/>
      </c>
      <c r="Z474" s="38" t="str">
        <f t="shared" si="67"/>
        <v/>
      </c>
      <c r="AA474" s="38" t="str">
        <f>IF(AND(A474="Модуль",C474&lt;&gt;"",OR($S$6="(все)",B474=$S$6)),MAX($AA$3:AA473)+1,"")</f>
        <v/>
      </c>
      <c r="AB474" s="38" t="str">
        <f t="shared" si="68"/>
        <v/>
      </c>
      <c r="AC474" s="38" t="str">
        <f>IF(OR(B474="",COUNTIF($B$4:B474,B474)&gt;1),"",MAX($AC$3:AC473)+1)</f>
        <v/>
      </c>
      <c r="AD474" s="38" t="str">
        <f t="shared" si="69"/>
        <v/>
      </c>
      <c r="AE474" s="38" t="str">
        <f t="shared" si="70"/>
        <v/>
      </c>
      <c r="AF474" s="38" t="str">
        <f t="shared" si="71"/>
        <v/>
      </c>
    </row>
    <row r="475" spans="1:32" x14ac:dyDescent="0.3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38" t="str">
        <f>IF(OR(A475="Автомат",A475="Дифавтомат"),IF(W475="","",COUNTIFS(Однолинейка!$H$3:$H$3000,U475,Однолинейка!$A$3:$A$3000,Щит_спец)),IF(A475="Аппарат",IF(C475="","",COUNTIFS(Однолинейка!$I$3:$I$3000,C475,Однолинейка!$A$3:$A$3000,Щит_спец)+COUNTIFS(Однолинейка!$J$3:$J$3000,C475,Однолинейка!$A$3:$A$3000,Щит_спец)+COUNTIFS(Однолинейка!$K$3:$K$3000,C475,Однолинейка!$A$3:$A$3000,Щит_спец)),IF(A475="Модуль",IF(C475="","",COUNTIFS(Однолинейка!$AW$3:$AW$3000,"?*",Однолинейка!$AI$3:$AI$3000,C475,Однолинейка!$A$3:$A$3000,Щит_спец)),IF(A475="Клемма",IF(C475="","",IF(C475=$S$7,SUMIFS(Однолинейка!$BW$3:$BW$3000,Однолинейка!$A$3:$A$3000,Щит_спец),IF(C475=$S$8,SUMIFS(Однолинейка!$BX$3:$BX$3000,Однолинейка!$A$3:$A$3000,Щит_спец),""))),""))))</f>
        <v/>
      </c>
      <c r="O475" s="74"/>
      <c r="P475" s="38" t="str">
        <f t="shared" si="63"/>
        <v/>
      </c>
      <c r="U475" s="38" t="str">
        <f t="shared" si="64"/>
        <v/>
      </c>
      <c r="V475" s="38" t="str">
        <f t="shared" si="65"/>
        <v/>
      </c>
      <c r="W475" s="38" t="str">
        <f>IF(AND(U475&lt;&gt;"",OR($S$4="(все)",B475=$S$4),IF($S$4="(все)",COUNTIF($U$4:U475,U475),COUNTIFS($U$4:U475,U475,$B$4:B475,B475))=1),MAX($W$3:W474)+1,"")</f>
        <v/>
      </c>
      <c r="X475" s="38" t="str">
        <f t="shared" si="66"/>
        <v/>
      </c>
      <c r="Y475" s="38" t="str">
        <f>IF(AND(A475="Аппарат",C475&lt;&gt;"",OR($S$5="(все)",B475=$S$5)),MAX($Y$3:Y474)+1,"")</f>
        <v/>
      </c>
      <c r="Z475" s="38" t="str">
        <f t="shared" si="67"/>
        <v/>
      </c>
      <c r="AA475" s="38" t="str">
        <f>IF(AND(A475="Модуль",C475&lt;&gt;"",OR($S$6="(все)",B475=$S$6)),MAX($AA$3:AA474)+1,"")</f>
        <v/>
      </c>
      <c r="AB475" s="38" t="str">
        <f t="shared" si="68"/>
        <v/>
      </c>
      <c r="AC475" s="38" t="str">
        <f>IF(OR(B475="",COUNTIF($B$4:B475,B475)&gt;1),"",MAX($AC$3:AC474)+1)</f>
        <v/>
      </c>
      <c r="AD475" s="38" t="str">
        <f t="shared" si="69"/>
        <v/>
      </c>
      <c r="AE475" s="38" t="str">
        <f t="shared" si="70"/>
        <v/>
      </c>
      <c r="AF475" s="38" t="str">
        <f t="shared" si="71"/>
        <v/>
      </c>
    </row>
    <row r="476" spans="1:32" x14ac:dyDescent="0.3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38" t="str">
        <f>IF(OR(A476="Автомат",A476="Дифавтомат"),IF(W476="","",COUNTIFS(Однолинейка!$H$3:$H$3000,U476,Однолинейка!$A$3:$A$3000,Щит_спец)),IF(A476="Аппарат",IF(C476="","",COUNTIFS(Однолинейка!$I$3:$I$3000,C476,Однолинейка!$A$3:$A$3000,Щит_спец)+COUNTIFS(Однолинейка!$J$3:$J$3000,C476,Однолинейка!$A$3:$A$3000,Щит_спец)+COUNTIFS(Однолинейка!$K$3:$K$3000,C476,Однолинейка!$A$3:$A$3000,Щит_спец)),IF(A476="Модуль",IF(C476="","",COUNTIFS(Однолинейка!$AW$3:$AW$3000,"?*",Однолинейка!$AI$3:$AI$3000,C476,Однолинейка!$A$3:$A$3000,Щит_спец)),IF(A476="Клемма",IF(C476="","",IF(C476=$S$7,SUMIFS(Однолинейка!$BW$3:$BW$3000,Однолинейка!$A$3:$A$3000,Щит_спец),IF(C476=$S$8,SUMIFS(Однолинейка!$BX$3:$BX$3000,Однолинейка!$A$3:$A$3000,Щит_спец),""))),""))))</f>
        <v/>
      </c>
      <c r="O476" s="74"/>
      <c r="P476" s="38" t="str">
        <f t="shared" si="63"/>
        <v/>
      </c>
      <c r="U476" s="38" t="str">
        <f t="shared" si="64"/>
        <v/>
      </c>
      <c r="V476" s="38" t="str">
        <f t="shared" si="65"/>
        <v/>
      </c>
      <c r="W476" s="38" t="str">
        <f>IF(AND(U476&lt;&gt;"",OR($S$4="(все)",B476=$S$4),IF($S$4="(все)",COUNTIF($U$4:U476,U476),COUNTIFS($U$4:U476,U476,$B$4:B476,B476))=1),MAX($W$3:W475)+1,"")</f>
        <v/>
      </c>
      <c r="X476" s="38" t="str">
        <f t="shared" si="66"/>
        <v/>
      </c>
      <c r="Y476" s="38" t="str">
        <f>IF(AND(A476="Аппарат",C476&lt;&gt;"",OR($S$5="(все)",B476=$S$5)),MAX($Y$3:Y475)+1,"")</f>
        <v/>
      </c>
      <c r="Z476" s="38" t="str">
        <f t="shared" si="67"/>
        <v/>
      </c>
      <c r="AA476" s="38" t="str">
        <f>IF(AND(A476="Модуль",C476&lt;&gt;"",OR($S$6="(все)",B476=$S$6)),MAX($AA$3:AA475)+1,"")</f>
        <v/>
      </c>
      <c r="AB476" s="38" t="str">
        <f t="shared" si="68"/>
        <v/>
      </c>
      <c r="AC476" s="38" t="str">
        <f>IF(OR(B476="",COUNTIF($B$4:B476,B476)&gt;1),"",MAX($AC$3:AC475)+1)</f>
        <v/>
      </c>
      <c r="AD476" s="38" t="str">
        <f t="shared" si="69"/>
        <v/>
      </c>
      <c r="AE476" s="38" t="str">
        <f t="shared" si="70"/>
        <v/>
      </c>
      <c r="AF476" s="38" t="str">
        <f t="shared" si="71"/>
        <v/>
      </c>
    </row>
    <row r="477" spans="1:32" x14ac:dyDescent="0.3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38" t="str">
        <f>IF(OR(A477="Автомат",A477="Дифавтомат"),IF(W477="","",COUNTIFS(Однолинейка!$H$3:$H$3000,U477,Однолинейка!$A$3:$A$3000,Щит_спец)),IF(A477="Аппарат",IF(C477="","",COUNTIFS(Однолинейка!$I$3:$I$3000,C477,Однолинейка!$A$3:$A$3000,Щит_спец)+COUNTIFS(Однолинейка!$J$3:$J$3000,C477,Однолинейка!$A$3:$A$3000,Щит_спец)+COUNTIFS(Однолинейка!$K$3:$K$3000,C477,Однолинейка!$A$3:$A$3000,Щит_спец)),IF(A477="Модуль",IF(C477="","",COUNTIFS(Однолинейка!$AW$3:$AW$3000,"?*",Однолинейка!$AI$3:$AI$3000,C477,Однолинейка!$A$3:$A$3000,Щит_спец)),IF(A477="Клемма",IF(C477="","",IF(C477=$S$7,SUMIFS(Однолинейка!$BW$3:$BW$3000,Однолинейка!$A$3:$A$3000,Щит_спец),IF(C477=$S$8,SUMIFS(Однолинейка!$BX$3:$BX$3000,Однолинейка!$A$3:$A$3000,Щит_спец),""))),""))))</f>
        <v/>
      </c>
      <c r="O477" s="74"/>
      <c r="P477" s="38" t="str">
        <f t="shared" si="63"/>
        <v/>
      </c>
      <c r="U477" s="38" t="str">
        <f t="shared" si="64"/>
        <v/>
      </c>
      <c r="V477" s="38" t="str">
        <f t="shared" si="65"/>
        <v/>
      </c>
      <c r="W477" s="38" t="str">
        <f>IF(AND(U477&lt;&gt;"",OR($S$4="(все)",B477=$S$4),IF($S$4="(все)",COUNTIF($U$4:U477,U477),COUNTIFS($U$4:U477,U477,$B$4:B477,B477))=1),MAX($W$3:W476)+1,"")</f>
        <v/>
      </c>
      <c r="X477" s="38" t="str">
        <f t="shared" si="66"/>
        <v/>
      </c>
      <c r="Y477" s="38" t="str">
        <f>IF(AND(A477="Аппарат",C477&lt;&gt;"",OR($S$5="(все)",B477=$S$5)),MAX($Y$3:Y476)+1,"")</f>
        <v/>
      </c>
      <c r="Z477" s="38" t="str">
        <f t="shared" si="67"/>
        <v/>
      </c>
      <c r="AA477" s="38" t="str">
        <f>IF(AND(A477="Модуль",C477&lt;&gt;"",OR($S$6="(все)",B477=$S$6)),MAX($AA$3:AA476)+1,"")</f>
        <v/>
      </c>
      <c r="AB477" s="38" t="str">
        <f t="shared" si="68"/>
        <v/>
      </c>
      <c r="AC477" s="38" t="str">
        <f>IF(OR(B477="",COUNTIF($B$4:B477,B477)&gt;1),"",MAX($AC$3:AC476)+1)</f>
        <v/>
      </c>
      <c r="AD477" s="38" t="str">
        <f t="shared" si="69"/>
        <v/>
      </c>
      <c r="AE477" s="38" t="str">
        <f t="shared" si="70"/>
        <v/>
      </c>
      <c r="AF477" s="38" t="str">
        <f t="shared" si="71"/>
        <v/>
      </c>
    </row>
    <row r="478" spans="1:32" x14ac:dyDescent="0.3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38" t="str">
        <f>IF(OR(A478="Автомат",A478="Дифавтомат"),IF(W478="","",COUNTIFS(Однолинейка!$H$3:$H$3000,U478,Однолинейка!$A$3:$A$3000,Щит_спец)),IF(A478="Аппарат",IF(C478="","",COUNTIFS(Однолинейка!$I$3:$I$3000,C478,Однолинейка!$A$3:$A$3000,Щит_спец)+COUNTIFS(Однолинейка!$J$3:$J$3000,C478,Однолинейка!$A$3:$A$3000,Щит_спец)+COUNTIFS(Однолинейка!$K$3:$K$3000,C478,Однолинейка!$A$3:$A$3000,Щит_спец)),IF(A478="Модуль",IF(C478="","",COUNTIFS(Однолинейка!$AW$3:$AW$3000,"?*",Однолинейка!$AI$3:$AI$3000,C478,Однолинейка!$A$3:$A$3000,Щит_спец)),IF(A478="Клемма",IF(C478="","",IF(C478=$S$7,SUMIFS(Однолинейка!$BW$3:$BW$3000,Однолинейка!$A$3:$A$3000,Щит_спец),IF(C478=$S$8,SUMIFS(Однолинейка!$BX$3:$BX$3000,Однолинейка!$A$3:$A$3000,Щит_спец),""))),""))))</f>
        <v/>
      </c>
      <c r="O478" s="74"/>
      <c r="P478" s="38" t="str">
        <f t="shared" si="63"/>
        <v/>
      </c>
      <c r="U478" s="38" t="str">
        <f t="shared" si="64"/>
        <v/>
      </c>
      <c r="V478" s="38" t="str">
        <f t="shared" si="65"/>
        <v/>
      </c>
      <c r="W478" s="38" t="str">
        <f>IF(AND(U478&lt;&gt;"",OR($S$4="(все)",B478=$S$4),IF($S$4="(все)",COUNTIF($U$4:U478,U478),COUNTIFS($U$4:U478,U478,$B$4:B478,B478))=1),MAX($W$3:W477)+1,"")</f>
        <v/>
      </c>
      <c r="X478" s="38" t="str">
        <f t="shared" si="66"/>
        <v/>
      </c>
      <c r="Y478" s="38" t="str">
        <f>IF(AND(A478="Аппарат",C478&lt;&gt;"",OR($S$5="(все)",B478=$S$5)),MAX($Y$3:Y477)+1,"")</f>
        <v/>
      </c>
      <c r="Z478" s="38" t="str">
        <f t="shared" si="67"/>
        <v/>
      </c>
      <c r="AA478" s="38" t="str">
        <f>IF(AND(A478="Модуль",C478&lt;&gt;"",OR($S$6="(все)",B478=$S$6)),MAX($AA$3:AA477)+1,"")</f>
        <v/>
      </c>
      <c r="AB478" s="38" t="str">
        <f t="shared" si="68"/>
        <v/>
      </c>
      <c r="AC478" s="38" t="str">
        <f>IF(OR(B478="",COUNTIF($B$4:B478,B478)&gt;1),"",MAX($AC$3:AC477)+1)</f>
        <v/>
      </c>
      <c r="AD478" s="38" t="str">
        <f t="shared" si="69"/>
        <v/>
      </c>
      <c r="AE478" s="38" t="str">
        <f t="shared" si="70"/>
        <v/>
      </c>
      <c r="AF478" s="38" t="str">
        <f t="shared" si="71"/>
        <v/>
      </c>
    </row>
    <row r="479" spans="1:32" x14ac:dyDescent="0.3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38" t="str">
        <f>IF(OR(A479="Автомат",A479="Дифавтомат"),IF(W479="","",COUNTIFS(Однолинейка!$H$3:$H$3000,U479,Однолинейка!$A$3:$A$3000,Щит_спец)),IF(A479="Аппарат",IF(C479="","",COUNTIFS(Однолинейка!$I$3:$I$3000,C479,Однолинейка!$A$3:$A$3000,Щит_спец)+COUNTIFS(Однолинейка!$J$3:$J$3000,C479,Однолинейка!$A$3:$A$3000,Щит_спец)+COUNTIFS(Однолинейка!$K$3:$K$3000,C479,Однолинейка!$A$3:$A$3000,Щит_спец)),IF(A479="Модуль",IF(C479="","",COUNTIFS(Однолинейка!$AW$3:$AW$3000,"?*",Однолинейка!$AI$3:$AI$3000,C479,Однолинейка!$A$3:$A$3000,Щит_спец)),IF(A479="Клемма",IF(C479="","",IF(C479=$S$7,SUMIFS(Однолинейка!$BW$3:$BW$3000,Однолинейка!$A$3:$A$3000,Щит_спец),IF(C479=$S$8,SUMIFS(Однолинейка!$BX$3:$BX$3000,Однолинейка!$A$3:$A$3000,Щит_спец),""))),""))))</f>
        <v/>
      </c>
      <c r="O479" s="74"/>
      <c r="P479" s="38" t="str">
        <f t="shared" si="63"/>
        <v/>
      </c>
      <c r="U479" s="38" t="str">
        <f t="shared" si="64"/>
        <v/>
      </c>
      <c r="V479" s="38" t="str">
        <f t="shared" si="65"/>
        <v/>
      </c>
      <c r="W479" s="38" t="str">
        <f>IF(AND(U479&lt;&gt;"",OR($S$4="(все)",B479=$S$4),IF($S$4="(все)",COUNTIF($U$4:U479,U479),COUNTIFS($U$4:U479,U479,$B$4:B479,B479))=1),MAX($W$3:W478)+1,"")</f>
        <v/>
      </c>
      <c r="X479" s="38" t="str">
        <f t="shared" si="66"/>
        <v/>
      </c>
      <c r="Y479" s="38" t="str">
        <f>IF(AND(A479="Аппарат",C479&lt;&gt;"",OR($S$5="(все)",B479=$S$5)),MAX($Y$3:Y478)+1,"")</f>
        <v/>
      </c>
      <c r="Z479" s="38" t="str">
        <f t="shared" si="67"/>
        <v/>
      </c>
      <c r="AA479" s="38" t="str">
        <f>IF(AND(A479="Модуль",C479&lt;&gt;"",OR($S$6="(все)",B479=$S$6)),MAX($AA$3:AA478)+1,"")</f>
        <v/>
      </c>
      <c r="AB479" s="38" t="str">
        <f t="shared" si="68"/>
        <v/>
      </c>
      <c r="AC479" s="38" t="str">
        <f>IF(OR(B479="",COUNTIF($B$4:B479,B479)&gt;1),"",MAX($AC$3:AC478)+1)</f>
        <v/>
      </c>
      <c r="AD479" s="38" t="str">
        <f t="shared" si="69"/>
        <v/>
      </c>
      <c r="AE479" s="38" t="str">
        <f t="shared" si="70"/>
        <v/>
      </c>
      <c r="AF479" s="38" t="str">
        <f t="shared" si="71"/>
        <v/>
      </c>
    </row>
    <row r="480" spans="1:32" x14ac:dyDescent="0.3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38" t="str">
        <f>IF(OR(A480="Автомат",A480="Дифавтомат"),IF(W480="","",COUNTIFS(Однолинейка!$H$3:$H$3000,U480,Однолинейка!$A$3:$A$3000,Щит_спец)),IF(A480="Аппарат",IF(C480="","",COUNTIFS(Однолинейка!$I$3:$I$3000,C480,Однолинейка!$A$3:$A$3000,Щит_спец)+COUNTIFS(Однолинейка!$J$3:$J$3000,C480,Однолинейка!$A$3:$A$3000,Щит_спец)+COUNTIFS(Однолинейка!$K$3:$K$3000,C480,Однолинейка!$A$3:$A$3000,Щит_спец)),IF(A480="Модуль",IF(C480="","",COUNTIFS(Однолинейка!$AW$3:$AW$3000,"?*",Однолинейка!$AI$3:$AI$3000,C480,Однолинейка!$A$3:$A$3000,Щит_спец)),IF(A480="Клемма",IF(C480="","",IF(C480=$S$7,SUMIFS(Однолинейка!$BW$3:$BW$3000,Однолинейка!$A$3:$A$3000,Щит_спец),IF(C480=$S$8,SUMIFS(Однолинейка!$BX$3:$BX$3000,Однолинейка!$A$3:$A$3000,Щит_спец),""))),""))))</f>
        <v/>
      </c>
      <c r="O480" s="74"/>
      <c r="P480" s="38" t="str">
        <f t="shared" si="63"/>
        <v/>
      </c>
      <c r="U480" s="38" t="str">
        <f t="shared" si="64"/>
        <v/>
      </c>
      <c r="V480" s="38" t="str">
        <f t="shared" si="65"/>
        <v/>
      </c>
      <c r="W480" s="38" t="str">
        <f>IF(AND(U480&lt;&gt;"",OR($S$4="(все)",B480=$S$4),IF($S$4="(все)",COUNTIF($U$4:U480,U480),COUNTIFS($U$4:U480,U480,$B$4:B480,B480))=1),MAX($W$3:W479)+1,"")</f>
        <v/>
      </c>
      <c r="X480" s="38" t="str">
        <f t="shared" si="66"/>
        <v/>
      </c>
      <c r="Y480" s="38" t="str">
        <f>IF(AND(A480="Аппарат",C480&lt;&gt;"",OR($S$5="(все)",B480=$S$5)),MAX($Y$3:Y479)+1,"")</f>
        <v/>
      </c>
      <c r="Z480" s="38" t="str">
        <f t="shared" si="67"/>
        <v/>
      </c>
      <c r="AA480" s="38" t="str">
        <f>IF(AND(A480="Модуль",C480&lt;&gt;"",OR($S$6="(все)",B480=$S$6)),MAX($AA$3:AA479)+1,"")</f>
        <v/>
      </c>
      <c r="AB480" s="38" t="str">
        <f t="shared" si="68"/>
        <v/>
      </c>
      <c r="AC480" s="38" t="str">
        <f>IF(OR(B480="",COUNTIF($B$4:B480,B480)&gt;1),"",MAX($AC$3:AC479)+1)</f>
        <v/>
      </c>
      <c r="AD480" s="38" t="str">
        <f t="shared" si="69"/>
        <v/>
      </c>
      <c r="AE480" s="38" t="str">
        <f t="shared" si="70"/>
        <v/>
      </c>
      <c r="AF480" s="38" t="str">
        <f t="shared" si="71"/>
        <v/>
      </c>
    </row>
    <row r="481" spans="1:32" x14ac:dyDescent="0.3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38" t="str">
        <f>IF(OR(A481="Автомат",A481="Дифавтомат"),IF(W481="","",COUNTIFS(Однолинейка!$H$3:$H$3000,U481,Однолинейка!$A$3:$A$3000,Щит_спец)),IF(A481="Аппарат",IF(C481="","",COUNTIFS(Однолинейка!$I$3:$I$3000,C481,Однолинейка!$A$3:$A$3000,Щит_спец)+COUNTIFS(Однолинейка!$J$3:$J$3000,C481,Однолинейка!$A$3:$A$3000,Щит_спец)+COUNTIFS(Однолинейка!$K$3:$K$3000,C481,Однолинейка!$A$3:$A$3000,Щит_спец)),IF(A481="Модуль",IF(C481="","",COUNTIFS(Однолинейка!$AW$3:$AW$3000,"?*",Однолинейка!$AI$3:$AI$3000,C481,Однолинейка!$A$3:$A$3000,Щит_спец)),IF(A481="Клемма",IF(C481="","",IF(C481=$S$7,SUMIFS(Однолинейка!$BW$3:$BW$3000,Однолинейка!$A$3:$A$3000,Щит_спец),IF(C481=$S$8,SUMIFS(Однолинейка!$BX$3:$BX$3000,Однолинейка!$A$3:$A$3000,Щит_спец),""))),""))))</f>
        <v/>
      </c>
      <c r="O481" s="74"/>
      <c r="P481" s="38" t="str">
        <f t="shared" si="63"/>
        <v/>
      </c>
      <c r="U481" s="38" t="str">
        <f t="shared" si="64"/>
        <v/>
      </c>
      <c r="V481" s="38" t="str">
        <f t="shared" si="65"/>
        <v/>
      </c>
      <c r="W481" s="38" t="str">
        <f>IF(AND(U481&lt;&gt;"",OR($S$4="(все)",B481=$S$4),IF($S$4="(все)",COUNTIF($U$4:U481,U481),COUNTIFS($U$4:U481,U481,$B$4:B481,B481))=1),MAX($W$3:W480)+1,"")</f>
        <v/>
      </c>
      <c r="X481" s="38" t="str">
        <f t="shared" si="66"/>
        <v/>
      </c>
      <c r="Y481" s="38" t="str">
        <f>IF(AND(A481="Аппарат",C481&lt;&gt;"",OR($S$5="(все)",B481=$S$5)),MAX($Y$3:Y480)+1,"")</f>
        <v/>
      </c>
      <c r="Z481" s="38" t="str">
        <f t="shared" si="67"/>
        <v/>
      </c>
      <c r="AA481" s="38" t="str">
        <f>IF(AND(A481="Модуль",C481&lt;&gt;"",OR($S$6="(все)",B481=$S$6)),MAX($AA$3:AA480)+1,"")</f>
        <v/>
      </c>
      <c r="AB481" s="38" t="str">
        <f t="shared" si="68"/>
        <v/>
      </c>
      <c r="AC481" s="38" t="str">
        <f>IF(OR(B481="",COUNTIF($B$4:B481,B481)&gt;1),"",MAX($AC$3:AC480)+1)</f>
        <v/>
      </c>
      <c r="AD481" s="38" t="str">
        <f t="shared" si="69"/>
        <v/>
      </c>
      <c r="AE481" s="38" t="str">
        <f t="shared" si="70"/>
        <v/>
      </c>
      <c r="AF481" s="38" t="str">
        <f t="shared" si="71"/>
        <v/>
      </c>
    </row>
    <row r="482" spans="1:32" x14ac:dyDescent="0.3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38" t="str">
        <f>IF(OR(A482="Автомат",A482="Дифавтомат"),IF(W482="","",COUNTIFS(Однолинейка!$H$3:$H$3000,U482,Однолинейка!$A$3:$A$3000,Щит_спец)),IF(A482="Аппарат",IF(C482="","",COUNTIFS(Однолинейка!$I$3:$I$3000,C482,Однолинейка!$A$3:$A$3000,Щит_спец)+COUNTIFS(Однолинейка!$J$3:$J$3000,C482,Однолинейка!$A$3:$A$3000,Щит_спец)+COUNTIFS(Однолинейка!$K$3:$K$3000,C482,Однолинейка!$A$3:$A$3000,Щит_спец)),IF(A482="Модуль",IF(C482="","",COUNTIFS(Однолинейка!$AW$3:$AW$3000,"?*",Однолинейка!$AI$3:$AI$3000,C482,Однолинейка!$A$3:$A$3000,Щит_спец)),IF(A482="Клемма",IF(C482="","",IF(C482=$S$7,SUMIFS(Однолинейка!$BW$3:$BW$3000,Однолинейка!$A$3:$A$3000,Щит_спец),IF(C482=$S$8,SUMIFS(Однолинейка!$BX$3:$BX$3000,Однолинейка!$A$3:$A$3000,Щит_спец),""))),""))))</f>
        <v/>
      </c>
      <c r="O482" s="74"/>
      <c r="P482" s="38" t="str">
        <f t="shared" si="63"/>
        <v/>
      </c>
      <c r="U482" s="38" t="str">
        <f t="shared" si="64"/>
        <v/>
      </c>
      <c r="V482" s="38" t="str">
        <f t="shared" si="65"/>
        <v/>
      </c>
      <c r="W482" s="38" t="str">
        <f>IF(AND(U482&lt;&gt;"",OR($S$4="(все)",B482=$S$4),IF($S$4="(все)",COUNTIF($U$4:U482,U482),COUNTIFS($U$4:U482,U482,$B$4:B482,B482))=1),MAX($W$3:W481)+1,"")</f>
        <v/>
      </c>
      <c r="X482" s="38" t="str">
        <f t="shared" si="66"/>
        <v/>
      </c>
      <c r="Y482" s="38" t="str">
        <f>IF(AND(A482="Аппарат",C482&lt;&gt;"",OR($S$5="(все)",B482=$S$5)),MAX($Y$3:Y481)+1,"")</f>
        <v/>
      </c>
      <c r="Z482" s="38" t="str">
        <f t="shared" si="67"/>
        <v/>
      </c>
      <c r="AA482" s="38" t="str">
        <f>IF(AND(A482="Модуль",C482&lt;&gt;"",OR($S$6="(все)",B482=$S$6)),MAX($AA$3:AA481)+1,"")</f>
        <v/>
      </c>
      <c r="AB482" s="38" t="str">
        <f t="shared" si="68"/>
        <v/>
      </c>
      <c r="AC482" s="38" t="str">
        <f>IF(OR(B482="",COUNTIF($B$4:B482,B482)&gt;1),"",MAX($AC$3:AC481)+1)</f>
        <v/>
      </c>
      <c r="AD482" s="38" t="str">
        <f t="shared" si="69"/>
        <v/>
      </c>
      <c r="AE482" s="38" t="str">
        <f t="shared" si="70"/>
        <v/>
      </c>
      <c r="AF482" s="38" t="str">
        <f t="shared" si="71"/>
        <v/>
      </c>
    </row>
    <row r="483" spans="1:32" x14ac:dyDescent="0.3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38" t="str">
        <f>IF(OR(A483="Автомат",A483="Дифавтомат"),IF(W483="","",COUNTIFS(Однолинейка!$H$3:$H$3000,U483,Однолинейка!$A$3:$A$3000,Щит_спец)),IF(A483="Аппарат",IF(C483="","",COUNTIFS(Однолинейка!$I$3:$I$3000,C483,Однолинейка!$A$3:$A$3000,Щит_спец)+COUNTIFS(Однолинейка!$J$3:$J$3000,C483,Однолинейка!$A$3:$A$3000,Щит_спец)+COUNTIFS(Однолинейка!$K$3:$K$3000,C483,Однолинейка!$A$3:$A$3000,Щит_спец)),IF(A483="Модуль",IF(C483="","",COUNTIFS(Однолинейка!$AW$3:$AW$3000,"?*",Однолинейка!$AI$3:$AI$3000,C483,Однолинейка!$A$3:$A$3000,Щит_спец)),IF(A483="Клемма",IF(C483="","",IF(C483=$S$7,SUMIFS(Однолинейка!$BW$3:$BW$3000,Однолинейка!$A$3:$A$3000,Щит_спец),IF(C483=$S$8,SUMIFS(Однолинейка!$BX$3:$BX$3000,Однолинейка!$A$3:$A$3000,Щит_спец),""))),""))))</f>
        <v/>
      </c>
      <c r="O483" s="74"/>
      <c r="P483" s="38" t="str">
        <f t="shared" si="63"/>
        <v/>
      </c>
      <c r="U483" s="38" t="str">
        <f t="shared" si="64"/>
        <v/>
      </c>
      <c r="V483" s="38" t="str">
        <f t="shared" si="65"/>
        <v/>
      </c>
      <c r="W483" s="38" t="str">
        <f>IF(AND(U483&lt;&gt;"",OR($S$4="(все)",B483=$S$4),IF($S$4="(все)",COUNTIF($U$4:U483,U483),COUNTIFS($U$4:U483,U483,$B$4:B483,B483))=1),MAX($W$3:W482)+1,"")</f>
        <v/>
      </c>
      <c r="X483" s="38" t="str">
        <f t="shared" si="66"/>
        <v/>
      </c>
      <c r="Y483" s="38" t="str">
        <f>IF(AND(A483="Аппарат",C483&lt;&gt;"",OR($S$5="(все)",B483=$S$5)),MAX($Y$3:Y482)+1,"")</f>
        <v/>
      </c>
      <c r="Z483" s="38" t="str">
        <f t="shared" si="67"/>
        <v/>
      </c>
      <c r="AA483" s="38" t="str">
        <f>IF(AND(A483="Модуль",C483&lt;&gt;"",OR($S$6="(все)",B483=$S$6)),MAX($AA$3:AA482)+1,"")</f>
        <v/>
      </c>
      <c r="AB483" s="38" t="str">
        <f t="shared" si="68"/>
        <v/>
      </c>
      <c r="AC483" s="38" t="str">
        <f>IF(OR(B483="",COUNTIF($B$4:B483,B483)&gt;1),"",MAX($AC$3:AC482)+1)</f>
        <v/>
      </c>
      <c r="AD483" s="38" t="str">
        <f t="shared" si="69"/>
        <v/>
      </c>
      <c r="AE483" s="38" t="str">
        <f t="shared" si="70"/>
        <v/>
      </c>
      <c r="AF483" s="38" t="str">
        <f t="shared" si="71"/>
        <v/>
      </c>
    </row>
    <row r="484" spans="1:32" x14ac:dyDescent="0.3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38" t="str">
        <f>IF(OR(A484="Автомат",A484="Дифавтомат"),IF(W484="","",COUNTIFS(Однолинейка!$H$3:$H$3000,U484,Однолинейка!$A$3:$A$3000,Щит_спец)),IF(A484="Аппарат",IF(C484="","",COUNTIFS(Однолинейка!$I$3:$I$3000,C484,Однолинейка!$A$3:$A$3000,Щит_спец)+COUNTIFS(Однолинейка!$J$3:$J$3000,C484,Однолинейка!$A$3:$A$3000,Щит_спец)+COUNTIFS(Однолинейка!$K$3:$K$3000,C484,Однолинейка!$A$3:$A$3000,Щит_спец)),IF(A484="Модуль",IF(C484="","",COUNTIFS(Однолинейка!$AW$3:$AW$3000,"?*",Однолинейка!$AI$3:$AI$3000,C484,Однолинейка!$A$3:$A$3000,Щит_спец)),IF(A484="Клемма",IF(C484="","",IF(C484=$S$7,SUMIFS(Однолинейка!$BW$3:$BW$3000,Однолинейка!$A$3:$A$3000,Щит_спец),IF(C484=$S$8,SUMIFS(Однолинейка!$BX$3:$BX$3000,Однолинейка!$A$3:$A$3000,Щит_спец),""))),""))))</f>
        <v/>
      </c>
      <c r="O484" s="74"/>
      <c r="P484" s="38" t="str">
        <f t="shared" si="63"/>
        <v/>
      </c>
      <c r="U484" s="38" t="str">
        <f t="shared" si="64"/>
        <v/>
      </c>
      <c r="V484" s="38" t="str">
        <f t="shared" si="65"/>
        <v/>
      </c>
      <c r="W484" s="38" t="str">
        <f>IF(AND(U484&lt;&gt;"",OR($S$4="(все)",B484=$S$4),IF($S$4="(все)",COUNTIF($U$4:U484,U484),COUNTIFS($U$4:U484,U484,$B$4:B484,B484))=1),MAX($W$3:W483)+1,"")</f>
        <v/>
      </c>
      <c r="X484" s="38" t="str">
        <f t="shared" si="66"/>
        <v/>
      </c>
      <c r="Y484" s="38" t="str">
        <f>IF(AND(A484="Аппарат",C484&lt;&gt;"",OR($S$5="(все)",B484=$S$5)),MAX($Y$3:Y483)+1,"")</f>
        <v/>
      </c>
      <c r="Z484" s="38" t="str">
        <f t="shared" si="67"/>
        <v/>
      </c>
      <c r="AA484" s="38" t="str">
        <f>IF(AND(A484="Модуль",C484&lt;&gt;"",OR($S$6="(все)",B484=$S$6)),MAX($AA$3:AA483)+1,"")</f>
        <v/>
      </c>
      <c r="AB484" s="38" t="str">
        <f t="shared" si="68"/>
        <v/>
      </c>
      <c r="AC484" s="38" t="str">
        <f>IF(OR(B484="",COUNTIF($B$4:B484,B484)&gt;1),"",MAX($AC$3:AC483)+1)</f>
        <v/>
      </c>
      <c r="AD484" s="38" t="str">
        <f t="shared" si="69"/>
        <v/>
      </c>
      <c r="AE484" s="38" t="str">
        <f t="shared" si="70"/>
        <v/>
      </c>
      <c r="AF484" s="38" t="str">
        <f t="shared" si="71"/>
        <v/>
      </c>
    </row>
    <row r="485" spans="1:32" x14ac:dyDescent="0.3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38" t="str">
        <f>IF(OR(A485="Автомат",A485="Дифавтомат"),IF(W485="","",COUNTIFS(Однолинейка!$H$3:$H$3000,U485,Однолинейка!$A$3:$A$3000,Щит_спец)),IF(A485="Аппарат",IF(C485="","",COUNTIFS(Однолинейка!$I$3:$I$3000,C485,Однолинейка!$A$3:$A$3000,Щит_спец)+COUNTIFS(Однолинейка!$J$3:$J$3000,C485,Однолинейка!$A$3:$A$3000,Щит_спец)+COUNTIFS(Однолинейка!$K$3:$K$3000,C485,Однолинейка!$A$3:$A$3000,Щит_спец)),IF(A485="Модуль",IF(C485="","",COUNTIFS(Однолинейка!$AW$3:$AW$3000,"?*",Однолинейка!$AI$3:$AI$3000,C485,Однолинейка!$A$3:$A$3000,Щит_спец)),IF(A485="Клемма",IF(C485="","",IF(C485=$S$7,SUMIFS(Однолинейка!$BW$3:$BW$3000,Однолинейка!$A$3:$A$3000,Щит_спец),IF(C485=$S$8,SUMIFS(Однолинейка!$BX$3:$BX$3000,Однолинейка!$A$3:$A$3000,Щит_спец),""))),""))))</f>
        <v/>
      </c>
      <c r="O485" s="74"/>
      <c r="P485" s="38" t="str">
        <f t="shared" si="63"/>
        <v/>
      </c>
      <c r="U485" s="38" t="str">
        <f t="shared" si="64"/>
        <v/>
      </c>
      <c r="V485" s="38" t="str">
        <f t="shared" si="65"/>
        <v/>
      </c>
      <c r="W485" s="38" t="str">
        <f>IF(AND(U485&lt;&gt;"",OR($S$4="(все)",B485=$S$4),IF($S$4="(все)",COUNTIF($U$4:U485,U485),COUNTIFS($U$4:U485,U485,$B$4:B485,B485))=1),MAX($W$3:W484)+1,"")</f>
        <v/>
      </c>
      <c r="X485" s="38" t="str">
        <f t="shared" si="66"/>
        <v/>
      </c>
      <c r="Y485" s="38" t="str">
        <f>IF(AND(A485="Аппарат",C485&lt;&gt;"",OR($S$5="(все)",B485=$S$5)),MAX($Y$3:Y484)+1,"")</f>
        <v/>
      </c>
      <c r="Z485" s="38" t="str">
        <f t="shared" si="67"/>
        <v/>
      </c>
      <c r="AA485" s="38" t="str">
        <f>IF(AND(A485="Модуль",C485&lt;&gt;"",OR($S$6="(все)",B485=$S$6)),MAX($AA$3:AA484)+1,"")</f>
        <v/>
      </c>
      <c r="AB485" s="38" t="str">
        <f t="shared" si="68"/>
        <v/>
      </c>
      <c r="AC485" s="38" t="str">
        <f>IF(OR(B485="",COUNTIF($B$4:B485,B485)&gt;1),"",MAX($AC$3:AC484)+1)</f>
        <v/>
      </c>
      <c r="AD485" s="38" t="str">
        <f t="shared" si="69"/>
        <v/>
      </c>
      <c r="AE485" s="38" t="str">
        <f t="shared" si="70"/>
        <v/>
      </c>
      <c r="AF485" s="38" t="str">
        <f t="shared" si="71"/>
        <v/>
      </c>
    </row>
    <row r="486" spans="1:32" x14ac:dyDescent="0.3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38" t="str">
        <f>IF(OR(A486="Автомат",A486="Дифавтомат"),IF(W486="","",COUNTIFS(Однолинейка!$H$3:$H$3000,U486,Однолинейка!$A$3:$A$3000,Щит_спец)),IF(A486="Аппарат",IF(C486="","",COUNTIFS(Однолинейка!$I$3:$I$3000,C486,Однолинейка!$A$3:$A$3000,Щит_спец)+COUNTIFS(Однолинейка!$J$3:$J$3000,C486,Однолинейка!$A$3:$A$3000,Щит_спец)+COUNTIFS(Однолинейка!$K$3:$K$3000,C486,Однолинейка!$A$3:$A$3000,Щит_спец)),IF(A486="Модуль",IF(C486="","",COUNTIFS(Однолинейка!$AW$3:$AW$3000,"?*",Однолинейка!$AI$3:$AI$3000,C486,Однолинейка!$A$3:$A$3000,Щит_спец)),IF(A486="Клемма",IF(C486="","",IF(C486=$S$7,SUMIFS(Однолинейка!$BW$3:$BW$3000,Однолинейка!$A$3:$A$3000,Щит_спец),IF(C486=$S$8,SUMIFS(Однолинейка!$BX$3:$BX$3000,Однолинейка!$A$3:$A$3000,Щит_спец),""))),""))))</f>
        <v/>
      </c>
      <c r="O486" s="74"/>
      <c r="P486" s="38" t="str">
        <f t="shared" si="63"/>
        <v/>
      </c>
      <c r="U486" s="38" t="str">
        <f t="shared" si="64"/>
        <v/>
      </c>
      <c r="V486" s="38" t="str">
        <f t="shared" si="65"/>
        <v/>
      </c>
      <c r="W486" s="38" t="str">
        <f>IF(AND(U486&lt;&gt;"",OR($S$4="(все)",B486=$S$4),IF($S$4="(все)",COUNTIF($U$4:U486,U486),COUNTIFS($U$4:U486,U486,$B$4:B486,B486))=1),MAX($W$3:W485)+1,"")</f>
        <v/>
      </c>
      <c r="X486" s="38" t="str">
        <f t="shared" si="66"/>
        <v/>
      </c>
      <c r="Y486" s="38" t="str">
        <f>IF(AND(A486="Аппарат",C486&lt;&gt;"",OR($S$5="(все)",B486=$S$5)),MAX($Y$3:Y485)+1,"")</f>
        <v/>
      </c>
      <c r="Z486" s="38" t="str">
        <f t="shared" si="67"/>
        <v/>
      </c>
      <c r="AA486" s="38" t="str">
        <f>IF(AND(A486="Модуль",C486&lt;&gt;"",OR($S$6="(все)",B486=$S$6)),MAX($AA$3:AA485)+1,"")</f>
        <v/>
      </c>
      <c r="AB486" s="38" t="str">
        <f t="shared" si="68"/>
        <v/>
      </c>
      <c r="AC486" s="38" t="str">
        <f>IF(OR(B486="",COUNTIF($B$4:B486,B486)&gt;1),"",MAX($AC$3:AC485)+1)</f>
        <v/>
      </c>
      <c r="AD486" s="38" t="str">
        <f t="shared" si="69"/>
        <v/>
      </c>
      <c r="AE486" s="38" t="str">
        <f t="shared" si="70"/>
        <v/>
      </c>
      <c r="AF486" s="38" t="str">
        <f t="shared" si="71"/>
        <v/>
      </c>
    </row>
    <row r="487" spans="1:32" x14ac:dyDescent="0.3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38" t="str">
        <f>IF(OR(A487="Автомат",A487="Дифавтомат"),IF(W487="","",COUNTIFS(Однолинейка!$H$3:$H$3000,U487,Однолинейка!$A$3:$A$3000,Щит_спец)),IF(A487="Аппарат",IF(C487="","",COUNTIFS(Однолинейка!$I$3:$I$3000,C487,Однолинейка!$A$3:$A$3000,Щит_спец)+COUNTIFS(Однолинейка!$J$3:$J$3000,C487,Однолинейка!$A$3:$A$3000,Щит_спец)+COUNTIFS(Однолинейка!$K$3:$K$3000,C487,Однолинейка!$A$3:$A$3000,Щит_спец)),IF(A487="Модуль",IF(C487="","",COUNTIFS(Однолинейка!$AW$3:$AW$3000,"?*",Однолинейка!$AI$3:$AI$3000,C487,Однолинейка!$A$3:$A$3000,Щит_спец)),IF(A487="Клемма",IF(C487="","",IF(C487=$S$7,SUMIFS(Однолинейка!$BW$3:$BW$3000,Однолинейка!$A$3:$A$3000,Щит_спец),IF(C487=$S$8,SUMIFS(Однолинейка!$BX$3:$BX$3000,Однолинейка!$A$3:$A$3000,Щит_спец),""))),""))))</f>
        <v/>
      </c>
      <c r="O487" s="74"/>
      <c r="P487" s="38" t="str">
        <f t="shared" si="63"/>
        <v/>
      </c>
      <c r="U487" s="38" t="str">
        <f t="shared" si="64"/>
        <v/>
      </c>
      <c r="V487" s="38" t="str">
        <f t="shared" si="65"/>
        <v/>
      </c>
      <c r="W487" s="38" t="str">
        <f>IF(AND(U487&lt;&gt;"",OR($S$4="(все)",B487=$S$4),IF($S$4="(все)",COUNTIF($U$4:U487,U487),COUNTIFS($U$4:U487,U487,$B$4:B487,B487))=1),MAX($W$3:W486)+1,"")</f>
        <v/>
      </c>
      <c r="X487" s="38" t="str">
        <f t="shared" si="66"/>
        <v/>
      </c>
      <c r="Y487" s="38" t="str">
        <f>IF(AND(A487="Аппарат",C487&lt;&gt;"",OR($S$5="(все)",B487=$S$5)),MAX($Y$3:Y486)+1,"")</f>
        <v/>
      </c>
      <c r="Z487" s="38" t="str">
        <f t="shared" si="67"/>
        <v/>
      </c>
      <c r="AA487" s="38" t="str">
        <f>IF(AND(A487="Модуль",C487&lt;&gt;"",OR($S$6="(все)",B487=$S$6)),MAX($AA$3:AA486)+1,"")</f>
        <v/>
      </c>
      <c r="AB487" s="38" t="str">
        <f t="shared" si="68"/>
        <v/>
      </c>
      <c r="AC487" s="38" t="str">
        <f>IF(OR(B487="",COUNTIF($B$4:B487,B487)&gt;1),"",MAX($AC$3:AC486)+1)</f>
        <v/>
      </c>
      <c r="AD487" s="38" t="str">
        <f t="shared" si="69"/>
        <v/>
      </c>
      <c r="AE487" s="38" t="str">
        <f t="shared" si="70"/>
        <v/>
      </c>
      <c r="AF487" s="38" t="str">
        <f t="shared" si="71"/>
        <v/>
      </c>
    </row>
    <row r="488" spans="1:32" x14ac:dyDescent="0.3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38" t="str">
        <f>IF(OR(A488="Автомат",A488="Дифавтомат"),IF(W488="","",COUNTIFS(Однолинейка!$H$3:$H$3000,U488,Однолинейка!$A$3:$A$3000,Щит_спец)),IF(A488="Аппарат",IF(C488="","",COUNTIFS(Однолинейка!$I$3:$I$3000,C488,Однолинейка!$A$3:$A$3000,Щит_спец)+COUNTIFS(Однолинейка!$J$3:$J$3000,C488,Однолинейка!$A$3:$A$3000,Щит_спец)+COUNTIFS(Однолинейка!$K$3:$K$3000,C488,Однолинейка!$A$3:$A$3000,Щит_спец)),IF(A488="Модуль",IF(C488="","",COUNTIFS(Однолинейка!$AW$3:$AW$3000,"?*",Однолинейка!$AI$3:$AI$3000,C488,Однолинейка!$A$3:$A$3000,Щит_спец)),IF(A488="Клемма",IF(C488="","",IF(C488=$S$7,SUMIFS(Однолинейка!$BW$3:$BW$3000,Однолинейка!$A$3:$A$3000,Щит_спец),IF(C488=$S$8,SUMIFS(Однолинейка!$BX$3:$BX$3000,Однолинейка!$A$3:$A$3000,Щит_спец),""))),""))))</f>
        <v/>
      </c>
      <c r="O488" s="74"/>
      <c r="P488" s="38" t="str">
        <f t="shared" si="63"/>
        <v/>
      </c>
      <c r="U488" s="38" t="str">
        <f t="shared" si="64"/>
        <v/>
      </c>
      <c r="V488" s="38" t="str">
        <f t="shared" si="65"/>
        <v/>
      </c>
      <c r="W488" s="38" t="str">
        <f>IF(AND(U488&lt;&gt;"",OR($S$4="(все)",B488=$S$4),IF($S$4="(все)",COUNTIF($U$4:U488,U488),COUNTIFS($U$4:U488,U488,$B$4:B488,B488))=1),MAX($W$3:W487)+1,"")</f>
        <v/>
      </c>
      <c r="X488" s="38" t="str">
        <f t="shared" si="66"/>
        <v/>
      </c>
      <c r="Y488" s="38" t="str">
        <f>IF(AND(A488="Аппарат",C488&lt;&gt;"",OR($S$5="(все)",B488=$S$5)),MAX($Y$3:Y487)+1,"")</f>
        <v/>
      </c>
      <c r="Z488" s="38" t="str">
        <f t="shared" si="67"/>
        <v/>
      </c>
      <c r="AA488" s="38" t="str">
        <f>IF(AND(A488="Модуль",C488&lt;&gt;"",OR($S$6="(все)",B488=$S$6)),MAX($AA$3:AA487)+1,"")</f>
        <v/>
      </c>
      <c r="AB488" s="38" t="str">
        <f t="shared" si="68"/>
        <v/>
      </c>
      <c r="AC488" s="38" t="str">
        <f>IF(OR(B488="",COUNTIF($B$4:B488,B488)&gt;1),"",MAX($AC$3:AC487)+1)</f>
        <v/>
      </c>
      <c r="AD488" s="38" t="str">
        <f t="shared" si="69"/>
        <v/>
      </c>
      <c r="AE488" s="38" t="str">
        <f t="shared" si="70"/>
        <v/>
      </c>
      <c r="AF488" s="38" t="str">
        <f t="shared" si="71"/>
        <v/>
      </c>
    </row>
    <row r="489" spans="1:32" x14ac:dyDescent="0.3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38" t="str">
        <f>IF(OR(A489="Автомат",A489="Дифавтомат"),IF(W489="","",COUNTIFS(Однолинейка!$H$3:$H$3000,U489,Однолинейка!$A$3:$A$3000,Щит_спец)),IF(A489="Аппарат",IF(C489="","",COUNTIFS(Однолинейка!$I$3:$I$3000,C489,Однолинейка!$A$3:$A$3000,Щит_спец)+COUNTIFS(Однолинейка!$J$3:$J$3000,C489,Однолинейка!$A$3:$A$3000,Щит_спец)+COUNTIFS(Однолинейка!$K$3:$K$3000,C489,Однолинейка!$A$3:$A$3000,Щит_спец)),IF(A489="Модуль",IF(C489="","",COUNTIFS(Однолинейка!$AW$3:$AW$3000,"?*",Однолинейка!$AI$3:$AI$3000,C489,Однолинейка!$A$3:$A$3000,Щит_спец)),IF(A489="Клемма",IF(C489="","",IF(C489=$S$7,SUMIFS(Однолинейка!$BW$3:$BW$3000,Однолинейка!$A$3:$A$3000,Щит_спец),IF(C489=$S$8,SUMIFS(Однолинейка!$BX$3:$BX$3000,Однолинейка!$A$3:$A$3000,Щит_спец),""))),""))))</f>
        <v/>
      </c>
      <c r="O489" s="74"/>
      <c r="P489" s="38" t="str">
        <f t="shared" si="63"/>
        <v/>
      </c>
      <c r="U489" s="38" t="str">
        <f t="shared" si="64"/>
        <v/>
      </c>
      <c r="V489" s="38" t="str">
        <f t="shared" si="65"/>
        <v/>
      </c>
      <c r="W489" s="38" t="str">
        <f>IF(AND(U489&lt;&gt;"",OR($S$4="(все)",B489=$S$4),IF($S$4="(все)",COUNTIF($U$4:U489,U489),COUNTIFS($U$4:U489,U489,$B$4:B489,B489))=1),MAX($W$3:W488)+1,"")</f>
        <v/>
      </c>
      <c r="X489" s="38" t="str">
        <f t="shared" si="66"/>
        <v/>
      </c>
      <c r="Y489" s="38" t="str">
        <f>IF(AND(A489="Аппарат",C489&lt;&gt;"",OR($S$5="(все)",B489=$S$5)),MAX($Y$3:Y488)+1,"")</f>
        <v/>
      </c>
      <c r="Z489" s="38" t="str">
        <f t="shared" si="67"/>
        <v/>
      </c>
      <c r="AA489" s="38" t="str">
        <f>IF(AND(A489="Модуль",C489&lt;&gt;"",OR($S$6="(все)",B489=$S$6)),MAX($AA$3:AA488)+1,"")</f>
        <v/>
      </c>
      <c r="AB489" s="38" t="str">
        <f t="shared" si="68"/>
        <v/>
      </c>
      <c r="AC489" s="38" t="str">
        <f>IF(OR(B489="",COUNTIF($B$4:B489,B489)&gt;1),"",MAX($AC$3:AC488)+1)</f>
        <v/>
      </c>
      <c r="AD489" s="38" t="str">
        <f t="shared" si="69"/>
        <v/>
      </c>
      <c r="AE489" s="38" t="str">
        <f t="shared" si="70"/>
        <v/>
      </c>
      <c r="AF489" s="38" t="str">
        <f t="shared" si="71"/>
        <v/>
      </c>
    </row>
    <row r="490" spans="1:32" x14ac:dyDescent="0.3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38" t="str">
        <f>IF(OR(A490="Автомат",A490="Дифавтомат"),IF(W490="","",COUNTIFS(Однолинейка!$H$3:$H$3000,U490,Однолинейка!$A$3:$A$3000,Щит_спец)),IF(A490="Аппарат",IF(C490="","",COUNTIFS(Однолинейка!$I$3:$I$3000,C490,Однолинейка!$A$3:$A$3000,Щит_спец)+COUNTIFS(Однолинейка!$J$3:$J$3000,C490,Однолинейка!$A$3:$A$3000,Щит_спец)+COUNTIFS(Однолинейка!$K$3:$K$3000,C490,Однолинейка!$A$3:$A$3000,Щит_спец)),IF(A490="Модуль",IF(C490="","",COUNTIFS(Однолинейка!$AW$3:$AW$3000,"?*",Однолинейка!$AI$3:$AI$3000,C490,Однолинейка!$A$3:$A$3000,Щит_спец)),IF(A490="Клемма",IF(C490="","",IF(C490=$S$7,SUMIFS(Однолинейка!$BW$3:$BW$3000,Однолинейка!$A$3:$A$3000,Щит_спец),IF(C490=$S$8,SUMIFS(Однолинейка!$BX$3:$BX$3000,Однолинейка!$A$3:$A$3000,Щит_спец),""))),""))))</f>
        <v/>
      </c>
      <c r="O490" s="74"/>
      <c r="P490" s="38" t="str">
        <f t="shared" si="63"/>
        <v/>
      </c>
      <c r="U490" s="38" t="str">
        <f t="shared" si="64"/>
        <v/>
      </c>
      <c r="V490" s="38" t="str">
        <f t="shared" si="65"/>
        <v/>
      </c>
      <c r="W490" s="38" t="str">
        <f>IF(AND(U490&lt;&gt;"",OR($S$4="(все)",B490=$S$4),IF($S$4="(все)",COUNTIF($U$4:U490,U490),COUNTIFS($U$4:U490,U490,$B$4:B490,B490))=1),MAX($W$3:W489)+1,"")</f>
        <v/>
      </c>
      <c r="X490" s="38" t="str">
        <f t="shared" si="66"/>
        <v/>
      </c>
      <c r="Y490" s="38" t="str">
        <f>IF(AND(A490="Аппарат",C490&lt;&gt;"",OR($S$5="(все)",B490=$S$5)),MAX($Y$3:Y489)+1,"")</f>
        <v/>
      </c>
      <c r="Z490" s="38" t="str">
        <f t="shared" si="67"/>
        <v/>
      </c>
      <c r="AA490" s="38" t="str">
        <f>IF(AND(A490="Модуль",C490&lt;&gt;"",OR($S$6="(все)",B490=$S$6)),MAX($AA$3:AA489)+1,"")</f>
        <v/>
      </c>
      <c r="AB490" s="38" t="str">
        <f t="shared" si="68"/>
        <v/>
      </c>
      <c r="AC490" s="38" t="str">
        <f>IF(OR(B490="",COUNTIF($B$4:B490,B490)&gt;1),"",MAX($AC$3:AC489)+1)</f>
        <v/>
      </c>
      <c r="AD490" s="38" t="str">
        <f t="shared" si="69"/>
        <v/>
      </c>
      <c r="AE490" s="38" t="str">
        <f t="shared" si="70"/>
        <v/>
      </c>
      <c r="AF490" s="38" t="str">
        <f t="shared" si="71"/>
        <v/>
      </c>
    </row>
    <row r="491" spans="1:32" x14ac:dyDescent="0.3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38" t="str">
        <f>IF(OR(A491="Автомат",A491="Дифавтомат"),IF(W491="","",COUNTIFS(Однолинейка!$H$3:$H$3000,U491,Однолинейка!$A$3:$A$3000,Щит_спец)),IF(A491="Аппарат",IF(C491="","",COUNTIFS(Однолинейка!$I$3:$I$3000,C491,Однолинейка!$A$3:$A$3000,Щит_спец)+COUNTIFS(Однолинейка!$J$3:$J$3000,C491,Однолинейка!$A$3:$A$3000,Щит_спец)+COUNTIFS(Однолинейка!$K$3:$K$3000,C491,Однолинейка!$A$3:$A$3000,Щит_спец)),IF(A491="Модуль",IF(C491="","",COUNTIFS(Однолинейка!$AW$3:$AW$3000,"?*",Однолинейка!$AI$3:$AI$3000,C491,Однолинейка!$A$3:$A$3000,Щит_спец)),IF(A491="Клемма",IF(C491="","",IF(C491=$S$7,SUMIFS(Однолинейка!$BW$3:$BW$3000,Однолинейка!$A$3:$A$3000,Щит_спец),IF(C491=$S$8,SUMIFS(Однолинейка!$BX$3:$BX$3000,Однолинейка!$A$3:$A$3000,Щит_спец),""))),""))))</f>
        <v/>
      </c>
      <c r="O491" s="74"/>
      <c r="P491" s="38" t="str">
        <f t="shared" si="63"/>
        <v/>
      </c>
      <c r="U491" s="38" t="str">
        <f t="shared" si="64"/>
        <v/>
      </c>
      <c r="V491" s="38" t="str">
        <f t="shared" si="65"/>
        <v/>
      </c>
      <c r="W491" s="38" t="str">
        <f>IF(AND(U491&lt;&gt;"",OR($S$4="(все)",B491=$S$4),IF($S$4="(все)",COUNTIF($U$4:U491,U491),COUNTIFS($U$4:U491,U491,$B$4:B491,B491))=1),MAX($W$3:W490)+1,"")</f>
        <v/>
      </c>
      <c r="X491" s="38" t="str">
        <f t="shared" si="66"/>
        <v/>
      </c>
      <c r="Y491" s="38" t="str">
        <f>IF(AND(A491="Аппарат",C491&lt;&gt;"",OR($S$5="(все)",B491=$S$5)),MAX($Y$3:Y490)+1,"")</f>
        <v/>
      </c>
      <c r="Z491" s="38" t="str">
        <f t="shared" si="67"/>
        <v/>
      </c>
      <c r="AA491" s="38" t="str">
        <f>IF(AND(A491="Модуль",C491&lt;&gt;"",OR($S$6="(все)",B491=$S$6)),MAX($AA$3:AA490)+1,"")</f>
        <v/>
      </c>
      <c r="AB491" s="38" t="str">
        <f t="shared" si="68"/>
        <v/>
      </c>
      <c r="AC491" s="38" t="str">
        <f>IF(OR(B491="",COUNTIF($B$4:B491,B491)&gt;1),"",MAX($AC$3:AC490)+1)</f>
        <v/>
      </c>
      <c r="AD491" s="38" t="str">
        <f t="shared" si="69"/>
        <v/>
      </c>
      <c r="AE491" s="38" t="str">
        <f t="shared" si="70"/>
        <v/>
      </c>
      <c r="AF491" s="38" t="str">
        <f t="shared" si="71"/>
        <v/>
      </c>
    </row>
    <row r="492" spans="1:32" x14ac:dyDescent="0.3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38" t="str">
        <f>IF(OR(A492="Автомат",A492="Дифавтомат"),IF(W492="","",COUNTIFS(Однолинейка!$H$3:$H$3000,U492,Однолинейка!$A$3:$A$3000,Щит_спец)),IF(A492="Аппарат",IF(C492="","",COUNTIFS(Однолинейка!$I$3:$I$3000,C492,Однолинейка!$A$3:$A$3000,Щит_спец)+COUNTIFS(Однолинейка!$J$3:$J$3000,C492,Однолинейка!$A$3:$A$3000,Щит_спец)+COUNTIFS(Однолинейка!$K$3:$K$3000,C492,Однолинейка!$A$3:$A$3000,Щит_спец)),IF(A492="Модуль",IF(C492="","",COUNTIFS(Однолинейка!$AW$3:$AW$3000,"?*",Однолинейка!$AI$3:$AI$3000,C492,Однолинейка!$A$3:$A$3000,Щит_спец)),IF(A492="Клемма",IF(C492="","",IF(C492=$S$7,SUMIFS(Однолинейка!$BW$3:$BW$3000,Однолинейка!$A$3:$A$3000,Щит_спец),IF(C492=$S$8,SUMIFS(Однолинейка!$BX$3:$BX$3000,Однолинейка!$A$3:$A$3000,Щит_спец),""))),""))))</f>
        <v/>
      </c>
      <c r="O492" s="74"/>
      <c r="P492" s="38" t="str">
        <f t="shared" si="63"/>
        <v/>
      </c>
      <c r="U492" s="38" t="str">
        <f t="shared" si="64"/>
        <v/>
      </c>
      <c r="V492" s="38" t="str">
        <f t="shared" si="65"/>
        <v/>
      </c>
      <c r="W492" s="38" t="str">
        <f>IF(AND(U492&lt;&gt;"",OR($S$4="(все)",B492=$S$4),IF($S$4="(все)",COUNTIF($U$4:U492,U492),COUNTIFS($U$4:U492,U492,$B$4:B492,B492))=1),MAX($W$3:W491)+1,"")</f>
        <v/>
      </c>
      <c r="X492" s="38" t="str">
        <f t="shared" si="66"/>
        <v/>
      </c>
      <c r="Y492" s="38" t="str">
        <f>IF(AND(A492="Аппарат",C492&lt;&gt;"",OR($S$5="(все)",B492=$S$5)),MAX($Y$3:Y491)+1,"")</f>
        <v/>
      </c>
      <c r="Z492" s="38" t="str">
        <f t="shared" si="67"/>
        <v/>
      </c>
      <c r="AA492" s="38" t="str">
        <f>IF(AND(A492="Модуль",C492&lt;&gt;"",OR($S$6="(все)",B492=$S$6)),MAX($AA$3:AA491)+1,"")</f>
        <v/>
      </c>
      <c r="AB492" s="38" t="str">
        <f t="shared" si="68"/>
        <v/>
      </c>
      <c r="AC492" s="38" t="str">
        <f>IF(OR(B492="",COUNTIF($B$4:B492,B492)&gt;1),"",MAX($AC$3:AC491)+1)</f>
        <v/>
      </c>
      <c r="AD492" s="38" t="str">
        <f t="shared" si="69"/>
        <v/>
      </c>
      <c r="AE492" s="38" t="str">
        <f t="shared" si="70"/>
        <v/>
      </c>
      <c r="AF492" s="38" t="str">
        <f t="shared" si="71"/>
        <v/>
      </c>
    </row>
    <row r="493" spans="1:32" x14ac:dyDescent="0.3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38" t="str">
        <f>IF(OR(A493="Автомат",A493="Дифавтомат"),IF(W493="","",COUNTIFS(Однолинейка!$H$3:$H$3000,U493,Однолинейка!$A$3:$A$3000,Щит_спец)),IF(A493="Аппарат",IF(C493="","",COUNTIFS(Однолинейка!$I$3:$I$3000,C493,Однолинейка!$A$3:$A$3000,Щит_спец)+COUNTIFS(Однолинейка!$J$3:$J$3000,C493,Однолинейка!$A$3:$A$3000,Щит_спец)+COUNTIFS(Однолинейка!$K$3:$K$3000,C493,Однолинейка!$A$3:$A$3000,Щит_спец)),IF(A493="Модуль",IF(C493="","",COUNTIFS(Однолинейка!$AW$3:$AW$3000,"?*",Однолинейка!$AI$3:$AI$3000,C493,Однолинейка!$A$3:$A$3000,Щит_спец)),IF(A493="Клемма",IF(C493="","",IF(C493=$S$7,SUMIFS(Однолинейка!$BW$3:$BW$3000,Однолинейка!$A$3:$A$3000,Щит_спец),IF(C493=$S$8,SUMIFS(Однолинейка!$BX$3:$BX$3000,Однолинейка!$A$3:$A$3000,Щит_спец),""))),""))))</f>
        <v/>
      </c>
      <c r="O493" s="74"/>
      <c r="P493" s="38" t="str">
        <f t="shared" si="63"/>
        <v/>
      </c>
      <c r="U493" s="38" t="str">
        <f t="shared" si="64"/>
        <v/>
      </c>
      <c r="V493" s="38" t="str">
        <f t="shared" si="65"/>
        <v/>
      </c>
      <c r="W493" s="38" t="str">
        <f>IF(AND(U493&lt;&gt;"",OR($S$4="(все)",B493=$S$4),IF($S$4="(все)",COUNTIF($U$4:U493,U493),COUNTIFS($U$4:U493,U493,$B$4:B493,B493))=1),MAX($W$3:W492)+1,"")</f>
        <v/>
      </c>
      <c r="X493" s="38" t="str">
        <f t="shared" si="66"/>
        <v/>
      </c>
      <c r="Y493" s="38" t="str">
        <f>IF(AND(A493="Аппарат",C493&lt;&gt;"",OR($S$5="(все)",B493=$S$5)),MAX($Y$3:Y492)+1,"")</f>
        <v/>
      </c>
      <c r="Z493" s="38" t="str">
        <f t="shared" si="67"/>
        <v/>
      </c>
      <c r="AA493" s="38" t="str">
        <f>IF(AND(A493="Модуль",C493&lt;&gt;"",OR($S$6="(все)",B493=$S$6)),MAX($AA$3:AA492)+1,"")</f>
        <v/>
      </c>
      <c r="AB493" s="38" t="str">
        <f t="shared" si="68"/>
        <v/>
      </c>
      <c r="AC493" s="38" t="str">
        <f>IF(OR(B493="",COUNTIF($B$4:B493,B493)&gt;1),"",MAX($AC$3:AC492)+1)</f>
        <v/>
      </c>
      <c r="AD493" s="38" t="str">
        <f t="shared" si="69"/>
        <v/>
      </c>
      <c r="AE493" s="38" t="str">
        <f t="shared" si="70"/>
        <v/>
      </c>
      <c r="AF493" s="38" t="str">
        <f t="shared" si="71"/>
        <v/>
      </c>
    </row>
    <row r="494" spans="1:32" x14ac:dyDescent="0.3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38" t="str">
        <f>IF(OR(A494="Автомат",A494="Дифавтомат"),IF(W494="","",COUNTIFS(Однолинейка!$H$3:$H$3000,U494,Однолинейка!$A$3:$A$3000,Щит_спец)),IF(A494="Аппарат",IF(C494="","",COUNTIFS(Однолинейка!$I$3:$I$3000,C494,Однолинейка!$A$3:$A$3000,Щит_спец)+COUNTIFS(Однолинейка!$J$3:$J$3000,C494,Однолинейка!$A$3:$A$3000,Щит_спец)+COUNTIFS(Однолинейка!$K$3:$K$3000,C494,Однолинейка!$A$3:$A$3000,Щит_спец)),IF(A494="Модуль",IF(C494="","",COUNTIFS(Однолинейка!$AW$3:$AW$3000,"?*",Однолинейка!$AI$3:$AI$3000,C494,Однолинейка!$A$3:$A$3000,Щит_спец)),IF(A494="Клемма",IF(C494="","",IF(C494=$S$7,SUMIFS(Однолинейка!$BW$3:$BW$3000,Однолинейка!$A$3:$A$3000,Щит_спец),IF(C494=$S$8,SUMIFS(Однолинейка!$BX$3:$BX$3000,Однолинейка!$A$3:$A$3000,Щит_спец),""))),""))))</f>
        <v/>
      </c>
      <c r="O494" s="74"/>
      <c r="P494" s="38" t="str">
        <f t="shared" si="63"/>
        <v/>
      </c>
      <c r="U494" s="38" t="str">
        <f t="shared" si="64"/>
        <v/>
      </c>
      <c r="V494" s="38" t="str">
        <f t="shared" si="65"/>
        <v/>
      </c>
      <c r="W494" s="38" t="str">
        <f>IF(AND(U494&lt;&gt;"",OR($S$4="(все)",B494=$S$4),IF($S$4="(все)",COUNTIF($U$4:U494,U494),COUNTIFS($U$4:U494,U494,$B$4:B494,B494))=1),MAX($W$3:W493)+1,"")</f>
        <v/>
      </c>
      <c r="X494" s="38" t="str">
        <f t="shared" si="66"/>
        <v/>
      </c>
      <c r="Y494" s="38" t="str">
        <f>IF(AND(A494="Аппарат",C494&lt;&gt;"",OR($S$5="(все)",B494=$S$5)),MAX($Y$3:Y493)+1,"")</f>
        <v/>
      </c>
      <c r="Z494" s="38" t="str">
        <f t="shared" si="67"/>
        <v/>
      </c>
      <c r="AA494" s="38" t="str">
        <f>IF(AND(A494="Модуль",C494&lt;&gt;"",OR($S$6="(все)",B494=$S$6)),MAX($AA$3:AA493)+1,"")</f>
        <v/>
      </c>
      <c r="AB494" s="38" t="str">
        <f t="shared" si="68"/>
        <v/>
      </c>
      <c r="AC494" s="38" t="str">
        <f>IF(OR(B494="",COUNTIF($B$4:B494,B494)&gt;1),"",MAX($AC$3:AC493)+1)</f>
        <v/>
      </c>
      <c r="AD494" s="38" t="str">
        <f t="shared" si="69"/>
        <v/>
      </c>
      <c r="AE494" s="38" t="str">
        <f t="shared" si="70"/>
        <v/>
      </c>
      <c r="AF494" s="38" t="str">
        <f t="shared" si="71"/>
        <v/>
      </c>
    </row>
    <row r="495" spans="1:32" x14ac:dyDescent="0.3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38" t="str">
        <f>IF(OR(A495="Автомат",A495="Дифавтомат"),IF(W495="","",COUNTIFS(Однолинейка!$H$3:$H$3000,U495,Однолинейка!$A$3:$A$3000,Щит_спец)),IF(A495="Аппарат",IF(C495="","",COUNTIFS(Однолинейка!$I$3:$I$3000,C495,Однолинейка!$A$3:$A$3000,Щит_спец)+COUNTIFS(Однолинейка!$J$3:$J$3000,C495,Однолинейка!$A$3:$A$3000,Щит_спец)+COUNTIFS(Однолинейка!$K$3:$K$3000,C495,Однолинейка!$A$3:$A$3000,Щит_спец)),IF(A495="Модуль",IF(C495="","",COUNTIFS(Однолинейка!$AW$3:$AW$3000,"?*",Однолинейка!$AI$3:$AI$3000,C495,Однолинейка!$A$3:$A$3000,Щит_спец)),IF(A495="Клемма",IF(C495="","",IF(C495=$S$7,SUMIFS(Однолинейка!$BW$3:$BW$3000,Однолинейка!$A$3:$A$3000,Щит_спец),IF(C495=$S$8,SUMIFS(Однолинейка!$BX$3:$BX$3000,Однолинейка!$A$3:$A$3000,Щит_спец),""))),""))))</f>
        <v/>
      </c>
      <c r="O495" s="74"/>
      <c r="P495" s="38" t="str">
        <f t="shared" si="63"/>
        <v/>
      </c>
      <c r="U495" s="38" t="str">
        <f t="shared" si="64"/>
        <v/>
      </c>
      <c r="V495" s="38" t="str">
        <f t="shared" si="65"/>
        <v/>
      </c>
      <c r="W495" s="38" t="str">
        <f>IF(AND(U495&lt;&gt;"",OR($S$4="(все)",B495=$S$4),IF($S$4="(все)",COUNTIF($U$4:U495,U495),COUNTIFS($U$4:U495,U495,$B$4:B495,B495))=1),MAX($W$3:W494)+1,"")</f>
        <v/>
      </c>
      <c r="X495" s="38" t="str">
        <f t="shared" si="66"/>
        <v/>
      </c>
      <c r="Y495" s="38" t="str">
        <f>IF(AND(A495="Аппарат",C495&lt;&gt;"",OR($S$5="(все)",B495=$S$5)),MAX($Y$3:Y494)+1,"")</f>
        <v/>
      </c>
      <c r="Z495" s="38" t="str">
        <f t="shared" si="67"/>
        <v/>
      </c>
      <c r="AA495" s="38" t="str">
        <f>IF(AND(A495="Модуль",C495&lt;&gt;"",OR($S$6="(все)",B495=$S$6)),MAX($AA$3:AA494)+1,"")</f>
        <v/>
      </c>
      <c r="AB495" s="38" t="str">
        <f t="shared" si="68"/>
        <v/>
      </c>
      <c r="AC495" s="38" t="str">
        <f>IF(OR(B495="",COUNTIF($B$4:B495,B495)&gt;1),"",MAX($AC$3:AC494)+1)</f>
        <v/>
      </c>
      <c r="AD495" s="38" t="str">
        <f t="shared" si="69"/>
        <v/>
      </c>
      <c r="AE495" s="38" t="str">
        <f t="shared" si="70"/>
        <v/>
      </c>
      <c r="AF495" s="38" t="str">
        <f t="shared" si="71"/>
        <v/>
      </c>
    </row>
    <row r="496" spans="1:32" x14ac:dyDescent="0.3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38" t="str">
        <f>IF(OR(A496="Автомат",A496="Дифавтомат"),IF(W496="","",COUNTIFS(Однолинейка!$H$3:$H$3000,U496,Однолинейка!$A$3:$A$3000,Щит_спец)),IF(A496="Аппарат",IF(C496="","",COUNTIFS(Однолинейка!$I$3:$I$3000,C496,Однолинейка!$A$3:$A$3000,Щит_спец)+COUNTIFS(Однолинейка!$J$3:$J$3000,C496,Однолинейка!$A$3:$A$3000,Щит_спец)+COUNTIFS(Однолинейка!$K$3:$K$3000,C496,Однолинейка!$A$3:$A$3000,Щит_спец)),IF(A496="Модуль",IF(C496="","",COUNTIFS(Однолинейка!$AW$3:$AW$3000,"?*",Однолинейка!$AI$3:$AI$3000,C496,Однолинейка!$A$3:$A$3000,Щит_спец)),IF(A496="Клемма",IF(C496="","",IF(C496=$S$7,SUMIFS(Однолинейка!$BW$3:$BW$3000,Однолинейка!$A$3:$A$3000,Щит_спец),IF(C496=$S$8,SUMIFS(Однолинейка!$BX$3:$BX$3000,Однолинейка!$A$3:$A$3000,Щит_спец),""))),""))))</f>
        <v/>
      </c>
      <c r="O496" s="74"/>
      <c r="P496" s="38" t="str">
        <f t="shared" si="63"/>
        <v/>
      </c>
      <c r="U496" s="38" t="str">
        <f t="shared" si="64"/>
        <v/>
      </c>
      <c r="V496" s="38" t="str">
        <f t="shared" si="65"/>
        <v/>
      </c>
      <c r="W496" s="38" t="str">
        <f>IF(AND(U496&lt;&gt;"",OR($S$4="(все)",B496=$S$4),IF($S$4="(все)",COUNTIF($U$4:U496,U496),COUNTIFS($U$4:U496,U496,$B$4:B496,B496))=1),MAX($W$3:W495)+1,"")</f>
        <v/>
      </c>
      <c r="X496" s="38" t="str">
        <f t="shared" si="66"/>
        <v/>
      </c>
      <c r="Y496" s="38" t="str">
        <f>IF(AND(A496="Аппарат",C496&lt;&gt;"",OR($S$5="(все)",B496=$S$5)),MAX($Y$3:Y495)+1,"")</f>
        <v/>
      </c>
      <c r="Z496" s="38" t="str">
        <f t="shared" si="67"/>
        <v/>
      </c>
      <c r="AA496" s="38" t="str">
        <f>IF(AND(A496="Модуль",C496&lt;&gt;"",OR($S$6="(все)",B496=$S$6)),MAX($AA$3:AA495)+1,"")</f>
        <v/>
      </c>
      <c r="AB496" s="38" t="str">
        <f t="shared" si="68"/>
        <v/>
      </c>
      <c r="AC496" s="38" t="str">
        <f>IF(OR(B496="",COUNTIF($B$4:B496,B496)&gt;1),"",MAX($AC$3:AC495)+1)</f>
        <v/>
      </c>
      <c r="AD496" s="38" t="str">
        <f t="shared" si="69"/>
        <v/>
      </c>
      <c r="AE496" s="38" t="str">
        <f t="shared" si="70"/>
        <v/>
      </c>
      <c r="AF496" s="38" t="str">
        <f t="shared" si="71"/>
        <v/>
      </c>
    </row>
    <row r="497" spans="1:32" x14ac:dyDescent="0.3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38" t="str">
        <f>IF(OR(A497="Автомат",A497="Дифавтомат"),IF(W497="","",COUNTIFS(Однолинейка!$H$3:$H$3000,U497,Однолинейка!$A$3:$A$3000,Щит_спец)),IF(A497="Аппарат",IF(C497="","",COUNTIFS(Однолинейка!$I$3:$I$3000,C497,Однолинейка!$A$3:$A$3000,Щит_спец)+COUNTIFS(Однолинейка!$J$3:$J$3000,C497,Однолинейка!$A$3:$A$3000,Щит_спец)+COUNTIFS(Однолинейка!$K$3:$K$3000,C497,Однолинейка!$A$3:$A$3000,Щит_спец)),IF(A497="Модуль",IF(C497="","",COUNTIFS(Однолинейка!$AW$3:$AW$3000,"?*",Однолинейка!$AI$3:$AI$3000,C497,Однолинейка!$A$3:$A$3000,Щит_спец)),IF(A497="Клемма",IF(C497="","",IF(C497=$S$7,SUMIFS(Однолинейка!$BW$3:$BW$3000,Однолинейка!$A$3:$A$3000,Щит_спец),IF(C497=$S$8,SUMIFS(Однолинейка!$BX$3:$BX$3000,Однолинейка!$A$3:$A$3000,Щит_спец),""))),""))))</f>
        <v/>
      </c>
      <c r="O497" s="74"/>
      <c r="P497" s="38" t="str">
        <f t="shared" si="63"/>
        <v/>
      </c>
      <c r="U497" s="38" t="str">
        <f t="shared" si="64"/>
        <v/>
      </c>
      <c r="V497" s="38" t="str">
        <f t="shared" si="65"/>
        <v/>
      </c>
      <c r="W497" s="38" t="str">
        <f>IF(AND(U497&lt;&gt;"",OR($S$4="(все)",B497=$S$4),IF($S$4="(все)",COUNTIF($U$4:U497,U497),COUNTIFS($U$4:U497,U497,$B$4:B497,B497))=1),MAX($W$3:W496)+1,"")</f>
        <v/>
      </c>
      <c r="X497" s="38" t="str">
        <f t="shared" si="66"/>
        <v/>
      </c>
      <c r="Y497" s="38" t="str">
        <f>IF(AND(A497="Аппарат",C497&lt;&gt;"",OR($S$5="(все)",B497=$S$5)),MAX($Y$3:Y496)+1,"")</f>
        <v/>
      </c>
      <c r="Z497" s="38" t="str">
        <f t="shared" si="67"/>
        <v/>
      </c>
      <c r="AA497" s="38" t="str">
        <f>IF(AND(A497="Модуль",C497&lt;&gt;"",OR($S$6="(все)",B497=$S$6)),MAX($AA$3:AA496)+1,"")</f>
        <v/>
      </c>
      <c r="AB497" s="38" t="str">
        <f t="shared" si="68"/>
        <v/>
      </c>
      <c r="AC497" s="38" t="str">
        <f>IF(OR(B497="",COUNTIF($B$4:B497,B497)&gt;1),"",MAX($AC$3:AC496)+1)</f>
        <v/>
      </c>
      <c r="AD497" s="38" t="str">
        <f t="shared" si="69"/>
        <v/>
      </c>
      <c r="AE497" s="38" t="str">
        <f t="shared" si="70"/>
        <v/>
      </c>
      <c r="AF497" s="38" t="str">
        <f t="shared" si="71"/>
        <v/>
      </c>
    </row>
    <row r="498" spans="1:32" x14ac:dyDescent="0.3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38" t="str">
        <f>IF(OR(A498="Автомат",A498="Дифавтомат"),IF(W498="","",COUNTIFS(Однолинейка!$H$3:$H$3000,U498,Однолинейка!$A$3:$A$3000,Щит_спец)),IF(A498="Аппарат",IF(C498="","",COUNTIFS(Однолинейка!$I$3:$I$3000,C498,Однолинейка!$A$3:$A$3000,Щит_спец)+COUNTIFS(Однолинейка!$J$3:$J$3000,C498,Однолинейка!$A$3:$A$3000,Щит_спец)+COUNTIFS(Однолинейка!$K$3:$K$3000,C498,Однолинейка!$A$3:$A$3000,Щит_спец)),IF(A498="Модуль",IF(C498="","",COUNTIFS(Однолинейка!$AW$3:$AW$3000,"?*",Однолинейка!$AI$3:$AI$3000,C498,Однолинейка!$A$3:$A$3000,Щит_спец)),IF(A498="Клемма",IF(C498="","",IF(C498=$S$7,SUMIFS(Однолинейка!$BW$3:$BW$3000,Однолинейка!$A$3:$A$3000,Щит_спец),IF(C498=$S$8,SUMIFS(Однолинейка!$BX$3:$BX$3000,Однолинейка!$A$3:$A$3000,Щит_спец),""))),""))))</f>
        <v/>
      </c>
      <c r="O498" s="74"/>
      <c r="P498" s="38" t="str">
        <f t="shared" si="63"/>
        <v/>
      </c>
      <c r="U498" s="38" t="str">
        <f t="shared" si="64"/>
        <v/>
      </c>
      <c r="V498" s="38" t="str">
        <f t="shared" si="65"/>
        <v/>
      </c>
      <c r="W498" s="38" t="str">
        <f>IF(AND(U498&lt;&gt;"",OR($S$4="(все)",B498=$S$4),IF($S$4="(все)",COUNTIF($U$4:U498,U498),COUNTIFS($U$4:U498,U498,$B$4:B498,B498))=1),MAX($W$3:W497)+1,"")</f>
        <v/>
      </c>
      <c r="X498" s="38" t="str">
        <f t="shared" si="66"/>
        <v/>
      </c>
      <c r="Y498" s="38" t="str">
        <f>IF(AND(A498="Аппарат",C498&lt;&gt;"",OR($S$5="(все)",B498=$S$5)),MAX($Y$3:Y497)+1,"")</f>
        <v/>
      </c>
      <c r="Z498" s="38" t="str">
        <f t="shared" si="67"/>
        <v/>
      </c>
      <c r="AA498" s="38" t="str">
        <f>IF(AND(A498="Модуль",C498&lt;&gt;"",OR($S$6="(все)",B498=$S$6)),MAX($AA$3:AA497)+1,"")</f>
        <v/>
      </c>
      <c r="AB498" s="38" t="str">
        <f t="shared" si="68"/>
        <v/>
      </c>
      <c r="AC498" s="38" t="str">
        <f>IF(OR(B498="",COUNTIF($B$4:B498,B498)&gt;1),"",MAX($AC$3:AC497)+1)</f>
        <v/>
      </c>
      <c r="AD498" s="38" t="str">
        <f t="shared" si="69"/>
        <v/>
      </c>
      <c r="AE498" s="38" t="str">
        <f t="shared" si="70"/>
        <v/>
      </c>
      <c r="AF498" s="38" t="str">
        <f t="shared" si="71"/>
        <v/>
      </c>
    </row>
    <row r="499" spans="1:32" x14ac:dyDescent="0.3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38" t="str">
        <f>IF(OR(A499="Автомат",A499="Дифавтомат"),IF(W499="","",COUNTIFS(Однолинейка!$H$3:$H$3000,U499,Однолинейка!$A$3:$A$3000,Щит_спец)),IF(A499="Аппарат",IF(C499="","",COUNTIFS(Однолинейка!$I$3:$I$3000,C499,Однолинейка!$A$3:$A$3000,Щит_спец)+COUNTIFS(Однолинейка!$J$3:$J$3000,C499,Однолинейка!$A$3:$A$3000,Щит_спец)+COUNTIFS(Однолинейка!$K$3:$K$3000,C499,Однолинейка!$A$3:$A$3000,Щит_спец)),IF(A499="Модуль",IF(C499="","",COUNTIFS(Однолинейка!$AW$3:$AW$3000,"?*",Однолинейка!$AI$3:$AI$3000,C499,Однолинейка!$A$3:$A$3000,Щит_спец)),IF(A499="Клемма",IF(C499="","",IF(C499=$S$7,SUMIFS(Однолинейка!$BW$3:$BW$3000,Однолинейка!$A$3:$A$3000,Щит_спец),IF(C499=$S$8,SUMIFS(Однолинейка!$BX$3:$BX$3000,Однолинейка!$A$3:$A$3000,Щит_спец),""))),""))))</f>
        <v/>
      </c>
      <c r="O499" s="74"/>
      <c r="P499" s="38" t="str">
        <f t="shared" si="63"/>
        <v/>
      </c>
      <c r="U499" s="38" t="str">
        <f t="shared" si="64"/>
        <v/>
      </c>
      <c r="V499" s="38" t="str">
        <f t="shared" si="65"/>
        <v/>
      </c>
      <c r="W499" s="38" t="str">
        <f>IF(AND(U499&lt;&gt;"",OR($S$4="(все)",B499=$S$4),IF($S$4="(все)",COUNTIF($U$4:U499,U499),COUNTIFS($U$4:U499,U499,$B$4:B499,B499))=1),MAX($W$3:W498)+1,"")</f>
        <v/>
      </c>
      <c r="X499" s="38" t="str">
        <f t="shared" si="66"/>
        <v/>
      </c>
      <c r="Y499" s="38" t="str">
        <f>IF(AND(A499="Аппарат",C499&lt;&gt;"",OR($S$5="(все)",B499=$S$5)),MAX($Y$3:Y498)+1,"")</f>
        <v/>
      </c>
      <c r="Z499" s="38" t="str">
        <f t="shared" si="67"/>
        <v/>
      </c>
      <c r="AA499" s="38" t="str">
        <f>IF(AND(A499="Модуль",C499&lt;&gt;"",OR($S$6="(все)",B499=$S$6)),MAX($AA$3:AA498)+1,"")</f>
        <v/>
      </c>
      <c r="AB499" s="38" t="str">
        <f t="shared" si="68"/>
        <v/>
      </c>
      <c r="AC499" s="38" t="str">
        <f>IF(OR(B499="",COUNTIF($B$4:B499,B499)&gt;1),"",MAX($AC$3:AC498)+1)</f>
        <v/>
      </c>
      <c r="AD499" s="38" t="str">
        <f t="shared" si="69"/>
        <v/>
      </c>
      <c r="AE499" s="38" t="str">
        <f t="shared" si="70"/>
        <v/>
      </c>
      <c r="AF499" s="38" t="str">
        <f t="shared" si="71"/>
        <v/>
      </c>
    </row>
    <row r="500" spans="1:32" x14ac:dyDescent="0.3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38" t="str">
        <f>IF(OR(A500="Автомат",A500="Дифавтомат"),IF(W500="","",COUNTIFS(Однолинейка!$H$3:$H$3000,U500,Однолинейка!$A$3:$A$3000,Щит_спец)),IF(A500="Аппарат",IF(C500="","",COUNTIFS(Однолинейка!$I$3:$I$3000,C500,Однолинейка!$A$3:$A$3000,Щит_спец)+COUNTIFS(Однолинейка!$J$3:$J$3000,C500,Однолинейка!$A$3:$A$3000,Щит_спец)+COUNTIFS(Однолинейка!$K$3:$K$3000,C500,Однолинейка!$A$3:$A$3000,Щит_спец)),IF(A500="Модуль",IF(C500="","",COUNTIFS(Однолинейка!$AW$3:$AW$3000,"?*",Однолинейка!$AI$3:$AI$3000,C500,Однолинейка!$A$3:$A$3000,Щит_спец)),IF(A500="Клемма",IF(C500="","",IF(C500=$S$7,SUMIFS(Однолинейка!$BW$3:$BW$3000,Однолинейка!$A$3:$A$3000,Щит_спец),IF(C500=$S$8,SUMIFS(Однолинейка!$BX$3:$BX$3000,Однолинейка!$A$3:$A$3000,Щит_спец),""))),""))))</f>
        <v/>
      </c>
      <c r="O500" s="74"/>
      <c r="P500" s="38" t="str">
        <f t="shared" si="63"/>
        <v/>
      </c>
      <c r="U500" s="38" t="str">
        <f t="shared" si="64"/>
        <v/>
      </c>
      <c r="V500" s="38" t="str">
        <f t="shared" si="65"/>
        <v/>
      </c>
      <c r="W500" s="38" t="str">
        <f>IF(AND(U500&lt;&gt;"",OR($S$4="(все)",B500=$S$4),IF($S$4="(все)",COUNTIF($U$4:U500,U500),COUNTIFS($U$4:U500,U500,$B$4:B500,B500))=1),MAX($W$3:W499)+1,"")</f>
        <v/>
      </c>
      <c r="X500" s="38" t="str">
        <f t="shared" si="66"/>
        <v/>
      </c>
      <c r="Y500" s="38" t="str">
        <f>IF(AND(A500="Аппарат",C500&lt;&gt;"",OR($S$5="(все)",B500=$S$5)),MAX($Y$3:Y499)+1,"")</f>
        <v/>
      </c>
      <c r="Z500" s="38" t="str">
        <f t="shared" si="67"/>
        <v/>
      </c>
      <c r="AA500" s="38" t="str">
        <f>IF(AND(A500="Модуль",C500&lt;&gt;"",OR($S$6="(все)",B500=$S$6)),MAX($AA$3:AA499)+1,"")</f>
        <v/>
      </c>
      <c r="AB500" s="38" t="str">
        <f t="shared" si="68"/>
        <v/>
      </c>
      <c r="AC500" s="38" t="str">
        <f>IF(OR(B500="",COUNTIF($B$4:B500,B500)&gt;1),"",MAX($AC$3:AC499)+1)</f>
        <v/>
      </c>
      <c r="AD500" s="38" t="str">
        <f t="shared" si="69"/>
        <v/>
      </c>
      <c r="AE500" s="38" t="str">
        <f t="shared" si="70"/>
        <v/>
      </c>
      <c r="AF500" s="38" t="str">
        <f t="shared" si="71"/>
        <v/>
      </c>
    </row>
  </sheetData>
  <autoFilter ref="A3:P500" xr:uid="{00000000-0009-0000-0000-000002000000}"/>
  <conditionalFormatting sqref="P4:P500">
    <cfRule type="expression" dxfId="14" priority="2">
      <formula>N($P4)&gt;0</formula>
    </cfRule>
  </conditionalFormatting>
  <conditionalFormatting sqref="R28:R37">
    <cfRule type="expression" dxfId="13" priority="1">
      <formula>$R28&lt;&gt;""</formula>
    </cfRule>
  </conditionalFormatting>
  <dataValidations count="4">
    <dataValidation type="list" allowBlank="1" sqref="A4:A500" xr:uid="{00000000-0002-0000-0200-000000000000}">
      <formula1>$R$12:$R$25</formula1>
    </dataValidation>
    <dataValidation type="list" allowBlank="1" sqref="K4:K500" xr:uid="{00000000-0002-0000-0200-000001000000}">
      <formula1>"да,нет"</formula1>
    </dataValidation>
    <dataValidation type="list" allowBlank="1" sqref="I4:I500" xr:uid="{00000000-0002-0000-0200-000002000000}">
      <formula1>"1P,2P,3P,4P"</formula1>
    </dataValidation>
    <dataValidation type="list" allowBlank="1" sqref="S4:S6" xr:uid="{00000000-0002-0000-0200-000003000000}">
      <formula1>Список_произв</formula1>
    </dataValidation>
  </dataValidations>
  <pageMargins left="0.4" right="0.4" top="0.5" bottom="0.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D7D31"/>
  </sheetPr>
  <dimension ref="B1:L160"/>
  <sheetViews>
    <sheetView topLeftCell="A52" workbookViewId="0">
      <selection activeCell="C11" sqref="C11"/>
    </sheetView>
  </sheetViews>
  <sheetFormatPr defaultRowHeight="14.4" x14ac:dyDescent="0.3"/>
  <cols>
    <col min="2" max="2" width="9.6640625" customWidth="1"/>
    <col min="3" max="3" width="115.88671875" customWidth="1"/>
    <col min="4" max="6" width="20.6640625" customWidth="1"/>
    <col min="7" max="9" width="9.6640625" customWidth="1"/>
    <col min="10" max="10" width="20.6640625" customWidth="1"/>
  </cols>
  <sheetData>
    <row r="1" spans="2:12" ht="15" thickBot="1" x14ac:dyDescent="0.35">
      <c r="C1" s="125" t="s">
        <v>1748</v>
      </c>
      <c r="D1" s="126" t="s">
        <v>1749</v>
      </c>
      <c r="L1" s="127" t="str">
        <f>IF(D1="все","*",D1)</f>
        <v>*</v>
      </c>
    </row>
    <row r="2" spans="2:12" ht="43.8" thickBot="1" x14ac:dyDescent="0.35">
      <c r="B2" s="9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53</v>
      </c>
      <c r="H2" s="1" t="s">
        <v>50</v>
      </c>
      <c r="I2" s="1" t="s">
        <v>51</v>
      </c>
      <c r="J2" s="10" t="s">
        <v>52</v>
      </c>
    </row>
    <row r="3" spans="2:12" x14ac:dyDescent="0.3">
      <c r="B3" s="28" t="s">
        <v>39</v>
      </c>
      <c r="C3" s="27" t="s">
        <v>255</v>
      </c>
      <c r="D3" s="8"/>
      <c r="E3" s="8"/>
      <c r="F3" s="8"/>
      <c r="G3" s="8"/>
      <c r="H3" s="8"/>
      <c r="I3" s="8"/>
      <c r="J3" s="8"/>
    </row>
    <row r="4" spans="2:12" x14ac:dyDescent="0.3">
      <c r="B4" s="29"/>
      <c r="C4" s="30"/>
      <c r="D4" s="33"/>
      <c r="E4" s="31"/>
      <c r="F4" s="32"/>
      <c r="G4" s="32"/>
      <c r="H4" s="32"/>
      <c r="I4" s="5"/>
      <c r="J4" s="5"/>
    </row>
    <row r="5" spans="2:12" x14ac:dyDescent="0.3">
      <c r="B5" s="29"/>
      <c r="C5" s="30"/>
      <c r="D5" s="33"/>
      <c r="E5" s="31"/>
      <c r="F5" s="32"/>
      <c r="G5" s="32"/>
      <c r="H5" s="32"/>
      <c r="I5" s="5"/>
      <c r="J5" s="5"/>
    </row>
    <row r="6" spans="2:12" x14ac:dyDescent="0.3">
      <c r="B6" s="29"/>
      <c r="C6" s="30"/>
      <c r="D6" s="33"/>
      <c r="E6" s="31"/>
      <c r="F6" s="32"/>
      <c r="G6" s="32"/>
      <c r="H6" s="32"/>
      <c r="I6" s="5"/>
      <c r="J6" s="5"/>
    </row>
    <row r="7" spans="2:12" x14ac:dyDescent="0.3">
      <c r="B7" s="29"/>
      <c r="C7" s="30"/>
      <c r="D7" s="33"/>
      <c r="E7" s="31"/>
      <c r="F7" s="32"/>
      <c r="G7" s="32"/>
      <c r="H7" s="32"/>
      <c r="I7" s="5"/>
      <c r="J7" s="5"/>
    </row>
    <row r="8" spans="2:12" x14ac:dyDescent="0.3">
      <c r="B8" s="29"/>
      <c r="C8" s="30"/>
      <c r="D8" s="33"/>
      <c r="E8" s="31"/>
      <c r="F8" s="32"/>
      <c r="G8" s="32"/>
      <c r="H8" s="32"/>
      <c r="I8" s="5"/>
      <c r="J8" s="5"/>
    </row>
    <row r="9" spans="2:12" x14ac:dyDescent="0.3">
      <c r="B9" s="29"/>
      <c r="C9" s="30"/>
      <c r="D9" s="33"/>
      <c r="E9" s="31"/>
      <c r="F9" s="32"/>
      <c r="G9" s="32"/>
      <c r="H9" s="32"/>
      <c r="I9" s="5"/>
      <c r="J9" s="5"/>
    </row>
    <row r="10" spans="2:12" x14ac:dyDescent="0.3">
      <c r="B10" s="29"/>
      <c r="C10" s="30"/>
      <c r="D10" s="33"/>
      <c r="E10" s="31"/>
      <c r="F10" s="32"/>
      <c r="G10" s="32"/>
      <c r="H10" s="32"/>
      <c r="I10" s="5"/>
      <c r="J10" s="5"/>
    </row>
    <row r="11" spans="2:12" x14ac:dyDescent="0.3">
      <c r="B11" s="29"/>
      <c r="C11" s="30"/>
      <c r="D11" s="33"/>
      <c r="E11" s="31"/>
      <c r="F11" s="32"/>
      <c r="G11" s="32"/>
      <c r="H11" s="32"/>
      <c r="I11" s="5"/>
      <c r="J11" s="5"/>
    </row>
    <row r="12" spans="2:12" x14ac:dyDescent="0.3">
      <c r="B12" s="29"/>
      <c r="C12" s="30"/>
      <c r="D12" s="33"/>
      <c r="E12" s="31"/>
      <c r="F12" s="32"/>
      <c r="G12" s="32"/>
      <c r="H12" s="32"/>
      <c r="I12" s="5"/>
      <c r="J12" s="5"/>
    </row>
    <row r="13" spans="2:12" x14ac:dyDescent="0.3">
      <c r="B13" s="29"/>
      <c r="C13" s="30"/>
      <c r="D13" s="33"/>
      <c r="E13" s="31"/>
      <c r="F13" s="32"/>
      <c r="G13" s="32"/>
      <c r="H13" s="32"/>
      <c r="I13" s="5"/>
      <c r="J13" s="5"/>
    </row>
    <row r="14" spans="2:12" x14ac:dyDescent="0.3">
      <c r="B14" s="29"/>
      <c r="C14" s="30"/>
      <c r="D14" s="33"/>
      <c r="E14" s="31"/>
      <c r="F14" s="32"/>
      <c r="G14" s="32"/>
      <c r="H14" s="32"/>
      <c r="I14" s="5"/>
      <c r="J14" s="5"/>
    </row>
    <row r="15" spans="2:12" x14ac:dyDescent="0.3">
      <c r="B15" s="29"/>
      <c r="C15" s="30"/>
      <c r="D15" s="33"/>
      <c r="E15" s="31"/>
      <c r="F15" s="32"/>
      <c r="G15" s="32"/>
      <c r="H15" s="32"/>
      <c r="I15" s="5"/>
      <c r="J15" s="5"/>
    </row>
    <row r="16" spans="2:12" ht="18" customHeight="1" x14ac:dyDescent="0.3">
      <c r="B16" s="29"/>
      <c r="C16" s="30"/>
      <c r="D16" s="33"/>
      <c r="E16" s="31"/>
      <c r="F16" s="32"/>
      <c r="G16" s="32"/>
      <c r="H16" s="32"/>
      <c r="I16" s="5"/>
      <c r="J16" s="5"/>
    </row>
    <row r="17" spans="2:10" x14ac:dyDescent="0.3">
      <c r="B17" s="29"/>
      <c r="C17" s="30"/>
      <c r="D17" s="33"/>
      <c r="E17" s="31"/>
      <c r="F17" s="32"/>
      <c r="G17" s="32"/>
      <c r="H17" s="32"/>
      <c r="I17" s="5"/>
      <c r="J17" s="5"/>
    </row>
    <row r="18" spans="2:10" x14ac:dyDescent="0.3">
      <c r="B18" s="29"/>
      <c r="C18" s="30"/>
      <c r="D18" s="33"/>
      <c r="E18" s="31"/>
      <c r="F18" s="32"/>
      <c r="G18" s="32"/>
      <c r="H18" s="32"/>
      <c r="I18" s="5"/>
      <c r="J18" s="5"/>
    </row>
    <row r="19" spans="2:10" x14ac:dyDescent="0.3">
      <c r="B19" s="29"/>
      <c r="C19" s="30"/>
      <c r="D19" s="33"/>
      <c r="E19" s="31"/>
      <c r="F19" s="32"/>
      <c r="G19" s="32"/>
      <c r="H19" s="32"/>
      <c r="I19" s="5"/>
      <c r="J19" s="5"/>
    </row>
    <row r="20" spans="2:10" x14ac:dyDescent="0.3">
      <c r="B20" s="29"/>
      <c r="C20" s="30"/>
      <c r="D20" s="33"/>
      <c r="E20" s="31"/>
      <c r="F20" s="32"/>
      <c r="G20" s="32"/>
      <c r="H20" s="32"/>
      <c r="I20" s="5"/>
      <c r="J20" s="5"/>
    </row>
    <row r="21" spans="2:10" x14ac:dyDescent="0.3">
      <c r="B21" s="29"/>
      <c r="C21" s="30"/>
      <c r="D21" s="33"/>
      <c r="E21" s="31"/>
      <c r="F21" s="32"/>
      <c r="G21" s="32"/>
      <c r="H21" s="32"/>
      <c r="I21" s="5"/>
      <c r="J21" s="5"/>
    </row>
    <row r="22" spans="2:10" x14ac:dyDescent="0.3">
      <c r="B22" s="29"/>
      <c r="C22" s="30"/>
      <c r="D22" s="33"/>
      <c r="E22" s="31"/>
      <c r="F22" s="32"/>
      <c r="G22" s="32"/>
      <c r="H22" s="32"/>
      <c r="I22" s="5"/>
      <c r="J22" s="5"/>
    </row>
    <row r="23" spans="2:10" x14ac:dyDescent="0.3">
      <c r="B23" s="29"/>
      <c r="C23" s="30"/>
      <c r="D23" s="33"/>
      <c r="E23" s="31"/>
      <c r="F23" s="32"/>
      <c r="G23" s="32"/>
      <c r="H23" s="32"/>
      <c r="I23" s="5"/>
      <c r="J23" s="5"/>
    </row>
    <row r="24" spans="2:10" x14ac:dyDescent="0.3">
      <c r="B24" s="29"/>
      <c r="C24" s="30"/>
      <c r="D24" s="33"/>
      <c r="E24" s="31"/>
      <c r="F24" s="32"/>
      <c r="G24" s="32"/>
      <c r="H24" s="32"/>
      <c r="I24" s="5"/>
      <c r="J24" s="5"/>
    </row>
    <row r="25" spans="2:10" x14ac:dyDescent="0.3">
      <c r="B25" s="29"/>
      <c r="C25" s="30"/>
      <c r="D25" s="33"/>
      <c r="E25" s="31"/>
      <c r="F25" s="32"/>
      <c r="G25" s="32"/>
      <c r="H25" s="32"/>
      <c r="I25" s="5"/>
      <c r="J25" s="5"/>
    </row>
    <row r="26" spans="2:10" x14ac:dyDescent="0.3">
      <c r="B26" s="29"/>
      <c r="C26" s="30"/>
      <c r="D26" s="33"/>
      <c r="E26" s="31"/>
      <c r="F26" s="32"/>
      <c r="G26" s="32"/>
      <c r="H26" s="32"/>
      <c r="I26" s="5"/>
      <c r="J26" s="5"/>
    </row>
    <row r="27" spans="2:10" x14ac:dyDescent="0.3">
      <c r="B27" s="29"/>
      <c r="C27" s="30"/>
      <c r="D27" s="33"/>
      <c r="E27" s="31"/>
      <c r="F27" s="32"/>
      <c r="G27" s="32"/>
      <c r="H27" s="32"/>
      <c r="I27" s="5"/>
      <c r="J27" s="5"/>
    </row>
    <row r="28" spans="2:10" x14ac:dyDescent="0.3">
      <c r="B28" s="29"/>
      <c r="C28" s="30"/>
      <c r="D28" s="33"/>
      <c r="E28" s="31"/>
      <c r="F28" s="32"/>
      <c r="G28" s="32"/>
      <c r="H28" s="32"/>
      <c r="I28" s="5"/>
      <c r="J28" s="5"/>
    </row>
    <row r="29" spans="2:10" x14ac:dyDescent="0.3">
      <c r="B29" s="29"/>
      <c r="C29" s="30"/>
      <c r="D29" s="33"/>
      <c r="E29" s="31"/>
      <c r="F29" s="32"/>
      <c r="G29" s="32"/>
      <c r="H29" s="32"/>
      <c r="I29" s="5"/>
      <c r="J29" s="5"/>
    </row>
    <row r="30" spans="2:10" x14ac:dyDescent="0.3">
      <c r="B30" s="29"/>
      <c r="C30" s="30"/>
      <c r="D30" s="33"/>
      <c r="E30" s="31"/>
      <c r="F30" s="32"/>
      <c r="G30" s="32"/>
      <c r="H30" s="32"/>
      <c r="I30" s="5"/>
      <c r="J30" s="5"/>
    </row>
    <row r="31" spans="2:10" x14ac:dyDescent="0.3">
      <c r="B31" s="29"/>
      <c r="C31" s="30"/>
      <c r="D31" s="33"/>
      <c r="E31" s="31"/>
      <c r="F31" s="32"/>
      <c r="G31" s="32"/>
      <c r="H31" s="32"/>
      <c r="I31" s="5"/>
      <c r="J31" s="5"/>
    </row>
    <row r="32" spans="2:10" x14ac:dyDescent="0.3">
      <c r="B32" s="29"/>
      <c r="C32" s="30"/>
      <c r="D32" s="33"/>
      <c r="E32" s="31"/>
      <c r="F32" s="32"/>
      <c r="G32" s="32"/>
      <c r="H32" s="32"/>
      <c r="I32" s="5"/>
      <c r="J32" s="5"/>
    </row>
    <row r="33" spans="2:10" x14ac:dyDescent="0.3">
      <c r="B33" s="29"/>
      <c r="C33" s="30"/>
      <c r="D33" s="33"/>
      <c r="E33" s="31"/>
      <c r="F33" s="32"/>
      <c r="G33" s="32"/>
      <c r="H33" s="32"/>
      <c r="I33" s="5"/>
      <c r="J33" s="5"/>
    </row>
    <row r="34" spans="2:10" x14ac:dyDescent="0.3">
      <c r="B34" s="29"/>
      <c r="C34" s="30"/>
      <c r="D34" s="33"/>
      <c r="E34" s="31"/>
      <c r="F34" s="32"/>
      <c r="G34" s="32"/>
      <c r="H34" s="32"/>
      <c r="I34" s="5"/>
      <c r="J34" s="5"/>
    </row>
    <row r="35" spans="2:10" x14ac:dyDescent="0.3">
      <c r="B35" s="29"/>
      <c r="C35" s="30"/>
      <c r="D35" s="33"/>
      <c r="E35" s="31"/>
      <c r="F35" s="32"/>
      <c r="G35" s="32"/>
      <c r="H35" s="32"/>
      <c r="I35" s="5"/>
      <c r="J35" s="5"/>
    </row>
    <row r="36" spans="2:10" x14ac:dyDescent="0.3">
      <c r="B36" s="29"/>
      <c r="C36" s="30"/>
      <c r="D36" s="33"/>
      <c r="E36" s="31"/>
      <c r="F36" s="32"/>
      <c r="G36" s="32"/>
      <c r="H36" s="32"/>
      <c r="I36" s="5"/>
      <c r="J36" s="5"/>
    </row>
    <row r="37" spans="2:10" x14ac:dyDescent="0.3">
      <c r="B37" s="29"/>
      <c r="C37" s="30"/>
      <c r="D37" s="33"/>
      <c r="E37" s="31"/>
      <c r="F37" s="32"/>
      <c r="G37" s="32"/>
      <c r="H37" s="32"/>
      <c r="I37" s="5"/>
      <c r="J37" s="5"/>
    </row>
    <row r="38" spans="2:10" x14ac:dyDescent="0.3">
      <c r="B38" s="29"/>
      <c r="C38" s="30"/>
      <c r="D38" s="33"/>
      <c r="E38" s="31"/>
      <c r="F38" s="32"/>
      <c r="G38" s="32"/>
      <c r="H38" s="32"/>
      <c r="I38" s="5"/>
      <c r="J38" s="5"/>
    </row>
    <row r="39" spans="2:10" x14ac:dyDescent="0.3">
      <c r="B39" s="29"/>
      <c r="C39" s="30"/>
      <c r="D39" s="33"/>
      <c r="E39" s="31"/>
      <c r="F39" s="32"/>
      <c r="G39" s="32"/>
      <c r="H39" s="32"/>
      <c r="I39" s="5"/>
      <c r="J39" s="5"/>
    </row>
    <row r="40" spans="2:10" x14ac:dyDescent="0.3">
      <c r="B40" s="29"/>
      <c r="C40" s="30"/>
      <c r="D40" s="33"/>
      <c r="E40" s="31"/>
      <c r="F40" s="32"/>
      <c r="G40" s="32"/>
      <c r="H40" s="32"/>
      <c r="I40" s="5"/>
      <c r="J40" s="5"/>
    </row>
    <row r="41" spans="2:10" x14ac:dyDescent="0.3">
      <c r="B41" s="29"/>
      <c r="C41" s="30"/>
      <c r="D41" s="33"/>
      <c r="E41" s="31"/>
      <c r="F41" s="32"/>
      <c r="G41" s="32"/>
      <c r="H41" s="32"/>
      <c r="I41" s="5"/>
      <c r="J41" s="5"/>
    </row>
    <row r="42" spans="2:10" x14ac:dyDescent="0.3">
      <c r="B42" s="29"/>
      <c r="C42" s="30"/>
      <c r="D42" s="33"/>
      <c r="E42" s="31"/>
      <c r="F42" s="32"/>
      <c r="G42" s="32"/>
      <c r="H42" s="32"/>
      <c r="I42" s="5"/>
      <c r="J42" s="5"/>
    </row>
    <row r="43" spans="2:10" x14ac:dyDescent="0.3">
      <c r="B43" s="29"/>
      <c r="C43" s="30"/>
      <c r="D43" s="33"/>
      <c r="E43" s="31"/>
      <c r="F43" s="32"/>
      <c r="G43" s="32"/>
      <c r="H43" s="32"/>
      <c r="I43" s="5"/>
      <c r="J43" s="5"/>
    </row>
    <row r="44" spans="2:10" x14ac:dyDescent="0.3">
      <c r="B44" s="29"/>
      <c r="C44" s="30"/>
      <c r="D44" s="33"/>
      <c r="E44" s="31"/>
      <c r="F44" s="32"/>
      <c r="G44" s="32"/>
      <c r="H44" s="32"/>
      <c r="I44" s="5"/>
      <c r="J44" s="5"/>
    </row>
    <row r="45" spans="2:10" x14ac:dyDescent="0.3">
      <c r="B45" s="29"/>
      <c r="C45" s="30"/>
      <c r="D45" s="33"/>
      <c r="E45" s="31"/>
      <c r="F45" s="32"/>
      <c r="G45" s="32"/>
      <c r="H45" s="32"/>
      <c r="I45" s="5"/>
      <c r="J45" s="5"/>
    </row>
    <row r="46" spans="2:10" x14ac:dyDescent="0.3">
      <c r="B46" s="29"/>
      <c r="C46" s="30"/>
      <c r="D46" s="33"/>
      <c r="E46" s="31"/>
      <c r="F46" s="32"/>
      <c r="G46" s="32"/>
      <c r="H46" s="32"/>
      <c r="I46" s="5"/>
      <c r="J46" s="5"/>
    </row>
    <row r="47" spans="2:10" x14ac:dyDescent="0.3">
      <c r="B47" s="29"/>
      <c r="C47" s="30"/>
      <c r="D47" s="33"/>
      <c r="E47" s="31"/>
      <c r="F47" s="32"/>
      <c r="G47" s="32"/>
      <c r="H47" s="32"/>
      <c r="I47" s="5"/>
      <c r="J47" s="5"/>
    </row>
    <row r="48" spans="2:10" x14ac:dyDescent="0.3">
      <c r="B48" s="29"/>
      <c r="C48" s="30"/>
      <c r="D48" s="33"/>
      <c r="E48" s="31"/>
      <c r="F48" s="32"/>
      <c r="G48" s="32"/>
      <c r="H48" s="32"/>
      <c r="I48" s="5"/>
      <c r="J48" s="5"/>
    </row>
    <row r="49" spans="2:10" x14ac:dyDescent="0.3">
      <c r="B49" s="29"/>
      <c r="C49" s="30"/>
      <c r="D49" s="33"/>
      <c r="E49" s="31"/>
      <c r="F49" s="32"/>
      <c r="G49" s="32"/>
      <c r="H49" s="32"/>
      <c r="I49" s="5"/>
      <c r="J49" s="5"/>
    </row>
    <row r="50" spans="2:10" x14ac:dyDescent="0.3">
      <c r="B50" s="29"/>
      <c r="C50" s="30"/>
      <c r="D50" s="33"/>
      <c r="E50" s="31"/>
      <c r="F50" s="32"/>
      <c r="G50" s="32"/>
      <c r="H50" s="32"/>
      <c r="I50" s="5"/>
      <c r="J50" s="5"/>
    </row>
    <row r="51" spans="2:10" x14ac:dyDescent="0.3">
      <c r="B51" s="29"/>
      <c r="C51" s="30"/>
      <c r="D51" s="33"/>
      <c r="E51" s="31"/>
      <c r="F51" s="32"/>
      <c r="G51" s="32"/>
      <c r="H51" s="32"/>
      <c r="I51" s="5"/>
      <c r="J51" s="5"/>
    </row>
    <row r="52" spans="2:10" x14ac:dyDescent="0.3">
      <c r="B52" s="29"/>
      <c r="C52" s="30"/>
      <c r="D52" s="33"/>
      <c r="E52" s="31"/>
      <c r="F52" s="32"/>
      <c r="G52" s="32"/>
      <c r="H52" s="32"/>
      <c r="I52" s="5"/>
      <c r="J52" s="5"/>
    </row>
    <row r="53" spans="2:10" x14ac:dyDescent="0.3">
      <c r="B53" s="29"/>
      <c r="C53" s="30"/>
      <c r="D53" s="33"/>
      <c r="E53" s="31"/>
      <c r="F53" s="32"/>
      <c r="G53" s="32"/>
      <c r="H53" s="32"/>
      <c r="I53" s="5"/>
      <c r="J53" s="5"/>
    </row>
    <row r="54" spans="2:10" x14ac:dyDescent="0.3">
      <c r="B54" s="29"/>
      <c r="C54" s="30"/>
      <c r="D54" s="33"/>
      <c r="E54" s="31"/>
      <c r="F54" s="32"/>
      <c r="G54" s="32"/>
      <c r="H54" s="32"/>
      <c r="I54" s="5"/>
      <c r="J54" s="5"/>
    </row>
    <row r="55" spans="2:10" x14ac:dyDescent="0.3">
      <c r="B55" s="29"/>
      <c r="C55" s="30"/>
      <c r="D55" s="33"/>
      <c r="E55" s="31"/>
      <c r="F55" s="32"/>
      <c r="G55" s="32"/>
      <c r="H55" s="32"/>
      <c r="I55" s="5"/>
      <c r="J55" s="5"/>
    </row>
    <row r="56" spans="2:10" x14ac:dyDescent="0.3">
      <c r="B56" s="29"/>
      <c r="C56" s="30"/>
      <c r="D56" s="33"/>
      <c r="E56" s="31"/>
      <c r="F56" s="32"/>
      <c r="G56" s="32"/>
      <c r="H56" s="32"/>
      <c r="I56" s="5"/>
      <c r="J56" s="5"/>
    </row>
    <row r="57" spans="2:10" x14ac:dyDescent="0.3">
      <c r="B57" s="29"/>
      <c r="C57" s="30"/>
      <c r="D57" s="33"/>
      <c r="E57" s="31"/>
      <c r="F57" s="32"/>
      <c r="G57" s="32"/>
      <c r="H57" s="32"/>
      <c r="I57" s="5"/>
      <c r="J57" s="5"/>
    </row>
    <row r="58" spans="2:10" x14ac:dyDescent="0.3">
      <c r="B58" s="29"/>
      <c r="C58" s="30"/>
      <c r="D58" s="33"/>
      <c r="E58" s="31"/>
      <c r="F58" s="32"/>
      <c r="G58" s="32"/>
      <c r="H58" s="32"/>
      <c r="I58" s="5"/>
      <c r="J58" s="5"/>
    </row>
    <row r="59" spans="2:10" x14ac:dyDescent="0.3">
      <c r="B59" s="29"/>
      <c r="C59" s="30"/>
      <c r="D59" s="33"/>
      <c r="E59" s="31"/>
      <c r="F59" s="32"/>
      <c r="G59" s="32"/>
      <c r="H59" s="32"/>
      <c r="I59" s="5"/>
      <c r="J59" s="5"/>
    </row>
    <row r="60" spans="2:10" x14ac:dyDescent="0.3">
      <c r="B60" s="29"/>
      <c r="C60" s="30"/>
      <c r="D60" s="33"/>
      <c r="E60" s="31"/>
      <c r="F60" s="32"/>
      <c r="G60" s="32"/>
      <c r="H60" s="32"/>
      <c r="I60" s="5"/>
      <c r="J60" s="5"/>
    </row>
    <row r="61" spans="2:10" x14ac:dyDescent="0.3">
      <c r="B61" s="29"/>
      <c r="C61" s="30"/>
      <c r="D61" s="33"/>
      <c r="E61" s="31"/>
      <c r="F61" s="32"/>
      <c r="G61" s="32"/>
      <c r="H61" s="32"/>
      <c r="I61" s="5"/>
      <c r="J61" s="5"/>
    </row>
    <row r="62" spans="2:10" x14ac:dyDescent="0.3">
      <c r="B62" s="29"/>
      <c r="C62" s="30"/>
      <c r="D62" s="33"/>
      <c r="E62" s="31"/>
      <c r="F62" s="32"/>
      <c r="G62" s="32"/>
      <c r="H62" s="32"/>
      <c r="I62" s="5"/>
      <c r="J62" s="5"/>
    </row>
    <row r="63" spans="2:10" x14ac:dyDescent="0.3">
      <c r="B63" s="29"/>
      <c r="C63" s="30"/>
      <c r="D63" s="33"/>
      <c r="E63" s="31"/>
      <c r="F63" s="32"/>
      <c r="G63" s="32"/>
      <c r="H63" s="32"/>
      <c r="I63" s="5"/>
      <c r="J63" s="5"/>
    </row>
    <row r="64" spans="2:10" x14ac:dyDescent="0.3">
      <c r="B64" s="29"/>
      <c r="C64" s="30"/>
      <c r="D64" s="33"/>
      <c r="E64" s="31"/>
      <c r="F64" s="32"/>
      <c r="G64" s="32"/>
      <c r="H64" s="32"/>
      <c r="I64" s="5"/>
      <c r="J64" s="5"/>
    </row>
    <row r="65" spans="2:10" x14ac:dyDescent="0.3">
      <c r="B65" s="29"/>
      <c r="C65" s="30"/>
      <c r="D65" s="33"/>
      <c r="E65" s="31"/>
      <c r="F65" s="32"/>
      <c r="G65" s="32"/>
      <c r="H65" s="32"/>
      <c r="I65" s="5"/>
      <c r="J65" s="5"/>
    </row>
    <row r="66" spans="2:10" x14ac:dyDescent="0.3">
      <c r="B66" s="29"/>
      <c r="C66" s="30"/>
      <c r="D66" s="33"/>
      <c r="E66" s="31"/>
      <c r="F66" s="32"/>
      <c r="G66" s="32"/>
      <c r="H66" s="32"/>
      <c r="I66" s="5"/>
      <c r="J66" s="5"/>
    </row>
    <row r="67" spans="2:10" x14ac:dyDescent="0.3">
      <c r="B67" s="29"/>
      <c r="C67" s="30"/>
      <c r="D67" s="33"/>
      <c r="E67" s="31"/>
      <c r="F67" s="32"/>
      <c r="G67" s="32"/>
      <c r="H67" s="32"/>
      <c r="I67" s="5"/>
      <c r="J67" s="5"/>
    </row>
    <row r="68" spans="2:10" x14ac:dyDescent="0.3">
      <c r="B68" s="29"/>
      <c r="C68" s="30"/>
      <c r="D68" s="33"/>
      <c r="E68" s="31"/>
      <c r="F68" s="32"/>
      <c r="G68" s="32"/>
      <c r="H68" s="32"/>
      <c r="I68" s="5"/>
      <c r="J68" s="5"/>
    </row>
    <row r="69" spans="2:10" x14ac:dyDescent="0.3">
      <c r="B69" s="29"/>
      <c r="C69" s="30"/>
      <c r="D69" s="33"/>
      <c r="E69" s="31"/>
      <c r="F69" s="32"/>
      <c r="G69" s="32"/>
      <c r="H69" s="32"/>
      <c r="I69" s="5"/>
      <c r="J69" s="5"/>
    </row>
    <row r="70" spans="2:10" x14ac:dyDescent="0.3">
      <c r="B70" s="29"/>
      <c r="C70" s="30"/>
      <c r="D70" s="33"/>
      <c r="E70" s="31"/>
      <c r="F70" s="32"/>
      <c r="G70" s="32"/>
      <c r="H70" s="32"/>
      <c r="I70" s="5"/>
      <c r="J70" s="5"/>
    </row>
    <row r="71" spans="2:10" x14ac:dyDescent="0.3">
      <c r="B71" s="29"/>
      <c r="C71" s="30"/>
      <c r="D71" s="33"/>
      <c r="E71" s="31"/>
      <c r="F71" s="32"/>
      <c r="G71" s="32"/>
      <c r="H71" s="32"/>
      <c r="I71" s="5"/>
      <c r="J71" s="5"/>
    </row>
    <row r="72" spans="2:10" x14ac:dyDescent="0.3">
      <c r="B72" s="29"/>
      <c r="C72" s="30"/>
      <c r="D72" s="33"/>
      <c r="E72" s="31"/>
      <c r="F72" s="32"/>
      <c r="G72" s="32"/>
      <c r="H72" s="32"/>
      <c r="I72" s="5"/>
      <c r="J72" s="5"/>
    </row>
    <row r="73" spans="2:10" x14ac:dyDescent="0.3">
      <c r="B73" s="29"/>
      <c r="C73" s="30"/>
      <c r="D73" s="33"/>
      <c r="E73" s="31"/>
      <c r="F73" s="32"/>
      <c r="G73" s="32"/>
      <c r="H73" s="32"/>
      <c r="I73" s="5"/>
      <c r="J73" s="5"/>
    </row>
    <row r="74" spans="2:10" x14ac:dyDescent="0.3">
      <c r="B74" s="29"/>
      <c r="C74" s="30"/>
      <c r="D74" s="33"/>
      <c r="E74" s="31"/>
      <c r="F74" s="32"/>
      <c r="G74" s="32"/>
      <c r="H74" s="32"/>
      <c r="I74" s="5"/>
      <c r="J74" s="5"/>
    </row>
    <row r="75" spans="2:10" x14ac:dyDescent="0.3">
      <c r="B75" s="29"/>
      <c r="C75" s="30"/>
      <c r="D75" s="33"/>
      <c r="E75" s="31"/>
      <c r="F75" s="32"/>
      <c r="G75" s="32"/>
      <c r="H75" s="32"/>
      <c r="I75" s="5"/>
      <c r="J75" s="5"/>
    </row>
    <row r="76" spans="2:10" x14ac:dyDescent="0.3">
      <c r="B76" s="29"/>
      <c r="C76" s="30"/>
      <c r="D76" s="33"/>
      <c r="E76" s="31"/>
      <c r="F76" s="32"/>
      <c r="G76" s="32"/>
      <c r="H76" s="32"/>
      <c r="I76" s="5"/>
      <c r="J76" s="5"/>
    </row>
    <row r="77" spans="2:10" x14ac:dyDescent="0.3">
      <c r="B77" s="29"/>
      <c r="C77" s="30"/>
      <c r="D77" s="33"/>
      <c r="E77" s="31"/>
      <c r="F77" s="32"/>
      <c r="G77" s="32"/>
      <c r="H77" s="32"/>
      <c r="I77" s="5"/>
      <c r="J77" s="5"/>
    </row>
    <row r="78" spans="2:10" x14ac:dyDescent="0.3">
      <c r="B78" s="29"/>
      <c r="C78" s="30"/>
      <c r="D78" s="33"/>
      <c r="E78" s="31"/>
      <c r="F78" s="32"/>
      <c r="G78" s="32"/>
      <c r="H78" s="32"/>
      <c r="I78" s="5"/>
      <c r="J78" s="5"/>
    </row>
    <row r="79" spans="2:10" x14ac:dyDescent="0.3">
      <c r="B79" s="29"/>
      <c r="C79" s="30"/>
      <c r="D79" s="33"/>
      <c r="E79" s="31"/>
      <c r="F79" s="32"/>
      <c r="G79" s="32"/>
      <c r="H79" s="32"/>
      <c r="I79" s="5"/>
      <c r="J79" s="5"/>
    </row>
    <row r="80" spans="2:10" x14ac:dyDescent="0.3">
      <c r="B80" s="29"/>
      <c r="C80" s="30"/>
      <c r="D80" s="33"/>
      <c r="E80" s="31"/>
      <c r="F80" s="32"/>
      <c r="G80" s="32"/>
      <c r="H80" s="32"/>
      <c r="I80" s="5"/>
      <c r="J80" s="5"/>
    </row>
    <row r="81" spans="2:10" x14ac:dyDescent="0.3">
      <c r="B81" s="29"/>
      <c r="C81" s="30"/>
      <c r="D81" s="33"/>
      <c r="E81" s="31"/>
      <c r="F81" s="32"/>
      <c r="G81" s="32"/>
      <c r="H81" s="32"/>
      <c r="I81" s="5"/>
      <c r="J81" s="5"/>
    </row>
    <row r="82" spans="2:10" x14ac:dyDescent="0.3">
      <c r="B82" s="29"/>
      <c r="C82" s="30"/>
      <c r="D82" s="33"/>
      <c r="E82" s="31"/>
      <c r="F82" s="32"/>
      <c r="G82" s="32"/>
      <c r="H82" s="32"/>
      <c r="I82" s="5"/>
      <c r="J82" s="5"/>
    </row>
    <row r="83" spans="2:10" x14ac:dyDescent="0.3">
      <c r="B83" s="29"/>
      <c r="C83" s="30"/>
      <c r="D83" s="33"/>
      <c r="E83" s="31"/>
      <c r="F83" s="32"/>
      <c r="G83" s="32"/>
      <c r="H83" s="32"/>
      <c r="I83" s="5"/>
      <c r="J83" s="5"/>
    </row>
    <row r="84" spans="2:10" x14ac:dyDescent="0.3">
      <c r="B84" s="29"/>
      <c r="C84" s="30"/>
      <c r="D84" s="33"/>
      <c r="E84" s="31"/>
      <c r="F84" s="32"/>
      <c r="G84" s="32"/>
      <c r="H84" s="32"/>
      <c r="I84" s="5"/>
      <c r="J84" s="5"/>
    </row>
    <row r="85" spans="2:10" x14ac:dyDescent="0.3">
      <c r="B85" s="29"/>
      <c r="C85" s="30"/>
      <c r="D85" s="33"/>
      <c r="E85" s="31"/>
      <c r="F85" s="32"/>
      <c r="G85" s="32"/>
      <c r="H85" s="32"/>
      <c r="I85" s="5"/>
      <c r="J85" s="5"/>
    </row>
    <row r="86" spans="2:10" x14ac:dyDescent="0.3">
      <c r="B86" s="29"/>
      <c r="C86" s="30"/>
      <c r="D86" s="33"/>
      <c r="E86" s="31"/>
      <c r="F86" s="32"/>
      <c r="G86" s="32"/>
      <c r="H86" s="32"/>
      <c r="I86" s="5"/>
      <c r="J86" s="5"/>
    </row>
    <row r="87" spans="2:10" x14ac:dyDescent="0.3">
      <c r="B87" s="29"/>
      <c r="C87" s="30"/>
      <c r="D87" s="33"/>
      <c r="E87" s="31"/>
      <c r="F87" s="32"/>
      <c r="G87" s="32"/>
      <c r="H87" s="32"/>
      <c r="I87" s="5"/>
      <c r="J87" s="5"/>
    </row>
    <row r="88" spans="2:10" x14ac:dyDescent="0.3">
      <c r="B88" s="29"/>
      <c r="C88" s="30"/>
      <c r="D88" s="33"/>
      <c r="E88" s="31"/>
      <c r="F88" s="32"/>
      <c r="G88" s="32"/>
      <c r="H88" s="32"/>
      <c r="I88" s="5"/>
      <c r="J88" s="5"/>
    </row>
    <row r="89" spans="2:10" x14ac:dyDescent="0.3">
      <c r="B89" s="29"/>
      <c r="C89" s="30"/>
      <c r="D89" s="33"/>
      <c r="E89" s="31"/>
      <c r="F89" s="32"/>
      <c r="G89" s="32"/>
      <c r="H89" s="32"/>
      <c r="I89" s="5"/>
      <c r="J89" s="5"/>
    </row>
    <row r="90" spans="2:10" x14ac:dyDescent="0.3">
      <c r="B90" s="29"/>
      <c r="C90" s="30"/>
      <c r="D90" s="33"/>
      <c r="E90" s="31"/>
      <c r="F90" s="32"/>
      <c r="G90" s="32"/>
      <c r="H90" s="32"/>
      <c r="I90" s="5"/>
      <c r="J90" s="5"/>
    </row>
    <row r="91" spans="2:10" x14ac:dyDescent="0.3">
      <c r="B91" s="29"/>
      <c r="C91" s="30"/>
      <c r="D91" s="33"/>
      <c r="E91" s="31"/>
      <c r="F91" s="32"/>
      <c r="G91" s="32"/>
      <c r="H91" s="32"/>
      <c r="I91" s="5"/>
      <c r="J91" s="5"/>
    </row>
    <row r="92" spans="2:10" x14ac:dyDescent="0.3">
      <c r="B92" s="29"/>
      <c r="C92" s="30"/>
      <c r="D92" s="33"/>
      <c r="E92" s="31"/>
      <c r="F92" s="32"/>
      <c r="G92" s="32"/>
      <c r="H92" s="32"/>
      <c r="I92" s="5"/>
      <c r="J92" s="5"/>
    </row>
    <row r="93" spans="2:10" x14ac:dyDescent="0.3">
      <c r="B93" s="29"/>
      <c r="C93" s="30"/>
      <c r="D93" s="33"/>
      <c r="E93" s="31"/>
      <c r="F93" s="32"/>
      <c r="G93" s="32"/>
      <c r="H93" s="32"/>
      <c r="I93" s="5"/>
      <c r="J93" s="5"/>
    </row>
    <row r="94" spans="2:10" x14ac:dyDescent="0.3">
      <c r="B94" s="29"/>
      <c r="C94" s="30"/>
      <c r="D94" s="33"/>
      <c r="E94" s="31"/>
      <c r="F94" s="32"/>
      <c r="G94" s="32"/>
      <c r="H94" s="32"/>
      <c r="I94" s="5"/>
      <c r="J94" s="5"/>
    </row>
    <row r="95" spans="2:10" x14ac:dyDescent="0.3">
      <c r="B95" s="29"/>
      <c r="C95" s="30"/>
      <c r="D95" s="33"/>
      <c r="E95" s="31"/>
      <c r="F95" s="32"/>
      <c r="G95" s="32"/>
      <c r="H95" s="32"/>
      <c r="I95" s="5"/>
      <c r="J95" s="5"/>
    </row>
    <row r="96" spans="2:10" x14ac:dyDescent="0.3">
      <c r="B96" s="29"/>
      <c r="C96" s="30"/>
      <c r="D96" s="33"/>
      <c r="E96" s="31"/>
      <c r="F96" s="32"/>
      <c r="G96" s="32"/>
      <c r="H96" s="32"/>
      <c r="I96" s="5"/>
      <c r="J96" s="5"/>
    </row>
    <row r="97" spans="2:10" x14ac:dyDescent="0.3">
      <c r="B97" s="29"/>
      <c r="C97" s="30"/>
      <c r="D97" s="33"/>
      <c r="E97" s="31"/>
      <c r="F97" s="32"/>
      <c r="G97" s="32"/>
      <c r="H97" s="32"/>
      <c r="I97" s="5"/>
      <c r="J97" s="5"/>
    </row>
    <row r="98" spans="2:10" x14ac:dyDescent="0.3">
      <c r="B98" s="29"/>
      <c r="C98" s="30"/>
      <c r="D98" s="33"/>
      <c r="E98" s="31"/>
      <c r="F98" s="32"/>
      <c r="G98" s="32"/>
      <c r="H98" s="32"/>
      <c r="I98" s="5"/>
      <c r="J98" s="5"/>
    </row>
    <row r="99" spans="2:10" x14ac:dyDescent="0.3">
      <c r="B99" s="29"/>
      <c r="C99" s="30"/>
      <c r="D99" s="33"/>
      <c r="E99" s="31"/>
      <c r="F99" s="32"/>
      <c r="G99" s="32"/>
      <c r="H99" s="32"/>
      <c r="I99" s="5"/>
      <c r="J99" s="5"/>
    </row>
    <row r="100" spans="2:10" x14ac:dyDescent="0.3">
      <c r="B100" s="29"/>
      <c r="C100" s="30"/>
      <c r="D100" s="33"/>
      <c r="E100" s="31"/>
      <c r="F100" s="32"/>
      <c r="G100" s="32"/>
      <c r="H100" s="32"/>
      <c r="I100" s="5"/>
      <c r="J100" s="5"/>
    </row>
    <row r="101" spans="2:10" x14ac:dyDescent="0.3">
      <c r="B101" s="29"/>
      <c r="C101" s="30"/>
      <c r="D101" s="33"/>
      <c r="E101" s="31"/>
      <c r="F101" s="32"/>
      <c r="G101" s="32"/>
      <c r="H101" s="32"/>
      <c r="I101" s="5"/>
      <c r="J101" s="5"/>
    </row>
    <row r="102" spans="2:10" x14ac:dyDescent="0.3">
      <c r="B102" s="29"/>
      <c r="C102" s="30"/>
      <c r="D102" s="33"/>
      <c r="E102" s="31"/>
      <c r="F102" s="32"/>
      <c r="G102" s="32"/>
      <c r="H102" s="32"/>
      <c r="I102" s="5"/>
      <c r="J102" s="5"/>
    </row>
    <row r="103" spans="2:10" x14ac:dyDescent="0.3">
      <c r="B103" s="29"/>
      <c r="C103" s="30"/>
      <c r="D103" s="33"/>
      <c r="E103" s="31"/>
      <c r="F103" s="32"/>
      <c r="G103" s="32"/>
      <c r="H103" s="32"/>
      <c r="I103" s="5"/>
      <c r="J103" s="5"/>
    </row>
    <row r="104" spans="2:10" x14ac:dyDescent="0.3">
      <c r="B104" s="29"/>
      <c r="C104" s="30"/>
      <c r="D104" s="33"/>
      <c r="E104" s="31"/>
      <c r="F104" s="32"/>
      <c r="G104" s="32"/>
      <c r="H104" s="32"/>
      <c r="I104" s="5"/>
      <c r="J104" s="5"/>
    </row>
    <row r="105" spans="2:10" x14ac:dyDescent="0.3">
      <c r="B105" s="29"/>
      <c r="C105" s="30"/>
      <c r="D105" s="33"/>
      <c r="E105" s="31"/>
      <c r="F105" s="32"/>
      <c r="G105" s="32"/>
      <c r="H105" s="32"/>
      <c r="I105" s="5"/>
      <c r="J105" s="5"/>
    </row>
    <row r="106" spans="2:10" x14ac:dyDescent="0.3">
      <c r="B106" s="29"/>
      <c r="C106" s="30"/>
      <c r="D106" s="33"/>
      <c r="E106" s="31"/>
      <c r="F106" s="32"/>
      <c r="G106" s="32"/>
      <c r="H106" s="32"/>
      <c r="I106" s="5"/>
      <c r="J106" s="5"/>
    </row>
    <row r="107" spans="2:10" x14ac:dyDescent="0.3">
      <c r="B107" s="29"/>
      <c r="C107" s="30"/>
      <c r="D107" s="33"/>
      <c r="E107" s="31"/>
      <c r="F107" s="32"/>
      <c r="G107" s="32"/>
      <c r="H107" s="32"/>
      <c r="I107" s="5"/>
      <c r="J107" s="5"/>
    </row>
    <row r="108" spans="2:10" x14ac:dyDescent="0.3">
      <c r="B108" s="29"/>
      <c r="C108" s="30"/>
      <c r="D108" s="33"/>
      <c r="E108" s="31"/>
      <c r="F108" s="32"/>
      <c r="G108" s="32"/>
      <c r="H108" s="32"/>
      <c r="I108" s="5"/>
      <c r="J108" s="5"/>
    </row>
    <row r="109" spans="2:10" x14ac:dyDescent="0.3">
      <c r="B109" s="29"/>
      <c r="C109" s="30"/>
      <c r="D109" s="33"/>
      <c r="E109" s="31"/>
      <c r="F109" s="32"/>
      <c r="G109" s="32"/>
      <c r="H109" s="32"/>
      <c r="I109" s="5"/>
      <c r="J109" s="5"/>
    </row>
    <row r="110" spans="2:10" x14ac:dyDescent="0.3">
      <c r="B110" s="29"/>
      <c r="C110" s="30"/>
      <c r="D110" s="33"/>
      <c r="E110" s="31"/>
      <c r="F110" s="32"/>
      <c r="G110" s="32"/>
      <c r="H110" s="32"/>
      <c r="I110" s="5"/>
      <c r="J110" s="5"/>
    </row>
    <row r="111" spans="2:10" x14ac:dyDescent="0.3">
      <c r="B111" s="29"/>
      <c r="C111" s="30"/>
      <c r="D111" s="33"/>
      <c r="E111" s="31"/>
      <c r="F111" s="32"/>
      <c r="G111" s="32"/>
      <c r="H111" s="32"/>
      <c r="I111" s="5"/>
      <c r="J111" s="5"/>
    </row>
    <row r="112" spans="2:10" x14ac:dyDescent="0.3">
      <c r="B112" s="29"/>
      <c r="C112" s="30"/>
      <c r="D112" s="33"/>
      <c r="E112" s="31"/>
      <c r="F112" s="32"/>
      <c r="G112" s="32"/>
      <c r="H112" s="32"/>
      <c r="I112" s="5"/>
      <c r="J112" s="5"/>
    </row>
    <row r="113" spans="2:10" x14ac:dyDescent="0.3">
      <c r="B113" s="29"/>
      <c r="C113" s="30"/>
      <c r="D113" s="33"/>
      <c r="E113" s="31"/>
      <c r="F113" s="32"/>
      <c r="G113" s="32"/>
      <c r="H113" s="32"/>
      <c r="I113" s="5"/>
      <c r="J113" s="5"/>
    </row>
    <row r="114" spans="2:10" x14ac:dyDescent="0.3">
      <c r="B114" s="29"/>
      <c r="C114" s="30"/>
      <c r="D114" s="33"/>
      <c r="E114" s="31"/>
      <c r="F114" s="32"/>
      <c r="G114" s="32"/>
      <c r="H114" s="32"/>
      <c r="I114" s="5"/>
      <c r="J114" s="5"/>
    </row>
    <row r="115" spans="2:10" x14ac:dyDescent="0.3">
      <c r="B115" s="29"/>
      <c r="C115" s="30"/>
      <c r="D115" s="33"/>
      <c r="E115" s="31"/>
      <c r="F115" s="32"/>
      <c r="G115" s="32"/>
      <c r="H115" s="32"/>
      <c r="I115" s="5"/>
      <c r="J115" s="5"/>
    </row>
    <row r="116" spans="2:10" x14ac:dyDescent="0.3">
      <c r="B116" s="29"/>
      <c r="C116" s="30"/>
      <c r="D116" s="33"/>
      <c r="E116" s="31"/>
      <c r="F116" s="32"/>
      <c r="G116" s="32"/>
      <c r="H116" s="32"/>
      <c r="I116" s="5"/>
      <c r="J116" s="5"/>
    </row>
    <row r="117" spans="2:10" x14ac:dyDescent="0.3">
      <c r="B117" s="29"/>
      <c r="C117" s="30"/>
      <c r="D117" s="33"/>
      <c r="E117" s="31"/>
      <c r="F117" s="32"/>
      <c r="G117" s="32"/>
      <c r="H117" s="32"/>
      <c r="I117" s="5"/>
      <c r="J117" s="5"/>
    </row>
    <row r="118" spans="2:10" x14ac:dyDescent="0.3">
      <c r="B118" s="29"/>
      <c r="C118" s="30"/>
      <c r="D118" s="33"/>
      <c r="E118" s="31"/>
      <c r="F118" s="32"/>
      <c r="G118" s="32"/>
      <c r="H118" s="32"/>
      <c r="I118" s="5"/>
      <c r="J118" s="5"/>
    </row>
    <row r="119" spans="2:10" x14ac:dyDescent="0.3">
      <c r="B119" s="29"/>
      <c r="C119" s="30"/>
      <c r="D119" s="33"/>
      <c r="E119" s="31"/>
      <c r="F119" s="32"/>
      <c r="G119" s="32"/>
      <c r="H119" s="32"/>
      <c r="I119" s="5"/>
      <c r="J119" s="5"/>
    </row>
    <row r="120" spans="2:10" x14ac:dyDescent="0.3">
      <c r="B120" s="29"/>
      <c r="C120" s="30"/>
      <c r="D120" s="33"/>
      <c r="E120" s="31"/>
      <c r="F120" s="32"/>
      <c r="G120" s="32"/>
      <c r="H120" s="32"/>
      <c r="I120" s="5"/>
      <c r="J120" s="5"/>
    </row>
    <row r="121" spans="2:10" x14ac:dyDescent="0.3">
      <c r="B121" s="29"/>
      <c r="C121" s="30"/>
      <c r="D121" s="33"/>
      <c r="E121" s="31"/>
      <c r="F121" s="32"/>
      <c r="G121" s="32"/>
      <c r="H121" s="32"/>
      <c r="I121" s="5"/>
      <c r="J121" s="5"/>
    </row>
    <row r="122" spans="2:10" x14ac:dyDescent="0.3">
      <c r="B122" s="29"/>
      <c r="C122" s="30"/>
      <c r="D122" s="33"/>
      <c r="E122" s="31"/>
      <c r="F122" s="32"/>
      <c r="G122" s="32"/>
      <c r="H122" s="32"/>
      <c r="I122" s="5"/>
      <c r="J122" s="5"/>
    </row>
    <row r="123" spans="2:10" x14ac:dyDescent="0.3">
      <c r="B123" s="29"/>
      <c r="C123" s="30"/>
      <c r="D123" s="33"/>
      <c r="E123" s="31"/>
      <c r="F123" s="32"/>
      <c r="G123" s="32"/>
      <c r="H123" s="32"/>
      <c r="I123" s="5"/>
      <c r="J123" s="5"/>
    </row>
    <row r="124" spans="2:10" x14ac:dyDescent="0.3">
      <c r="B124" s="29"/>
      <c r="C124" s="30"/>
      <c r="D124" s="33"/>
      <c r="E124" s="31"/>
      <c r="F124" s="32"/>
      <c r="G124" s="32"/>
      <c r="H124" s="32"/>
      <c r="I124" s="5"/>
      <c r="J124" s="5"/>
    </row>
    <row r="125" spans="2:10" x14ac:dyDescent="0.3">
      <c r="B125" s="29"/>
      <c r="C125" s="30"/>
      <c r="D125" s="33"/>
      <c r="E125" s="31"/>
      <c r="F125" s="32"/>
      <c r="G125" s="32"/>
      <c r="H125" s="32"/>
      <c r="I125" s="5"/>
      <c r="J125" s="5"/>
    </row>
    <row r="126" spans="2:10" x14ac:dyDescent="0.3">
      <c r="B126" s="29"/>
      <c r="C126" s="30"/>
      <c r="D126" s="33"/>
      <c r="E126" s="31"/>
      <c r="F126" s="32"/>
      <c r="G126" s="32"/>
      <c r="H126" s="32"/>
      <c r="I126" s="5"/>
      <c r="J126" s="5"/>
    </row>
    <row r="127" spans="2:10" x14ac:dyDescent="0.3">
      <c r="B127" s="29"/>
      <c r="C127" s="30"/>
      <c r="D127" s="33"/>
      <c r="E127" s="31"/>
      <c r="F127" s="32"/>
      <c r="G127" s="32"/>
      <c r="H127" s="32"/>
      <c r="I127" s="5"/>
      <c r="J127" s="5"/>
    </row>
    <row r="128" spans="2:10" x14ac:dyDescent="0.3">
      <c r="B128" s="29"/>
      <c r="C128" s="30"/>
      <c r="D128" s="33"/>
      <c r="E128" s="31"/>
      <c r="F128" s="32"/>
      <c r="G128" s="32"/>
      <c r="H128" s="32"/>
      <c r="I128" s="5"/>
      <c r="J128" s="5"/>
    </row>
    <row r="129" spans="2:10" x14ac:dyDescent="0.3">
      <c r="B129" s="29"/>
      <c r="C129" s="30"/>
      <c r="D129" s="33"/>
      <c r="E129" s="31"/>
      <c r="F129" s="32"/>
      <c r="G129" s="32"/>
      <c r="H129" s="32"/>
      <c r="I129" s="5"/>
      <c r="J129" s="5"/>
    </row>
    <row r="130" spans="2:10" x14ac:dyDescent="0.3">
      <c r="B130" s="29"/>
      <c r="C130" s="30"/>
      <c r="D130" s="33"/>
      <c r="E130" s="31"/>
      <c r="F130" s="32"/>
      <c r="G130" s="32"/>
      <c r="H130" s="32"/>
      <c r="I130" s="5"/>
      <c r="J130" s="5"/>
    </row>
    <row r="131" spans="2:10" x14ac:dyDescent="0.3">
      <c r="B131" s="29"/>
      <c r="C131" s="30"/>
      <c r="D131" s="33"/>
      <c r="E131" s="31"/>
      <c r="F131" s="32"/>
      <c r="G131" s="32"/>
      <c r="H131" s="32"/>
      <c r="I131" s="5"/>
      <c r="J131" s="5"/>
    </row>
    <row r="132" spans="2:10" x14ac:dyDescent="0.3">
      <c r="B132" s="29"/>
      <c r="C132" s="30"/>
      <c r="D132" s="33"/>
      <c r="E132" s="31"/>
      <c r="F132" s="32"/>
      <c r="G132" s="32"/>
      <c r="H132" s="32"/>
      <c r="I132" s="5"/>
      <c r="J132" s="5"/>
    </row>
    <row r="133" spans="2:10" x14ac:dyDescent="0.3">
      <c r="B133" s="29"/>
      <c r="C133" s="30"/>
      <c r="D133" s="33"/>
      <c r="E133" s="31"/>
      <c r="F133" s="32"/>
      <c r="G133" s="32"/>
      <c r="H133" s="32"/>
      <c r="I133" s="5"/>
      <c r="J133" s="5"/>
    </row>
    <row r="134" spans="2:10" x14ac:dyDescent="0.3">
      <c r="B134" s="29"/>
      <c r="C134" s="30"/>
      <c r="D134" s="33"/>
      <c r="E134" s="31"/>
      <c r="F134" s="32"/>
      <c r="G134" s="32"/>
      <c r="H134" s="32"/>
      <c r="I134" s="5"/>
      <c r="J134" s="5"/>
    </row>
    <row r="135" spans="2:10" x14ac:dyDescent="0.3">
      <c r="B135" s="29"/>
      <c r="C135" s="30"/>
      <c r="D135" s="33"/>
      <c r="E135" s="31"/>
      <c r="F135" s="32"/>
      <c r="G135" s="32"/>
      <c r="H135" s="32"/>
      <c r="I135" s="5"/>
      <c r="J135" s="5"/>
    </row>
    <row r="136" spans="2:10" x14ac:dyDescent="0.3">
      <c r="B136" s="29"/>
      <c r="C136" s="30"/>
      <c r="D136" s="33"/>
      <c r="E136" s="31"/>
      <c r="F136" s="32"/>
      <c r="G136" s="32"/>
      <c r="H136" s="32"/>
      <c r="I136" s="5"/>
      <c r="J136" s="5"/>
    </row>
    <row r="137" spans="2:10" x14ac:dyDescent="0.3">
      <c r="B137" s="29"/>
      <c r="C137" s="30"/>
      <c r="D137" s="33"/>
      <c r="E137" s="31"/>
      <c r="F137" s="32"/>
      <c r="G137" s="32"/>
      <c r="H137" s="32"/>
      <c r="I137" s="5"/>
      <c r="J137" s="5"/>
    </row>
    <row r="138" spans="2:10" x14ac:dyDescent="0.3">
      <c r="B138" s="29"/>
      <c r="C138" s="30"/>
      <c r="D138" s="33"/>
      <c r="E138" s="31"/>
      <c r="F138" s="32"/>
      <c r="G138" s="32"/>
      <c r="H138" s="32"/>
      <c r="I138" s="5"/>
      <c r="J138" s="5"/>
    </row>
    <row r="139" spans="2:10" x14ac:dyDescent="0.3">
      <c r="B139" s="29"/>
      <c r="C139" s="30"/>
      <c r="D139" s="33"/>
      <c r="E139" s="31"/>
      <c r="F139" s="32"/>
      <c r="G139" s="32"/>
      <c r="H139" s="32"/>
      <c r="I139" s="5"/>
      <c r="J139" s="5"/>
    </row>
    <row r="140" spans="2:10" x14ac:dyDescent="0.3">
      <c r="B140" s="29"/>
      <c r="C140" s="30"/>
      <c r="D140" s="33"/>
      <c r="E140" s="31"/>
      <c r="F140" s="32"/>
      <c r="G140" s="32"/>
      <c r="H140" s="32"/>
      <c r="I140" s="5"/>
      <c r="J140" s="5"/>
    </row>
    <row r="141" spans="2:10" x14ac:dyDescent="0.3">
      <c r="B141" s="29"/>
      <c r="C141" s="30"/>
      <c r="D141" s="33"/>
      <c r="E141" s="31"/>
      <c r="F141" s="32"/>
      <c r="G141" s="32"/>
      <c r="H141" s="32"/>
      <c r="I141" s="5"/>
      <c r="J141" s="5"/>
    </row>
    <row r="142" spans="2:10" x14ac:dyDescent="0.3">
      <c r="B142" s="29"/>
      <c r="C142" s="30"/>
      <c r="D142" s="33"/>
      <c r="E142" s="31"/>
      <c r="F142" s="32"/>
      <c r="G142" s="32"/>
      <c r="H142" s="32"/>
      <c r="I142" s="5"/>
      <c r="J142" s="5"/>
    </row>
    <row r="143" spans="2:10" x14ac:dyDescent="0.3">
      <c r="B143" s="29"/>
      <c r="C143" s="30"/>
      <c r="D143" s="33"/>
      <c r="E143" s="31"/>
      <c r="F143" s="32"/>
      <c r="G143" s="32"/>
      <c r="H143" s="32"/>
      <c r="I143" s="5"/>
      <c r="J143" s="5"/>
    </row>
    <row r="144" spans="2:10" x14ac:dyDescent="0.3">
      <c r="B144" s="29"/>
      <c r="C144" s="30"/>
      <c r="D144" s="33"/>
      <c r="E144" s="31"/>
      <c r="F144" s="32"/>
      <c r="G144" s="32"/>
      <c r="H144" s="32"/>
      <c r="I144" s="5"/>
      <c r="J144" s="5"/>
    </row>
    <row r="145" spans="2:10" x14ac:dyDescent="0.3">
      <c r="B145" s="29"/>
      <c r="C145" s="30"/>
      <c r="D145" s="33"/>
      <c r="E145" s="31"/>
      <c r="F145" s="32"/>
      <c r="G145" s="32"/>
      <c r="H145" s="32"/>
      <c r="I145" s="5"/>
      <c r="J145" s="5"/>
    </row>
    <row r="146" spans="2:10" x14ac:dyDescent="0.3">
      <c r="B146" s="29"/>
      <c r="C146" s="30"/>
      <c r="D146" s="33"/>
      <c r="E146" s="31"/>
      <c r="F146" s="32"/>
      <c r="G146" s="32"/>
      <c r="H146" s="32"/>
      <c r="I146" s="5"/>
      <c r="J146" s="5"/>
    </row>
    <row r="147" spans="2:10" x14ac:dyDescent="0.3">
      <c r="B147" s="29"/>
      <c r="C147" s="30"/>
      <c r="D147" s="33"/>
      <c r="E147" s="31"/>
      <c r="F147" s="32"/>
      <c r="G147" s="32"/>
      <c r="H147" s="32"/>
      <c r="I147" s="5"/>
      <c r="J147" s="5"/>
    </row>
    <row r="148" spans="2:10" x14ac:dyDescent="0.3">
      <c r="B148" s="29"/>
      <c r="C148" s="30"/>
      <c r="D148" s="33"/>
      <c r="E148" s="31"/>
      <c r="F148" s="32"/>
      <c r="G148" s="32"/>
      <c r="H148" s="32"/>
      <c r="I148" s="5"/>
      <c r="J148" s="5"/>
    </row>
    <row r="149" spans="2:10" x14ac:dyDescent="0.3">
      <c r="B149" s="29"/>
      <c r="C149" s="30"/>
      <c r="D149" s="33"/>
      <c r="E149" s="31"/>
      <c r="F149" s="32"/>
      <c r="G149" s="32"/>
      <c r="H149" s="32"/>
      <c r="I149" s="5"/>
      <c r="J149" s="5"/>
    </row>
    <row r="150" spans="2:10" x14ac:dyDescent="0.3">
      <c r="B150" s="29"/>
      <c r="C150" s="30"/>
      <c r="D150" s="33"/>
      <c r="E150" s="31"/>
      <c r="F150" s="32"/>
      <c r="G150" s="32"/>
      <c r="H150" s="32"/>
      <c r="I150" s="5"/>
      <c r="J150" s="5"/>
    </row>
    <row r="151" spans="2:10" x14ac:dyDescent="0.3">
      <c r="B151" s="29"/>
      <c r="C151" s="30"/>
      <c r="D151" s="33"/>
      <c r="E151" s="31"/>
      <c r="F151" s="32"/>
      <c r="G151" s="32"/>
      <c r="H151" s="32"/>
      <c r="I151" s="5"/>
      <c r="J151" s="5"/>
    </row>
    <row r="152" spans="2:10" x14ac:dyDescent="0.3">
      <c r="B152" s="29"/>
      <c r="C152" s="30"/>
      <c r="D152" s="33"/>
      <c r="E152" s="31"/>
      <c r="F152" s="32"/>
      <c r="G152" s="32"/>
      <c r="H152" s="32"/>
      <c r="I152" s="5"/>
      <c r="J152" s="5"/>
    </row>
    <row r="153" spans="2:10" x14ac:dyDescent="0.3">
      <c r="B153" s="29"/>
      <c r="C153" s="30"/>
      <c r="D153" s="33"/>
      <c r="E153" s="31"/>
      <c r="F153" s="32"/>
      <c r="G153" s="32"/>
      <c r="H153" s="32"/>
      <c r="I153" s="5"/>
      <c r="J153" s="5"/>
    </row>
    <row r="154" spans="2:10" x14ac:dyDescent="0.3">
      <c r="B154" s="29"/>
      <c r="C154" s="30"/>
      <c r="D154" s="33"/>
      <c r="E154" s="31"/>
      <c r="F154" s="32"/>
      <c r="G154" s="32"/>
      <c r="H154" s="32"/>
      <c r="I154" s="5"/>
      <c r="J154" s="5"/>
    </row>
    <row r="155" spans="2:10" x14ac:dyDescent="0.3">
      <c r="B155" s="29"/>
      <c r="C155" s="30"/>
      <c r="D155" s="33"/>
      <c r="E155" s="31"/>
      <c r="F155" s="32"/>
      <c r="G155" s="32"/>
      <c r="H155" s="32"/>
      <c r="I155" s="5"/>
      <c r="J155" s="5"/>
    </row>
    <row r="156" spans="2:10" x14ac:dyDescent="0.3">
      <c r="B156" s="29"/>
      <c r="C156" s="30"/>
      <c r="D156" s="33"/>
      <c r="E156" s="31"/>
      <c r="F156" s="32"/>
      <c r="G156" s="32"/>
      <c r="H156" s="32"/>
      <c r="I156" s="5"/>
      <c r="J156" s="5"/>
    </row>
    <row r="157" spans="2:10" x14ac:dyDescent="0.3">
      <c r="B157" s="29"/>
      <c r="C157" s="30"/>
      <c r="D157" s="33"/>
      <c r="E157" s="31"/>
      <c r="F157" s="32"/>
      <c r="G157" s="32"/>
      <c r="H157" s="32"/>
      <c r="I157" s="5"/>
      <c r="J157" s="5"/>
    </row>
    <row r="158" spans="2:10" x14ac:dyDescent="0.3">
      <c r="B158" s="29"/>
      <c r="C158" s="30"/>
      <c r="D158" s="33"/>
      <c r="E158" s="31"/>
      <c r="F158" s="32"/>
      <c r="G158" s="32"/>
      <c r="H158" s="32"/>
      <c r="I158" s="5"/>
      <c r="J158" s="5"/>
    </row>
    <row r="159" spans="2:10" x14ac:dyDescent="0.3">
      <c r="B159" s="29"/>
      <c r="C159" s="30"/>
      <c r="D159" s="33"/>
      <c r="E159" s="31"/>
      <c r="F159" s="32"/>
      <c r="G159" s="32"/>
      <c r="H159" s="32"/>
      <c r="I159" s="5"/>
      <c r="J159" s="5"/>
    </row>
    <row r="160" spans="2:10" x14ac:dyDescent="0.3">
      <c r="B160" s="29"/>
      <c r="C160" s="30"/>
      <c r="D160" s="33"/>
      <c r="E160" s="31"/>
      <c r="F160" s="32"/>
      <c r="G160" s="32"/>
      <c r="H160" s="32"/>
      <c r="I160" s="5"/>
      <c r="J160" s="5"/>
    </row>
  </sheetData>
  <phoneticPr fontId="3" type="noConversion"/>
  <dataValidations count="1">
    <dataValidation type="list" allowBlank="1" showInputMessage="1" sqref="D1" xr:uid="{4906F902-2113-40B5-B2F0-E069D2645805}">
      <formula1>Список_щитов</formula1>
    </dataValidation>
  </dataValidations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4AB53-39B8-42F9-A3BB-E53E025B4A51}">
  <sheetPr>
    <tabColor rgb="FFA6A6A6"/>
  </sheetPr>
  <dimension ref="A1:S160"/>
  <sheetViews>
    <sheetView topLeftCell="B52" workbookViewId="0">
      <selection activeCell="C11" sqref="C11"/>
    </sheetView>
  </sheetViews>
  <sheetFormatPr defaultRowHeight="14.4" outlineLevelCol="1" x14ac:dyDescent="0.3"/>
  <cols>
    <col min="1" max="1" width="4" hidden="1" customWidth="1"/>
    <col min="2" max="2" width="9.6640625" customWidth="1"/>
    <col min="3" max="3" width="115.88671875" customWidth="1"/>
    <col min="4" max="6" width="20.6640625" customWidth="1"/>
    <col min="7" max="9" width="9.6640625" customWidth="1"/>
    <col min="10" max="10" width="20.6640625" customWidth="1"/>
    <col min="11" max="11" width="3" customWidth="1"/>
    <col min="12" max="12" width="40" hidden="1" customWidth="1" outlineLevel="1"/>
    <col min="13" max="19" width="11" hidden="1" customWidth="1" outlineLevel="1"/>
  </cols>
  <sheetData>
    <row r="1" spans="1:15" ht="28.2" thickBot="1" x14ac:dyDescent="0.35">
      <c r="C1" s="30" t="str">
        <f>IF(Каталог!$R$28="","ЧЕРНОВИК — считается сам, не править. Перенос в «Спецификацию»: выделите B4:J160 → Копировать → лист «Спецификация», ячейка B4 → Вставить → Значения (или кнопка/макрос «ОбновитьСпецификацию»).","ВНИМАНИЕ: в однолинейке есть позиции, которых нет в Каталоге: "&amp;Каталог!$R$28&amp;IF(Каталог!$R$29="","",", "&amp;Каталог!$R$29)&amp;IF(Каталог!$R$30="","",", "&amp;Каталог!$R$30)&amp;" — добавьте их в Каталог.")</f>
        <v>ВНИМАНИЕ: в однолинейке есть позиции, которых нет в Каталоге: 1P С6А, 3P С6А, 3P С63А — добавьте их в Каталог.</v>
      </c>
      <c r="K1" s="36" t="str">
        <f>"Щит: "&amp;Спецификация!$D$1&amp;" (выбор — «Спецификация» D1)"</f>
        <v>Щит: все (выбор — «Спецификация» D1)</v>
      </c>
    </row>
    <row r="2" spans="1:15" ht="43.8" thickBot="1" x14ac:dyDescent="0.35">
      <c r="B2" s="9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53</v>
      </c>
      <c r="H2" s="1" t="s">
        <v>50</v>
      </c>
      <c r="I2" s="1" t="s">
        <v>51</v>
      </c>
      <c r="J2" s="10" t="s">
        <v>52</v>
      </c>
      <c r="L2" s="1" t="s">
        <v>832</v>
      </c>
      <c r="M2" s="1" t="s">
        <v>50</v>
      </c>
      <c r="N2" s="1" t="s">
        <v>833</v>
      </c>
      <c r="O2" s="1" t="s">
        <v>834</v>
      </c>
    </row>
    <row r="3" spans="1:15" ht="28.8" x14ac:dyDescent="0.3">
      <c r="B3" s="28" t="s">
        <v>39</v>
      </c>
      <c r="C3" s="27" t="s">
        <v>255</v>
      </c>
      <c r="D3" s="8"/>
      <c r="E3" s="8"/>
      <c r="F3" s="8"/>
      <c r="G3" s="8"/>
      <c r="H3" s="8"/>
      <c r="I3" s="8"/>
      <c r="J3" s="8"/>
      <c r="L3" s="1" t="s">
        <v>835</v>
      </c>
    </row>
    <row r="4" spans="1:15" x14ac:dyDescent="0.3">
      <c r="A4" s="29">
        <f>IFERROR(MATCH(ROW()-3,Каталог!$AF$4:$AF$500,0),"")</f>
        <v>1</v>
      </c>
      <c r="B4" s="29" t="str">
        <f t="shared" ref="B4:B35" si="0">IF($A4="","",$B$3&amp;"."&amp;(ROW()-3))</f>
        <v>1.1</v>
      </c>
      <c r="C4" s="30" t="str">
        <f>IF($A4="","",INDEX(Каталог!$G$4:$G$500,$A4)&amp;"")</f>
        <v>Автоматический выключатель NB1-63 1P 10А 6кА х-ка C (DB)</v>
      </c>
      <c r="D4" s="33"/>
      <c r="E4" s="31" t="str">
        <f>IF($A4="","",INDEX(Каталог!$H$4:$H$500,$A4)&amp;"")</f>
        <v>179614</v>
      </c>
      <c r="F4" s="32" t="str">
        <f>IF($A4="","",INDEX(Каталог!$B$4:$B$500,$A4)&amp;"")</f>
        <v>Chint</v>
      </c>
      <c r="G4" s="32" t="str">
        <f>IF($A4="","",INDEX(Каталог!$M$4:$M$500,$A4)&amp;"")</f>
        <v>шт.</v>
      </c>
      <c r="H4" s="32">
        <f>IF($A4="","",INDEX(Каталог!$P$4:$P$500,$A4))</f>
        <v>52</v>
      </c>
      <c r="I4" s="5"/>
      <c r="J4" s="5"/>
      <c r="L4" s="30" t="str">
        <f>IFERROR(INDEX(Однолинейка!$H$3:$H$1000,MATCH(1,Однолинейка!$BM$3:$BM$1000,0)),"")</f>
        <v>1P С6А</v>
      </c>
      <c r="M4" s="32">
        <f>IF(L4="","",COUNTIF(Однолинейка!$H$3:$H$1000,L4))</f>
        <v>25</v>
      </c>
    </row>
    <row r="5" spans="1:15" x14ac:dyDescent="0.3">
      <c r="A5" s="29">
        <f>IFERROR(MATCH(ROW()-3,Каталог!$AF$4:$AF$500,0),"")</f>
        <v>2</v>
      </c>
      <c r="B5" s="29" t="str">
        <f t="shared" si="0"/>
        <v>1.2</v>
      </c>
      <c r="C5" s="30" t="str">
        <f>IF($A5="","",INDEX(Каталог!$G$4:$G$500,$A5)&amp;"")</f>
        <v>Автоматический выключатель NB1-63 1P 16А 6кА х-ка C (DB)</v>
      </c>
      <c r="D5" s="33"/>
      <c r="E5" s="31" t="str">
        <f>IF($A5="","",INDEX(Каталог!$H$4:$H$500,$A5)&amp;"")</f>
        <v>179616</v>
      </c>
      <c r="F5" s="32" t="str">
        <f>IF($A5="","",INDEX(Каталог!$B$4:$B$500,$A5)&amp;"")</f>
        <v>Chint</v>
      </c>
      <c r="G5" s="32" t="str">
        <f>IF($A5="","",INDEX(Каталог!$M$4:$M$500,$A5)&amp;"")</f>
        <v>шт.</v>
      </c>
      <c r="H5" s="32">
        <f>IF($A5="","",INDEX(Каталог!$P$4:$P$500,$A5))</f>
        <v>52</v>
      </c>
      <c r="I5" s="5"/>
      <c r="J5" s="5"/>
      <c r="L5" s="30" t="str">
        <f>IFERROR(INDEX(Однолинейка!$H$3:$H$1000,MATCH(2,Однолинейка!$BM$3:$BM$1000,0)),"")</f>
        <v>3P С6А</v>
      </c>
      <c r="M5" s="32">
        <f>IF(L5="","",COUNTIF(Однолинейка!$H$3:$H$1000,L5))</f>
        <v>2</v>
      </c>
    </row>
    <row r="6" spans="1:15" x14ac:dyDescent="0.3">
      <c r="A6" s="29">
        <f>IFERROR(MATCH(ROW()-3,Каталог!$AF$4:$AF$500,0),"")</f>
        <v>6</v>
      </c>
      <c r="B6" s="29" t="str">
        <f t="shared" si="0"/>
        <v>1.3</v>
      </c>
      <c r="C6" s="30" t="str">
        <f>IF($A6="","",INDEX(Каталог!$G$4:$G$500,$A6)&amp;"")</f>
        <v>Дифавтомат (АВДТ) NB1L 1P+N C16 30мА тип A 6кА</v>
      </c>
      <c r="D6" s="33"/>
      <c r="E6" s="31" t="str">
        <f>IF($A6="","",INDEX(Каталог!$H$4:$H$500,$A6)&amp;"")</f>
        <v>203019</v>
      </c>
      <c r="F6" s="32" t="str">
        <f>IF($A6="","",INDEX(Каталог!$B$4:$B$500,$A6)&amp;"")</f>
        <v>Chint</v>
      </c>
      <c r="G6" s="32" t="str">
        <f>IF($A6="","",INDEX(Каталог!$M$4:$M$500,$A6)&amp;"")</f>
        <v>шт.</v>
      </c>
      <c r="H6" s="32">
        <f>IF($A6="","",INDEX(Каталог!$P$4:$P$500,$A6))</f>
        <v>139</v>
      </c>
      <c r="I6" s="5"/>
      <c r="J6" s="5"/>
      <c r="L6" s="30" t="str">
        <f>IFERROR(INDEX(Однолинейка!$H$3:$H$1000,MATCH(3,Однолинейка!$BM$3:$BM$1000,0)),"")</f>
        <v>1P С10А</v>
      </c>
      <c r="M6" s="32">
        <f>IF(L6="","",COUNTIF(Однолинейка!$H$3:$H$1000,L6))</f>
        <v>52</v>
      </c>
    </row>
    <row r="7" spans="1:15" x14ac:dyDescent="0.3">
      <c r="A7" s="29">
        <f>IFERROR(MATCH(ROW()-3,Каталог!$AF$4:$AF$500,0),"")</f>
        <v>7</v>
      </c>
      <c r="B7" s="29" t="str">
        <f t="shared" si="0"/>
        <v>1.4</v>
      </c>
      <c r="C7" s="30" t="str">
        <f>IF($A7="","",INDEX(Каталог!$G$4:$G$500,$A7)&amp;"")</f>
        <v>Дифавтомат (АВДТ) NB1L 1P+N C20 30мА тип A 6кА</v>
      </c>
      <c r="D7" s="33"/>
      <c r="E7" s="31" t="str">
        <f>IF($A7="","",INDEX(Каталог!$H$4:$H$500,$A7)&amp;"")</f>
        <v>203296</v>
      </c>
      <c r="F7" s="32" t="str">
        <f>IF($A7="","",INDEX(Каталог!$B$4:$B$500,$A7)&amp;"")</f>
        <v>Chint</v>
      </c>
      <c r="G7" s="32" t="str">
        <f>IF($A7="","",INDEX(Каталог!$M$4:$M$500,$A7)&amp;"")</f>
        <v>шт.</v>
      </c>
      <c r="H7" s="32">
        <f>IF($A7="","",INDEX(Каталог!$P$4:$P$500,$A7))</f>
        <v>3</v>
      </c>
      <c r="I7" s="5"/>
      <c r="J7" s="5"/>
      <c r="L7" s="30" t="str">
        <f>IFERROR(INDEX(Однолинейка!$H$3:$H$1000,MATCH(4,Однолинейка!$BM$3:$BM$1000,0)),"")</f>
        <v>1P С16А</v>
      </c>
      <c r="M7" s="32">
        <f>IF(L7="","",COUNTIF(Однолинейка!$H$3:$H$1000,L7))</f>
        <v>52</v>
      </c>
    </row>
    <row r="8" spans="1:15" x14ac:dyDescent="0.3">
      <c r="A8" s="29">
        <f>IFERROR(MATCH(ROW()-3,Каталог!$AF$4:$AF$500,0),"")</f>
        <v>30</v>
      </c>
      <c r="B8" s="29" t="str">
        <f t="shared" si="0"/>
        <v>1.5</v>
      </c>
      <c r="C8" s="30" t="str">
        <f>IF($A8="","",INDEX(Каталог!$G$4:$G$500,$A8)&amp;"")</f>
        <v>Клемма трёхуровневая push-in, 6 точек, 2.5 кв.мм</v>
      </c>
      <c r="D8" s="33"/>
      <c r="E8" s="31" t="str">
        <f>IF($A8="","",INDEX(Каталог!$H$4:$H$500,$A8)&amp;"")</f>
        <v>VPR-2.5-3L-GY</v>
      </c>
      <c r="F8" s="32" t="str">
        <f>IF($A8="","",INDEX(Каталог!$B$4:$B$500,$A8)&amp;"")</f>
        <v>DKC</v>
      </c>
      <c r="G8" s="32" t="str">
        <f>IF($A8="","",INDEX(Каталог!$M$4:$M$500,$A8)&amp;"")</f>
        <v>шт.</v>
      </c>
      <c r="H8" s="32">
        <f>IF($A8="","",INDEX(Каталог!$P$4:$P$500,$A8))</f>
        <v>310</v>
      </c>
      <c r="I8" s="5"/>
      <c r="J8" s="5"/>
      <c r="L8" s="30" t="str">
        <f>IFERROR(INDEX(Однолинейка!$H$3:$H$1000,MATCH(5,Однолинейка!$BM$3:$BM$1000,0)),"")</f>
        <v>3P С63А</v>
      </c>
      <c r="M8" s="32">
        <f>IF(L8="","",COUNTIF(Однолинейка!$H$3:$H$1000,L8))</f>
        <v>6</v>
      </c>
    </row>
    <row r="9" spans="1:15" x14ac:dyDescent="0.3">
      <c r="A9" s="29">
        <f>IFERROR(MATCH(ROW()-3,Каталог!$AF$4:$AF$500,0),"")</f>
        <v>31</v>
      </c>
      <c r="B9" s="29" t="str">
        <f t="shared" si="0"/>
        <v>1.6</v>
      </c>
      <c r="C9" s="30" t="str">
        <f>IF($A9="","",INDEX(Каталог!$G$4:$G$500,$A9)&amp;"")</f>
        <v>Клемма проходная push-in, 4 точки, 2.5 кв.мм, серая</v>
      </c>
      <c r="D9" s="33"/>
      <c r="E9" s="31" t="str">
        <f>IF($A9="","",INDEX(Каталог!$H$4:$H$500,$A9)&amp;"")</f>
        <v>VPR-2.5-QUATTRO-GY</v>
      </c>
      <c r="F9" s="32" t="str">
        <f>IF($A9="","",INDEX(Каталог!$B$4:$B$500,$A9)&amp;"")</f>
        <v>DKC</v>
      </c>
      <c r="G9" s="32" t="str">
        <f>IF($A9="","",INDEX(Каталог!$M$4:$M$500,$A9)&amp;"")</f>
        <v>шт.</v>
      </c>
      <c r="H9" s="32">
        <f>IF($A9="","",INDEX(Каталог!$P$4:$P$500,$A9))</f>
        <v>60</v>
      </c>
      <c r="I9" s="5"/>
      <c r="J9" s="5"/>
      <c r="L9" s="30" t="str">
        <f>IFERROR(INDEX(Однолинейка!$H$3:$H$1000,MATCH(6,Однолинейка!$BM$3:$BM$1000,0)),"")</f>
        <v>3P С25А</v>
      </c>
      <c r="M9" s="32">
        <f>IF(L9="","",COUNTIF(Однолинейка!$H$3:$H$1000,L9))</f>
        <v>2</v>
      </c>
    </row>
    <row r="10" spans="1:15" x14ac:dyDescent="0.3">
      <c r="A10" s="29" t="str">
        <f>IFERROR(MATCH(ROW()-3,Каталог!$AF$4:$AF$500,0),"")</f>
        <v/>
      </c>
      <c r="B10" s="29" t="str">
        <f t="shared" si="0"/>
        <v/>
      </c>
      <c r="C10" s="30" t="str">
        <f>IF($A10="","",INDEX(Каталог!$G$4:$G$500,$A10)&amp;"")</f>
        <v/>
      </c>
      <c r="D10" s="33"/>
      <c r="E10" s="31" t="str">
        <f>IF($A10="","",INDEX(Каталог!$H$4:$H$500,$A10)&amp;"")</f>
        <v/>
      </c>
      <c r="F10" s="32" t="str">
        <f>IF($A10="","",INDEX(Каталог!$B$4:$B$500,$A10)&amp;"")</f>
        <v/>
      </c>
      <c r="G10" s="32" t="str">
        <f>IF($A10="","",INDEX(Каталог!$M$4:$M$500,$A10)&amp;"")</f>
        <v/>
      </c>
      <c r="H10" s="32" t="str">
        <f>IF($A10="","",INDEX(Каталог!$P$4:$P$500,$A10))</f>
        <v/>
      </c>
      <c r="I10" s="5"/>
      <c r="J10" s="5"/>
      <c r="L10" s="30" t="str">
        <f>IFERROR(INDEX(Однолинейка!$H$3:$H$1000,MATCH(7,Однолинейка!$BM$3:$BM$1000,0)),"")</f>
        <v>3P С16А</v>
      </c>
      <c r="M10" s="32">
        <f>IF(L10="","",COUNTIF(Однолинейка!$H$3:$H$1000,L10))</f>
        <v>4</v>
      </c>
    </row>
    <row r="11" spans="1:15" x14ac:dyDescent="0.3">
      <c r="A11" s="29" t="str">
        <f>IFERROR(MATCH(ROW()-3,Каталог!$AF$4:$AF$500,0),"")</f>
        <v/>
      </c>
      <c r="B11" s="29" t="str">
        <f t="shared" si="0"/>
        <v/>
      </c>
      <c r="C11" s="30" t="str">
        <f>IF($A11="","",INDEX(Каталог!$G$4:$G$500,$A11)&amp;"")</f>
        <v/>
      </c>
      <c r="D11" s="33"/>
      <c r="E11" s="31" t="str">
        <f>IF($A11="","",INDEX(Каталог!$H$4:$H$500,$A11)&amp;"")</f>
        <v/>
      </c>
      <c r="F11" s="32" t="str">
        <f>IF($A11="","",INDEX(Каталог!$B$4:$B$500,$A11)&amp;"")</f>
        <v/>
      </c>
      <c r="G11" s="32" t="str">
        <f>IF($A11="","",INDEX(Каталог!$M$4:$M$500,$A11)&amp;"")</f>
        <v/>
      </c>
      <c r="H11" s="32" t="str">
        <f>IF($A11="","",INDEX(Каталог!$P$4:$P$500,$A11))</f>
        <v/>
      </c>
      <c r="I11" s="5"/>
      <c r="J11" s="5"/>
      <c r="L11" s="30" t="str">
        <f>IFERROR(INDEX(Однолинейка!$H$3:$H$1000,MATCH(8,Однолинейка!$BM$3:$BM$1000,0)),"")</f>
        <v>1P С20А</v>
      </c>
      <c r="M11" s="32">
        <f>IF(L11="","",COUNTIF(Однолинейка!$H$3:$H$1000,L11))</f>
        <v>1</v>
      </c>
    </row>
    <row r="12" spans="1:15" x14ac:dyDescent="0.3">
      <c r="A12" s="29" t="str">
        <f>IFERROR(MATCH(ROW()-3,Каталог!$AF$4:$AF$500,0),"")</f>
        <v/>
      </c>
      <c r="B12" s="29" t="str">
        <f t="shared" si="0"/>
        <v/>
      </c>
      <c r="C12" s="30" t="str">
        <f>IF($A12="","",INDEX(Каталог!$G$4:$G$500,$A12)&amp;"")</f>
        <v/>
      </c>
      <c r="D12" s="33"/>
      <c r="E12" s="31" t="str">
        <f>IF($A12="","",INDEX(Каталог!$H$4:$H$500,$A12)&amp;"")</f>
        <v/>
      </c>
      <c r="F12" s="32" t="str">
        <f>IF($A12="","",INDEX(Каталог!$B$4:$B$500,$A12)&amp;"")</f>
        <v/>
      </c>
      <c r="G12" s="32" t="str">
        <f>IF($A12="","",INDEX(Каталог!$M$4:$M$500,$A12)&amp;"")</f>
        <v/>
      </c>
      <c r="H12" s="32" t="str">
        <f>IF($A12="","",INDEX(Каталог!$P$4:$P$500,$A12))</f>
        <v/>
      </c>
      <c r="I12" s="5"/>
      <c r="J12" s="5"/>
      <c r="L12" s="30" t="str">
        <f>IFERROR(INDEX(Однолинейка!$H$3:$H$1000,MATCH(9,Однолинейка!$BM$3:$BM$1000,0)),"")</f>
        <v>2P С16А 30мА</v>
      </c>
      <c r="M12" s="32">
        <f>IF(L12="","",COUNTIF(Однолинейка!$H$3:$H$1000,L12))</f>
        <v>139</v>
      </c>
    </row>
    <row r="13" spans="1:15" x14ac:dyDescent="0.3">
      <c r="A13" s="29" t="str">
        <f>IFERROR(MATCH(ROW()-3,Каталог!$AF$4:$AF$500,0),"")</f>
        <v/>
      </c>
      <c r="B13" s="29" t="str">
        <f t="shared" si="0"/>
        <v/>
      </c>
      <c r="C13" s="30" t="str">
        <f>IF($A13="","",INDEX(Каталог!$G$4:$G$500,$A13)&amp;"")</f>
        <v/>
      </c>
      <c r="D13" s="33"/>
      <c r="E13" s="31" t="str">
        <f>IF($A13="","",INDEX(Каталог!$H$4:$H$500,$A13)&amp;"")</f>
        <v/>
      </c>
      <c r="F13" s="32" t="str">
        <f>IF($A13="","",INDEX(Каталог!$B$4:$B$500,$A13)&amp;"")</f>
        <v/>
      </c>
      <c r="G13" s="32" t="str">
        <f>IF($A13="","",INDEX(Каталог!$M$4:$M$500,$A13)&amp;"")</f>
        <v/>
      </c>
      <c r="H13" s="32" t="str">
        <f>IF($A13="","",INDEX(Каталог!$P$4:$P$500,$A13))</f>
        <v/>
      </c>
      <c r="I13" s="5"/>
      <c r="J13" s="5"/>
      <c r="L13" s="30" t="str">
        <f>IFERROR(INDEX(Однолинейка!$H$3:$H$1000,MATCH(10,Однолинейка!$BM$3:$BM$1000,0)),"")</f>
        <v>1P С25А</v>
      </c>
      <c r="M13" s="32">
        <f>IF(L13="","",COUNTIF(Однолинейка!$H$3:$H$1000,L13))</f>
        <v>1</v>
      </c>
    </row>
    <row r="14" spans="1:15" x14ac:dyDescent="0.3">
      <c r="A14" s="29" t="str">
        <f>IFERROR(MATCH(ROW()-3,Каталог!$AF$4:$AF$500,0),"")</f>
        <v/>
      </c>
      <c r="B14" s="29" t="str">
        <f t="shared" si="0"/>
        <v/>
      </c>
      <c r="C14" s="30" t="str">
        <f>IF($A14="","",INDEX(Каталог!$G$4:$G$500,$A14)&amp;"")</f>
        <v/>
      </c>
      <c r="D14" s="33"/>
      <c r="E14" s="31" t="str">
        <f>IF($A14="","",INDEX(Каталог!$H$4:$H$500,$A14)&amp;"")</f>
        <v/>
      </c>
      <c r="F14" s="32" t="str">
        <f>IF($A14="","",INDEX(Каталог!$B$4:$B$500,$A14)&amp;"")</f>
        <v/>
      </c>
      <c r="G14" s="32" t="str">
        <f>IF($A14="","",INDEX(Каталог!$M$4:$M$500,$A14)&amp;"")</f>
        <v/>
      </c>
      <c r="H14" s="32" t="str">
        <f>IF($A14="","",INDEX(Каталог!$P$4:$P$500,$A14))</f>
        <v/>
      </c>
      <c r="I14" s="5"/>
      <c r="J14" s="5"/>
      <c r="L14" s="30" t="str">
        <f>IFERROR(INDEX(Однолинейка!$H$3:$H$1000,MATCH(11,Однолинейка!$BM$3:$BM$1000,0)),"")</f>
        <v>2P С20А 30мА</v>
      </c>
      <c r="M14" s="32">
        <f>IF(L14="","",COUNTIF(Однолинейка!$H$3:$H$1000,L14))</f>
        <v>3</v>
      </c>
    </row>
    <row r="15" spans="1:15" x14ac:dyDescent="0.3">
      <c r="A15" s="29" t="str">
        <f>IFERROR(MATCH(ROW()-3,Каталог!$AF$4:$AF$500,0),"")</f>
        <v/>
      </c>
      <c r="B15" s="29" t="str">
        <f t="shared" si="0"/>
        <v/>
      </c>
      <c r="C15" s="30" t="str">
        <f>IF($A15="","",INDEX(Каталог!$G$4:$G$500,$A15)&amp;"")</f>
        <v/>
      </c>
      <c r="D15" s="33"/>
      <c r="E15" s="31" t="str">
        <f>IF($A15="","",INDEX(Каталог!$H$4:$H$500,$A15)&amp;"")</f>
        <v/>
      </c>
      <c r="F15" s="32" t="str">
        <f>IF($A15="","",INDEX(Каталог!$B$4:$B$500,$A15)&amp;"")</f>
        <v/>
      </c>
      <c r="G15" s="32" t="str">
        <f>IF($A15="","",INDEX(Каталог!$M$4:$M$500,$A15)&amp;"")</f>
        <v/>
      </c>
      <c r="H15" s="32" t="str">
        <f>IF($A15="","",INDEX(Каталог!$P$4:$P$500,$A15))</f>
        <v/>
      </c>
      <c r="I15" s="5"/>
      <c r="J15" s="5"/>
      <c r="L15" s="30" t="str">
        <f>IFERROR(INDEX(Однолинейка!$H$3:$H$1000,MATCH(12,Однолинейка!$BM$3:$BM$1000,0)),"")</f>
        <v>4P С16А 30мА</v>
      </c>
      <c r="M15" s="32">
        <f>IF(L15="","",COUNTIF(Однолинейка!$H$3:$H$1000,L15))</f>
        <v>1</v>
      </c>
    </row>
    <row r="16" spans="1:15" ht="18" customHeight="1" x14ac:dyDescent="0.3">
      <c r="A16" s="29" t="str">
        <f>IFERROR(MATCH(ROW()-3,Каталог!$AF$4:$AF$500,0),"")</f>
        <v/>
      </c>
      <c r="B16" s="29" t="str">
        <f t="shared" si="0"/>
        <v/>
      </c>
      <c r="C16" s="30" t="str">
        <f>IF($A16="","",INDEX(Каталог!$G$4:$G$500,$A16)&amp;"")</f>
        <v/>
      </c>
      <c r="D16" s="33"/>
      <c r="E16" s="31" t="str">
        <f>IF($A16="","",INDEX(Каталог!$H$4:$H$500,$A16)&amp;"")</f>
        <v/>
      </c>
      <c r="F16" s="32" t="str">
        <f>IF($A16="","",INDEX(Каталог!$B$4:$B$500,$A16)&amp;"")</f>
        <v/>
      </c>
      <c r="G16" s="32" t="str">
        <f>IF($A16="","",INDEX(Каталог!$M$4:$M$500,$A16)&amp;"")</f>
        <v/>
      </c>
      <c r="H16" s="32" t="str">
        <f>IF($A16="","",INDEX(Каталог!$P$4:$P$500,$A16))</f>
        <v/>
      </c>
      <c r="I16" s="5"/>
      <c r="J16" s="5"/>
      <c r="L16" s="30" t="str">
        <f>IFERROR(INDEX(Однолинейка!$H$3:$H$1000,MATCH(13,Однолинейка!$BM$3:$BM$1000,0)),"")</f>
        <v/>
      </c>
      <c r="M16" s="32" t="str">
        <f>IF(L16="","",COUNTIF(Однолинейка!$H$3:$H$1000,L16))</f>
        <v/>
      </c>
    </row>
    <row r="17" spans="1:13" x14ac:dyDescent="0.3">
      <c r="A17" s="29" t="str">
        <f>IFERROR(MATCH(ROW()-3,Каталог!$AF$4:$AF$500,0),"")</f>
        <v/>
      </c>
      <c r="B17" s="29" t="str">
        <f t="shared" si="0"/>
        <v/>
      </c>
      <c r="C17" s="30" t="str">
        <f>IF($A17="","",INDEX(Каталог!$G$4:$G$500,$A17)&amp;"")</f>
        <v/>
      </c>
      <c r="D17" s="33"/>
      <c r="E17" s="31" t="str">
        <f>IF($A17="","",INDEX(Каталог!$H$4:$H$500,$A17)&amp;"")</f>
        <v/>
      </c>
      <c r="F17" s="32" t="str">
        <f>IF($A17="","",INDEX(Каталог!$B$4:$B$500,$A17)&amp;"")</f>
        <v/>
      </c>
      <c r="G17" s="32" t="str">
        <f>IF($A17="","",INDEX(Каталог!$M$4:$M$500,$A17)&amp;"")</f>
        <v/>
      </c>
      <c r="H17" s="32" t="str">
        <f>IF($A17="","",INDEX(Каталог!$P$4:$P$500,$A17))</f>
        <v/>
      </c>
      <c r="I17" s="5"/>
      <c r="J17" s="5"/>
      <c r="L17" s="30" t="str">
        <f>IFERROR(INDEX(Однолинейка!$H$3:$H$1000,MATCH(14,Однолинейка!$BM$3:$BM$1000,0)),"")</f>
        <v/>
      </c>
      <c r="M17" s="32" t="str">
        <f>IF(L17="","",COUNTIF(Однолинейка!$H$3:$H$1000,L17))</f>
        <v/>
      </c>
    </row>
    <row r="18" spans="1:13" x14ac:dyDescent="0.3">
      <c r="A18" s="29" t="str">
        <f>IFERROR(MATCH(ROW()-3,Каталог!$AF$4:$AF$500,0),"")</f>
        <v/>
      </c>
      <c r="B18" s="29" t="str">
        <f t="shared" si="0"/>
        <v/>
      </c>
      <c r="C18" s="30" t="str">
        <f>IF($A18="","",INDEX(Каталог!$G$4:$G$500,$A18)&amp;"")</f>
        <v/>
      </c>
      <c r="D18" s="33"/>
      <c r="E18" s="31" t="str">
        <f>IF($A18="","",INDEX(Каталог!$H$4:$H$500,$A18)&amp;"")</f>
        <v/>
      </c>
      <c r="F18" s="32" t="str">
        <f>IF($A18="","",INDEX(Каталог!$B$4:$B$500,$A18)&amp;"")</f>
        <v/>
      </c>
      <c r="G18" s="32" t="str">
        <f>IF($A18="","",INDEX(Каталог!$M$4:$M$500,$A18)&amp;"")</f>
        <v/>
      </c>
      <c r="H18" s="32" t="str">
        <f>IF($A18="","",INDEX(Каталог!$P$4:$P$500,$A18))</f>
        <v/>
      </c>
      <c r="I18" s="5"/>
      <c r="J18" s="5"/>
      <c r="L18" s="30" t="str">
        <f>IFERROR(INDEX(Однолинейка!$H$3:$H$1000,MATCH(15,Однолинейка!$BM$3:$BM$1000,0)),"")</f>
        <v/>
      </c>
      <c r="M18" s="32" t="str">
        <f>IF(L18="","",COUNTIF(Однолинейка!$H$3:$H$1000,L18))</f>
        <v/>
      </c>
    </row>
    <row r="19" spans="1:13" x14ac:dyDescent="0.3">
      <c r="A19" s="29" t="str">
        <f>IFERROR(MATCH(ROW()-3,Каталог!$AF$4:$AF$500,0),"")</f>
        <v/>
      </c>
      <c r="B19" s="29" t="str">
        <f t="shared" si="0"/>
        <v/>
      </c>
      <c r="C19" s="30" t="str">
        <f>IF($A19="","",INDEX(Каталог!$G$4:$G$500,$A19)&amp;"")</f>
        <v/>
      </c>
      <c r="D19" s="33"/>
      <c r="E19" s="31" t="str">
        <f>IF($A19="","",INDEX(Каталог!$H$4:$H$500,$A19)&amp;"")</f>
        <v/>
      </c>
      <c r="F19" s="32" t="str">
        <f>IF($A19="","",INDEX(Каталог!$B$4:$B$500,$A19)&amp;"")</f>
        <v/>
      </c>
      <c r="G19" s="32" t="str">
        <f>IF($A19="","",INDEX(Каталог!$M$4:$M$500,$A19)&amp;"")</f>
        <v/>
      </c>
      <c r="H19" s="32" t="str">
        <f>IF($A19="","",INDEX(Каталог!$P$4:$P$500,$A19))</f>
        <v/>
      </c>
      <c r="I19" s="5"/>
      <c r="J19" s="5"/>
      <c r="L19" s="30" t="str">
        <f>IFERROR(INDEX(Однолинейка!$H$3:$H$1000,MATCH(16,Однолинейка!$BM$3:$BM$1000,0)),"")</f>
        <v/>
      </c>
      <c r="M19" s="32" t="str">
        <f>IF(L19="","",COUNTIF(Однолинейка!$H$3:$H$1000,L19))</f>
        <v/>
      </c>
    </row>
    <row r="20" spans="1:13" x14ac:dyDescent="0.3">
      <c r="A20" s="29" t="str">
        <f>IFERROR(MATCH(ROW()-3,Каталог!$AF$4:$AF$500,0),"")</f>
        <v/>
      </c>
      <c r="B20" s="29" t="str">
        <f t="shared" si="0"/>
        <v/>
      </c>
      <c r="C20" s="30" t="str">
        <f>IF($A20="","",INDEX(Каталог!$G$4:$G$500,$A20)&amp;"")</f>
        <v/>
      </c>
      <c r="D20" s="33"/>
      <c r="E20" s="31" t="str">
        <f>IF($A20="","",INDEX(Каталог!$H$4:$H$500,$A20)&amp;"")</f>
        <v/>
      </c>
      <c r="F20" s="32" t="str">
        <f>IF($A20="","",INDEX(Каталог!$B$4:$B$500,$A20)&amp;"")</f>
        <v/>
      </c>
      <c r="G20" s="32" t="str">
        <f>IF($A20="","",INDEX(Каталог!$M$4:$M$500,$A20)&amp;"")</f>
        <v/>
      </c>
      <c r="H20" s="32" t="str">
        <f>IF($A20="","",INDEX(Каталог!$P$4:$P$500,$A20))</f>
        <v/>
      </c>
      <c r="I20" s="5"/>
      <c r="J20" s="5"/>
      <c r="L20" s="30" t="str">
        <f>IFERROR(INDEX(Однолинейка!$H$3:$H$1000,MATCH(17,Однолинейка!$BM$3:$BM$1000,0)),"")</f>
        <v/>
      </c>
      <c r="M20" s="32" t="str">
        <f>IF(L20="","",COUNTIF(Однолинейка!$H$3:$H$1000,L20))</f>
        <v/>
      </c>
    </row>
    <row r="21" spans="1:13" x14ac:dyDescent="0.3">
      <c r="A21" s="29" t="str">
        <f>IFERROR(MATCH(ROW()-3,Каталог!$AF$4:$AF$500,0),"")</f>
        <v/>
      </c>
      <c r="B21" s="29" t="str">
        <f t="shared" si="0"/>
        <v/>
      </c>
      <c r="C21" s="30" t="str">
        <f>IF($A21="","",INDEX(Каталог!$G$4:$G$500,$A21)&amp;"")</f>
        <v/>
      </c>
      <c r="D21" s="33"/>
      <c r="E21" s="31" t="str">
        <f>IF($A21="","",INDEX(Каталог!$H$4:$H$500,$A21)&amp;"")</f>
        <v/>
      </c>
      <c r="F21" s="32" t="str">
        <f>IF($A21="","",INDEX(Каталог!$B$4:$B$500,$A21)&amp;"")</f>
        <v/>
      </c>
      <c r="G21" s="32" t="str">
        <f>IF($A21="","",INDEX(Каталог!$M$4:$M$500,$A21)&amp;"")</f>
        <v/>
      </c>
      <c r="H21" s="32" t="str">
        <f>IF($A21="","",INDEX(Каталог!$P$4:$P$500,$A21))</f>
        <v/>
      </c>
      <c r="I21" s="5"/>
      <c r="J21" s="5"/>
      <c r="L21" s="30" t="str">
        <f>IFERROR(INDEX(Однолинейка!$H$3:$H$1000,MATCH(18,Однолинейка!$BM$3:$BM$1000,0)),"")</f>
        <v/>
      </c>
      <c r="M21" s="32" t="str">
        <f>IF(L21="","",COUNTIF(Однолинейка!$H$3:$H$1000,L21))</f>
        <v/>
      </c>
    </row>
    <row r="22" spans="1:13" x14ac:dyDescent="0.3">
      <c r="A22" s="29" t="str">
        <f>IFERROR(MATCH(ROW()-3,Каталог!$AF$4:$AF$500,0),"")</f>
        <v/>
      </c>
      <c r="B22" s="29" t="str">
        <f t="shared" si="0"/>
        <v/>
      </c>
      <c r="C22" s="30" t="str">
        <f>IF($A22="","",INDEX(Каталог!$G$4:$G$500,$A22)&amp;"")</f>
        <v/>
      </c>
      <c r="D22" s="33"/>
      <c r="E22" s="31" t="str">
        <f>IF($A22="","",INDEX(Каталог!$H$4:$H$500,$A22)&amp;"")</f>
        <v/>
      </c>
      <c r="F22" s="32" t="str">
        <f>IF($A22="","",INDEX(Каталог!$B$4:$B$500,$A22)&amp;"")</f>
        <v/>
      </c>
      <c r="G22" s="32" t="str">
        <f>IF($A22="","",INDEX(Каталог!$M$4:$M$500,$A22)&amp;"")</f>
        <v/>
      </c>
      <c r="H22" s="32" t="str">
        <f>IF($A22="","",INDEX(Каталог!$P$4:$P$500,$A22))</f>
        <v/>
      </c>
      <c r="I22" s="5"/>
      <c r="J22" s="5"/>
      <c r="L22" s="30" t="str">
        <f>IFERROR(INDEX(Однолинейка!$H$3:$H$1000,MATCH(19,Однолинейка!$BM$3:$BM$1000,0)),"")</f>
        <v/>
      </c>
      <c r="M22" s="32" t="str">
        <f>IF(L22="","",COUNTIF(Однолинейка!$H$3:$H$1000,L22))</f>
        <v/>
      </c>
    </row>
    <row r="23" spans="1:13" x14ac:dyDescent="0.3">
      <c r="A23" s="29" t="str">
        <f>IFERROR(MATCH(ROW()-3,Каталог!$AF$4:$AF$500,0),"")</f>
        <v/>
      </c>
      <c r="B23" s="29" t="str">
        <f t="shared" si="0"/>
        <v/>
      </c>
      <c r="C23" s="30" t="str">
        <f>IF($A23="","",INDEX(Каталог!$G$4:$G$500,$A23)&amp;"")</f>
        <v/>
      </c>
      <c r="D23" s="33"/>
      <c r="E23" s="31" t="str">
        <f>IF($A23="","",INDEX(Каталог!$H$4:$H$500,$A23)&amp;"")</f>
        <v/>
      </c>
      <c r="F23" s="32" t="str">
        <f>IF($A23="","",INDEX(Каталог!$B$4:$B$500,$A23)&amp;"")</f>
        <v/>
      </c>
      <c r="G23" s="32" t="str">
        <f>IF($A23="","",INDEX(Каталог!$M$4:$M$500,$A23)&amp;"")</f>
        <v/>
      </c>
      <c r="H23" s="32" t="str">
        <f>IF($A23="","",INDEX(Каталог!$P$4:$P$500,$A23))</f>
        <v/>
      </c>
      <c r="I23" s="5"/>
      <c r="J23" s="5"/>
      <c r="L23" s="30" t="str">
        <f>IFERROR(INDEX(Однолинейка!$H$3:$H$1000,MATCH(20,Однолинейка!$BM$3:$BM$1000,0)),"")</f>
        <v/>
      </c>
      <c r="M23" s="32" t="str">
        <f>IF(L23="","",COUNTIF(Однолинейка!$H$3:$H$1000,L23))</f>
        <v/>
      </c>
    </row>
    <row r="24" spans="1:13" x14ac:dyDescent="0.3">
      <c r="A24" s="29" t="str">
        <f>IFERROR(MATCH(ROW()-3,Каталог!$AF$4:$AF$500,0),"")</f>
        <v/>
      </c>
      <c r="B24" s="29" t="str">
        <f t="shared" si="0"/>
        <v/>
      </c>
      <c r="C24" s="30" t="str">
        <f>IF($A24="","",INDEX(Каталог!$G$4:$G$500,$A24)&amp;"")</f>
        <v/>
      </c>
      <c r="D24" s="33"/>
      <c r="E24" s="31" t="str">
        <f>IF($A24="","",INDEX(Каталог!$H$4:$H$500,$A24)&amp;"")</f>
        <v/>
      </c>
      <c r="F24" s="32" t="str">
        <f>IF($A24="","",INDEX(Каталог!$B$4:$B$500,$A24)&amp;"")</f>
        <v/>
      </c>
      <c r="G24" s="32" t="str">
        <f>IF($A24="","",INDEX(Каталог!$M$4:$M$500,$A24)&amp;"")</f>
        <v/>
      </c>
      <c r="H24" s="32" t="str">
        <f>IF($A24="","",INDEX(Каталог!$P$4:$P$500,$A24))</f>
        <v/>
      </c>
      <c r="I24" s="5"/>
      <c r="J24" s="5"/>
      <c r="L24" s="30" t="s">
        <v>836</v>
      </c>
      <c r="M24" s="32">
        <f>COUNTIF(Однолинейка!$H$3:$H$1000,"?*")</f>
        <v>288</v>
      </c>
    </row>
    <row r="25" spans="1:13" x14ac:dyDescent="0.3">
      <c r="A25" s="29" t="str">
        <f>IFERROR(MATCH(ROW()-3,Каталог!$AF$4:$AF$500,0),"")</f>
        <v/>
      </c>
      <c r="B25" s="29" t="str">
        <f t="shared" si="0"/>
        <v/>
      </c>
      <c r="C25" s="30" t="str">
        <f>IF($A25="","",INDEX(Каталог!$G$4:$G$500,$A25)&amp;"")</f>
        <v/>
      </c>
      <c r="D25" s="33"/>
      <c r="E25" s="31" t="str">
        <f>IF($A25="","",INDEX(Каталог!$H$4:$H$500,$A25)&amp;"")</f>
        <v/>
      </c>
      <c r="F25" s="32" t="str">
        <f>IF($A25="","",INDEX(Каталог!$B$4:$B$500,$A25)&amp;"")</f>
        <v/>
      </c>
      <c r="G25" s="32" t="str">
        <f>IF($A25="","",INDEX(Каталог!$M$4:$M$500,$A25)&amp;"")</f>
        <v/>
      </c>
      <c r="H25" s="32" t="str">
        <f>IF($A25="","",INDEX(Каталог!$P$4:$P$500,$A25))</f>
        <v/>
      </c>
      <c r="I25" s="5"/>
      <c r="J25" s="5"/>
    </row>
    <row r="26" spans="1:13" ht="28.8" x14ac:dyDescent="0.3">
      <c r="A26" s="29" t="str">
        <f>IFERROR(MATCH(ROW()-3,Каталог!$AF$4:$AF$500,0),"")</f>
        <v/>
      </c>
      <c r="B26" s="29" t="str">
        <f t="shared" si="0"/>
        <v/>
      </c>
      <c r="C26" s="30" t="str">
        <f>IF($A26="","",INDEX(Каталог!$G$4:$G$500,$A26)&amp;"")</f>
        <v/>
      </c>
      <c r="D26" s="33"/>
      <c r="E26" s="31" t="str">
        <f>IF($A26="","",INDEX(Каталог!$H$4:$H$500,$A26)&amp;"")</f>
        <v/>
      </c>
      <c r="F26" s="32" t="str">
        <f>IF($A26="","",INDEX(Каталог!$B$4:$B$500,$A26)&amp;"")</f>
        <v/>
      </c>
      <c r="G26" s="32" t="str">
        <f>IF($A26="","",INDEX(Каталог!$M$4:$M$500,$A26)&amp;"")</f>
        <v/>
      </c>
      <c r="H26" s="32" t="str">
        <f>IF($A26="","",INDEX(Каталог!$P$4:$P$500,$A26))</f>
        <v/>
      </c>
      <c r="I26" s="5"/>
      <c r="J26" s="5"/>
      <c r="L26" s="1" t="s">
        <v>837</v>
      </c>
    </row>
    <row r="27" spans="1:13" x14ac:dyDescent="0.3">
      <c r="A27" s="29" t="str">
        <f>IFERROR(MATCH(ROW()-3,Каталог!$AF$4:$AF$500,0),"")</f>
        <v/>
      </c>
      <c r="B27" s="29" t="str">
        <f t="shared" si="0"/>
        <v/>
      </c>
      <c r="C27" s="30" t="str">
        <f>IF($A27="","",INDEX(Каталог!$G$4:$G$500,$A27)&amp;"")</f>
        <v/>
      </c>
      <c r="D27" s="33"/>
      <c r="E27" s="31" t="str">
        <f>IF($A27="","",INDEX(Каталог!$H$4:$H$500,$A27)&amp;"")</f>
        <v/>
      </c>
      <c r="F27" s="32" t="str">
        <f>IF($A27="","",INDEX(Каталог!$B$4:$B$500,$A27)&amp;"")</f>
        <v/>
      </c>
      <c r="G27" s="32" t="str">
        <f>IF($A27="","",INDEX(Каталог!$M$4:$M$500,$A27)&amp;"")</f>
        <v/>
      </c>
      <c r="H27" s="32" t="str">
        <f>IF($A27="","",INDEX(Каталог!$P$4:$P$500,$A27))</f>
        <v/>
      </c>
      <c r="I27" s="5"/>
      <c r="J27" s="5"/>
      <c r="L27" s="30" t="str">
        <f>IFERROR(INDEX(Однолинейка!$I$3:$I$1000,MATCH(1,Однолинейка!$BN$3:$BN$1000,0)),IFERROR(INDEX(Однолинейка!$J$3:$J$1000,MATCH(1,Однолинейка!$BO$3:$BO$1000,0)),IFERROR(INDEX(Однолинейка!$K$3:$K$1000,MATCH(1,Однолинейка!$BP$3:$BP$1000,0)),"")))</f>
        <v/>
      </c>
      <c r="M27" s="32" t="str">
        <f>IF(L27="","",COUNTIF(Однолинейка!$I$3:$I$1000,L27)+COUNTIF(Однолинейка!$J$3:$J$1000,L27)+COUNTIF(Однолинейка!$K$3:$K$1000,L27))</f>
        <v/>
      </c>
    </row>
    <row r="28" spans="1:13" x14ac:dyDescent="0.3">
      <c r="A28" s="29" t="str">
        <f>IFERROR(MATCH(ROW()-3,Каталог!$AF$4:$AF$500,0),"")</f>
        <v/>
      </c>
      <c r="B28" s="29" t="str">
        <f t="shared" si="0"/>
        <v/>
      </c>
      <c r="C28" s="30" t="str">
        <f>IF($A28="","",INDEX(Каталог!$G$4:$G$500,$A28)&amp;"")</f>
        <v/>
      </c>
      <c r="D28" s="33"/>
      <c r="E28" s="31" t="str">
        <f>IF($A28="","",INDEX(Каталог!$H$4:$H$500,$A28)&amp;"")</f>
        <v/>
      </c>
      <c r="F28" s="32" t="str">
        <f>IF($A28="","",INDEX(Каталог!$B$4:$B$500,$A28)&amp;"")</f>
        <v/>
      </c>
      <c r="G28" s="32" t="str">
        <f>IF($A28="","",INDEX(Каталог!$M$4:$M$500,$A28)&amp;"")</f>
        <v/>
      </c>
      <c r="H28" s="32" t="str">
        <f>IF($A28="","",INDEX(Каталог!$P$4:$P$500,$A28))</f>
        <v/>
      </c>
      <c r="I28" s="5"/>
      <c r="J28" s="5"/>
      <c r="L28" s="30" t="str">
        <f>IFERROR(INDEX(Однолинейка!$I$3:$I$1000,MATCH(2,Однолинейка!$BN$3:$BN$1000,0)),IFERROR(INDEX(Однолинейка!$J$3:$J$1000,MATCH(2,Однолинейка!$BO$3:$BO$1000,0)),IFERROR(INDEX(Однолинейка!$K$3:$K$1000,MATCH(2,Однолинейка!$BP$3:$BP$1000,0)),"")))</f>
        <v/>
      </c>
      <c r="M28" s="32" t="str">
        <f>IF(L28="","",COUNTIF(Однолинейка!$I$3:$I$1000,L28)+COUNTIF(Однолинейка!$J$3:$J$1000,L28)+COUNTIF(Однолинейка!$K$3:$K$1000,L28))</f>
        <v/>
      </c>
    </row>
    <row r="29" spans="1:13" x14ac:dyDescent="0.3">
      <c r="A29" s="29" t="str">
        <f>IFERROR(MATCH(ROW()-3,Каталог!$AF$4:$AF$500,0),"")</f>
        <v/>
      </c>
      <c r="B29" s="29" t="str">
        <f t="shared" si="0"/>
        <v/>
      </c>
      <c r="C29" s="30" t="str">
        <f>IF($A29="","",INDEX(Каталог!$G$4:$G$500,$A29)&amp;"")</f>
        <v/>
      </c>
      <c r="D29" s="33"/>
      <c r="E29" s="31" t="str">
        <f>IF($A29="","",INDEX(Каталог!$H$4:$H$500,$A29)&amp;"")</f>
        <v/>
      </c>
      <c r="F29" s="32" t="str">
        <f>IF($A29="","",INDEX(Каталог!$B$4:$B$500,$A29)&amp;"")</f>
        <v/>
      </c>
      <c r="G29" s="32" t="str">
        <f>IF($A29="","",INDEX(Каталог!$M$4:$M$500,$A29)&amp;"")</f>
        <v/>
      </c>
      <c r="H29" s="32" t="str">
        <f>IF($A29="","",INDEX(Каталог!$P$4:$P$500,$A29))</f>
        <v/>
      </c>
      <c r="I29" s="5"/>
      <c r="J29" s="5"/>
      <c r="L29" s="30" t="str">
        <f>IFERROR(INDEX(Однолинейка!$I$3:$I$1000,MATCH(3,Однолинейка!$BN$3:$BN$1000,0)),IFERROR(INDEX(Однолинейка!$J$3:$J$1000,MATCH(3,Однолинейка!$BO$3:$BO$1000,0)),IFERROR(INDEX(Однолинейка!$K$3:$K$1000,MATCH(3,Однолинейка!$BP$3:$BP$1000,0)),"")))</f>
        <v/>
      </c>
      <c r="M29" s="32" t="str">
        <f>IF(L29="","",COUNTIF(Однолинейка!$I$3:$I$1000,L29)+COUNTIF(Однолинейка!$J$3:$J$1000,L29)+COUNTIF(Однолинейка!$K$3:$K$1000,L29))</f>
        <v/>
      </c>
    </row>
    <row r="30" spans="1:13" x14ac:dyDescent="0.3">
      <c r="A30" s="29" t="str">
        <f>IFERROR(MATCH(ROW()-3,Каталог!$AF$4:$AF$500,0),"")</f>
        <v/>
      </c>
      <c r="B30" s="29" t="str">
        <f t="shared" si="0"/>
        <v/>
      </c>
      <c r="C30" s="30" t="str">
        <f>IF($A30="","",INDEX(Каталог!$G$4:$G$500,$A30)&amp;"")</f>
        <v/>
      </c>
      <c r="D30" s="33"/>
      <c r="E30" s="31" t="str">
        <f>IF($A30="","",INDEX(Каталог!$H$4:$H$500,$A30)&amp;"")</f>
        <v/>
      </c>
      <c r="F30" s="32" t="str">
        <f>IF($A30="","",INDEX(Каталог!$B$4:$B$500,$A30)&amp;"")</f>
        <v/>
      </c>
      <c r="G30" s="32" t="str">
        <f>IF($A30="","",INDEX(Каталог!$M$4:$M$500,$A30)&amp;"")</f>
        <v/>
      </c>
      <c r="H30" s="32" t="str">
        <f>IF($A30="","",INDEX(Каталог!$P$4:$P$500,$A30))</f>
        <v/>
      </c>
      <c r="I30" s="5"/>
      <c r="J30" s="5"/>
      <c r="L30" s="30" t="str">
        <f>IFERROR(INDEX(Однолинейка!$I$3:$I$1000,MATCH(4,Однолинейка!$BN$3:$BN$1000,0)),IFERROR(INDEX(Однолинейка!$J$3:$J$1000,MATCH(4,Однолинейка!$BO$3:$BO$1000,0)),IFERROR(INDEX(Однолинейка!$K$3:$K$1000,MATCH(4,Однолинейка!$BP$3:$BP$1000,0)),"")))</f>
        <v/>
      </c>
      <c r="M30" s="32" t="str">
        <f>IF(L30="","",COUNTIF(Однолинейка!$I$3:$I$1000,L30)+COUNTIF(Однолинейка!$J$3:$J$1000,L30)+COUNTIF(Однолинейка!$K$3:$K$1000,L30))</f>
        <v/>
      </c>
    </row>
    <row r="31" spans="1:13" x14ac:dyDescent="0.3">
      <c r="A31" s="29" t="str">
        <f>IFERROR(MATCH(ROW()-3,Каталог!$AF$4:$AF$500,0),"")</f>
        <v/>
      </c>
      <c r="B31" s="29" t="str">
        <f t="shared" si="0"/>
        <v/>
      </c>
      <c r="C31" s="30" t="str">
        <f>IF($A31="","",INDEX(Каталог!$G$4:$G$500,$A31)&amp;"")</f>
        <v/>
      </c>
      <c r="D31" s="33"/>
      <c r="E31" s="31" t="str">
        <f>IF($A31="","",INDEX(Каталог!$H$4:$H$500,$A31)&amp;"")</f>
        <v/>
      </c>
      <c r="F31" s="32" t="str">
        <f>IF($A31="","",INDEX(Каталог!$B$4:$B$500,$A31)&amp;"")</f>
        <v/>
      </c>
      <c r="G31" s="32" t="str">
        <f>IF($A31="","",INDEX(Каталог!$M$4:$M$500,$A31)&amp;"")</f>
        <v/>
      </c>
      <c r="H31" s="32" t="str">
        <f>IF($A31="","",INDEX(Каталог!$P$4:$P$500,$A31))</f>
        <v/>
      </c>
      <c r="I31" s="5"/>
      <c r="J31" s="5"/>
      <c r="L31" s="30" t="str">
        <f>IFERROR(INDEX(Однолинейка!$I$3:$I$1000,MATCH(5,Однолинейка!$BN$3:$BN$1000,0)),IFERROR(INDEX(Однолинейка!$J$3:$J$1000,MATCH(5,Однолинейка!$BO$3:$BO$1000,0)),IFERROR(INDEX(Однолинейка!$K$3:$K$1000,MATCH(5,Однолинейка!$BP$3:$BP$1000,0)),"")))</f>
        <v/>
      </c>
      <c r="M31" s="32" t="str">
        <f>IF(L31="","",COUNTIF(Однолинейка!$I$3:$I$1000,L31)+COUNTIF(Однолинейка!$J$3:$J$1000,L31)+COUNTIF(Однолинейка!$K$3:$K$1000,L31))</f>
        <v/>
      </c>
    </row>
    <row r="32" spans="1:13" x14ac:dyDescent="0.3">
      <c r="A32" s="29" t="str">
        <f>IFERROR(MATCH(ROW()-3,Каталог!$AF$4:$AF$500,0),"")</f>
        <v/>
      </c>
      <c r="B32" s="29" t="str">
        <f t="shared" si="0"/>
        <v/>
      </c>
      <c r="C32" s="30" t="str">
        <f>IF($A32="","",INDEX(Каталог!$G$4:$G$500,$A32)&amp;"")</f>
        <v/>
      </c>
      <c r="D32" s="33"/>
      <c r="E32" s="31" t="str">
        <f>IF($A32="","",INDEX(Каталог!$H$4:$H$500,$A32)&amp;"")</f>
        <v/>
      </c>
      <c r="F32" s="32" t="str">
        <f>IF($A32="","",INDEX(Каталог!$B$4:$B$500,$A32)&amp;"")</f>
        <v/>
      </c>
      <c r="G32" s="32" t="str">
        <f>IF($A32="","",INDEX(Каталог!$M$4:$M$500,$A32)&amp;"")</f>
        <v/>
      </c>
      <c r="H32" s="32" t="str">
        <f>IF($A32="","",INDEX(Каталог!$P$4:$P$500,$A32))</f>
        <v/>
      </c>
      <c r="I32" s="5"/>
      <c r="J32" s="5"/>
      <c r="L32" s="30" t="str">
        <f>IFERROR(INDEX(Однолинейка!$I$3:$I$1000,MATCH(6,Однолинейка!$BN$3:$BN$1000,0)),IFERROR(INDEX(Однолинейка!$J$3:$J$1000,MATCH(6,Однолинейка!$BO$3:$BO$1000,0)),IFERROR(INDEX(Однолинейка!$K$3:$K$1000,MATCH(6,Однолинейка!$BP$3:$BP$1000,0)),"")))</f>
        <v/>
      </c>
      <c r="M32" s="32" t="str">
        <f>IF(L32="","",COUNTIF(Однолинейка!$I$3:$I$1000,L32)+COUNTIF(Однолинейка!$J$3:$J$1000,L32)+COUNTIF(Однолинейка!$K$3:$K$1000,L32))</f>
        <v/>
      </c>
    </row>
    <row r="33" spans="1:13" x14ac:dyDescent="0.3">
      <c r="A33" s="29" t="str">
        <f>IFERROR(MATCH(ROW()-3,Каталог!$AF$4:$AF$500,0),"")</f>
        <v/>
      </c>
      <c r="B33" s="29" t="str">
        <f t="shared" si="0"/>
        <v/>
      </c>
      <c r="C33" s="30" t="str">
        <f>IF($A33="","",INDEX(Каталог!$G$4:$G$500,$A33)&amp;"")</f>
        <v/>
      </c>
      <c r="D33" s="33"/>
      <c r="E33" s="31" t="str">
        <f>IF($A33="","",INDEX(Каталог!$H$4:$H$500,$A33)&amp;"")</f>
        <v/>
      </c>
      <c r="F33" s="32" t="str">
        <f>IF($A33="","",INDEX(Каталог!$B$4:$B$500,$A33)&amp;"")</f>
        <v/>
      </c>
      <c r="G33" s="32" t="str">
        <f>IF($A33="","",INDEX(Каталог!$M$4:$M$500,$A33)&amp;"")</f>
        <v/>
      </c>
      <c r="H33" s="32" t="str">
        <f>IF($A33="","",INDEX(Каталог!$P$4:$P$500,$A33))</f>
        <v/>
      </c>
      <c r="I33" s="5"/>
      <c r="J33" s="5"/>
      <c r="L33" s="30" t="str">
        <f>IFERROR(INDEX(Однолинейка!$I$3:$I$1000,MATCH(7,Однолинейка!$BN$3:$BN$1000,0)),IFERROR(INDEX(Однолинейка!$J$3:$J$1000,MATCH(7,Однолинейка!$BO$3:$BO$1000,0)),IFERROR(INDEX(Однолинейка!$K$3:$K$1000,MATCH(7,Однолинейка!$BP$3:$BP$1000,0)),"")))</f>
        <v/>
      </c>
      <c r="M33" s="32" t="str">
        <f>IF(L33="","",COUNTIF(Однолинейка!$I$3:$I$1000,L33)+COUNTIF(Однолинейка!$J$3:$J$1000,L33)+COUNTIF(Однолинейка!$K$3:$K$1000,L33))</f>
        <v/>
      </c>
    </row>
    <row r="34" spans="1:13" x14ac:dyDescent="0.3">
      <c r="A34" s="29" t="str">
        <f>IFERROR(MATCH(ROW()-3,Каталог!$AF$4:$AF$500,0),"")</f>
        <v/>
      </c>
      <c r="B34" s="29" t="str">
        <f t="shared" si="0"/>
        <v/>
      </c>
      <c r="C34" s="30" t="str">
        <f>IF($A34="","",INDEX(Каталог!$G$4:$G$500,$A34)&amp;"")</f>
        <v/>
      </c>
      <c r="D34" s="33"/>
      <c r="E34" s="31" t="str">
        <f>IF($A34="","",INDEX(Каталог!$H$4:$H$500,$A34)&amp;"")</f>
        <v/>
      </c>
      <c r="F34" s="32" t="str">
        <f>IF($A34="","",INDEX(Каталог!$B$4:$B$500,$A34)&amp;"")</f>
        <v/>
      </c>
      <c r="G34" s="32" t="str">
        <f>IF($A34="","",INDEX(Каталог!$M$4:$M$500,$A34)&amp;"")</f>
        <v/>
      </c>
      <c r="H34" s="32" t="str">
        <f>IF($A34="","",INDEX(Каталог!$P$4:$P$500,$A34))</f>
        <v/>
      </c>
      <c r="I34" s="5"/>
      <c r="J34" s="5"/>
      <c r="L34" s="30" t="str">
        <f>IFERROR(INDEX(Однолинейка!$I$3:$I$1000,MATCH(8,Однолинейка!$BN$3:$BN$1000,0)),IFERROR(INDEX(Однолинейка!$J$3:$J$1000,MATCH(8,Однолинейка!$BO$3:$BO$1000,0)),IFERROR(INDEX(Однолинейка!$K$3:$K$1000,MATCH(8,Однолинейка!$BP$3:$BP$1000,0)),"")))</f>
        <v/>
      </c>
      <c r="M34" s="32" t="str">
        <f>IF(L34="","",COUNTIF(Однолинейка!$I$3:$I$1000,L34)+COUNTIF(Однолинейка!$J$3:$J$1000,L34)+COUNTIF(Однолинейка!$K$3:$K$1000,L34))</f>
        <v/>
      </c>
    </row>
    <row r="35" spans="1:13" x14ac:dyDescent="0.3">
      <c r="A35" s="29" t="str">
        <f>IFERROR(MATCH(ROW()-3,Каталог!$AF$4:$AF$500,0),"")</f>
        <v/>
      </c>
      <c r="B35" s="29" t="str">
        <f t="shared" si="0"/>
        <v/>
      </c>
      <c r="C35" s="30" t="str">
        <f>IF($A35="","",INDEX(Каталог!$G$4:$G$500,$A35)&amp;"")</f>
        <v/>
      </c>
      <c r="D35" s="33"/>
      <c r="E35" s="31" t="str">
        <f>IF($A35="","",INDEX(Каталог!$H$4:$H$500,$A35)&amp;"")</f>
        <v/>
      </c>
      <c r="F35" s="32" t="str">
        <f>IF($A35="","",INDEX(Каталог!$B$4:$B$500,$A35)&amp;"")</f>
        <v/>
      </c>
      <c r="G35" s="32" t="str">
        <f>IF($A35="","",INDEX(Каталог!$M$4:$M$500,$A35)&amp;"")</f>
        <v/>
      </c>
      <c r="H35" s="32" t="str">
        <f>IF($A35="","",INDEX(Каталог!$P$4:$P$500,$A35))</f>
        <v/>
      </c>
      <c r="I35" s="5"/>
      <c r="J35" s="5"/>
      <c r="L35" s="30" t="str">
        <f>IFERROR(INDEX(Однолинейка!$I$3:$I$1000,MATCH(9,Однолинейка!$BN$3:$BN$1000,0)),IFERROR(INDEX(Однолинейка!$J$3:$J$1000,MATCH(9,Однолинейка!$BO$3:$BO$1000,0)),IFERROR(INDEX(Однолинейка!$K$3:$K$1000,MATCH(9,Однолинейка!$BP$3:$BP$1000,0)),"")))</f>
        <v/>
      </c>
      <c r="M35" s="32" t="str">
        <f>IF(L35="","",COUNTIF(Однолинейка!$I$3:$I$1000,L35)+COUNTIF(Однолинейка!$J$3:$J$1000,L35)+COUNTIF(Однолинейка!$K$3:$K$1000,L35))</f>
        <v/>
      </c>
    </row>
    <row r="36" spans="1:13" x14ac:dyDescent="0.3">
      <c r="A36" s="29" t="str">
        <f>IFERROR(MATCH(ROW()-3,Каталог!$AF$4:$AF$500,0),"")</f>
        <v/>
      </c>
      <c r="B36" s="29" t="str">
        <f t="shared" ref="B36:B67" si="1">IF($A36="","",$B$3&amp;"."&amp;(ROW()-3))</f>
        <v/>
      </c>
      <c r="C36" s="30" t="str">
        <f>IF($A36="","",INDEX(Каталог!$G$4:$G$500,$A36)&amp;"")</f>
        <v/>
      </c>
      <c r="D36" s="33"/>
      <c r="E36" s="31" t="str">
        <f>IF($A36="","",INDEX(Каталог!$H$4:$H$500,$A36)&amp;"")</f>
        <v/>
      </c>
      <c r="F36" s="32" t="str">
        <f>IF($A36="","",INDEX(Каталог!$B$4:$B$500,$A36)&amp;"")</f>
        <v/>
      </c>
      <c r="G36" s="32" t="str">
        <f>IF($A36="","",INDEX(Каталог!$M$4:$M$500,$A36)&amp;"")</f>
        <v/>
      </c>
      <c r="H36" s="32" t="str">
        <f>IF($A36="","",INDEX(Каталог!$P$4:$P$500,$A36))</f>
        <v/>
      </c>
      <c r="I36" s="5"/>
      <c r="J36" s="5"/>
      <c r="L36" s="30" t="str">
        <f>IFERROR(INDEX(Однолинейка!$I$3:$I$1000,MATCH(10,Однолинейка!$BN$3:$BN$1000,0)),IFERROR(INDEX(Однолинейка!$J$3:$J$1000,MATCH(10,Однолинейка!$BO$3:$BO$1000,0)),IFERROR(INDEX(Однолинейка!$K$3:$K$1000,MATCH(10,Однолинейка!$BP$3:$BP$1000,0)),"")))</f>
        <v/>
      </c>
      <c r="M36" s="32" t="str">
        <f>IF(L36="","",COUNTIF(Однолинейка!$I$3:$I$1000,L36)+COUNTIF(Однолинейка!$J$3:$J$1000,L36)+COUNTIF(Однолинейка!$K$3:$K$1000,L36))</f>
        <v/>
      </c>
    </row>
    <row r="37" spans="1:13" x14ac:dyDescent="0.3">
      <c r="A37" s="29" t="str">
        <f>IFERROR(MATCH(ROW()-3,Каталог!$AF$4:$AF$500,0),"")</f>
        <v/>
      </c>
      <c r="B37" s="29" t="str">
        <f t="shared" si="1"/>
        <v/>
      </c>
      <c r="C37" s="30" t="str">
        <f>IF($A37="","",INDEX(Каталог!$G$4:$G$500,$A37)&amp;"")</f>
        <v/>
      </c>
      <c r="D37" s="33"/>
      <c r="E37" s="31" t="str">
        <f>IF($A37="","",INDEX(Каталог!$H$4:$H$500,$A37)&amp;"")</f>
        <v/>
      </c>
      <c r="F37" s="32" t="str">
        <f>IF($A37="","",INDEX(Каталог!$B$4:$B$500,$A37)&amp;"")</f>
        <v/>
      </c>
      <c r="G37" s="32" t="str">
        <f>IF($A37="","",INDEX(Каталог!$M$4:$M$500,$A37)&amp;"")</f>
        <v/>
      </c>
      <c r="H37" s="32" t="str">
        <f>IF($A37="","",INDEX(Каталог!$P$4:$P$500,$A37))</f>
        <v/>
      </c>
      <c r="I37" s="5"/>
      <c r="J37" s="5"/>
    </row>
    <row r="38" spans="1:13" x14ac:dyDescent="0.3">
      <c r="A38" s="29" t="str">
        <f>IFERROR(MATCH(ROW()-3,Каталог!$AF$4:$AF$500,0),"")</f>
        <v/>
      </c>
      <c r="B38" s="29" t="str">
        <f t="shared" si="1"/>
        <v/>
      </c>
      <c r="C38" s="30" t="str">
        <f>IF($A38="","",INDEX(Каталог!$G$4:$G$500,$A38)&amp;"")</f>
        <v/>
      </c>
      <c r="D38" s="33"/>
      <c r="E38" s="31" t="str">
        <f>IF($A38="","",INDEX(Каталог!$H$4:$H$500,$A38)&amp;"")</f>
        <v/>
      </c>
      <c r="F38" s="32" t="str">
        <f>IF($A38="","",INDEX(Каталог!$B$4:$B$500,$A38)&amp;"")</f>
        <v/>
      </c>
      <c r="G38" s="32" t="str">
        <f>IF($A38="","",INDEX(Каталог!$M$4:$M$500,$A38)&amp;"")</f>
        <v/>
      </c>
      <c r="H38" s="32" t="str">
        <f>IF($A38="","",INDEX(Каталог!$P$4:$P$500,$A38))</f>
        <v/>
      </c>
      <c r="I38" s="5"/>
      <c r="J38" s="5"/>
      <c r="L38" s="1" t="s">
        <v>838</v>
      </c>
    </row>
    <row r="39" spans="1:13" x14ac:dyDescent="0.3">
      <c r="A39" s="29" t="str">
        <f>IFERROR(MATCH(ROW()-3,Каталог!$AF$4:$AF$500,0),"")</f>
        <v/>
      </c>
      <c r="B39" s="29" t="str">
        <f t="shared" si="1"/>
        <v/>
      </c>
      <c r="C39" s="30" t="str">
        <f>IF($A39="","",INDEX(Каталог!$G$4:$G$500,$A39)&amp;"")</f>
        <v/>
      </c>
      <c r="D39" s="33"/>
      <c r="E39" s="31" t="str">
        <f>IF($A39="","",INDEX(Каталог!$H$4:$H$500,$A39)&amp;"")</f>
        <v/>
      </c>
      <c r="F39" s="32" t="str">
        <f>IF($A39="","",INDEX(Каталог!$B$4:$B$500,$A39)&amp;"")</f>
        <v/>
      </c>
      <c r="G39" s="32" t="str">
        <f>IF($A39="","",INDEX(Каталог!$M$4:$M$500,$A39)&amp;"")</f>
        <v/>
      </c>
      <c r="H39" s="32" t="str">
        <f>IF($A39="","",INDEX(Каталог!$P$4:$P$500,$A39))</f>
        <v/>
      </c>
      <c r="I39" s="5"/>
      <c r="J39" s="5"/>
      <c r="L39" s="30" t="str">
        <f>IFERROR(INDEX(Однолинейка!$AI$3:$AI$1000,MATCH(1,Однолинейка!$BT$3:$BT$1000,0)),"")</f>
        <v/>
      </c>
      <c r="M39" s="32" t="str">
        <f>IF(L39="","",COUNTIFS(Однолинейка!$AW$3:$AW$1000,"?*",Однолинейка!$AI$3:$AI$1000,L39))</f>
        <v/>
      </c>
    </row>
    <row r="40" spans="1:13" x14ac:dyDescent="0.3">
      <c r="A40" s="29" t="str">
        <f>IFERROR(MATCH(ROW()-3,Каталог!$AF$4:$AF$500,0),"")</f>
        <v/>
      </c>
      <c r="B40" s="29" t="str">
        <f t="shared" si="1"/>
        <v/>
      </c>
      <c r="C40" s="30" t="str">
        <f>IF($A40="","",INDEX(Каталог!$G$4:$G$500,$A40)&amp;"")</f>
        <v/>
      </c>
      <c r="D40" s="33"/>
      <c r="E40" s="31" t="str">
        <f>IF($A40="","",INDEX(Каталог!$H$4:$H$500,$A40)&amp;"")</f>
        <v/>
      </c>
      <c r="F40" s="32" t="str">
        <f>IF($A40="","",INDEX(Каталог!$B$4:$B$500,$A40)&amp;"")</f>
        <v/>
      </c>
      <c r="G40" s="32" t="str">
        <f>IF($A40="","",INDEX(Каталог!$M$4:$M$500,$A40)&amp;"")</f>
        <v/>
      </c>
      <c r="H40" s="32" t="str">
        <f>IF($A40="","",INDEX(Каталог!$P$4:$P$500,$A40))</f>
        <v/>
      </c>
      <c r="I40" s="5"/>
      <c r="J40" s="5"/>
      <c r="L40" s="30" t="str">
        <f>IFERROR(INDEX(Однолинейка!$AI$3:$AI$1000,MATCH(2,Однолинейка!$BT$3:$BT$1000,0)),"")</f>
        <v/>
      </c>
      <c r="M40" s="32" t="str">
        <f>IF(L40="","",COUNTIFS(Однолинейка!$AW$3:$AW$1000,"?*",Однолинейка!$AI$3:$AI$1000,L40))</f>
        <v/>
      </c>
    </row>
    <row r="41" spans="1:13" x14ac:dyDescent="0.3">
      <c r="A41" s="29" t="str">
        <f>IFERROR(MATCH(ROW()-3,Каталог!$AF$4:$AF$500,0),"")</f>
        <v/>
      </c>
      <c r="B41" s="29" t="str">
        <f t="shared" si="1"/>
        <v/>
      </c>
      <c r="C41" s="30" t="str">
        <f>IF($A41="","",INDEX(Каталог!$G$4:$G$500,$A41)&amp;"")</f>
        <v/>
      </c>
      <c r="D41" s="33"/>
      <c r="E41" s="31" t="str">
        <f>IF($A41="","",INDEX(Каталог!$H$4:$H$500,$A41)&amp;"")</f>
        <v/>
      </c>
      <c r="F41" s="32" t="str">
        <f>IF($A41="","",INDEX(Каталог!$B$4:$B$500,$A41)&amp;"")</f>
        <v/>
      </c>
      <c r="G41" s="32" t="str">
        <f>IF($A41="","",INDEX(Каталог!$M$4:$M$500,$A41)&amp;"")</f>
        <v/>
      </c>
      <c r="H41" s="32" t="str">
        <f>IF($A41="","",INDEX(Каталог!$P$4:$P$500,$A41))</f>
        <v/>
      </c>
      <c r="I41" s="5"/>
      <c r="J41" s="5"/>
      <c r="L41" s="30" t="str">
        <f>IFERROR(INDEX(Однолинейка!$AI$3:$AI$1000,MATCH(3,Однолинейка!$BT$3:$BT$1000,0)),"")</f>
        <v/>
      </c>
      <c r="M41" s="32" t="str">
        <f>IF(L41="","",COUNTIFS(Однолинейка!$AW$3:$AW$1000,"?*",Однолинейка!$AI$3:$AI$1000,L41))</f>
        <v/>
      </c>
    </row>
    <row r="42" spans="1:13" x14ac:dyDescent="0.3">
      <c r="A42" s="29" t="str">
        <f>IFERROR(MATCH(ROW()-3,Каталог!$AF$4:$AF$500,0),"")</f>
        <v/>
      </c>
      <c r="B42" s="29" t="str">
        <f t="shared" si="1"/>
        <v/>
      </c>
      <c r="C42" s="30" t="str">
        <f>IF($A42="","",INDEX(Каталог!$G$4:$G$500,$A42)&amp;"")</f>
        <v/>
      </c>
      <c r="D42" s="33"/>
      <c r="E42" s="31" t="str">
        <f>IF($A42="","",INDEX(Каталог!$H$4:$H$500,$A42)&amp;"")</f>
        <v/>
      </c>
      <c r="F42" s="32" t="str">
        <f>IF($A42="","",INDEX(Каталог!$B$4:$B$500,$A42)&amp;"")</f>
        <v/>
      </c>
      <c r="G42" s="32" t="str">
        <f>IF($A42="","",INDEX(Каталог!$M$4:$M$500,$A42)&amp;"")</f>
        <v/>
      </c>
      <c r="H42" s="32" t="str">
        <f>IF($A42="","",INDEX(Каталог!$P$4:$P$500,$A42))</f>
        <v/>
      </c>
      <c r="I42" s="5"/>
      <c r="J42" s="5"/>
      <c r="L42" s="30" t="str">
        <f>IFERROR(INDEX(Однолинейка!$AI$3:$AI$1000,MATCH(4,Однолинейка!$BT$3:$BT$1000,0)),"")</f>
        <v/>
      </c>
      <c r="M42" s="32" t="str">
        <f>IF(L42="","",COUNTIFS(Однолинейка!$AW$3:$AW$1000,"?*",Однолинейка!$AI$3:$AI$1000,L42))</f>
        <v/>
      </c>
    </row>
    <row r="43" spans="1:13" x14ac:dyDescent="0.3">
      <c r="A43" s="29" t="str">
        <f>IFERROR(MATCH(ROW()-3,Каталог!$AF$4:$AF$500,0),"")</f>
        <v/>
      </c>
      <c r="B43" s="29" t="str">
        <f t="shared" si="1"/>
        <v/>
      </c>
      <c r="C43" s="30" t="str">
        <f>IF($A43="","",INDEX(Каталог!$G$4:$G$500,$A43)&amp;"")</f>
        <v/>
      </c>
      <c r="D43" s="33"/>
      <c r="E43" s="31" t="str">
        <f>IF($A43="","",INDEX(Каталог!$H$4:$H$500,$A43)&amp;"")</f>
        <v/>
      </c>
      <c r="F43" s="32" t="str">
        <f>IF($A43="","",INDEX(Каталог!$B$4:$B$500,$A43)&amp;"")</f>
        <v/>
      </c>
      <c r="G43" s="32" t="str">
        <f>IF($A43="","",INDEX(Каталог!$M$4:$M$500,$A43)&amp;"")</f>
        <v/>
      </c>
      <c r="H43" s="32" t="str">
        <f>IF($A43="","",INDEX(Каталог!$P$4:$P$500,$A43))</f>
        <v/>
      </c>
      <c r="I43" s="5"/>
      <c r="J43" s="5"/>
      <c r="L43" s="30" t="str">
        <f>IFERROR(INDEX(Однолинейка!$AI$3:$AI$1000,MATCH(5,Однолинейка!$BT$3:$BT$1000,0)),"")</f>
        <v/>
      </c>
      <c r="M43" s="32" t="str">
        <f>IF(L43="","",COUNTIFS(Однолинейка!$AW$3:$AW$1000,"?*",Однолинейка!$AI$3:$AI$1000,L43))</f>
        <v/>
      </c>
    </row>
    <row r="44" spans="1:13" x14ac:dyDescent="0.3">
      <c r="A44" s="29" t="str">
        <f>IFERROR(MATCH(ROW()-3,Каталог!$AF$4:$AF$500,0),"")</f>
        <v/>
      </c>
      <c r="B44" s="29" t="str">
        <f t="shared" si="1"/>
        <v/>
      </c>
      <c r="C44" s="30" t="str">
        <f>IF($A44="","",INDEX(Каталог!$G$4:$G$500,$A44)&amp;"")</f>
        <v/>
      </c>
      <c r="D44" s="33"/>
      <c r="E44" s="31" t="str">
        <f>IF($A44="","",INDEX(Каталог!$H$4:$H$500,$A44)&amp;"")</f>
        <v/>
      </c>
      <c r="F44" s="32" t="str">
        <f>IF($A44="","",INDEX(Каталог!$B$4:$B$500,$A44)&amp;"")</f>
        <v/>
      </c>
      <c r="G44" s="32" t="str">
        <f>IF($A44="","",INDEX(Каталог!$M$4:$M$500,$A44)&amp;"")</f>
        <v/>
      </c>
      <c r="H44" s="32" t="str">
        <f>IF($A44="","",INDEX(Каталог!$P$4:$P$500,$A44))</f>
        <v/>
      </c>
      <c r="I44" s="5"/>
      <c r="J44" s="5"/>
      <c r="L44" s="30" t="str">
        <f>IFERROR(INDEX(Однолинейка!$AI$3:$AI$1000,MATCH(6,Однолинейка!$BT$3:$BT$1000,0)),"")</f>
        <v/>
      </c>
      <c r="M44" s="32" t="str">
        <f>IF(L44="","",COUNTIFS(Однолинейка!$AW$3:$AW$1000,"?*",Однолинейка!$AI$3:$AI$1000,L44))</f>
        <v/>
      </c>
    </row>
    <row r="45" spans="1:13" x14ac:dyDescent="0.3">
      <c r="A45" s="29" t="str">
        <f>IFERROR(MATCH(ROW()-3,Каталог!$AF$4:$AF$500,0),"")</f>
        <v/>
      </c>
      <c r="B45" s="29" t="str">
        <f t="shared" si="1"/>
        <v/>
      </c>
      <c r="C45" s="30" t="str">
        <f>IF($A45="","",INDEX(Каталог!$G$4:$G$500,$A45)&amp;"")</f>
        <v/>
      </c>
      <c r="D45" s="33"/>
      <c r="E45" s="31" t="str">
        <f>IF($A45="","",INDEX(Каталог!$H$4:$H$500,$A45)&amp;"")</f>
        <v/>
      </c>
      <c r="F45" s="32" t="str">
        <f>IF($A45="","",INDEX(Каталог!$B$4:$B$500,$A45)&amp;"")</f>
        <v/>
      </c>
      <c r="G45" s="32" t="str">
        <f>IF($A45="","",INDEX(Каталог!$M$4:$M$500,$A45)&amp;"")</f>
        <v/>
      </c>
      <c r="H45" s="32" t="str">
        <f>IF($A45="","",INDEX(Каталог!$P$4:$P$500,$A45))</f>
        <v/>
      </c>
      <c r="I45" s="5"/>
      <c r="J45" s="5"/>
      <c r="L45" s="30" t="str">
        <f>IFERROR(INDEX(Однолинейка!$AI$3:$AI$1000,MATCH(7,Однолинейка!$BT$3:$BT$1000,0)),"")</f>
        <v/>
      </c>
      <c r="M45" s="32" t="str">
        <f>IF(L45="","",COUNTIFS(Однолинейка!$AW$3:$AW$1000,"?*",Однолинейка!$AI$3:$AI$1000,L45))</f>
        <v/>
      </c>
    </row>
    <row r="46" spans="1:13" x14ac:dyDescent="0.3">
      <c r="A46" s="29" t="str">
        <f>IFERROR(MATCH(ROW()-3,Каталог!$AF$4:$AF$500,0),"")</f>
        <v/>
      </c>
      <c r="B46" s="29" t="str">
        <f t="shared" si="1"/>
        <v/>
      </c>
      <c r="C46" s="30" t="str">
        <f>IF($A46="","",INDEX(Каталог!$G$4:$G$500,$A46)&amp;"")</f>
        <v/>
      </c>
      <c r="D46" s="33"/>
      <c r="E46" s="31" t="str">
        <f>IF($A46="","",INDEX(Каталог!$H$4:$H$500,$A46)&amp;"")</f>
        <v/>
      </c>
      <c r="F46" s="32" t="str">
        <f>IF($A46="","",INDEX(Каталог!$B$4:$B$500,$A46)&amp;"")</f>
        <v/>
      </c>
      <c r="G46" s="32" t="str">
        <f>IF($A46="","",INDEX(Каталог!$M$4:$M$500,$A46)&amp;"")</f>
        <v/>
      </c>
      <c r="H46" s="32" t="str">
        <f>IF($A46="","",INDEX(Каталог!$P$4:$P$500,$A46))</f>
        <v/>
      </c>
      <c r="I46" s="5"/>
      <c r="J46" s="5"/>
      <c r="L46" s="30" t="str">
        <f>IFERROR(INDEX(Однолинейка!$AI$3:$AI$1000,MATCH(8,Однолинейка!$BT$3:$BT$1000,0)),"")</f>
        <v/>
      </c>
      <c r="M46" s="32" t="str">
        <f>IF(L46="","",COUNTIFS(Однолинейка!$AW$3:$AW$1000,"?*",Однолинейка!$AI$3:$AI$1000,L46))</f>
        <v/>
      </c>
    </row>
    <row r="47" spans="1:13" x14ac:dyDescent="0.3">
      <c r="A47" s="29" t="str">
        <f>IFERROR(MATCH(ROW()-3,Каталог!$AF$4:$AF$500,0),"")</f>
        <v/>
      </c>
      <c r="B47" s="29" t="str">
        <f t="shared" si="1"/>
        <v/>
      </c>
      <c r="C47" s="30" t="str">
        <f>IF($A47="","",INDEX(Каталог!$G$4:$G$500,$A47)&amp;"")</f>
        <v/>
      </c>
      <c r="D47" s="33"/>
      <c r="E47" s="31" t="str">
        <f>IF($A47="","",INDEX(Каталог!$H$4:$H$500,$A47)&amp;"")</f>
        <v/>
      </c>
      <c r="F47" s="32" t="str">
        <f>IF($A47="","",INDEX(Каталог!$B$4:$B$500,$A47)&amp;"")</f>
        <v/>
      </c>
      <c r="G47" s="32" t="str">
        <f>IF($A47="","",INDEX(Каталог!$M$4:$M$500,$A47)&amp;"")</f>
        <v/>
      </c>
      <c r="H47" s="32" t="str">
        <f>IF($A47="","",INDEX(Каталог!$P$4:$P$500,$A47))</f>
        <v/>
      </c>
      <c r="I47" s="5"/>
      <c r="J47" s="5"/>
      <c r="L47" s="30" t="str">
        <f>IFERROR(INDEX(Однолинейка!$AI$3:$AI$1000,MATCH(9,Однолинейка!$BT$3:$BT$1000,0)),"")</f>
        <v/>
      </c>
      <c r="M47" s="32" t="str">
        <f>IF(L47="","",COUNTIFS(Однолинейка!$AW$3:$AW$1000,"?*",Однолинейка!$AI$3:$AI$1000,L47))</f>
        <v/>
      </c>
    </row>
    <row r="48" spans="1:13" x14ac:dyDescent="0.3">
      <c r="A48" s="29" t="str">
        <f>IFERROR(MATCH(ROW()-3,Каталог!$AF$4:$AF$500,0),"")</f>
        <v/>
      </c>
      <c r="B48" s="29" t="str">
        <f t="shared" si="1"/>
        <v/>
      </c>
      <c r="C48" s="30" t="str">
        <f>IF($A48="","",INDEX(Каталог!$G$4:$G$500,$A48)&amp;"")</f>
        <v/>
      </c>
      <c r="D48" s="33"/>
      <c r="E48" s="31" t="str">
        <f>IF($A48="","",INDEX(Каталог!$H$4:$H$500,$A48)&amp;"")</f>
        <v/>
      </c>
      <c r="F48" s="32" t="str">
        <f>IF($A48="","",INDEX(Каталог!$B$4:$B$500,$A48)&amp;"")</f>
        <v/>
      </c>
      <c r="G48" s="32" t="str">
        <f>IF($A48="","",INDEX(Каталог!$M$4:$M$500,$A48)&amp;"")</f>
        <v/>
      </c>
      <c r="H48" s="32" t="str">
        <f>IF($A48="","",INDEX(Каталог!$P$4:$P$500,$A48))</f>
        <v/>
      </c>
      <c r="I48" s="5"/>
      <c r="J48" s="5"/>
      <c r="L48" s="30" t="str">
        <f>IFERROR(INDEX(Однолинейка!$AI$3:$AI$1000,MATCH(10,Однолинейка!$BT$3:$BT$1000,0)),"")</f>
        <v/>
      </c>
      <c r="M48" s="32" t="str">
        <f>IF(L48="","",COUNTIFS(Однолинейка!$AW$3:$AW$1000,"?*",Однолинейка!$AI$3:$AI$1000,L48))</f>
        <v/>
      </c>
    </row>
    <row r="49" spans="1:15" x14ac:dyDescent="0.3">
      <c r="A49" s="29" t="str">
        <f>IFERROR(MATCH(ROW()-3,Каталог!$AF$4:$AF$500,0),"")</f>
        <v/>
      </c>
      <c r="B49" s="29" t="str">
        <f t="shared" si="1"/>
        <v/>
      </c>
      <c r="C49" s="30" t="str">
        <f>IF($A49="","",INDEX(Каталог!$G$4:$G$500,$A49)&amp;"")</f>
        <v/>
      </c>
      <c r="D49" s="33"/>
      <c r="E49" s="31" t="str">
        <f>IF($A49="","",INDEX(Каталог!$H$4:$H$500,$A49)&amp;"")</f>
        <v/>
      </c>
      <c r="F49" s="32" t="str">
        <f>IF($A49="","",INDEX(Каталог!$B$4:$B$500,$A49)&amp;"")</f>
        <v/>
      </c>
      <c r="G49" s="32" t="str">
        <f>IF($A49="","",INDEX(Каталог!$M$4:$M$500,$A49)&amp;"")</f>
        <v/>
      </c>
      <c r="H49" s="32" t="str">
        <f>IF($A49="","",INDEX(Каталог!$P$4:$P$500,$A49))</f>
        <v/>
      </c>
      <c r="I49" s="5"/>
      <c r="J49" s="5"/>
    </row>
    <row r="50" spans="1:15" ht="28.8" x14ac:dyDescent="0.3">
      <c r="A50" s="29" t="str">
        <f>IFERROR(MATCH(ROW()-3,Каталог!$AF$4:$AF$500,0),"")</f>
        <v/>
      </c>
      <c r="B50" s="29" t="str">
        <f t="shared" si="1"/>
        <v/>
      </c>
      <c r="C50" s="30" t="str">
        <f>IF($A50="","",INDEX(Каталог!$G$4:$G$500,$A50)&amp;"")</f>
        <v/>
      </c>
      <c r="D50" s="33"/>
      <c r="E50" s="31" t="str">
        <f>IF($A50="","",INDEX(Каталог!$H$4:$H$500,$A50)&amp;"")</f>
        <v/>
      </c>
      <c r="F50" s="32" t="str">
        <f>IF($A50="","",INDEX(Каталог!$B$4:$B$500,$A50)&amp;"")</f>
        <v/>
      </c>
      <c r="G50" s="32" t="str">
        <f>IF($A50="","",INDEX(Каталог!$M$4:$M$500,$A50)&amp;"")</f>
        <v/>
      </c>
      <c r="H50" s="32" t="str">
        <f>IF($A50="","",INDEX(Каталог!$P$4:$P$500,$A50))</f>
        <v/>
      </c>
      <c r="I50" s="5"/>
      <c r="J50" s="5"/>
      <c r="L50" s="1" t="s">
        <v>839</v>
      </c>
    </row>
    <row r="51" spans="1:15" x14ac:dyDescent="0.3">
      <c r="A51" s="29" t="str">
        <f>IFERROR(MATCH(ROW()-3,Каталог!$AF$4:$AF$500,0),"")</f>
        <v/>
      </c>
      <c r="B51" s="29" t="str">
        <f t="shared" si="1"/>
        <v/>
      </c>
      <c r="C51" s="30" t="str">
        <f>IF($A51="","",INDEX(Каталог!$G$4:$G$500,$A51)&amp;"")</f>
        <v/>
      </c>
      <c r="D51" s="33"/>
      <c r="E51" s="31" t="str">
        <f>IF($A51="","",INDEX(Каталог!$H$4:$H$500,$A51)&amp;"")</f>
        <v/>
      </c>
      <c r="F51" s="32" t="str">
        <f>IF($A51="","",INDEX(Каталог!$B$4:$B$500,$A51)&amp;"")</f>
        <v/>
      </c>
      <c r="G51" s="32" t="str">
        <f>IF($A51="","",INDEX(Каталог!$M$4:$M$500,$A51)&amp;"")</f>
        <v/>
      </c>
      <c r="H51" s="32" t="str">
        <f>IF($A51="","",INDEX(Каталог!$P$4:$P$500,$A51))</f>
        <v/>
      </c>
      <c r="I51" s="5"/>
      <c r="J51" s="5"/>
      <c r="L51" s="30" t="str">
        <f>IFERROR(INDEX(Однолинейка!$BQ$3:$BQ$1000,MATCH(1,Однолинейка!$BR$3:$BR$1000,0)),"")</f>
        <v>3х2,5</v>
      </c>
      <c r="M51" s="32">
        <f>IF(L51="","",COUNTIF(Однолинейка!$BQ$3:$BQ$1000,L51))</f>
        <v>194</v>
      </c>
      <c r="N51" s="32">
        <f>IF(L51="","",SUMIF(Однолинейка!$BQ$3:$BQ$1000,L51,Однолинейка!$BW$3:$BW$1000))</f>
        <v>194</v>
      </c>
      <c r="O51" s="32">
        <f>IF(L51="","",SUMIF(Однолинейка!$BQ$3:$BQ$1000,L51,Однолинейка!$BX$3:$BX$1000))</f>
        <v>0</v>
      </c>
    </row>
    <row r="52" spans="1:15" x14ac:dyDescent="0.3">
      <c r="A52" s="29" t="str">
        <f>IFERROR(MATCH(ROW()-3,Каталог!$AF$4:$AF$500,0),"")</f>
        <v/>
      </c>
      <c r="B52" s="29" t="str">
        <f t="shared" si="1"/>
        <v/>
      </c>
      <c r="C52" s="30" t="str">
        <f>IF($A52="","",INDEX(Каталог!$G$4:$G$500,$A52)&amp;"")</f>
        <v/>
      </c>
      <c r="D52" s="33"/>
      <c r="E52" s="31" t="str">
        <f>IF($A52="","",INDEX(Каталог!$H$4:$H$500,$A52)&amp;"")</f>
        <v/>
      </c>
      <c r="F52" s="32" t="str">
        <f>IF($A52="","",INDEX(Каталог!$B$4:$B$500,$A52)&amp;"")</f>
        <v/>
      </c>
      <c r="G52" s="32" t="str">
        <f>IF($A52="","",INDEX(Каталог!$M$4:$M$500,$A52)&amp;"")</f>
        <v/>
      </c>
      <c r="H52" s="32" t="str">
        <f>IF($A52="","",INDEX(Каталог!$P$4:$P$500,$A52))</f>
        <v/>
      </c>
      <c r="I52" s="5"/>
      <c r="J52" s="5"/>
      <c r="L52" s="30" t="str">
        <f>IFERROR(INDEX(Однолинейка!$BQ$3:$BQ$1000,MATCH(2,Однолинейка!$BR$3:$BR$1000,0)),"")</f>
        <v>5х6</v>
      </c>
      <c r="M52" s="32">
        <f>IF(L52="","",COUNTIF(Однолинейка!$BQ$3:$BQ$1000,L52))</f>
        <v>6</v>
      </c>
      <c r="N52" s="32">
        <f>IF(L52="","",SUMIF(Однолинейка!$BQ$3:$BQ$1000,L52,Однолинейка!$BW$3:$BW$1000))</f>
        <v>6</v>
      </c>
      <c r="O52" s="32">
        <f>IF(L52="","",SUMIF(Однолинейка!$BQ$3:$BQ$1000,L52,Однолинейка!$BX$3:$BX$1000))</f>
        <v>12</v>
      </c>
    </row>
    <row r="53" spans="1:15" x14ac:dyDescent="0.3">
      <c r="A53" s="29" t="str">
        <f>IFERROR(MATCH(ROW()-3,Каталог!$AF$4:$AF$500,0),"")</f>
        <v/>
      </c>
      <c r="B53" s="29" t="str">
        <f t="shared" si="1"/>
        <v/>
      </c>
      <c r="C53" s="30" t="str">
        <f>IF($A53="","",INDEX(Каталог!$G$4:$G$500,$A53)&amp;"")</f>
        <v/>
      </c>
      <c r="D53" s="33"/>
      <c r="E53" s="31" t="str">
        <f>IF($A53="","",INDEX(Каталог!$H$4:$H$500,$A53)&amp;"")</f>
        <v/>
      </c>
      <c r="F53" s="32" t="str">
        <f>IF($A53="","",INDEX(Каталог!$B$4:$B$500,$A53)&amp;"")</f>
        <v/>
      </c>
      <c r="G53" s="32" t="str">
        <f>IF($A53="","",INDEX(Каталог!$M$4:$M$500,$A53)&amp;"")</f>
        <v/>
      </c>
      <c r="H53" s="32" t="str">
        <f>IF($A53="","",INDEX(Каталог!$P$4:$P$500,$A53))</f>
        <v/>
      </c>
      <c r="I53" s="5"/>
      <c r="J53" s="5"/>
      <c r="L53" s="30" t="str">
        <f>IFERROR(INDEX(Однолинейка!$BQ$3:$BQ$1000,MATCH(3,Однолинейка!$BR$3:$BR$1000,0)),"")</f>
        <v>1х185</v>
      </c>
      <c r="M53" s="32">
        <f>IF(L53="","",COUNTIF(Однолинейка!$BQ$3:$BQ$1000,L53))</f>
        <v>1</v>
      </c>
      <c r="N53" s="32">
        <f>IF(L53="","",SUMIF(Однолинейка!$BQ$3:$BQ$1000,L53,Однолинейка!$BW$3:$BW$1000))</f>
        <v>1</v>
      </c>
      <c r="O53" s="32">
        <f>IF(L53="","",SUMIF(Однолинейка!$BQ$3:$BQ$1000,L53,Однолинейка!$BX$3:$BX$1000))</f>
        <v>0</v>
      </c>
    </row>
    <row r="54" spans="1:15" x14ac:dyDescent="0.3">
      <c r="A54" s="29" t="str">
        <f>IFERROR(MATCH(ROW()-3,Каталог!$AF$4:$AF$500,0),"")</f>
        <v/>
      </c>
      <c r="B54" s="29" t="str">
        <f t="shared" si="1"/>
        <v/>
      </c>
      <c r="C54" s="30" t="str">
        <f>IF($A54="","",INDEX(Каталог!$G$4:$G$500,$A54)&amp;"")</f>
        <v/>
      </c>
      <c r="D54" s="33"/>
      <c r="E54" s="31" t="str">
        <f>IF($A54="","",INDEX(Каталог!$H$4:$H$500,$A54)&amp;"")</f>
        <v/>
      </c>
      <c r="F54" s="32" t="str">
        <f>IF($A54="","",INDEX(Каталог!$B$4:$B$500,$A54)&amp;"")</f>
        <v/>
      </c>
      <c r="G54" s="32" t="str">
        <f>IF($A54="","",INDEX(Каталог!$M$4:$M$500,$A54)&amp;"")</f>
        <v/>
      </c>
      <c r="H54" s="32" t="str">
        <f>IF($A54="","",INDEX(Каталог!$P$4:$P$500,$A54))</f>
        <v/>
      </c>
      <c r="I54" s="5"/>
      <c r="J54" s="5"/>
      <c r="L54" s="30" t="str">
        <f>IFERROR(INDEX(Однолинейка!$BQ$3:$BQ$1000,MATCH(4,Однолинейка!$BR$3:$BR$1000,0)),"")</f>
        <v>5х4</v>
      </c>
      <c r="M54" s="32">
        <f>IF(L54="","",COUNTIF(Однолинейка!$BQ$3:$BQ$1000,L54))</f>
        <v>8</v>
      </c>
      <c r="N54" s="32">
        <f>IF(L54="","",SUMIF(Однолинейка!$BQ$3:$BQ$1000,L54,Однолинейка!$BW$3:$BW$1000))</f>
        <v>8</v>
      </c>
      <c r="O54" s="32">
        <f>IF(L54="","",SUMIF(Однолинейка!$BQ$3:$BQ$1000,L54,Однолинейка!$BX$3:$BX$1000))</f>
        <v>16</v>
      </c>
    </row>
    <row r="55" spans="1:15" x14ac:dyDescent="0.3">
      <c r="A55" s="29" t="str">
        <f>IFERROR(MATCH(ROW()-3,Каталог!$AF$4:$AF$500,0),"")</f>
        <v/>
      </c>
      <c r="B55" s="29" t="str">
        <f t="shared" si="1"/>
        <v/>
      </c>
      <c r="C55" s="30" t="str">
        <f>IF($A55="","",INDEX(Каталог!$G$4:$G$500,$A55)&amp;"")</f>
        <v/>
      </c>
      <c r="D55" s="33"/>
      <c r="E55" s="31" t="str">
        <f>IF($A55="","",INDEX(Каталог!$H$4:$H$500,$A55)&amp;"")</f>
        <v/>
      </c>
      <c r="F55" s="32" t="str">
        <f>IF($A55="","",INDEX(Каталог!$B$4:$B$500,$A55)&amp;"")</f>
        <v/>
      </c>
      <c r="G55" s="32" t="str">
        <f>IF($A55="","",INDEX(Каталог!$M$4:$M$500,$A55)&amp;"")</f>
        <v/>
      </c>
      <c r="H55" s="32" t="str">
        <f>IF($A55="","",INDEX(Каталог!$P$4:$P$500,$A55))</f>
        <v/>
      </c>
      <c r="I55" s="5"/>
      <c r="J55" s="5"/>
      <c r="L55" s="30" t="str">
        <f>IFERROR(INDEX(Однолинейка!$BQ$3:$BQ$1000,MATCH(5,Однолинейка!$BR$3:$BR$1000,0)),"")</f>
        <v>5х10</v>
      </c>
      <c r="M55" s="32">
        <f>IF(L55="","",COUNTIF(Однолинейка!$BQ$3:$BQ$1000,L55))</f>
        <v>2</v>
      </c>
      <c r="N55" s="32">
        <f>IF(L55="","",SUMIF(Однолинейка!$BQ$3:$BQ$1000,L55,Однолинейка!$BW$3:$BW$1000))</f>
        <v>2</v>
      </c>
      <c r="O55" s="32">
        <f>IF(L55="","",SUMIF(Однолинейка!$BQ$3:$BQ$1000,L55,Однолинейка!$BX$3:$BX$1000))</f>
        <v>4</v>
      </c>
    </row>
    <row r="56" spans="1:15" x14ac:dyDescent="0.3">
      <c r="A56" s="29" t="str">
        <f>IFERROR(MATCH(ROW()-3,Каталог!$AF$4:$AF$500,0),"")</f>
        <v/>
      </c>
      <c r="B56" s="29" t="str">
        <f t="shared" si="1"/>
        <v/>
      </c>
      <c r="C56" s="30" t="str">
        <f>IF($A56="","",INDEX(Каталог!$G$4:$G$500,$A56)&amp;"")</f>
        <v/>
      </c>
      <c r="D56" s="33"/>
      <c r="E56" s="31" t="str">
        <f>IF($A56="","",INDEX(Каталог!$H$4:$H$500,$A56)&amp;"")</f>
        <v/>
      </c>
      <c r="F56" s="32" t="str">
        <f>IF($A56="","",INDEX(Каталог!$B$4:$B$500,$A56)&amp;"")</f>
        <v/>
      </c>
      <c r="G56" s="32" t="str">
        <f>IF($A56="","",INDEX(Каталог!$M$4:$M$500,$A56)&amp;"")</f>
        <v/>
      </c>
      <c r="H56" s="32" t="str">
        <f>IF($A56="","",INDEX(Каталог!$P$4:$P$500,$A56))</f>
        <v/>
      </c>
      <c r="I56" s="5"/>
      <c r="J56" s="5"/>
      <c r="L56" s="30" t="str">
        <f>IFERROR(INDEX(Однолинейка!$BQ$3:$BQ$1000,MATCH(6,Однолинейка!$BR$3:$BR$1000,0)),"")</f>
        <v>5х16</v>
      </c>
      <c r="M56" s="32">
        <f>IF(L56="","",COUNTIF(Однолинейка!$BQ$3:$BQ$1000,L56))</f>
        <v>2</v>
      </c>
      <c r="N56" s="32">
        <f>IF(L56="","",SUMIF(Однолинейка!$BQ$3:$BQ$1000,L56,Однолинейка!$BW$3:$BW$1000))</f>
        <v>2</v>
      </c>
      <c r="O56" s="32">
        <f>IF(L56="","",SUMIF(Однолинейка!$BQ$3:$BQ$1000,L56,Однолинейка!$BX$3:$BX$1000))</f>
        <v>4</v>
      </c>
    </row>
    <row r="57" spans="1:15" x14ac:dyDescent="0.3">
      <c r="A57" s="29" t="str">
        <f>IFERROR(MATCH(ROW()-3,Каталог!$AF$4:$AF$500,0),"")</f>
        <v/>
      </c>
      <c r="B57" s="29" t="str">
        <f t="shared" si="1"/>
        <v/>
      </c>
      <c r="C57" s="30" t="str">
        <f>IF($A57="","",INDEX(Каталог!$G$4:$G$500,$A57)&amp;"")</f>
        <v/>
      </c>
      <c r="D57" s="33"/>
      <c r="E57" s="31" t="str">
        <f>IF($A57="","",INDEX(Каталог!$H$4:$H$500,$A57)&amp;"")</f>
        <v/>
      </c>
      <c r="F57" s="32" t="str">
        <f>IF($A57="","",INDEX(Каталог!$B$4:$B$500,$A57)&amp;"")</f>
        <v/>
      </c>
      <c r="G57" s="32" t="str">
        <f>IF($A57="","",INDEX(Каталог!$M$4:$M$500,$A57)&amp;"")</f>
        <v/>
      </c>
      <c r="H57" s="32" t="str">
        <f>IF($A57="","",INDEX(Каталог!$P$4:$P$500,$A57))</f>
        <v/>
      </c>
      <c r="I57" s="5"/>
      <c r="J57" s="5"/>
      <c r="L57" s="30" t="str">
        <f>IFERROR(INDEX(Однолинейка!$BQ$3:$BQ$1000,MATCH(7,Однолинейка!$BR$3:$BR$1000,0)),"")</f>
        <v>3х4</v>
      </c>
      <c r="M57" s="32">
        <f>IF(L57="","",COUNTIF(Однолинейка!$BQ$3:$BQ$1000,L57))</f>
        <v>11</v>
      </c>
      <c r="N57" s="32">
        <f>IF(L57="","",SUMIF(Однолинейка!$BQ$3:$BQ$1000,L57,Однолинейка!$BW$3:$BW$1000))</f>
        <v>11</v>
      </c>
      <c r="O57" s="32">
        <f>IF(L57="","",SUMIF(Однолинейка!$BQ$3:$BQ$1000,L57,Однолинейка!$BX$3:$BX$1000))</f>
        <v>0</v>
      </c>
    </row>
    <row r="58" spans="1:15" x14ac:dyDescent="0.3">
      <c r="A58" s="29" t="str">
        <f>IFERROR(MATCH(ROW()-3,Каталог!$AF$4:$AF$500,0),"")</f>
        <v/>
      </c>
      <c r="B58" s="29" t="str">
        <f t="shared" si="1"/>
        <v/>
      </c>
      <c r="C58" s="30" t="str">
        <f>IF($A58="","",INDEX(Каталог!$G$4:$G$500,$A58)&amp;"")</f>
        <v/>
      </c>
      <c r="D58" s="33"/>
      <c r="E58" s="31" t="str">
        <f>IF($A58="","",INDEX(Каталог!$H$4:$H$500,$A58)&amp;"")</f>
        <v/>
      </c>
      <c r="F58" s="32" t="str">
        <f>IF($A58="","",INDEX(Каталог!$B$4:$B$500,$A58)&amp;"")</f>
        <v/>
      </c>
      <c r="G58" s="32" t="str">
        <f>IF($A58="","",INDEX(Каталог!$M$4:$M$500,$A58)&amp;"")</f>
        <v/>
      </c>
      <c r="H58" s="32" t="str">
        <f>IF($A58="","",INDEX(Каталог!$P$4:$P$500,$A58))</f>
        <v/>
      </c>
      <c r="I58" s="5"/>
      <c r="J58" s="5"/>
      <c r="L58" s="30" t="str">
        <f>IFERROR(INDEX(Однолинейка!$BQ$3:$BQ$1000,MATCH(8,Однолинейка!$BR$3:$BR$1000,0)),"")</f>
        <v>1х95</v>
      </c>
      <c r="M58" s="32">
        <f>IF(L58="","",COUNTIF(Однолинейка!$BQ$3:$BQ$1000,L58))</f>
        <v>1</v>
      </c>
      <c r="N58" s="32">
        <f>IF(L58="","",SUMIF(Однолинейка!$BQ$3:$BQ$1000,L58,Однолинейка!$BW$3:$BW$1000))</f>
        <v>1</v>
      </c>
      <c r="O58" s="32">
        <f>IF(L58="","",SUMIF(Однолинейка!$BQ$3:$BQ$1000,L58,Однолинейка!$BX$3:$BX$1000))</f>
        <v>0</v>
      </c>
    </row>
    <row r="59" spans="1:15" x14ac:dyDescent="0.3">
      <c r="A59" s="29" t="str">
        <f>IFERROR(MATCH(ROW()-3,Каталог!$AF$4:$AF$500,0),"")</f>
        <v/>
      </c>
      <c r="B59" s="29" t="str">
        <f t="shared" si="1"/>
        <v/>
      </c>
      <c r="C59" s="30" t="str">
        <f>IF($A59="","",INDEX(Каталог!$G$4:$G$500,$A59)&amp;"")</f>
        <v/>
      </c>
      <c r="D59" s="33"/>
      <c r="E59" s="31" t="str">
        <f>IF($A59="","",INDEX(Каталог!$H$4:$H$500,$A59)&amp;"")</f>
        <v/>
      </c>
      <c r="F59" s="32" t="str">
        <f>IF($A59="","",INDEX(Каталог!$B$4:$B$500,$A59)&amp;"")</f>
        <v/>
      </c>
      <c r="G59" s="32" t="str">
        <f>IF($A59="","",INDEX(Каталог!$M$4:$M$500,$A59)&amp;"")</f>
        <v/>
      </c>
      <c r="H59" s="32" t="str">
        <f>IF($A59="","",INDEX(Каталог!$P$4:$P$500,$A59))</f>
        <v/>
      </c>
      <c r="I59" s="5"/>
      <c r="J59" s="5"/>
      <c r="L59" s="30" t="str">
        <f>IFERROR(INDEX(Однолинейка!$BQ$3:$BQ$1000,MATCH(9,Однолинейка!$BR$3:$BR$1000,0)),"")</f>
        <v>3х6</v>
      </c>
      <c r="M59" s="32">
        <f>IF(L59="","",COUNTIF(Однолинейка!$BQ$3:$BQ$1000,L59))</f>
        <v>3</v>
      </c>
      <c r="N59" s="32">
        <f>IF(L59="","",SUMIF(Однолинейка!$BQ$3:$BQ$1000,L59,Однолинейка!$BW$3:$BW$1000))</f>
        <v>3</v>
      </c>
      <c r="O59" s="32">
        <f>IF(L59="","",SUMIF(Однолинейка!$BQ$3:$BQ$1000,L59,Однолинейка!$BX$3:$BX$1000))</f>
        <v>0</v>
      </c>
    </row>
    <row r="60" spans="1:15" x14ac:dyDescent="0.3">
      <c r="A60" s="29" t="str">
        <f>IFERROR(MATCH(ROW()-3,Каталог!$AF$4:$AF$500,0),"")</f>
        <v/>
      </c>
      <c r="B60" s="29" t="str">
        <f t="shared" si="1"/>
        <v/>
      </c>
      <c r="C60" s="30" t="str">
        <f>IF($A60="","",INDEX(Каталог!$G$4:$G$500,$A60)&amp;"")</f>
        <v/>
      </c>
      <c r="D60" s="33"/>
      <c r="E60" s="31" t="str">
        <f>IF($A60="","",INDEX(Каталог!$H$4:$H$500,$A60)&amp;"")</f>
        <v/>
      </c>
      <c r="F60" s="32" t="str">
        <f>IF($A60="","",INDEX(Каталог!$B$4:$B$500,$A60)&amp;"")</f>
        <v/>
      </c>
      <c r="G60" s="32" t="str">
        <f>IF($A60="","",INDEX(Каталог!$M$4:$M$500,$A60)&amp;"")</f>
        <v/>
      </c>
      <c r="H60" s="32" t="str">
        <f>IF($A60="","",INDEX(Каталог!$P$4:$P$500,$A60))</f>
        <v/>
      </c>
      <c r="I60" s="5"/>
      <c r="J60" s="5"/>
      <c r="L60" s="30" t="str">
        <f>IFERROR(INDEX(Однолинейка!$BQ$3:$BQ$1000,MATCH(10,Однолинейка!$BR$3:$BR$1000,0)),"")</f>
        <v/>
      </c>
      <c r="M60" s="32" t="str">
        <f>IF(L60="","",COUNTIF(Однолинейка!$BQ$3:$BQ$1000,L60))</f>
        <v/>
      </c>
      <c r="N60" s="32" t="str">
        <f>IF(L60="","",SUMIF(Однолинейка!$BQ$3:$BQ$1000,L60,Однолинейка!$BW$3:$BW$1000))</f>
        <v/>
      </c>
      <c r="O60" s="32" t="str">
        <f>IF(L60="","",SUMIF(Однолинейка!$BQ$3:$BQ$1000,L60,Однолинейка!$BX$3:$BX$1000))</f>
        <v/>
      </c>
    </row>
    <row r="61" spans="1:15" x14ac:dyDescent="0.3">
      <c r="A61" s="29" t="str">
        <f>IFERROR(MATCH(ROW()-3,Каталог!$AF$4:$AF$500,0),"")</f>
        <v/>
      </c>
      <c r="B61" s="29" t="str">
        <f t="shared" si="1"/>
        <v/>
      </c>
      <c r="C61" s="30" t="str">
        <f>IF($A61="","",INDEX(Каталог!$G$4:$G$500,$A61)&amp;"")</f>
        <v/>
      </c>
      <c r="D61" s="33"/>
      <c r="E61" s="31" t="str">
        <f>IF($A61="","",INDEX(Каталог!$H$4:$H$500,$A61)&amp;"")</f>
        <v/>
      </c>
      <c r="F61" s="32" t="str">
        <f>IF($A61="","",INDEX(Каталог!$B$4:$B$500,$A61)&amp;"")</f>
        <v/>
      </c>
      <c r="G61" s="32" t="str">
        <f>IF($A61="","",INDEX(Каталог!$M$4:$M$500,$A61)&amp;"")</f>
        <v/>
      </c>
      <c r="H61" s="32" t="str">
        <f>IF($A61="","",INDEX(Каталог!$P$4:$P$500,$A61))</f>
        <v/>
      </c>
      <c r="I61" s="5"/>
      <c r="J61" s="5"/>
      <c r="L61" s="30" t="s">
        <v>840</v>
      </c>
      <c r="M61" s="32">
        <f>COUNTIF(Однолинейка!$AY$3:$AY$1000,1)</f>
        <v>310</v>
      </c>
    </row>
    <row r="62" spans="1:15" x14ac:dyDescent="0.3">
      <c r="A62" s="29" t="str">
        <f>IFERROR(MATCH(ROW()-3,Каталог!$AF$4:$AF$500,0),"")</f>
        <v/>
      </c>
      <c r="B62" s="29" t="str">
        <f t="shared" si="1"/>
        <v/>
      </c>
      <c r="C62" s="30" t="str">
        <f>IF($A62="","",INDEX(Каталог!$G$4:$G$500,$A62)&amp;"")</f>
        <v/>
      </c>
      <c r="D62" s="33"/>
      <c r="E62" s="31" t="str">
        <f>IF($A62="","",INDEX(Каталог!$H$4:$H$500,$A62)&amp;"")</f>
        <v/>
      </c>
      <c r="F62" s="32" t="str">
        <f>IF($A62="","",INDEX(Каталог!$B$4:$B$500,$A62)&amp;"")</f>
        <v/>
      </c>
      <c r="G62" s="32" t="str">
        <f>IF($A62="","",INDEX(Каталог!$M$4:$M$500,$A62)&amp;"")</f>
        <v/>
      </c>
      <c r="H62" s="32" t="str">
        <f>IF($A62="","",INDEX(Каталог!$P$4:$P$500,$A62))</f>
        <v/>
      </c>
      <c r="I62" s="5"/>
      <c r="J62" s="5"/>
      <c r="L62" s="30" t="s">
        <v>841</v>
      </c>
      <c r="M62" s="32">
        <f>SUM(Однолинейка!$BW$3:$BW$1000)</f>
        <v>310</v>
      </c>
    </row>
    <row r="63" spans="1:15" x14ac:dyDescent="0.3">
      <c r="A63" s="29" t="str">
        <f>IFERROR(MATCH(ROW()-3,Каталог!$AF$4:$AF$500,0),"")</f>
        <v/>
      </c>
      <c r="B63" s="29" t="str">
        <f t="shared" si="1"/>
        <v/>
      </c>
      <c r="C63" s="30" t="str">
        <f>IF($A63="","",INDEX(Каталог!$G$4:$G$500,$A63)&amp;"")</f>
        <v/>
      </c>
      <c r="D63" s="33"/>
      <c r="E63" s="31" t="str">
        <f>IF($A63="","",INDEX(Каталог!$H$4:$H$500,$A63)&amp;"")</f>
        <v/>
      </c>
      <c r="F63" s="32" t="str">
        <f>IF($A63="","",INDEX(Каталог!$B$4:$B$500,$A63)&amp;"")</f>
        <v/>
      </c>
      <c r="G63" s="32" t="str">
        <f>IF($A63="","",INDEX(Каталог!$M$4:$M$500,$A63)&amp;"")</f>
        <v/>
      </c>
      <c r="H63" s="32" t="str">
        <f>IF($A63="","",INDEX(Каталог!$P$4:$P$500,$A63))</f>
        <v/>
      </c>
      <c r="I63" s="5"/>
      <c r="J63" s="5"/>
      <c r="L63" s="30" t="s">
        <v>842</v>
      </c>
      <c r="M63" s="32">
        <f>SUM(Однолинейка!$BX$3:$BX$1000)</f>
        <v>60</v>
      </c>
    </row>
    <row r="64" spans="1:15" ht="27.6" x14ac:dyDescent="0.3">
      <c r="A64" s="29" t="str">
        <f>IFERROR(MATCH(ROW()-3,Каталог!$AF$4:$AF$500,0),"")</f>
        <v/>
      </c>
      <c r="B64" s="29" t="str">
        <f t="shared" si="1"/>
        <v/>
      </c>
      <c r="C64" s="30" t="str">
        <f>IF($A64="","",INDEX(Каталог!$G$4:$G$500,$A64)&amp;"")</f>
        <v/>
      </c>
      <c r="D64" s="33"/>
      <c r="E64" s="31" t="str">
        <f>IF($A64="","",INDEX(Каталог!$H$4:$H$500,$A64)&amp;"")</f>
        <v/>
      </c>
      <c r="F64" s="32" t="str">
        <f>IF($A64="","",INDEX(Каталог!$B$4:$B$500,$A64)&amp;"")</f>
        <v/>
      </c>
      <c r="G64" s="32" t="str">
        <f>IF($A64="","",INDEX(Каталог!$M$4:$M$500,$A64)&amp;"")</f>
        <v/>
      </c>
      <c r="H64" s="32" t="str">
        <f>IF($A64="","",INDEX(Каталог!$P$4:$P$500,$A64))</f>
        <v/>
      </c>
      <c r="I64" s="5"/>
      <c r="J64" s="5"/>
      <c r="L64" s="30" t="s">
        <v>843</v>
      </c>
    </row>
    <row r="65" spans="1:12" x14ac:dyDescent="0.3">
      <c r="A65" s="29" t="str">
        <f>IFERROR(MATCH(ROW()-3,Каталог!$AF$4:$AF$500,0),"")</f>
        <v/>
      </c>
      <c r="B65" s="29" t="str">
        <f t="shared" si="1"/>
        <v/>
      </c>
      <c r="C65" s="30" t="str">
        <f>IF($A65="","",INDEX(Каталог!$G$4:$G$500,$A65)&amp;"")</f>
        <v/>
      </c>
      <c r="D65" s="33"/>
      <c r="E65" s="31" t="str">
        <f>IF($A65="","",INDEX(Каталог!$H$4:$H$500,$A65)&amp;"")</f>
        <v/>
      </c>
      <c r="F65" s="32" t="str">
        <f>IF($A65="","",INDEX(Каталог!$B$4:$B$500,$A65)&amp;"")</f>
        <v/>
      </c>
      <c r="G65" s="32" t="str">
        <f>IF($A65="","",INDEX(Каталог!$M$4:$M$500,$A65)&amp;"")</f>
        <v/>
      </c>
      <c r="H65" s="32" t="str">
        <f>IF($A65="","",INDEX(Каталог!$P$4:$P$500,$A65))</f>
        <v/>
      </c>
      <c r="I65" s="5"/>
      <c r="J65" s="5"/>
      <c r="L65" s="30"/>
    </row>
    <row r="66" spans="1:12" x14ac:dyDescent="0.3">
      <c r="A66" s="29" t="str">
        <f>IFERROR(MATCH(ROW()-3,Каталог!$AF$4:$AF$500,0),"")</f>
        <v/>
      </c>
      <c r="B66" s="29" t="str">
        <f t="shared" si="1"/>
        <v/>
      </c>
      <c r="C66" s="30" t="str">
        <f>IF($A66="","",INDEX(Каталог!$G$4:$G$500,$A66)&amp;"")</f>
        <v/>
      </c>
      <c r="D66" s="33"/>
      <c r="E66" s="31" t="str">
        <f>IF($A66="","",INDEX(Каталог!$H$4:$H$500,$A66)&amp;"")</f>
        <v/>
      </c>
      <c r="F66" s="32" t="str">
        <f>IF($A66="","",INDEX(Каталог!$B$4:$B$500,$A66)&amp;"")</f>
        <v/>
      </c>
      <c r="G66" s="32" t="str">
        <f>IF($A66="","",INDEX(Каталог!$M$4:$M$500,$A66)&amp;"")</f>
        <v/>
      </c>
      <c r="H66" s="32" t="str">
        <f>IF($A66="","",INDEX(Каталог!$P$4:$P$500,$A66))</f>
        <v/>
      </c>
      <c r="I66" s="5"/>
      <c r="J66" s="5"/>
      <c r="L66" s="30"/>
    </row>
    <row r="67" spans="1:12" x14ac:dyDescent="0.3">
      <c r="A67" s="29" t="str">
        <f>IFERROR(MATCH(ROW()-3,Каталог!$AF$4:$AF$500,0),"")</f>
        <v/>
      </c>
      <c r="B67" s="29" t="str">
        <f t="shared" si="1"/>
        <v/>
      </c>
      <c r="C67" s="30" t="str">
        <f>IF($A67="","",INDEX(Каталог!$G$4:$G$500,$A67)&amp;"")</f>
        <v/>
      </c>
      <c r="D67" s="33"/>
      <c r="E67" s="31" t="str">
        <f>IF($A67="","",INDEX(Каталог!$H$4:$H$500,$A67)&amp;"")</f>
        <v/>
      </c>
      <c r="F67" s="32" t="str">
        <f>IF($A67="","",INDEX(Каталог!$B$4:$B$500,$A67)&amp;"")</f>
        <v/>
      </c>
      <c r="G67" s="32" t="str">
        <f>IF($A67="","",INDEX(Каталог!$M$4:$M$500,$A67)&amp;"")</f>
        <v/>
      </c>
      <c r="H67" s="32" t="str">
        <f>IF($A67="","",INDEX(Каталог!$P$4:$P$500,$A67))</f>
        <v/>
      </c>
      <c r="I67" s="5"/>
      <c r="J67" s="5"/>
    </row>
    <row r="68" spans="1:12" x14ac:dyDescent="0.3">
      <c r="A68" s="29" t="str">
        <f>IFERROR(MATCH(ROW()-3,Каталог!$AF$4:$AF$500,0),"")</f>
        <v/>
      </c>
      <c r="B68" s="29" t="str">
        <f t="shared" ref="B68:B99" si="2">IF($A68="","",$B$3&amp;"."&amp;(ROW()-3))</f>
        <v/>
      </c>
      <c r="C68" s="30" t="str">
        <f>IF($A68="","",INDEX(Каталог!$G$4:$G$500,$A68)&amp;"")</f>
        <v/>
      </c>
      <c r="D68" s="33"/>
      <c r="E68" s="31" t="str">
        <f>IF($A68="","",INDEX(Каталог!$H$4:$H$500,$A68)&amp;"")</f>
        <v/>
      </c>
      <c r="F68" s="32" t="str">
        <f>IF($A68="","",INDEX(Каталог!$B$4:$B$500,$A68)&amp;"")</f>
        <v/>
      </c>
      <c r="G68" s="32" t="str">
        <f>IF($A68="","",INDEX(Каталог!$M$4:$M$500,$A68)&amp;"")</f>
        <v/>
      </c>
      <c r="H68" s="32" t="str">
        <f>IF($A68="","",INDEX(Каталог!$P$4:$P$500,$A68))</f>
        <v/>
      </c>
      <c r="I68" s="5"/>
      <c r="J68" s="5"/>
    </row>
    <row r="69" spans="1:12" x14ac:dyDescent="0.3">
      <c r="A69" s="29" t="str">
        <f>IFERROR(MATCH(ROW()-3,Каталог!$AF$4:$AF$500,0),"")</f>
        <v/>
      </c>
      <c r="B69" s="29" t="str">
        <f t="shared" si="2"/>
        <v/>
      </c>
      <c r="C69" s="30" t="str">
        <f>IF($A69="","",INDEX(Каталог!$G$4:$G$500,$A69)&amp;"")</f>
        <v/>
      </c>
      <c r="D69" s="33"/>
      <c r="E69" s="31" t="str">
        <f>IF($A69="","",INDEX(Каталог!$H$4:$H$500,$A69)&amp;"")</f>
        <v/>
      </c>
      <c r="F69" s="32" t="str">
        <f>IF($A69="","",INDEX(Каталог!$B$4:$B$500,$A69)&amp;"")</f>
        <v/>
      </c>
      <c r="G69" s="32" t="str">
        <f>IF($A69="","",INDEX(Каталог!$M$4:$M$500,$A69)&amp;"")</f>
        <v/>
      </c>
      <c r="H69" s="32" t="str">
        <f>IF($A69="","",INDEX(Каталог!$P$4:$P$500,$A69))</f>
        <v/>
      </c>
      <c r="I69" s="5"/>
      <c r="J69" s="5"/>
    </row>
    <row r="70" spans="1:12" x14ac:dyDescent="0.3">
      <c r="A70" s="29" t="str">
        <f>IFERROR(MATCH(ROW()-3,Каталог!$AF$4:$AF$500,0),"")</f>
        <v/>
      </c>
      <c r="B70" s="29" t="str">
        <f t="shared" si="2"/>
        <v/>
      </c>
      <c r="C70" s="30" t="str">
        <f>IF($A70="","",INDEX(Каталог!$G$4:$G$500,$A70)&amp;"")</f>
        <v/>
      </c>
      <c r="D70" s="33"/>
      <c r="E70" s="31" t="str">
        <f>IF($A70="","",INDEX(Каталог!$H$4:$H$500,$A70)&amp;"")</f>
        <v/>
      </c>
      <c r="F70" s="32" t="str">
        <f>IF($A70="","",INDEX(Каталог!$B$4:$B$500,$A70)&amp;"")</f>
        <v/>
      </c>
      <c r="G70" s="32" t="str">
        <f>IF($A70="","",INDEX(Каталог!$M$4:$M$500,$A70)&amp;"")</f>
        <v/>
      </c>
      <c r="H70" s="32" t="str">
        <f>IF($A70="","",INDEX(Каталог!$P$4:$P$500,$A70))</f>
        <v/>
      </c>
      <c r="I70" s="5"/>
      <c r="J70" s="5"/>
    </row>
    <row r="71" spans="1:12" x14ac:dyDescent="0.3">
      <c r="A71" s="29" t="str">
        <f>IFERROR(MATCH(ROW()-3,Каталог!$AF$4:$AF$500,0),"")</f>
        <v/>
      </c>
      <c r="B71" s="29" t="str">
        <f t="shared" si="2"/>
        <v/>
      </c>
      <c r="C71" s="30" t="str">
        <f>IF($A71="","",INDEX(Каталог!$G$4:$G$500,$A71)&amp;"")</f>
        <v/>
      </c>
      <c r="D71" s="33"/>
      <c r="E71" s="31" t="str">
        <f>IF($A71="","",INDEX(Каталог!$H$4:$H$500,$A71)&amp;"")</f>
        <v/>
      </c>
      <c r="F71" s="32" t="str">
        <f>IF($A71="","",INDEX(Каталог!$B$4:$B$500,$A71)&amp;"")</f>
        <v/>
      </c>
      <c r="G71" s="32" t="str">
        <f>IF($A71="","",INDEX(Каталог!$M$4:$M$500,$A71)&amp;"")</f>
        <v/>
      </c>
      <c r="H71" s="32" t="str">
        <f>IF($A71="","",INDEX(Каталог!$P$4:$P$500,$A71))</f>
        <v/>
      </c>
      <c r="I71" s="5"/>
      <c r="J71" s="5"/>
    </row>
    <row r="72" spans="1:12" x14ac:dyDescent="0.3">
      <c r="A72" s="29" t="str">
        <f>IFERROR(MATCH(ROW()-3,Каталог!$AF$4:$AF$500,0),"")</f>
        <v/>
      </c>
      <c r="B72" s="29" t="str">
        <f t="shared" si="2"/>
        <v/>
      </c>
      <c r="C72" s="30" t="str">
        <f>IF($A72="","",INDEX(Каталог!$G$4:$G$500,$A72)&amp;"")</f>
        <v/>
      </c>
      <c r="D72" s="33"/>
      <c r="E72" s="31" t="str">
        <f>IF($A72="","",INDEX(Каталог!$H$4:$H$500,$A72)&amp;"")</f>
        <v/>
      </c>
      <c r="F72" s="32" t="str">
        <f>IF($A72="","",INDEX(Каталог!$B$4:$B$500,$A72)&amp;"")</f>
        <v/>
      </c>
      <c r="G72" s="32" t="str">
        <f>IF($A72="","",INDEX(Каталог!$M$4:$M$500,$A72)&amp;"")</f>
        <v/>
      </c>
      <c r="H72" s="32" t="str">
        <f>IF($A72="","",INDEX(Каталог!$P$4:$P$500,$A72))</f>
        <v/>
      </c>
      <c r="I72" s="5"/>
      <c r="J72" s="5"/>
    </row>
    <row r="73" spans="1:12" x14ac:dyDescent="0.3">
      <c r="A73" s="29" t="str">
        <f>IFERROR(MATCH(ROW()-3,Каталог!$AF$4:$AF$500,0),"")</f>
        <v/>
      </c>
      <c r="B73" s="29" t="str">
        <f t="shared" si="2"/>
        <v/>
      </c>
      <c r="C73" s="30" t="str">
        <f>IF($A73="","",INDEX(Каталог!$G$4:$G$500,$A73)&amp;"")</f>
        <v/>
      </c>
      <c r="D73" s="33"/>
      <c r="E73" s="31" t="str">
        <f>IF($A73="","",INDEX(Каталог!$H$4:$H$500,$A73)&amp;"")</f>
        <v/>
      </c>
      <c r="F73" s="32" t="str">
        <f>IF($A73="","",INDEX(Каталог!$B$4:$B$500,$A73)&amp;"")</f>
        <v/>
      </c>
      <c r="G73" s="32" t="str">
        <f>IF($A73="","",INDEX(Каталог!$M$4:$M$500,$A73)&amp;"")</f>
        <v/>
      </c>
      <c r="H73" s="32" t="str">
        <f>IF($A73="","",INDEX(Каталог!$P$4:$P$500,$A73))</f>
        <v/>
      </c>
      <c r="I73" s="5"/>
      <c r="J73" s="5"/>
    </row>
    <row r="74" spans="1:12" x14ac:dyDescent="0.3">
      <c r="A74" s="29" t="str">
        <f>IFERROR(MATCH(ROW()-3,Каталог!$AF$4:$AF$500,0),"")</f>
        <v/>
      </c>
      <c r="B74" s="29" t="str">
        <f t="shared" si="2"/>
        <v/>
      </c>
      <c r="C74" s="30" t="str">
        <f>IF($A74="","",INDEX(Каталог!$G$4:$G$500,$A74)&amp;"")</f>
        <v/>
      </c>
      <c r="D74" s="33"/>
      <c r="E74" s="31" t="str">
        <f>IF($A74="","",INDEX(Каталог!$H$4:$H$500,$A74)&amp;"")</f>
        <v/>
      </c>
      <c r="F74" s="32" t="str">
        <f>IF($A74="","",INDEX(Каталог!$B$4:$B$500,$A74)&amp;"")</f>
        <v/>
      </c>
      <c r="G74" s="32" t="str">
        <f>IF($A74="","",INDEX(Каталог!$M$4:$M$500,$A74)&amp;"")</f>
        <v/>
      </c>
      <c r="H74" s="32" t="str">
        <f>IF($A74="","",INDEX(Каталог!$P$4:$P$500,$A74))</f>
        <v/>
      </c>
      <c r="I74" s="5"/>
      <c r="J74" s="5"/>
    </row>
    <row r="75" spans="1:12" x14ac:dyDescent="0.3">
      <c r="A75" s="29" t="str">
        <f>IFERROR(MATCH(ROW()-3,Каталог!$AF$4:$AF$500,0),"")</f>
        <v/>
      </c>
      <c r="B75" s="29" t="str">
        <f t="shared" si="2"/>
        <v/>
      </c>
      <c r="C75" s="30" t="str">
        <f>IF($A75="","",INDEX(Каталог!$G$4:$G$500,$A75)&amp;"")</f>
        <v/>
      </c>
      <c r="D75" s="33"/>
      <c r="E75" s="31" t="str">
        <f>IF($A75="","",INDEX(Каталог!$H$4:$H$500,$A75)&amp;"")</f>
        <v/>
      </c>
      <c r="F75" s="32" t="str">
        <f>IF($A75="","",INDEX(Каталог!$B$4:$B$500,$A75)&amp;"")</f>
        <v/>
      </c>
      <c r="G75" s="32" t="str">
        <f>IF($A75="","",INDEX(Каталог!$M$4:$M$500,$A75)&amp;"")</f>
        <v/>
      </c>
      <c r="H75" s="32" t="str">
        <f>IF($A75="","",INDEX(Каталог!$P$4:$P$500,$A75))</f>
        <v/>
      </c>
      <c r="I75" s="5"/>
      <c r="J75" s="5"/>
    </row>
    <row r="76" spans="1:12" x14ac:dyDescent="0.3">
      <c r="A76" s="29" t="str">
        <f>IFERROR(MATCH(ROW()-3,Каталог!$AF$4:$AF$500,0),"")</f>
        <v/>
      </c>
      <c r="B76" s="29" t="str">
        <f t="shared" si="2"/>
        <v/>
      </c>
      <c r="C76" s="30" t="str">
        <f>IF($A76="","",INDEX(Каталог!$G$4:$G$500,$A76)&amp;"")</f>
        <v/>
      </c>
      <c r="D76" s="33"/>
      <c r="E76" s="31" t="str">
        <f>IF($A76="","",INDEX(Каталог!$H$4:$H$500,$A76)&amp;"")</f>
        <v/>
      </c>
      <c r="F76" s="32" t="str">
        <f>IF($A76="","",INDEX(Каталог!$B$4:$B$500,$A76)&amp;"")</f>
        <v/>
      </c>
      <c r="G76" s="32" t="str">
        <f>IF($A76="","",INDEX(Каталог!$M$4:$M$500,$A76)&amp;"")</f>
        <v/>
      </c>
      <c r="H76" s="32" t="str">
        <f>IF($A76="","",INDEX(Каталог!$P$4:$P$500,$A76))</f>
        <v/>
      </c>
      <c r="I76" s="5"/>
      <c r="J76" s="5"/>
    </row>
    <row r="77" spans="1:12" x14ac:dyDescent="0.3">
      <c r="A77" s="29" t="str">
        <f>IFERROR(MATCH(ROW()-3,Каталог!$AF$4:$AF$500,0),"")</f>
        <v/>
      </c>
      <c r="B77" s="29" t="str">
        <f t="shared" si="2"/>
        <v/>
      </c>
      <c r="C77" s="30" t="str">
        <f>IF($A77="","",INDEX(Каталог!$G$4:$G$500,$A77)&amp;"")</f>
        <v/>
      </c>
      <c r="D77" s="33"/>
      <c r="E77" s="31" t="str">
        <f>IF($A77="","",INDEX(Каталог!$H$4:$H$500,$A77)&amp;"")</f>
        <v/>
      </c>
      <c r="F77" s="32" t="str">
        <f>IF($A77="","",INDEX(Каталог!$B$4:$B$500,$A77)&amp;"")</f>
        <v/>
      </c>
      <c r="G77" s="32" t="str">
        <f>IF($A77="","",INDEX(Каталог!$M$4:$M$500,$A77)&amp;"")</f>
        <v/>
      </c>
      <c r="H77" s="32" t="str">
        <f>IF($A77="","",INDEX(Каталог!$P$4:$P$500,$A77))</f>
        <v/>
      </c>
      <c r="I77" s="5"/>
      <c r="J77" s="5"/>
    </row>
    <row r="78" spans="1:12" x14ac:dyDescent="0.3">
      <c r="A78" s="29" t="str">
        <f>IFERROR(MATCH(ROW()-3,Каталог!$AF$4:$AF$500,0),"")</f>
        <v/>
      </c>
      <c r="B78" s="29" t="str">
        <f t="shared" si="2"/>
        <v/>
      </c>
      <c r="C78" s="30" t="str">
        <f>IF($A78="","",INDEX(Каталог!$G$4:$G$500,$A78)&amp;"")</f>
        <v/>
      </c>
      <c r="D78" s="33"/>
      <c r="E78" s="31" t="str">
        <f>IF($A78="","",INDEX(Каталог!$H$4:$H$500,$A78)&amp;"")</f>
        <v/>
      </c>
      <c r="F78" s="32" t="str">
        <f>IF($A78="","",INDEX(Каталог!$B$4:$B$500,$A78)&amp;"")</f>
        <v/>
      </c>
      <c r="G78" s="32" t="str">
        <f>IF($A78="","",INDEX(Каталог!$M$4:$M$500,$A78)&amp;"")</f>
        <v/>
      </c>
      <c r="H78" s="32" t="str">
        <f>IF($A78="","",INDEX(Каталог!$P$4:$P$500,$A78))</f>
        <v/>
      </c>
      <c r="I78" s="5"/>
      <c r="J78" s="5"/>
    </row>
    <row r="79" spans="1:12" x14ac:dyDescent="0.3">
      <c r="A79" s="29" t="str">
        <f>IFERROR(MATCH(ROW()-3,Каталог!$AF$4:$AF$500,0),"")</f>
        <v/>
      </c>
      <c r="B79" s="29" t="str">
        <f t="shared" si="2"/>
        <v/>
      </c>
      <c r="C79" s="30" t="str">
        <f>IF($A79="","",INDEX(Каталог!$G$4:$G$500,$A79)&amp;"")</f>
        <v/>
      </c>
      <c r="D79" s="33"/>
      <c r="E79" s="31" t="str">
        <f>IF($A79="","",INDEX(Каталог!$H$4:$H$500,$A79)&amp;"")</f>
        <v/>
      </c>
      <c r="F79" s="32" t="str">
        <f>IF($A79="","",INDEX(Каталог!$B$4:$B$500,$A79)&amp;"")</f>
        <v/>
      </c>
      <c r="G79" s="32" t="str">
        <f>IF($A79="","",INDEX(Каталог!$M$4:$M$500,$A79)&amp;"")</f>
        <v/>
      </c>
      <c r="H79" s="32" t="str">
        <f>IF($A79="","",INDEX(Каталог!$P$4:$P$500,$A79))</f>
        <v/>
      </c>
      <c r="I79" s="5"/>
      <c r="J79" s="5"/>
    </row>
    <row r="80" spans="1:12" x14ac:dyDescent="0.3">
      <c r="A80" s="29" t="str">
        <f>IFERROR(MATCH(ROW()-3,Каталог!$AF$4:$AF$500,0),"")</f>
        <v/>
      </c>
      <c r="B80" s="29" t="str">
        <f t="shared" si="2"/>
        <v/>
      </c>
      <c r="C80" s="30" t="str">
        <f>IF($A80="","",INDEX(Каталог!$G$4:$G$500,$A80)&amp;"")</f>
        <v/>
      </c>
      <c r="D80" s="33"/>
      <c r="E80" s="31" t="str">
        <f>IF($A80="","",INDEX(Каталог!$H$4:$H$500,$A80)&amp;"")</f>
        <v/>
      </c>
      <c r="F80" s="32" t="str">
        <f>IF($A80="","",INDEX(Каталог!$B$4:$B$500,$A80)&amp;"")</f>
        <v/>
      </c>
      <c r="G80" s="32" t="str">
        <f>IF($A80="","",INDEX(Каталог!$M$4:$M$500,$A80)&amp;"")</f>
        <v/>
      </c>
      <c r="H80" s="32" t="str">
        <f>IF($A80="","",INDEX(Каталог!$P$4:$P$500,$A80))</f>
        <v/>
      </c>
      <c r="I80" s="5"/>
      <c r="J80" s="5"/>
    </row>
    <row r="81" spans="1:10" x14ac:dyDescent="0.3">
      <c r="A81" s="29" t="str">
        <f>IFERROR(MATCH(ROW()-3,Каталог!$AF$4:$AF$500,0),"")</f>
        <v/>
      </c>
      <c r="B81" s="29" t="str">
        <f t="shared" si="2"/>
        <v/>
      </c>
      <c r="C81" s="30" t="str">
        <f>IF($A81="","",INDEX(Каталог!$G$4:$G$500,$A81)&amp;"")</f>
        <v/>
      </c>
      <c r="D81" s="33"/>
      <c r="E81" s="31" t="str">
        <f>IF($A81="","",INDEX(Каталог!$H$4:$H$500,$A81)&amp;"")</f>
        <v/>
      </c>
      <c r="F81" s="32" t="str">
        <f>IF($A81="","",INDEX(Каталог!$B$4:$B$500,$A81)&amp;"")</f>
        <v/>
      </c>
      <c r="G81" s="32" t="str">
        <f>IF($A81="","",INDEX(Каталог!$M$4:$M$500,$A81)&amp;"")</f>
        <v/>
      </c>
      <c r="H81" s="32" t="str">
        <f>IF($A81="","",INDEX(Каталог!$P$4:$P$500,$A81))</f>
        <v/>
      </c>
      <c r="I81" s="5"/>
      <c r="J81" s="5"/>
    </row>
    <row r="82" spans="1:10" x14ac:dyDescent="0.3">
      <c r="A82" s="29" t="str">
        <f>IFERROR(MATCH(ROW()-3,Каталог!$AF$4:$AF$500,0),"")</f>
        <v/>
      </c>
      <c r="B82" s="29" t="str">
        <f t="shared" si="2"/>
        <v/>
      </c>
      <c r="C82" s="30" t="str">
        <f>IF($A82="","",INDEX(Каталог!$G$4:$G$500,$A82)&amp;"")</f>
        <v/>
      </c>
      <c r="D82" s="33"/>
      <c r="E82" s="31" t="str">
        <f>IF($A82="","",INDEX(Каталог!$H$4:$H$500,$A82)&amp;"")</f>
        <v/>
      </c>
      <c r="F82" s="32" t="str">
        <f>IF($A82="","",INDEX(Каталог!$B$4:$B$500,$A82)&amp;"")</f>
        <v/>
      </c>
      <c r="G82" s="32" t="str">
        <f>IF($A82="","",INDEX(Каталог!$M$4:$M$500,$A82)&amp;"")</f>
        <v/>
      </c>
      <c r="H82" s="32" t="str">
        <f>IF($A82="","",INDEX(Каталог!$P$4:$P$500,$A82))</f>
        <v/>
      </c>
      <c r="I82" s="5"/>
      <c r="J82" s="5"/>
    </row>
    <row r="83" spans="1:10" x14ac:dyDescent="0.3">
      <c r="A83" s="29" t="str">
        <f>IFERROR(MATCH(ROW()-3,Каталог!$AF$4:$AF$500,0),"")</f>
        <v/>
      </c>
      <c r="B83" s="29" t="str">
        <f t="shared" si="2"/>
        <v/>
      </c>
      <c r="C83" s="30" t="str">
        <f>IF($A83="","",INDEX(Каталог!$G$4:$G$500,$A83)&amp;"")</f>
        <v/>
      </c>
      <c r="D83" s="33"/>
      <c r="E83" s="31" t="str">
        <f>IF($A83="","",INDEX(Каталог!$H$4:$H$500,$A83)&amp;"")</f>
        <v/>
      </c>
      <c r="F83" s="32" t="str">
        <f>IF($A83="","",INDEX(Каталог!$B$4:$B$500,$A83)&amp;"")</f>
        <v/>
      </c>
      <c r="G83" s="32" t="str">
        <f>IF($A83="","",INDEX(Каталог!$M$4:$M$500,$A83)&amp;"")</f>
        <v/>
      </c>
      <c r="H83" s="32" t="str">
        <f>IF($A83="","",INDEX(Каталог!$P$4:$P$500,$A83))</f>
        <v/>
      </c>
      <c r="I83" s="5"/>
      <c r="J83" s="5"/>
    </row>
    <row r="84" spans="1:10" x14ac:dyDescent="0.3">
      <c r="A84" s="29" t="str">
        <f>IFERROR(MATCH(ROW()-3,Каталог!$AF$4:$AF$500,0),"")</f>
        <v/>
      </c>
      <c r="B84" s="29" t="str">
        <f t="shared" si="2"/>
        <v/>
      </c>
      <c r="C84" s="30" t="str">
        <f>IF($A84="","",INDEX(Каталог!$G$4:$G$500,$A84)&amp;"")</f>
        <v/>
      </c>
      <c r="D84" s="33"/>
      <c r="E84" s="31" t="str">
        <f>IF($A84="","",INDEX(Каталог!$H$4:$H$500,$A84)&amp;"")</f>
        <v/>
      </c>
      <c r="F84" s="32" t="str">
        <f>IF($A84="","",INDEX(Каталог!$B$4:$B$500,$A84)&amp;"")</f>
        <v/>
      </c>
      <c r="G84" s="32" t="str">
        <f>IF($A84="","",INDEX(Каталог!$M$4:$M$500,$A84)&amp;"")</f>
        <v/>
      </c>
      <c r="H84" s="32" t="str">
        <f>IF($A84="","",INDEX(Каталог!$P$4:$P$500,$A84))</f>
        <v/>
      </c>
      <c r="I84" s="5"/>
      <c r="J84" s="5"/>
    </row>
    <row r="85" spans="1:10" x14ac:dyDescent="0.3">
      <c r="A85" s="29" t="str">
        <f>IFERROR(MATCH(ROW()-3,Каталог!$AF$4:$AF$500,0),"")</f>
        <v/>
      </c>
      <c r="B85" s="29" t="str">
        <f t="shared" si="2"/>
        <v/>
      </c>
      <c r="C85" s="30" t="str">
        <f>IF($A85="","",INDEX(Каталог!$G$4:$G$500,$A85)&amp;"")</f>
        <v/>
      </c>
      <c r="D85" s="33"/>
      <c r="E85" s="31" t="str">
        <f>IF($A85="","",INDEX(Каталог!$H$4:$H$500,$A85)&amp;"")</f>
        <v/>
      </c>
      <c r="F85" s="32" t="str">
        <f>IF($A85="","",INDEX(Каталог!$B$4:$B$500,$A85)&amp;"")</f>
        <v/>
      </c>
      <c r="G85" s="32" t="str">
        <f>IF($A85="","",INDEX(Каталог!$M$4:$M$500,$A85)&amp;"")</f>
        <v/>
      </c>
      <c r="H85" s="32" t="str">
        <f>IF($A85="","",INDEX(Каталог!$P$4:$P$500,$A85))</f>
        <v/>
      </c>
      <c r="I85" s="5"/>
      <c r="J85" s="5"/>
    </row>
    <row r="86" spans="1:10" x14ac:dyDescent="0.3">
      <c r="A86" s="29" t="str">
        <f>IFERROR(MATCH(ROW()-3,Каталог!$AF$4:$AF$500,0),"")</f>
        <v/>
      </c>
      <c r="B86" s="29" t="str">
        <f t="shared" si="2"/>
        <v/>
      </c>
      <c r="C86" s="30" t="str">
        <f>IF($A86="","",INDEX(Каталог!$G$4:$G$500,$A86)&amp;"")</f>
        <v/>
      </c>
      <c r="D86" s="33"/>
      <c r="E86" s="31" t="str">
        <f>IF($A86="","",INDEX(Каталог!$H$4:$H$500,$A86)&amp;"")</f>
        <v/>
      </c>
      <c r="F86" s="32" t="str">
        <f>IF($A86="","",INDEX(Каталог!$B$4:$B$500,$A86)&amp;"")</f>
        <v/>
      </c>
      <c r="G86" s="32" t="str">
        <f>IF($A86="","",INDEX(Каталог!$M$4:$M$500,$A86)&amp;"")</f>
        <v/>
      </c>
      <c r="H86" s="32" t="str">
        <f>IF($A86="","",INDEX(Каталог!$P$4:$P$500,$A86))</f>
        <v/>
      </c>
      <c r="I86" s="5"/>
      <c r="J86" s="5"/>
    </row>
    <row r="87" spans="1:10" x14ac:dyDescent="0.3">
      <c r="A87" s="29" t="str">
        <f>IFERROR(MATCH(ROW()-3,Каталог!$AF$4:$AF$500,0),"")</f>
        <v/>
      </c>
      <c r="B87" s="29" t="str">
        <f t="shared" si="2"/>
        <v/>
      </c>
      <c r="C87" s="30" t="str">
        <f>IF($A87="","",INDEX(Каталог!$G$4:$G$500,$A87)&amp;"")</f>
        <v/>
      </c>
      <c r="D87" s="33"/>
      <c r="E87" s="31" t="str">
        <f>IF($A87="","",INDEX(Каталог!$H$4:$H$500,$A87)&amp;"")</f>
        <v/>
      </c>
      <c r="F87" s="32" t="str">
        <f>IF($A87="","",INDEX(Каталог!$B$4:$B$500,$A87)&amp;"")</f>
        <v/>
      </c>
      <c r="G87" s="32" t="str">
        <f>IF($A87="","",INDEX(Каталог!$M$4:$M$500,$A87)&amp;"")</f>
        <v/>
      </c>
      <c r="H87" s="32" t="str">
        <f>IF($A87="","",INDEX(Каталог!$P$4:$P$500,$A87))</f>
        <v/>
      </c>
      <c r="I87" s="5"/>
      <c r="J87" s="5"/>
    </row>
    <row r="88" spans="1:10" x14ac:dyDescent="0.3">
      <c r="A88" s="29" t="str">
        <f>IFERROR(MATCH(ROW()-3,Каталог!$AF$4:$AF$500,0),"")</f>
        <v/>
      </c>
      <c r="B88" s="29" t="str">
        <f t="shared" si="2"/>
        <v/>
      </c>
      <c r="C88" s="30" t="str">
        <f>IF($A88="","",INDEX(Каталог!$G$4:$G$500,$A88)&amp;"")</f>
        <v/>
      </c>
      <c r="D88" s="33"/>
      <c r="E88" s="31" t="str">
        <f>IF($A88="","",INDEX(Каталог!$H$4:$H$500,$A88)&amp;"")</f>
        <v/>
      </c>
      <c r="F88" s="32" t="str">
        <f>IF($A88="","",INDEX(Каталог!$B$4:$B$500,$A88)&amp;"")</f>
        <v/>
      </c>
      <c r="G88" s="32" t="str">
        <f>IF($A88="","",INDEX(Каталог!$M$4:$M$500,$A88)&amp;"")</f>
        <v/>
      </c>
      <c r="H88" s="32" t="str">
        <f>IF($A88="","",INDEX(Каталог!$P$4:$P$500,$A88))</f>
        <v/>
      </c>
      <c r="I88" s="5"/>
      <c r="J88" s="5"/>
    </row>
    <row r="89" spans="1:10" x14ac:dyDescent="0.3">
      <c r="A89" s="29" t="str">
        <f>IFERROR(MATCH(ROW()-3,Каталог!$AF$4:$AF$500,0),"")</f>
        <v/>
      </c>
      <c r="B89" s="29" t="str">
        <f t="shared" si="2"/>
        <v/>
      </c>
      <c r="C89" s="30" t="str">
        <f>IF($A89="","",INDEX(Каталог!$G$4:$G$500,$A89)&amp;"")</f>
        <v/>
      </c>
      <c r="D89" s="33"/>
      <c r="E89" s="31" t="str">
        <f>IF($A89="","",INDEX(Каталог!$H$4:$H$500,$A89)&amp;"")</f>
        <v/>
      </c>
      <c r="F89" s="32" t="str">
        <f>IF($A89="","",INDEX(Каталог!$B$4:$B$500,$A89)&amp;"")</f>
        <v/>
      </c>
      <c r="G89" s="32" t="str">
        <f>IF($A89="","",INDEX(Каталог!$M$4:$M$500,$A89)&amp;"")</f>
        <v/>
      </c>
      <c r="H89" s="32" t="str">
        <f>IF($A89="","",INDEX(Каталог!$P$4:$P$500,$A89))</f>
        <v/>
      </c>
      <c r="I89" s="5"/>
      <c r="J89" s="5"/>
    </row>
    <row r="90" spans="1:10" x14ac:dyDescent="0.3">
      <c r="A90" s="29" t="str">
        <f>IFERROR(MATCH(ROW()-3,Каталог!$AF$4:$AF$500,0),"")</f>
        <v/>
      </c>
      <c r="B90" s="29" t="str">
        <f t="shared" si="2"/>
        <v/>
      </c>
      <c r="C90" s="30" t="str">
        <f>IF($A90="","",INDEX(Каталог!$G$4:$G$500,$A90)&amp;"")</f>
        <v/>
      </c>
      <c r="D90" s="33"/>
      <c r="E90" s="31" t="str">
        <f>IF($A90="","",INDEX(Каталог!$H$4:$H$500,$A90)&amp;"")</f>
        <v/>
      </c>
      <c r="F90" s="32" t="str">
        <f>IF($A90="","",INDEX(Каталог!$B$4:$B$500,$A90)&amp;"")</f>
        <v/>
      </c>
      <c r="G90" s="32" t="str">
        <f>IF($A90="","",INDEX(Каталог!$M$4:$M$500,$A90)&amp;"")</f>
        <v/>
      </c>
      <c r="H90" s="32" t="str">
        <f>IF($A90="","",INDEX(Каталог!$P$4:$P$500,$A90))</f>
        <v/>
      </c>
      <c r="I90" s="5"/>
      <c r="J90" s="5"/>
    </row>
    <row r="91" spans="1:10" x14ac:dyDescent="0.3">
      <c r="A91" s="29" t="str">
        <f>IFERROR(MATCH(ROW()-3,Каталог!$AF$4:$AF$500,0),"")</f>
        <v/>
      </c>
      <c r="B91" s="29" t="str">
        <f t="shared" si="2"/>
        <v/>
      </c>
      <c r="C91" s="30" t="str">
        <f>IF($A91="","",INDEX(Каталог!$G$4:$G$500,$A91)&amp;"")</f>
        <v/>
      </c>
      <c r="D91" s="33"/>
      <c r="E91" s="31" t="str">
        <f>IF($A91="","",INDEX(Каталог!$H$4:$H$500,$A91)&amp;"")</f>
        <v/>
      </c>
      <c r="F91" s="32" t="str">
        <f>IF($A91="","",INDEX(Каталог!$B$4:$B$500,$A91)&amp;"")</f>
        <v/>
      </c>
      <c r="G91" s="32" t="str">
        <f>IF($A91="","",INDEX(Каталог!$M$4:$M$500,$A91)&amp;"")</f>
        <v/>
      </c>
      <c r="H91" s="32" t="str">
        <f>IF($A91="","",INDEX(Каталог!$P$4:$P$500,$A91))</f>
        <v/>
      </c>
      <c r="I91" s="5"/>
      <c r="J91" s="5"/>
    </row>
    <row r="92" spans="1:10" x14ac:dyDescent="0.3">
      <c r="A92" s="29" t="str">
        <f>IFERROR(MATCH(ROW()-3,Каталог!$AF$4:$AF$500,0),"")</f>
        <v/>
      </c>
      <c r="B92" s="29" t="str">
        <f t="shared" si="2"/>
        <v/>
      </c>
      <c r="C92" s="30" t="str">
        <f>IF($A92="","",INDEX(Каталог!$G$4:$G$500,$A92)&amp;"")</f>
        <v/>
      </c>
      <c r="D92" s="33"/>
      <c r="E92" s="31" t="str">
        <f>IF($A92="","",INDEX(Каталог!$H$4:$H$500,$A92)&amp;"")</f>
        <v/>
      </c>
      <c r="F92" s="32" t="str">
        <f>IF($A92="","",INDEX(Каталог!$B$4:$B$500,$A92)&amp;"")</f>
        <v/>
      </c>
      <c r="G92" s="32" t="str">
        <f>IF($A92="","",INDEX(Каталог!$M$4:$M$500,$A92)&amp;"")</f>
        <v/>
      </c>
      <c r="H92" s="32" t="str">
        <f>IF($A92="","",INDEX(Каталог!$P$4:$P$500,$A92))</f>
        <v/>
      </c>
      <c r="I92" s="5"/>
      <c r="J92" s="5"/>
    </row>
    <row r="93" spans="1:10" x14ac:dyDescent="0.3">
      <c r="A93" s="29" t="str">
        <f>IFERROR(MATCH(ROW()-3,Каталог!$AF$4:$AF$500,0),"")</f>
        <v/>
      </c>
      <c r="B93" s="29" t="str">
        <f t="shared" si="2"/>
        <v/>
      </c>
      <c r="C93" s="30" t="str">
        <f>IF($A93="","",INDEX(Каталог!$G$4:$G$500,$A93)&amp;"")</f>
        <v/>
      </c>
      <c r="D93" s="33"/>
      <c r="E93" s="31" t="str">
        <f>IF($A93="","",INDEX(Каталог!$H$4:$H$500,$A93)&amp;"")</f>
        <v/>
      </c>
      <c r="F93" s="32" t="str">
        <f>IF($A93="","",INDEX(Каталог!$B$4:$B$500,$A93)&amp;"")</f>
        <v/>
      </c>
      <c r="G93" s="32" t="str">
        <f>IF($A93="","",INDEX(Каталог!$M$4:$M$500,$A93)&amp;"")</f>
        <v/>
      </c>
      <c r="H93" s="32" t="str">
        <f>IF($A93="","",INDEX(Каталог!$P$4:$P$500,$A93))</f>
        <v/>
      </c>
      <c r="I93" s="5"/>
      <c r="J93" s="5"/>
    </row>
    <row r="94" spans="1:10" x14ac:dyDescent="0.3">
      <c r="A94" s="29" t="str">
        <f>IFERROR(MATCH(ROW()-3,Каталог!$AF$4:$AF$500,0),"")</f>
        <v/>
      </c>
      <c r="B94" s="29" t="str">
        <f t="shared" si="2"/>
        <v/>
      </c>
      <c r="C94" s="30" t="str">
        <f>IF($A94="","",INDEX(Каталог!$G$4:$G$500,$A94)&amp;"")</f>
        <v/>
      </c>
      <c r="D94" s="33"/>
      <c r="E94" s="31" t="str">
        <f>IF($A94="","",INDEX(Каталог!$H$4:$H$500,$A94)&amp;"")</f>
        <v/>
      </c>
      <c r="F94" s="32" t="str">
        <f>IF($A94="","",INDEX(Каталог!$B$4:$B$500,$A94)&amp;"")</f>
        <v/>
      </c>
      <c r="G94" s="32" t="str">
        <f>IF($A94="","",INDEX(Каталог!$M$4:$M$500,$A94)&amp;"")</f>
        <v/>
      </c>
      <c r="H94" s="32" t="str">
        <f>IF($A94="","",INDEX(Каталог!$P$4:$P$500,$A94))</f>
        <v/>
      </c>
      <c r="I94" s="5"/>
      <c r="J94" s="5"/>
    </row>
    <row r="95" spans="1:10" x14ac:dyDescent="0.3">
      <c r="A95" s="29" t="str">
        <f>IFERROR(MATCH(ROW()-3,Каталог!$AF$4:$AF$500,0),"")</f>
        <v/>
      </c>
      <c r="B95" s="29" t="str">
        <f t="shared" si="2"/>
        <v/>
      </c>
      <c r="C95" s="30" t="str">
        <f>IF($A95="","",INDEX(Каталог!$G$4:$G$500,$A95)&amp;"")</f>
        <v/>
      </c>
      <c r="D95" s="33"/>
      <c r="E95" s="31" t="str">
        <f>IF($A95="","",INDEX(Каталог!$H$4:$H$500,$A95)&amp;"")</f>
        <v/>
      </c>
      <c r="F95" s="32" t="str">
        <f>IF($A95="","",INDEX(Каталог!$B$4:$B$500,$A95)&amp;"")</f>
        <v/>
      </c>
      <c r="G95" s="32" t="str">
        <f>IF($A95="","",INDEX(Каталог!$M$4:$M$500,$A95)&amp;"")</f>
        <v/>
      </c>
      <c r="H95" s="32" t="str">
        <f>IF($A95="","",INDEX(Каталог!$P$4:$P$500,$A95))</f>
        <v/>
      </c>
      <c r="I95" s="5"/>
      <c r="J95" s="5"/>
    </row>
    <row r="96" spans="1:10" x14ac:dyDescent="0.3">
      <c r="A96" s="29" t="str">
        <f>IFERROR(MATCH(ROW()-3,Каталог!$AF$4:$AF$500,0),"")</f>
        <v/>
      </c>
      <c r="B96" s="29" t="str">
        <f t="shared" si="2"/>
        <v/>
      </c>
      <c r="C96" s="30" t="str">
        <f>IF($A96="","",INDEX(Каталог!$G$4:$G$500,$A96)&amp;"")</f>
        <v/>
      </c>
      <c r="D96" s="33"/>
      <c r="E96" s="31" t="str">
        <f>IF($A96="","",INDEX(Каталог!$H$4:$H$500,$A96)&amp;"")</f>
        <v/>
      </c>
      <c r="F96" s="32" t="str">
        <f>IF($A96="","",INDEX(Каталог!$B$4:$B$500,$A96)&amp;"")</f>
        <v/>
      </c>
      <c r="G96" s="32" t="str">
        <f>IF($A96="","",INDEX(Каталог!$M$4:$M$500,$A96)&amp;"")</f>
        <v/>
      </c>
      <c r="H96" s="32" t="str">
        <f>IF($A96="","",INDEX(Каталог!$P$4:$P$500,$A96))</f>
        <v/>
      </c>
      <c r="I96" s="5"/>
      <c r="J96" s="5"/>
    </row>
    <row r="97" spans="1:10" x14ac:dyDescent="0.3">
      <c r="A97" s="29" t="str">
        <f>IFERROR(MATCH(ROW()-3,Каталог!$AF$4:$AF$500,0),"")</f>
        <v/>
      </c>
      <c r="B97" s="29" t="str">
        <f t="shared" si="2"/>
        <v/>
      </c>
      <c r="C97" s="30" t="str">
        <f>IF($A97="","",INDEX(Каталог!$G$4:$G$500,$A97)&amp;"")</f>
        <v/>
      </c>
      <c r="D97" s="33"/>
      <c r="E97" s="31" t="str">
        <f>IF($A97="","",INDEX(Каталог!$H$4:$H$500,$A97)&amp;"")</f>
        <v/>
      </c>
      <c r="F97" s="32" t="str">
        <f>IF($A97="","",INDEX(Каталог!$B$4:$B$500,$A97)&amp;"")</f>
        <v/>
      </c>
      <c r="G97" s="32" t="str">
        <f>IF($A97="","",INDEX(Каталог!$M$4:$M$500,$A97)&amp;"")</f>
        <v/>
      </c>
      <c r="H97" s="32" t="str">
        <f>IF($A97="","",INDEX(Каталог!$P$4:$P$500,$A97))</f>
        <v/>
      </c>
      <c r="I97" s="5"/>
      <c r="J97" s="5"/>
    </row>
    <row r="98" spans="1:10" x14ac:dyDescent="0.3">
      <c r="A98" s="29" t="str">
        <f>IFERROR(MATCH(ROW()-3,Каталог!$AF$4:$AF$500,0),"")</f>
        <v/>
      </c>
      <c r="B98" s="29" t="str">
        <f t="shared" si="2"/>
        <v/>
      </c>
      <c r="C98" s="30" t="str">
        <f>IF($A98="","",INDEX(Каталог!$G$4:$G$500,$A98)&amp;"")</f>
        <v/>
      </c>
      <c r="D98" s="33"/>
      <c r="E98" s="31" t="str">
        <f>IF($A98="","",INDEX(Каталог!$H$4:$H$500,$A98)&amp;"")</f>
        <v/>
      </c>
      <c r="F98" s="32" t="str">
        <f>IF($A98="","",INDEX(Каталог!$B$4:$B$500,$A98)&amp;"")</f>
        <v/>
      </c>
      <c r="G98" s="32" t="str">
        <f>IF($A98="","",INDEX(Каталог!$M$4:$M$500,$A98)&amp;"")</f>
        <v/>
      </c>
      <c r="H98" s="32" t="str">
        <f>IF($A98="","",INDEX(Каталог!$P$4:$P$500,$A98))</f>
        <v/>
      </c>
      <c r="I98" s="5"/>
      <c r="J98" s="5"/>
    </row>
    <row r="99" spans="1:10" x14ac:dyDescent="0.3">
      <c r="A99" s="29" t="str">
        <f>IFERROR(MATCH(ROW()-3,Каталог!$AF$4:$AF$500,0),"")</f>
        <v/>
      </c>
      <c r="B99" s="29" t="str">
        <f t="shared" si="2"/>
        <v/>
      </c>
      <c r="C99" s="30" t="str">
        <f>IF($A99="","",INDEX(Каталог!$G$4:$G$500,$A99)&amp;"")</f>
        <v/>
      </c>
      <c r="D99" s="33"/>
      <c r="E99" s="31" t="str">
        <f>IF($A99="","",INDEX(Каталог!$H$4:$H$500,$A99)&amp;"")</f>
        <v/>
      </c>
      <c r="F99" s="32" t="str">
        <f>IF($A99="","",INDEX(Каталог!$B$4:$B$500,$A99)&amp;"")</f>
        <v/>
      </c>
      <c r="G99" s="32" t="str">
        <f>IF($A99="","",INDEX(Каталог!$M$4:$M$500,$A99)&amp;"")</f>
        <v/>
      </c>
      <c r="H99" s="32" t="str">
        <f>IF($A99="","",INDEX(Каталог!$P$4:$P$500,$A99))</f>
        <v/>
      </c>
      <c r="I99" s="5"/>
      <c r="J99" s="5"/>
    </row>
    <row r="100" spans="1:10" x14ac:dyDescent="0.3">
      <c r="A100" s="29" t="str">
        <f>IFERROR(MATCH(ROW()-3,Каталог!$AF$4:$AF$500,0),"")</f>
        <v/>
      </c>
      <c r="B100" s="29" t="str">
        <f t="shared" ref="B100:B131" si="3">IF($A100="","",$B$3&amp;"."&amp;(ROW()-3))</f>
        <v/>
      </c>
      <c r="C100" s="30" t="str">
        <f>IF($A100="","",INDEX(Каталог!$G$4:$G$500,$A100)&amp;"")</f>
        <v/>
      </c>
      <c r="D100" s="33"/>
      <c r="E100" s="31" t="str">
        <f>IF($A100="","",INDEX(Каталог!$H$4:$H$500,$A100)&amp;"")</f>
        <v/>
      </c>
      <c r="F100" s="32" t="str">
        <f>IF($A100="","",INDEX(Каталог!$B$4:$B$500,$A100)&amp;"")</f>
        <v/>
      </c>
      <c r="G100" s="32" t="str">
        <f>IF($A100="","",INDEX(Каталог!$M$4:$M$500,$A100)&amp;"")</f>
        <v/>
      </c>
      <c r="H100" s="32" t="str">
        <f>IF($A100="","",INDEX(Каталог!$P$4:$P$500,$A100))</f>
        <v/>
      </c>
      <c r="I100" s="5"/>
      <c r="J100" s="5"/>
    </row>
    <row r="101" spans="1:10" x14ac:dyDescent="0.3">
      <c r="A101" s="29" t="str">
        <f>IFERROR(MATCH(ROW()-3,Каталог!$AF$4:$AF$500,0),"")</f>
        <v/>
      </c>
      <c r="B101" s="29" t="str">
        <f t="shared" si="3"/>
        <v/>
      </c>
      <c r="C101" s="30" t="str">
        <f>IF($A101="","",INDEX(Каталог!$G$4:$G$500,$A101)&amp;"")</f>
        <v/>
      </c>
      <c r="D101" s="33"/>
      <c r="E101" s="31" t="str">
        <f>IF($A101="","",INDEX(Каталог!$H$4:$H$500,$A101)&amp;"")</f>
        <v/>
      </c>
      <c r="F101" s="32" t="str">
        <f>IF($A101="","",INDEX(Каталог!$B$4:$B$500,$A101)&amp;"")</f>
        <v/>
      </c>
      <c r="G101" s="32" t="str">
        <f>IF($A101="","",INDEX(Каталог!$M$4:$M$500,$A101)&amp;"")</f>
        <v/>
      </c>
      <c r="H101" s="32" t="str">
        <f>IF($A101="","",INDEX(Каталог!$P$4:$P$500,$A101))</f>
        <v/>
      </c>
      <c r="I101" s="5"/>
      <c r="J101" s="5"/>
    </row>
    <row r="102" spans="1:10" x14ac:dyDescent="0.3">
      <c r="A102" s="29" t="str">
        <f>IFERROR(MATCH(ROW()-3,Каталог!$AF$4:$AF$500,0),"")</f>
        <v/>
      </c>
      <c r="B102" s="29" t="str">
        <f t="shared" si="3"/>
        <v/>
      </c>
      <c r="C102" s="30" t="str">
        <f>IF($A102="","",INDEX(Каталог!$G$4:$G$500,$A102)&amp;"")</f>
        <v/>
      </c>
      <c r="D102" s="33"/>
      <c r="E102" s="31" t="str">
        <f>IF($A102="","",INDEX(Каталог!$H$4:$H$500,$A102)&amp;"")</f>
        <v/>
      </c>
      <c r="F102" s="32" t="str">
        <f>IF($A102="","",INDEX(Каталог!$B$4:$B$500,$A102)&amp;"")</f>
        <v/>
      </c>
      <c r="G102" s="32" t="str">
        <f>IF($A102="","",INDEX(Каталог!$M$4:$M$500,$A102)&amp;"")</f>
        <v/>
      </c>
      <c r="H102" s="32" t="str">
        <f>IF($A102="","",INDEX(Каталог!$P$4:$P$500,$A102))</f>
        <v/>
      </c>
      <c r="I102" s="5"/>
      <c r="J102" s="5"/>
    </row>
    <row r="103" spans="1:10" x14ac:dyDescent="0.3">
      <c r="A103" s="29" t="str">
        <f>IFERROR(MATCH(ROW()-3,Каталог!$AF$4:$AF$500,0),"")</f>
        <v/>
      </c>
      <c r="B103" s="29" t="str">
        <f t="shared" si="3"/>
        <v/>
      </c>
      <c r="C103" s="30" t="str">
        <f>IF($A103="","",INDEX(Каталог!$G$4:$G$500,$A103)&amp;"")</f>
        <v/>
      </c>
      <c r="D103" s="33"/>
      <c r="E103" s="31" t="str">
        <f>IF($A103="","",INDEX(Каталог!$H$4:$H$500,$A103)&amp;"")</f>
        <v/>
      </c>
      <c r="F103" s="32" t="str">
        <f>IF($A103="","",INDEX(Каталог!$B$4:$B$500,$A103)&amp;"")</f>
        <v/>
      </c>
      <c r="G103" s="32" t="str">
        <f>IF($A103="","",INDEX(Каталог!$M$4:$M$500,$A103)&amp;"")</f>
        <v/>
      </c>
      <c r="H103" s="32" t="str">
        <f>IF($A103="","",INDEX(Каталог!$P$4:$P$500,$A103))</f>
        <v/>
      </c>
      <c r="I103" s="5"/>
      <c r="J103" s="5"/>
    </row>
    <row r="104" spans="1:10" x14ac:dyDescent="0.3">
      <c r="A104" s="29" t="str">
        <f>IFERROR(MATCH(ROW()-3,Каталог!$AF$4:$AF$500,0),"")</f>
        <v/>
      </c>
      <c r="B104" s="29" t="str">
        <f t="shared" si="3"/>
        <v/>
      </c>
      <c r="C104" s="30" t="str">
        <f>IF($A104="","",INDEX(Каталог!$G$4:$G$500,$A104)&amp;"")</f>
        <v/>
      </c>
      <c r="D104" s="33"/>
      <c r="E104" s="31" t="str">
        <f>IF($A104="","",INDEX(Каталог!$H$4:$H$500,$A104)&amp;"")</f>
        <v/>
      </c>
      <c r="F104" s="32" t="str">
        <f>IF($A104="","",INDEX(Каталог!$B$4:$B$500,$A104)&amp;"")</f>
        <v/>
      </c>
      <c r="G104" s="32" t="str">
        <f>IF($A104="","",INDEX(Каталог!$M$4:$M$500,$A104)&amp;"")</f>
        <v/>
      </c>
      <c r="H104" s="32" t="str">
        <f>IF($A104="","",INDEX(Каталог!$P$4:$P$500,$A104))</f>
        <v/>
      </c>
      <c r="I104" s="5"/>
      <c r="J104" s="5"/>
    </row>
    <row r="105" spans="1:10" x14ac:dyDescent="0.3">
      <c r="A105" s="29" t="str">
        <f>IFERROR(MATCH(ROW()-3,Каталог!$AF$4:$AF$500,0),"")</f>
        <v/>
      </c>
      <c r="B105" s="29" t="str">
        <f t="shared" si="3"/>
        <v/>
      </c>
      <c r="C105" s="30" t="str">
        <f>IF($A105="","",INDEX(Каталог!$G$4:$G$500,$A105)&amp;"")</f>
        <v/>
      </c>
      <c r="D105" s="33"/>
      <c r="E105" s="31" t="str">
        <f>IF($A105="","",INDEX(Каталог!$H$4:$H$500,$A105)&amp;"")</f>
        <v/>
      </c>
      <c r="F105" s="32" t="str">
        <f>IF($A105="","",INDEX(Каталог!$B$4:$B$500,$A105)&amp;"")</f>
        <v/>
      </c>
      <c r="G105" s="32" t="str">
        <f>IF($A105="","",INDEX(Каталог!$M$4:$M$500,$A105)&amp;"")</f>
        <v/>
      </c>
      <c r="H105" s="32" t="str">
        <f>IF($A105="","",INDEX(Каталог!$P$4:$P$500,$A105))</f>
        <v/>
      </c>
      <c r="I105" s="5"/>
      <c r="J105" s="5"/>
    </row>
    <row r="106" spans="1:10" x14ac:dyDescent="0.3">
      <c r="A106" s="29" t="str">
        <f>IFERROR(MATCH(ROW()-3,Каталог!$AF$4:$AF$500,0),"")</f>
        <v/>
      </c>
      <c r="B106" s="29" t="str">
        <f t="shared" si="3"/>
        <v/>
      </c>
      <c r="C106" s="30" t="str">
        <f>IF($A106="","",INDEX(Каталог!$G$4:$G$500,$A106)&amp;"")</f>
        <v/>
      </c>
      <c r="D106" s="33"/>
      <c r="E106" s="31" t="str">
        <f>IF($A106="","",INDEX(Каталог!$H$4:$H$500,$A106)&amp;"")</f>
        <v/>
      </c>
      <c r="F106" s="32" t="str">
        <f>IF($A106="","",INDEX(Каталог!$B$4:$B$500,$A106)&amp;"")</f>
        <v/>
      </c>
      <c r="G106" s="32" t="str">
        <f>IF($A106="","",INDEX(Каталог!$M$4:$M$500,$A106)&amp;"")</f>
        <v/>
      </c>
      <c r="H106" s="32" t="str">
        <f>IF($A106="","",INDEX(Каталог!$P$4:$P$500,$A106))</f>
        <v/>
      </c>
      <c r="I106" s="5"/>
      <c r="J106" s="5"/>
    </row>
    <row r="107" spans="1:10" x14ac:dyDescent="0.3">
      <c r="A107" s="29" t="str">
        <f>IFERROR(MATCH(ROW()-3,Каталог!$AF$4:$AF$500,0),"")</f>
        <v/>
      </c>
      <c r="B107" s="29" t="str">
        <f t="shared" si="3"/>
        <v/>
      </c>
      <c r="C107" s="30" t="str">
        <f>IF($A107="","",INDEX(Каталог!$G$4:$G$500,$A107)&amp;"")</f>
        <v/>
      </c>
      <c r="D107" s="33"/>
      <c r="E107" s="31" t="str">
        <f>IF($A107="","",INDEX(Каталог!$H$4:$H$500,$A107)&amp;"")</f>
        <v/>
      </c>
      <c r="F107" s="32" t="str">
        <f>IF($A107="","",INDEX(Каталог!$B$4:$B$500,$A107)&amp;"")</f>
        <v/>
      </c>
      <c r="G107" s="32" t="str">
        <f>IF($A107="","",INDEX(Каталог!$M$4:$M$500,$A107)&amp;"")</f>
        <v/>
      </c>
      <c r="H107" s="32" t="str">
        <f>IF($A107="","",INDEX(Каталог!$P$4:$P$500,$A107))</f>
        <v/>
      </c>
      <c r="I107" s="5"/>
      <c r="J107" s="5"/>
    </row>
    <row r="108" spans="1:10" x14ac:dyDescent="0.3">
      <c r="A108" s="29" t="str">
        <f>IFERROR(MATCH(ROW()-3,Каталог!$AF$4:$AF$500,0),"")</f>
        <v/>
      </c>
      <c r="B108" s="29" t="str">
        <f t="shared" si="3"/>
        <v/>
      </c>
      <c r="C108" s="30" t="str">
        <f>IF($A108="","",INDEX(Каталог!$G$4:$G$500,$A108)&amp;"")</f>
        <v/>
      </c>
      <c r="D108" s="33"/>
      <c r="E108" s="31" t="str">
        <f>IF($A108="","",INDEX(Каталог!$H$4:$H$500,$A108)&amp;"")</f>
        <v/>
      </c>
      <c r="F108" s="32" t="str">
        <f>IF($A108="","",INDEX(Каталог!$B$4:$B$500,$A108)&amp;"")</f>
        <v/>
      </c>
      <c r="G108" s="32" t="str">
        <f>IF($A108="","",INDEX(Каталог!$M$4:$M$500,$A108)&amp;"")</f>
        <v/>
      </c>
      <c r="H108" s="32" t="str">
        <f>IF($A108="","",INDEX(Каталог!$P$4:$P$500,$A108))</f>
        <v/>
      </c>
      <c r="I108" s="5"/>
      <c r="J108" s="5"/>
    </row>
    <row r="109" spans="1:10" x14ac:dyDescent="0.3">
      <c r="A109" s="29" t="str">
        <f>IFERROR(MATCH(ROW()-3,Каталог!$AF$4:$AF$500,0),"")</f>
        <v/>
      </c>
      <c r="B109" s="29" t="str">
        <f t="shared" si="3"/>
        <v/>
      </c>
      <c r="C109" s="30" t="str">
        <f>IF($A109="","",INDEX(Каталог!$G$4:$G$500,$A109)&amp;"")</f>
        <v/>
      </c>
      <c r="D109" s="33"/>
      <c r="E109" s="31" t="str">
        <f>IF($A109="","",INDEX(Каталог!$H$4:$H$500,$A109)&amp;"")</f>
        <v/>
      </c>
      <c r="F109" s="32" t="str">
        <f>IF($A109="","",INDEX(Каталог!$B$4:$B$500,$A109)&amp;"")</f>
        <v/>
      </c>
      <c r="G109" s="32" t="str">
        <f>IF($A109="","",INDEX(Каталог!$M$4:$M$500,$A109)&amp;"")</f>
        <v/>
      </c>
      <c r="H109" s="32" t="str">
        <f>IF($A109="","",INDEX(Каталог!$P$4:$P$500,$A109))</f>
        <v/>
      </c>
      <c r="I109" s="5"/>
      <c r="J109" s="5"/>
    </row>
    <row r="110" spans="1:10" x14ac:dyDescent="0.3">
      <c r="A110" s="29" t="str">
        <f>IFERROR(MATCH(ROW()-3,Каталог!$AF$4:$AF$500,0),"")</f>
        <v/>
      </c>
      <c r="B110" s="29" t="str">
        <f t="shared" si="3"/>
        <v/>
      </c>
      <c r="C110" s="30" t="str">
        <f>IF($A110="","",INDEX(Каталог!$G$4:$G$500,$A110)&amp;"")</f>
        <v/>
      </c>
      <c r="D110" s="33"/>
      <c r="E110" s="31" t="str">
        <f>IF($A110="","",INDEX(Каталог!$H$4:$H$500,$A110)&amp;"")</f>
        <v/>
      </c>
      <c r="F110" s="32" t="str">
        <f>IF($A110="","",INDEX(Каталог!$B$4:$B$500,$A110)&amp;"")</f>
        <v/>
      </c>
      <c r="G110" s="32" t="str">
        <f>IF($A110="","",INDEX(Каталог!$M$4:$M$500,$A110)&amp;"")</f>
        <v/>
      </c>
      <c r="H110" s="32" t="str">
        <f>IF($A110="","",INDEX(Каталог!$P$4:$P$500,$A110))</f>
        <v/>
      </c>
      <c r="I110" s="5"/>
      <c r="J110" s="5"/>
    </row>
    <row r="111" spans="1:10" x14ac:dyDescent="0.3">
      <c r="A111" s="29" t="str">
        <f>IFERROR(MATCH(ROW()-3,Каталог!$AF$4:$AF$500,0),"")</f>
        <v/>
      </c>
      <c r="B111" s="29" t="str">
        <f t="shared" si="3"/>
        <v/>
      </c>
      <c r="C111" s="30" t="str">
        <f>IF($A111="","",INDEX(Каталог!$G$4:$G$500,$A111)&amp;"")</f>
        <v/>
      </c>
      <c r="D111" s="33"/>
      <c r="E111" s="31" t="str">
        <f>IF($A111="","",INDEX(Каталог!$H$4:$H$500,$A111)&amp;"")</f>
        <v/>
      </c>
      <c r="F111" s="32" t="str">
        <f>IF($A111="","",INDEX(Каталог!$B$4:$B$500,$A111)&amp;"")</f>
        <v/>
      </c>
      <c r="G111" s="32" t="str">
        <f>IF($A111="","",INDEX(Каталог!$M$4:$M$500,$A111)&amp;"")</f>
        <v/>
      </c>
      <c r="H111" s="32" t="str">
        <f>IF($A111="","",INDEX(Каталог!$P$4:$P$500,$A111))</f>
        <v/>
      </c>
      <c r="I111" s="5"/>
      <c r="J111" s="5"/>
    </row>
    <row r="112" spans="1:10" x14ac:dyDescent="0.3">
      <c r="A112" s="29" t="str">
        <f>IFERROR(MATCH(ROW()-3,Каталог!$AF$4:$AF$500,0),"")</f>
        <v/>
      </c>
      <c r="B112" s="29" t="str">
        <f t="shared" si="3"/>
        <v/>
      </c>
      <c r="C112" s="30" t="str">
        <f>IF($A112="","",INDEX(Каталог!$G$4:$G$500,$A112)&amp;"")</f>
        <v/>
      </c>
      <c r="D112" s="33"/>
      <c r="E112" s="31" t="str">
        <f>IF($A112="","",INDEX(Каталог!$H$4:$H$500,$A112)&amp;"")</f>
        <v/>
      </c>
      <c r="F112" s="32" t="str">
        <f>IF($A112="","",INDEX(Каталог!$B$4:$B$500,$A112)&amp;"")</f>
        <v/>
      </c>
      <c r="G112" s="32" t="str">
        <f>IF($A112="","",INDEX(Каталог!$M$4:$M$500,$A112)&amp;"")</f>
        <v/>
      </c>
      <c r="H112" s="32" t="str">
        <f>IF($A112="","",INDEX(Каталог!$P$4:$P$500,$A112))</f>
        <v/>
      </c>
      <c r="I112" s="5"/>
      <c r="J112" s="5"/>
    </row>
    <row r="113" spans="1:10" x14ac:dyDescent="0.3">
      <c r="A113" s="29" t="str">
        <f>IFERROR(MATCH(ROW()-3,Каталог!$AF$4:$AF$500,0),"")</f>
        <v/>
      </c>
      <c r="B113" s="29" t="str">
        <f t="shared" si="3"/>
        <v/>
      </c>
      <c r="C113" s="30" t="str">
        <f>IF($A113="","",INDEX(Каталог!$G$4:$G$500,$A113)&amp;"")</f>
        <v/>
      </c>
      <c r="D113" s="33"/>
      <c r="E113" s="31" t="str">
        <f>IF($A113="","",INDEX(Каталог!$H$4:$H$500,$A113)&amp;"")</f>
        <v/>
      </c>
      <c r="F113" s="32" t="str">
        <f>IF($A113="","",INDEX(Каталог!$B$4:$B$500,$A113)&amp;"")</f>
        <v/>
      </c>
      <c r="G113" s="32" t="str">
        <f>IF($A113="","",INDEX(Каталог!$M$4:$M$500,$A113)&amp;"")</f>
        <v/>
      </c>
      <c r="H113" s="32" t="str">
        <f>IF($A113="","",INDEX(Каталог!$P$4:$P$500,$A113))</f>
        <v/>
      </c>
      <c r="I113" s="5"/>
      <c r="J113" s="5"/>
    </row>
    <row r="114" spans="1:10" x14ac:dyDescent="0.3">
      <c r="A114" s="29" t="str">
        <f>IFERROR(MATCH(ROW()-3,Каталог!$AF$4:$AF$500,0),"")</f>
        <v/>
      </c>
      <c r="B114" s="29" t="str">
        <f t="shared" si="3"/>
        <v/>
      </c>
      <c r="C114" s="30" t="str">
        <f>IF($A114="","",INDEX(Каталог!$G$4:$G$500,$A114)&amp;"")</f>
        <v/>
      </c>
      <c r="D114" s="33"/>
      <c r="E114" s="31" t="str">
        <f>IF($A114="","",INDEX(Каталог!$H$4:$H$500,$A114)&amp;"")</f>
        <v/>
      </c>
      <c r="F114" s="32" t="str">
        <f>IF($A114="","",INDEX(Каталог!$B$4:$B$500,$A114)&amp;"")</f>
        <v/>
      </c>
      <c r="G114" s="32" t="str">
        <f>IF($A114="","",INDEX(Каталог!$M$4:$M$500,$A114)&amp;"")</f>
        <v/>
      </c>
      <c r="H114" s="32" t="str">
        <f>IF($A114="","",INDEX(Каталог!$P$4:$P$500,$A114))</f>
        <v/>
      </c>
      <c r="I114" s="5"/>
      <c r="J114" s="5"/>
    </row>
    <row r="115" spans="1:10" x14ac:dyDescent="0.3">
      <c r="A115" s="29" t="str">
        <f>IFERROR(MATCH(ROW()-3,Каталог!$AF$4:$AF$500,0),"")</f>
        <v/>
      </c>
      <c r="B115" s="29" t="str">
        <f t="shared" si="3"/>
        <v/>
      </c>
      <c r="C115" s="30" t="str">
        <f>IF($A115="","",INDEX(Каталог!$G$4:$G$500,$A115)&amp;"")</f>
        <v/>
      </c>
      <c r="D115" s="33"/>
      <c r="E115" s="31" t="str">
        <f>IF($A115="","",INDEX(Каталог!$H$4:$H$500,$A115)&amp;"")</f>
        <v/>
      </c>
      <c r="F115" s="32" t="str">
        <f>IF($A115="","",INDEX(Каталог!$B$4:$B$500,$A115)&amp;"")</f>
        <v/>
      </c>
      <c r="G115" s="32" t="str">
        <f>IF($A115="","",INDEX(Каталог!$M$4:$M$500,$A115)&amp;"")</f>
        <v/>
      </c>
      <c r="H115" s="32" t="str">
        <f>IF($A115="","",INDEX(Каталог!$P$4:$P$500,$A115))</f>
        <v/>
      </c>
      <c r="I115" s="5"/>
      <c r="J115" s="5"/>
    </row>
    <row r="116" spans="1:10" x14ac:dyDescent="0.3">
      <c r="A116" s="29" t="str">
        <f>IFERROR(MATCH(ROW()-3,Каталог!$AF$4:$AF$500,0),"")</f>
        <v/>
      </c>
      <c r="B116" s="29" t="str">
        <f t="shared" si="3"/>
        <v/>
      </c>
      <c r="C116" s="30" t="str">
        <f>IF($A116="","",INDEX(Каталог!$G$4:$G$500,$A116)&amp;"")</f>
        <v/>
      </c>
      <c r="D116" s="33"/>
      <c r="E116" s="31" t="str">
        <f>IF($A116="","",INDEX(Каталог!$H$4:$H$500,$A116)&amp;"")</f>
        <v/>
      </c>
      <c r="F116" s="32" t="str">
        <f>IF($A116="","",INDEX(Каталог!$B$4:$B$500,$A116)&amp;"")</f>
        <v/>
      </c>
      <c r="G116" s="32" t="str">
        <f>IF($A116="","",INDEX(Каталог!$M$4:$M$500,$A116)&amp;"")</f>
        <v/>
      </c>
      <c r="H116" s="32" t="str">
        <f>IF($A116="","",INDEX(Каталог!$P$4:$P$500,$A116))</f>
        <v/>
      </c>
      <c r="I116" s="5"/>
      <c r="J116" s="5"/>
    </row>
    <row r="117" spans="1:10" x14ac:dyDescent="0.3">
      <c r="A117" s="29" t="str">
        <f>IFERROR(MATCH(ROW()-3,Каталог!$AF$4:$AF$500,0),"")</f>
        <v/>
      </c>
      <c r="B117" s="29" t="str">
        <f t="shared" si="3"/>
        <v/>
      </c>
      <c r="C117" s="30" t="str">
        <f>IF($A117="","",INDEX(Каталог!$G$4:$G$500,$A117)&amp;"")</f>
        <v/>
      </c>
      <c r="D117" s="33"/>
      <c r="E117" s="31" t="str">
        <f>IF($A117="","",INDEX(Каталог!$H$4:$H$500,$A117)&amp;"")</f>
        <v/>
      </c>
      <c r="F117" s="32" t="str">
        <f>IF($A117="","",INDEX(Каталог!$B$4:$B$500,$A117)&amp;"")</f>
        <v/>
      </c>
      <c r="G117" s="32" t="str">
        <f>IF($A117="","",INDEX(Каталог!$M$4:$M$500,$A117)&amp;"")</f>
        <v/>
      </c>
      <c r="H117" s="32" t="str">
        <f>IF($A117="","",INDEX(Каталог!$P$4:$P$500,$A117))</f>
        <v/>
      </c>
      <c r="I117" s="5"/>
      <c r="J117" s="5"/>
    </row>
    <row r="118" spans="1:10" x14ac:dyDescent="0.3">
      <c r="A118" s="29" t="str">
        <f>IFERROR(MATCH(ROW()-3,Каталог!$AF$4:$AF$500,0),"")</f>
        <v/>
      </c>
      <c r="B118" s="29" t="str">
        <f t="shared" si="3"/>
        <v/>
      </c>
      <c r="C118" s="30" t="str">
        <f>IF($A118="","",INDEX(Каталог!$G$4:$G$500,$A118)&amp;"")</f>
        <v/>
      </c>
      <c r="D118" s="33"/>
      <c r="E118" s="31" t="str">
        <f>IF($A118="","",INDEX(Каталог!$H$4:$H$500,$A118)&amp;"")</f>
        <v/>
      </c>
      <c r="F118" s="32" t="str">
        <f>IF($A118="","",INDEX(Каталог!$B$4:$B$500,$A118)&amp;"")</f>
        <v/>
      </c>
      <c r="G118" s="32" t="str">
        <f>IF($A118="","",INDEX(Каталог!$M$4:$M$500,$A118)&amp;"")</f>
        <v/>
      </c>
      <c r="H118" s="32" t="str">
        <f>IF($A118="","",INDEX(Каталог!$P$4:$P$500,$A118))</f>
        <v/>
      </c>
      <c r="I118" s="5"/>
      <c r="J118" s="5"/>
    </row>
    <row r="119" spans="1:10" x14ac:dyDescent="0.3">
      <c r="A119" s="29" t="str">
        <f>IFERROR(MATCH(ROW()-3,Каталог!$AF$4:$AF$500,0),"")</f>
        <v/>
      </c>
      <c r="B119" s="29" t="str">
        <f t="shared" si="3"/>
        <v/>
      </c>
      <c r="C119" s="30" t="str">
        <f>IF($A119="","",INDEX(Каталог!$G$4:$G$500,$A119)&amp;"")</f>
        <v/>
      </c>
      <c r="D119" s="33"/>
      <c r="E119" s="31" t="str">
        <f>IF($A119="","",INDEX(Каталог!$H$4:$H$500,$A119)&amp;"")</f>
        <v/>
      </c>
      <c r="F119" s="32" t="str">
        <f>IF($A119="","",INDEX(Каталог!$B$4:$B$500,$A119)&amp;"")</f>
        <v/>
      </c>
      <c r="G119" s="32" t="str">
        <f>IF($A119="","",INDEX(Каталог!$M$4:$M$500,$A119)&amp;"")</f>
        <v/>
      </c>
      <c r="H119" s="32" t="str">
        <f>IF($A119="","",INDEX(Каталог!$P$4:$P$500,$A119))</f>
        <v/>
      </c>
      <c r="I119" s="5"/>
      <c r="J119" s="5"/>
    </row>
    <row r="120" spans="1:10" x14ac:dyDescent="0.3">
      <c r="A120" s="29" t="str">
        <f>IFERROR(MATCH(ROW()-3,Каталог!$AF$4:$AF$500,0),"")</f>
        <v/>
      </c>
      <c r="B120" s="29" t="str">
        <f t="shared" si="3"/>
        <v/>
      </c>
      <c r="C120" s="30" t="str">
        <f>IF($A120="","",INDEX(Каталог!$G$4:$G$500,$A120)&amp;"")</f>
        <v/>
      </c>
      <c r="D120" s="33"/>
      <c r="E120" s="31" t="str">
        <f>IF($A120="","",INDEX(Каталог!$H$4:$H$500,$A120)&amp;"")</f>
        <v/>
      </c>
      <c r="F120" s="32" t="str">
        <f>IF($A120="","",INDEX(Каталог!$B$4:$B$500,$A120)&amp;"")</f>
        <v/>
      </c>
      <c r="G120" s="32" t="str">
        <f>IF($A120="","",INDEX(Каталог!$M$4:$M$500,$A120)&amp;"")</f>
        <v/>
      </c>
      <c r="H120" s="32" t="str">
        <f>IF($A120="","",INDEX(Каталог!$P$4:$P$500,$A120))</f>
        <v/>
      </c>
      <c r="I120" s="5"/>
      <c r="J120" s="5"/>
    </row>
    <row r="121" spans="1:10" x14ac:dyDescent="0.3">
      <c r="A121" s="29" t="str">
        <f>IFERROR(MATCH(ROW()-3,Каталог!$AF$4:$AF$500,0),"")</f>
        <v/>
      </c>
      <c r="B121" s="29" t="str">
        <f t="shared" si="3"/>
        <v/>
      </c>
      <c r="C121" s="30" t="str">
        <f>IF($A121="","",INDEX(Каталог!$G$4:$G$500,$A121)&amp;"")</f>
        <v/>
      </c>
      <c r="D121" s="33"/>
      <c r="E121" s="31" t="str">
        <f>IF($A121="","",INDEX(Каталог!$H$4:$H$500,$A121)&amp;"")</f>
        <v/>
      </c>
      <c r="F121" s="32" t="str">
        <f>IF($A121="","",INDEX(Каталог!$B$4:$B$500,$A121)&amp;"")</f>
        <v/>
      </c>
      <c r="G121" s="32" t="str">
        <f>IF($A121="","",INDEX(Каталог!$M$4:$M$500,$A121)&amp;"")</f>
        <v/>
      </c>
      <c r="H121" s="32" t="str">
        <f>IF($A121="","",INDEX(Каталог!$P$4:$P$500,$A121))</f>
        <v/>
      </c>
      <c r="I121" s="5"/>
      <c r="J121" s="5"/>
    </row>
    <row r="122" spans="1:10" x14ac:dyDescent="0.3">
      <c r="A122" s="29" t="str">
        <f>IFERROR(MATCH(ROW()-3,Каталог!$AF$4:$AF$500,0),"")</f>
        <v/>
      </c>
      <c r="B122" s="29" t="str">
        <f t="shared" si="3"/>
        <v/>
      </c>
      <c r="C122" s="30" t="str">
        <f>IF($A122="","",INDEX(Каталог!$G$4:$G$500,$A122)&amp;"")</f>
        <v/>
      </c>
      <c r="D122" s="33"/>
      <c r="E122" s="31" t="str">
        <f>IF($A122="","",INDEX(Каталог!$H$4:$H$500,$A122)&amp;"")</f>
        <v/>
      </c>
      <c r="F122" s="32" t="str">
        <f>IF($A122="","",INDEX(Каталог!$B$4:$B$500,$A122)&amp;"")</f>
        <v/>
      </c>
      <c r="G122" s="32" t="str">
        <f>IF($A122="","",INDEX(Каталог!$M$4:$M$500,$A122)&amp;"")</f>
        <v/>
      </c>
      <c r="H122" s="32" t="str">
        <f>IF($A122="","",INDEX(Каталог!$P$4:$P$500,$A122))</f>
        <v/>
      </c>
      <c r="I122" s="5"/>
      <c r="J122" s="5"/>
    </row>
    <row r="123" spans="1:10" x14ac:dyDescent="0.3">
      <c r="A123" s="29" t="str">
        <f>IFERROR(MATCH(ROW()-3,Каталог!$AF$4:$AF$500,0),"")</f>
        <v/>
      </c>
      <c r="B123" s="29" t="str">
        <f t="shared" si="3"/>
        <v/>
      </c>
      <c r="C123" s="30" t="str">
        <f>IF($A123="","",INDEX(Каталог!$G$4:$G$500,$A123)&amp;"")</f>
        <v/>
      </c>
      <c r="D123" s="33"/>
      <c r="E123" s="31" t="str">
        <f>IF($A123="","",INDEX(Каталог!$H$4:$H$500,$A123)&amp;"")</f>
        <v/>
      </c>
      <c r="F123" s="32" t="str">
        <f>IF($A123="","",INDEX(Каталог!$B$4:$B$500,$A123)&amp;"")</f>
        <v/>
      </c>
      <c r="G123" s="32" t="str">
        <f>IF($A123="","",INDEX(Каталог!$M$4:$M$500,$A123)&amp;"")</f>
        <v/>
      </c>
      <c r="H123" s="32" t="str">
        <f>IF($A123="","",INDEX(Каталог!$P$4:$P$500,$A123))</f>
        <v/>
      </c>
      <c r="I123" s="5"/>
      <c r="J123" s="5"/>
    </row>
    <row r="124" spans="1:10" x14ac:dyDescent="0.3">
      <c r="A124" s="29" t="str">
        <f>IFERROR(MATCH(ROW()-3,Каталог!$AF$4:$AF$500,0),"")</f>
        <v/>
      </c>
      <c r="B124" s="29" t="str">
        <f t="shared" si="3"/>
        <v/>
      </c>
      <c r="C124" s="30" t="str">
        <f>IF($A124="","",INDEX(Каталог!$G$4:$G$500,$A124)&amp;"")</f>
        <v/>
      </c>
      <c r="D124" s="33"/>
      <c r="E124" s="31" t="str">
        <f>IF($A124="","",INDEX(Каталог!$H$4:$H$500,$A124)&amp;"")</f>
        <v/>
      </c>
      <c r="F124" s="32" t="str">
        <f>IF($A124="","",INDEX(Каталог!$B$4:$B$500,$A124)&amp;"")</f>
        <v/>
      </c>
      <c r="G124" s="32" t="str">
        <f>IF($A124="","",INDEX(Каталог!$M$4:$M$500,$A124)&amp;"")</f>
        <v/>
      </c>
      <c r="H124" s="32" t="str">
        <f>IF($A124="","",INDEX(Каталог!$P$4:$P$500,$A124))</f>
        <v/>
      </c>
      <c r="I124" s="5"/>
      <c r="J124" s="5"/>
    </row>
    <row r="125" spans="1:10" x14ac:dyDescent="0.3">
      <c r="A125" s="29" t="str">
        <f>IFERROR(MATCH(ROW()-3,Каталог!$AF$4:$AF$500,0),"")</f>
        <v/>
      </c>
      <c r="B125" s="29" t="str">
        <f t="shared" si="3"/>
        <v/>
      </c>
      <c r="C125" s="30" t="str">
        <f>IF($A125="","",INDEX(Каталог!$G$4:$G$500,$A125)&amp;"")</f>
        <v/>
      </c>
      <c r="D125" s="33"/>
      <c r="E125" s="31" t="str">
        <f>IF($A125="","",INDEX(Каталог!$H$4:$H$500,$A125)&amp;"")</f>
        <v/>
      </c>
      <c r="F125" s="32" t="str">
        <f>IF($A125="","",INDEX(Каталог!$B$4:$B$500,$A125)&amp;"")</f>
        <v/>
      </c>
      <c r="G125" s="32" t="str">
        <f>IF($A125="","",INDEX(Каталог!$M$4:$M$500,$A125)&amp;"")</f>
        <v/>
      </c>
      <c r="H125" s="32" t="str">
        <f>IF($A125="","",INDEX(Каталог!$P$4:$P$500,$A125))</f>
        <v/>
      </c>
      <c r="I125" s="5"/>
      <c r="J125" s="5"/>
    </row>
    <row r="126" spans="1:10" x14ac:dyDescent="0.3">
      <c r="A126" s="29" t="str">
        <f>IFERROR(MATCH(ROW()-3,Каталог!$AF$4:$AF$500,0),"")</f>
        <v/>
      </c>
      <c r="B126" s="29" t="str">
        <f t="shared" si="3"/>
        <v/>
      </c>
      <c r="C126" s="30" t="str">
        <f>IF($A126="","",INDEX(Каталог!$G$4:$G$500,$A126)&amp;"")</f>
        <v/>
      </c>
      <c r="D126" s="33"/>
      <c r="E126" s="31" t="str">
        <f>IF($A126="","",INDEX(Каталог!$H$4:$H$500,$A126)&amp;"")</f>
        <v/>
      </c>
      <c r="F126" s="32" t="str">
        <f>IF($A126="","",INDEX(Каталог!$B$4:$B$500,$A126)&amp;"")</f>
        <v/>
      </c>
      <c r="G126" s="32" t="str">
        <f>IF($A126="","",INDEX(Каталог!$M$4:$M$500,$A126)&amp;"")</f>
        <v/>
      </c>
      <c r="H126" s="32" t="str">
        <f>IF($A126="","",INDEX(Каталог!$P$4:$P$500,$A126))</f>
        <v/>
      </c>
      <c r="I126" s="5"/>
      <c r="J126" s="5"/>
    </row>
    <row r="127" spans="1:10" x14ac:dyDescent="0.3">
      <c r="A127" s="29" t="str">
        <f>IFERROR(MATCH(ROW()-3,Каталог!$AF$4:$AF$500,0),"")</f>
        <v/>
      </c>
      <c r="B127" s="29" t="str">
        <f t="shared" si="3"/>
        <v/>
      </c>
      <c r="C127" s="30" t="str">
        <f>IF($A127="","",INDEX(Каталог!$G$4:$G$500,$A127)&amp;"")</f>
        <v/>
      </c>
      <c r="D127" s="33"/>
      <c r="E127" s="31" t="str">
        <f>IF($A127="","",INDEX(Каталог!$H$4:$H$500,$A127)&amp;"")</f>
        <v/>
      </c>
      <c r="F127" s="32" t="str">
        <f>IF($A127="","",INDEX(Каталог!$B$4:$B$500,$A127)&amp;"")</f>
        <v/>
      </c>
      <c r="G127" s="32" t="str">
        <f>IF($A127="","",INDEX(Каталог!$M$4:$M$500,$A127)&amp;"")</f>
        <v/>
      </c>
      <c r="H127" s="32" t="str">
        <f>IF($A127="","",INDEX(Каталог!$P$4:$P$500,$A127))</f>
        <v/>
      </c>
      <c r="I127" s="5"/>
      <c r="J127" s="5"/>
    </row>
    <row r="128" spans="1:10" x14ac:dyDescent="0.3">
      <c r="A128" s="29" t="str">
        <f>IFERROR(MATCH(ROW()-3,Каталог!$AF$4:$AF$500,0),"")</f>
        <v/>
      </c>
      <c r="B128" s="29" t="str">
        <f t="shared" si="3"/>
        <v/>
      </c>
      <c r="C128" s="30" t="str">
        <f>IF($A128="","",INDEX(Каталог!$G$4:$G$500,$A128)&amp;"")</f>
        <v/>
      </c>
      <c r="D128" s="33"/>
      <c r="E128" s="31" t="str">
        <f>IF($A128="","",INDEX(Каталог!$H$4:$H$500,$A128)&amp;"")</f>
        <v/>
      </c>
      <c r="F128" s="32" t="str">
        <f>IF($A128="","",INDEX(Каталог!$B$4:$B$500,$A128)&amp;"")</f>
        <v/>
      </c>
      <c r="G128" s="32" t="str">
        <f>IF($A128="","",INDEX(Каталог!$M$4:$M$500,$A128)&amp;"")</f>
        <v/>
      </c>
      <c r="H128" s="32" t="str">
        <f>IF($A128="","",INDEX(Каталог!$P$4:$P$500,$A128))</f>
        <v/>
      </c>
      <c r="I128" s="5"/>
      <c r="J128" s="5"/>
    </row>
    <row r="129" spans="1:10" x14ac:dyDescent="0.3">
      <c r="A129" s="29" t="str">
        <f>IFERROR(MATCH(ROW()-3,Каталог!$AF$4:$AF$500,0),"")</f>
        <v/>
      </c>
      <c r="B129" s="29" t="str">
        <f t="shared" si="3"/>
        <v/>
      </c>
      <c r="C129" s="30" t="str">
        <f>IF($A129="","",INDEX(Каталог!$G$4:$G$500,$A129)&amp;"")</f>
        <v/>
      </c>
      <c r="D129" s="33"/>
      <c r="E129" s="31" t="str">
        <f>IF($A129="","",INDEX(Каталог!$H$4:$H$500,$A129)&amp;"")</f>
        <v/>
      </c>
      <c r="F129" s="32" t="str">
        <f>IF($A129="","",INDEX(Каталог!$B$4:$B$500,$A129)&amp;"")</f>
        <v/>
      </c>
      <c r="G129" s="32" t="str">
        <f>IF($A129="","",INDEX(Каталог!$M$4:$M$500,$A129)&amp;"")</f>
        <v/>
      </c>
      <c r="H129" s="32" t="str">
        <f>IF($A129="","",INDEX(Каталог!$P$4:$P$500,$A129))</f>
        <v/>
      </c>
      <c r="I129" s="5"/>
      <c r="J129" s="5"/>
    </row>
    <row r="130" spans="1:10" x14ac:dyDescent="0.3">
      <c r="A130" s="29" t="str">
        <f>IFERROR(MATCH(ROW()-3,Каталог!$AF$4:$AF$500,0),"")</f>
        <v/>
      </c>
      <c r="B130" s="29" t="str">
        <f t="shared" si="3"/>
        <v/>
      </c>
      <c r="C130" s="30" t="str">
        <f>IF($A130="","",INDEX(Каталог!$G$4:$G$500,$A130)&amp;"")</f>
        <v/>
      </c>
      <c r="D130" s="33"/>
      <c r="E130" s="31" t="str">
        <f>IF($A130="","",INDEX(Каталог!$H$4:$H$500,$A130)&amp;"")</f>
        <v/>
      </c>
      <c r="F130" s="32" t="str">
        <f>IF($A130="","",INDEX(Каталог!$B$4:$B$500,$A130)&amp;"")</f>
        <v/>
      </c>
      <c r="G130" s="32" t="str">
        <f>IF($A130="","",INDEX(Каталог!$M$4:$M$500,$A130)&amp;"")</f>
        <v/>
      </c>
      <c r="H130" s="32" t="str">
        <f>IF($A130="","",INDEX(Каталог!$P$4:$P$500,$A130))</f>
        <v/>
      </c>
      <c r="I130" s="5"/>
      <c r="J130" s="5"/>
    </row>
    <row r="131" spans="1:10" x14ac:dyDescent="0.3">
      <c r="A131" s="29" t="str">
        <f>IFERROR(MATCH(ROW()-3,Каталог!$AF$4:$AF$500,0),"")</f>
        <v/>
      </c>
      <c r="B131" s="29" t="str">
        <f t="shared" si="3"/>
        <v/>
      </c>
      <c r="C131" s="30" t="str">
        <f>IF($A131="","",INDEX(Каталог!$G$4:$G$500,$A131)&amp;"")</f>
        <v/>
      </c>
      <c r="D131" s="33"/>
      <c r="E131" s="31" t="str">
        <f>IF($A131="","",INDEX(Каталог!$H$4:$H$500,$A131)&amp;"")</f>
        <v/>
      </c>
      <c r="F131" s="32" t="str">
        <f>IF($A131="","",INDEX(Каталог!$B$4:$B$500,$A131)&amp;"")</f>
        <v/>
      </c>
      <c r="G131" s="32" t="str">
        <f>IF($A131="","",INDEX(Каталог!$M$4:$M$500,$A131)&amp;"")</f>
        <v/>
      </c>
      <c r="H131" s="32" t="str">
        <f>IF($A131="","",INDEX(Каталог!$P$4:$P$500,$A131))</f>
        <v/>
      </c>
      <c r="I131" s="5"/>
      <c r="J131" s="5"/>
    </row>
    <row r="132" spans="1:10" x14ac:dyDescent="0.3">
      <c r="A132" s="29" t="str">
        <f>IFERROR(MATCH(ROW()-3,Каталог!$AF$4:$AF$500,0),"")</f>
        <v/>
      </c>
      <c r="B132" s="29" t="str">
        <f t="shared" ref="B132:B160" si="4">IF($A132="","",$B$3&amp;"."&amp;(ROW()-3))</f>
        <v/>
      </c>
      <c r="C132" s="30" t="str">
        <f>IF($A132="","",INDEX(Каталог!$G$4:$G$500,$A132)&amp;"")</f>
        <v/>
      </c>
      <c r="D132" s="33"/>
      <c r="E132" s="31" t="str">
        <f>IF($A132="","",INDEX(Каталог!$H$4:$H$500,$A132)&amp;"")</f>
        <v/>
      </c>
      <c r="F132" s="32" t="str">
        <f>IF($A132="","",INDEX(Каталог!$B$4:$B$500,$A132)&amp;"")</f>
        <v/>
      </c>
      <c r="G132" s="32" t="str">
        <f>IF($A132="","",INDEX(Каталог!$M$4:$M$500,$A132)&amp;"")</f>
        <v/>
      </c>
      <c r="H132" s="32" t="str">
        <f>IF($A132="","",INDEX(Каталог!$P$4:$P$500,$A132))</f>
        <v/>
      </c>
      <c r="I132" s="5"/>
      <c r="J132" s="5"/>
    </row>
    <row r="133" spans="1:10" x14ac:dyDescent="0.3">
      <c r="A133" s="29" t="str">
        <f>IFERROR(MATCH(ROW()-3,Каталог!$AF$4:$AF$500,0),"")</f>
        <v/>
      </c>
      <c r="B133" s="29" t="str">
        <f t="shared" si="4"/>
        <v/>
      </c>
      <c r="C133" s="30" t="str">
        <f>IF($A133="","",INDEX(Каталог!$G$4:$G$500,$A133)&amp;"")</f>
        <v/>
      </c>
      <c r="D133" s="33"/>
      <c r="E133" s="31" t="str">
        <f>IF($A133="","",INDEX(Каталог!$H$4:$H$500,$A133)&amp;"")</f>
        <v/>
      </c>
      <c r="F133" s="32" t="str">
        <f>IF($A133="","",INDEX(Каталог!$B$4:$B$500,$A133)&amp;"")</f>
        <v/>
      </c>
      <c r="G133" s="32" t="str">
        <f>IF($A133="","",INDEX(Каталог!$M$4:$M$500,$A133)&amp;"")</f>
        <v/>
      </c>
      <c r="H133" s="32" t="str">
        <f>IF($A133="","",INDEX(Каталог!$P$4:$P$500,$A133))</f>
        <v/>
      </c>
      <c r="I133" s="5"/>
      <c r="J133" s="5"/>
    </row>
    <row r="134" spans="1:10" x14ac:dyDescent="0.3">
      <c r="A134" s="29" t="str">
        <f>IFERROR(MATCH(ROW()-3,Каталог!$AF$4:$AF$500,0),"")</f>
        <v/>
      </c>
      <c r="B134" s="29" t="str">
        <f t="shared" si="4"/>
        <v/>
      </c>
      <c r="C134" s="30" t="str">
        <f>IF($A134="","",INDEX(Каталог!$G$4:$G$500,$A134)&amp;"")</f>
        <v/>
      </c>
      <c r="D134" s="33"/>
      <c r="E134" s="31" t="str">
        <f>IF($A134="","",INDEX(Каталог!$H$4:$H$500,$A134)&amp;"")</f>
        <v/>
      </c>
      <c r="F134" s="32" t="str">
        <f>IF($A134="","",INDEX(Каталог!$B$4:$B$500,$A134)&amp;"")</f>
        <v/>
      </c>
      <c r="G134" s="32" t="str">
        <f>IF($A134="","",INDEX(Каталог!$M$4:$M$500,$A134)&amp;"")</f>
        <v/>
      </c>
      <c r="H134" s="32" t="str">
        <f>IF($A134="","",INDEX(Каталог!$P$4:$P$500,$A134))</f>
        <v/>
      </c>
      <c r="I134" s="5"/>
      <c r="J134" s="5"/>
    </row>
    <row r="135" spans="1:10" x14ac:dyDescent="0.3">
      <c r="A135" s="29" t="str">
        <f>IFERROR(MATCH(ROW()-3,Каталог!$AF$4:$AF$500,0),"")</f>
        <v/>
      </c>
      <c r="B135" s="29" t="str">
        <f t="shared" si="4"/>
        <v/>
      </c>
      <c r="C135" s="30" t="str">
        <f>IF($A135="","",INDEX(Каталог!$G$4:$G$500,$A135)&amp;"")</f>
        <v/>
      </c>
      <c r="D135" s="33"/>
      <c r="E135" s="31" t="str">
        <f>IF($A135="","",INDEX(Каталог!$H$4:$H$500,$A135)&amp;"")</f>
        <v/>
      </c>
      <c r="F135" s="32" t="str">
        <f>IF($A135="","",INDEX(Каталог!$B$4:$B$500,$A135)&amp;"")</f>
        <v/>
      </c>
      <c r="G135" s="32" t="str">
        <f>IF($A135="","",INDEX(Каталог!$M$4:$M$500,$A135)&amp;"")</f>
        <v/>
      </c>
      <c r="H135" s="32" t="str">
        <f>IF($A135="","",INDEX(Каталог!$P$4:$P$500,$A135))</f>
        <v/>
      </c>
      <c r="I135" s="5"/>
      <c r="J135" s="5"/>
    </row>
    <row r="136" spans="1:10" x14ac:dyDescent="0.3">
      <c r="A136" s="29" t="str">
        <f>IFERROR(MATCH(ROW()-3,Каталог!$AF$4:$AF$500,0),"")</f>
        <v/>
      </c>
      <c r="B136" s="29" t="str">
        <f t="shared" si="4"/>
        <v/>
      </c>
      <c r="C136" s="30" t="str">
        <f>IF($A136="","",INDEX(Каталог!$G$4:$G$500,$A136)&amp;"")</f>
        <v/>
      </c>
      <c r="D136" s="33"/>
      <c r="E136" s="31" t="str">
        <f>IF($A136="","",INDEX(Каталог!$H$4:$H$500,$A136)&amp;"")</f>
        <v/>
      </c>
      <c r="F136" s="32" t="str">
        <f>IF($A136="","",INDEX(Каталог!$B$4:$B$500,$A136)&amp;"")</f>
        <v/>
      </c>
      <c r="G136" s="32" t="str">
        <f>IF($A136="","",INDEX(Каталог!$M$4:$M$500,$A136)&amp;"")</f>
        <v/>
      </c>
      <c r="H136" s="32" t="str">
        <f>IF($A136="","",INDEX(Каталог!$P$4:$P$500,$A136))</f>
        <v/>
      </c>
      <c r="I136" s="5"/>
      <c r="J136" s="5"/>
    </row>
    <row r="137" spans="1:10" x14ac:dyDescent="0.3">
      <c r="A137" s="29" t="str">
        <f>IFERROR(MATCH(ROW()-3,Каталог!$AF$4:$AF$500,0),"")</f>
        <v/>
      </c>
      <c r="B137" s="29" t="str">
        <f t="shared" si="4"/>
        <v/>
      </c>
      <c r="C137" s="30" t="str">
        <f>IF($A137="","",INDEX(Каталог!$G$4:$G$500,$A137)&amp;"")</f>
        <v/>
      </c>
      <c r="D137" s="33"/>
      <c r="E137" s="31" t="str">
        <f>IF($A137="","",INDEX(Каталог!$H$4:$H$500,$A137)&amp;"")</f>
        <v/>
      </c>
      <c r="F137" s="32" t="str">
        <f>IF($A137="","",INDEX(Каталог!$B$4:$B$500,$A137)&amp;"")</f>
        <v/>
      </c>
      <c r="G137" s="32" t="str">
        <f>IF($A137="","",INDEX(Каталог!$M$4:$M$500,$A137)&amp;"")</f>
        <v/>
      </c>
      <c r="H137" s="32" t="str">
        <f>IF($A137="","",INDEX(Каталог!$P$4:$P$500,$A137))</f>
        <v/>
      </c>
      <c r="I137" s="5"/>
      <c r="J137" s="5"/>
    </row>
    <row r="138" spans="1:10" x14ac:dyDescent="0.3">
      <c r="A138" s="29" t="str">
        <f>IFERROR(MATCH(ROW()-3,Каталог!$AF$4:$AF$500,0),"")</f>
        <v/>
      </c>
      <c r="B138" s="29" t="str">
        <f t="shared" si="4"/>
        <v/>
      </c>
      <c r="C138" s="30" t="str">
        <f>IF($A138="","",INDEX(Каталог!$G$4:$G$500,$A138)&amp;"")</f>
        <v/>
      </c>
      <c r="D138" s="33"/>
      <c r="E138" s="31" t="str">
        <f>IF($A138="","",INDEX(Каталог!$H$4:$H$500,$A138)&amp;"")</f>
        <v/>
      </c>
      <c r="F138" s="32" t="str">
        <f>IF($A138="","",INDEX(Каталог!$B$4:$B$500,$A138)&amp;"")</f>
        <v/>
      </c>
      <c r="G138" s="32" t="str">
        <f>IF($A138="","",INDEX(Каталог!$M$4:$M$500,$A138)&amp;"")</f>
        <v/>
      </c>
      <c r="H138" s="32" t="str">
        <f>IF($A138="","",INDEX(Каталог!$P$4:$P$500,$A138))</f>
        <v/>
      </c>
      <c r="I138" s="5"/>
      <c r="J138" s="5"/>
    </row>
    <row r="139" spans="1:10" x14ac:dyDescent="0.3">
      <c r="A139" s="29" t="str">
        <f>IFERROR(MATCH(ROW()-3,Каталог!$AF$4:$AF$500,0),"")</f>
        <v/>
      </c>
      <c r="B139" s="29" t="str">
        <f t="shared" si="4"/>
        <v/>
      </c>
      <c r="C139" s="30" t="str">
        <f>IF($A139="","",INDEX(Каталог!$G$4:$G$500,$A139)&amp;"")</f>
        <v/>
      </c>
      <c r="D139" s="33"/>
      <c r="E139" s="31" t="str">
        <f>IF($A139="","",INDEX(Каталог!$H$4:$H$500,$A139)&amp;"")</f>
        <v/>
      </c>
      <c r="F139" s="32" t="str">
        <f>IF($A139="","",INDEX(Каталог!$B$4:$B$500,$A139)&amp;"")</f>
        <v/>
      </c>
      <c r="G139" s="32" t="str">
        <f>IF($A139="","",INDEX(Каталог!$M$4:$M$500,$A139)&amp;"")</f>
        <v/>
      </c>
      <c r="H139" s="32" t="str">
        <f>IF($A139="","",INDEX(Каталог!$P$4:$P$500,$A139))</f>
        <v/>
      </c>
      <c r="I139" s="5"/>
      <c r="J139" s="5"/>
    </row>
    <row r="140" spans="1:10" x14ac:dyDescent="0.3">
      <c r="A140" s="29" t="str">
        <f>IFERROR(MATCH(ROW()-3,Каталог!$AF$4:$AF$500,0),"")</f>
        <v/>
      </c>
      <c r="B140" s="29" t="str">
        <f t="shared" si="4"/>
        <v/>
      </c>
      <c r="C140" s="30" t="str">
        <f>IF($A140="","",INDEX(Каталог!$G$4:$G$500,$A140)&amp;"")</f>
        <v/>
      </c>
      <c r="D140" s="33"/>
      <c r="E140" s="31" t="str">
        <f>IF($A140="","",INDEX(Каталог!$H$4:$H$500,$A140)&amp;"")</f>
        <v/>
      </c>
      <c r="F140" s="32" t="str">
        <f>IF($A140="","",INDEX(Каталог!$B$4:$B$500,$A140)&amp;"")</f>
        <v/>
      </c>
      <c r="G140" s="32" t="str">
        <f>IF($A140="","",INDEX(Каталог!$M$4:$M$500,$A140)&amp;"")</f>
        <v/>
      </c>
      <c r="H140" s="32" t="str">
        <f>IF($A140="","",INDEX(Каталог!$P$4:$P$500,$A140))</f>
        <v/>
      </c>
      <c r="I140" s="5"/>
      <c r="J140" s="5"/>
    </row>
    <row r="141" spans="1:10" x14ac:dyDescent="0.3">
      <c r="A141" s="29" t="str">
        <f>IFERROR(MATCH(ROW()-3,Каталог!$AF$4:$AF$500,0),"")</f>
        <v/>
      </c>
      <c r="B141" s="29" t="str">
        <f t="shared" si="4"/>
        <v/>
      </c>
      <c r="C141" s="30" t="str">
        <f>IF($A141="","",INDEX(Каталог!$G$4:$G$500,$A141)&amp;"")</f>
        <v/>
      </c>
      <c r="D141" s="33"/>
      <c r="E141" s="31" t="str">
        <f>IF($A141="","",INDEX(Каталог!$H$4:$H$500,$A141)&amp;"")</f>
        <v/>
      </c>
      <c r="F141" s="32" t="str">
        <f>IF($A141="","",INDEX(Каталог!$B$4:$B$500,$A141)&amp;"")</f>
        <v/>
      </c>
      <c r="G141" s="32" t="str">
        <f>IF($A141="","",INDEX(Каталог!$M$4:$M$500,$A141)&amp;"")</f>
        <v/>
      </c>
      <c r="H141" s="32" t="str">
        <f>IF($A141="","",INDEX(Каталог!$P$4:$P$500,$A141))</f>
        <v/>
      </c>
      <c r="I141" s="5"/>
      <c r="J141" s="5"/>
    </row>
    <row r="142" spans="1:10" x14ac:dyDescent="0.3">
      <c r="A142" s="29" t="str">
        <f>IFERROR(MATCH(ROW()-3,Каталог!$AF$4:$AF$500,0),"")</f>
        <v/>
      </c>
      <c r="B142" s="29" t="str">
        <f t="shared" si="4"/>
        <v/>
      </c>
      <c r="C142" s="30" t="str">
        <f>IF($A142="","",INDEX(Каталог!$G$4:$G$500,$A142)&amp;"")</f>
        <v/>
      </c>
      <c r="D142" s="33"/>
      <c r="E142" s="31" t="str">
        <f>IF($A142="","",INDEX(Каталог!$H$4:$H$500,$A142)&amp;"")</f>
        <v/>
      </c>
      <c r="F142" s="32" t="str">
        <f>IF($A142="","",INDEX(Каталог!$B$4:$B$500,$A142)&amp;"")</f>
        <v/>
      </c>
      <c r="G142" s="32" t="str">
        <f>IF($A142="","",INDEX(Каталог!$M$4:$M$500,$A142)&amp;"")</f>
        <v/>
      </c>
      <c r="H142" s="32" t="str">
        <f>IF($A142="","",INDEX(Каталог!$P$4:$P$500,$A142))</f>
        <v/>
      </c>
      <c r="I142" s="5"/>
      <c r="J142" s="5"/>
    </row>
    <row r="143" spans="1:10" x14ac:dyDescent="0.3">
      <c r="A143" s="29" t="str">
        <f>IFERROR(MATCH(ROW()-3,Каталог!$AF$4:$AF$500,0),"")</f>
        <v/>
      </c>
      <c r="B143" s="29" t="str">
        <f t="shared" si="4"/>
        <v/>
      </c>
      <c r="C143" s="30" t="str">
        <f>IF($A143="","",INDEX(Каталог!$G$4:$G$500,$A143)&amp;"")</f>
        <v/>
      </c>
      <c r="D143" s="33"/>
      <c r="E143" s="31" t="str">
        <f>IF($A143="","",INDEX(Каталог!$H$4:$H$500,$A143)&amp;"")</f>
        <v/>
      </c>
      <c r="F143" s="32" t="str">
        <f>IF($A143="","",INDEX(Каталог!$B$4:$B$500,$A143)&amp;"")</f>
        <v/>
      </c>
      <c r="G143" s="32" t="str">
        <f>IF($A143="","",INDEX(Каталог!$M$4:$M$500,$A143)&amp;"")</f>
        <v/>
      </c>
      <c r="H143" s="32" t="str">
        <f>IF($A143="","",INDEX(Каталог!$P$4:$P$500,$A143))</f>
        <v/>
      </c>
      <c r="I143" s="5"/>
      <c r="J143" s="5"/>
    </row>
    <row r="144" spans="1:10" x14ac:dyDescent="0.3">
      <c r="A144" s="29" t="str">
        <f>IFERROR(MATCH(ROW()-3,Каталог!$AF$4:$AF$500,0),"")</f>
        <v/>
      </c>
      <c r="B144" s="29" t="str">
        <f t="shared" si="4"/>
        <v/>
      </c>
      <c r="C144" s="30" t="str">
        <f>IF($A144="","",INDEX(Каталог!$G$4:$G$500,$A144)&amp;"")</f>
        <v/>
      </c>
      <c r="D144" s="33"/>
      <c r="E144" s="31" t="str">
        <f>IF($A144="","",INDEX(Каталог!$H$4:$H$500,$A144)&amp;"")</f>
        <v/>
      </c>
      <c r="F144" s="32" t="str">
        <f>IF($A144="","",INDEX(Каталог!$B$4:$B$500,$A144)&amp;"")</f>
        <v/>
      </c>
      <c r="G144" s="32" t="str">
        <f>IF($A144="","",INDEX(Каталог!$M$4:$M$500,$A144)&amp;"")</f>
        <v/>
      </c>
      <c r="H144" s="32" t="str">
        <f>IF($A144="","",INDEX(Каталог!$P$4:$P$500,$A144))</f>
        <v/>
      </c>
      <c r="I144" s="5"/>
      <c r="J144" s="5"/>
    </row>
    <row r="145" spans="1:10" x14ac:dyDescent="0.3">
      <c r="A145" s="29" t="str">
        <f>IFERROR(MATCH(ROW()-3,Каталог!$AF$4:$AF$500,0),"")</f>
        <v/>
      </c>
      <c r="B145" s="29" t="str">
        <f t="shared" si="4"/>
        <v/>
      </c>
      <c r="C145" s="30" t="str">
        <f>IF($A145="","",INDEX(Каталог!$G$4:$G$500,$A145)&amp;"")</f>
        <v/>
      </c>
      <c r="D145" s="33"/>
      <c r="E145" s="31" t="str">
        <f>IF($A145="","",INDEX(Каталог!$H$4:$H$500,$A145)&amp;"")</f>
        <v/>
      </c>
      <c r="F145" s="32" t="str">
        <f>IF($A145="","",INDEX(Каталог!$B$4:$B$500,$A145)&amp;"")</f>
        <v/>
      </c>
      <c r="G145" s="32" t="str">
        <f>IF($A145="","",INDEX(Каталог!$M$4:$M$500,$A145)&amp;"")</f>
        <v/>
      </c>
      <c r="H145" s="32" t="str">
        <f>IF($A145="","",INDEX(Каталог!$P$4:$P$500,$A145))</f>
        <v/>
      </c>
      <c r="I145" s="5"/>
      <c r="J145" s="5"/>
    </row>
    <row r="146" spans="1:10" x14ac:dyDescent="0.3">
      <c r="A146" s="29" t="str">
        <f>IFERROR(MATCH(ROW()-3,Каталог!$AF$4:$AF$500,0),"")</f>
        <v/>
      </c>
      <c r="B146" s="29" t="str">
        <f t="shared" si="4"/>
        <v/>
      </c>
      <c r="C146" s="30" t="str">
        <f>IF($A146="","",INDEX(Каталог!$G$4:$G$500,$A146)&amp;"")</f>
        <v/>
      </c>
      <c r="D146" s="33"/>
      <c r="E146" s="31" t="str">
        <f>IF($A146="","",INDEX(Каталог!$H$4:$H$500,$A146)&amp;"")</f>
        <v/>
      </c>
      <c r="F146" s="32" t="str">
        <f>IF($A146="","",INDEX(Каталог!$B$4:$B$500,$A146)&amp;"")</f>
        <v/>
      </c>
      <c r="G146" s="32" t="str">
        <f>IF($A146="","",INDEX(Каталог!$M$4:$M$500,$A146)&amp;"")</f>
        <v/>
      </c>
      <c r="H146" s="32" t="str">
        <f>IF($A146="","",INDEX(Каталог!$P$4:$P$500,$A146))</f>
        <v/>
      </c>
      <c r="I146" s="5"/>
      <c r="J146" s="5"/>
    </row>
    <row r="147" spans="1:10" x14ac:dyDescent="0.3">
      <c r="A147" s="29" t="str">
        <f>IFERROR(MATCH(ROW()-3,Каталог!$AF$4:$AF$500,0),"")</f>
        <v/>
      </c>
      <c r="B147" s="29" t="str">
        <f t="shared" si="4"/>
        <v/>
      </c>
      <c r="C147" s="30" t="str">
        <f>IF($A147="","",INDEX(Каталог!$G$4:$G$500,$A147)&amp;"")</f>
        <v/>
      </c>
      <c r="D147" s="33"/>
      <c r="E147" s="31" t="str">
        <f>IF($A147="","",INDEX(Каталог!$H$4:$H$500,$A147)&amp;"")</f>
        <v/>
      </c>
      <c r="F147" s="32" t="str">
        <f>IF($A147="","",INDEX(Каталог!$B$4:$B$500,$A147)&amp;"")</f>
        <v/>
      </c>
      <c r="G147" s="32" t="str">
        <f>IF($A147="","",INDEX(Каталог!$M$4:$M$500,$A147)&amp;"")</f>
        <v/>
      </c>
      <c r="H147" s="32" t="str">
        <f>IF($A147="","",INDEX(Каталог!$P$4:$P$500,$A147))</f>
        <v/>
      </c>
      <c r="I147" s="5"/>
      <c r="J147" s="5"/>
    </row>
    <row r="148" spans="1:10" x14ac:dyDescent="0.3">
      <c r="A148" s="29" t="str">
        <f>IFERROR(MATCH(ROW()-3,Каталог!$AF$4:$AF$500,0),"")</f>
        <v/>
      </c>
      <c r="B148" s="29" t="str">
        <f t="shared" si="4"/>
        <v/>
      </c>
      <c r="C148" s="30" t="str">
        <f>IF($A148="","",INDEX(Каталог!$G$4:$G$500,$A148)&amp;"")</f>
        <v/>
      </c>
      <c r="D148" s="33"/>
      <c r="E148" s="31" t="str">
        <f>IF($A148="","",INDEX(Каталог!$H$4:$H$500,$A148)&amp;"")</f>
        <v/>
      </c>
      <c r="F148" s="32" t="str">
        <f>IF($A148="","",INDEX(Каталог!$B$4:$B$500,$A148)&amp;"")</f>
        <v/>
      </c>
      <c r="G148" s="32" t="str">
        <f>IF($A148="","",INDEX(Каталог!$M$4:$M$500,$A148)&amp;"")</f>
        <v/>
      </c>
      <c r="H148" s="32" t="str">
        <f>IF($A148="","",INDEX(Каталог!$P$4:$P$500,$A148))</f>
        <v/>
      </c>
      <c r="I148" s="5"/>
      <c r="J148" s="5"/>
    </row>
    <row r="149" spans="1:10" x14ac:dyDescent="0.3">
      <c r="A149" s="29" t="str">
        <f>IFERROR(MATCH(ROW()-3,Каталог!$AF$4:$AF$500,0),"")</f>
        <v/>
      </c>
      <c r="B149" s="29" t="str">
        <f t="shared" si="4"/>
        <v/>
      </c>
      <c r="C149" s="30" t="str">
        <f>IF($A149="","",INDEX(Каталог!$G$4:$G$500,$A149)&amp;"")</f>
        <v/>
      </c>
      <c r="D149" s="33"/>
      <c r="E149" s="31" t="str">
        <f>IF($A149="","",INDEX(Каталог!$H$4:$H$500,$A149)&amp;"")</f>
        <v/>
      </c>
      <c r="F149" s="32" t="str">
        <f>IF($A149="","",INDEX(Каталог!$B$4:$B$500,$A149)&amp;"")</f>
        <v/>
      </c>
      <c r="G149" s="32" t="str">
        <f>IF($A149="","",INDEX(Каталог!$M$4:$M$500,$A149)&amp;"")</f>
        <v/>
      </c>
      <c r="H149" s="32" t="str">
        <f>IF($A149="","",INDEX(Каталог!$P$4:$P$500,$A149))</f>
        <v/>
      </c>
      <c r="I149" s="5"/>
      <c r="J149" s="5"/>
    </row>
    <row r="150" spans="1:10" x14ac:dyDescent="0.3">
      <c r="A150" s="29" t="str">
        <f>IFERROR(MATCH(ROW()-3,Каталог!$AF$4:$AF$500,0),"")</f>
        <v/>
      </c>
      <c r="B150" s="29" t="str">
        <f t="shared" si="4"/>
        <v/>
      </c>
      <c r="C150" s="30" t="str">
        <f>IF($A150="","",INDEX(Каталог!$G$4:$G$500,$A150)&amp;"")</f>
        <v/>
      </c>
      <c r="D150" s="33"/>
      <c r="E150" s="31" t="str">
        <f>IF($A150="","",INDEX(Каталог!$H$4:$H$500,$A150)&amp;"")</f>
        <v/>
      </c>
      <c r="F150" s="32" t="str">
        <f>IF($A150="","",INDEX(Каталог!$B$4:$B$500,$A150)&amp;"")</f>
        <v/>
      </c>
      <c r="G150" s="32" t="str">
        <f>IF($A150="","",INDEX(Каталог!$M$4:$M$500,$A150)&amp;"")</f>
        <v/>
      </c>
      <c r="H150" s="32" t="str">
        <f>IF($A150="","",INDEX(Каталог!$P$4:$P$500,$A150))</f>
        <v/>
      </c>
      <c r="I150" s="5"/>
      <c r="J150" s="5"/>
    </row>
    <row r="151" spans="1:10" x14ac:dyDescent="0.3">
      <c r="A151" s="29" t="str">
        <f>IFERROR(MATCH(ROW()-3,Каталог!$AF$4:$AF$500,0),"")</f>
        <v/>
      </c>
      <c r="B151" s="29" t="str">
        <f t="shared" si="4"/>
        <v/>
      </c>
      <c r="C151" s="30" t="str">
        <f>IF($A151="","",INDEX(Каталог!$G$4:$G$500,$A151)&amp;"")</f>
        <v/>
      </c>
      <c r="D151" s="33"/>
      <c r="E151" s="31" t="str">
        <f>IF($A151="","",INDEX(Каталог!$H$4:$H$500,$A151)&amp;"")</f>
        <v/>
      </c>
      <c r="F151" s="32" t="str">
        <f>IF($A151="","",INDEX(Каталог!$B$4:$B$500,$A151)&amp;"")</f>
        <v/>
      </c>
      <c r="G151" s="32" t="str">
        <f>IF($A151="","",INDEX(Каталог!$M$4:$M$500,$A151)&amp;"")</f>
        <v/>
      </c>
      <c r="H151" s="32" t="str">
        <f>IF($A151="","",INDEX(Каталог!$P$4:$P$500,$A151))</f>
        <v/>
      </c>
      <c r="I151" s="5"/>
      <c r="J151" s="5"/>
    </row>
    <row r="152" spans="1:10" x14ac:dyDescent="0.3">
      <c r="A152" s="29" t="str">
        <f>IFERROR(MATCH(ROW()-3,Каталог!$AF$4:$AF$500,0),"")</f>
        <v/>
      </c>
      <c r="B152" s="29" t="str">
        <f t="shared" si="4"/>
        <v/>
      </c>
      <c r="C152" s="30" t="str">
        <f>IF($A152="","",INDEX(Каталог!$G$4:$G$500,$A152)&amp;"")</f>
        <v/>
      </c>
      <c r="D152" s="33"/>
      <c r="E152" s="31" t="str">
        <f>IF($A152="","",INDEX(Каталог!$H$4:$H$500,$A152)&amp;"")</f>
        <v/>
      </c>
      <c r="F152" s="32" t="str">
        <f>IF($A152="","",INDEX(Каталог!$B$4:$B$500,$A152)&amp;"")</f>
        <v/>
      </c>
      <c r="G152" s="32" t="str">
        <f>IF($A152="","",INDEX(Каталог!$M$4:$M$500,$A152)&amp;"")</f>
        <v/>
      </c>
      <c r="H152" s="32" t="str">
        <f>IF($A152="","",INDEX(Каталог!$P$4:$P$500,$A152))</f>
        <v/>
      </c>
      <c r="I152" s="5"/>
      <c r="J152" s="5"/>
    </row>
    <row r="153" spans="1:10" x14ac:dyDescent="0.3">
      <c r="A153" s="29" t="str">
        <f>IFERROR(MATCH(ROW()-3,Каталог!$AF$4:$AF$500,0),"")</f>
        <v/>
      </c>
      <c r="B153" s="29" t="str">
        <f t="shared" si="4"/>
        <v/>
      </c>
      <c r="C153" s="30" t="str">
        <f>IF($A153="","",INDEX(Каталог!$G$4:$G$500,$A153)&amp;"")</f>
        <v/>
      </c>
      <c r="D153" s="33"/>
      <c r="E153" s="31" t="str">
        <f>IF($A153="","",INDEX(Каталог!$H$4:$H$500,$A153)&amp;"")</f>
        <v/>
      </c>
      <c r="F153" s="32" t="str">
        <f>IF($A153="","",INDEX(Каталог!$B$4:$B$500,$A153)&amp;"")</f>
        <v/>
      </c>
      <c r="G153" s="32" t="str">
        <f>IF($A153="","",INDEX(Каталог!$M$4:$M$500,$A153)&amp;"")</f>
        <v/>
      </c>
      <c r="H153" s="32" t="str">
        <f>IF($A153="","",INDEX(Каталог!$P$4:$P$500,$A153))</f>
        <v/>
      </c>
      <c r="I153" s="5"/>
      <c r="J153" s="5"/>
    </row>
    <row r="154" spans="1:10" x14ac:dyDescent="0.3">
      <c r="A154" s="29" t="str">
        <f>IFERROR(MATCH(ROW()-3,Каталог!$AF$4:$AF$500,0),"")</f>
        <v/>
      </c>
      <c r="B154" s="29" t="str">
        <f t="shared" si="4"/>
        <v/>
      </c>
      <c r="C154" s="30" t="str">
        <f>IF($A154="","",INDEX(Каталог!$G$4:$G$500,$A154)&amp;"")</f>
        <v/>
      </c>
      <c r="D154" s="33"/>
      <c r="E154" s="31" t="str">
        <f>IF($A154="","",INDEX(Каталог!$H$4:$H$500,$A154)&amp;"")</f>
        <v/>
      </c>
      <c r="F154" s="32" t="str">
        <f>IF($A154="","",INDEX(Каталог!$B$4:$B$500,$A154)&amp;"")</f>
        <v/>
      </c>
      <c r="G154" s="32" t="str">
        <f>IF($A154="","",INDEX(Каталог!$M$4:$M$500,$A154)&amp;"")</f>
        <v/>
      </c>
      <c r="H154" s="32" t="str">
        <f>IF($A154="","",INDEX(Каталог!$P$4:$P$500,$A154))</f>
        <v/>
      </c>
      <c r="I154" s="5"/>
      <c r="J154" s="5"/>
    </row>
    <row r="155" spans="1:10" x14ac:dyDescent="0.3">
      <c r="A155" s="29" t="str">
        <f>IFERROR(MATCH(ROW()-3,Каталог!$AF$4:$AF$500,0),"")</f>
        <v/>
      </c>
      <c r="B155" s="29" t="str">
        <f t="shared" si="4"/>
        <v/>
      </c>
      <c r="C155" s="30" t="str">
        <f>IF($A155="","",INDEX(Каталог!$G$4:$G$500,$A155)&amp;"")</f>
        <v/>
      </c>
      <c r="D155" s="33"/>
      <c r="E155" s="31" t="str">
        <f>IF($A155="","",INDEX(Каталог!$H$4:$H$500,$A155)&amp;"")</f>
        <v/>
      </c>
      <c r="F155" s="32" t="str">
        <f>IF($A155="","",INDEX(Каталог!$B$4:$B$500,$A155)&amp;"")</f>
        <v/>
      </c>
      <c r="G155" s="32" t="str">
        <f>IF($A155="","",INDEX(Каталог!$M$4:$M$500,$A155)&amp;"")</f>
        <v/>
      </c>
      <c r="H155" s="32" t="str">
        <f>IF($A155="","",INDEX(Каталог!$P$4:$P$500,$A155))</f>
        <v/>
      </c>
      <c r="I155" s="5"/>
      <c r="J155" s="5"/>
    </row>
    <row r="156" spans="1:10" x14ac:dyDescent="0.3">
      <c r="A156" s="29" t="str">
        <f>IFERROR(MATCH(ROW()-3,Каталог!$AF$4:$AF$500,0),"")</f>
        <v/>
      </c>
      <c r="B156" s="29" t="str">
        <f t="shared" si="4"/>
        <v/>
      </c>
      <c r="C156" s="30" t="str">
        <f>IF($A156="","",INDEX(Каталог!$G$4:$G$500,$A156)&amp;"")</f>
        <v/>
      </c>
      <c r="D156" s="33"/>
      <c r="E156" s="31" t="str">
        <f>IF($A156="","",INDEX(Каталог!$H$4:$H$500,$A156)&amp;"")</f>
        <v/>
      </c>
      <c r="F156" s="32" t="str">
        <f>IF($A156="","",INDEX(Каталог!$B$4:$B$500,$A156)&amp;"")</f>
        <v/>
      </c>
      <c r="G156" s="32" t="str">
        <f>IF($A156="","",INDEX(Каталог!$M$4:$M$500,$A156)&amp;"")</f>
        <v/>
      </c>
      <c r="H156" s="32" t="str">
        <f>IF($A156="","",INDEX(Каталог!$P$4:$P$500,$A156))</f>
        <v/>
      </c>
      <c r="I156" s="5"/>
      <c r="J156" s="5"/>
    </row>
    <row r="157" spans="1:10" x14ac:dyDescent="0.3">
      <c r="A157" s="29" t="str">
        <f>IFERROR(MATCH(ROW()-3,Каталог!$AF$4:$AF$500,0),"")</f>
        <v/>
      </c>
      <c r="B157" s="29" t="str">
        <f t="shared" si="4"/>
        <v/>
      </c>
      <c r="C157" s="30" t="str">
        <f>IF($A157="","",INDEX(Каталог!$G$4:$G$500,$A157)&amp;"")</f>
        <v/>
      </c>
      <c r="D157" s="33"/>
      <c r="E157" s="31" t="str">
        <f>IF($A157="","",INDEX(Каталог!$H$4:$H$500,$A157)&amp;"")</f>
        <v/>
      </c>
      <c r="F157" s="32" t="str">
        <f>IF($A157="","",INDEX(Каталог!$B$4:$B$500,$A157)&amp;"")</f>
        <v/>
      </c>
      <c r="G157" s="32" t="str">
        <f>IF($A157="","",INDEX(Каталог!$M$4:$M$500,$A157)&amp;"")</f>
        <v/>
      </c>
      <c r="H157" s="32" t="str">
        <f>IF($A157="","",INDEX(Каталог!$P$4:$P$500,$A157))</f>
        <v/>
      </c>
      <c r="I157" s="5"/>
      <c r="J157" s="5"/>
    </row>
    <row r="158" spans="1:10" x14ac:dyDescent="0.3">
      <c r="A158" s="29" t="str">
        <f>IFERROR(MATCH(ROW()-3,Каталог!$AF$4:$AF$500,0),"")</f>
        <v/>
      </c>
      <c r="B158" s="29" t="str">
        <f t="shared" si="4"/>
        <v/>
      </c>
      <c r="C158" s="30" t="str">
        <f>IF($A158="","",INDEX(Каталог!$G$4:$G$500,$A158)&amp;"")</f>
        <v/>
      </c>
      <c r="D158" s="33"/>
      <c r="E158" s="31" t="str">
        <f>IF($A158="","",INDEX(Каталог!$H$4:$H$500,$A158)&amp;"")</f>
        <v/>
      </c>
      <c r="F158" s="32" t="str">
        <f>IF($A158="","",INDEX(Каталог!$B$4:$B$500,$A158)&amp;"")</f>
        <v/>
      </c>
      <c r="G158" s="32" t="str">
        <f>IF($A158="","",INDEX(Каталог!$M$4:$M$500,$A158)&amp;"")</f>
        <v/>
      </c>
      <c r="H158" s="32" t="str">
        <f>IF($A158="","",INDEX(Каталог!$P$4:$P$500,$A158))</f>
        <v/>
      </c>
      <c r="I158" s="5"/>
      <c r="J158" s="5"/>
    </row>
    <row r="159" spans="1:10" x14ac:dyDescent="0.3">
      <c r="A159" s="29" t="str">
        <f>IFERROR(MATCH(ROW()-3,Каталог!$AF$4:$AF$500,0),"")</f>
        <v/>
      </c>
      <c r="B159" s="29" t="str">
        <f t="shared" si="4"/>
        <v/>
      </c>
      <c r="C159" s="30" t="str">
        <f>IF($A159="","",INDEX(Каталог!$G$4:$G$500,$A159)&amp;"")</f>
        <v/>
      </c>
      <c r="D159" s="33"/>
      <c r="E159" s="31" t="str">
        <f>IF($A159="","",INDEX(Каталог!$H$4:$H$500,$A159)&amp;"")</f>
        <v/>
      </c>
      <c r="F159" s="32" t="str">
        <f>IF($A159="","",INDEX(Каталог!$B$4:$B$500,$A159)&amp;"")</f>
        <v/>
      </c>
      <c r="G159" s="32" t="str">
        <f>IF($A159="","",INDEX(Каталог!$M$4:$M$500,$A159)&amp;"")</f>
        <v/>
      </c>
      <c r="H159" s="32" t="str">
        <f>IF($A159="","",INDEX(Каталог!$P$4:$P$500,$A159))</f>
        <v/>
      </c>
      <c r="I159" s="5"/>
      <c r="J159" s="5"/>
    </row>
    <row r="160" spans="1:10" x14ac:dyDescent="0.3">
      <c r="A160" s="29" t="str">
        <f>IFERROR(MATCH(ROW()-3,Каталог!$AF$4:$AF$500,0),"")</f>
        <v/>
      </c>
      <c r="B160" s="29" t="str">
        <f t="shared" si="4"/>
        <v/>
      </c>
      <c r="C160" s="30" t="str">
        <f>IF($A160="","",INDEX(Каталог!$G$4:$G$500,$A160)&amp;"")</f>
        <v/>
      </c>
      <c r="D160" s="33"/>
      <c r="E160" s="31" t="str">
        <f>IF($A160="","",INDEX(Каталог!$H$4:$H$500,$A160)&amp;"")</f>
        <v/>
      </c>
      <c r="F160" s="32" t="str">
        <f>IF($A160="","",INDEX(Каталог!$B$4:$B$500,$A160)&amp;"")</f>
        <v/>
      </c>
      <c r="G160" s="32" t="str">
        <f>IF($A160="","",INDEX(Каталог!$M$4:$M$500,$A160)&amp;"")</f>
        <v/>
      </c>
      <c r="H160" s="32" t="str">
        <f>IF($A160="","",INDEX(Каталог!$P$4:$P$500,$A160))</f>
        <v/>
      </c>
      <c r="I160" s="5"/>
      <c r="J160" s="5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D00-000001000000}">
            <xm:f>Каталог!$R$28&lt;&gt;""</xm:f>
            <x14:dxf>
              <font>
                <b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C1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ED7D31"/>
  </sheetPr>
  <dimension ref="A1:F424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5.77734375" customWidth="1"/>
    <col min="2" max="2" width="12.77734375" customWidth="1"/>
    <col min="3" max="3" width="16.77734375" customWidth="1"/>
    <col min="4" max="4" width="46.77734375" customWidth="1"/>
    <col min="5" max="5" width="16.77734375" customWidth="1"/>
    <col min="6" max="6" width="50.77734375" customWidth="1"/>
  </cols>
  <sheetData>
    <row r="1" spans="1:6" x14ac:dyDescent="0.3">
      <c r="A1" s="36" t="s">
        <v>1771</v>
      </c>
    </row>
    <row r="3" spans="1:6" x14ac:dyDescent="0.3">
      <c r="A3" s="117" t="s">
        <v>668</v>
      </c>
      <c r="B3" s="117" t="s">
        <v>4</v>
      </c>
      <c r="C3" s="117" t="s">
        <v>1772</v>
      </c>
      <c r="D3" s="117" t="s">
        <v>1773</v>
      </c>
      <c r="E3" s="117" t="s">
        <v>440</v>
      </c>
      <c r="F3" s="117" t="s">
        <v>6</v>
      </c>
    </row>
    <row r="4" spans="1:6" x14ac:dyDescent="0.3">
      <c r="A4" cm="1">
        <f t="array" ref="A4:F424">_xlfn.LET(_xlpm.kk,_xlfn.TOCOL(_xlfn.HSTACK(Линии[_бирка 1],Линии[_бирка 2],Линии[_бирка 3],Линии[_бирка 4],Линии[_бирка 5],Линии[_бирка 6]),1),_xlpm.ii,_xlfn.TOCOL(_xlfn.HSTACK(Линии[_бирка 1 линия],Линии[_бирка 2 линия],Линии[_бирка 3 линия],Линии[_бирка 4 линия],Линии[_бирка 5 линия],Линии[_бирка 6 линия]),1),IF(ROWS(_xlpm.kk)=0,"нет",_xlfn.LET(_xlpm.u,_xlfn.UNIQUE(_xlpm.kk),_xlpm.inf,_xlfn.XLOOKUP(_xlpm.u,_xlpm.kk,_xlpm.ii),_xlfn.HSTACK(_xlfn.SEQUENCE(ROWS(_xlpm.u)),_xlfn.TEXTBEFORE(_xlpm.u,"¦"),_xlfn.TEXTBEFORE(_xlfn.TEXTAFTER(_xlpm.u,"¦"),"¦"),_xlfn.TEXTAFTER(_xlpm.u,"¦",2),_xlfn.TEXTBEFORE(_xlpm.inf,"¦"),_xlfn.TEXTAFTER(_xlpm.inf,"¦")))))</f>
        <v>1</v>
      </c>
      <c r="B4" t="e">
        <v>#N/A</v>
      </c>
      <c r="C4" t="e">
        <v>#N/A</v>
      </c>
      <c r="D4" t="e">
        <v>#VALUE!</v>
      </c>
      <c r="E4" t="e">
        <v>#N/A</v>
      </c>
      <c r="F4" t="e">
        <v>#N/A</v>
      </c>
    </row>
    <row r="5" spans="1:6" x14ac:dyDescent="0.3">
      <c r="A5">
        <v>2</v>
      </c>
      <c r="B5" t="str">
        <v>ГРЩ-ЖД</v>
      </c>
      <c r="C5" t="str">
        <v>XT1</v>
      </c>
      <c r="D5" t="str">
        <v>кабель ВВГнг(А)-FRLS (3х2,5) → Щит системы противопожарной защиты Цокольный этаж этаж Пом. №001Т Ввод.1</v>
      </c>
      <c r="E5" t="str">
        <v>ЩСПЗ-ЖД.1</v>
      </c>
      <c r="F5" t="str">
        <v>Щит системы противопожарной защиты Цокольный этаж этаж Пом. №001Т Ввод.1</v>
      </c>
    </row>
    <row r="6" spans="1:6" x14ac:dyDescent="0.3">
      <c r="A6">
        <v>3</v>
      </c>
      <c r="B6" t="str">
        <v>ГРЩ-ЖД</v>
      </c>
      <c r="C6" t="str">
        <v>XT2</v>
      </c>
      <c r="D6" t="str">
        <v>кабель ВВГнг(А)-FRLS (3х2,5) → Щит системы противопожарной защиты Цокольный этаж этаж Пом. №001Т Ввод.2</v>
      </c>
      <c r="E6" t="str">
        <v>ЩСПЗ-ЖД.2</v>
      </c>
      <c r="F6" t="str">
        <v>Щит системы противопожарной защиты Цокольный этаж этаж Пом. №001Т Ввод.2</v>
      </c>
    </row>
    <row r="7" spans="1:6" x14ac:dyDescent="0.3">
      <c r="A7">
        <v>4</v>
      </c>
      <c r="B7" t="str">
        <v>ГРЩ-ЖД</v>
      </c>
      <c r="C7" t="str">
        <v>XT4</v>
      </c>
      <c r="D7" t="str">
        <v>кабель 5хВВГнг(А)-LS  (1х185) → Щит вентиляции ЩОВ-001 Подвальный этаж этаж Пом. №00.006Т</v>
      </c>
      <c r="E7" t="str">
        <v>ЩОВ-001</v>
      </c>
      <c r="F7" t="str">
        <v>Щит вентиляции ЩОВ-001 Подвальный этаж этаж Пом. №00.006Т</v>
      </c>
    </row>
    <row r="8" spans="1:6" x14ac:dyDescent="0.3">
      <c r="A8">
        <v>5</v>
      </c>
      <c r="B8" t="str">
        <v>ГРЩ-ЖД</v>
      </c>
      <c r="C8" t="str">
        <v>XT17</v>
      </c>
      <c r="D8" t="str">
        <v>кабель ВВГнг(А)-LS (5х16) → Щит Хаммам РЩ-1  Подвальный этаж этаж Пом. №00.001Тб</v>
      </c>
      <c r="E8" t="str">
        <v>РЩ-1</v>
      </c>
      <c r="F8" t="str">
        <v>Щит Хаммам РЩ-1  Подвальный этаж этаж Пом. №00.001Тб</v>
      </c>
    </row>
    <row r="9" spans="1:6" x14ac:dyDescent="0.3">
      <c r="A9">
        <v>6</v>
      </c>
      <c r="B9" t="str">
        <v>ГРЩ-ЖД</v>
      </c>
      <c r="C9" t="str">
        <v>XT18</v>
      </c>
      <c r="D9" t="str">
        <v>кабель ВВГнг(А)-LS (3х6) → Флоатинг. Цокольный этаж этаж Пом. №023A</v>
      </c>
      <c r="E9" t="str">
        <v>Э.4</v>
      </c>
      <c r="F9" t="str">
        <v>Флоатинг. Цокольный этаж этаж Пом. №023A</v>
      </c>
    </row>
    <row r="10" spans="1:6" x14ac:dyDescent="0.3">
      <c r="A10">
        <v>7</v>
      </c>
      <c r="B10" t="str">
        <v>ЩГП</v>
      </c>
      <c r="C10" t="str">
        <v>QF1</v>
      </c>
      <c r="D10" t="str">
        <v>кабель  → Питание на ИБП</v>
      </c>
      <c r="E10" t="str">
        <v>На ИБП</v>
      </c>
      <c r="F10" t="str">
        <v>Питание на ИБП</v>
      </c>
    </row>
    <row r="11" spans="1:6" x14ac:dyDescent="0.3">
      <c r="A11">
        <v>8</v>
      </c>
      <c r="B11" t="str">
        <v>ЩГП</v>
      </c>
      <c r="C11" t="str">
        <v>QF2</v>
      </c>
      <c r="D11" t="str">
        <v>кабель  → Питание от ИБП</v>
      </c>
      <c r="E11" t="str">
        <v>От ИБП</v>
      </c>
      <c r="F11" t="str">
        <v>Питание от ИБП</v>
      </c>
    </row>
    <row r="12" spans="1:6" x14ac:dyDescent="0.3">
      <c r="A12">
        <v>9</v>
      </c>
      <c r="B12" t="str">
        <v>ЩГП</v>
      </c>
      <c r="C12" t="str">
        <v>QF3</v>
      </c>
      <c r="D12" t="str">
        <v>XT1</v>
      </c>
      <c r="E12" t="str">
        <v>ЩО-001</v>
      </c>
      <c r="F12" t="str">
        <v>Щит освещения ЩО-2 Подвальный этаж этаж Пом. №3.001</v>
      </c>
    </row>
    <row r="13" spans="1:6" x14ac:dyDescent="0.3">
      <c r="A13">
        <v>10</v>
      </c>
      <c r="B13" t="str">
        <v>ЩГП</v>
      </c>
      <c r="C13" t="str">
        <v>XT1</v>
      </c>
      <c r="D13" t="str">
        <v>кабель ВВГнг(А)-LS (5х6) → Щит освещения ЩО-2 Подвальный этаж этаж Пом. №3.001</v>
      </c>
      <c r="E13" t="str">
        <v>ЩО-001</v>
      </c>
      <c r="F13" t="str">
        <v>Щит освещения ЩО-2 Подвальный этаж этаж Пом. №3.001</v>
      </c>
    </row>
    <row r="14" spans="1:6" x14ac:dyDescent="0.3">
      <c r="A14">
        <v>11</v>
      </c>
      <c r="B14" t="str">
        <v>ЩГП</v>
      </c>
      <c r="C14" t="str">
        <v>QF4</v>
      </c>
      <c r="D14" t="str">
        <v>XT2</v>
      </c>
      <c r="E14" t="str">
        <v>ЩО-01</v>
      </c>
      <c r="F14" t="str">
        <v>Щит освещения ЩО-2 Цокольный этаж этаж Пом. №001Т</v>
      </c>
    </row>
    <row r="15" spans="1:6" x14ac:dyDescent="0.3">
      <c r="A15">
        <v>12</v>
      </c>
      <c r="B15" t="str">
        <v>ЩГП</v>
      </c>
      <c r="C15" t="str">
        <v>XT2</v>
      </c>
      <c r="D15" t="str">
        <v>кабель ВВГнг(А)-LS (5х6) → Щит освещения ЩО-2 Цокольный этаж этаж Пом. №001Т</v>
      </c>
      <c r="E15" t="str">
        <v>ЩО-01</v>
      </c>
      <c r="F15" t="str">
        <v>Щит освещения ЩО-2 Цокольный этаж этаж Пом. №001Т</v>
      </c>
    </row>
    <row r="16" spans="1:6" x14ac:dyDescent="0.3">
      <c r="A16">
        <v>13</v>
      </c>
      <c r="B16" t="str">
        <v>ЩОВ-001</v>
      </c>
      <c r="C16" t="str">
        <v>QF1</v>
      </c>
      <c r="D16" t="str">
        <v>XT2</v>
      </c>
      <c r="E16" t="str">
        <v>В.3</v>
      </c>
      <c r="F16" t="str">
        <v>Вытяжная установка Пом №006T</v>
      </c>
    </row>
    <row r="17" spans="1:6" x14ac:dyDescent="0.3">
      <c r="A17">
        <v>14</v>
      </c>
      <c r="B17" t="str">
        <v>ЩОВ-001</v>
      </c>
      <c r="C17" t="str">
        <v>XT2</v>
      </c>
      <c r="D17" t="str">
        <v>кабель ВВГнг(А)-LS (3х1,5) → Вытяжная установка Пом №006T</v>
      </c>
      <c r="E17" t="str">
        <v>В.3</v>
      </c>
      <c r="F17" t="str">
        <v>Вытяжная установка Пом №006T</v>
      </c>
    </row>
    <row r="18" spans="1:6" x14ac:dyDescent="0.3">
      <c r="A18">
        <v>15</v>
      </c>
      <c r="B18" t="str">
        <v>ЩОВ-001</v>
      </c>
      <c r="C18" t="str">
        <v>QF2</v>
      </c>
      <c r="D18" t="str">
        <v>XT3</v>
      </c>
      <c r="E18" t="str">
        <v>В.9</v>
      </c>
      <c r="F18" t="str">
        <v>Вытяжная установка Пом №006T</v>
      </c>
    </row>
    <row r="19" spans="1:6" x14ac:dyDescent="0.3">
      <c r="A19">
        <v>16</v>
      </c>
      <c r="B19" t="str">
        <v>ЩОВ-001</v>
      </c>
      <c r="C19" t="str">
        <v>XT3</v>
      </c>
      <c r="D19" t="str">
        <v>кабель ВВГнг(А)-LS (3х1,5) → Вытяжная установка Пом №006T</v>
      </c>
      <c r="E19" t="str">
        <v>В.9</v>
      </c>
      <c r="F19" t="str">
        <v>Вытяжная установка Пом №006T</v>
      </c>
    </row>
    <row r="20" spans="1:6" x14ac:dyDescent="0.3">
      <c r="A20">
        <v>17</v>
      </c>
      <c r="B20" t="str">
        <v>ЩОВ-001</v>
      </c>
      <c r="C20" t="str">
        <v>QF3</v>
      </c>
      <c r="D20" t="str">
        <v>XT4</v>
      </c>
      <c r="E20" t="str">
        <v>В.11</v>
      </c>
      <c r="F20" t="str">
        <v>Вытяжная установка Подвальный этаж Пом №006T</v>
      </c>
    </row>
    <row r="21" spans="1:6" x14ac:dyDescent="0.3">
      <c r="A21">
        <v>18</v>
      </c>
      <c r="B21" t="str">
        <v>ЩОВ-001</v>
      </c>
      <c r="C21" t="str">
        <v>XT4</v>
      </c>
      <c r="D21" t="str">
        <v>кабель ВВГнг(А)-LS (3х1,5) → Вытяжная установка Подвальный этаж Пом №006T</v>
      </c>
      <c r="E21" t="str">
        <v>В.11</v>
      </c>
      <c r="F21" t="str">
        <v>Вытяжная установка Подвальный этаж Пом №006T</v>
      </c>
    </row>
    <row r="22" spans="1:6" x14ac:dyDescent="0.3">
      <c r="A22">
        <v>19</v>
      </c>
      <c r="B22" t="str">
        <v>ЩОВ-001</v>
      </c>
      <c r="C22" t="str">
        <v>QF4</v>
      </c>
      <c r="D22" t="str">
        <v>кабель ВВГнг(А)-LS (3х1,5) → Вытяжная установка Подвальный этаж Пом №006T</v>
      </c>
      <c r="E22" t="str">
        <v>В.12</v>
      </c>
      <c r="F22" t="str">
        <v>Вытяжная установка Подвальный этаж Пом №006T</v>
      </c>
    </row>
    <row r="23" spans="1:6" x14ac:dyDescent="0.3">
      <c r="A23">
        <v>20</v>
      </c>
      <c r="B23" t="str">
        <v>ЩОВ-001</v>
      </c>
      <c r="C23" t="str">
        <v>QF5</v>
      </c>
      <c r="D23" t="str">
        <v>XT6</v>
      </c>
      <c r="E23" t="str">
        <v>В.13</v>
      </c>
      <c r="F23" t="str">
        <v>Вытяжная установка Подвальный этаж Пом №006T</v>
      </c>
    </row>
    <row r="24" spans="1:6" x14ac:dyDescent="0.3">
      <c r="A24">
        <v>21</v>
      </c>
      <c r="B24" t="str">
        <v>ЩОВ-001</v>
      </c>
      <c r="C24" t="str">
        <v>XT6</v>
      </c>
      <c r="D24" t="str">
        <v>кабель ВВГнг(А)-LS (3х1,5) → Вытяжная установка Подвальный этаж Пом №006T</v>
      </c>
      <c r="E24" t="str">
        <v>В.13</v>
      </c>
      <c r="F24" t="str">
        <v>Вытяжная установка Подвальный этаж Пом №006T</v>
      </c>
    </row>
    <row r="25" spans="1:6" x14ac:dyDescent="0.3">
      <c r="A25">
        <v>22</v>
      </c>
      <c r="B25" t="str">
        <v>ЩОВ-001</v>
      </c>
      <c r="C25" t="str">
        <v>QF6</v>
      </c>
      <c r="D25" t="str">
        <v>кабель ВВГнг(А)-LS (3х1,5) → Вытяжная установка Подвальный этаж Пом №006T</v>
      </c>
      <c r="E25" t="str">
        <v>В.17</v>
      </c>
      <c r="F25" t="str">
        <v>Вытяжная установка Подвальный этаж Пом №006T</v>
      </c>
    </row>
    <row r="26" spans="1:6" x14ac:dyDescent="0.3">
      <c r="A26">
        <v>23</v>
      </c>
      <c r="B26" t="str">
        <v>ЩОВ-001</v>
      </c>
      <c r="C26" t="str">
        <v>QF7</v>
      </c>
      <c r="D26" t="str">
        <v>кабель ВВГнг(А)-LS (3х1,5) → Вытяжная установка Подвальный этаж Пом №006T</v>
      </c>
      <c r="E26" t="str">
        <v>В.18</v>
      </c>
      <c r="F26" t="str">
        <v>Вытяжная установка Подвальный этаж Пом №006T</v>
      </c>
    </row>
    <row r="27" spans="1:6" x14ac:dyDescent="0.3">
      <c r="A27">
        <v>24</v>
      </c>
      <c r="B27" t="str">
        <v>ЩОВ-001</v>
      </c>
      <c r="C27" t="str">
        <v>QF8</v>
      </c>
      <c r="D27" t="str">
        <v>кабель ВВГнг(А)-LS (3х1,5) → Приточная установка Пом №006Т</v>
      </c>
      <c r="E27" t="str">
        <v>П.1</v>
      </c>
      <c r="F27" t="str">
        <v>Приточная установка Пом №006Т</v>
      </c>
    </row>
    <row r="28" spans="1:6" x14ac:dyDescent="0.3">
      <c r="A28">
        <v>25</v>
      </c>
      <c r="B28" t="str">
        <v>ЩОВ-001</v>
      </c>
      <c r="C28" t="str">
        <v>QF9</v>
      </c>
      <c r="D28" t="str">
        <v>кабель ВВГнг(А)-LS (3х1,5) → Приточная установка Пом №006Т</v>
      </c>
      <c r="E28" t="str">
        <v>П.2</v>
      </c>
      <c r="F28" t="str">
        <v>Приточная установка Пом №006Т</v>
      </c>
    </row>
    <row r="29" spans="1:6" x14ac:dyDescent="0.3">
      <c r="A29">
        <v>26</v>
      </c>
      <c r="B29" t="str">
        <v>ЩОВ-001</v>
      </c>
      <c r="C29" t="str">
        <v>QF10</v>
      </c>
      <c r="D29" t="str">
        <v>кабель ВВГнг(А)-LS (3х1,5) → Приточная установка Пом №006Т</v>
      </c>
      <c r="E29" t="str">
        <v>П.4</v>
      </c>
      <c r="F29" t="str">
        <v>Приточная установка Пом №006Т</v>
      </c>
    </row>
    <row r="30" spans="1:6" x14ac:dyDescent="0.3">
      <c r="A30">
        <v>27</v>
      </c>
      <c r="B30" t="str">
        <v>ЩОВ-001</v>
      </c>
      <c r="C30" t="str">
        <v>QF11</v>
      </c>
      <c r="D30" t="str">
        <v>кабель ВВГнг(А)-LS (3х2,5) → Приточно-вытяжная установка Подвальный этаж Пом. №006Т</v>
      </c>
      <c r="E30" t="str">
        <v>ПВ.2</v>
      </c>
      <c r="F30" t="str">
        <v>Приточно-вытяжная установка Подвальный этаж Пом. №006Т</v>
      </c>
    </row>
    <row r="31" spans="1:6" x14ac:dyDescent="0.3">
      <c r="A31">
        <v>28</v>
      </c>
      <c r="B31" t="str">
        <v>ЩОВ-001</v>
      </c>
      <c r="C31" t="str">
        <v>QF12</v>
      </c>
      <c r="D31" t="str">
        <v>кабель ВВГнг(А)-LS (3х1,5) → Приточно-вытяжная установка Подвальный этаж Пом. №006Т</v>
      </c>
      <c r="E31" t="str">
        <v>ПВ.3</v>
      </c>
      <c r="F31" t="str">
        <v>Приточно-вытяжная установка Подвальный этаж Пом. №006Т</v>
      </c>
    </row>
    <row r="32" spans="1:6" x14ac:dyDescent="0.3">
      <c r="A32">
        <v>29</v>
      </c>
      <c r="B32" t="str">
        <v>ЩОВ-001</v>
      </c>
      <c r="C32" t="str">
        <v>QF13</v>
      </c>
      <c r="D32" t="str">
        <v>кабель ВВГнг(А)-LS (3х1,5) → Приточно-вытяжная установка Подвальный этаж Пом. №006Т</v>
      </c>
      <c r="E32" t="str">
        <v>ПВ.4</v>
      </c>
      <c r="F32" t="str">
        <v>Приточно-вытяжная установка Подвальный этаж Пом. №006Т</v>
      </c>
    </row>
    <row r="33" spans="1:6" x14ac:dyDescent="0.3">
      <c r="A33">
        <v>30</v>
      </c>
      <c r="B33" t="str">
        <v>ЩОВ-001</v>
      </c>
      <c r="C33" t="str">
        <v>QF14</v>
      </c>
      <c r="D33" t="str">
        <v>кабель ВВГнг(А)-LS (3х1,5) → Внутренний блок кондиционера Подвальный этаж Пом. №006Т</v>
      </c>
      <c r="E33" t="str">
        <v>К.1.017А.1</v>
      </c>
      <c r="F33" t="str">
        <v>Внутренний блок кондиционера Подвальный этаж Пом. №006Т</v>
      </c>
    </row>
    <row r="34" spans="1:6" x14ac:dyDescent="0.3">
      <c r="A34">
        <v>31</v>
      </c>
      <c r="B34" t="str">
        <v>ЩОВ-001</v>
      </c>
      <c r="C34" t="str">
        <v>QF15</v>
      </c>
      <c r="D34" t="str">
        <v>кабель ВВГнг(А)-LS (3х1,5) → Внутренний блок кондиционера Подвальный этаж Пом. №006Т</v>
      </c>
      <c r="E34" t="str">
        <v>К.1.021А.1</v>
      </c>
      <c r="F34" t="str">
        <v>Внутренний блок кондиционера Подвальный этаж Пом. №006Т</v>
      </c>
    </row>
    <row r="35" spans="1:6" x14ac:dyDescent="0.3">
      <c r="A35">
        <v>32</v>
      </c>
      <c r="B35" t="str">
        <v>ЩОВ-001</v>
      </c>
      <c r="C35" t="str">
        <v>QF16</v>
      </c>
      <c r="D35" t="str">
        <v>кабель ВВГнг(А)-LS (3х2,5) → Внешний блок кондиционирования Пом. Венткиосок</v>
      </c>
      <c r="E35" t="str">
        <v>K.1</v>
      </c>
      <c r="F35" t="str">
        <v>Внешний блок кондиционирования Пом. Венткиосок</v>
      </c>
    </row>
    <row r="36" spans="1:6" x14ac:dyDescent="0.3">
      <c r="A36">
        <v>33</v>
      </c>
      <c r="B36" t="str">
        <v>ЩОВ-001</v>
      </c>
      <c r="C36" t="str">
        <v>QF17</v>
      </c>
      <c r="D36" t="str">
        <v>кабель ВВГнг(А)-LS (3х2,5) → Внешний блок кондиционирования Пом. Венткиосок</v>
      </c>
      <c r="E36" t="str">
        <v>K.2</v>
      </c>
      <c r="F36" t="str">
        <v>Внешний блок кондиционирования Пом. Венткиосок</v>
      </c>
    </row>
    <row r="37" spans="1:6" x14ac:dyDescent="0.3">
      <c r="A37">
        <v>34</v>
      </c>
      <c r="B37" t="str">
        <v>ЩОВ-001</v>
      </c>
      <c r="C37" t="str">
        <v>QF18</v>
      </c>
      <c r="D37" t="str">
        <v>кабель ВВГнг(А)-LS (3х2,5) → Внешний блок кондиционирования Пом. Венткиосок</v>
      </c>
      <c r="E37" t="str">
        <v>K.3</v>
      </c>
      <c r="F37" t="str">
        <v>Внешний блок кондиционирования Пом. Венткиосок</v>
      </c>
    </row>
    <row r="38" spans="1:6" x14ac:dyDescent="0.3">
      <c r="A38">
        <v>35</v>
      </c>
      <c r="B38" t="str">
        <v>ЩОВ-001</v>
      </c>
      <c r="C38" t="str">
        <v>QF19</v>
      </c>
      <c r="D38" t="str">
        <v>XT20</v>
      </c>
      <c r="E38" t="str">
        <v>K.4</v>
      </c>
      <c r="F38" t="str">
        <v>Внешний блок кондиционирования Пом. Венткиосок</v>
      </c>
    </row>
    <row r="39" spans="1:6" x14ac:dyDescent="0.3">
      <c r="A39">
        <v>36</v>
      </c>
      <c r="B39" t="str">
        <v>ЩОВ-001</v>
      </c>
      <c r="C39" t="str">
        <v>XT20</v>
      </c>
      <c r="D39" t="str">
        <v>кабель ВВГнг(А)-LS (3х2,5) → Внешний блок кондиционирования Пом. Венткиосок</v>
      </c>
      <c r="E39" t="str">
        <v>K.4</v>
      </c>
      <c r="F39" t="str">
        <v>Внешний блок кондиционирования Пом. Венткиосок</v>
      </c>
    </row>
    <row r="40" spans="1:6" x14ac:dyDescent="0.3">
      <c r="A40">
        <v>37</v>
      </c>
      <c r="B40" t="str">
        <v>ЩОВ-001</v>
      </c>
      <c r="C40" t="str">
        <v>QF20</v>
      </c>
      <c r="D40" t="str">
        <v>XT21</v>
      </c>
      <c r="E40" t="str">
        <v>K.5</v>
      </c>
      <c r="F40" t="str">
        <v>Внешний блок кондиционирования Пом. Венткиосок</v>
      </c>
    </row>
    <row r="41" spans="1:6" x14ac:dyDescent="0.3">
      <c r="A41">
        <v>38</v>
      </c>
      <c r="B41" t="str">
        <v>ЩОВ-001</v>
      </c>
      <c r="C41" t="str">
        <v>XT21</v>
      </c>
      <c r="D41" t="str">
        <v>кабель ВВГнг(А)-LS (3х2,5) → Внешний блок кондиционирования Пом. Венткиосок</v>
      </c>
      <c r="E41" t="str">
        <v>K.5</v>
      </c>
      <c r="F41" t="str">
        <v>Внешний блок кондиционирования Пом. Венткиосок</v>
      </c>
    </row>
    <row r="42" spans="1:6" x14ac:dyDescent="0.3">
      <c r="A42">
        <v>39</v>
      </c>
      <c r="B42" t="str">
        <v>ЩОВ-001</v>
      </c>
      <c r="C42" t="str">
        <v>QF21</v>
      </c>
      <c r="D42" t="str">
        <v>кабель ВВГнг(А)-LS (3х2,5) → Внешний блок кондиционирования Пом. Венткиосок</v>
      </c>
      <c r="E42" t="str">
        <v>K.6</v>
      </c>
      <c r="F42" t="str">
        <v>Внешний блок кондиционирования Пом. Венткиосок</v>
      </c>
    </row>
    <row r="43" spans="1:6" x14ac:dyDescent="0.3">
      <c r="A43">
        <v>40</v>
      </c>
      <c r="B43" t="str">
        <v>ЩОВ-001</v>
      </c>
      <c r="C43" t="str">
        <v>QF22</v>
      </c>
      <c r="D43" t="str">
        <v>кабель ВВГнг(А)-LS (3х2,5) → Внешний блок кондиционирования Пом. Венткиосок</v>
      </c>
      <c r="E43" t="str">
        <v>K.7</v>
      </c>
      <c r="F43" t="str">
        <v>Внешний блок кондиционирования Пом. Венткиосок</v>
      </c>
    </row>
    <row r="44" spans="1:6" x14ac:dyDescent="0.3">
      <c r="A44">
        <v>41</v>
      </c>
      <c r="B44" t="str">
        <v>ЩОВ-001</v>
      </c>
      <c r="C44" t="str">
        <v>QF23</v>
      </c>
      <c r="D44" t="str">
        <v>кабель ВВГнг(А)-LS (3х2,5) → Внешний блок кондиционирования Пом. Венткиосок</v>
      </c>
      <c r="E44" t="str">
        <v>K.8</v>
      </c>
      <c r="F44" t="str">
        <v>Внешний блок кондиционирования Пом. Венткиосок</v>
      </c>
    </row>
    <row r="45" spans="1:6" x14ac:dyDescent="0.3">
      <c r="A45">
        <v>42</v>
      </c>
      <c r="B45" t="str">
        <v>ЩОВ-001</v>
      </c>
      <c r="C45" t="str">
        <v>QF24</v>
      </c>
      <c r="D45" t="str">
        <v>кабель ВВГнг(А)-LS (3х2,5) → Внешний блок кондиционирования Пом. Венткиосок</v>
      </c>
      <c r="E45" t="str">
        <v>K.9</v>
      </c>
      <c r="F45" t="str">
        <v>Внешний блок кондиционирования Пом. Венткиосок</v>
      </c>
    </row>
    <row r="46" spans="1:6" x14ac:dyDescent="0.3">
      <c r="A46">
        <v>43</v>
      </c>
      <c r="B46" t="str">
        <v>ЩОВ-001</v>
      </c>
      <c r="C46" t="str">
        <v>QF25</v>
      </c>
      <c r="D46" t="str">
        <v>кабель ВВГнг(А)-LS (3х2,5) → Внешний блок кондиционирования Пом. Венткиосок</v>
      </c>
      <c r="E46" t="str">
        <v>K.10</v>
      </c>
      <c r="F46" t="str">
        <v>Внешний блок кондиционирования Пом. Венткиосок</v>
      </c>
    </row>
    <row r="47" spans="1:6" x14ac:dyDescent="0.3">
      <c r="A47">
        <v>44</v>
      </c>
      <c r="B47" t="str">
        <v>ЩОВ-001</v>
      </c>
      <c r="C47" t="str">
        <v>QF26</v>
      </c>
      <c r="D47" t="str">
        <v>кабель ВВГнг(А)-LS (3х2,5) → Внешний блок кондиционирования Пом. Венткиосок</v>
      </c>
      <c r="E47" t="str">
        <v>K.11</v>
      </c>
      <c r="F47" t="str">
        <v>Внешний блок кондиционирования Пом. Венткиосок</v>
      </c>
    </row>
    <row r="48" spans="1:6" x14ac:dyDescent="0.3">
      <c r="A48">
        <v>45</v>
      </c>
      <c r="B48" t="str">
        <v>ЩОВ-001</v>
      </c>
      <c r="C48" t="str">
        <v>QF27</v>
      </c>
      <c r="D48" t="str">
        <v>кабель ВВГнг(А)-LS (5х25) → Внешний блок кондиционирования Пом. Венткиосок</v>
      </c>
      <c r="E48" t="str">
        <v>ККБ-1</v>
      </c>
      <c r="F48" t="str">
        <v>Внешний блок кондиционирования Пом. Венткиосок</v>
      </c>
    </row>
    <row r="49" spans="1:6" x14ac:dyDescent="0.3">
      <c r="A49">
        <v>46</v>
      </c>
      <c r="B49" t="str">
        <v>ЩОВ-001</v>
      </c>
      <c r="C49" t="str">
        <v>QF28</v>
      </c>
      <c r="D49" t="str">
        <v>XT29</v>
      </c>
      <c r="E49" t="str">
        <v>ККБ-2</v>
      </c>
      <c r="F49" t="str">
        <v>Внешний блок кондиционирования Пом. Венткиосок</v>
      </c>
    </row>
    <row r="50" spans="1:6" x14ac:dyDescent="0.3">
      <c r="A50">
        <v>47</v>
      </c>
      <c r="B50" t="str">
        <v>ЩОВ-001</v>
      </c>
      <c r="C50" t="str">
        <v>XT29</v>
      </c>
      <c r="D50" t="str">
        <v>кабель ВВГнг(А)-LS (5х25) → Внешний блок кондиционирования Пом. Венткиосок</v>
      </c>
      <c r="E50" t="str">
        <v>ККБ-2</v>
      </c>
      <c r="F50" t="str">
        <v>Внешний блок кондиционирования Пом. Венткиосок</v>
      </c>
    </row>
    <row r="51" spans="1:6" x14ac:dyDescent="0.3">
      <c r="A51">
        <v>48</v>
      </c>
      <c r="B51" t="str">
        <v>ЩОВ-001</v>
      </c>
      <c r="C51" t="str">
        <v>QF29</v>
      </c>
      <c r="D51" t="str">
        <v>XT30</v>
      </c>
      <c r="E51" t="str">
        <v>НБ-1</v>
      </c>
      <c r="F51" t="str">
        <v>Внешний блок кондиционирования Пом. Венткиосок</v>
      </c>
    </row>
    <row r="52" spans="1:6" x14ac:dyDescent="0.3">
      <c r="A52">
        <v>49</v>
      </c>
      <c r="B52" t="str">
        <v>ЩОВ-001</v>
      </c>
      <c r="C52" t="str">
        <v>XT30</v>
      </c>
      <c r="D52" t="str">
        <v>кабель ВВГнг(А)-LS (5х25) → Внешний блок кондиционирования Пом. Венткиосок</v>
      </c>
      <c r="E52" t="str">
        <v>НБ-1</v>
      </c>
      <c r="F52" t="str">
        <v>Внешний блок кондиционирования Пом. Венткиосок</v>
      </c>
    </row>
    <row r="53" spans="1:6" x14ac:dyDescent="0.3">
      <c r="A53">
        <v>50</v>
      </c>
      <c r="B53" t="str">
        <v>ЩОВ-001</v>
      </c>
      <c r="C53" t="str">
        <v>QF30</v>
      </c>
      <c r="D53" t="str">
        <v>XT31</v>
      </c>
      <c r="E53" t="str">
        <v>ККБ-3</v>
      </c>
      <c r="F53" t="str">
        <v>Внешний блок кондиционирования Пом. Венткиосок</v>
      </c>
    </row>
    <row r="54" spans="1:6" x14ac:dyDescent="0.3">
      <c r="A54">
        <v>51</v>
      </c>
      <c r="B54" t="str">
        <v>ЩОВ-001</v>
      </c>
      <c r="C54" t="str">
        <v>XT31</v>
      </c>
      <c r="D54" t="str">
        <v>кабель ВВГнг(А)-LS (5х25) → Внешний блок кондиционирования Пом. Венткиосок</v>
      </c>
      <c r="E54" t="str">
        <v>ККБ-3</v>
      </c>
      <c r="F54" t="str">
        <v>Внешний блок кондиционирования Пом. Венткиосок</v>
      </c>
    </row>
    <row r="55" spans="1:6" x14ac:dyDescent="0.3">
      <c r="A55">
        <v>52</v>
      </c>
      <c r="B55" t="str">
        <v>ЩОВ-001</v>
      </c>
      <c r="C55" t="str">
        <v>QF31</v>
      </c>
      <c r="D55" t="str">
        <v>XT32</v>
      </c>
      <c r="E55" t="str">
        <v>ККБ-4</v>
      </c>
      <c r="F55" t="str">
        <v>Внешний блок кондиционирования Пом. Венткиосок</v>
      </c>
    </row>
    <row r="56" spans="1:6" x14ac:dyDescent="0.3">
      <c r="A56">
        <v>53</v>
      </c>
      <c r="B56" t="str">
        <v>ЩОВ-001</v>
      </c>
      <c r="C56" t="str">
        <v>XT32</v>
      </c>
      <c r="D56" t="str">
        <v>кабель ВВГнг(А)-LS (5х25) → Внешний блок кондиционирования Пом. Венткиосок</v>
      </c>
      <c r="E56" t="str">
        <v>ККБ-4</v>
      </c>
      <c r="F56" t="str">
        <v>Внешний блок кондиционирования Пом. Венткиосок</v>
      </c>
    </row>
    <row r="57" spans="1:6" x14ac:dyDescent="0.3">
      <c r="A57">
        <v>54</v>
      </c>
      <c r="B57" t="str">
        <v>ЩОВ-001</v>
      </c>
      <c r="C57" t="str">
        <v>QF32</v>
      </c>
      <c r="D57" t="str">
        <v>XT33</v>
      </c>
      <c r="E57" t="str">
        <v>НБ-2</v>
      </c>
      <c r="F57" t="str">
        <v>Внешний блок кондиционирования Пом. Венткиосок</v>
      </c>
    </row>
    <row r="58" spans="1:6" x14ac:dyDescent="0.3">
      <c r="A58">
        <v>55</v>
      </c>
      <c r="B58" t="str">
        <v>ЩОВ-001</v>
      </c>
      <c r="C58" t="str">
        <v>XT33</v>
      </c>
      <c r="D58" t="str">
        <v>кабель ВВГнг(А)-LS (5х25) → Внешний блок кондиционирования Пом. Венткиосок</v>
      </c>
      <c r="E58" t="str">
        <v>НБ-2</v>
      </c>
      <c r="F58" t="str">
        <v>Внешний блок кондиционирования Пом. Венткиосок</v>
      </c>
    </row>
    <row r="59" spans="1:6" x14ac:dyDescent="0.3">
      <c r="A59">
        <v>56</v>
      </c>
      <c r="B59" t="str">
        <v>ЩОВ-001</v>
      </c>
      <c r="C59" t="str">
        <v>QF33</v>
      </c>
      <c r="D59" t="str">
        <v>XT34</v>
      </c>
      <c r="E59" t="str">
        <v>НБ-3</v>
      </c>
      <c r="F59" t="str">
        <v>Внешний блок кондиционирования Пом. Венткиосок</v>
      </c>
    </row>
    <row r="60" spans="1:6" x14ac:dyDescent="0.3">
      <c r="A60">
        <v>57</v>
      </c>
      <c r="B60" t="str">
        <v>ЩОВ-001</v>
      </c>
      <c r="C60" t="str">
        <v>XT34</v>
      </c>
      <c r="D60" t="str">
        <v>кабель ВВГнг(А)-LS (5х6) → Внешний блок кондиционирования Пом. Венткиосок</v>
      </c>
      <c r="E60" t="str">
        <v>НБ-3</v>
      </c>
      <c r="F60" t="str">
        <v>Внешний блок кондиционирования Пом. Венткиосок</v>
      </c>
    </row>
    <row r="61" spans="1:6" x14ac:dyDescent="0.3">
      <c r="A61">
        <v>58</v>
      </c>
      <c r="B61" t="str">
        <v>ЩОВ-001</v>
      </c>
      <c r="C61" t="str">
        <v>QF34</v>
      </c>
      <c r="D61" t="str">
        <v>XT35</v>
      </c>
      <c r="E61" t="str">
        <v>НБ-4</v>
      </c>
      <c r="F61" t="str">
        <v>Внешний блок кондиционирования Пом. Венткиосок</v>
      </c>
    </row>
    <row r="62" spans="1:6" x14ac:dyDescent="0.3">
      <c r="A62">
        <v>59</v>
      </c>
      <c r="B62" t="str">
        <v>ЩОВ-001</v>
      </c>
      <c r="C62" t="str">
        <v>XT35</v>
      </c>
      <c r="D62" t="str">
        <v>кабель ВВГнг(А)-LS (5х4) → Внешний блок кондиционирования Пом. Венткиосок</v>
      </c>
      <c r="E62" t="str">
        <v>НБ-4</v>
      </c>
      <c r="F62" t="str">
        <v>Внешний блок кондиционирования Пом. Венткиосок</v>
      </c>
    </row>
    <row r="63" spans="1:6" x14ac:dyDescent="0.3">
      <c r="A63">
        <v>60</v>
      </c>
      <c r="B63" t="str">
        <v>ЩОВ-002</v>
      </c>
      <c r="C63" t="str">
        <v>QF1</v>
      </c>
      <c r="D63" t="str">
        <v>кабель ВВГнг(А)-LS (3х1,5) → Вытяжная установка Шлейф Подвальный этаж Пом. №003Т</v>
      </c>
      <c r="E63" t="str">
        <v>В.7</v>
      </c>
      <c r="F63" t="str">
        <v>Вытяжная установка Шлейф Подвальный этаж Пом. №003Т</v>
      </c>
    </row>
    <row r="64" spans="1:6" x14ac:dyDescent="0.3">
      <c r="A64">
        <v>61</v>
      </c>
      <c r="B64" t="str">
        <v>ЩОВ-002</v>
      </c>
      <c r="C64" t="str">
        <v>QF2</v>
      </c>
      <c r="D64" t="str">
        <v>XT3</v>
      </c>
      <c r="E64" t="str">
        <v>ПВ.1</v>
      </c>
      <c r="F64" t="str">
        <v>Приточно-вытяжная установка Подвальный этаж Пом. №003Т</v>
      </c>
    </row>
    <row r="65" spans="1:6" x14ac:dyDescent="0.3">
      <c r="A65">
        <v>62</v>
      </c>
      <c r="B65" t="str">
        <v>ЩОВ-002</v>
      </c>
      <c r="C65" t="str">
        <v>XT3</v>
      </c>
      <c r="D65" t="str">
        <v>кабель ВВГнг(А)-LS (3х2,5) → Приточно-вытяжная установка Подвальный этаж Пом. №003Т</v>
      </c>
      <c r="E65" t="str">
        <v>ПВ.1</v>
      </c>
      <c r="F65" t="str">
        <v>Приточно-вытяжная установка Подвальный этаж Пом. №003Т</v>
      </c>
    </row>
    <row r="66" spans="1:6" x14ac:dyDescent="0.3">
      <c r="A66">
        <v>63</v>
      </c>
      <c r="B66" t="str">
        <v>ЩОВ-002</v>
      </c>
      <c r="C66" t="str">
        <v>QF3</v>
      </c>
      <c r="D66" t="str">
        <v>кабель ВВГнг(А)-LS (3х1,5) → Приточно-вытяжная установка Подвальный этаж Пом. №003Т</v>
      </c>
      <c r="E66" t="str">
        <v>ПВ.К</v>
      </c>
      <c r="F66" t="str">
        <v>Приточно-вытяжная установка Подвальный этаж Пом. №003Т</v>
      </c>
    </row>
    <row r="67" spans="1:6" x14ac:dyDescent="0.3">
      <c r="A67">
        <v>64</v>
      </c>
      <c r="B67" t="str">
        <v>ЩОВ-002</v>
      </c>
      <c r="C67" t="str">
        <v>QF4</v>
      </c>
      <c r="D67" t="str">
        <v>кабель ВВГнг(А)-LS (3х4) → Приточно-вытяжная установка Подвальный этаж Пом. №005Т</v>
      </c>
      <c r="E67" t="str">
        <v>ПВ.10</v>
      </c>
      <c r="F67" t="str">
        <v>Приточно-вытяжная установка Подвальный этаж Пом. №005Т</v>
      </c>
    </row>
    <row r="68" spans="1:6" x14ac:dyDescent="0.3">
      <c r="A68">
        <v>65</v>
      </c>
      <c r="B68" t="str">
        <v>ЩОВ-002</v>
      </c>
      <c r="C68" t="str">
        <v>QF5</v>
      </c>
      <c r="D68" t="str">
        <v>кабель ВВГнг(А)-LS (3х1,5) → Внутренний блок кондиционирования Подвальный этаж Пом. №005Т</v>
      </c>
      <c r="E68" t="str">
        <v>K.0.002A</v>
      </c>
      <c r="F68" t="str">
        <v>Внутренний блок кондиционирования Подвальный этаж Пом. №005Т</v>
      </c>
    </row>
    <row r="69" spans="1:6" x14ac:dyDescent="0.3">
      <c r="A69">
        <v>66</v>
      </c>
      <c r="B69" t="str">
        <v>ЩОВ-002</v>
      </c>
      <c r="C69" t="str">
        <v>QF6</v>
      </c>
      <c r="D69" t="str">
        <v>кабель ВВГнг(А)-LS (3х1,5) → Внутренний блок кондиционирования Подвальный этаж Пом. №005Т</v>
      </c>
      <c r="E69" t="str">
        <v>K.0.006A</v>
      </c>
      <c r="F69" t="str">
        <v>Внутренний блок кондиционирования Подвальный этаж Пом. №005Т</v>
      </c>
    </row>
    <row r="70" spans="1:6" x14ac:dyDescent="0.3">
      <c r="A70">
        <v>67</v>
      </c>
      <c r="B70" t="str">
        <v>ЩОВ-002</v>
      </c>
      <c r="C70" t="str">
        <v>QF7</v>
      </c>
      <c r="D70" t="str">
        <v>кабель ВВГнг(А)-LS (3х1,5) → Внутренний блок кондиционирования Подвальный этаж Пом. №005Т</v>
      </c>
      <c r="E70" t="str">
        <v>K.00.001A</v>
      </c>
      <c r="F70" t="str">
        <v>Внутренний блок кондиционирования Подвальный этаж Пом. №005Т</v>
      </c>
    </row>
    <row r="71" spans="1:6" x14ac:dyDescent="0.3">
      <c r="A71">
        <v>68</v>
      </c>
      <c r="B71" t="str">
        <v>ЩОВ-002</v>
      </c>
      <c r="C71" t="str">
        <v>QF8</v>
      </c>
      <c r="D71" t="str">
        <v>кабель ВВГнг(А)-LS (3х1,5) → Внутренний блок кондиционирования Подвальный этаж Пом. №002Б</v>
      </c>
      <c r="E71" t="str">
        <v>K.00.004A</v>
      </c>
      <c r="F71" t="str">
        <v>Внутренний блок кондиционирования Подвальный этаж Пом. №002Б</v>
      </c>
    </row>
    <row r="72" spans="1:6" x14ac:dyDescent="0.3">
      <c r="A72">
        <v>69</v>
      </c>
      <c r="B72" t="str">
        <v>ЩОВ-002</v>
      </c>
      <c r="C72" t="str">
        <v>QF9</v>
      </c>
      <c r="D72" t="str">
        <v>кабель ВВГнг(А)-LS (3х1,5) → Внутренний блок кондиционирования Подвальный этаж Пом. №004Т</v>
      </c>
      <c r="E72" t="str">
        <v>K.00.004T.1</v>
      </c>
      <c r="F72" t="str">
        <v>Внутренний блок кондиционирования Подвальный этаж Пом. №004Т</v>
      </c>
    </row>
    <row r="73" spans="1:6" x14ac:dyDescent="0.3">
      <c r="A73">
        <v>70</v>
      </c>
      <c r="B73" t="str">
        <v>ЩОВ-002</v>
      </c>
      <c r="C73" t="str">
        <v>QF10</v>
      </c>
      <c r="D73" t="str">
        <v>кабель ВВГнг(А)-LS (3х1,5) → Внутренний блок кондиционирования Подвальный этаж Пом. №004Т</v>
      </c>
      <c r="E73" t="str">
        <v>K.00.004T.2</v>
      </c>
      <c r="F73" t="str">
        <v>Внутренний блок кондиционирования Подвальный этаж Пом. №004Т</v>
      </c>
    </row>
    <row r="74" spans="1:6" x14ac:dyDescent="0.3">
      <c r="A74">
        <v>71</v>
      </c>
      <c r="B74" t="str">
        <v>ЩОВ-002</v>
      </c>
      <c r="C74" t="str">
        <v>QF11</v>
      </c>
      <c r="D74" t="str">
        <v>кабель ВВГнг(А)-LS (3х1,5) → Внутренний блок кондиционирования Подвальный этаж Пом. №002Б</v>
      </c>
      <c r="E74" t="str">
        <v>K.00.007A</v>
      </c>
      <c r="F74" t="str">
        <v>Внутренний блок кондиционирования Подвальный этаж Пом. №002Б</v>
      </c>
    </row>
    <row r="75" spans="1:6" x14ac:dyDescent="0.3">
      <c r="A75">
        <v>72</v>
      </c>
      <c r="B75" t="str">
        <v>ЩОВ-002</v>
      </c>
      <c r="C75" t="str">
        <v>QF12</v>
      </c>
      <c r="D75" t="str">
        <v>кабель ВВГнг(А)-LS (3х1,5) → Внутренний блок кондиционирования Подвальный этаж Пом. №007Т</v>
      </c>
      <c r="E75" t="str">
        <v>K.00.007T.1</v>
      </c>
      <c r="F75" t="str">
        <v>Внутренний блок кондиционирования Подвальный этаж Пом. №007Т</v>
      </c>
    </row>
    <row r="76" spans="1:6" x14ac:dyDescent="0.3">
      <c r="A76">
        <v>73</v>
      </c>
      <c r="B76" t="str">
        <v>ЩОВ-002</v>
      </c>
      <c r="C76" t="str">
        <v>QF13</v>
      </c>
      <c r="D76" t="str">
        <v>кабель ВВГнг(А)-LS (3х1,5) → Внутренний блок кондиционирования Подвальный этаж Пом. №007Т</v>
      </c>
      <c r="E76" t="str">
        <v>K.00.007T.2</v>
      </c>
      <c r="F76" t="str">
        <v>Внутренний блок кондиционирования Подвальный этаж Пом. №007Т</v>
      </c>
    </row>
    <row r="77" spans="1:6" x14ac:dyDescent="0.3">
      <c r="A77">
        <v>74</v>
      </c>
      <c r="B77" t="str">
        <v>ЩОВ-01</v>
      </c>
      <c r="C77" t="str">
        <v>QF1</v>
      </c>
      <c r="D77" t="str">
        <v>XT2</v>
      </c>
      <c r="E77" t="str">
        <v>П.6</v>
      </c>
      <c r="F77" t="str">
        <v>Приточная установка Цокольный этаж Пом №001Тб</v>
      </c>
    </row>
    <row r="78" spans="1:6" x14ac:dyDescent="0.3">
      <c r="A78">
        <v>75</v>
      </c>
      <c r="B78" t="str">
        <v>ЩОВ-01</v>
      </c>
      <c r="C78" t="str">
        <v>XT2</v>
      </c>
      <c r="D78" t="str">
        <v>кабель ВВГнг(А)-LS (3х1,5) → Приточная установка Цокольный этаж Пом №001Тб</v>
      </c>
      <c r="E78" t="str">
        <v>П.6</v>
      </c>
      <c r="F78" t="str">
        <v>Приточная установка Цокольный этаж Пом №001Тб</v>
      </c>
    </row>
    <row r="79" spans="1:6" x14ac:dyDescent="0.3">
      <c r="A79">
        <v>76</v>
      </c>
      <c r="B79" t="str">
        <v>ЩОВ-01</v>
      </c>
      <c r="C79" t="str">
        <v>QF2</v>
      </c>
      <c r="D79" t="str">
        <v>XT3</v>
      </c>
      <c r="E79" t="str">
        <v>ПВ.6</v>
      </c>
      <c r="F79" t="str">
        <v>Приточно-вытяжная установка цокольный этаж Пом №001Тб</v>
      </c>
    </row>
    <row r="80" spans="1:6" x14ac:dyDescent="0.3">
      <c r="A80">
        <v>77</v>
      </c>
      <c r="B80" t="str">
        <v>ЩОВ-01</v>
      </c>
      <c r="C80" t="str">
        <v>XT3</v>
      </c>
      <c r="D80" t="str">
        <v>кабель ВВГнг(А)-LS (5х2,5) → Приточно-вытяжная установка цокольный этаж Пом №001Тб</v>
      </c>
      <c r="E80" t="str">
        <v>ПВ.6</v>
      </c>
      <c r="F80" t="str">
        <v>Приточно-вытяжная установка цокольный этаж Пом №001Тб</v>
      </c>
    </row>
    <row r="81" spans="1:6" x14ac:dyDescent="0.3">
      <c r="A81">
        <v>78</v>
      </c>
      <c r="B81" t="str">
        <v>ЩОВ-01</v>
      </c>
      <c r="C81" t="str">
        <v>QF3</v>
      </c>
      <c r="D81" t="str">
        <v>XT4</v>
      </c>
      <c r="E81" t="str">
        <v>ПВ.9</v>
      </c>
      <c r="F81" t="str">
        <v>Приточно-вытяжная установка цокольный этаж Пом №001Тб</v>
      </c>
    </row>
    <row r="82" spans="1:6" x14ac:dyDescent="0.3">
      <c r="A82">
        <v>79</v>
      </c>
      <c r="B82" t="str">
        <v>ЩОВ-01</v>
      </c>
      <c r="C82" t="str">
        <v>XT4</v>
      </c>
      <c r="D82" t="str">
        <v>кабель ВВГнг(А)-LS (3х1,5) → Приточно-вытяжная установка цокольный этаж Пом №001Тб</v>
      </c>
      <c r="E82" t="str">
        <v>ПВ.9</v>
      </c>
      <c r="F82" t="str">
        <v>Приточно-вытяжная установка цокольный этаж Пом №001Тб</v>
      </c>
    </row>
    <row r="83" spans="1:6" x14ac:dyDescent="0.3">
      <c r="A83">
        <v>80</v>
      </c>
      <c r="B83" t="str">
        <v>ЩОВ-01</v>
      </c>
      <c r="C83" t="str">
        <v>QF4</v>
      </c>
      <c r="D83" t="str">
        <v>XT5</v>
      </c>
      <c r="E83" t="str">
        <v>В.2</v>
      </c>
      <c r="F83" t="str">
        <v>Вытяжная установка Пом. №003Б</v>
      </c>
    </row>
    <row r="84" spans="1:6" x14ac:dyDescent="0.3">
      <c r="A84">
        <v>81</v>
      </c>
      <c r="B84" t="str">
        <v>ЩОВ-01</v>
      </c>
      <c r="C84" t="str">
        <v>XT5</v>
      </c>
      <c r="D84" t="str">
        <v>кабель ВВГнг(А)-LS (3х1,5) → Вытяжная установка Пом. №003Б</v>
      </c>
      <c r="E84" t="str">
        <v>В.2</v>
      </c>
      <c r="F84" t="str">
        <v>Вытяжная установка Пом. №003Б</v>
      </c>
    </row>
    <row r="85" spans="1:6" x14ac:dyDescent="0.3">
      <c r="A85">
        <v>82</v>
      </c>
      <c r="B85" t="str">
        <v>ЩОВ-01</v>
      </c>
      <c r="C85" t="str">
        <v>QF5</v>
      </c>
      <c r="D85" t="str">
        <v>кабель ВВГнг(А)-LS (3х1,5) → Вытяжная установка Пом. №019Б</v>
      </c>
      <c r="E85" t="str">
        <v>В.10</v>
      </c>
      <c r="F85" t="str">
        <v>Вытяжная установка Пом. №019Б</v>
      </c>
    </row>
    <row r="86" spans="1:6" x14ac:dyDescent="0.3">
      <c r="A86">
        <v>83</v>
      </c>
      <c r="B86" t="str">
        <v>ЩОВ-01</v>
      </c>
      <c r="C86" t="str">
        <v>QF6</v>
      </c>
      <c r="D86" t="str">
        <v>XT7</v>
      </c>
      <c r="E86" t="str">
        <v>В.24</v>
      </c>
      <c r="F86" t="str">
        <v>Внутренний блок кондиционирования подвальный этаж Пом. №0001Тб</v>
      </c>
    </row>
    <row r="87" spans="1:6" x14ac:dyDescent="0.3">
      <c r="A87">
        <v>84</v>
      </c>
      <c r="B87" t="str">
        <v>ЩОВ-01</v>
      </c>
      <c r="C87" t="str">
        <v>XT7</v>
      </c>
      <c r="D87" t="str">
        <v>кабель ВВГнг(А)-LS (3х1,5) → Внутренний блок кондиционирования подвальный этаж Пом. №0001Тб</v>
      </c>
      <c r="E87" t="str">
        <v>В.24</v>
      </c>
      <c r="F87" t="str">
        <v>Внутренний блок кондиционирования подвальный этаж Пом. №0001Тб</v>
      </c>
    </row>
    <row r="88" spans="1:6" x14ac:dyDescent="0.3">
      <c r="A88">
        <v>85</v>
      </c>
      <c r="B88" t="str">
        <v>ЩОВ-01</v>
      </c>
      <c r="C88" t="str">
        <v>QF7</v>
      </c>
      <c r="D88" t="str">
        <v>кабель ВВГнг(А)-LS (3х1,5) → Внутренний блок кондиционирования подвальный этаж Пом. №01Тб</v>
      </c>
      <c r="E88" t="str">
        <v>В.25</v>
      </c>
      <c r="F88" t="str">
        <v>Внутренний блок кондиционирования подвальный этаж Пом. №01Тб</v>
      </c>
    </row>
    <row r="89" spans="1:6" x14ac:dyDescent="0.3">
      <c r="A89">
        <v>86</v>
      </c>
      <c r="B89" t="str">
        <v>ЩОВ-01</v>
      </c>
      <c r="C89" t="str">
        <v>QF8</v>
      </c>
      <c r="D89" t="str">
        <v>кабель ВВГнг(А)-LS (3х1,5) → Внутренний блок кондиционирования цокольный этаж Пом. №001Т</v>
      </c>
      <c r="E89" t="str">
        <v>K.0.001T.1</v>
      </c>
      <c r="F89" t="str">
        <v>Внутренний блок кондиционирования цокольный этаж Пом. №001Т</v>
      </c>
    </row>
    <row r="90" spans="1:6" x14ac:dyDescent="0.3">
      <c r="A90">
        <v>87</v>
      </c>
      <c r="B90" t="str">
        <v>ЩОВ-01</v>
      </c>
      <c r="C90" t="str">
        <v>QF9</v>
      </c>
      <c r="D90" t="str">
        <v>кабель ВВГнг(А)-LS (3х1,5) → Внутренний блок кондиционирования цокольный этаж Пом. №001Т</v>
      </c>
      <c r="E90" t="str">
        <v>K.0.001T.2</v>
      </c>
      <c r="F90" t="str">
        <v>Внутренний блок кондиционирования цокольный этаж Пом. №001Т</v>
      </c>
    </row>
    <row r="91" spans="1:6" x14ac:dyDescent="0.3">
      <c r="A91">
        <v>88</v>
      </c>
      <c r="B91" t="str">
        <v>ЩОВ-01</v>
      </c>
      <c r="C91" t="str">
        <v>QF10</v>
      </c>
      <c r="D91" t="str">
        <v>кабель ВВГнг(А)-LS (3х1,5) → Внутренний блок кондиционирования цокольный этаж Пом. №002Т</v>
      </c>
      <c r="E91" t="str">
        <v>K.0.002T.1</v>
      </c>
      <c r="F91" t="str">
        <v>Внутренний блок кондиционирования цокольный этаж Пом. №002Т</v>
      </c>
    </row>
    <row r="92" spans="1:6" x14ac:dyDescent="0.3">
      <c r="A92">
        <v>89</v>
      </c>
      <c r="B92" t="str">
        <v>ЩОВ-01</v>
      </c>
      <c r="C92" t="str">
        <v>QF11</v>
      </c>
      <c r="D92" t="str">
        <v>кабель ВВГнг(А)-LS (3х1,5) → Внутренний блок кондиционирования цокольный этаж Пом. №002Т</v>
      </c>
      <c r="E92" t="str">
        <v>K.0.002T.2</v>
      </c>
      <c r="F92" t="str">
        <v>Внутренний блок кондиционирования цокольный этаж Пом. №002Т</v>
      </c>
    </row>
    <row r="93" spans="1:6" x14ac:dyDescent="0.3">
      <c r="A93">
        <v>90</v>
      </c>
      <c r="B93" t="str">
        <v>ЩОВ-01</v>
      </c>
      <c r="C93" t="str">
        <v>QF12</v>
      </c>
      <c r="D93" t="str">
        <v>кабель ВВГнг(А)-LS (3х1,5) → Внутренний блок кондиционирования цокольный этаж Пом. №013.1Б</v>
      </c>
      <c r="E93" t="str">
        <v>K.0.004A-K.0.005A</v>
      </c>
      <c r="F93" t="str">
        <v>Внутренний блок кондиционирования цокольный этаж Пом. №013.1Б</v>
      </c>
    </row>
    <row r="94" spans="1:6" x14ac:dyDescent="0.3">
      <c r="A94">
        <v>91</v>
      </c>
      <c r="B94" t="str">
        <v>ЩОВ-01</v>
      </c>
      <c r="C94" t="str">
        <v>QF13</v>
      </c>
      <c r="D94" t="str">
        <v>кабель ВВГнг(А)-LS (3х1,5) → Внутренний блок кондиционирования цокольный этаж Пом. №005Б</v>
      </c>
      <c r="E94" t="str">
        <v>K.0.005Б.1</v>
      </c>
      <c r="F94" t="str">
        <v>Внутренний блок кондиционирования цокольный этаж Пом. №005Б</v>
      </c>
    </row>
    <row r="95" spans="1:6" x14ac:dyDescent="0.3">
      <c r="A95">
        <v>92</v>
      </c>
      <c r="B95" t="str">
        <v>ЩОВ-01</v>
      </c>
      <c r="C95" t="str">
        <v>QF14</v>
      </c>
      <c r="D95" t="str">
        <v>кабель ВВГнг(А)-LS (3х1,5) → Внутренний блок кондиционирования цокольный этаж Пом. №005Б</v>
      </c>
      <c r="E95" t="str">
        <v>K.0.005Б.2</v>
      </c>
      <c r="F95" t="str">
        <v>Внутренний блок кондиционирования цокольный этаж Пом. №005Б</v>
      </c>
    </row>
    <row r="96" spans="1:6" x14ac:dyDescent="0.3">
      <c r="A96">
        <v>93</v>
      </c>
      <c r="B96" t="str">
        <v>ЩОВ-01</v>
      </c>
      <c r="C96" t="str">
        <v>QF15</v>
      </c>
      <c r="D96" t="str">
        <v>кабель ВВГнг(А)-LS (3х1,5) → Внутренний блок кондиционирования цокольный этаж Пом. №014Б</v>
      </c>
      <c r="E96" t="str">
        <v>K.0.006A</v>
      </c>
      <c r="F96" t="str">
        <v>Внутренний блок кондиционирования цокольный этаж Пом. №014Б</v>
      </c>
    </row>
    <row r="97" spans="1:6" x14ac:dyDescent="0.3">
      <c r="A97">
        <v>94</v>
      </c>
      <c r="B97" t="str">
        <v>ЩОВ-01</v>
      </c>
      <c r="C97" t="str">
        <v>QF16</v>
      </c>
      <c r="D97" t="str">
        <v>кабель ВВГнг(А)-LS (3х1,5) → Внутренний блок кондиционирования цокольный этаж Пом. №014Б</v>
      </c>
      <c r="E97" t="str">
        <v>K.0.008A</v>
      </c>
      <c r="F97" t="str">
        <v>Внутренний блок кондиционирования цокольный этаж Пом. №014Б</v>
      </c>
    </row>
    <row r="98" spans="1:6" x14ac:dyDescent="0.3">
      <c r="A98">
        <v>95</v>
      </c>
      <c r="B98" t="str">
        <v>ЩОВ-01</v>
      </c>
      <c r="C98" t="str">
        <v>QF17</v>
      </c>
      <c r="D98" t="str">
        <v>кабель ВВГнг(А)-LS (3х1,5) → Внутренний блок кондиционирования цокольный этаж Пом. №012Б</v>
      </c>
      <c r="E98" t="str">
        <v>K.0.012Б</v>
      </c>
      <c r="F98" t="str">
        <v>Внутренний блок кондиционирования цокольный этаж Пом. №012Б</v>
      </c>
    </row>
    <row r="99" spans="1:6" x14ac:dyDescent="0.3">
      <c r="A99">
        <v>96</v>
      </c>
      <c r="B99" t="str">
        <v>ЩОВ-01</v>
      </c>
      <c r="C99" t="str">
        <v>QF18</v>
      </c>
      <c r="D99" t="str">
        <v>кабель ВВГнг(А)-LS (3х1,5) → Внутренний блок кондиционирования подвальный этаж Пом. №001Т</v>
      </c>
      <c r="E99" t="str">
        <v>K.1.002AБ.1</v>
      </c>
      <c r="F99" t="str">
        <v>Внутренний блок кондиционирования подвальный этаж Пом. №001Т</v>
      </c>
    </row>
    <row r="100" spans="1:6" x14ac:dyDescent="0.3">
      <c r="A100">
        <v>97</v>
      </c>
      <c r="B100" t="str">
        <v>ЩОВ-01</v>
      </c>
      <c r="C100" t="str">
        <v>QF19</v>
      </c>
      <c r="D100" t="str">
        <v>кабель ВВГнг(А)-LS (3х1,5) → Внутренний блок кондиционирования подвальный этаж Пом. №001Т</v>
      </c>
      <c r="E100" t="str">
        <v>K.1.002AБ.2</v>
      </c>
      <c r="F100" t="str">
        <v>Внутренний блок кондиционирования подвальный этаж Пом. №001Т</v>
      </c>
    </row>
    <row r="101" spans="1:6" x14ac:dyDescent="0.3">
      <c r="A101">
        <v>98</v>
      </c>
      <c r="B101" t="str">
        <v>ЩОВ-01</v>
      </c>
      <c r="C101" t="str">
        <v>QF20</v>
      </c>
      <c r="D101" t="str">
        <v>XT21</v>
      </c>
      <c r="E101" t="str">
        <v>K.1.006A</v>
      </c>
      <c r="F101" t="str">
        <v>Внутренний блок кондиционирования подвальный этаж Пом. №001Т</v>
      </c>
    </row>
    <row r="102" spans="1:6" x14ac:dyDescent="0.3">
      <c r="A102">
        <v>99</v>
      </c>
      <c r="B102" t="str">
        <v>ЩОВ-01</v>
      </c>
      <c r="C102" t="str">
        <v>XT21</v>
      </c>
      <c r="D102" t="str">
        <v>кабель ВВГнг(А)-LS (3х1,5) → Внутренний блок кондиционирования подвальный этаж Пом. №001Т</v>
      </c>
      <c r="E102" t="str">
        <v>K.1.006A</v>
      </c>
      <c r="F102" t="str">
        <v>Внутренний блок кондиционирования подвальный этаж Пом. №001Т</v>
      </c>
    </row>
    <row r="103" spans="1:6" x14ac:dyDescent="0.3">
      <c r="A103">
        <v>100</v>
      </c>
      <c r="B103" t="str">
        <v>ЩОВ-01</v>
      </c>
      <c r="C103" t="str">
        <v>QF21</v>
      </c>
      <c r="D103" t="str">
        <v>XT22</v>
      </c>
      <c r="E103" t="str">
        <v>K.1.002Б</v>
      </c>
      <c r="F103" t="str">
        <v>Внутренний блок кондиционирования первый этаж Пом. №002Б</v>
      </c>
    </row>
    <row r="104" spans="1:6" x14ac:dyDescent="0.3">
      <c r="A104">
        <v>101</v>
      </c>
      <c r="B104" t="str">
        <v>ЩОВ-01</v>
      </c>
      <c r="C104" t="str">
        <v>XT22</v>
      </c>
      <c r="D104" t="str">
        <v>кабель ВВГнг(А)-LS (3х1,5) → Внутренний блок кондиционирования первый этаж Пом. №002Б</v>
      </c>
      <c r="E104" t="str">
        <v>K.1.002Б</v>
      </c>
      <c r="F104" t="str">
        <v>Внутренний блок кондиционирования первый этаж Пом. №002Б</v>
      </c>
    </row>
    <row r="105" spans="1:6" x14ac:dyDescent="0.3">
      <c r="A105">
        <v>102</v>
      </c>
      <c r="B105" t="str">
        <v>ЩОВ-01</v>
      </c>
      <c r="C105" t="str">
        <v>QF22</v>
      </c>
      <c r="D105" t="str">
        <v>кабель ВВГнг(А)-LS (3х1,5) → Внутренний блок кондиционирования первый этаж Пом. №003Б</v>
      </c>
      <c r="E105" t="str">
        <v>K.1.007A</v>
      </c>
      <c r="F105" t="str">
        <v>Внутренний блок кондиционирования первый этаж Пом. №003Б</v>
      </c>
    </row>
    <row r="106" spans="1:6" x14ac:dyDescent="0.3">
      <c r="A106">
        <v>103</v>
      </c>
      <c r="B106" t="str">
        <v>ЩОВ-01</v>
      </c>
      <c r="C106" t="str">
        <v>QF23</v>
      </c>
      <c r="D106" t="str">
        <v>кабель ВВГнг(А)-LS (3х1,5) → Внутренний блок кондиционирования первый этаж Пом. №003Б</v>
      </c>
      <c r="E106" t="str">
        <v>K.1.010A</v>
      </c>
      <c r="F106" t="str">
        <v>Внутренний блок кондиционирования первый этаж Пом. №003Б</v>
      </c>
    </row>
    <row r="107" spans="1:6" x14ac:dyDescent="0.3">
      <c r="A107">
        <v>104</v>
      </c>
      <c r="B107" t="str">
        <v>ЩОВ-01</v>
      </c>
      <c r="C107" t="str">
        <v>QF24</v>
      </c>
      <c r="D107" t="str">
        <v>кабель ВВГнг(А)-LS (3х1,5) → Внутренний блок кондиционирования первый этаж Пом. №002Б</v>
      </c>
      <c r="E107" t="str">
        <v>K.1.011A</v>
      </c>
      <c r="F107" t="str">
        <v>Внутренний блок кондиционирования первый этаж Пом. №002Б</v>
      </c>
    </row>
    <row r="108" spans="1:6" x14ac:dyDescent="0.3">
      <c r="A108">
        <v>105</v>
      </c>
      <c r="B108" t="str">
        <v>ЩОВ-01</v>
      </c>
      <c r="C108" t="str">
        <v>QF25</v>
      </c>
      <c r="D108" t="str">
        <v>кабель ВВГнг(А)-LS (3х1,5) → Внутренний блок кондиционирования первый этаж Пом. №002Б</v>
      </c>
      <c r="E108" t="str">
        <v>K.1.014A</v>
      </c>
      <c r="F108" t="str">
        <v>Внутренний блок кондиционирования первый этаж Пом. №002Б</v>
      </c>
    </row>
    <row r="109" spans="1:6" x14ac:dyDescent="0.3">
      <c r="A109">
        <v>106</v>
      </c>
      <c r="B109" t="str">
        <v>ЩОВ-01</v>
      </c>
      <c r="C109" t="str">
        <v>QF26</v>
      </c>
      <c r="D109" t="str">
        <v>кабель ВВГнг(А)-LS (3х1,5) → Внутренний блок кондиционирования первый этаж Пом. №002Б</v>
      </c>
      <c r="E109" t="str">
        <v>K.1.015A</v>
      </c>
      <c r="F109" t="str">
        <v>Внутренний блок кондиционирования первый этаж Пом. №002Б</v>
      </c>
    </row>
    <row r="110" spans="1:6" x14ac:dyDescent="0.3">
      <c r="A110">
        <v>107</v>
      </c>
      <c r="B110" t="str">
        <v>ЩОВ-2</v>
      </c>
      <c r="C110" t="str">
        <v>QF1</v>
      </c>
      <c r="D110" t="str">
        <v>XT1</v>
      </c>
      <c r="E110" t="str">
        <v>K.1.001A.1</v>
      </c>
      <c r="F110" t="str">
        <v>Внутренний блок кондиционирования Технический этаж Пом. №001Т</v>
      </c>
    </row>
    <row r="111" spans="1:6" x14ac:dyDescent="0.3">
      <c r="A111">
        <v>108</v>
      </c>
      <c r="B111" t="str">
        <v>ЩОВ-2</v>
      </c>
      <c r="C111" t="str">
        <v>XT1</v>
      </c>
      <c r="D111" t="str">
        <v>кабель ВВГнг(А)-LS (3х1,5) → Внутренний блок кондиционирования Технический этаж Пом. №001Т</v>
      </c>
      <c r="E111" t="str">
        <v>K.1.001A.1</v>
      </c>
      <c r="F111" t="str">
        <v>Внутренний блок кондиционирования Технический этаж Пом. №001Т</v>
      </c>
    </row>
    <row r="112" spans="1:6" x14ac:dyDescent="0.3">
      <c r="A112">
        <v>109</v>
      </c>
      <c r="B112" t="str">
        <v>ЩОВ-2</v>
      </c>
      <c r="C112" t="str">
        <v>QF2</v>
      </c>
      <c r="D112" t="str">
        <v>XT2</v>
      </c>
      <c r="E112" t="str">
        <v>K.1.001A.2</v>
      </c>
      <c r="F112" t="str">
        <v>Внутренний блок кондиционирования Технический этаж Пом. №001Т</v>
      </c>
    </row>
    <row r="113" spans="1:6" x14ac:dyDescent="0.3">
      <c r="A113">
        <v>110</v>
      </c>
      <c r="B113" t="str">
        <v>ЩОВ-2</v>
      </c>
      <c r="C113" t="str">
        <v>XT2</v>
      </c>
      <c r="D113" t="str">
        <v>кабель ВВГнг(А)-LS (3х1,5) → Внутренний блок кондиционирования Технический этаж Пом. №001Т</v>
      </c>
      <c r="E113" t="str">
        <v>K.1.001A.2</v>
      </c>
      <c r="F113" t="str">
        <v>Внутренний блок кондиционирования Технический этаж Пом. №001Т</v>
      </c>
    </row>
    <row r="114" spans="1:6" x14ac:dyDescent="0.3">
      <c r="A114">
        <v>111</v>
      </c>
      <c r="B114" t="str">
        <v>ЩОВ-2</v>
      </c>
      <c r="C114" t="str">
        <v>QF3</v>
      </c>
      <c r="D114" t="str">
        <v>XT3</v>
      </c>
      <c r="E114" t="str">
        <v>K.1.003A</v>
      </c>
      <c r="F114" t="str">
        <v>Внутренний блок кондиционирования Технический этаж Пом. №002Т</v>
      </c>
    </row>
    <row r="115" spans="1:6" x14ac:dyDescent="0.3">
      <c r="A115">
        <v>112</v>
      </c>
      <c r="B115" t="str">
        <v>ЩОВ-2</v>
      </c>
      <c r="C115" t="str">
        <v>XT3</v>
      </c>
      <c r="D115" t="str">
        <v>кабель ВВГнг(А)-LS (3х1,5) → Внутренний блок кондиционирования Технический этаж Пом. №002Т</v>
      </c>
      <c r="E115" t="str">
        <v>K.1.003A</v>
      </c>
      <c r="F115" t="str">
        <v>Внутренний блок кондиционирования Технический этаж Пом. №002Т</v>
      </c>
    </row>
    <row r="116" spans="1:6" x14ac:dyDescent="0.3">
      <c r="A116">
        <v>113</v>
      </c>
      <c r="B116" t="str">
        <v>ЩОВ-2</v>
      </c>
      <c r="C116" t="str">
        <v>QF4</v>
      </c>
      <c r="D116" t="str">
        <v>XT4</v>
      </c>
      <c r="E116" t="str">
        <v>K.1.005A</v>
      </c>
      <c r="F116" t="str">
        <v>Внутренний блок кондиционирования Технический этаж Пом. №001Т</v>
      </c>
    </row>
    <row r="117" spans="1:6" x14ac:dyDescent="0.3">
      <c r="A117">
        <v>114</v>
      </c>
      <c r="B117" t="str">
        <v>ЩОВ-2</v>
      </c>
      <c r="C117" t="str">
        <v>XT4</v>
      </c>
      <c r="D117" t="str">
        <v>кабель ВВГнг(А)-LS (3х1,5) → Внутренний блок кондиционирования Технический этаж Пом. №001Т</v>
      </c>
      <c r="E117" t="str">
        <v>K.1.005A</v>
      </c>
      <c r="F117" t="str">
        <v>Внутренний блок кондиционирования Технический этаж Пом. №001Т</v>
      </c>
    </row>
    <row r="118" spans="1:6" x14ac:dyDescent="0.3">
      <c r="A118">
        <v>115</v>
      </c>
      <c r="B118" t="str">
        <v>ЩОВ-2</v>
      </c>
      <c r="C118" t="str">
        <v>QF5</v>
      </c>
      <c r="D118" t="str">
        <v>кабель ВВГнг(А)-LS (3х1,5) → Внутренний блок кондиционирования Технический этаж Пом. №002Т</v>
      </c>
      <c r="E118" t="str">
        <v>K.2.004A</v>
      </c>
      <c r="F118" t="str">
        <v>Внутренний блок кондиционирования Технический этаж Пом. №002Т</v>
      </c>
    </row>
    <row r="119" spans="1:6" x14ac:dyDescent="0.3">
      <c r="A119">
        <v>116</v>
      </c>
      <c r="B119" t="str">
        <v>ЩОВ-2</v>
      </c>
      <c r="C119" t="str">
        <v>QF6</v>
      </c>
      <c r="D119" t="str">
        <v>XT6</v>
      </c>
      <c r="E119" t="str">
        <v>K.2.005A</v>
      </c>
      <c r="F119" t="str">
        <v>Внутренний блок кондиционирования Технический этаж Пом. №002Т</v>
      </c>
    </row>
    <row r="120" spans="1:6" x14ac:dyDescent="0.3">
      <c r="A120">
        <v>117</v>
      </c>
      <c r="B120" t="str">
        <v>ЩОВ-2</v>
      </c>
      <c r="C120" t="str">
        <v>XT6</v>
      </c>
      <c r="D120" t="str">
        <v>кабель ВВГнг(А)-LS (3х1,5) → Внутренний блок кондиционирования Технический этаж Пом. №002Т</v>
      </c>
      <c r="E120" t="str">
        <v>K.2.005A</v>
      </c>
      <c r="F120" t="str">
        <v>Внутренний блок кондиционирования Технический этаж Пом. №002Т</v>
      </c>
    </row>
    <row r="121" spans="1:6" x14ac:dyDescent="0.3">
      <c r="A121">
        <v>118</v>
      </c>
      <c r="B121" t="str">
        <v>ЩОВ-2</v>
      </c>
      <c r="C121" t="str">
        <v>QF7</v>
      </c>
      <c r="D121" t="str">
        <v>кабель ВВГнг(А)-LS (3х1,5) → Внутренний блок кондиционирования Технический этаж Пом. №002Т</v>
      </c>
      <c r="E121" t="str">
        <v>K.2.008A</v>
      </c>
      <c r="F121" t="str">
        <v>Внутренний блок кондиционирования Технический этаж Пом. №002Т</v>
      </c>
    </row>
    <row r="122" spans="1:6" x14ac:dyDescent="0.3">
      <c r="A122">
        <v>119</v>
      </c>
      <c r="B122" t="str">
        <v>ЩОВ-2</v>
      </c>
      <c r="C122" t="str">
        <v>QF8</v>
      </c>
      <c r="D122" t="str">
        <v>кабель ВВГнг(А)-LS (3х1,5) → Внутренний блок кондиционирования Технический этаж Пом. №002Т</v>
      </c>
      <c r="E122" t="str">
        <v>K.2.009A</v>
      </c>
      <c r="F122" t="str">
        <v>Внутренний блок кондиционирования Технический этаж Пом. №002Т</v>
      </c>
    </row>
    <row r="123" spans="1:6" x14ac:dyDescent="0.3">
      <c r="A123">
        <v>120</v>
      </c>
      <c r="B123" t="str">
        <v>ЩОВ-2</v>
      </c>
      <c r="C123" t="str">
        <v>QF9</v>
      </c>
      <c r="D123" t="str">
        <v>кабель ВВГнг(А)-LS (3х1,5) → Внутренний блок кондиционирования Технический этаж Пом. №002Т</v>
      </c>
      <c r="E123" t="str">
        <v>K.2.014A</v>
      </c>
      <c r="F123" t="str">
        <v>Внутренний блок кондиционирования Технический этаж Пом. №002Т</v>
      </c>
    </row>
    <row r="124" spans="1:6" x14ac:dyDescent="0.3">
      <c r="A124">
        <v>121</v>
      </c>
      <c r="B124" t="str">
        <v>ЩОВ-2</v>
      </c>
      <c r="C124" t="str">
        <v>QF10</v>
      </c>
      <c r="D124" t="str">
        <v>кабель ВВГнг(А)-LS (3х1,5) → Внутренний блок кондиционирования Технический этаж Пом. №001Б</v>
      </c>
      <c r="E124" t="str">
        <v>K.2.016A</v>
      </c>
      <c r="F124" t="str">
        <v>Внутренний блок кондиционирования Технический этаж Пом. №001Б</v>
      </c>
    </row>
    <row r="125" spans="1:6" x14ac:dyDescent="0.3">
      <c r="A125">
        <v>122</v>
      </c>
      <c r="B125" t="str">
        <v>ЩОВ-2</v>
      </c>
      <c r="C125" t="str">
        <v>QF11</v>
      </c>
      <c r="D125" t="str">
        <v>кабель ВВГнг(А)-LS (3х1,5) → Внутренний блок кондиционирования Технический этаж Пом. №003Т</v>
      </c>
      <c r="E125" t="str">
        <v>K.2.019A</v>
      </c>
      <c r="F125" t="str">
        <v>Внутренний блок кондиционирования Технический этаж Пом. №003Т</v>
      </c>
    </row>
    <row r="126" spans="1:6" x14ac:dyDescent="0.3">
      <c r="A126">
        <v>123</v>
      </c>
      <c r="B126" t="str">
        <v>ЩОВ-2</v>
      </c>
      <c r="C126" t="str">
        <v>QF12</v>
      </c>
      <c r="D126" t="str">
        <v>кабель ВВГнг(А)-LS (3х1,5) → Внутренний блок кондиционирования Технический этаж Пом. №003Т</v>
      </c>
      <c r="E126" t="str">
        <v>K.3.002Б</v>
      </c>
      <c r="F126" t="str">
        <v>Внутренний блок кондиционирования Технический этаж Пом. №003Т</v>
      </c>
    </row>
    <row r="127" spans="1:6" x14ac:dyDescent="0.3">
      <c r="A127">
        <v>124</v>
      </c>
      <c r="B127" t="str">
        <v>ЩОВ-2</v>
      </c>
      <c r="C127" t="str">
        <v>QF13</v>
      </c>
      <c r="D127" t="str">
        <v>кабель ВВГнг(А)-LS (3х1,5) → Внутренний блок кондиционирования Технический этаж Пом. №004Т</v>
      </c>
      <c r="E127" t="str">
        <v>K.3.004T.1</v>
      </c>
      <c r="F127" t="str">
        <v>Внутренний блок кондиционирования Технический этаж Пом. №004Т</v>
      </c>
    </row>
    <row r="128" spans="1:6" x14ac:dyDescent="0.3">
      <c r="A128">
        <v>125</v>
      </c>
      <c r="B128" t="str">
        <v>ЩОВ-2</v>
      </c>
      <c r="C128" t="str">
        <v>QF14</v>
      </c>
      <c r="D128" t="str">
        <v>кабель ВВГнг(А)-LS (3х1,5) → Внутренний блок кондиционирования Технический этаж Пом. №004Т</v>
      </c>
      <c r="E128" t="str">
        <v>K.3.004T.2</v>
      </c>
      <c r="F128" t="str">
        <v>Внутренний блок кондиционирования Технический этаж Пом. №004Т</v>
      </c>
    </row>
    <row r="129" spans="1:6" x14ac:dyDescent="0.3">
      <c r="A129">
        <v>126</v>
      </c>
      <c r="B129" t="str">
        <v>ЩОВ-2</v>
      </c>
      <c r="C129" t="str">
        <v>QF15</v>
      </c>
      <c r="D129" t="str">
        <v>кабель ВВГнг(А)-LS (3х1,5) → Вытяжная установка Технический этаж Пом. №001Т</v>
      </c>
      <c r="E129" t="str">
        <v>В.1</v>
      </c>
      <c r="F129" t="str">
        <v>Вытяжная установка Технический этаж Пом. №001Т</v>
      </c>
    </row>
    <row r="130" spans="1:6" x14ac:dyDescent="0.3">
      <c r="A130">
        <v>127</v>
      </c>
      <c r="B130" t="str">
        <v>ЩОВ-2</v>
      </c>
      <c r="C130" t="str">
        <v>QF16</v>
      </c>
      <c r="D130" t="str">
        <v>кабель ВВГнг(А)-LS (3х1,5) → Вытяжная установка Технический этаж Пом. №001Т</v>
      </c>
      <c r="E130" t="str">
        <v>В.22</v>
      </c>
      <c r="F130" t="str">
        <v>Вытяжная установка Технический этаж Пом. №001Т</v>
      </c>
    </row>
    <row r="131" spans="1:6" x14ac:dyDescent="0.3">
      <c r="A131">
        <v>128</v>
      </c>
      <c r="B131" t="str">
        <v>ЩОВ-2</v>
      </c>
      <c r="C131" t="str">
        <v>QF17</v>
      </c>
      <c r="D131" t="str">
        <v>кабель ВВГнг(А)-LS (3х1,5) → Вытяжная установка Технический этаж Пом. №001Т</v>
      </c>
      <c r="E131" t="str">
        <v>В.23</v>
      </c>
      <c r="F131" t="str">
        <v>Вытяжная установка Технический этаж Пом. №001Т</v>
      </c>
    </row>
    <row r="132" spans="1:6" x14ac:dyDescent="0.3">
      <c r="A132">
        <v>129</v>
      </c>
      <c r="B132" t="str">
        <v>ЩОВ-2</v>
      </c>
      <c r="C132" t="str">
        <v>QF18</v>
      </c>
      <c r="D132" t="str">
        <v>кабель ВВГнг(А)-LS (3х1,5) → Вытяжная установка Технический этаж Пом. №001Т</v>
      </c>
      <c r="E132" t="str">
        <v>В.8</v>
      </c>
      <c r="F132" t="str">
        <v>Вытяжная установка Технический этаж Пом. №001Т</v>
      </c>
    </row>
    <row r="133" spans="1:6" x14ac:dyDescent="0.3">
      <c r="A133">
        <v>130</v>
      </c>
      <c r="B133" t="str">
        <v>ЩОВ-2</v>
      </c>
      <c r="C133" t="str">
        <v>QF19</v>
      </c>
      <c r="D133" t="str">
        <v>кабель ВВГнг(А)-LS (3х2,5) → Приточная установка Технический этаж Пом. №001Т</v>
      </c>
      <c r="E133" t="str">
        <v>П.3</v>
      </c>
      <c r="F133" t="str">
        <v>Приточная установка Технический этаж Пом. №001Т</v>
      </c>
    </row>
    <row r="134" spans="1:6" x14ac:dyDescent="0.3">
      <c r="A134">
        <v>131</v>
      </c>
      <c r="B134" t="str">
        <v>ЩОВ-2</v>
      </c>
      <c r="C134" t="str">
        <v>QF20</v>
      </c>
      <c r="D134" t="str">
        <v>XT20</v>
      </c>
      <c r="E134" t="str">
        <v>П.5</v>
      </c>
      <c r="F134" t="str">
        <v>Приточная установка Технический этаж Пом. №001Т</v>
      </c>
    </row>
    <row r="135" spans="1:6" x14ac:dyDescent="0.3">
      <c r="A135">
        <v>132</v>
      </c>
      <c r="B135" t="str">
        <v>ЩОВ-2</v>
      </c>
      <c r="C135" t="str">
        <v>XT20</v>
      </c>
      <c r="D135" t="str">
        <v>кабель ВВГнг(А)-LS (3х2,5) → Приточная установка Технический этаж Пом. №001Т</v>
      </c>
      <c r="E135" t="str">
        <v>П.5</v>
      </c>
      <c r="F135" t="str">
        <v>Приточная установка Технический этаж Пом. №001Т</v>
      </c>
    </row>
    <row r="136" spans="1:6" x14ac:dyDescent="0.3">
      <c r="A136">
        <v>133</v>
      </c>
      <c r="B136" t="str">
        <v>ЩОВ-2</v>
      </c>
      <c r="C136" t="str">
        <v>QF21</v>
      </c>
      <c r="D136" t="str">
        <v>XT21</v>
      </c>
      <c r="E136" t="str">
        <v>ПВ.5</v>
      </c>
      <c r="F136" t="str">
        <v>Приточно-вытяжная установка Технический этаж Пом. №001Т</v>
      </c>
    </row>
    <row r="137" spans="1:6" x14ac:dyDescent="0.3">
      <c r="A137">
        <v>134</v>
      </c>
      <c r="B137" t="str">
        <v>ЩОВ-2</v>
      </c>
      <c r="C137" t="str">
        <v>XT21</v>
      </c>
      <c r="D137" t="str">
        <v>кабель ВВГнг(А)-LS (3х4) → Приточно-вытяжная установка Технический этаж Пом. №001Т</v>
      </c>
      <c r="E137" t="str">
        <v>ПВ.5</v>
      </c>
      <c r="F137" t="str">
        <v>Приточно-вытяжная установка Технический этаж Пом. №001Т</v>
      </c>
    </row>
    <row r="138" spans="1:6" x14ac:dyDescent="0.3">
      <c r="A138">
        <v>135</v>
      </c>
      <c r="B138" t="str">
        <v>ЩОВ-2</v>
      </c>
      <c r="C138" t="str">
        <v>QF22</v>
      </c>
      <c r="D138" t="str">
        <v>кабель ВВГнг(А)-LS (3х2,5) → Приточно-вытяжная установка Технический этаж Пом. №001Т</v>
      </c>
      <c r="E138" t="str">
        <v>ПВ.7</v>
      </c>
      <c r="F138" t="str">
        <v>Приточно-вытяжная установка Технический этаж Пом. №001Т</v>
      </c>
    </row>
    <row r="139" spans="1:6" x14ac:dyDescent="0.3">
      <c r="A139">
        <v>136</v>
      </c>
      <c r="B139" t="str">
        <v>ЩОВ-2</v>
      </c>
      <c r="C139" t="str">
        <v>QF23</v>
      </c>
      <c r="D139" t="str">
        <v>кабель ВВГнг(А)-LS (3х2,5) → Приточно-вытяжная установка Технический этаж Пом. №001Т</v>
      </c>
      <c r="E139" t="str">
        <v>ПВ.8</v>
      </c>
      <c r="F139" t="str">
        <v>Приточно-вытяжная установка Технический этаж Пом. №001Т</v>
      </c>
    </row>
    <row r="140" spans="1:6" x14ac:dyDescent="0.3">
      <c r="A140">
        <v>137</v>
      </c>
      <c r="B140" t="str">
        <v>ЩР-001</v>
      </c>
      <c r="C140" t="str">
        <v>QFD1</v>
      </c>
      <c r="D140" t="str">
        <v>XT1</v>
      </c>
      <c r="E140" t="str">
        <v>R.00.001Б.1</v>
      </c>
      <c r="F140" t="str">
        <v>Розеточная группа Подвальный этаж Пом. №001Б</v>
      </c>
    </row>
    <row r="141" spans="1:6" x14ac:dyDescent="0.3">
      <c r="A141">
        <v>138</v>
      </c>
      <c r="B141" t="str">
        <v>ЩР-001</v>
      </c>
      <c r="C141" t="str">
        <v>XT1</v>
      </c>
      <c r="D141" t="str">
        <v>кабель ВВГнг(А)-LS (3х2,5) → Розеточная группа Подвальный этаж Пом. №001Б</v>
      </c>
      <c r="E141" t="str">
        <v>R.00.001Б.1</v>
      </c>
      <c r="F141" t="str">
        <v>Розеточная группа Подвальный этаж Пом. №001Б</v>
      </c>
    </row>
    <row r="142" spans="1:6" x14ac:dyDescent="0.3">
      <c r="A142">
        <v>139</v>
      </c>
      <c r="B142" t="str">
        <v>ЩР-001</v>
      </c>
      <c r="C142" t="str">
        <v>QFD2</v>
      </c>
      <c r="D142" t="str">
        <v>XT2</v>
      </c>
      <c r="E142" t="str">
        <v>R.00.003Т.1</v>
      </c>
      <c r="F142" t="str">
        <v>Розеточная группа Подвальный этаж Пом. №003Т</v>
      </c>
    </row>
    <row r="143" spans="1:6" x14ac:dyDescent="0.3">
      <c r="A143">
        <v>140</v>
      </c>
      <c r="B143" t="str">
        <v>ЩР-001</v>
      </c>
      <c r="C143" t="str">
        <v>XT2</v>
      </c>
      <c r="D143" t="str">
        <v>кабель ВВГнг(А)-LS (3х2,5) → Розеточная группа Подвальный этаж Пом. №003Т</v>
      </c>
      <c r="E143" t="str">
        <v>R.00.003Т.1</v>
      </c>
      <c r="F143" t="str">
        <v>Розеточная группа Подвальный этаж Пом. №003Т</v>
      </c>
    </row>
    <row r="144" spans="1:6" x14ac:dyDescent="0.3">
      <c r="A144">
        <v>141</v>
      </c>
      <c r="B144" t="str">
        <v>ЩР-001</v>
      </c>
      <c r="C144" t="str">
        <v>QFD3</v>
      </c>
      <c r="D144" t="str">
        <v>XT3</v>
      </c>
      <c r="E144" t="str">
        <v>R.00.004Т.1</v>
      </c>
      <c r="F144" t="str">
        <v>Розеточная группа Подвальный этаж Пом. №004Т</v>
      </c>
    </row>
    <row r="145" spans="1:6" x14ac:dyDescent="0.3">
      <c r="A145">
        <v>142</v>
      </c>
      <c r="B145" t="str">
        <v>ЩР-001</v>
      </c>
      <c r="C145" t="str">
        <v>XT3</v>
      </c>
      <c r="D145" t="str">
        <v>кабель ВВГнг(А)-LS (3х2,5) → Розеточная группа Подвальный этаж Пом. №004Т</v>
      </c>
      <c r="E145" t="str">
        <v>R.00.004Т.1</v>
      </c>
      <c r="F145" t="str">
        <v>Розеточная группа Подвальный этаж Пом. №004Т</v>
      </c>
    </row>
    <row r="146" spans="1:6" x14ac:dyDescent="0.3">
      <c r="A146">
        <v>143</v>
      </c>
      <c r="B146" t="str">
        <v>ЩР-001</v>
      </c>
      <c r="C146" t="str">
        <v>QFD4</v>
      </c>
      <c r="D146" t="str">
        <v>XT4</v>
      </c>
      <c r="E146" t="str">
        <v>R.00.001Тб.1</v>
      </c>
      <c r="F146" t="str">
        <v>Розеточная группа Подвальный этаж Пом. №001Тб</v>
      </c>
    </row>
    <row r="147" spans="1:6" x14ac:dyDescent="0.3">
      <c r="A147">
        <v>144</v>
      </c>
      <c r="B147" t="str">
        <v>ЩР-001</v>
      </c>
      <c r="C147" t="str">
        <v>XT4</v>
      </c>
      <c r="D147" t="str">
        <v>кабель ВВГнг(А)-LS (3х2,5) → Розеточная группа Подвальный этаж Пом. №001Тб</v>
      </c>
      <c r="E147" t="str">
        <v>R.00.001Тб.1</v>
      </c>
      <c r="F147" t="str">
        <v>Розеточная группа Подвальный этаж Пом. №001Тб</v>
      </c>
    </row>
    <row r="148" spans="1:6" x14ac:dyDescent="0.3">
      <c r="A148">
        <v>145</v>
      </c>
      <c r="B148" t="str">
        <v>ЩР-001</v>
      </c>
      <c r="C148" t="str">
        <v>QFD5</v>
      </c>
      <c r="D148" t="str">
        <v>XT5</v>
      </c>
      <c r="E148" t="str">
        <v>R.00.001Б.2</v>
      </c>
      <c r="F148" t="str">
        <v>Розеточная группа Подвальный этаж Пом. №001Б</v>
      </c>
    </row>
    <row r="149" spans="1:6" x14ac:dyDescent="0.3">
      <c r="A149">
        <v>146</v>
      </c>
      <c r="B149" t="str">
        <v>ЩР-001</v>
      </c>
      <c r="C149" t="str">
        <v>XT5</v>
      </c>
      <c r="D149" t="str">
        <v>кабель ВВГнг(А)-LS (3х2,5) → Розеточная группа Подвальный этаж Пом. №001Б</v>
      </c>
      <c r="E149" t="str">
        <v>R.00.001Б.2</v>
      </c>
      <c r="F149" t="str">
        <v>Розеточная группа Подвальный этаж Пом. №001Б</v>
      </c>
    </row>
    <row r="150" spans="1:6" x14ac:dyDescent="0.3">
      <c r="A150">
        <v>147</v>
      </c>
      <c r="B150" t="str">
        <v>ЩР-001</v>
      </c>
      <c r="C150" t="str">
        <v>QFD6</v>
      </c>
      <c r="D150" t="str">
        <v>XT6</v>
      </c>
      <c r="E150" t="str">
        <v>R.00.005Т.1</v>
      </c>
      <c r="F150" t="str">
        <v>Розеточная группа Подвальный этаж Пом. №005Т</v>
      </c>
    </row>
    <row r="151" spans="1:6" x14ac:dyDescent="0.3">
      <c r="A151">
        <v>148</v>
      </c>
      <c r="B151" t="str">
        <v>ЩР-001</v>
      </c>
      <c r="C151" t="str">
        <v>XT6</v>
      </c>
      <c r="D151" t="str">
        <v>кабель ВВГнг(А)-LS (3х2,5) → Розеточная группа Подвальный этаж Пом. №005Т</v>
      </c>
      <c r="E151" t="str">
        <v>R.00.005Т.1</v>
      </c>
      <c r="F151" t="str">
        <v>Розеточная группа Подвальный этаж Пом. №005Т</v>
      </c>
    </row>
    <row r="152" spans="1:6" x14ac:dyDescent="0.3">
      <c r="A152">
        <v>149</v>
      </c>
      <c r="B152" t="str">
        <v>ЩР-001</v>
      </c>
      <c r="C152" t="str">
        <v>QFD7</v>
      </c>
      <c r="D152" t="str">
        <v>XT7</v>
      </c>
      <c r="E152" t="str">
        <v>R.00.002Т.1</v>
      </c>
      <c r="F152" t="str">
        <v>Розеточная группа Подвальный этаж Пом. №002Т</v>
      </c>
    </row>
    <row r="153" spans="1:6" x14ac:dyDescent="0.3">
      <c r="A153">
        <v>150</v>
      </c>
      <c r="B153" t="str">
        <v>ЩР-001</v>
      </c>
      <c r="C153" t="str">
        <v>XT7</v>
      </c>
      <c r="D153" t="str">
        <v>кабель ВВГнг(А)-LS (3х2,5) → Розеточная группа Подвальный этаж Пом. №002Т</v>
      </c>
      <c r="E153" t="str">
        <v>R.00.002Т.1</v>
      </c>
      <c r="F153" t="str">
        <v>Розеточная группа Подвальный этаж Пом. №002Т</v>
      </c>
    </row>
    <row r="154" spans="1:6" x14ac:dyDescent="0.3">
      <c r="A154">
        <v>151</v>
      </c>
      <c r="B154" t="str">
        <v>ЩР-001</v>
      </c>
      <c r="C154" t="str">
        <v>QFD8</v>
      </c>
      <c r="D154" t="str">
        <v>XT8</v>
      </c>
      <c r="E154" t="str">
        <v>R.00.001А.1</v>
      </c>
      <c r="F154" t="str">
        <v>Розеточная группа Подвальный этаж Пом. №001А</v>
      </c>
    </row>
    <row r="155" spans="1:6" x14ac:dyDescent="0.3">
      <c r="A155">
        <v>152</v>
      </c>
      <c r="B155" t="str">
        <v>ЩР-001</v>
      </c>
      <c r="C155" t="str">
        <v>XT8</v>
      </c>
      <c r="D155" t="str">
        <v>кабель ВВГнг(А)-LS (3х2,5) → Розеточная группа Подвальный этаж Пом. №001А</v>
      </c>
      <c r="E155" t="str">
        <v>R.00.001А.1</v>
      </c>
      <c r="F155" t="str">
        <v>Розеточная группа Подвальный этаж Пом. №001А</v>
      </c>
    </row>
    <row r="156" spans="1:6" x14ac:dyDescent="0.3">
      <c r="A156">
        <v>153</v>
      </c>
      <c r="B156" t="str">
        <v>ЩР-001</v>
      </c>
      <c r="C156" t="str">
        <v>QFD9</v>
      </c>
      <c r="D156" t="str">
        <v>XT9</v>
      </c>
      <c r="E156" t="str">
        <v>R.00.005А.1</v>
      </c>
      <c r="F156" t="str">
        <v>Розеточная группа Подвальный этаж Пом. №005А</v>
      </c>
    </row>
    <row r="157" spans="1:6" x14ac:dyDescent="0.3">
      <c r="A157">
        <v>154</v>
      </c>
      <c r="B157" t="str">
        <v>ЩР-001</v>
      </c>
      <c r="C157" t="str">
        <v>XT9</v>
      </c>
      <c r="D157" t="str">
        <v>кабель ВВГнг(А)-LS (3х2,5) → Розеточная группа Подвальный этаж Пом. №005А</v>
      </c>
      <c r="E157" t="str">
        <v>R.00.005А.1</v>
      </c>
      <c r="F157" t="str">
        <v>Розеточная группа Подвальный этаж Пом. №005А</v>
      </c>
    </row>
    <row r="158" spans="1:6" x14ac:dyDescent="0.3">
      <c r="A158">
        <v>155</v>
      </c>
      <c r="B158" t="str">
        <v>ЩР-001</v>
      </c>
      <c r="C158" t="str">
        <v>QFD10</v>
      </c>
      <c r="D158" t="str">
        <v>кабель ВВГнг(А)-LS (3х2,5) → Розеточная группа Подвальный этаж Пом. №004А</v>
      </c>
      <c r="E158" t="str">
        <v>R.00.004А.1</v>
      </c>
      <c r="F158" t="str">
        <v>Розеточная группа Подвальный этаж Пом. №004А</v>
      </c>
    </row>
    <row r="159" spans="1:6" x14ac:dyDescent="0.3">
      <c r="A159">
        <v>156</v>
      </c>
      <c r="B159" t="str">
        <v>ЩР-001</v>
      </c>
      <c r="C159" t="str">
        <v>QFD11</v>
      </c>
      <c r="D159" t="str">
        <v>XT11</v>
      </c>
      <c r="E159" t="str">
        <v>R.00.001А.2</v>
      </c>
      <c r="F159" t="str">
        <v>Розеточная группа Подвальный этаж Пом. №001А</v>
      </c>
    </row>
    <row r="160" spans="1:6" x14ac:dyDescent="0.3">
      <c r="A160">
        <v>157</v>
      </c>
      <c r="B160" t="str">
        <v>ЩР-001</v>
      </c>
      <c r="C160" t="str">
        <v>XT11</v>
      </c>
      <c r="D160" t="str">
        <v>кабель ВВГнг(А)-LS (3х2,5) → Розеточная группа Подвальный этаж Пом. №001А</v>
      </c>
      <c r="E160" t="str">
        <v>R.00.001А.2</v>
      </c>
      <c r="F160" t="str">
        <v>Розеточная группа Подвальный этаж Пом. №001А</v>
      </c>
    </row>
    <row r="161" spans="1:6" x14ac:dyDescent="0.3">
      <c r="A161">
        <v>158</v>
      </c>
      <c r="B161" t="str">
        <v>ЩР-001</v>
      </c>
      <c r="C161" t="str">
        <v>QFD12</v>
      </c>
      <c r="D161" t="str">
        <v>кабель ВВГнг(А)-LS (3х2,5) → Розеточная группа Подвальный этаж Пом. №002</v>
      </c>
      <c r="E161" t="str">
        <v>R.00.002.1А.1</v>
      </c>
      <c r="F161" t="str">
        <v>Розеточная группа Подвальный этаж Пом. №002</v>
      </c>
    </row>
    <row r="162" spans="1:6" x14ac:dyDescent="0.3">
      <c r="A162">
        <v>159</v>
      </c>
      <c r="B162" t="str">
        <v>ЩР-001</v>
      </c>
      <c r="C162" t="str">
        <v>QFD13</v>
      </c>
      <c r="D162" t="str">
        <v>кабель ВВГнг(А)-LS (3х2,5) → Розеточная группа Подвальный этаж Пом. №006T</v>
      </c>
      <c r="E162" t="str">
        <v>R.00.006T.1</v>
      </c>
      <c r="F162" t="str">
        <v>Розеточная группа Подвальный этаж Пом. №006T</v>
      </c>
    </row>
    <row r="163" spans="1:6" x14ac:dyDescent="0.3">
      <c r="A163">
        <v>160</v>
      </c>
      <c r="B163" t="str">
        <v>ЩР-001</v>
      </c>
      <c r="C163" t="str">
        <v>QFD14</v>
      </c>
      <c r="D163" t="str">
        <v>кабель ВВГнг(А)-LS (3х2,5) → Розеточная группа Подвальный этаж Пом. №007Т</v>
      </c>
      <c r="E163" t="str">
        <v>R.00.007Т.1</v>
      </c>
      <c r="F163" t="str">
        <v>Розеточная группа Подвальный этаж Пом. №007Т</v>
      </c>
    </row>
    <row r="164" spans="1:6" x14ac:dyDescent="0.3">
      <c r="A164">
        <v>161</v>
      </c>
      <c r="B164" t="str">
        <v>ЩР-001</v>
      </c>
      <c r="C164" t="str">
        <v>QFD15</v>
      </c>
      <c r="D164" t="str">
        <v>кабель ВВГнг(А)-LS (3х2,5) → Розеточная группа Подвальный этаж Пом. №008T</v>
      </c>
      <c r="E164" t="str">
        <v>R.00.008T.1</v>
      </c>
      <c r="F164" t="str">
        <v>Розеточная группа Подвальный этаж Пом. №008T</v>
      </c>
    </row>
    <row r="165" spans="1:6" x14ac:dyDescent="0.3">
      <c r="A165">
        <v>162</v>
      </c>
      <c r="B165" t="str">
        <v>ЩР-001</v>
      </c>
      <c r="C165" t="str">
        <v>QFD16</v>
      </c>
      <c r="D165" t="str">
        <v>кабель ВВГнг(А)-LS (3х2,5) → Розеточная группа Подвальный этаж Пом. №002Tб</v>
      </c>
      <c r="E165" t="str">
        <v>R.00.002Tб.1</v>
      </c>
      <c r="F165" t="str">
        <v>Розеточная группа Подвальный этаж Пом. №002Tб</v>
      </c>
    </row>
    <row r="166" spans="1:6" x14ac:dyDescent="0.3">
      <c r="A166">
        <v>163</v>
      </c>
      <c r="B166" t="str">
        <v>ЩР-001</v>
      </c>
      <c r="C166" t="str">
        <v>QFD17</v>
      </c>
      <c r="D166" t="str">
        <v>кабель ВВГнг(А)-LS (3х2,5) → Розеточная группа Подвальный этаж Пом. №007Б</v>
      </c>
      <c r="E166" t="str">
        <v>R.00.007Б.1</v>
      </c>
      <c r="F166" t="str">
        <v>Розеточная группа Подвальный этаж Пом. №007Б</v>
      </c>
    </row>
    <row r="167" spans="1:6" x14ac:dyDescent="0.3">
      <c r="A167">
        <v>164</v>
      </c>
      <c r="B167" t="str">
        <v>ЩР-001</v>
      </c>
      <c r="C167" t="str">
        <v>QFD18</v>
      </c>
      <c r="D167" t="str">
        <v>кабель ВВГнг(А)-LS (3х2,5) → Розеточная группа Подвальный этаж Пом. №004Б</v>
      </c>
      <c r="E167" t="str">
        <v>R.00.004Б.1</v>
      </c>
      <c r="F167" t="str">
        <v>Розеточная группа Подвальный этаж Пом. №004Б</v>
      </c>
    </row>
    <row r="168" spans="1:6" x14ac:dyDescent="0.3">
      <c r="A168">
        <v>165</v>
      </c>
      <c r="B168" t="str">
        <v>ЩР-001</v>
      </c>
      <c r="C168" t="str">
        <v>QFD19</v>
      </c>
      <c r="D168" t="str">
        <v>кабель ВВГнг(А)-LS (3х2,5) → Розеточная группа Подвальный этаж Пом. №005Б</v>
      </c>
      <c r="E168" t="str">
        <v>R.00.005Б.1</v>
      </c>
      <c r="F168" t="str">
        <v>Розеточная группа Подвальный этаж Пом. №005Б</v>
      </c>
    </row>
    <row r="169" spans="1:6" x14ac:dyDescent="0.3">
      <c r="A169">
        <v>166</v>
      </c>
      <c r="B169" t="str">
        <v>ЩР-001</v>
      </c>
      <c r="C169" t="str">
        <v>QFD20</v>
      </c>
      <c r="D169" t="str">
        <v>кабель ВВГнг(А)-LS (3х2,5) → Розеточная группа Подвальный этаж Пом. №009Б</v>
      </c>
      <c r="E169" t="str">
        <v>R.00.009Б.1</v>
      </c>
      <c r="F169" t="str">
        <v>Розеточная группа Подвальный этаж Пом. №009Б</v>
      </c>
    </row>
    <row r="170" spans="1:6" x14ac:dyDescent="0.3">
      <c r="A170">
        <v>167</v>
      </c>
      <c r="B170" t="str">
        <v>ЩР-001</v>
      </c>
      <c r="C170" t="str">
        <v>QFD21</v>
      </c>
      <c r="D170" t="str">
        <v>кабель ВВГнг(А)-LS (3х2,5) → Розеточная группа Подвальный этаж Пом. №006Б</v>
      </c>
      <c r="E170" t="str">
        <v>R.00.006Б.1</v>
      </c>
      <c r="F170" t="str">
        <v>Розеточная группа Подвальный этаж Пом. №006Б</v>
      </c>
    </row>
    <row r="171" spans="1:6" x14ac:dyDescent="0.3">
      <c r="A171">
        <v>168</v>
      </c>
      <c r="B171" t="str">
        <v>ЩР-001</v>
      </c>
      <c r="C171" t="str">
        <v>QFD22</v>
      </c>
      <c r="D171" t="str">
        <v>кабель ВВГнг(А)-LS (3х2,5) → Розеточная группа Подвальный этаж Пом. №007А</v>
      </c>
      <c r="E171" t="str">
        <v>R.00.007А.1</v>
      </c>
      <c r="F171" t="str">
        <v>Розеточная группа Подвальный этаж Пом. №007А</v>
      </c>
    </row>
    <row r="172" spans="1:6" x14ac:dyDescent="0.3">
      <c r="A172">
        <v>169</v>
      </c>
      <c r="B172" t="str">
        <v>ЩР-001</v>
      </c>
      <c r="C172" t="str">
        <v>QFD23</v>
      </c>
      <c r="D172" t="str">
        <v>кабель ВВГнг(А)-LS (3х2,5) → Розеточная группа Подвальный этаж Пом. №008А</v>
      </c>
      <c r="E172" t="str">
        <v>R.00.008А.1</v>
      </c>
      <c r="F172" t="str">
        <v>Розеточная группа Подвальный этаж Пом. №008А</v>
      </c>
    </row>
    <row r="173" spans="1:6" x14ac:dyDescent="0.3">
      <c r="A173">
        <v>170</v>
      </c>
      <c r="B173" t="str">
        <v>ЩР-001</v>
      </c>
      <c r="C173" t="str">
        <v>QFD24</v>
      </c>
      <c r="D173" t="str">
        <v>кабель ВВГнг(А)-LS (3х2,5) → Розеточная группа Подвальный этаж Пом. №002Б</v>
      </c>
      <c r="E173" t="str">
        <v>R.00.002Б.1</v>
      </c>
      <c r="F173" t="str">
        <v>Розеточная группа Подвальный этаж Пом. №002Б</v>
      </c>
    </row>
    <row r="174" spans="1:6" x14ac:dyDescent="0.3">
      <c r="A174">
        <v>171</v>
      </c>
      <c r="B174" t="str">
        <v>ЩР-001</v>
      </c>
      <c r="C174" t="str">
        <v>QF25</v>
      </c>
      <c r="D174" t="str">
        <v>XT25</v>
      </c>
      <c r="E174" t="str">
        <v>ШТК-0</v>
      </c>
      <c r="F174" t="str">
        <v>Шкаф телекоммуникационный ШТК-0 Подвальный этаж Пом. №007Т</v>
      </c>
    </row>
    <row r="175" spans="1:6" x14ac:dyDescent="0.3">
      <c r="A175">
        <v>172</v>
      </c>
      <c r="B175" t="str">
        <v>ЩР-001</v>
      </c>
      <c r="C175" t="str">
        <v>XT25</v>
      </c>
      <c r="D175" t="str">
        <v>кабель ВВГнг(А)-LS (3х2,5) → Шкаф телекоммуникационный ШТК-0 Подвальный этаж Пом. №007Т</v>
      </c>
      <c r="E175" t="str">
        <v>ШТК-0</v>
      </c>
      <c r="F175" t="str">
        <v>Шкаф телекоммуникационный ШТК-0 Подвальный этаж Пом. №007Т</v>
      </c>
    </row>
    <row r="176" spans="1:6" x14ac:dyDescent="0.3">
      <c r="A176">
        <v>173</v>
      </c>
      <c r="B176" t="str">
        <v>ЩР-001</v>
      </c>
      <c r="C176" t="str">
        <v>QF26</v>
      </c>
      <c r="D176" t="str">
        <v>XT26</v>
      </c>
      <c r="E176" t="str">
        <v>ШТК-ЛВС.00</v>
      </c>
      <c r="F176" t="str">
        <v>Шкаф телекоммуникационный ШТК-ЛВС.00  Подвальный этаж Пом. №007Т</v>
      </c>
    </row>
    <row r="177" spans="1:6" x14ac:dyDescent="0.3">
      <c r="A177">
        <v>174</v>
      </c>
      <c r="B177" t="str">
        <v>ЩР-001</v>
      </c>
      <c r="C177" t="str">
        <v>XT26</v>
      </c>
      <c r="D177" t="str">
        <v>кабель ВВГнг(А)-LS (3х2,5) → Шкаф телекоммуникационный ШТК-ЛВС.00  Подвальный этаж Пом. №007Т</v>
      </c>
      <c r="E177" t="str">
        <v>ШТК-ЛВС.00</v>
      </c>
      <c r="F177" t="str">
        <v>Шкаф телекоммуникационный ШТК-ЛВС.00  Подвальный этаж Пом. №007Т</v>
      </c>
    </row>
    <row r="178" spans="1:6" x14ac:dyDescent="0.3">
      <c r="A178">
        <v>175</v>
      </c>
      <c r="B178" t="str">
        <v>ЩР-001</v>
      </c>
      <c r="C178" t="str">
        <v>QF27</v>
      </c>
      <c r="D178" t="str">
        <v>кабель ВВГнг(А)-LS (3х2,5) → Шкаф телекоммуникационный ШТК-СОТ.00  Подвальный этаж Пом. №007Т</v>
      </c>
      <c r="E178" t="str">
        <v>ШТК-СОТ.00</v>
      </c>
      <c r="F178" t="str">
        <v>Шкаф телекоммуникационный ШТК-СОТ.00  Подвальный этаж Пом. №007Т</v>
      </c>
    </row>
    <row r="179" spans="1:6" x14ac:dyDescent="0.3">
      <c r="A179">
        <v>176</v>
      </c>
      <c r="B179" t="str">
        <v>ЩР-001</v>
      </c>
      <c r="C179" t="str">
        <v>QF28</v>
      </c>
      <c r="D179" t="str">
        <v>кабель ВВГнг(А)-LS (3х2,5) → Щит контроля доступа ШДК-06. Пом. Венткиосок</v>
      </c>
      <c r="E179" t="str">
        <v>ЩКД-6</v>
      </c>
      <c r="F179" t="str">
        <v>Щит контроля доступа ШДК-06. Пом. Венткиосок</v>
      </c>
    </row>
    <row r="180" spans="1:6" x14ac:dyDescent="0.3">
      <c r="A180">
        <v>177</v>
      </c>
      <c r="B180" t="str">
        <v>ЩР-001</v>
      </c>
      <c r="C180" t="str">
        <v>QF29</v>
      </c>
      <c r="D180" t="str">
        <v>кабель ВВГнг(А)-LS (3х2,5) → Щит контроля доступа ШДК-001 Подвальный этаж Пом. №004Т</v>
      </c>
      <c r="E180" t="str">
        <v>ЩКД-001</v>
      </c>
      <c r="F180" t="str">
        <v>Щит контроля доступа ШДК-001 Подвальный этаж Пом. №004Т</v>
      </c>
    </row>
    <row r="181" spans="1:6" x14ac:dyDescent="0.3">
      <c r="A181">
        <v>178</v>
      </c>
      <c r="B181" t="str">
        <v>ЩР-01</v>
      </c>
      <c r="C181" t="str">
        <v>QFD1</v>
      </c>
      <c r="D181" t="str">
        <v>XT1</v>
      </c>
      <c r="E181" t="str">
        <v>R.0.002A.1</v>
      </c>
      <c r="F181" t="str">
        <v>Розеточная группа Цокольный этаж Пом. №002A</v>
      </c>
    </row>
    <row r="182" spans="1:6" x14ac:dyDescent="0.3">
      <c r="A182">
        <v>179</v>
      </c>
      <c r="B182" t="str">
        <v>ЩР-01</v>
      </c>
      <c r="C182" t="str">
        <v>XT1</v>
      </c>
      <c r="D182" t="str">
        <v>кабель ВВГнг(А)-LS (3х2,5) → Розеточная группа Цокольный этаж Пом. №002A</v>
      </c>
      <c r="E182" t="str">
        <v>R.0.002A.1</v>
      </c>
      <c r="F182" t="str">
        <v>Розеточная группа Цокольный этаж Пом. №002A</v>
      </c>
    </row>
    <row r="183" spans="1:6" x14ac:dyDescent="0.3">
      <c r="A183">
        <v>180</v>
      </c>
      <c r="B183" t="str">
        <v>ЩР-01</v>
      </c>
      <c r="C183" t="str">
        <v>QFD2</v>
      </c>
      <c r="D183" t="str">
        <v>XT2</v>
      </c>
      <c r="E183" t="str">
        <v>R.0.002A.2</v>
      </c>
      <c r="F183" t="str">
        <v>Розеточная группа Цокольный этаж Пом. №002A</v>
      </c>
    </row>
    <row r="184" spans="1:6" x14ac:dyDescent="0.3">
      <c r="A184">
        <v>181</v>
      </c>
      <c r="B184" t="str">
        <v>ЩР-01</v>
      </c>
      <c r="C184" t="str">
        <v>XT2</v>
      </c>
      <c r="D184" t="str">
        <v>кабель ВВГнг(А)-LS (3х2,5) → Розеточная группа Цокольный этаж Пом. №002A</v>
      </c>
      <c r="E184" t="str">
        <v>R.0.002A.2</v>
      </c>
      <c r="F184" t="str">
        <v>Розеточная группа Цокольный этаж Пом. №002A</v>
      </c>
    </row>
    <row r="185" spans="1:6" x14ac:dyDescent="0.3">
      <c r="A185">
        <v>182</v>
      </c>
      <c r="B185" t="str">
        <v>ЩР-01</v>
      </c>
      <c r="C185" t="str">
        <v>QFD3</v>
      </c>
      <c r="D185" t="str">
        <v>XT3</v>
      </c>
      <c r="E185" t="str">
        <v>R.0.002A.3</v>
      </c>
      <c r="F185" t="str">
        <v>Розеточная группа Цокольный этаж Пом. №002A</v>
      </c>
    </row>
    <row r="186" spans="1:6" x14ac:dyDescent="0.3">
      <c r="A186">
        <v>183</v>
      </c>
      <c r="B186" t="str">
        <v>ЩР-01</v>
      </c>
      <c r="C186" t="str">
        <v>XT3</v>
      </c>
      <c r="D186" t="str">
        <v>кабель ВВГнг(А)-LS (3х2,5) → Розеточная группа Цокольный этаж Пом. №002A</v>
      </c>
      <c r="E186" t="str">
        <v>R.0.002A.3</v>
      </c>
      <c r="F186" t="str">
        <v>Розеточная группа Цокольный этаж Пом. №002A</v>
      </c>
    </row>
    <row r="187" spans="1:6" x14ac:dyDescent="0.3">
      <c r="A187">
        <v>184</v>
      </c>
      <c r="B187" t="str">
        <v>ЩР-01</v>
      </c>
      <c r="C187" t="str">
        <v>QFD4</v>
      </c>
      <c r="D187" t="str">
        <v>XT4</v>
      </c>
      <c r="E187" t="str">
        <v>R.0.002T.1</v>
      </c>
      <c r="F187" t="str">
        <v>Розеточная группа Цокольный этаж Пом. №002T</v>
      </c>
    </row>
    <row r="188" spans="1:6" x14ac:dyDescent="0.3">
      <c r="A188">
        <v>185</v>
      </c>
      <c r="B188" t="str">
        <v>ЩР-01</v>
      </c>
      <c r="C188" t="str">
        <v>XT4</v>
      </c>
      <c r="D188" t="str">
        <v>кабель ВВГнг(А)-LS (3х2,5) → Розеточная группа Цокольный этаж Пом. №002T</v>
      </c>
      <c r="E188" t="str">
        <v>R.0.002T.1</v>
      </c>
      <c r="F188" t="str">
        <v>Розеточная группа Цокольный этаж Пом. №002T</v>
      </c>
    </row>
    <row r="189" spans="1:6" x14ac:dyDescent="0.3">
      <c r="A189">
        <v>186</v>
      </c>
      <c r="B189" t="str">
        <v>ЩР-01</v>
      </c>
      <c r="C189" t="str">
        <v>QFD5</v>
      </c>
      <c r="D189" t="str">
        <v>XT5</v>
      </c>
      <c r="E189" t="str">
        <v>R.0.002Б.1</v>
      </c>
      <c r="F189" t="str">
        <v>Розеточная группа Цокольный этаж Пом. №002Б</v>
      </c>
    </row>
    <row r="190" spans="1:6" x14ac:dyDescent="0.3">
      <c r="A190">
        <v>187</v>
      </c>
      <c r="B190" t="str">
        <v>ЩР-01</v>
      </c>
      <c r="C190" t="str">
        <v>XT5</v>
      </c>
      <c r="D190" t="str">
        <v>кабель ВВГнг(А)-LS (3х2,5) → Розеточная группа Цокольный этаж Пом. №002Б</v>
      </c>
      <c r="E190" t="str">
        <v>R.0.002Б.1</v>
      </c>
      <c r="F190" t="str">
        <v>Розеточная группа Цокольный этаж Пом. №002Б</v>
      </c>
    </row>
    <row r="191" spans="1:6" x14ac:dyDescent="0.3">
      <c r="A191">
        <v>188</v>
      </c>
      <c r="B191" t="str">
        <v>ЩР-01</v>
      </c>
      <c r="C191" t="str">
        <v>QFD6</v>
      </c>
      <c r="D191" t="str">
        <v>XT6</v>
      </c>
      <c r="E191" t="str">
        <v>R.0.002Б.2</v>
      </c>
      <c r="F191" t="str">
        <v>Розеточная группа Цокольный этаж Пом. №002Б</v>
      </c>
    </row>
    <row r="192" spans="1:6" x14ac:dyDescent="0.3">
      <c r="A192">
        <v>189</v>
      </c>
      <c r="B192" t="str">
        <v>ЩР-01</v>
      </c>
      <c r="C192" t="str">
        <v>XT6</v>
      </c>
      <c r="D192" t="str">
        <v>кабель ВВГнг(А)-LS (3х2,5) → Розеточная группа Цокольный этаж Пом. №002Б</v>
      </c>
      <c r="E192" t="str">
        <v>R.0.002Б.2</v>
      </c>
      <c r="F192" t="str">
        <v>Розеточная группа Цокольный этаж Пом. №002Б</v>
      </c>
    </row>
    <row r="193" spans="1:6" x14ac:dyDescent="0.3">
      <c r="A193">
        <v>190</v>
      </c>
      <c r="B193" t="str">
        <v>ЩР-01</v>
      </c>
      <c r="C193" t="str">
        <v>QFD7</v>
      </c>
      <c r="D193" t="str">
        <v>XT7</v>
      </c>
      <c r="E193" t="str">
        <v>R.0.003A.1</v>
      </c>
      <c r="F193" t="str">
        <v>Розеточная группа Цокольный этаж Пом. №003A</v>
      </c>
    </row>
    <row r="194" spans="1:6" x14ac:dyDescent="0.3">
      <c r="A194">
        <v>191</v>
      </c>
      <c r="B194" t="str">
        <v>ЩР-01</v>
      </c>
      <c r="C194" t="str">
        <v>XT7</v>
      </c>
      <c r="D194" t="str">
        <v>кабель ВВГнг(А)-LS (3х2,5) → Розеточная группа Цокольный этаж Пом. №003A</v>
      </c>
      <c r="E194" t="str">
        <v>R.0.003A.1</v>
      </c>
      <c r="F194" t="str">
        <v>Розеточная группа Цокольный этаж Пом. №003A</v>
      </c>
    </row>
    <row r="195" spans="1:6" x14ac:dyDescent="0.3">
      <c r="A195">
        <v>192</v>
      </c>
      <c r="B195" t="str">
        <v>ЩР-01</v>
      </c>
      <c r="C195" t="str">
        <v>QFD8</v>
      </c>
      <c r="D195" t="str">
        <v>XT8</v>
      </c>
      <c r="E195" t="str">
        <v>R.0.003A.3</v>
      </c>
      <c r="F195" t="str">
        <v>Розеточная группа Цокольный этаж Пом. №003A</v>
      </c>
    </row>
    <row r="196" spans="1:6" x14ac:dyDescent="0.3">
      <c r="A196">
        <v>193</v>
      </c>
      <c r="B196" t="str">
        <v>ЩР-01</v>
      </c>
      <c r="C196" t="str">
        <v>XT8</v>
      </c>
      <c r="D196" t="str">
        <v>кабель ВВГнг(А)-LS (3х2,5) → Розеточная группа Цокольный этаж Пом. №003A</v>
      </c>
      <c r="E196" t="str">
        <v>R.0.003A.3</v>
      </c>
      <c r="F196" t="str">
        <v>Розеточная группа Цокольный этаж Пом. №003A</v>
      </c>
    </row>
    <row r="197" spans="1:6" x14ac:dyDescent="0.3">
      <c r="A197">
        <v>194</v>
      </c>
      <c r="B197" t="str">
        <v>ЩР-01</v>
      </c>
      <c r="C197" t="str">
        <v>QFD9</v>
      </c>
      <c r="D197" t="str">
        <v>кабель ВВГнг(А)-LS (3х2,5) → Розеточная группа Цокольный этаж Пом. №003Б</v>
      </c>
      <c r="E197" t="str">
        <v>R.0.003Б.1</v>
      </c>
      <c r="F197" t="str">
        <v>Розеточная группа Цокольный этаж Пом. №003Б</v>
      </c>
    </row>
    <row r="198" spans="1:6" x14ac:dyDescent="0.3">
      <c r="A198">
        <v>195</v>
      </c>
      <c r="B198" t="str">
        <v>ЩР-01</v>
      </c>
      <c r="C198" t="str">
        <v>QFD10</v>
      </c>
      <c r="D198" t="str">
        <v>XT10</v>
      </c>
      <c r="E198" t="str">
        <v>R.0.004Б.1</v>
      </c>
      <c r="F198" t="str">
        <v>Розеточная группа Цокольный этаж Пом. №004Б</v>
      </c>
    </row>
    <row r="199" spans="1:6" x14ac:dyDescent="0.3">
      <c r="A199">
        <v>196</v>
      </c>
      <c r="B199" t="str">
        <v>ЩР-01</v>
      </c>
      <c r="C199" t="str">
        <v>XT10</v>
      </c>
      <c r="D199" t="str">
        <v>кабель ВВГнг(А)-LS (3х2,5) → Розеточная группа Цокольный этаж Пом. №004Б</v>
      </c>
      <c r="E199" t="str">
        <v>R.0.004Б.1</v>
      </c>
      <c r="F199" t="str">
        <v>Розеточная группа Цокольный этаж Пом. №004Б</v>
      </c>
    </row>
    <row r="200" spans="1:6" x14ac:dyDescent="0.3">
      <c r="A200">
        <v>197</v>
      </c>
      <c r="B200" t="str">
        <v>ЩР-01</v>
      </c>
      <c r="C200" t="str">
        <v>QFD11</v>
      </c>
      <c r="D200" t="str">
        <v>кабель ВВГнг(А)-LS (3х2,5) → Розеточная группа Цокольный этаж Пом. №004Б Сушильная машина</v>
      </c>
      <c r="E200" t="str">
        <v>R.0.004Б.2</v>
      </c>
      <c r="F200" t="str">
        <v>Розеточная группа Цокольный этаж Пом. №004Б Сушильная машина</v>
      </c>
    </row>
    <row r="201" spans="1:6" x14ac:dyDescent="0.3">
      <c r="A201">
        <v>198</v>
      </c>
      <c r="B201" t="str">
        <v>ЩР-01</v>
      </c>
      <c r="C201" t="str">
        <v>QFD12</v>
      </c>
      <c r="D201" t="str">
        <v>кабель ВВГнг(А)-LS (3х2,5) → Розеточная группа Цокольный этаж Пом. №004Б Стиральная машина</v>
      </c>
      <c r="E201" t="str">
        <v>R.0.004Б.3</v>
      </c>
      <c r="F201" t="str">
        <v>Розеточная группа Цокольный этаж Пом. №004Б Стиральная машина</v>
      </c>
    </row>
    <row r="202" spans="1:6" x14ac:dyDescent="0.3">
      <c r="A202">
        <v>199</v>
      </c>
      <c r="B202" t="str">
        <v>ЩР-01</v>
      </c>
      <c r="C202" t="str">
        <v>QFD13</v>
      </c>
      <c r="D202" t="str">
        <v>кабель ВВГнг(А)-LS (3х2,5) → Розеточная группа Цокольный этаж Пом. №006A</v>
      </c>
      <c r="E202" t="str">
        <v>R.0.006A.1</v>
      </c>
      <c r="F202" t="str">
        <v>Розеточная группа Цокольный этаж Пом. №006A</v>
      </c>
    </row>
    <row r="203" spans="1:6" x14ac:dyDescent="0.3">
      <c r="A203">
        <v>200</v>
      </c>
      <c r="B203" t="str">
        <v>ЩР-01</v>
      </c>
      <c r="C203" t="str">
        <v>QFD14</v>
      </c>
      <c r="D203" t="str">
        <v>кабель ВВГнг(А)-LS (3х2,5) → Розеточная группа Цокольный этаж Пом. №007A</v>
      </c>
      <c r="E203" t="str">
        <v>R.0.007A.1</v>
      </c>
      <c r="F203" t="str">
        <v>Розеточная группа Цокольный этаж Пом. №007A</v>
      </c>
    </row>
    <row r="204" spans="1:6" x14ac:dyDescent="0.3">
      <c r="A204">
        <v>201</v>
      </c>
      <c r="B204" t="str">
        <v>ЩР-01</v>
      </c>
      <c r="C204" t="str">
        <v>QFD15</v>
      </c>
      <c r="D204" t="str">
        <v>кабель ВВГнг(А)-LS (3х2,5) → Розеточная группа Цокольный этаж Пом. №008A</v>
      </c>
      <c r="E204" t="str">
        <v>R.0.008A.1</v>
      </c>
      <c r="F204" t="str">
        <v>Розеточная группа Цокольный этаж Пом. №008A</v>
      </c>
    </row>
    <row r="205" spans="1:6" x14ac:dyDescent="0.3">
      <c r="A205">
        <v>202</v>
      </c>
      <c r="B205" t="str">
        <v>ЩР-01</v>
      </c>
      <c r="C205" t="str">
        <v>QFD16</v>
      </c>
      <c r="D205" t="str">
        <v>кабель ВВГнг(А)-LS (3х2,5) → Розеточная группа Цокольный этаж Пом. №008A Душ виши</v>
      </c>
      <c r="E205" t="str">
        <v>R.0.008A.2</v>
      </c>
      <c r="F205" t="str">
        <v>Розеточная группа Цокольный этаж Пом. №008A Душ виши</v>
      </c>
    </row>
    <row r="206" spans="1:6" x14ac:dyDescent="0.3">
      <c r="A206">
        <v>203</v>
      </c>
      <c r="B206" t="str">
        <v>ЩР-01</v>
      </c>
      <c r="C206" t="str">
        <v>QFD17</v>
      </c>
      <c r="D206" t="str">
        <v>кабель ВВГнг(А)-LS (3х2,5) → Розеточная группа Цокольный этаж Пом. №009A</v>
      </c>
      <c r="E206" t="str">
        <v>R.0.009A.1</v>
      </c>
      <c r="F206" t="str">
        <v>Розеточная группа Цокольный этаж Пом. №009A</v>
      </c>
    </row>
    <row r="207" spans="1:6" x14ac:dyDescent="0.3">
      <c r="A207">
        <v>204</v>
      </c>
      <c r="B207" t="str">
        <v>ЩР-01</v>
      </c>
      <c r="C207" t="str">
        <v>QFD18</v>
      </c>
      <c r="D207" t="str">
        <v>кабель ВВГнг(А)-LS (3х2,5) → Розеточная группа Цокольный этаж Пом. №009A</v>
      </c>
      <c r="E207" t="str">
        <v>R.0.009A.2</v>
      </c>
      <c r="F207" t="str">
        <v>Розеточная группа Цокольный этаж Пом. №009A</v>
      </c>
    </row>
    <row r="208" spans="1:6" x14ac:dyDescent="0.3">
      <c r="A208">
        <v>205</v>
      </c>
      <c r="B208" t="str">
        <v>ЩР-01</v>
      </c>
      <c r="C208" t="str">
        <v>QFD19</v>
      </c>
      <c r="D208" t="str">
        <v>кабель ВВГнг(А)-LS (3х2,5) → Розеточная группа Цокольный этаж Пом. №010A</v>
      </c>
      <c r="E208" t="str">
        <v>R.0.010A.1</v>
      </c>
      <c r="F208" t="str">
        <v>Розеточная группа Цокольный этаж Пом. №010A</v>
      </c>
    </row>
    <row r="209" spans="1:6" x14ac:dyDescent="0.3">
      <c r="A209">
        <v>206</v>
      </c>
      <c r="B209" t="str">
        <v>ЩР-01</v>
      </c>
      <c r="C209" t="str">
        <v>QFD20</v>
      </c>
      <c r="D209" t="str">
        <v>кабель ВВГнг(А)-LS (3х2,5) → Розеточная группа Цокольный этаж Пом. №011</v>
      </c>
      <c r="E209" t="str">
        <v>R.0.011.1A</v>
      </c>
      <c r="F209" t="str">
        <v>Розеточная группа Цокольный этаж Пом. №011</v>
      </c>
    </row>
    <row r="210" spans="1:6" x14ac:dyDescent="0.3">
      <c r="A210">
        <v>207</v>
      </c>
      <c r="B210" t="str">
        <v>ЩР-01</v>
      </c>
      <c r="C210" t="str">
        <v>QFD21</v>
      </c>
      <c r="D210" t="str">
        <v>кабель ВВГнг(А)-LS (3х2,5) → Розеточная группа Цокольный этаж Пом. №011Б</v>
      </c>
      <c r="E210" t="str">
        <v>R.0.011Б.1</v>
      </c>
      <c r="F210" t="str">
        <v>Розеточная группа Цокольный этаж Пом. №011Б</v>
      </c>
    </row>
    <row r="211" spans="1:6" x14ac:dyDescent="0.3">
      <c r="A211">
        <v>208</v>
      </c>
      <c r="B211" t="str">
        <v>ЩР-01</v>
      </c>
      <c r="C211" t="str">
        <v>QFD22</v>
      </c>
      <c r="D211" t="str">
        <v>кабель ВВГнг(А)-LS (3х2,5) → Розеточная группа Цокольный этаж Пом. №012A</v>
      </c>
      <c r="E211" t="str">
        <v>R.0.012A.1</v>
      </c>
      <c r="F211" t="str">
        <v>Розеточная группа Цокольный этаж Пом. №012A</v>
      </c>
    </row>
    <row r="212" spans="1:6" x14ac:dyDescent="0.3">
      <c r="A212">
        <v>209</v>
      </c>
      <c r="B212" t="str">
        <v>ЩР-01</v>
      </c>
      <c r="C212" t="str">
        <v>QFD23</v>
      </c>
      <c r="D212" t="str">
        <v>кабель ВВГнг(А)-LS (3х2,5) → Розеточная группа Цокольный этаж Пом. №013A</v>
      </c>
      <c r="E212" t="str">
        <v>R.0.013A.1</v>
      </c>
      <c r="F212" t="str">
        <v>Розеточная группа Цокольный этаж Пом. №013A</v>
      </c>
    </row>
    <row r="213" spans="1:6" x14ac:dyDescent="0.3">
      <c r="A213">
        <v>210</v>
      </c>
      <c r="B213" t="str">
        <v>ЩР-01</v>
      </c>
      <c r="C213" t="str">
        <v>QFD24</v>
      </c>
      <c r="D213" t="str">
        <v>XT24</v>
      </c>
      <c r="E213" t="str">
        <v>R.0.013Б.1</v>
      </c>
      <c r="F213" t="str">
        <v>Розеточная группа Цокольный этаж Пом. №013Б</v>
      </c>
    </row>
    <row r="214" spans="1:6" x14ac:dyDescent="0.3">
      <c r="A214">
        <v>211</v>
      </c>
      <c r="B214" t="str">
        <v>ЩР-01</v>
      </c>
      <c r="C214" t="str">
        <v>XT24</v>
      </c>
      <c r="D214" t="str">
        <v>кабель ВВГнг(А)-LS (3х2,5) → Розеточная группа Цокольный этаж Пом. №013Б</v>
      </c>
      <c r="E214" t="str">
        <v>R.0.013Б.1</v>
      </c>
      <c r="F214" t="str">
        <v>Розеточная группа Цокольный этаж Пом. №013Б</v>
      </c>
    </row>
    <row r="215" spans="1:6" x14ac:dyDescent="0.3">
      <c r="A215">
        <v>212</v>
      </c>
      <c r="B215" t="str">
        <v>ЩР-01</v>
      </c>
      <c r="C215" t="str">
        <v>QFD25</v>
      </c>
      <c r="D215" t="str">
        <v>XT25</v>
      </c>
      <c r="E215" t="str">
        <v>R.0.013Б.2</v>
      </c>
      <c r="F215" t="str">
        <v>Розеточная группа Цокольный этаж Пом. №013Б</v>
      </c>
    </row>
    <row r="216" spans="1:6" x14ac:dyDescent="0.3">
      <c r="A216">
        <v>213</v>
      </c>
      <c r="B216" t="str">
        <v>ЩР-01</v>
      </c>
      <c r="C216" t="str">
        <v>XT25</v>
      </c>
      <c r="D216" t="str">
        <v>кабель ВВГнг(А)-LS (3х2,5) → Розеточная группа Цокольный этаж Пом. №013Б</v>
      </c>
      <c r="E216" t="str">
        <v>R.0.013Б.2</v>
      </c>
      <c r="F216" t="str">
        <v>Розеточная группа Цокольный этаж Пом. №013Б</v>
      </c>
    </row>
    <row r="217" spans="1:6" x14ac:dyDescent="0.3">
      <c r="A217">
        <v>214</v>
      </c>
      <c r="B217" t="str">
        <v>ЩР-01</v>
      </c>
      <c r="C217" t="str">
        <v>QFD26</v>
      </c>
      <c r="D217" t="str">
        <v>кабель ВВГнг(А)-LS (3х2,5) → Розеточная группа Цокольный этаж Пом. №013Б Полотенцесушитель</v>
      </c>
      <c r="E217" t="str">
        <v>R.0.013Б.3</v>
      </c>
      <c r="F217" t="str">
        <v>Розеточная группа Цокольный этаж Пом. №013Б Полотенцесушитель</v>
      </c>
    </row>
    <row r="218" spans="1:6" x14ac:dyDescent="0.3">
      <c r="A218">
        <v>215</v>
      </c>
      <c r="B218" t="str">
        <v>ЩР-01</v>
      </c>
      <c r="C218" t="str">
        <v>QFD27</v>
      </c>
      <c r="D218" t="str">
        <v>кабель ВВГнг(А)-LS (3х2,5) → Розеточная группа Цокольный этаж Пом. №013Б Сушильная машина</v>
      </c>
      <c r="E218" t="str">
        <v>R.0.013Б.4</v>
      </c>
      <c r="F218" t="str">
        <v>Розеточная группа Цокольный этаж Пом. №013Б Сушильная машина</v>
      </c>
    </row>
    <row r="219" spans="1:6" x14ac:dyDescent="0.3">
      <c r="A219">
        <v>216</v>
      </c>
      <c r="B219" t="str">
        <v>ЩР-01</v>
      </c>
      <c r="C219" t="str">
        <v>QFD28</v>
      </c>
      <c r="D219" t="str">
        <v>кабель ВВГнг(А)-LS (3х2,5) → Розеточная группа Цокольный этаж Пом. №015A</v>
      </c>
      <c r="E219" t="str">
        <v>R.0.015A.1</v>
      </c>
      <c r="F219" t="str">
        <v>Розеточная группа Цокольный этаж Пом. №015A</v>
      </c>
    </row>
    <row r="220" spans="1:6" x14ac:dyDescent="0.3">
      <c r="A220">
        <v>217</v>
      </c>
      <c r="B220" t="str">
        <v>ЩР-01</v>
      </c>
      <c r="C220" t="str">
        <v>QFD29</v>
      </c>
      <c r="D220" t="str">
        <v>кабель ВВГнг(А)-LS (3х2,5) → Розеточная группа Цокольный этаж Пом. №017A</v>
      </c>
      <c r="E220" t="str">
        <v>R.0.017A.1</v>
      </c>
      <c r="F220" t="str">
        <v>Розеточная группа Цокольный этаж Пом. №017A</v>
      </c>
    </row>
    <row r="221" spans="1:6" x14ac:dyDescent="0.3">
      <c r="A221">
        <v>218</v>
      </c>
      <c r="B221" t="str">
        <v>ЩР-01</v>
      </c>
      <c r="C221" t="str">
        <v>QFD30</v>
      </c>
      <c r="D221" t="str">
        <v>кабель ВВГнг(А)-LS (3х2,5) → Розеточная группа Цокольный этаж Пом. №018A</v>
      </c>
      <c r="E221" t="str">
        <v>R.0.018A.1</v>
      </c>
      <c r="F221" t="str">
        <v>Розеточная группа Цокольный этаж Пом. №018A</v>
      </c>
    </row>
    <row r="222" spans="1:6" x14ac:dyDescent="0.3">
      <c r="A222">
        <v>219</v>
      </c>
      <c r="B222" t="str">
        <v>ЩР-01</v>
      </c>
      <c r="C222" t="str">
        <v>QFD31</v>
      </c>
      <c r="D222" t="str">
        <v>кабель ВВГнг(А)-LS (3х2,5) → Розеточная группа Цокольный этаж Пом. №018Б</v>
      </c>
      <c r="E222" t="str">
        <v>R.0.018Б.1</v>
      </c>
      <c r="F222" t="str">
        <v>Розеточная группа Цокольный этаж Пом. №018Б</v>
      </c>
    </row>
    <row r="223" spans="1:6" x14ac:dyDescent="0.3">
      <c r="A223">
        <v>220</v>
      </c>
      <c r="B223" t="str">
        <v>ЩР-01</v>
      </c>
      <c r="C223" t="str">
        <v>QFD32</v>
      </c>
      <c r="D223" t="str">
        <v>кабель ВВГнг(А)-LS (3х2,5) → Розеточная группа Цокольный этаж Пом. №021A</v>
      </c>
      <c r="E223" t="str">
        <v>R.0.021A.1</v>
      </c>
      <c r="F223" t="str">
        <v>Розеточная группа Цокольный этаж Пом. №021A</v>
      </c>
    </row>
    <row r="224" spans="1:6" x14ac:dyDescent="0.3">
      <c r="A224">
        <v>221</v>
      </c>
      <c r="B224" t="str">
        <v>ЩР-01</v>
      </c>
      <c r="C224" t="str">
        <v>QFD33</v>
      </c>
      <c r="D224" t="str">
        <v>кабель ВВГнг(А)-LS (3х2,5) → Розеточная группа Цокольный этаж Пом. №022</v>
      </c>
      <c r="E224" t="str">
        <v>R.0.022.1</v>
      </c>
      <c r="F224" t="str">
        <v>Розеточная группа Цокольный этаж Пом. №022</v>
      </c>
    </row>
    <row r="225" spans="1:6" x14ac:dyDescent="0.3">
      <c r="A225">
        <v>222</v>
      </c>
      <c r="B225" t="str">
        <v>ЩР-01</v>
      </c>
      <c r="C225" t="str">
        <v>QFD34</v>
      </c>
      <c r="D225" t="str">
        <v>кабель ВВГнг(А)-LS (3х2,5) → Розеточная группа Цокольный этаж Пом. №012A</v>
      </c>
      <c r="E225" t="str">
        <v>R.0.012A.2</v>
      </c>
      <c r="F225" t="str">
        <v>Розеточная группа Цокольный этаж Пом. №012A</v>
      </c>
    </row>
    <row r="226" spans="1:6" x14ac:dyDescent="0.3">
      <c r="A226">
        <v>223</v>
      </c>
      <c r="B226" t="str">
        <v>ЩР-01</v>
      </c>
      <c r="C226" t="str">
        <v>QFD35</v>
      </c>
      <c r="D226" t="str">
        <v>кабель ВВГнг(А)-LS (3х2,5) → Розеточная группа Цокольный этаж Пом. №020A</v>
      </c>
      <c r="E226" t="str">
        <v>R.0.020A.1</v>
      </c>
      <c r="F226" t="str">
        <v>Розеточная группа Цокольный этаж Пом. №020A</v>
      </c>
    </row>
    <row r="227" spans="1:6" x14ac:dyDescent="0.3">
      <c r="A227">
        <v>224</v>
      </c>
      <c r="B227" t="str">
        <v>ЩР-01</v>
      </c>
      <c r="C227" t="str">
        <v>QF36</v>
      </c>
      <c r="D227" t="str">
        <v>XT36</v>
      </c>
      <c r="E227" t="str">
        <v>ШТК-1</v>
      </c>
      <c r="F227" t="str">
        <v>Шкаф телекоммуникационный ШТК-2 Цокольный этаж Пом. №002Т</v>
      </c>
    </row>
    <row r="228" spans="1:6" x14ac:dyDescent="0.3">
      <c r="A228">
        <v>225</v>
      </c>
      <c r="B228" t="str">
        <v>ЩР-01</v>
      </c>
      <c r="C228" t="str">
        <v>XT36</v>
      </c>
      <c r="D228" t="str">
        <v>кабель ВВГнг(А)-LS (3х6) → Шкаф телекоммуникационный ШТК-2 Цокольный этаж Пом. №002Т</v>
      </c>
      <c r="E228" t="str">
        <v>ШТК-1</v>
      </c>
      <c r="F228" t="str">
        <v>Шкаф телекоммуникационный ШТК-2 Цокольный этаж Пом. №002Т</v>
      </c>
    </row>
    <row r="229" spans="1:6" x14ac:dyDescent="0.3">
      <c r="A229">
        <v>226</v>
      </c>
      <c r="B229" t="str">
        <v>ЩР-01</v>
      </c>
      <c r="C229" t="str">
        <v>QF37</v>
      </c>
      <c r="D229" t="str">
        <v>XT37</v>
      </c>
      <c r="E229" t="str">
        <v>ШТК-СОТ.0</v>
      </c>
      <c r="F229" t="str">
        <v>Шкаф телекоммуникационный ШТК-СОТ.0 Цокольный этаж Пом. №002Т</v>
      </c>
    </row>
    <row r="230" spans="1:6" x14ac:dyDescent="0.3">
      <c r="A230">
        <v>227</v>
      </c>
      <c r="B230" t="str">
        <v>ЩР-01</v>
      </c>
      <c r="C230" t="str">
        <v>XT37</v>
      </c>
      <c r="D230" t="str">
        <v>кабель ВВГнг(А)-LS (3х2,5) → Шкаф телекоммуникационный ШТК-СОТ.0 Цокольный этаж Пом. №002Т</v>
      </c>
      <c r="E230" t="str">
        <v>ШТК-СОТ.0</v>
      </c>
      <c r="F230" t="str">
        <v>Шкаф телекоммуникационный ШТК-СОТ.0 Цокольный этаж Пом. №002Т</v>
      </c>
    </row>
    <row r="231" spans="1:6" x14ac:dyDescent="0.3">
      <c r="A231">
        <v>228</v>
      </c>
      <c r="B231" t="str">
        <v>ЩР-01</v>
      </c>
      <c r="C231" t="str">
        <v>QF38</v>
      </c>
      <c r="D231" t="str">
        <v>XT38</v>
      </c>
      <c r="E231" t="str">
        <v>ШТК-ЛВС.0</v>
      </c>
      <c r="F231" t="str">
        <v>Шкаф телекоммуникационный ШТК-ЛВС.0 Цокольный этаж Пом. №002Т</v>
      </c>
    </row>
    <row r="232" spans="1:6" x14ac:dyDescent="0.3">
      <c r="A232">
        <v>229</v>
      </c>
      <c r="B232" t="str">
        <v>ЩР-01</v>
      </c>
      <c r="C232" t="str">
        <v>XT38</v>
      </c>
      <c r="D232" t="str">
        <v>кабель ВВГнг(А)-LS (3х2,5) → Шкаф телекоммуникационный ШТК-ЛВС.0 Цокольный этаж Пом. №002Т</v>
      </c>
      <c r="E232" t="str">
        <v>ШТК-ЛВС.0</v>
      </c>
      <c r="F232" t="str">
        <v>Шкаф телекоммуникационный ШТК-ЛВС.0 Цокольный этаж Пом. №002Т</v>
      </c>
    </row>
    <row r="233" spans="1:6" x14ac:dyDescent="0.3">
      <c r="A233">
        <v>230</v>
      </c>
      <c r="B233" t="str">
        <v>ЩР-01</v>
      </c>
      <c r="C233" t="str">
        <v>QF39</v>
      </c>
      <c r="D233" t="str">
        <v>XT39</v>
      </c>
      <c r="E233" t="str">
        <v>ЩДК-01</v>
      </c>
      <c r="F233" t="str">
        <v>Щит контроля доступа ШДК-01 Цокольный этаж Пом. №001Т</v>
      </c>
    </row>
    <row r="234" spans="1:6" x14ac:dyDescent="0.3">
      <c r="A234">
        <v>231</v>
      </c>
      <c r="B234" t="str">
        <v>ЩР-01</v>
      </c>
      <c r="C234" t="str">
        <v>XT39</v>
      </c>
      <c r="D234" t="str">
        <v>кабель ВВГнг(А)-LS (3х2,5) → Щит контроля доступа ШДК-01 Цокольный этаж Пом. №001Т</v>
      </c>
      <c r="E234" t="str">
        <v>ЩДК-01</v>
      </c>
      <c r="F234" t="str">
        <v>Щит контроля доступа ШДК-01 Цокольный этаж Пом. №001Т</v>
      </c>
    </row>
    <row r="235" spans="1:6" x14ac:dyDescent="0.3">
      <c r="A235">
        <v>232</v>
      </c>
      <c r="B235" t="str">
        <v>ЩР-1</v>
      </c>
      <c r="C235" t="str">
        <v>QFD1</v>
      </c>
      <c r="D235" t="str">
        <v>XT1</v>
      </c>
      <c r="E235" t="str">
        <v>R.1.001A.1</v>
      </c>
      <c r="F235" t="str">
        <v>Розеточная группа Первый этаж Пом. №001A</v>
      </c>
    </row>
    <row r="236" spans="1:6" x14ac:dyDescent="0.3">
      <c r="A236">
        <v>233</v>
      </c>
      <c r="B236" t="str">
        <v>ЩР-1</v>
      </c>
      <c r="C236" t="str">
        <v>XT1</v>
      </c>
      <c r="D236" t="str">
        <v>кабель ВВГнг(А)-LS (3х2,5) → Розеточная группа Первый этаж Пом. №001A</v>
      </c>
      <c r="E236" t="str">
        <v>R.1.001A.1</v>
      </c>
      <c r="F236" t="str">
        <v>Розеточная группа Первый этаж Пом. №001A</v>
      </c>
    </row>
    <row r="237" spans="1:6" x14ac:dyDescent="0.3">
      <c r="A237">
        <v>234</v>
      </c>
      <c r="B237" t="str">
        <v>ЩР-1</v>
      </c>
      <c r="C237" t="str">
        <v>QFD2</v>
      </c>
      <c r="D237" t="str">
        <v>XT2</v>
      </c>
      <c r="E237" t="str">
        <v>R.1.001Aб.1</v>
      </c>
      <c r="F237" t="str">
        <v>Розеточная группа Первый этаж Пом. №001Aб, 002Аб</v>
      </c>
    </row>
    <row r="238" spans="1:6" x14ac:dyDescent="0.3">
      <c r="A238">
        <v>235</v>
      </c>
      <c r="B238" t="str">
        <v>ЩР-1</v>
      </c>
      <c r="C238" t="str">
        <v>XT2</v>
      </c>
      <c r="D238" t="str">
        <v>кабель ВВГнг(А)-LS (3х2,5) → Розеточная группа Первый этаж Пом. №001Aб, 002Аб</v>
      </c>
      <c r="E238" t="str">
        <v>R.1.001Aб.1</v>
      </c>
      <c r="F238" t="str">
        <v>Розеточная группа Первый этаж Пом. №001Aб, 002Аб</v>
      </c>
    </row>
    <row r="239" spans="1:6" x14ac:dyDescent="0.3">
      <c r="A239">
        <v>236</v>
      </c>
      <c r="B239" t="str">
        <v>ЩР-1</v>
      </c>
      <c r="C239" t="str">
        <v>QFD3</v>
      </c>
      <c r="D239" t="str">
        <v>XT3</v>
      </c>
      <c r="E239" t="str">
        <v>R.1.001Г.1</v>
      </c>
      <c r="F239" t="str">
        <v>Розеточная группа Первый этаж Пом. №001Г</v>
      </c>
    </row>
    <row r="240" spans="1:6" x14ac:dyDescent="0.3">
      <c r="A240">
        <v>237</v>
      </c>
      <c r="B240" t="str">
        <v>ЩР-1</v>
      </c>
      <c r="C240" t="str">
        <v>XT3</v>
      </c>
      <c r="D240" t="str">
        <v>кабель ВВГнг(А)-LS (3х2,5) → Розеточная группа Первый этаж Пом. №001Г</v>
      </c>
      <c r="E240" t="str">
        <v>R.1.001Г.1</v>
      </c>
      <c r="F240" t="str">
        <v>Розеточная группа Первый этаж Пом. №001Г</v>
      </c>
    </row>
    <row r="241" spans="1:6" x14ac:dyDescent="0.3">
      <c r="A241">
        <v>238</v>
      </c>
      <c r="B241" t="str">
        <v>ЩР-1</v>
      </c>
      <c r="C241" t="str">
        <v>QFD4</v>
      </c>
      <c r="D241" t="str">
        <v>XT4</v>
      </c>
      <c r="E241" t="str">
        <v>R.1.002A.1</v>
      </c>
      <c r="F241" t="str">
        <v>Розеточная группа Первый этаж Пом. №002A, 023А</v>
      </c>
    </row>
    <row r="242" spans="1:6" x14ac:dyDescent="0.3">
      <c r="A242">
        <v>239</v>
      </c>
      <c r="B242" t="str">
        <v>ЩР-1</v>
      </c>
      <c r="C242" t="str">
        <v>XT4</v>
      </c>
      <c r="D242" t="str">
        <v>кабель ВВГнг(А)-LS (3х2,5) → Розеточная группа Первый этаж Пом. №002A, 023А</v>
      </c>
      <c r="E242" t="str">
        <v>R.1.002A.1</v>
      </c>
      <c r="F242" t="str">
        <v>Розеточная группа Первый этаж Пом. №002A, 023А</v>
      </c>
    </row>
    <row r="243" spans="1:6" x14ac:dyDescent="0.3">
      <c r="A243">
        <v>240</v>
      </c>
      <c r="B243" t="str">
        <v>ЩР-1</v>
      </c>
      <c r="C243" t="str">
        <v>QFD5</v>
      </c>
      <c r="D243" t="str">
        <v>XT5</v>
      </c>
      <c r="E243" t="str">
        <v>R.1.002Aб.1</v>
      </c>
      <c r="F243" t="str">
        <v>Розеточная группа Первый этаж Пом. №002Aб</v>
      </c>
    </row>
    <row r="244" spans="1:6" x14ac:dyDescent="0.3">
      <c r="A244">
        <v>241</v>
      </c>
      <c r="B244" t="str">
        <v>ЩР-1</v>
      </c>
      <c r="C244" t="str">
        <v>XT5</v>
      </c>
      <c r="D244" t="str">
        <v>кабель ВВГнг(А)-LS (3х2,5) → Розеточная группа Первый этаж Пом. №002Aб</v>
      </c>
      <c r="E244" t="str">
        <v>R.1.002Aб.1</v>
      </c>
      <c r="F244" t="str">
        <v>Розеточная группа Первый этаж Пом. №002Aб</v>
      </c>
    </row>
    <row r="245" spans="1:6" x14ac:dyDescent="0.3">
      <c r="A245">
        <v>242</v>
      </c>
      <c r="B245" t="str">
        <v>ЩР-1</v>
      </c>
      <c r="C245" t="str">
        <v>QFD6</v>
      </c>
      <c r="D245" t="str">
        <v>XT6</v>
      </c>
      <c r="E245" t="str">
        <v>R.1.002Б.1</v>
      </c>
      <c r="F245" t="str">
        <v>Розеточная группа Первый этаж Пом. №002Б Ледогенератор</v>
      </c>
    </row>
    <row r="246" spans="1:6" x14ac:dyDescent="0.3">
      <c r="A246">
        <v>243</v>
      </c>
      <c r="B246" t="str">
        <v>ЩР-1</v>
      </c>
      <c r="C246" t="str">
        <v>XT6</v>
      </c>
      <c r="D246" t="str">
        <v>кабель ВВГнг(А)-LS (3х2,5) → Розеточная группа Первый этаж Пом. №002Б Ледогенератор</v>
      </c>
      <c r="E246" t="str">
        <v>R.1.002Б.1</v>
      </c>
      <c r="F246" t="str">
        <v>Розеточная группа Первый этаж Пом. №002Б Ледогенератор</v>
      </c>
    </row>
    <row r="247" spans="1:6" x14ac:dyDescent="0.3">
      <c r="A247">
        <v>244</v>
      </c>
      <c r="B247" t="str">
        <v>ЩР-1</v>
      </c>
      <c r="C247" t="str">
        <v>QFD7</v>
      </c>
      <c r="D247" t="str">
        <v>XT7</v>
      </c>
      <c r="E247" t="str">
        <v>R.1.002Б.2</v>
      </c>
      <c r="F247" t="str">
        <v>Розеточная группа Первый этаж Пом. №002Б</v>
      </c>
    </row>
    <row r="248" spans="1:6" x14ac:dyDescent="0.3">
      <c r="A248">
        <v>245</v>
      </c>
      <c r="B248" t="str">
        <v>ЩР-1</v>
      </c>
      <c r="C248" t="str">
        <v>XT7</v>
      </c>
      <c r="D248" t="str">
        <v>кабель ВВГнг(А)-LS (3х2,5) → Розеточная группа Первый этаж Пом. №002Б</v>
      </c>
      <c r="E248" t="str">
        <v>R.1.002Б.2</v>
      </c>
      <c r="F248" t="str">
        <v>Розеточная группа Первый этаж Пом. №002Б</v>
      </c>
    </row>
    <row r="249" spans="1:6" x14ac:dyDescent="0.3">
      <c r="A249">
        <v>246</v>
      </c>
      <c r="B249" t="str">
        <v>ЩР-1</v>
      </c>
      <c r="C249" t="str">
        <v>QFD8</v>
      </c>
      <c r="D249" t="str">
        <v>XT8</v>
      </c>
      <c r="E249" t="str">
        <v>R.1.002Б.3</v>
      </c>
      <c r="F249" t="str">
        <v>Розеточная группа Первый этаж Пом. №002Б Ледогенератор</v>
      </c>
    </row>
    <row r="250" spans="1:6" x14ac:dyDescent="0.3">
      <c r="A250">
        <v>247</v>
      </c>
      <c r="B250" t="str">
        <v>ЩР-1</v>
      </c>
      <c r="C250" t="str">
        <v>XT8</v>
      </c>
      <c r="D250" t="str">
        <v>кабель ВВГнг(А)-LS (3х2,5) → Розеточная группа Первый этаж Пом. №002Б Ледогенератор</v>
      </c>
      <c r="E250" t="str">
        <v>R.1.002Б.3</v>
      </c>
      <c r="F250" t="str">
        <v>Розеточная группа Первый этаж Пом. №002Б Ледогенератор</v>
      </c>
    </row>
    <row r="251" spans="1:6" x14ac:dyDescent="0.3">
      <c r="A251">
        <v>248</v>
      </c>
      <c r="B251" t="str">
        <v>ЩР-1</v>
      </c>
      <c r="C251" t="str">
        <v>QFD9</v>
      </c>
      <c r="D251" t="str">
        <v>кабель ВВГнг(А)-LS (3х2,5) → Розеточная группа Первый этаж Пом. №002Б Фартук</v>
      </c>
      <c r="E251" t="str">
        <v>R.1.002Б.4</v>
      </c>
      <c r="F251" t="str">
        <v>Розеточная группа Первый этаж Пом. №002Б Фартук</v>
      </c>
    </row>
    <row r="252" spans="1:6" x14ac:dyDescent="0.3">
      <c r="A252">
        <v>249</v>
      </c>
      <c r="B252" t="str">
        <v>ЩР-1</v>
      </c>
      <c r="C252" t="str">
        <v>QFD10</v>
      </c>
      <c r="D252" t="str">
        <v>XT10</v>
      </c>
      <c r="E252" t="str">
        <v>R.1.002Б.5</v>
      </c>
      <c r="F252" t="str">
        <v>Розеточная группа Первый этаж Пом. №002Б ПММ</v>
      </c>
    </row>
    <row r="253" spans="1:6" x14ac:dyDescent="0.3">
      <c r="A253">
        <v>250</v>
      </c>
      <c r="B253" t="str">
        <v>ЩР-1</v>
      </c>
      <c r="C253" t="str">
        <v>XT10</v>
      </c>
      <c r="D253" t="str">
        <v>кабель ВВГнг(А)-LS (3х4) → Розеточная группа Первый этаж Пом. №002Б ПММ</v>
      </c>
      <c r="E253" t="str">
        <v>R.1.002Б.5</v>
      </c>
      <c r="F253" t="str">
        <v>Розеточная группа Первый этаж Пом. №002Б ПММ</v>
      </c>
    </row>
    <row r="254" spans="1:6" x14ac:dyDescent="0.3">
      <c r="A254">
        <v>251</v>
      </c>
      <c r="B254" t="str">
        <v>ЩР-1</v>
      </c>
      <c r="C254" t="str">
        <v>QFD11</v>
      </c>
      <c r="D254" t="str">
        <v>кабель ВВГнг(А)-LS (3х4) → Розеточная группа Первый этаж Пом. №002Б Стаканомоечная машина</v>
      </c>
      <c r="E254" t="str">
        <v>R.1.002Б.6</v>
      </c>
      <c r="F254" t="str">
        <v>Розеточная группа Первый этаж Пом. №002Б Стаканомоечная машина</v>
      </c>
    </row>
    <row r="255" spans="1:6" x14ac:dyDescent="0.3">
      <c r="A255">
        <v>252</v>
      </c>
      <c r="B255" t="str">
        <v>ЩР-1</v>
      </c>
      <c r="C255" t="str">
        <v>QFD12</v>
      </c>
      <c r="D255" t="str">
        <v>кабель ВВГнг(А)-LS (3х2,5) → Розеточная группа Первый этаж Пом. №002Б</v>
      </c>
      <c r="E255" t="str">
        <v>R.1.002Б.7</v>
      </c>
      <c r="F255" t="str">
        <v>Розеточная группа Первый этаж Пом. №002Б</v>
      </c>
    </row>
    <row r="256" spans="1:6" x14ac:dyDescent="0.3">
      <c r="A256">
        <v>253</v>
      </c>
      <c r="B256" t="str">
        <v>ЩР-1</v>
      </c>
      <c r="C256" t="str">
        <v>QFD13</v>
      </c>
      <c r="D256" t="str">
        <v>кабель ВВГнг(А)-LS (3х2,5) → Розеточная группа Первый этаж Пом. №002Б</v>
      </c>
      <c r="E256" t="str">
        <v>R.1.002Б.8</v>
      </c>
      <c r="F256" t="str">
        <v>Розеточная группа Первый этаж Пом. №002Б</v>
      </c>
    </row>
    <row r="257" spans="1:6" x14ac:dyDescent="0.3">
      <c r="A257">
        <v>254</v>
      </c>
      <c r="B257" t="str">
        <v>ЩР-1</v>
      </c>
      <c r="C257" t="str">
        <v>QFD14</v>
      </c>
      <c r="D257" t="str">
        <v>кабель ВВГнг(А)-LS (3х2,5) → Розеточная группа Первый этаж Пом. №002Г</v>
      </c>
      <c r="E257" t="str">
        <v>R.1.002Г.1</v>
      </c>
      <c r="F257" t="str">
        <v>Розеточная группа Первый этаж Пом. №002Г</v>
      </c>
    </row>
    <row r="258" spans="1:6" x14ac:dyDescent="0.3">
      <c r="A258">
        <v>255</v>
      </c>
      <c r="B258" t="str">
        <v>ЩР-1</v>
      </c>
      <c r="C258" t="str">
        <v>QFD15</v>
      </c>
      <c r="D258" t="str">
        <v>кабель ВВГнг(А)-LS (3х2,5) → Розеточная группа Первый этаж Пом. №003A</v>
      </c>
      <c r="E258" t="str">
        <v>R.1.003A.1</v>
      </c>
      <c r="F258" t="str">
        <v>Розеточная группа Первый этаж Пом. №003A</v>
      </c>
    </row>
    <row r="259" spans="1:6" x14ac:dyDescent="0.3">
      <c r="A259">
        <v>256</v>
      </c>
      <c r="B259" t="str">
        <v>ЩР-1</v>
      </c>
      <c r="C259" t="str">
        <v>QFD16</v>
      </c>
      <c r="D259" t="str">
        <v>кабель ВВГнг(А)-LS (3х2,5) → Розеточная группа Первый этаж Пом. №003A</v>
      </c>
      <c r="E259" t="str">
        <v>R.1.003A.2</v>
      </c>
      <c r="F259" t="str">
        <v>Розеточная группа Первый этаж Пом. №003A</v>
      </c>
    </row>
    <row r="260" spans="1:6" x14ac:dyDescent="0.3">
      <c r="A260">
        <v>257</v>
      </c>
      <c r="B260" t="str">
        <v>ЩР-1</v>
      </c>
      <c r="C260" t="str">
        <v>QFD17</v>
      </c>
      <c r="D260" t="str">
        <v>кабель ВВГнг(А)-LS (3х2,5) → Розеточная группа Первый этаж Пом. №003A</v>
      </c>
      <c r="E260" t="str">
        <v>R.1.003A.3</v>
      </c>
      <c r="F260" t="str">
        <v>Розеточная группа Первый этаж Пом. №003A</v>
      </c>
    </row>
    <row r="261" spans="1:6" x14ac:dyDescent="0.3">
      <c r="A261">
        <v>258</v>
      </c>
      <c r="B261" t="str">
        <v>ЩР-1</v>
      </c>
      <c r="C261" t="str">
        <v>QFD18</v>
      </c>
      <c r="D261" t="str">
        <v>кабель ВВГнг(А)-LS (3х2,5) → Розеточная группа Первый этаж Пом. №003A2</v>
      </c>
      <c r="E261" t="str">
        <v>R.1.003A2</v>
      </c>
      <c r="F261" t="str">
        <v>Розеточная группа Первый этаж Пом. №003A2</v>
      </c>
    </row>
    <row r="262" spans="1:6" x14ac:dyDescent="0.3">
      <c r="A262">
        <v>259</v>
      </c>
      <c r="B262" t="str">
        <v>ЩР-1</v>
      </c>
      <c r="C262" t="str">
        <v>QFD19</v>
      </c>
      <c r="D262" t="str">
        <v>кабель ВВГнг(А)-LS (3х2,5) → Розеточная группа Первый этаж Пом. №003Aб</v>
      </c>
      <c r="E262" t="str">
        <v>R.1.003Aб.1</v>
      </c>
      <c r="F262" t="str">
        <v>Розеточная группа Первый этаж Пом. №003Aб</v>
      </c>
    </row>
    <row r="263" spans="1:6" x14ac:dyDescent="0.3">
      <c r="A263">
        <v>260</v>
      </c>
      <c r="B263" t="str">
        <v>ЩР-1</v>
      </c>
      <c r="C263" t="str">
        <v>QFD20</v>
      </c>
      <c r="D263" t="str">
        <v>кабель ВВГнг(А)-LS (3х2,5) → Розеточная группа Первый этаж Пом. №003Б</v>
      </c>
      <c r="E263" t="str">
        <v>R.1.003Б.1</v>
      </c>
      <c r="F263" t="str">
        <v>Розеточная группа Первый этаж Пом. №003Б</v>
      </c>
    </row>
    <row r="264" spans="1:6" x14ac:dyDescent="0.3">
      <c r="A264">
        <v>261</v>
      </c>
      <c r="B264" t="str">
        <v>ЩР-1</v>
      </c>
      <c r="C264" t="str">
        <v>QFD21</v>
      </c>
      <c r="D264" t="str">
        <v>кабель ВВГнг(А)-LS (3х2,5) → Розеточная группа Первый этаж Пом. №003Б</v>
      </c>
      <c r="E264" t="str">
        <v>R.1.003Б.2</v>
      </c>
      <c r="F264" t="str">
        <v>Розеточная группа Первый этаж Пом. №003Б</v>
      </c>
    </row>
    <row r="265" spans="1:6" x14ac:dyDescent="0.3">
      <c r="A265">
        <v>262</v>
      </c>
      <c r="B265" t="str">
        <v>ЩР-1</v>
      </c>
      <c r="C265" t="str">
        <v>QFD22</v>
      </c>
      <c r="D265" t="str">
        <v>кабель ВВГнг(А)-LS (3х2,5) → Розеточная группа Первый этаж Пом. №003Г</v>
      </c>
      <c r="E265" t="str">
        <v>R.1.003Г.1</v>
      </c>
      <c r="F265" t="str">
        <v>Розеточная группа Первый этаж Пом. №003Г</v>
      </c>
    </row>
    <row r="266" spans="1:6" x14ac:dyDescent="0.3">
      <c r="A266">
        <v>263</v>
      </c>
      <c r="B266" t="str">
        <v>ЩР-1</v>
      </c>
      <c r="C266" t="str">
        <v>QFD23</v>
      </c>
      <c r="D266" t="str">
        <v>кабель ВВГнг(А)-LS (3х2,5) → Розеточная группа Первый этаж Пом. №004Aб</v>
      </c>
      <c r="E266" t="str">
        <v>R.1.004Aб.1</v>
      </c>
      <c r="F266" t="str">
        <v>Розеточная группа Первый этаж Пом. №004Aб</v>
      </c>
    </row>
    <row r="267" spans="1:6" x14ac:dyDescent="0.3">
      <c r="A267">
        <v>264</v>
      </c>
      <c r="B267" t="str">
        <v>ЩР-1</v>
      </c>
      <c r="C267" t="str">
        <v>QFD24</v>
      </c>
      <c r="D267" t="str">
        <v>XT24</v>
      </c>
      <c r="E267" t="str">
        <v>R.1.005A.1</v>
      </c>
      <c r="F267" t="str">
        <v>Розеточная группа Первый этаж Пом. №005A</v>
      </c>
    </row>
    <row r="268" spans="1:6" x14ac:dyDescent="0.3">
      <c r="A268">
        <v>265</v>
      </c>
      <c r="B268" t="str">
        <v>ЩР-1</v>
      </c>
      <c r="C268" t="str">
        <v>XT24</v>
      </c>
      <c r="D268" t="str">
        <v>кабель ВВГнг(А)-LS (3х2,5) → Розеточная группа Первый этаж Пом. №005A</v>
      </c>
      <c r="E268" t="str">
        <v>R.1.005A.1</v>
      </c>
      <c r="F268" t="str">
        <v>Розеточная группа Первый этаж Пом. №005A</v>
      </c>
    </row>
    <row r="269" spans="1:6" x14ac:dyDescent="0.3">
      <c r="A269">
        <v>266</v>
      </c>
      <c r="B269" t="str">
        <v>ЩР-1</v>
      </c>
      <c r="C269" t="str">
        <v>QFD25</v>
      </c>
      <c r="D269" t="str">
        <v>XT25</v>
      </c>
      <c r="E269" t="str">
        <v>R.1.006A.1</v>
      </c>
      <c r="F269" t="str">
        <v>Розеточная группа Первый этаж Пом. №006A</v>
      </c>
    </row>
    <row r="270" spans="1:6" x14ac:dyDescent="0.3">
      <c r="A270">
        <v>267</v>
      </c>
      <c r="B270" t="str">
        <v>ЩР-1</v>
      </c>
      <c r="C270" t="str">
        <v>XT25</v>
      </c>
      <c r="D270" t="str">
        <v>кабель ВВГнг(А)-LS (3х2,5) → Розеточная группа Первый этаж Пом. №006A</v>
      </c>
      <c r="E270" t="str">
        <v>R.1.006A.1</v>
      </c>
      <c r="F270" t="str">
        <v>Розеточная группа Первый этаж Пом. №006A</v>
      </c>
    </row>
    <row r="271" spans="1:6" x14ac:dyDescent="0.3">
      <c r="A271">
        <v>268</v>
      </c>
      <c r="B271" t="str">
        <v>ЩР-1</v>
      </c>
      <c r="C271" t="str">
        <v>QFD26</v>
      </c>
      <c r="D271" t="str">
        <v>кабель ВВГнг(А)-LS (3х2,5) → Розеточная группа Первый этаж Пом. №006Aб</v>
      </c>
      <c r="E271" t="str">
        <v>R.1.006Aб.1</v>
      </c>
      <c r="F271" t="str">
        <v>Розеточная группа Первый этаж Пом. №006Aб</v>
      </c>
    </row>
    <row r="272" spans="1:6" x14ac:dyDescent="0.3">
      <c r="A272">
        <v>269</v>
      </c>
      <c r="B272" t="str">
        <v>ЩР-1</v>
      </c>
      <c r="C272" t="str">
        <v>QFD27</v>
      </c>
      <c r="D272" t="str">
        <v>кабель ВВГнг(А)-LS (3х2,5) → Розеточная группа Первый этаж Пом. №006Aб</v>
      </c>
      <c r="E272" t="str">
        <v>R.1.006Aб.2</v>
      </c>
      <c r="F272" t="str">
        <v>Розеточная группа Первый этаж Пом. №006Aб</v>
      </c>
    </row>
    <row r="273" spans="1:6" x14ac:dyDescent="0.3">
      <c r="A273">
        <v>270</v>
      </c>
      <c r="B273" t="str">
        <v>ЩР-1</v>
      </c>
      <c r="C273" t="str">
        <v>QFD28</v>
      </c>
      <c r="D273" t="str">
        <v>кабель ВВГнг(А)-LS (3х2,5) → Розеточная группа Первый этаж Пом. №007A</v>
      </c>
      <c r="E273" t="str">
        <v>R.1.007A.1</v>
      </c>
      <c r="F273" t="str">
        <v>Розеточная группа Первый этаж Пом. №007A</v>
      </c>
    </row>
    <row r="274" spans="1:6" x14ac:dyDescent="0.3">
      <c r="A274">
        <v>271</v>
      </c>
      <c r="B274" t="str">
        <v>ЩР-1</v>
      </c>
      <c r="C274" t="str">
        <v>QFD29</v>
      </c>
      <c r="D274" t="str">
        <v>кабель ВВГнг(А)-LS (3х2,5) → Розеточная группа Первый этаж Пом. №008A</v>
      </c>
      <c r="E274" t="str">
        <v>R.1.008A.1</v>
      </c>
      <c r="F274" t="str">
        <v>Розеточная группа Первый этаж Пом. №008A</v>
      </c>
    </row>
    <row r="275" spans="1:6" x14ac:dyDescent="0.3">
      <c r="A275">
        <v>272</v>
      </c>
      <c r="B275" t="str">
        <v>ЩР-1</v>
      </c>
      <c r="C275" t="str">
        <v>QFD30</v>
      </c>
      <c r="D275" t="str">
        <v>кабель ВВГнг(А)-LS (3х2,5) → Розеточная группа Первый этаж Пом. №009A</v>
      </c>
      <c r="E275" t="str">
        <v>R.1.009A.1</v>
      </c>
      <c r="F275" t="str">
        <v>Розеточная группа Первый этаж Пом. №009A</v>
      </c>
    </row>
    <row r="276" spans="1:6" x14ac:dyDescent="0.3">
      <c r="A276">
        <v>273</v>
      </c>
      <c r="B276" t="str">
        <v>ЩР-1</v>
      </c>
      <c r="C276" t="str">
        <v>QFD31</v>
      </c>
      <c r="D276" t="str">
        <v>кабель ВВГнг(А)-LS (3х2,5) → Розеточная группа Первый этаж Пом. №010A</v>
      </c>
      <c r="E276" t="str">
        <v>R.1.010A.1</v>
      </c>
      <c r="F276" t="str">
        <v>Розеточная группа Первый этаж Пом. №010A</v>
      </c>
    </row>
    <row r="277" spans="1:6" x14ac:dyDescent="0.3">
      <c r="A277">
        <v>274</v>
      </c>
      <c r="B277" t="str">
        <v>ЩР-1</v>
      </c>
      <c r="C277" t="str">
        <v>QFD32</v>
      </c>
      <c r="D277" t="str">
        <v>кабель ВВГнг(А)-LS (3х2,5) → Розеточная группа Первый этаж Пом. №011A</v>
      </c>
      <c r="E277" t="str">
        <v>R.1.011A.1</v>
      </c>
      <c r="F277" t="str">
        <v>Розеточная группа Первый этаж Пом. №011A</v>
      </c>
    </row>
    <row r="278" spans="1:6" x14ac:dyDescent="0.3">
      <c r="A278">
        <v>275</v>
      </c>
      <c r="B278" t="str">
        <v>ЩР-1</v>
      </c>
      <c r="C278" t="str">
        <v>QFD33</v>
      </c>
      <c r="D278" t="str">
        <v>кабель ВВГнг(А)-LS (3х2,5) → Розеточная группа Первый этаж Пом. №012</v>
      </c>
      <c r="E278" t="str">
        <v>R.1.012.1A.1</v>
      </c>
      <c r="F278" t="str">
        <v>Розеточная группа Первый этаж Пом. №012</v>
      </c>
    </row>
    <row r="279" spans="1:6" x14ac:dyDescent="0.3">
      <c r="A279">
        <v>276</v>
      </c>
      <c r="B279" t="str">
        <v>ЩР-1</v>
      </c>
      <c r="C279" t="str">
        <v>QFD34</v>
      </c>
      <c r="D279" t="str">
        <v>кабель ВВГнг(А)-LS (3х2,5) → Розеточная группа Первый этаж Пом. №013A</v>
      </c>
      <c r="E279" t="str">
        <v>R.1.013A.1</v>
      </c>
      <c r="F279" t="str">
        <v>Розеточная группа Первый этаж Пом. №013A</v>
      </c>
    </row>
    <row r="280" spans="1:6" x14ac:dyDescent="0.3">
      <c r="A280">
        <v>277</v>
      </c>
      <c r="B280" t="str">
        <v>ЩР-1</v>
      </c>
      <c r="C280" t="str">
        <v>QFD35</v>
      </c>
      <c r="D280" t="str">
        <v>кабель ВВГнг(А)-LS (3х2,5) → Розеточная группа Первый этаж Пом. №014A</v>
      </c>
      <c r="E280" t="str">
        <v>R.1.014A.1</v>
      </c>
      <c r="F280" t="str">
        <v>Розеточная группа Первый этаж Пом. №014A</v>
      </c>
    </row>
    <row r="281" spans="1:6" x14ac:dyDescent="0.3">
      <c r="A281">
        <v>278</v>
      </c>
      <c r="B281" t="str">
        <v>ЩР-1</v>
      </c>
      <c r="C281" t="str">
        <v>QFD36</v>
      </c>
      <c r="D281" t="str">
        <v>XT36</v>
      </c>
      <c r="E281" t="str">
        <v>R.1.015A.1</v>
      </c>
      <c r="F281" t="str">
        <v>Розеточная группа Первый этаж Пом. №015A</v>
      </c>
    </row>
    <row r="282" spans="1:6" x14ac:dyDescent="0.3">
      <c r="A282">
        <v>279</v>
      </c>
      <c r="B282" t="str">
        <v>ЩР-1</v>
      </c>
      <c r="C282" t="str">
        <v>XT36</v>
      </c>
      <c r="D282" t="str">
        <v>кабель ВВГнг(А)-LS (3х2,5) → Розеточная группа Первый этаж Пом. №015A</v>
      </c>
      <c r="E282" t="str">
        <v>R.1.015A.1</v>
      </c>
      <c r="F282" t="str">
        <v>Розеточная группа Первый этаж Пом. №015A</v>
      </c>
    </row>
    <row r="283" spans="1:6" x14ac:dyDescent="0.3">
      <c r="A283">
        <v>280</v>
      </c>
      <c r="B283" t="str">
        <v>ЩР-1</v>
      </c>
      <c r="C283" t="str">
        <v>QFD37</v>
      </c>
      <c r="D283" t="str">
        <v>XT37</v>
      </c>
      <c r="E283" t="str">
        <v>R.1.016A.1</v>
      </c>
      <c r="F283" t="str">
        <v>Розеточная группа Первый этаж Пом. №016A</v>
      </c>
    </row>
    <row r="284" spans="1:6" x14ac:dyDescent="0.3">
      <c r="A284">
        <v>281</v>
      </c>
      <c r="B284" t="str">
        <v>ЩР-1</v>
      </c>
      <c r="C284" t="str">
        <v>XT37</v>
      </c>
      <c r="D284" t="str">
        <v>кабель ВВГнг(А)-LS (3х2,5) → Розеточная группа Первый этаж Пом. №016A</v>
      </c>
      <c r="E284" t="str">
        <v>R.1.016A.1</v>
      </c>
      <c r="F284" t="str">
        <v>Розеточная группа Первый этаж Пом. №016A</v>
      </c>
    </row>
    <row r="285" spans="1:6" x14ac:dyDescent="0.3">
      <c r="A285">
        <v>282</v>
      </c>
      <c r="B285" t="str">
        <v>ЩР-1</v>
      </c>
      <c r="C285" t="str">
        <v>QFD38</v>
      </c>
      <c r="D285" t="str">
        <v>XT38</v>
      </c>
      <c r="E285" t="str">
        <v>R.1.017A.1</v>
      </c>
      <c r="F285" t="str">
        <v>Розеточная группа Первый этаж Пом. №017A</v>
      </c>
    </row>
    <row r="286" spans="1:6" x14ac:dyDescent="0.3">
      <c r="A286">
        <v>283</v>
      </c>
      <c r="B286" t="str">
        <v>ЩР-1</v>
      </c>
      <c r="C286" t="str">
        <v>XT38</v>
      </c>
      <c r="D286" t="str">
        <v>кабель ВВГнг(А)-LS (3х2,5) → Розеточная группа Первый этаж Пом. №017A</v>
      </c>
      <c r="E286" t="str">
        <v>R.1.017A.1</v>
      </c>
      <c r="F286" t="str">
        <v>Розеточная группа Первый этаж Пом. №017A</v>
      </c>
    </row>
    <row r="287" spans="1:6" x14ac:dyDescent="0.3">
      <c r="A287">
        <v>284</v>
      </c>
      <c r="B287" t="str">
        <v>ЩР-1</v>
      </c>
      <c r="C287" t="str">
        <v>QFD39</v>
      </c>
      <c r="D287" t="str">
        <v>XT39</v>
      </c>
      <c r="E287" t="str">
        <v>R.1.017A.2</v>
      </c>
      <c r="F287" t="str">
        <v>Розеточная группа Первый этаж Пом. №017A</v>
      </c>
    </row>
    <row r="288" spans="1:6" x14ac:dyDescent="0.3">
      <c r="A288">
        <v>285</v>
      </c>
      <c r="B288" t="str">
        <v>ЩР-1</v>
      </c>
      <c r="C288" t="str">
        <v>XT39</v>
      </c>
      <c r="D288" t="str">
        <v>кабель ВВГнг(А)-LS (3х2,5) → Розеточная группа Первый этаж Пом. №017A</v>
      </c>
      <c r="E288" t="str">
        <v>R.1.017A.2</v>
      </c>
      <c r="F288" t="str">
        <v>Розеточная группа Первый этаж Пом. №017A</v>
      </c>
    </row>
    <row r="289" spans="1:6" x14ac:dyDescent="0.3">
      <c r="A289">
        <v>286</v>
      </c>
      <c r="B289" t="str">
        <v>ЩР-1</v>
      </c>
      <c r="C289" t="str">
        <v>QFD40</v>
      </c>
      <c r="D289" t="str">
        <v>XT40</v>
      </c>
      <c r="E289" t="str">
        <v>R.1.018A.1</v>
      </c>
      <c r="F289" t="str">
        <v>Розеточная группа Первый этаж Пом. №018A</v>
      </c>
    </row>
    <row r="290" spans="1:6" x14ac:dyDescent="0.3">
      <c r="A290">
        <v>287</v>
      </c>
      <c r="B290" t="str">
        <v>ЩР-1</v>
      </c>
      <c r="C290" t="str">
        <v>XT40</v>
      </c>
      <c r="D290" t="str">
        <v>кабель ВВГнг(А)-LS (3х2,5) → Розеточная группа Первый этаж Пом. №018A</v>
      </c>
      <c r="E290" t="str">
        <v>R.1.018A.1</v>
      </c>
      <c r="F290" t="str">
        <v>Розеточная группа Первый этаж Пом. №018A</v>
      </c>
    </row>
    <row r="291" spans="1:6" x14ac:dyDescent="0.3">
      <c r="A291">
        <v>288</v>
      </c>
      <c r="B291" t="str">
        <v>ЩР-1</v>
      </c>
      <c r="C291" t="str">
        <v>QFD41</v>
      </c>
      <c r="D291" t="str">
        <v>XT41</v>
      </c>
      <c r="E291" t="str">
        <v>R.1.019A.1</v>
      </c>
      <c r="F291" t="str">
        <v>Розеточная группа Первый этаж Пом. №019A Полотенцесушитель</v>
      </c>
    </row>
    <row r="292" spans="1:6" x14ac:dyDescent="0.3">
      <c r="A292">
        <v>289</v>
      </c>
      <c r="B292" t="str">
        <v>ЩР-1</v>
      </c>
      <c r="C292" t="str">
        <v>XT41</v>
      </c>
      <c r="D292" t="str">
        <v>кабель ВВГнг(А)-LS (3х2,5) → Розеточная группа Первый этаж Пом. №019A Полотенцесушитель</v>
      </c>
      <c r="E292" t="str">
        <v>R.1.019A.1</v>
      </c>
      <c r="F292" t="str">
        <v>Розеточная группа Первый этаж Пом. №019A Полотенцесушитель</v>
      </c>
    </row>
    <row r="293" spans="1:6" x14ac:dyDescent="0.3">
      <c r="A293">
        <v>290</v>
      </c>
      <c r="B293" t="str">
        <v>ЩР-1</v>
      </c>
      <c r="C293" t="str">
        <v>QFD42</v>
      </c>
      <c r="D293" t="str">
        <v>XT42</v>
      </c>
      <c r="E293" t="str">
        <v>R.1.020A.2</v>
      </c>
      <c r="F293" t="str">
        <v>Розеточная группа Первый этаж Пом. №020A</v>
      </c>
    </row>
    <row r="294" spans="1:6" x14ac:dyDescent="0.3">
      <c r="A294">
        <v>291</v>
      </c>
      <c r="B294" t="str">
        <v>ЩР-1</v>
      </c>
      <c r="C294" t="str">
        <v>XT42</v>
      </c>
      <c r="D294" t="str">
        <v>кабель ВВГнг(А)-LS (3х2,5) → Розеточная группа Первый этаж Пом. №020A</v>
      </c>
      <c r="E294" t="str">
        <v>R.1.020A.2</v>
      </c>
      <c r="F294" t="str">
        <v>Розеточная группа Первый этаж Пом. №020A</v>
      </c>
    </row>
    <row r="295" spans="1:6" x14ac:dyDescent="0.3">
      <c r="A295">
        <v>292</v>
      </c>
      <c r="B295" t="str">
        <v>ЩР-1</v>
      </c>
      <c r="C295" t="str">
        <v>QFD43</v>
      </c>
      <c r="D295" t="str">
        <v>XT43</v>
      </c>
      <c r="E295" t="str">
        <v>R.1.021A.1</v>
      </c>
      <c r="F295" t="str">
        <v>Розеточная группа Первый этаж Пом. №021A Кофемашина</v>
      </c>
    </row>
    <row r="296" spans="1:6" x14ac:dyDescent="0.3">
      <c r="A296">
        <v>293</v>
      </c>
      <c r="B296" t="str">
        <v>ЩР-1</v>
      </c>
      <c r="C296" t="str">
        <v>XT43</v>
      </c>
      <c r="D296" t="str">
        <v>кабель ВВГнг(А)-LS (3х2,5) → Розеточная группа Первый этаж Пом. №021A Кофемашина</v>
      </c>
      <c r="E296" t="str">
        <v>R.1.021A.1</v>
      </c>
      <c r="F296" t="str">
        <v>Розеточная группа Первый этаж Пом. №021A Кофемашина</v>
      </c>
    </row>
    <row r="297" spans="1:6" x14ac:dyDescent="0.3">
      <c r="A297">
        <v>294</v>
      </c>
      <c r="B297" t="str">
        <v>ЩР-1</v>
      </c>
      <c r="C297" t="str">
        <v>QFD44</v>
      </c>
      <c r="D297" t="str">
        <v>XT44</v>
      </c>
      <c r="E297" t="str">
        <v>R.1.021A.10</v>
      </c>
      <c r="F297" t="str">
        <v>Розеточная группа Первый этаж Пом. №021A ПММ</v>
      </c>
    </row>
    <row r="298" spans="1:6" x14ac:dyDescent="0.3">
      <c r="A298">
        <v>295</v>
      </c>
      <c r="B298" t="str">
        <v>ЩР-1</v>
      </c>
      <c r="C298" t="str">
        <v>XT44</v>
      </c>
      <c r="D298" t="str">
        <v>кабель ВВГнг(А)-LS (3х2,5) → Розеточная группа Первый этаж Пом. №021A ПММ</v>
      </c>
      <c r="E298" t="str">
        <v>R.1.021A.10</v>
      </c>
      <c r="F298" t="str">
        <v>Розеточная группа Первый этаж Пом. №021A ПММ</v>
      </c>
    </row>
    <row r="299" spans="1:6" x14ac:dyDescent="0.3">
      <c r="A299">
        <v>296</v>
      </c>
      <c r="B299" t="str">
        <v>ЩР-1</v>
      </c>
      <c r="C299" t="str">
        <v>QFD45</v>
      </c>
      <c r="D299" t="str">
        <v>XT45</v>
      </c>
      <c r="E299" t="str">
        <v>R.1.021A.11</v>
      </c>
      <c r="F299" t="str">
        <v>Розеточная группа Первый этаж Пом. №021A</v>
      </c>
    </row>
    <row r="300" spans="1:6" x14ac:dyDescent="0.3">
      <c r="A300">
        <v>297</v>
      </c>
      <c r="B300" t="str">
        <v>ЩР-1</v>
      </c>
      <c r="C300" t="str">
        <v>XT45</v>
      </c>
      <c r="D300" t="str">
        <v>кабель ВВГнг(А)-LS (3х2,5) → Розеточная группа Первый этаж Пом. №021A</v>
      </c>
      <c r="E300" t="str">
        <v>R.1.021A.11</v>
      </c>
      <c r="F300" t="str">
        <v>Розеточная группа Первый этаж Пом. №021A</v>
      </c>
    </row>
    <row r="301" spans="1:6" x14ac:dyDescent="0.3">
      <c r="A301">
        <v>298</v>
      </c>
      <c r="B301" t="str">
        <v>ЩР-1</v>
      </c>
      <c r="C301" t="str">
        <v>QFD46</v>
      </c>
      <c r="D301" t="str">
        <v>XT46</v>
      </c>
      <c r="E301" t="str">
        <v>R.1.021A.2</v>
      </c>
      <c r="F301" t="str">
        <v>Розеточная группа Первый этаж Пом. №021A Духовой шкаф</v>
      </c>
    </row>
    <row r="302" spans="1:6" x14ac:dyDescent="0.3">
      <c r="A302">
        <v>299</v>
      </c>
      <c r="B302" t="str">
        <v>ЩР-1</v>
      </c>
      <c r="C302" t="str">
        <v>XT46</v>
      </c>
      <c r="D302" t="str">
        <v>кабель ВВГнг(А)-LS (3х4) → Розеточная группа Первый этаж Пом. №021A Духовой шкаф</v>
      </c>
      <c r="E302" t="str">
        <v>R.1.021A.2</v>
      </c>
      <c r="F302" t="str">
        <v>Розеточная группа Первый этаж Пом. №021A Духовой шкаф</v>
      </c>
    </row>
    <row r="303" spans="1:6" x14ac:dyDescent="0.3">
      <c r="A303">
        <v>300</v>
      </c>
      <c r="B303" t="str">
        <v>ЩР-1</v>
      </c>
      <c r="C303" t="str">
        <v>QFD47</v>
      </c>
      <c r="D303" t="str">
        <v>XT47</v>
      </c>
      <c r="E303" t="str">
        <v>R.1.021A.3</v>
      </c>
      <c r="F303" t="str">
        <v>Розеточная группа Первый этаж Пом. №021A Микроволновая печь</v>
      </c>
    </row>
    <row r="304" spans="1:6" x14ac:dyDescent="0.3">
      <c r="A304">
        <v>301</v>
      </c>
      <c r="B304" t="str">
        <v>ЩР-1</v>
      </c>
      <c r="C304" t="str">
        <v>XT47</v>
      </c>
      <c r="D304" t="str">
        <v>кабель ВВГнг(А)-LS (3х2,5) → Розеточная группа Первый этаж Пом. №021A Микроволновая печь</v>
      </c>
      <c r="E304" t="str">
        <v>R.1.021A.3</v>
      </c>
      <c r="F304" t="str">
        <v>Розеточная группа Первый этаж Пом. №021A Микроволновая печь</v>
      </c>
    </row>
    <row r="305" spans="1:6" x14ac:dyDescent="0.3">
      <c r="A305">
        <v>302</v>
      </c>
      <c r="B305" t="str">
        <v>ЩР-1</v>
      </c>
      <c r="C305" t="str">
        <v>QFD48</v>
      </c>
      <c r="D305" t="str">
        <v>XT48</v>
      </c>
      <c r="E305" t="str">
        <v>R.1.021A.4</v>
      </c>
      <c r="F305" t="str">
        <v>Розеточная группа Первый этаж Пом. №021A Холодильник, морозильная камера</v>
      </c>
    </row>
    <row r="306" spans="1:6" x14ac:dyDescent="0.3">
      <c r="A306">
        <v>303</v>
      </c>
      <c r="B306" t="str">
        <v>ЩР-1</v>
      </c>
      <c r="C306" t="str">
        <v>XT48</v>
      </c>
      <c r="D306" t="str">
        <v>кабель ВВГнг(А)-LS (3х2,5) → Розеточная группа Первый этаж Пом. №021A Холодильник, морозильная камера</v>
      </c>
      <c r="E306" t="str">
        <v>R.1.021A.4</v>
      </c>
      <c r="F306" t="str">
        <v>Розеточная группа Первый этаж Пом. №021A Холодильник, морозильная камера</v>
      </c>
    </row>
    <row r="307" spans="1:6" x14ac:dyDescent="0.3">
      <c r="A307">
        <v>304</v>
      </c>
      <c r="B307" t="str">
        <v>ЩР-1</v>
      </c>
      <c r="C307" t="str">
        <v>QFD49</v>
      </c>
      <c r="D307" t="str">
        <v>XT49</v>
      </c>
      <c r="E307" t="str">
        <v>R.1.021A.6</v>
      </c>
      <c r="F307" t="str">
        <v>Розеточная группа Первый этаж Пом. №021A Вывод для вытяжки</v>
      </c>
    </row>
    <row r="308" spans="1:6" x14ac:dyDescent="0.3">
      <c r="A308">
        <v>305</v>
      </c>
      <c r="B308" t="str">
        <v>ЩР-1</v>
      </c>
      <c r="C308" t="str">
        <v>XT49</v>
      </c>
      <c r="D308" t="str">
        <v>кабель ВВГнг(А)-LS (3х2,5) → Розеточная группа Первый этаж Пом. №021A Вывод для вытяжки</v>
      </c>
      <c r="E308" t="str">
        <v>R.1.021A.6</v>
      </c>
      <c r="F308" t="str">
        <v>Розеточная группа Первый этаж Пом. №021A Вывод для вытяжки</v>
      </c>
    </row>
    <row r="309" spans="1:6" x14ac:dyDescent="0.3">
      <c r="A309">
        <v>306</v>
      </c>
      <c r="B309" t="str">
        <v>ЩР-1</v>
      </c>
      <c r="C309" t="str">
        <v>QFD50</v>
      </c>
      <c r="D309" t="str">
        <v>XT50</v>
      </c>
      <c r="E309" t="str">
        <v>R.1.021A.7</v>
      </c>
      <c r="F309" t="str">
        <v>Розеточная группа Первый этаж Пом. №021A Вывод на варочную панель</v>
      </c>
    </row>
    <row r="310" spans="1:6" x14ac:dyDescent="0.3">
      <c r="A310">
        <v>307</v>
      </c>
      <c r="B310" t="str">
        <v>ЩР-1</v>
      </c>
      <c r="C310" t="str">
        <v>XT50</v>
      </c>
      <c r="D310" t="str">
        <v>кабель ВВГнг(А)-LS (5х4) → Розеточная группа Первый этаж Пом. №021A Вывод на варочную панель</v>
      </c>
      <c r="E310" t="str">
        <v>R.1.021A.7</v>
      </c>
      <c r="F310" t="str">
        <v>Розеточная группа Первый этаж Пом. №021A Вывод на варочную панель</v>
      </c>
    </row>
    <row r="311" spans="1:6" x14ac:dyDescent="0.3">
      <c r="A311">
        <v>308</v>
      </c>
      <c r="B311" t="str">
        <v>ЩР-1</v>
      </c>
      <c r="C311" t="str">
        <v>QFD51</v>
      </c>
      <c r="D311" t="str">
        <v>XT51</v>
      </c>
      <c r="E311" t="str">
        <v>R.1.021A.8</v>
      </c>
      <c r="F311" t="str">
        <v>Розеточная группа Первый этаж Пом. №021A</v>
      </c>
    </row>
    <row r="312" spans="1:6" x14ac:dyDescent="0.3">
      <c r="A312">
        <v>309</v>
      </c>
      <c r="B312" t="str">
        <v>ЩР-1</v>
      </c>
      <c r="C312" t="str">
        <v>XT51</v>
      </c>
      <c r="D312" t="str">
        <v>кабель ВВГнг(А)-LS (3х2,5) → Розеточная группа Первый этаж Пом. №021A</v>
      </c>
      <c r="E312" t="str">
        <v>R.1.021A.8</v>
      </c>
      <c r="F312" t="str">
        <v>Розеточная группа Первый этаж Пом. №021A</v>
      </c>
    </row>
    <row r="313" spans="1:6" x14ac:dyDescent="0.3">
      <c r="A313">
        <v>310</v>
      </c>
      <c r="B313" t="str">
        <v>ЩР-1</v>
      </c>
      <c r="C313" t="str">
        <v>QFD52</v>
      </c>
      <c r="D313" t="str">
        <v>XT52</v>
      </c>
      <c r="E313" t="str">
        <v>R.1.021A.9</v>
      </c>
      <c r="F313" t="str">
        <v>Розеточная группа Первый этаж Пом. №021A Подогреватель пищи и посуды</v>
      </c>
    </row>
    <row r="314" spans="1:6" x14ac:dyDescent="0.3">
      <c r="A314">
        <v>311</v>
      </c>
      <c r="B314" t="str">
        <v>ЩР-1</v>
      </c>
      <c r="C314" t="str">
        <v>XT52</v>
      </c>
      <c r="D314" t="str">
        <v>кабель ВВГнг(А)-LS (3х2,5) → Розеточная группа Первый этаж Пом. №021A Подогреватель пищи и посуды</v>
      </c>
      <c r="E314" t="str">
        <v>R.1.021A.9</v>
      </c>
      <c r="F314" t="str">
        <v>Розеточная группа Первый этаж Пом. №021A Подогреватель пищи и посуды</v>
      </c>
    </row>
    <row r="315" spans="1:6" x14ac:dyDescent="0.3">
      <c r="A315">
        <v>312</v>
      </c>
      <c r="B315" t="str">
        <v>ЩР-1</v>
      </c>
      <c r="C315" t="str">
        <v>QFD53</v>
      </c>
      <c r="D315" t="str">
        <v>XT53</v>
      </c>
      <c r="E315" t="str">
        <v>R.1.002Б.9</v>
      </c>
      <c r="F315" t="str">
        <v>Розеточная группа Первый этаж Пом. №002Б Холодильник</v>
      </c>
    </row>
    <row r="316" spans="1:6" x14ac:dyDescent="0.3">
      <c r="A316">
        <v>313</v>
      </c>
      <c r="B316" t="str">
        <v>ЩР-1</v>
      </c>
      <c r="C316" t="str">
        <v>XT53</v>
      </c>
      <c r="D316" t="str">
        <v>кабель ВВГнг(А)-LS (3х2,5) → Розеточная группа Первый этаж Пом. №002Б Холодильник</v>
      </c>
      <c r="E316" t="str">
        <v>R.1.002Б.9</v>
      </c>
      <c r="F316" t="str">
        <v>Розеточная группа Первый этаж Пом. №002Б Холодильник</v>
      </c>
    </row>
    <row r="317" spans="1:6" x14ac:dyDescent="0.3">
      <c r="A317">
        <v>314</v>
      </c>
      <c r="B317" t="str">
        <v>ЩР-1</v>
      </c>
      <c r="C317" t="str">
        <v>QFD54</v>
      </c>
      <c r="D317" t="str">
        <v>XT54</v>
      </c>
      <c r="E317" t="str">
        <v>R.1.002Б.10</v>
      </c>
      <c r="F317" t="str">
        <v>Розеточная группа Первый этаж Пом. №002Б</v>
      </c>
    </row>
    <row r="318" spans="1:6" x14ac:dyDescent="0.3">
      <c r="A318">
        <v>315</v>
      </c>
      <c r="B318" t="str">
        <v>ЩР-1</v>
      </c>
      <c r="C318" t="str">
        <v>XT54</v>
      </c>
      <c r="D318" t="str">
        <v>кабель ВВГнг(А)-LS (3х2,5) → Розеточная группа Первый этаж Пом. №002Б</v>
      </c>
      <c r="E318" t="str">
        <v>R.1.002Б.10</v>
      </c>
      <c r="F318" t="str">
        <v>Розеточная группа Первый этаж Пом. №002Б</v>
      </c>
    </row>
    <row r="319" spans="1:6" x14ac:dyDescent="0.3">
      <c r="A319">
        <v>316</v>
      </c>
      <c r="B319" t="str">
        <v>ЩР-1</v>
      </c>
      <c r="C319" t="str">
        <v>QFD55</v>
      </c>
      <c r="D319" t="str">
        <v>XT55</v>
      </c>
      <c r="E319" t="str">
        <v>R.1.021A.5</v>
      </c>
      <c r="F319" t="str">
        <v>Розеточная группа Первый этаж Пом. №021A</v>
      </c>
    </row>
    <row r="320" spans="1:6" x14ac:dyDescent="0.3">
      <c r="A320">
        <v>317</v>
      </c>
      <c r="B320" t="str">
        <v>ЩР-1</v>
      </c>
      <c r="C320" t="str">
        <v>XT55</v>
      </c>
      <c r="D320" t="str">
        <v>кабель ВВГнг(А)-LS (3х2,5) → Розеточная группа Первый этаж Пом. №021A</v>
      </c>
      <c r="E320" t="str">
        <v>R.1.021A.5</v>
      </c>
      <c r="F320" t="str">
        <v>Розеточная группа Первый этаж Пом. №021A</v>
      </c>
    </row>
    <row r="321" spans="1:6" x14ac:dyDescent="0.3">
      <c r="A321">
        <v>318</v>
      </c>
      <c r="B321" t="str">
        <v>ЩР-1</v>
      </c>
      <c r="C321" t="str">
        <v>QFD56</v>
      </c>
      <c r="D321" t="str">
        <v>XT56</v>
      </c>
      <c r="E321" t="str">
        <v>R.1.020A.1</v>
      </c>
      <c r="F321" t="str">
        <v>Розеточная группа Первый этаж Пом. №020A Холодильник, морозильная камера</v>
      </c>
    </row>
    <row r="322" spans="1:6" x14ac:dyDescent="0.3">
      <c r="A322">
        <v>319</v>
      </c>
      <c r="B322" t="str">
        <v>ЩР-1</v>
      </c>
      <c r="C322" t="str">
        <v>XT56</v>
      </c>
      <c r="D322" t="str">
        <v>кабель ВВГнг(А)-LS (3х2,5) → Розеточная группа Первый этаж Пом. №020A Холодильник, морозильная камера</v>
      </c>
      <c r="E322" t="str">
        <v>R.1.020A.1</v>
      </c>
      <c r="F322" t="str">
        <v>Розеточная группа Первый этаж Пом. №020A Холодильник, морозильная камера</v>
      </c>
    </row>
    <row r="323" spans="1:6" x14ac:dyDescent="0.3">
      <c r="A323">
        <v>320</v>
      </c>
      <c r="B323" t="str">
        <v>ЩР-1</v>
      </c>
      <c r="C323" t="str">
        <v>QFD57</v>
      </c>
      <c r="D323" t="str">
        <v>XT57</v>
      </c>
      <c r="E323" t="str">
        <v>R.1.022A.1</v>
      </c>
      <c r="F323" t="str">
        <v>Розеточная группа Первый этаж Пом. №022A</v>
      </c>
    </row>
    <row r="324" spans="1:6" x14ac:dyDescent="0.3">
      <c r="A324">
        <v>321</v>
      </c>
      <c r="B324" t="str">
        <v>ЩР-1</v>
      </c>
      <c r="C324" t="str">
        <v>XT57</v>
      </c>
      <c r="D324" t="str">
        <v>кабель ВВГнг(А)-LS (3х2,5) → Розеточная группа Первый этаж Пом. №022A</v>
      </c>
      <c r="E324" t="str">
        <v>R.1.022A.1</v>
      </c>
      <c r="F324" t="str">
        <v>Розеточная группа Первый этаж Пом. №022A</v>
      </c>
    </row>
    <row r="325" spans="1:6" x14ac:dyDescent="0.3">
      <c r="A325">
        <v>322</v>
      </c>
      <c r="B325" t="str">
        <v>ЩР-1</v>
      </c>
      <c r="C325" t="str">
        <v>QF58</v>
      </c>
      <c r="D325" t="str">
        <v>XT58</v>
      </c>
      <c r="E325" t="str">
        <v>ЩКД.1</v>
      </c>
      <c r="F325" t="str">
        <v>Щит контроля доступа ЩКД-1 Первый этаж Пом. №002Б</v>
      </c>
    </row>
    <row r="326" spans="1:6" x14ac:dyDescent="0.3">
      <c r="A326">
        <v>323</v>
      </c>
      <c r="B326" t="str">
        <v>ЩР-1</v>
      </c>
      <c r="C326" t="str">
        <v>XT58</v>
      </c>
      <c r="D326" t="str">
        <v>кабель ВВГнг(А)-LS (3х2,5) → Щит контроля доступа ЩКД-1 Первый этаж Пом. №002Б</v>
      </c>
      <c r="E326" t="str">
        <v>ЩКД.1</v>
      </c>
      <c r="F326" t="str">
        <v>Щит контроля доступа ЩКД-1 Первый этаж Пом. №002Б</v>
      </c>
    </row>
    <row r="327" spans="1:6" x14ac:dyDescent="0.3">
      <c r="A327">
        <v>324</v>
      </c>
      <c r="B327" t="str">
        <v>ЩР-2</v>
      </c>
      <c r="C327" t="str">
        <v>QFD1</v>
      </c>
      <c r="D327" t="str">
        <v>XT1</v>
      </c>
      <c r="E327" t="str">
        <v>R.2.002А.1</v>
      </c>
      <c r="F327" t="str">
        <v>Розеточная группа Второй этаж Пом. №002А</v>
      </c>
    </row>
    <row r="328" spans="1:6" x14ac:dyDescent="0.3">
      <c r="A328">
        <v>325</v>
      </c>
      <c r="B328" t="str">
        <v>ЩР-2</v>
      </c>
      <c r="C328" t="str">
        <v>XT1</v>
      </c>
      <c r="D328" t="str">
        <v>кабель ВВГнг(А)-LS (3х2,5) → Розеточная группа Второй этаж Пом. №002А</v>
      </c>
      <c r="E328" t="str">
        <v>R.2.002А.1</v>
      </c>
      <c r="F328" t="str">
        <v>Розеточная группа Второй этаж Пом. №002А</v>
      </c>
    </row>
    <row r="329" spans="1:6" x14ac:dyDescent="0.3">
      <c r="A329">
        <v>326</v>
      </c>
      <c r="B329" t="str">
        <v>ЩР-2</v>
      </c>
      <c r="C329" t="str">
        <v>QFD2</v>
      </c>
      <c r="D329" t="str">
        <v>XT2</v>
      </c>
      <c r="E329" t="str">
        <v>R.2.003А.1</v>
      </c>
      <c r="F329" t="str">
        <v>Розеточная группа Второй этаж Пом. №003А</v>
      </c>
    </row>
    <row r="330" spans="1:6" x14ac:dyDescent="0.3">
      <c r="A330">
        <v>327</v>
      </c>
      <c r="B330" t="str">
        <v>ЩР-2</v>
      </c>
      <c r="C330" t="str">
        <v>XT2</v>
      </c>
      <c r="D330" t="str">
        <v>кабель ВВГнг(А)-LS (3х2,5) → Розеточная группа Второй этаж Пом. №003А</v>
      </c>
      <c r="E330" t="str">
        <v>R.2.003А.1</v>
      </c>
      <c r="F330" t="str">
        <v>Розеточная группа Второй этаж Пом. №003А</v>
      </c>
    </row>
    <row r="331" spans="1:6" x14ac:dyDescent="0.3">
      <c r="A331">
        <v>328</v>
      </c>
      <c r="B331" t="str">
        <v>ЩР-2</v>
      </c>
      <c r="C331" t="str">
        <v>QFD3</v>
      </c>
      <c r="D331" t="str">
        <v>XT3</v>
      </c>
      <c r="E331" t="str">
        <v>R.2.005А.1</v>
      </c>
      <c r="F331" t="str">
        <v>Розеточная группа Второй этаж Пом. №005А</v>
      </c>
    </row>
    <row r="332" spans="1:6" x14ac:dyDescent="0.3">
      <c r="A332">
        <v>329</v>
      </c>
      <c r="B332" t="str">
        <v>ЩР-2</v>
      </c>
      <c r="C332" t="str">
        <v>XT3</v>
      </c>
      <c r="D332" t="str">
        <v>кабель ВВГнг(А)-LS (3х2,5) → Розеточная группа Второй этаж Пом. №005А</v>
      </c>
      <c r="E332" t="str">
        <v>R.2.005А.1</v>
      </c>
      <c r="F332" t="str">
        <v>Розеточная группа Второй этаж Пом. №005А</v>
      </c>
    </row>
    <row r="333" spans="1:6" x14ac:dyDescent="0.3">
      <c r="A333">
        <v>330</v>
      </c>
      <c r="B333" t="str">
        <v>ЩР-2</v>
      </c>
      <c r="C333" t="str">
        <v>QFD4</v>
      </c>
      <c r="D333" t="str">
        <v>XT4</v>
      </c>
      <c r="E333" t="str">
        <v>R.2.005А.2</v>
      </c>
      <c r="F333" t="str">
        <v>Розеточная группа Второй этаж Пом. №005А</v>
      </c>
    </row>
    <row r="334" spans="1:6" x14ac:dyDescent="0.3">
      <c r="A334">
        <v>331</v>
      </c>
      <c r="B334" t="str">
        <v>ЩР-2</v>
      </c>
      <c r="C334" t="str">
        <v>XT4</v>
      </c>
      <c r="D334" t="str">
        <v>кабель ВВГнг(А)-LS (3х2,5) → Розеточная группа Второй этаж Пом. №005А</v>
      </c>
      <c r="E334" t="str">
        <v>R.2.005А.2</v>
      </c>
      <c r="F334" t="str">
        <v>Розеточная группа Второй этаж Пом. №005А</v>
      </c>
    </row>
    <row r="335" spans="1:6" x14ac:dyDescent="0.3">
      <c r="A335">
        <v>332</v>
      </c>
      <c r="B335" t="str">
        <v>ЩР-2</v>
      </c>
      <c r="C335" t="str">
        <v>QFD5</v>
      </c>
      <c r="D335" t="str">
        <v>XT5</v>
      </c>
      <c r="E335" t="str">
        <v>R.2.006А.1</v>
      </c>
      <c r="F335" t="str">
        <v>Розеточная группа Второй этаж Пом. №006А</v>
      </c>
    </row>
    <row r="336" spans="1:6" x14ac:dyDescent="0.3">
      <c r="A336">
        <v>333</v>
      </c>
      <c r="B336" t="str">
        <v>ЩР-2</v>
      </c>
      <c r="C336" t="str">
        <v>XT5</v>
      </c>
      <c r="D336" t="str">
        <v>кабель ВВГнг(А)-LS (3х2,5) → Розеточная группа Второй этаж Пом. №006А</v>
      </c>
      <c r="E336" t="str">
        <v>R.2.006А.1</v>
      </c>
      <c r="F336" t="str">
        <v>Розеточная группа Второй этаж Пом. №006А</v>
      </c>
    </row>
    <row r="337" spans="1:6" x14ac:dyDescent="0.3">
      <c r="A337">
        <v>334</v>
      </c>
      <c r="B337" t="str">
        <v>ЩР-2</v>
      </c>
      <c r="C337" t="str">
        <v>QFD6</v>
      </c>
      <c r="D337" t="str">
        <v>XT6</v>
      </c>
      <c r="E337" t="str">
        <v>R.2.009А.1</v>
      </c>
      <c r="F337" t="str">
        <v>Розеточная группа Второй этаж Пом. №009А</v>
      </c>
    </row>
    <row r="338" spans="1:6" x14ac:dyDescent="0.3">
      <c r="A338">
        <v>335</v>
      </c>
      <c r="B338" t="str">
        <v>ЩР-2</v>
      </c>
      <c r="C338" t="str">
        <v>XT6</v>
      </c>
      <c r="D338" t="str">
        <v>кабель ВВГнг(А)-LS (3х2,5) → Розеточная группа Второй этаж Пом. №009А</v>
      </c>
      <c r="E338" t="str">
        <v>R.2.009А.1</v>
      </c>
      <c r="F338" t="str">
        <v>Розеточная группа Второй этаж Пом. №009А</v>
      </c>
    </row>
    <row r="339" spans="1:6" x14ac:dyDescent="0.3">
      <c r="A339">
        <v>336</v>
      </c>
      <c r="B339" t="str">
        <v>ЩР-2</v>
      </c>
      <c r="C339" t="str">
        <v>QFD7</v>
      </c>
      <c r="D339" t="str">
        <v>XT7</v>
      </c>
      <c r="E339" t="str">
        <v>R.2.009А.2</v>
      </c>
      <c r="F339" t="str">
        <v>Розеточная группа Второй этаж Пом. №009А</v>
      </c>
    </row>
    <row r="340" spans="1:6" x14ac:dyDescent="0.3">
      <c r="A340">
        <v>337</v>
      </c>
      <c r="B340" t="str">
        <v>ЩР-2</v>
      </c>
      <c r="C340" t="str">
        <v>XT7</v>
      </c>
      <c r="D340" t="str">
        <v>кабель ВВГнг(А)-LS (3х2,5) → Розеточная группа Второй этаж Пом. №009А</v>
      </c>
      <c r="E340" t="str">
        <v>R.2.009А.2</v>
      </c>
      <c r="F340" t="str">
        <v>Розеточная группа Второй этаж Пом. №009А</v>
      </c>
    </row>
    <row r="341" spans="1:6" x14ac:dyDescent="0.3">
      <c r="A341">
        <v>338</v>
      </c>
      <c r="B341" t="str">
        <v>ЩР-2</v>
      </c>
      <c r="C341" t="str">
        <v>QFD8</v>
      </c>
      <c r="D341" t="str">
        <v>XT8</v>
      </c>
      <c r="E341" t="str">
        <v>R.2.010А.1</v>
      </c>
      <c r="F341" t="str">
        <v>Розеточная группа Второй этаж Пом. №010А</v>
      </c>
    </row>
    <row r="342" spans="1:6" x14ac:dyDescent="0.3">
      <c r="A342">
        <v>339</v>
      </c>
      <c r="B342" t="str">
        <v>ЩР-2</v>
      </c>
      <c r="C342" t="str">
        <v>XT8</v>
      </c>
      <c r="D342" t="str">
        <v>кабель ВВГнг(А)-LS (3х2,5) → Розеточная группа Второй этаж Пом. №010А</v>
      </c>
      <c r="E342" t="str">
        <v>R.2.010А.1</v>
      </c>
      <c r="F342" t="str">
        <v>Розеточная группа Второй этаж Пом. №010А</v>
      </c>
    </row>
    <row r="343" spans="1:6" x14ac:dyDescent="0.3">
      <c r="A343">
        <v>340</v>
      </c>
      <c r="B343" t="str">
        <v>ЩР-2</v>
      </c>
      <c r="C343" t="str">
        <v>QFD9</v>
      </c>
      <c r="D343" t="str">
        <v>кабель ВВГнг(А)-LS (3х2,5) → Розеточная группа Второй этаж Пом. №002Г</v>
      </c>
      <c r="E343" t="str">
        <v>R.2.002Г.1</v>
      </c>
      <c r="F343" t="str">
        <v>Розеточная группа Второй этаж Пом. №002Г</v>
      </c>
    </row>
    <row r="344" spans="1:6" x14ac:dyDescent="0.3">
      <c r="A344">
        <v>341</v>
      </c>
      <c r="B344" t="str">
        <v>ЩР-2</v>
      </c>
      <c r="C344" t="str">
        <v>QFD10</v>
      </c>
      <c r="D344" t="str">
        <v>XT10</v>
      </c>
      <c r="E344" t="str">
        <v>R.2.013А.1</v>
      </c>
      <c r="F344" t="str">
        <v>Розеточная группа Второй этаж Пом. №013А</v>
      </c>
    </row>
    <row r="345" spans="1:6" x14ac:dyDescent="0.3">
      <c r="A345">
        <v>342</v>
      </c>
      <c r="B345" t="str">
        <v>ЩР-2</v>
      </c>
      <c r="C345" t="str">
        <v>XT10</v>
      </c>
      <c r="D345" t="str">
        <v>кабель ВВГнг(А)-LS (3х2,5) → Розеточная группа Второй этаж Пом. №013А</v>
      </c>
      <c r="E345" t="str">
        <v>R.2.013А.1</v>
      </c>
      <c r="F345" t="str">
        <v>Розеточная группа Второй этаж Пом. №013А</v>
      </c>
    </row>
    <row r="346" spans="1:6" x14ac:dyDescent="0.3">
      <c r="A346">
        <v>343</v>
      </c>
      <c r="B346" t="str">
        <v>ЩР-2</v>
      </c>
      <c r="C346" t="str">
        <v>QFD11</v>
      </c>
      <c r="D346" t="str">
        <v>кабель ВВГнг(А)-LS (3х2,5) → Розеточная группа Второй этаж Пом. №013А, 012А</v>
      </c>
      <c r="E346" t="str">
        <v>R.2.014А.1</v>
      </c>
      <c r="F346" t="str">
        <v>Розеточная группа Второй этаж Пом. №013А, 012А</v>
      </c>
    </row>
    <row r="347" spans="1:6" x14ac:dyDescent="0.3">
      <c r="A347">
        <v>344</v>
      </c>
      <c r="B347" t="str">
        <v>ЩР-2</v>
      </c>
      <c r="C347" t="str">
        <v>QFD12</v>
      </c>
      <c r="D347" t="str">
        <v>кабель ВВГнг(А)-LS (3х2,5) → Розеточная группа Второй этаж Пом. №014А</v>
      </c>
      <c r="E347" t="str">
        <v>R.2.014А.2</v>
      </c>
      <c r="F347" t="str">
        <v>Розеточная группа Второй этаж Пом. №014А</v>
      </c>
    </row>
    <row r="348" spans="1:6" x14ac:dyDescent="0.3">
      <c r="A348">
        <v>345</v>
      </c>
      <c r="B348" t="str">
        <v>ЩР-2</v>
      </c>
      <c r="C348" t="str">
        <v>QFD13</v>
      </c>
      <c r="D348" t="str">
        <v>кабель ВВГнг(А)-LS (3х2,5) → Розеточная группа Второй этаж Пом. №015А</v>
      </c>
      <c r="E348" t="str">
        <v>R.2.015А.1</v>
      </c>
      <c r="F348" t="str">
        <v>Розеточная группа Второй этаж Пом. №015А</v>
      </c>
    </row>
    <row r="349" spans="1:6" x14ac:dyDescent="0.3">
      <c r="A349">
        <v>346</v>
      </c>
      <c r="B349" t="str">
        <v>ЩР-2</v>
      </c>
      <c r="C349" t="str">
        <v>QFD14</v>
      </c>
      <c r="D349" t="str">
        <v>кабель ВВГнг(А)-LS (3х2,5) → Розеточная группа Второй этаж Пом. №016А</v>
      </c>
      <c r="E349" t="str">
        <v>R.2.016А.1</v>
      </c>
      <c r="F349" t="str">
        <v>Розеточная группа Второй этаж Пом. №016А</v>
      </c>
    </row>
    <row r="350" spans="1:6" x14ac:dyDescent="0.3">
      <c r="A350">
        <v>347</v>
      </c>
      <c r="B350" t="str">
        <v>ЩР-2</v>
      </c>
      <c r="C350" t="str">
        <v>QFD15</v>
      </c>
      <c r="D350" t="str">
        <v>кабель ВВГнг(А)-LS (3х2,5) → Розеточная группа Второй этаж Пом. №017А</v>
      </c>
      <c r="E350" t="str">
        <v>R.2.017А.1</v>
      </c>
      <c r="F350" t="str">
        <v>Розеточная группа Второй этаж Пом. №017А</v>
      </c>
    </row>
    <row r="351" spans="1:6" x14ac:dyDescent="0.3">
      <c r="A351">
        <v>348</v>
      </c>
      <c r="B351" t="str">
        <v>ЩР-2</v>
      </c>
      <c r="C351" t="str">
        <v>QFD16</v>
      </c>
      <c r="D351" t="str">
        <v>кабель ВВГнг(А)-LS (3х2,5) → Розеточная группа Второй этаж Пом. №019А</v>
      </c>
      <c r="E351" t="str">
        <v>R.2.019А.1</v>
      </c>
      <c r="F351" t="str">
        <v>Розеточная группа Второй этаж Пом. №019А</v>
      </c>
    </row>
    <row r="352" spans="1:6" x14ac:dyDescent="0.3">
      <c r="A352">
        <v>349</v>
      </c>
      <c r="B352" t="str">
        <v>ЩР-2</v>
      </c>
      <c r="C352" t="str">
        <v>QFD17</v>
      </c>
      <c r="D352" t="str">
        <v>кабель ВВГнг(А)-LS (3х2,5) → Розеточная группа Второй этаж Пом. №019А</v>
      </c>
      <c r="E352" t="str">
        <v>R.2.019А.2</v>
      </c>
      <c r="F352" t="str">
        <v>Розеточная группа Второй этаж Пом. №019А</v>
      </c>
    </row>
    <row r="353" spans="1:6" x14ac:dyDescent="0.3">
      <c r="A353">
        <v>350</v>
      </c>
      <c r="B353" t="str">
        <v>ЩР-2</v>
      </c>
      <c r="C353" t="str">
        <v>QFD18</v>
      </c>
      <c r="D353" t="str">
        <v>кабель ВВГнг(А)-LS (3х2,5) → Розеточная группа Второй этаж Пом. №020А</v>
      </c>
      <c r="E353" t="str">
        <v>R.2.020А.1</v>
      </c>
      <c r="F353" t="str">
        <v>Розеточная группа Второй этаж Пом. №020А</v>
      </c>
    </row>
    <row r="354" spans="1:6" x14ac:dyDescent="0.3">
      <c r="A354">
        <v>351</v>
      </c>
      <c r="B354" t="str">
        <v>ЩР-2</v>
      </c>
      <c r="C354" t="str">
        <v>QFD19</v>
      </c>
      <c r="D354" t="str">
        <v>кабель ВВГнг(А)-LS (3х2,5) → Розеточная группа Второй этаж Пом. №022Б</v>
      </c>
      <c r="E354" t="str">
        <v>R.2.022Б.1</v>
      </c>
      <c r="F354" t="str">
        <v>Розеточная группа Второй этаж Пом. №022Б</v>
      </c>
    </row>
    <row r="355" spans="1:6" x14ac:dyDescent="0.3">
      <c r="A355">
        <v>352</v>
      </c>
      <c r="B355" t="str">
        <v>ЩР-2</v>
      </c>
      <c r="C355" t="str">
        <v>QFD20</v>
      </c>
      <c r="D355" t="str">
        <v>кабель ВВГнг(А)-LS (3х2,5) → Розеточная группа Второй этаж Пом. №001</v>
      </c>
      <c r="E355" t="str">
        <v>R.2.001.1</v>
      </c>
      <c r="F355" t="str">
        <v>Розеточная группа Второй этаж Пом. №001</v>
      </c>
    </row>
    <row r="356" spans="1:6" x14ac:dyDescent="0.3">
      <c r="A356">
        <v>353</v>
      </c>
      <c r="B356" t="str">
        <v>ЩР-2</v>
      </c>
      <c r="C356" t="str">
        <v>QFD21</v>
      </c>
      <c r="D356" t="str">
        <v>кабель ВВГнг(А)-LS (3х2,5) → Розеточная группа Второй этаж Пом. №003Г</v>
      </c>
      <c r="E356" t="str">
        <v>R.2.003Г.1</v>
      </c>
      <c r="F356" t="str">
        <v>Розеточная группа Второй этаж Пом. №003Г</v>
      </c>
    </row>
    <row r="357" spans="1:6" x14ac:dyDescent="0.3">
      <c r="A357">
        <v>354</v>
      </c>
      <c r="B357" t="str">
        <v>ЩР-2</v>
      </c>
      <c r="C357" t="str">
        <v>QFD22</v>
      </c>
      <c r="D357" t="str">
        <v>кабель ВВГнг(А)-LS (3х2,5) → Розеточная группа Второй этаж Пом. №005А</v>
      </c>
      <c r="E357" t="str">
        <v>R.2.005А.3</v>
      </c>
      <c r="F357" t="str">
        <v>Розеточная группа Второй этаж Пом. №005А</v>
      </c>
    </row>
    <row r="358" spans="1:6" x14ac:dyDescent="0.3">
      <c r="A358">
        <v>355</v>
      </c>
      <c r="B358" t="str">
        <v>ЩР-2</v>
      </c>
      <c r="C358" t="str">
        <v>QFD23</v>
      </c>
      <c r="D358" t="str">
        <v>кабель ВВГнг(А)-LS (3х2,5) → Розеточная группа Второй этаж Пом. №009А</v>
      </c>
      <c r="E358" t="str">
        <v>R.2.009А.3</v>
      </c>
      <c r="F358" t="str">
        <v>Розеточная группа Второй этаж Пом. №009А</v>
      </c>
    </row>
    <row r="359" spans="1:6" x14ac:dyDescent="0.3">
      <c r="A359">
        <v>356</v>
      </c>
      <c r="B359" t="str">
        <v>ЩР-2</v>
      </c>
      <c r="C359" t="str">
        <v>QFD24</v>
      </c>
      <c r="D359" t="str">
        <v>XT24</v>
      </c>
      <c r="E359" t="str">
        <v>R.2.020А.2</v>
      </c>
      <c r="F359" t="str">
        <v>Розеточная группа Второй этаж Пом. №020А</v>
      </c>
    </row>
    <row r="360" spans="1:6" x14ac:dyDescent="0.3">
      <c r="A360">
        <v>357</v>
      </c>
      <c r="B360" t="str">
        <v>ЩР-2</v>
      </c>
      <c r="C360" t="str">
        <v>XT24</v>
      </c>
      <c r="D360" t="str">
        <v>кабель ВВГнг(А)-LS (3х2,5) → Розеточная группа Второй этаж Пом. №020А</v>
      </c>
      <c r="E360" t="str">
        <v>R.2.020А.2</v>
      </c>
      <c r="F360" t="str">
        <v>Розеточная группа Второй этаж Пом. №020А</v>
      </c>
    </row>
    <row r="361" spans="1:6" x14ac:dyDescent="0.3">
      <c r="A361">
        <v>358</v>
      </c>
      <c r="B361" t="str">
        <v>ЩР-2</v>
      </c>
      <c r="C361" t="str">
        <v>QFD25</v>
      </c>
      <c r="D361" t="str">
        <v>XT25</v>
      </c>
      <c r="E361" t="str">
        <v>R.3.001T.1</v>
      </c>
      <c r="F361" t="str">
        <v>Розеточная группа Третий этаж Пом. №001T</v>
      </c>
    </row>
    <row r="362" spans="1:6" x14ac:dyDescent="0.3">
      <c r="A362">
        <v>359</v>
      </c>
      <c r="B362" t="str">
        <v>ЩР-2</v>
      </c>
      <c r="C362" t="str">
        <v>XT25</v>
      </c>
      <c r="D362" t="str">
        <v>кабель ВВГнг(А)-LS (3х2,5) → Розеточная группа Третий этаж Пом. №001T</v>
      </c>
      <c r="E362" t="str">
        <v>R.3.001T.1</v>
      </c>
      <c r="F362" t="str">
        <v>Розеточная группа Третий этаж Пом. №001T</v>
      </c>
    </row>
    <row r="363" spans="1:6" x14ac:dyDescent="0.3">
      <c r="A363">
        <v>360</v>
      </c>
      <c r="B363" t="str">
        <v>ЩР-2</v>
      </c>
      <c r="C363" t="str">
        <v>QFD26</v>
      </c>
      <c r="D363" t="str">
        <v>кабель ВВГнг(А)-LS (3х2,5) → Розеточная группа Третий этаж Пом. №001Б</v>
      </c>
      <c r="E363" t="str">
        <v>R.3.001Б.1</v>
      </c>
      <c r="F363" t="str">
        <v>Розеточная группа Третий этаж Пом. №001Б</v>
      </c>
    </row>
    <row r="364" spans="1:6" x14ac:dyDescent="0.3">
      <c r="A364">
        <v>361</v>
      </c>
      <c r="B364" t="str">
        <v>ЩР-2</v>
      </c>
      <c r="C364" t="str">
        <v>QF27</v>
      </c>
      <c r="D364" t="str">
        <v>кабель ВВГнг(А)-LS (3х2,5) → Шкаф телекоммуникационный ШТК-2  Тех. Этаж Пом №004T</v>
      </c>
      <c r="E364" t="str">
        <v>ШТК-2</v>
      </c>
      <c r="F364" t="str">
        <v>Шкаф телекоммуникационный ШТК-2  Тех. Этаж Пом №004T</v>
      </c>
    </row>
    <row r="365" spans="1:6" x14ac:dyDescent="0.3">
      <c r="A365">
        <v>362</v>
      </c>
      <c r="B365" t="str">
        <v>ЩР-2</v>
      </c>
      <c r="C365" t="str">
        <v>QF28</v>
      </c>
      <c r="D365" t="str">
        <v>кабель ВВГнг(А)-LS (3х2,5) → Шкаф телекоммуникационный ШТК-2  Тех. Этаж Пом №004T</v>
      </c>
      <c r="E365" t="str">
        <v>ШТК-ЛВС.3</v>
      </c>
      <c r="F365" t="str">
        <v>Шкаф телекоммуникационный ШТК-2  Тех. Этаж Пом №004T</v>
      </c>
    </row>
    <row r="366" spans="1:6" x14ac:dyDescent="0.3">
      <c r="A366">
        <v>363</v>
      </c>
      <c r="B366" t="str">
        <v>ЩР-2</v>
      </c>
      <c r="C366" t="str">
        <v>QF29</v>
      </c>
      <c r="D366" t="str">
        <v>кабель ВВГнг(А)-LS (3х2,5) → Щит контроля доступа ЩКД-2  Тех. Этаж Пом №001T</v>
      </c>
      <c r="E366" t="str">
        <v>ШКД.3</v>
      </c>
      <c r="F366" t="str">
        <v>Щит контроля доступа ЩКД-2  Тех. Этаж Пом №001T</v>
      </c>
    </row>
    <row r="367" spans="1:6" x14ac:dyDescent="0.3">
      <c r="A367">
        <v>364</v>
      </c>
      <c r="B367" t="str">
        <v>ЩС-Б</v>
      </c>
      <c r="C367" t="str">
        <v>QF1</v>
      </c>
      <c r="D367" t="str">
        <v>XT1</v>
      </c>
      <c r="E367" t="str">
        <v>Э.1</v>
      </c>
      <c r="F367" t="str">
        <v>Управляющий электрощит бассейна Подвальный этаж Пом. 002Тб</v>
      </c>
    </row>
    <row r="368" spans="1:6" x14ac:dyDescent="0.3">
      <c r="A368">
        <v>365</v>
      </c>
      <c r="B368" t="str">
        <v>ЩС-Б</v>
      </c>
      <c r="C368" t="str">
        <v>XT1</v>
      </c>
      <c r="D368" t="str">
        <v>кабель ВВГнг(А)-LS (5х4) → Управляющий электрощит бассейна Подвальный этаж Пом. 002Тб</v>
      </c>
      <c r="E368" t="str">
        <v>Э.1</v>
      </c>
      <c r="F368" t="str">
        <v>Управляющий электрощит бассейна Подвальный этаж Пом. 002Тб</v>
      </c>
    </row>
    <row r="369" spans="1:6" x14ac:dyDescent="0.3">
      <c r="A369">
        <v>366</v>
      </c>
      <c r="B369" t="str">
        <v>ЩС-Б</v>
      </c>
      <c r="C369" t="str">
        <v>QF2</v>
      </c>
      <c r="D369" t="str">
        <v>XT2</v>
      </c>
      <c r="E369" t="str">
        <v>Э.2</v>
      </c>
      <c r="F369" t="str">
        <v>Горячая купель Подвальный этаж Пом. 002Тб</v>
      </c>
    </row>
    <row r="370" spans="1:6" x14ac:dyDescent="0.3">
      <c r="A370">
        <v>367</v>
      </c>
      <c r="B370" t="str">
        <v>ЩС-Б</v>
      </c>
      <c r="C370" t="str">
        <v>XT2</v>
      </c>
      <c r="D370" t="str">
        <v>кабель ВВГнг(А)-LS (5х2,5) → Горячая купель Подвальный этаж Пом. 002Тб</v>
      </c>
      <c r="E370" t="str">
        <v>Э.2</v>
      </c>
      <c r="F370" t="str">
        <v>Горячая купель Подвальный этаж Пом. 002Тб</v>
      </c>
    </row>
    <row r="371" spans="1:6" x14ac:dyDescent="0.3">
      <c r="A371">
        <v>368</v>
      </c>
      <c r="B371" t="str">
        <v>ЩС-Б</v>
      </c>
      <c r="C371" t="str">
        <v>QF3</v>
      </c>
      <c r="D371" t="str">
        <v>XT3</v>
      </c>
      <c r="E371" t="str">
        <v>Э.3</v>
      </c>
      <c r="F371" t="str">
        <v>Холодная купель Подвальный этаж Пом. 002Тб</v>
      </c>
    </row>
    <row r="372" spans="1:6" x14ac:dyDescent="0.3">
      <c r="A372">
        <v>369</v>
      </c>
      <c r="B372" t="str">
        <v>ЩС-Б</v>
      </c>
      <c r="C372" t="str">
        <v>XT3</v>
      </c>
      <c r="D372" t="str">
        <v>кабель ВВГнг(А)-LS (5х2,5) → Холодная купель Подвальный этаж Пом. 002Тб</v>
      </c>
      <c r="E372" t="str">
        <v>Э.3</v>
      </c>
      <c r="F372" t="str">
        <v>Холодная купель Подвальный этаж Пом. 002Тб</v>
      </c>
    </row>
    <row r="373" spans="1:6" x14ac:dyDescent="0.3">
      <c r="A373">
        <v>370</v>
      </c>
      <c r="B373" t="str">
        <v>ЩС-ВК.001</v>
      </c>
      <c r="C373" t="str">
        <v>QF1</v>
      </c>
      <c r="D373" t="str">
        <v>XT1</v>
      </c>
      <c r="E373" t="str">
        <v>НВК.00.003Т.2</v>
      </c>
      <c r="F373" t="str">
        <v>Насос дренажный Подвальный этаж Пом. №003Т</v>
      </c>
    </row>
    <row r="374" spans="1:6" x14ac:dyDescent="0.3">
      <c r="A374">
        <v>371</v>
      </c>
      <c r="B374" t="str">
        <v>ЩС-ВК.001</v>
      </c>
      <c r="C374" t="str">
        <v>XT1</v>
      </c>
      <c r="D374" t="str">
        <v>кабель ВВГнг(А)-LS (3х2,5) → Насос дренажный Подвальный этаж Пом. №003Т</v>
      </c>
      <c r="E374" t="str">
        <v>НВК.00.003Т.2</v>
      </c>
      <c r="F374" t="str">
        <v>Насос дренажный Подвальный этаж Пом. №003Т</v>
      </c>
    </row>
    <row r="375" spans="1:6" x14ac:dyDescent="0.3">
      <c r="A375">
        <v>372</v>
      </c>
      <c r="B375" t="str">
        <v>ЩС-ВК.001</v>
      </c>
      <c r="C375" t="str">
        <v>QF2</v>
      </c>
      <c r="D375" t="str">
        <v>XT2</v>
      </c>
      <c r="E375" t="str">
        <v>НВК.00.003Т.1</v>
      </c>
      <c r="F375" t="str">
        <v>Насос дренажный Подвальный этаж Пом. №003Т</v>
      </c>
    </row>
    <row r="376" spans="1:6" x14ac:dyDescent="0.3">
      <c r="A376">
        <v>373</v>
      </c>
      <c r="B376" t="str">
        <v>ЩС-ВК.001</v>
      </c>
      <c r="C376" t="str">
        <v>XT2</v>
      </c>
      <c r="D376" t="str">
        <v>кабель ВВГнг(А)-LS (3х2,5) → Насос дренажный Подвальный этаж Пом. №003Т</v>
      </c>
      <c r="E376" t="str">
        <v>НВК.00.003Т.1</v>
      </c>
      <c r="F376" t="str">
        <v>Насос дренажный Подвальный этаж Пом. №003Т</v>
      </c>
    </row>
    <row r="377" spans="1:6" x14ac:dyDescent="0.3">
      <c r="A377">
        <v>374</v>
      </c>
      <c r="B377" t="str">
        <v>ЩС-ВК.001</v>
      </c>
      <c r="C377" t="str">
        <v>QF3</v>
      </c>
      <c r="D377" t="str">
        <v>XT3</v>
      </c>
      <c r="E377" t="str">
        <v>НВК.00.005Т.4</v>
      </c>
      <c r="F377" t="str">
        <v>Насос дренажный Подвальный этаж Пом. №005Т</v>
      </c>
    </row>
    <row r="378" spans="1:6" x14ac:dyDescent="0.3">
      <c r="A378">
        <v>375</v>
      </c>
      <c r="B378" t="str">
        <v>ЩС-ВК.001</v>
      </c>
      <c r="C378" t="str">
        <v>XT3</v>
      </c>
      <c r="D378" t="str">
        <v>кабель ВВГнг(А)-LS (3х2,5) → Насос дренажный Подвальный этаж Пом. №005Т</v>
      </c>
      <c r="E378" t="str">
        <v>НВК.00.005Т.4</v>
      </c>
      <c r="F378" t="str">
        <v>Насос дренажный Подвальный этаж Пом. №005Т</v>
      </c>
    </row>
    <row r="379" spans="1:6" x14ac:dyDescent="0.3">
      <c r="A379">
        <v>376</v>
      </c>
      <c r="B379" t="str">
        <v>ЩС-ВК.001</v>
      </c>
      <c r="C379" t="str">
        <v>QF4</v>
      </c>
      <c r="D379" t="str">
        <v>XT4</v>
      </c>
      <c r="E379" t="str">
        <v>НВК.00.005Т.3</v>
      </c>
      <c r="F379" t="str">
        <v>Насос дренажный Подвальный этаж Пом. №005Т</v>
      </c>
    </row>
    <row r="380" spans="1:6" x14ac:dyDescent="0.3">
      <c r="A380">
        <v>377</v>
      </c>
      <c r="B380" t="str">
        <v>ЩС-ВК.001</v>
      </c>
      <c r="C380" t="str">
        <v>XT4</v>
      </c>
      <c r="D380" t="str">
        <v>кабель ВВГнг(А)-LS (3х2,5) → Насос дренажный Подвальный этаж Пом. №005Т</v>
      </c>
      <c r="E380" t="str">
        <v>НВК.00.005Т.3</v>
      </c>
      <c r="F380" t="str">
        <v>Насос дренажный Подвальный этаж Пом. №005Т</v>
      </c>
    </row>
    <row r="381" spans="1:6" x14ac:dyDescent="0.3">
      <c r="A381">
        <v>378</v>
      </c>
      <c r="B381" t="str">
        <v>ЩС-ВК.001</v>
      </c>
      <c r="C381" t="str">
        <v>QF5</v>
      </c>
      <c r="D381" t="str">
        <v>XT5</v>
      </c>
      <c r="E381" t="str">
        <v>НВК.00.005Т.1</v>
      </c>
      <c r="F381" t="str">
        <v>Насос дренажный Подвальный этаж Пом. №005Т</v>
      </c>
    </row>
    <row r="382" spans="1:6" x14ac:dyDescent="0.3">
      <c r="A382">
        <v>379</v>
      </c>
      <c r="B382" t="str">
        <v>ЩС-ВК.001</v>
      </c>
      <c r="C382" t="str">
        <v>XT5</v>
      </c>
      <c r="D382" t="str">
        <v>кабель ВВГнг(А)-LS (3х2,5) → Насос дренажный Подвальный этаж Пом. №005Т</v>
      </c>
      <c r="E382" t="str">
        <v>НВК.00.005Т.1</v>
      </c>
      <c r="F382" t="str">
        <v>Насос дренажный Подвальный этаж Пом. №005Т</v>
      </c>
    </row>
    <row r="383" spans="1:6" x14ac:dyDescent="0.3">
      <c r="A383">
        <v>380</v>
      </c>
      <c r="B383" t="str">
        <v>ЩС-ВК.001</v>
      </c>
      <c r="C383" t="str">
        <v>QF6</v>
      </c>
      <c r="D383" t="str">
        <v>XT6</v>
      </c>
      <c r="E383" t="str">
        <v>НВК.00.005Т.2</v>
      </c>
      <c r="F383" t="str">
        <v>Насос дренажный Подвальный этаж Пом. №005Т</v>
      </c>
    </row>
    <row r="384" spans="1:6" x14ac:dyDescent="0.3">
      <c r="A384">
        <v>381</v>
      </c>
      <c r="B384" t="str">
        <v>ЩС-ВК.001</v>
      </c>
      <c r="C384" t="str">
        <v>XT6</v>
      </c>
      <c r="D384" t="str">
        <v>кабель ВВГнг(А)-LS (3х2,5) → Насос дренажный Подвальный этаж Пом. №005Т</v>
      </c>
      <c r="E384" t="str">
        <v>НВК.00.005Т.2</v>
      </c>
      <c r="F384" t="str">
        <v>Насос дренажный Подвальный этаж Пом. №005Т</v>
      </c>
    </row>
    <row r="385" spans="1:6" x14ac:dyDescent="0.3">
      <c r="A385">
        <v>382</v>
      </c>
      <c r="B385" t="str">
        <v>ЩС-ВК.001</v>
      </c>
      <c r="C385" t="str">
        <v>QF7</v>
      </c>
      <c r="D385" t="str">
        <v>XT7</v>
      </c>
      <c r="E385" t="str">
        <v>НВК.00.002Т.1</v>
      </c>
      <c r="F385" t="str">
        <v>циркуляционный насос Подвальный этаж Пом. №002Т</v>
      </c>
    </row>
    <row r="386" spans="1:6" x14ac:dyDescent="0.3">
      <c r="A386">
        <v>383</v>
      </c>
      <c r="B386" t="str">
        <v>ЩС-ВК.001</v>
      </c>
      <c r="C386" t="str">
        <v>XT7</v>
      </c>
      <c r="D386" t="str">
        <v>кабель ВВГнг(А)-LS (3х2,5) → циркуляционный насос Подвальный этаж Пом. №002Т</v>
      </c>
      <c r="E386" t="str">
        <v>НВК.00.002Т.1</v>
      </c>
      <c r="F386" t="str">
        <v>циркуляционный насос Подвальный этаж Пом. №002Т</v>
      </c>
    </row>
    <row r="387" spans="1:6" x14ac:dyDescent="0.3">
      <c r="A387">
        <v>384</v>
      </c>
      <c r="B387" t="str">
        <v>ЩС-ВК.002</v>
      </c>
      <c r="C387" t="str">
        <v>QF1</v>
      </c>
      <c r="D387" t="str">
        <v>XT1</v>
      </c>
      <c r="E387" t="str">
        <v>НВК.00.002Тб.3</v>
      </c>
      <c r="F387" t="str">
        <v>Насос дренажный Подвальный этаж Пом. №002Тб</v>
      </c>
    </row>
    <row r="388" spans="1:6" x14ac:dyDescent="0.3">
      <c r="A388">
        <v>385</v>
      </c>
      <c r="B388" t="str">
        <v>ЩС-ВК.002</v>
      </c>
      <c r="C388" t="str">
        <v>XT1</v>
      </c>
      <c r="D388" t="str">
        <v>кабель ВВГнг(А)-LS (3х2,5) → Насос дренажный Подвальный этаж Пом. №002Тб</v>
      </c>
      <c r="E388" t="str">
        <v>НВК.00.002Тб.3</v>
      </c>
      <c r="F388" t="str">
        <v>Насос дренажный Подвальный этаж Пом. №002Тб</v>
      </c>
    </row>
    <row r="389" spans="1:6" x14ac:dyDescent="0.3">
      <c r="A389">
        <v>386</v>
      </c>
      <c r="B389" t="str">
        <v>ЩС-ВК.002</v>
      </c>
      <c r="C389" t="str">
        <v>QF2</v>
      </c>
      <c r="D389" t="str">
        <v>XT2</v>
      </c>
      <c r="E389" t="str">
        <v>НВК.00.002Тб.4</v>
      </c>
      <c r="F389" t="str">
        <v>Насос дренажный Подвальный этаж Пом. №002Тб</v>
      </c>
    </row>
    <row r="390" spans="1:6" x14ac:dyDescent="0.3">
      <c r="A390">
        <v>387</v>
      </c>
      <c r="B390" t="str">
        <v>ЩС-ВК.002</v>
      </c>
      <c r="C390" t="str">
        <v>XT2</v>
      </c>
      <c r="D390" t="str">
        <v>кабель ВВГнг(А)-LS (3х2,5) → Насос дренажный Подвальный этаж Пом. №002Тб</v>
      </c>
      <c r="E390" t="str">
        <v>НВК.00.002Тб.4</v>
      </c>
      <c r="F390" t="str">
        <v>Насос дренажный Подвальный этаж Пом. №002Тб</v>
      </c>
    </row>
    <row r="391" spans="1:6" x14ac:dyDescent="0.3">
      <c r="A391">
        <v>388</v>
      </c>
      <c r="B391" t="str">
        <v>ЩС-ВК.002</v>
      </c>
      <c r="C391" t="str">
        <v>QF3</v>
      </c>
      <c r="D391" t="str">
        <v>XT3</v>
      </c>
      <c r="E391" t="str">
        <v>НВК.00.002Тб.2</v>
      </c>
      <c r="F391" t="str">
        <v>Насос дренажный Подвальный этаж Пом. №002Тб</v>
      </c>
    </row>
    <row r="392" spans="1:6" x14ac:dyDescent="0.3">
      <c r="A392">
        <v>389</v>
      </c>
      <c r="B392" t="str">
        <v>ЩС-ВК.002</v>
      </c>
      <c r="C392" t="str">
        <v>XT3</v>
      </c>
      <c r="D392" t="str">
        <v>кабель ВВГнг(А)-LS (3х2,5) → Насос дренажный Подвальный этаж Пом. №002Тб</v>
      </c>
      <c r="E392" t="str">
        <v>НВК.00.002Тб.2</v>
      </c>
      <c r="F392" t="str">
        <v>Насос дренажный Подвальный этаж Пом. №002Тб</v>
      </c>
    </row>
    <row r="393" spans="1:6" x14ac:dyDescent="0.3">
      <c r="A393">
        <v>390</v>
      </c>
      <c r="B393" t="str">
        <v>ЩС-ВК.002</v>
      </c>
      <c r="C393" t="str">
        <v>QF4</v>
      </c>
      <c r="D393" t="str">
        <v>XT4</v>
      </c>
      <c r="E393" t="str">
        <v>НВК.00.002Тб.1</v>
      </c>
      <c r="F393" t="str">
        <v>Насос дренажный Подвальный этаж Пом. №002Тб</v>
      </c>
    </row>
    <row r="394" spans="1:6" x14ac:dyDescent="0.3">
      <c r="A394">
        <v>391</v>
      </c>
      <c r="B394" t="str">
        <v>ЩС-ВК.002</v>
      </c>
      <c r="C394" t="str">
        <v>XT4</v>
      </c>
      <c r="D394" t="str">
        <v>кабель ВВГнг(А)-LS (3х2,5) → Насос дренажный Подвальный этаж Пом. №002Тб</v>
      </c>
      <c r="E394" t="str">
        <v>НВК.00.002Тб.1</v>
      </c>
      <c r="F394" t="str">
        <v>Насос дренажный Подвальный этаж Пом. №002Тб</v>
      </c>
    </row>
    <row r="395" spans="1:6" x14ac:dyDescent="0.3">
      <c r="A395">
        <v>392</v>
      </c>
      <c r="B395" t="str">
        <v>ЩС-ВК.003</v>
      </c>
      <c r="C395" t="str">
        <v>QF1</v>
      </c>
      <c r="D395" t="str">
        <v>XT1</v>
      </c>
      <c r="E395" t="str">
        <v>НВК.00.006Т.2</v>
      </c>
      <c r="F395" t="str">
        <v>Насос дренажный Подвальный этаж Пом. №006Т</v>
      </c>
    </row>
    <row r="396" spans="1:6" x14ac:dyDescent="0.3">
      <c r="A396">
        <v>393</v>
      </c>
      <c r="B396" t="str">
        <v>ЩС-ВК.003</v>
      </c>
      <c r="C396" t="str">
        <v>XT1</v>
      </c>
      <c r="D396" t="str">
        <v>кабель ВВГнг(А)-LS (3х2,5) → Насос дренажный Подвальный этаж Пом. №006Т</v>
      </c>
      <c r="E396" t="str">
        <v>НВК.00.006Т.2</v>
      </c>
      <c r="F396" t="str">
        <v>Насос дренажный Подвальный этаж Пом. №006Т</v>
      </c>
    </row>
    <row r="397" spans="1:6" x14ac:dyDescent="0.3">
      <c r="A397">
        <v>394</v>
      </c>
      <c r="B397" t="str">
        <v>ЩС-ВК.003</v>
      </c>
      <c r="C397" t="str">
        <v>QF2</v>
      </c>
      <c r="D397" t="str">
        <v>XT2</v>
      </c>
      <c r="E397" t="str">
        <v>НВК.00.006Т.1</v>
      </c>
      <c r="F397" t="str">
        <v>Насос дренажный Подвальный этаж Пом. №006Т</v>
      </c>
    </row>
    <row r="398" spans="1:6" x14ac:dyDescent="0.3">
      <c r="A398">
        <v>395</v>
      </c>
      <c r="B398" t="str">
        <v>ЩС-ВК.003</v>
      </c>
      <c r="C398" t="str">
        <v>XT2</v>
      </c>
      <c r="D398" t="str">
        <v>кабель ВВГнг(А)-LS (3х2,5) → Насос дренажный Подвальный этаж Пом. №006Т</v>
      </c>
      <c r="E398" t="str">
        <v>НВК.00.006Т.1</v>
      </c>
      <c r="F398" t="str">
        <v>Насос дренажный Подвальный этаж Пом. №006Т</v>
      </c>
    </row>
    <row r="399" spans="1:6" x14ac:dyDescent="0.3">
      <c r="A399">
        <v>396</v>
      </c>
      <c r="B399" t="str">
        <v>ЩС-ВК.003</v>
      </c>
      <c r="C399" t="str">
        <v>QF3</v>
      </c>
      <c r="D399" t="str">
        <v>XT3</v>
      </c>
      <c r="E399" t="str">
        <v>ЖУ.1</v>
      </c>
      <c r="F399" t="str">
        <v>Жироулавливатель Подвальный этаж Пом. №006Т</v>
      </c>
    </row>
    <row r="400" spans="1:6" x14ac:dyDescent="0.3">
      <c r="A400">
        <v>397</v>
      </c>
      <c r="B400" t="str">
        <v>ЩС-ВК.003</v>
      </c>
      <c r="C400" t="str">
        <v>XT3</v>
      </c>
      <c r="D400" t="str">
        <v>кабель ВВГнг(А)-LS (3х2,5) → Жироулавливатель Подвальный этаж Пом. №006Т</v>
      </c>
      <c r="E400" t="str">
        <v>ЖУ.1</v>
      </c>
      <c r="F400" t="str">
        <v>Жироулавливатель Подвальный этаж Пом. №006Т</v>
      </c>
    </row>
    <row r="401" spans="1:6" x14ac:dyDescent="0.3">
      <c r="A401">
        <v>398</v>
      </c>
      <c r="B401" t="str">
        <v>ЩС-ВК.003</v>
      </c>
      <c r="C401" t="str">
        <v>QFD4</v>
      </c>
      <c r="D401" t="str">
        <v>XT4</v>
      </c>
      <c r="E401" t="str">
        <v>R.00.002Б.3</v>
      </c>
      <c r="F401" t="str">
        <v>Сололифт Подвальный этаж Пом. №002Б</v>
      </c>
    </row>
    <row r="402" spans="1:6" x14ac:dyDescent="0.3">
      <c r="A402">
        <v>399</v>
      </c>
      <c r="B402" t="str">
        <v>ЩС-ВК.003</v>
      </c>
      <c r="C402" t="str">
        <v>XT4</v>
      </c>
      <c r="D402" t="str">
        <v>кабель ВВГнг(А)-LS (3х2,5) → Сололифт Подвальный этаж Пом. №002Б</v>
      </c>
      <c r="E402" t="str">
        <v>R.00.002Б.3</v>
      </c>
      <c r="F402" t="str">
        <v>Сололифт Подвальный этаж Пом. №002Б</v>
      </c>
    </row>
    <row r="403" spans="1:6" x14ac:dyDescent="0.3">
      <c r="A403">
        <v>400</v>
      </c>
      <c r="B403" t="str">
        <v>ЩСПЗ-ЖД</v>
      </c>
      <c r="C403" t="str">
        <v>QF1</v>
      </c>
      <c r="D403" t="str">
        <v>XT3</v>
      </c>
      <c r="E403" t="str">
        <v>FCP1-2</v>
      </c>
      <c r="F403" t="str">
        <v>шкаф пожарной сигнализации  Подвальный этаж Пом. №007Т</v>
      </c>
    </row>
    <row r="404" spans="1:6" x14ac:dyDescent="0.3">
      <c r="A404">
        <v>401</v>
      </c>
      <c r="B404" t="str">
        <v>ЩСПЗ-ЖД</v>
      </c>
      <c r="C404" t="str">
        <v>XT3</v>
      </c>
      <c r="D404" t="str">
        <v>кабель ВВГнг(А)-FRLS (3х2,5) → шкаф пожарной сигнализации  Подвальный этаж Пом. №007Т</v>
      </c>
      <c r="E404" t="str">
        <v>FCP1-2</v>
      </c>
      <c r="F404" t="str">
        <v>шкаф пожарной сигнализации  Подвальный этаж Пом. №007Т</v>
      </c>
    </row>
    <row r="405" spans="1:6" x14ac:dyDescent="0.3">
      <c r="A405">
        <v>402</v>
      </c>
      <c r="B405" t="str">
        <v>ЩСПЗ-ЖД</v>
      </c>
      <c r="C405" t="str">
        <v>QF2</v>
      </c>
      <c r="D405" t="str">
        <v>XT4</v>
      </c>
      <c r="E405" t="str">
        <v>ENC1-11</v>
      </c>
      <c r="F405" t="str">
        <v>шкаф системы оповещения и управления эвакуацией Цокольный этаж Пом. №002Т</v>
      </c>
    </row>
    <row r="406" spans="1:6" x14ac:dyDescent="0.3">
      <c r="A406">
        <v>403</v>
      </c>
      <c r="B406" t="str">
        <v>ЩСПЗ-ЖД</v>
      </c>
      <c r="C406" t="str">
        <v>XT4</v>
      </c>
      <c r="D406" t="str">
        <v>кабель ВВГнг(А)-FRLS (3х2,5) → шкаф системы оповещения и управления эвакуацией Цокольный этаж Пом. №002Т</v>
      </c>
      <c r="E406" t="str">
        <v>ENC1-11</v>
      </c>
      <c r="F406" t="str">
        <v>шкаф системы оповещения и управления эвакуацией Цокольный этаж Пом. №002Т</v>
      </c>
    </row>
    <row r="407" spans="1:6" x14ac:dyDescent="0.3">
      <c r="A407">
        <v>404</v>
      </c>
      <c r="B407" t="str">
        <v>ЩСПЗ-ЖД</v>
      </c>
      <c r="C407" t="str">
        <v>QF3</v>
      </c>
      <c r="D407" t="str">
        <v>XT5</v>
      </c>
      <c r="E407" t="str">
        <v>FCP1-1</v>
      </c>
      <c r="F407" t="str">
        <v>шкаф пожарной сигнализации Цокольный этаж Пом. №002Т</v>
      </c>
    </row>
    <row r="408" spans="1:6" x14ac:dyDescent="0.3">
      <c r="A408">
        <v>405</v>
      </c>
      <c r="B408" t="str">
        <v>ЩСПЗ-ЖД</v>
      </c>
      <c r="C408" t="str">
        <v>XT5</v>
      </c>
      <c r="D408" t="str">
        <v>кабель ВВГнг(А)-FRLS (3х2,5) → шкаф пожарной сигнализации Цокольный этаж Пом. №002Т</v>
      </c>
      <c r="E408" t="str">
        <v>FCP1-1</v>
      </c>
      <c r="F408" t="str">
        <v>шкаф пожарной сигнализации Цокольный этаж Пом. №002Т</v>
      </c>
    </row>
    <row r="409" spans="1:6" x14ac:dyDescent="0.3">
      <c r="A409">
        <v>406</v>
      </c>
      <c r="B409" t="str">
        <v>ЩСПЗ-ЖД</v>
      </c>
      <c r="C409" t="str">
        <v>QF4</v>
      </c>
      <c r="D409" t="str">
        <v>XT6</v>
      </c>
      <c r="E409" t="str">
        <v>FCP13</v>
      </c>
      <c r="F409" t="str">
        <v>шкаф пожарной сигнализации Тех. этаж Пом. №004Т</v>
      </c>
    </row>
    <row r="410" spans="1:6" x14ac:dyDescent="0.3">
      <c r="A410">
        <v>407</v>
      </c>
      <c r="B410" t="str">
        <v>ЩСПЗ-ЖД</v>
      </c>
      <c r="C410" t="str">
        <v>XT6</v>
      </c>
      <c r="D410" t="str">
        <v>кабель ВВГнг(А)-FRLS (3х2,5) → шкаф пожарной сигнализации Тех. этаж Пом. №004Т</v>
      </c>
      <c r="E410" t="str">
        <v>FCP13</v>
      </c>
      <c r="F410" t="str">
        <v>шкаф пожарной сигнализации Тех. этаж Пом. №004Т</v>
      </c>
    </row>
    <row r="411" spans="1:6" x14ac:dyDescent="0.3">
      <c r="A411">
        <v>408</v>
      </c>
      <c r="B411" t="str">
        <v>ЩУОВ</v>
      </c>
      <c r="C411" t="str">
        <v>QF1</v>
      </c>
      <c r="D411" t="str">
        <v>XT1</v>
      </c>
      <c r="E411" t="str">
        <v>DW.1</v>
      </c>
      <c r="F411" t="str">
        <v/>
      </c>
    </row>
    <row r="412" spans="1:6" x14ac:dyDescent="0.3">
      <c r="A412">
        <v>409</v>
      </c>
      <c r="B412" t="str">
        <v>ЩУОВ</v>
      </c>
      <c r="C412" t="str">
        <v>XT1</v>
      </c>
      <c r="D412" t="str">
        <v xml:space="preserve">кабель МКЭШнг(A)-LS (2х0,75) → </v>
      </c>
      <c r="E412" t="str">
        <v>DW.1</v>
      </c>
      <c r="F412" t="str">
        <v/>
      </c>
    </row>
    <row r="413" spans="1:6" x14ac:dyDescent="0.3">
      <c r="A413">
        <v>410</v>
      </c>
      <c r="B413" t="str">
        <v>ЩУОВ</v>
      </c>
      <c r="C413" t="str">
        <v>QF2</v>
      </c>
      <c r="D413" t="str">
        <v>XT2</v>
      </c>
      <c r="E413" t="str">
        <v>DT.1</v>
      </c>
      <c r="F413" t="str">
        <v/>
      </c>
    </row>
    <row r="414" spans="1:6" x14ac:dyDescent="0.3">
      <c r="A414">
        <v>411</v>
      </c>
      <c r="B414" t="str">
        <v>ЩУОВ</v>
      </c>
      <c r="C414" t="str">
        <v>XT2</v>
      </c>
      <c r="D414" t="str">
        <v xml:space="preserve">кабель МКЭШнг(A)-LS (2х0,75) → </v>
      </c>
      <c r="E414" t="str">
        <v>DT.1</v>
      </c>
      <c r="F414" t="str">
        <v/>
      </c>
    </row>
    <row r="415" spans="1:6" x14ac:dyDescent="0.3">
      <c r="A415">
        <v>412</v>
      </c>
      <c r="B415" t="str">
        <v>ЩУОВ</v>
      </c>
      <c r="C415" t="str">
        <v>QF3</v>
      </c>
      <c r="D415" t="str">
        <v xml:space="preserve">кабель ВВГнг(А)-LS (3х4) → </v>
      </c>
      <c r="E415" t="str">
        <v>OV.2.002Г.1</v>
      </c>
      <c r="F415" t="str">
        <v/>
      </c>
    </row>
    <row r="416" spans="1:6" x14ac:dyDescent="0.3">
      <c r="A416">
        <v>413</v>
      </c>
      <c r="B416" t="str">
        <v>ЩУОВ</v>
      </c>
      <c r="C416" t="str">
        <v>QF4</v>
      </c>
      <c r="D416" t="str">
        <v>XT4</v>
      </c>
      <c r="E416" t="str">
        <v>OV.2.003Г.1</v>
      </c>
      <c r="F416" t="str">
        <v/>
      </c>
    </row>
    <row r="417" spans="1:6" x14ac:dyDescent="0.3">
      <c r="A417">
        <v>414</v>
      </c>
      <c r="B417" t="str">
        <v>ЩУОВ</v>
      </c>
      <c r="C417" t="str">
        <v>XT4</v>
      </c>
      <c r="D417" t="str">
        <v xml:space="preserve">кабель ВВГнг(А)-LS (3х2,5) → </v>
      </c>
      <c r="E417" t="str">
        <v>OV.2.003Г.1</v>
      </c>
      <c r="F417" t="str">
        <v/>
      </c>
    </row>
    <row r="418" spans="1:6" x14ac:dyDescent="0.3">
      <c r="A418">
        <v>415</v>
      </c>
      <c r="B418" t="str">
        <v>ЩУОВ</v>
      </c>
      <c r="C418" t="str">
        <v>QF5</v>
      </c>
      <c r="D418" t="str">
        <v>кабель ВВГнг(А)-LS (3х6) → Обогревл ливнестоков Кровля бассейна</v>
      </c>
      <c r="E418" t="str">
        <v>OV.2.1.1</v>
      </c>
      <c r="F418" t="str">
        <v>Обогревл ливнестоков Кровля бассейна</v>
      </c>
    </row>
    <row r="419" spans="1:6" x14ac:dyDescent="0.3">
      <c r="A419">
        <v>416</v>
      </c>
      <c r="B419" t="str">
        <v>ЩУОВ</v>
      </c>
      <c r="C419" t="str">
        <v>QF6</v>
      </c>
      <c r="D419" t="str">
        <v>кабель ВВГнг(А)-LS (3х4) → Обогревл ливнестоков Второй этаж</v>
      </c>
      <c r="E419" t="str">
        <v>OV.2.1.2</v>
      </c>
      <c r="F419" t="str">
        <v>Обогревл ливнестоков Второй этаж</v>
      </c>
    </row>
    <row r="420" spans="1:6" x14ac:dyDescent="0.3">
      <c r="A420">
        <v>417</v>
      </c>
      <c r="B420" t="str">
        <v>ЩУОВ</v>
      </c>
      <c r="C420" t="str">
        <v>QF7</v>
      </c>
      <c r="D420" t="str">
        <v>кабель ВВГнг(А)-LS (3х2,5) → Обогревл ливнестоков Второй этаж</v>
      </c>
      <c r="E420" t="str">
        <v>OV.2.1.3</v>
      </c>
      <c r="F420" t="str">
        <v>Обогревл ливнестоков Второй этаж</v>
      </c>
    </row>
    <row r="421" spans="1:6" x14ac:dyDescent="0.3">
      <c r="A421">
        <v>418</v>
      </c>
      <c r="B421" t="str">
        <v>ЩУОВ</v>
      </c>
      <c r="C421" t="str">
        <v>QF8</v>
      </c>
      <c r="D421" t="str">
        <v>кабель ВВГнг(А)-LS (3х2,5) → Обогревл ливнестоков Кровля</v>
      </c>
      <c r="E421" t="str">
        <v>OV.4.1.1</v>
      </c>
      <c r="F421" t="str">
        <v>Обогревл ливнестоков Кровля</v>
      </c>
    </row>
    <row r="422" spans="1:6" x14ac:dyDescent="0.3">
      <c r="A422">
        <v>419</v>
      </c>
      <c r="B422" t="str">
        <v>ЩУОВ</v>
      </c>
      <c r="C422" t="str">
        <v>QF9</v>
      </c>
      <c r="D422" t="str">
        <v>кабель ВВГнг(А)-LS (3х2,5) → Обогревл ливнестоков Кровля</v>
      </c>
      <c r="E422" t="str">
        <v>OV.4.1.2</v>
      </c>
      <c r="F422" t="str">
        <v>Обогревл ливнестоков Кровля</v>
      </c>
    </row>
    <row r="423" spans="1:6" x14ac:dyDescent="0.3">
      <c r="A423">
        <v>420</v>
      </c>
      <c r="B423" t="str">
        <v>ЩУОВ</v>
      </c>
      <c r="C423" t="str">
        <v>QF10</v>
      </c>
      <c r="D423" t="str">
        <v>кабель ВВГнг(А)-LS (3х4) → Обогревл ливнестоков Кровля</v>
      </c>
      <c r="E423" t="str">
        <v>OV.4.1.3</v>
      </c>
      <c r="F423" t="str">
        <v>Обогревл ливнестоков Кровля</v>
      </c>
    </row>
    <row r="424" spans="1:6" x14ac:dyDescent="0.3">
      <c r="A424">
        <v>421</v>
      </c>
      <c r="B424" t="str">
        <v>ЩУОВ</v>
      </c>
      <c r="C424" t="str">
        <v>QF11</v>
      </c>
      <c r="D424" t="str">
        <v>кабель ВВГнг(А)-LS (3х2,5) → Обогревл ливнестоков Кровля</v>
      </c>
      <c r="E424" t="str">
        <v>OV.4.1.4</v>
      </c>
      <c r="F424" t="str">
        <v>Обогревл ливнестоков Кровля</v>
      </c>
    </row>
  </sheetData>
  <pageMargins left="0.4" right="0.4" top="0.5" bottom="0.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64E61-6834-491A-A4EA-E1F20868B417}">
  <sheetPr>
    <tabColor rgb="FF00B050"/>
  </sheetPr>
  <dimension ref="B1:F334"/>
  <sheetViews>
    <sheetView showGridLines="0" workbookViewId="0"/>
  </sheetViews>
  <sheetFormatPr defaultRowHeight="13.2" x14ac:dyDescent="0.3"/>
  <cols>
    <col min="1" max="1" width="3.77734375" style="82" customWidth="1"/>
    <col min="2" max="2" width="30.77734375" style="82" customWidth="1"/>
    <col min="3" max="3" width="34.77734375" style="82" customWidth="1"/>
    <col min="4" max="4" width="22.77734375" style="82" customWidth="1"/>
    <col min="5" max="5" width="34.77734375" style="82" customWidth="1"/>
    <col min="6" max="6" width="22.77734375" style="82" customWidth="1"/>
    <col min="7" max="16384" width="8.88671875" style="82"/>
  </cols>
  <sheetData>
    <row r="1" spans="2:6" ht="13.5" customHeight="1" x14ac:dyDescent="0.3">
      <c r="B1" s="135" t="s">
        <v>1963</v>
      </c>
      <c r="C1" s="135"/>
      <c r="D1" s="135"/>
      <c r="E1" s="135"/>
      <c r="F1" s="135"/>
    </row>
    <row r="2" spans="2:6" ht="13.5" customHeight="1" x14ac:dyDescent="0.3">
      <c r="B2" s="94" t="s">
        <v>1964</v>
      </c>
      <c r="C2" s="94"/>
      <c r="D2" s="94"/>
      <c r="E2" s="94"/>
      <c r="F2" s="94"/>
    </row>
    <row r="3" spans="2:6" ht="13.5" customHeight="1" x14ac:dyDescent="0.3">
      <c r="B3" s="94" t="s">
        <v>1965</v>
      </c>
      <c r="C3" s="94"/>
      <c r="D3" s="94"/>
      <c r="E3" s="94"/>
      <c r="F3" s="94"/>
    </row>
    <row r="4" spans="2:6" ht="27" customHeight="1" x14ac:dyDescent="0.3">
      <c r="B4" s="94" t="s">
        <v>1966</v>
      </c>
      <c r="C4" s="94"/>
      <c r="D4" s="94"/>
      <c r="E4" s="94"/>
      <c r="F4" s="94"/>
    </row>
    <row r="5" spans="2:6" ht="13.5" customHeight="1" x14ac:dyDescent="0.3">
      <c r="B5" s="94" t="s">
        <v>1967</v>
      </c>
      <c r="C5" s="94"/>
      <c r="D5" s="94"/>
      <c r="E5" s="94"/>
      <c r="F5" s="94"/>
    </row>
    <row r="6" spans="2:6" ht="13.5" customHeight="1" x14ac:dyDescent="0.3">
      <c r="B6" s="94" t="s">
        <v>1968</v>
      </c>
      <c r="C6" s="94"/>
      <c r="D6" s="94"/>
      <c r="E6" s="94"/>
      <c r="F6" s="94"/>
    </row>
    <row r="7" spans="2:6" ht="40.5" customHeight="1" x14ac:dyDescent="0.3">
      <c r="B7" s="94" t="s">
        <v>1969</v>
      </c>
      <c r="C7" s="94"/>
      <c r="D7" s="94"/>
      <c r="E7" s="94"/>
      <c r="F7" s="94"/>
    </row>
    <row r="8" spans="2:6" ht="13.5" customHeight="1" x14ac:dyDescent="0.3">
      <c r="B8" s="94" t="s">
        <v>1970</v>
      </c>
      <c r="C8" s="94"/>
      <c r="D8" s="94"/>
      <c r="E8" s="94"/>
      <c r="F8" s="94"/>
    </row>
    <row r="9" spans="2:6" ht="13.5" customHeight="1" x14ac:dyDescent="0.3">
      <c r="B9" s="94" t="s">
        <v>1971</v>
      </c>
      <c r="C9" s="94"/>
      <c r="D9" s="94"/>
      <c r="E9" s="94"/>
      <c r="F9" s="94"/>
    </row>
    <row r="10" spans="2:6" x14ac:dyDescent="0.3">
      <c r="B10" s="87" t="s">
        <v>1972</v>
      </c>
      <c r="C10" s="87" t="s">
        <v>1973</v>
      </c>
      <c r="D10" s="87" t="s">
        <v>1974</v>
      </c>
    </row>
    <row r="11" spans="2:6" ht="39.6" x14ac:dyDescent="0.3">
      <c r="B11" s="89" t="s">
        <v>1975</v>
      </c>
      <c r="C11" s="89" t="s">
        <v>1976</v>
      </c>
      <c r="D11" s="89" t="s">
        <v>1977</v>
      </c>
    </row>
    <row r="12" spans="2:6" ht="39.6" x14ac:dyDescent="0.3">
      <c r="B12" s="89" t="s">
        <v>1978</v>
      </c>
      <c r="C12" s="89" t="s">
        <v>1979</v>
      </c>
      <c r="D12" s="89" t="s">
        <v>1980</v>
      </c>
    </row>
    <row r="13" spans="2:6" ht="39.6" x14ac:dyDescent="0.3">
      <c r="B13" s="89" t="s">
        <v>1981</v>
      </c>
      <c r="C13" s="89" t="s">
        <v>724</v>
      </c>
      <c r="D13" s="89" t="s">
        <v>1982</v>
      </c>
    </row>
    <row r="14" spans="2:6" ht="52.8" x14ac:dyDescent="0.3">
      <c r="B14" s="89" t="s">
        <v>1983</v>
      </c>
      <c r="C14" s="89" t="s">
        <v>724</v>
      </c>
      <c r="D14" s="89" t="s">
        <v>1984</v>
      </c>
    </row>
    <row r="15" spans="2:6" ht="52.8" x14ac:dyDescent="0.3">
      <c r="B15" s="89" t="s">
        <v>1985</v>
      </c>
      <c r="C15" s="89" t="s">
        <v>724</v>
      </c>
      <c r="D15" s="89" t="s">
        <v>1986</v>
      </c>
    </row>
    <row r="16" spans="2:6" ht="26.4" x14ac:dyDescent="0.3">
      <c r="B16" s="89" t="s">
        <v>1987</v>
      </c>
      <c r="C16" s="89" t="s">
        <v>724</v>
      </c>
      <c r="D16" s="89" t="s">
        <v>1988</v>
      </c>
    </row>
    <row r="17" spans="2:6" ht="26.4" x14ac:dyDescent="0.3">
      <c r="B17" s="89" t="s">
        <v>1989</v>
      </c>
      <c r="C17" s="89" t="s">
        <v>724</v>
      </c>
      <c r="D17" s="89" t="s">
        <v>1990</v>
      </c>
    </row>
    <row r="18" spans="2:6" ht="52.8" x14ac:dyDescent="0.3">
      <c r="B18" s="89" t="s">
        <v>1991</v>
      </c>
      <c r="C18" s="89" t="s">
        <v>724</v>
      </c>
      <c r="D18" s="89" t="s">
        <v>1992</v>
      </c>
    </row>
    <row r="20" spans="2:6" ht="27" customHeight="1" x14ac:dyDescent="0.3">
      <c r="B20" s="96" t="s">
        <v>1993</v>
      </c>
      <c r="C20" s="96"/>
      <c r="D20" s="96"/>
      <c r="E20" s="96"/>
      <c r="F20" s="96"/>
    </row>
    <row r="21" spans="2:6" ht="13.5" customHeight="1" x14ac:dyDescent="0.3">
      <c r="B21" s="94" t="s">
        <v>1994</v>
      </c>
      <c r="C21" s="94"/>
      <c r="D21" s="94"/>
      <c r="E21" s="94"/>
      <c r="F21" s="94"/>
    </row>
    <row r="22" spans="2:6" x14ac:dyDescent="0.3">
      <c r="B22" s="84"/>
      <c r="C22" s="84"/>
      <c r="D22" s="84"/>
      <c r="E22" s="84"/>
      <c r="F22" s="84"/>
    </row>
    <row r="23" spans="2:6" ht="13.5" customHeight="1" x14ac:dyDescent="0.3">
      <c r="B23" s="136" t="s">
        <v>1995</v>
      </c>
      <c r="C23" s="136"/>
      <c r="D23" s="136"/>
      <c r="E23" s="136"/>
      <c r="F23" s="136"/>
    </row>
    <row r="24" spans="2:6" x14ac:dyDescent="0.3">
      <c r="B24" s="87" t="s">
        <v>668</v>
      </c>
      <c r="C24" s="87" t="s">
        <v>1996</v>
      </c>
      <c r="D24" s="87" t="s">
        <v>1997</v>
      </c>
      <c r="E24" s="87" t="s">
        <v>1998</v>
      </c>
      <c r="F24" s="87" t="s">
        <v>1999</v>
      </c>
    </row>
    <row r="25" spans="2:6" x14ac:dyDescent="0.3">
      <c r="B25" s="89">
        <v>1</v>
      </c>
      <c r="C25" s="89" t="s">
        <v>2000</v>
      </c>
      <c r="D25" s="89" t="s">
        <v>2001</v>
      </c>
      <c r="E25" s="89" t="s">
        <v>2002</v>
      </c>
      <c r="F25" s="89" t="s">
        <v>2003</v>
      </c>
    </row>
    <row r="26" spans="2:6" ht="52.8" x14ac:dyDescent="0.3">
      <c r="B26" s="89">
        <v>2</v>
      </c>
      <c r="C26" s="89" t="s">
        <v>2004</v>
      </c>
      <c r="D26" s="89" t="s">
        <v>2005</v>
      </c>
      <c r="E26" s="89" t="s">
        <v>2006</v>
      </c>
      <c r="F26" s="89" t="s">
        <v>2007</v>
      </c>
    </row>
    <row r="27" spans="2:6" ht="26.4" x14ac:dyDescent="0.3">
      <c r="B27" s="89">
        <v>3</v>
      </c>
      <c r="C27" s="89" t="s">
        <v>2008</v>
      </c>
      <c r="D27" s="89" t="s">
        <v>2001</v>
      </c>
      <c r="E27" s="89" t="s">
        <v>2009</v>
      </c>
      <c r="F27" s="89" t="s">
        <v>2010</v>
      </c>
    </row>
    <row r="28" spans="2:6" ht="66" x14ac:dyDescent="0.3">
      <c r="B28" s="89">
        <v>4</v>
      </c>
      <c r="C28" s="89" t="s">
        <v>2011</v>
      </c>
      <c r="D28" s="89" t="s">
        <v>2005</v>
      </c>
      <c r="E28" s="89" t="s">
        <v>2012</v>
      </c>
      <c r="F28" s="89" t="s">
        <v>2013</v>
      </c>
    </row>
    <row r="29" spans="2:6" ht="26.4" x14ac:dyDescent="0.3">
      <c r="B29" s="89">
        <v>5</v>
      </c>
      <c r="C29" s="89" t="s">
        <v>2014</v>
      </c>
      <c r="D29" s="89" t="s">
        <v>2001</v>
      </c>
      <c r="E29" s="89" t="s">
        <v>2015</v>
      </c>
      <c r="F29" s="89" t="s">
        <v>2003</v>
      </c>
    </row>
    <row r="30" spans="2:6" x14ac:dyDescent="0.3">
      <c r="B30" s="89">
        <v>6</v>
      </c>
      <c r="C30" s="89" t="s">
        <v>2016</v>
      </c>
      <c r="D30" s="89" t="s">
        <v>2017</v>
      </c>
      <c r="E30" s="89" t="s">
        <v>2018</v>
      </c>
      <c r="F30" s="89" t="s">
        <v>2003</v>
      </c>
    </row>
    <row r="31" spans="2:6" ht="39.6" x14ac:dyDescent="0.3">
      <c r="B31" s="89">
        <v>7</v>
      </c>
      <c r="C31" s="89" t="s">
        <v>2019</v>
      </c>
      <c r="D31" s="89" t="s">
        <v>2001</v>
      </c>
      <c r="E31" s="89" t="s">
        <v>2020</v>
      </c>
      <c r="F31" s="89" t="s">
        <v>2021</v>
      </c>
    </row>
    <row r="32" spans="2:6" ht="26.4" x14ac:dyDescent="0.3">
      <c r="B32" s="89">
        <v>8</v>
      </c>
      <c r="C32" s="89" t="s">
        <v>2022</v>
      </c>
      <c r="D32" s="89" t="s">
        <v>2005</v>
      </c>
      <c r="E32" s="89" t="s">
        <v>2023</v>
      </c>
      <c r="F32" s="89" t="s">
        <v>2024</v>
      </c>
    </row>
    <row r="33" spans="2:6" ht="26.4" x14ac:dyDescent="0.3">
      <c r="B33" s="89">
        <v>9</v>
      </c>
      <c r="C33" s="89" t="s">
        <v>2025</v>
      </c>
      <c r="D33" s="89" t="s">
        <v>2026</v>
      </c>
      <c r="E33" s="89" t="s">
        <v>2027</v>
      </c>
      <c r="F33" s="89" t="s">
        <v>2028</v>
      </c>
    </row>
    <row r="34" spans="2:6" ht="39.6" x14ac:dyDescent="0.3">
      <c r="B34" s="89">
        <v>10</v>
      </c>
      <c r="C34" s="89" t="s">
        <v>2029</v>
      </c>
      <c r="D34" s="89" t="s">
        <v>2030</v>
      </c>
      <c r="E34" s="89" t="s">
        <v>2031</v>
      </c>
      <c r="F34" s="89" t="s">
        <v>2032</v>
      </c>
    </row>
    <row r="35" spans="2:6" ht="39.6" x14ac:dyDescent="0.3">
      <c r="B35" s="89">
        <v>11</v>
      </c>
      <c r="C35" s="89" t="s">
        <v>2033</v>
      </c>
      <c r="D35" s="89" t="s">
        <v>2005</v>
      </c>
      <c r="E35" s="89" t="s">
        <v>2034</v>
      </c>
      <c r="F35" s="89" t="s">
        <v>2035</v>
      </c>
    </row>
    <row r="36" spans="2:6" ht="52.8" x14ac:dyDescent="0.3">
      <c r="B36" s="89">
        <v>12</v>
      </c>
      <c r="C36" s="89" t="s">
        <v>2036</v>
      </c>
      <c r="D36" s="89" t="s">
        <v>2005</v>
      </c>
      <c r="E36" s="89" t="s">
        <v>2037</v>
      </c>
      <c r="F36" s="89" t="s">
        <v>2038</v>
      </c>
    </row>
    <row r="37" spans="2:6" ht="39.6" x14ac:dyDescent="0.3">
      <c r="B37" s="89">
        <v>13</v>
      </c>
      <c r="C37" s="89" t="s">
        <v>2039</v>
      </c>
      <c r="D37" s="89" t="s">
        <v>2005</v>
      </c>
      <c r="E37" s="89" t="s">
        <v>2040</v>
      </c>
      <c r="F37" s="89" t="s">
        <v>2041</v>
      </c>
    </row>
    <row r="38" spans="2:6" ht="26.4" x14ac:dyDescent="0.3">
      <c r="B38" s="89">
        <v>14</v>
      </c>
      <c r="C38" s="89" t="s">
        <v>2042</v>
      </c>
      <c r="D38" s="89" t="s">
        <v>2001</v>
      </c>
      <c r="E38" s="89" t="s">
        <v>2043</v>
      </c>
      <c r="F38" s="89" t="s">
        <v>2044</v>
      </c>
    </row>
    <row r="39" spans="2:6" ht="26.4" x14ac:dyDescent="0.3">
      <c r="B39" s="89">
        <v>15</v>
      </c>
      <c r="C39" s="89" t="s">
        <v>2045</v>
      </c>
      <c r="D39" s="89" t="s">
        <v>2005</v>
      </c>
      <c r="E39" s="89" t="s">
        <v>2046</v>
      </c>
      <c r="F39" s="89" t="s">
        <v>2047</v>
      </c>
    </row>
    <row r="40" spans="2:6" ht="26.4" x14ac:dyDescent="0.3">
      <c r="B40" s="89">
        <v>16</v>
      </c>
      <c r="C40" s="89" t="s">
        <v>170</v>
      </c>
      <c r="D40" s="89" t="s">
        <v>2001</v>
      </c>
      <c r="E40" s="89" t="s">
        <v>2048</v>
      </c>
      <c r="F40" s="89" t="s">
        <v>2003</v>
      </c>
    </row>
    <row r="41" spans="2:6" ht="26.4" x14ac:dyDescent="0.3">
      <c r="B41" s="89">
        <v>17</v>
      </c>
      <c r="C41" s="89" t="s">
        <v>2049</v>
      </c>
      <c r="D41" s="89" t="s">
        <v>2001</v>
      </c>
      <c r="E41" s="89" t="s">
        <v>2050</v>
      </c>
      <c r="F41" s="89" t="s">
        <v>2003</v>
      </c>
    </row>
    <row r="42" spans="2:6" ht="26.4" x14ac:dyDescent="0.3">
      <c r="B42" s="89">
        <v>18</v>
      </c>
      <c r="C42" s="89" t="s">
        <v>2051</v>
      </c>
      <c r="D42" s="89" t="s">
        <v>2005</v>
      </c>
      <c r="E42" s="89" t="s">
        <v>2052</v>
      </c>
      <c r="F42" s="89" t="s">
        <v>2053</v>
      </c>
    </row>
    <row r="43" spans="2:6" ht="39.6" x14ac:dyDescent="0.3">
      <c r="B43" s="89">
        <v>19</v>
      </c>
      <c r="C43" s="89" t="s">
        <v>2054</v>
      </c>
      <c r="D43" s="89" t="s">
        <v>2026</v>
      </c>
      <c r="E43" s="89" t="s">
        <v>2055</v>
      </c>
      <c r="F43" s="89" t="s">
        <v>2056</v>
      </c>
    </row>
    <row r="44" spans="2:6" x14ac:dyDescent="0.3">
      <c r="B44" s="89">
        <v>20</v>
      </c>
      <c r="C44" s="89" t="s">
        <v>2057</v>
      </c>
      <c r="D44" s="89" t="s">
        <v>2005</v>
      </c>
      <c r="E44" s="89" t="s">
        <v>2058</v>
      </c>
      <c r="F44" s="89" t="s">
        <v>2059</v>
      </c>
    </row>
    <row r="46" spans="2:6" ht="13.5" customHeight="1" x14ac:dyDescent="0.3">
      <c r="B46" s="94" t="s">
        <v>1994</v>
      </c>
      <c r="C46" s="94"/>
      <c r="D46" s="94"/>
      <c r="E46" s="94"/>
      <c r="F46" s="94"/>
    </row>
    <row r="47" spans="2:6" x14ac:dyDescent="0.3">
      <c r="B47" s="84"/>
      <c r="C47" s="84"/>
      <c r="D47" s="84"/>
      <c r="E47" s="84"/>
      <c r="F47" s="84"/>
    </row>
    <row r="48" spans="2:6" ht="13.5" customHeight="1" x14ac:dyDescent="0.3">
      <c r="B48" s="136" t="s">
        <v>2060</v>
      </c>
      <c r="C48" s="136"/>
      <c r="D48" s="136"/>
      <c r="E48" s="136"/>
      <c r="F48" s="136"/>
    </row>
    <row r="49" spans="2:6" ht="13.5" customHeight="1" x14ac:dyDescent="0.3">
      <c r="B49" s="94" t="s">
        <v>2061</v>
      </c>
      <c r="C49" s="94"/>
      <c r="D49" s="94"/>
      <c r="E49" s="94"/>
      <c r="F49" s="94"/>
    </row>
    <row r="50" spans="2:6" ht="13.5" customHeight="1" x14ac:dyDescent="0.3">
      <c r="B50" s="94" t="s">
        <v>2062</v>
      </c>
      <c r="C50" s="94"/>
      <c r="D50" s="94"/>
      <c r="E50" s="94"/>
      <c r="F50" s="94"/>
    </row>
    <row r="51" spans="2:6" x14ac:dyDescent="0.3">
      <c r="B51" s="87" t="s">
        <v>2063</v>
      </c>
      <c r="C51" s="87" t="s">
        <v>2064</v>
      </c>
      <c r="D51" s="87" t="s">
        <v>2065</v>
      </c>
    </row>
    <row r="52" spans="2:6" x14ac:dyDescent="0.3">
      <c r="B52" s="89" t="s">
        <v>6</v>
      </c>
      <c r="C52" s="89" t="s">
        <v>2066</v>
      </c>
      <c r="D52" s="89" t="s">
        <v>2067</v>
      </c>
    </row>
    <row r="53" spans="2:6" x14ac:dyDescent="0.3">
      <c r="B53" s="89" t="s">
        <v>954</v>
      </c>
      <c r="C53" s="89" t="s">
        <v>32</v>
      </c>
      <c r="D53" s="89" t="s">
        <v>2068</v>
      </c>
    </row>
    <row r="54" spans="2:6" ht="26.4" x14ac:dyDescent="0.3">
      <c r="B54" s="89" t="s">
        <v>2069</v>
      </c>
      <c r="C54" s="89" t="s">
        <v>2070</v>
      </c>
      <c r="D54" s="89" t="s">
        <v>2071</v>
      </c>
    </row>
    <row r="55" spans="2:6" ht="26.4" x14ac:dyDescent="0.3">
      <c r="B55" s="89" t="s">
        <v>2072</v>
      </c>
      <c r="C55" s="89" t="s">
        <v>2073</v>
      </c>
      <c r="D55" s="89" t="s">
        <v>2074</v>
      </c>
    </row>
    <row r="56" spans="2:6" ht="26.4" x14ac:dyDescent="0.3">
      <c r="B56" s="89" t="s">
        <v>2075</v>
      </c>
      <c r="C56" s="89" t="s">
        <v>2076</v>
      </c>
      <c r="D56" s="89" t="s">
        <v>2077</v>
      </c>
    </row>
    <row r="57" spans="2:6" ht="26.4" x14ac:dyDescent="0.3">
      <c r="B57" s="89" t="s">
        <v>2078</v>
      </c>
      <c r="C57" s="89" t="s">
        <v>501</v>
      </c>
      <c r="D57" s="89" t="s">
        <v>2079</v>
      </c>
    </row>
    <row r="58" spans="2:6" x14ac:dyDescent="0.3">
      <c r="B58" s="89" t="s">
        <v>539</v>
      </c>
      <c r="C58" s="89" t="s">
        <v>2080</v>
      </c>
      <c r="D58" s="89" t="s">
        <v>2081</v>
      </c>
    </row>
    <row r="59" spans="2:6" x14ac:dyDescent="0.3">
      <c r="B59" s="89" t="s">
        <v>854</v>
      </c>
      <c r="C59" s="89" t="s">
        <v>2082</v>
      </c>
      <c r="D59" s="89" t="s">
        <v>2083</v>
      </c>
    </row>
    <row r="60" spans="2:6" ht="26.4" x14ac:dyDescent="0.3">
      <c r="B60" s="89" t="s">
        <v>2084</v>
      </c>
      <c r="C60" s="89" t="s">
        <v>2085</v>
      </c>
      <c r="D60" s="89" t="s">
        <v>2086</v>
      </c>
    </row>
    <row r="62" spans="2:6" ht="13.5" customHeight="1" x14ac:dyDescent="0.3">
      <c r="B62" s="94" t="s">
        <v>2087</v>
      </c>
      <c r="C62" s="94"/>
      <c r="D62" s="94"/>
      <c r="E62" s="94"/>
      <c r="F62" s="94"/>
    </row>
    <row r="63" spans="2:6" ht="13.5" customHeight="1" x14ac:dyDescent="0.3">
      <c r="B63" s="94" t="s">
        <v>1994</v>
      </c>
      <c r="C63" s="94"/>
      <c r="D63" s="94"/>
      <c r="E63" s="94"/>
      <c r="F63" s="94"/>
    </row>
    <row r="64" spans="2:6" x14ac:dyDescent="0.3">
      <c r="B64" s="84"/>
      <c r="C64" s="84"/>
      <c r="D64" s="84"/>
      <c r="E64" s="84"/>
      <c r="F64" s="84"/>
    </row>
    <row r="65" spans="2:6" ht="13.5" customHeight="1" x14ac:dyDescent="0.3">
      <c r="B65" s="136" t="s">
        <v>2088</v>
      </c>
      <c r="C65" s="136"/>
      <c r="D65" s="136"/>
      <c r="E65" s="136"/>
      <c r="F65" s="136"/>
    </row>
    <row r="66" spans="2:6" ht="13.5" customHeight="1" x14ac:dyDescent="0.3">
      <c r="B66" s="94" t="s">
        <v>2089</v>
      </c>
      <c r="C66" s="94"/>
      <c r="D66" s="94"/>
      <c r="E66" s="94"/>
      <c r="F66" s="94"/>
    </row>
    <row r="67" spans="2:6" ht="13.5" customHeight="1" x14ac:dyDescent="0.3">
      <c r="B67" s="94" t="s">
        <v>2090</v>
      </c>
      <c r="C67" s="94"/>
      <c r="D67" s="94"/>
      <c r="E67" s="94"/>
      <c r="F67" s="94"/>
    </row>
    <row r="68" spans="2:6" ht="13.5" customHeight="1" x14ac:dyDescent="0.3">
      <c r="B68" s="94" t="s">
        <v>2091</v>
      </c>
      <c r="C68" s="94"/>
      <c r="D68" s="94"/>
      <c r="E68" s="94"/>
      <c r="F68" s="94"/>
    </row>
    <row r="69" spans="2:6" ht="13.5" customHeight="1" x14ac:dyDescent="0.3">
      <c r="B69" s="94" t="s">
        <v>2092</v>
      </c>
      <c r="C69" s="94"/>
      <c r="D69" s="94"/>
      <c r="E69" s="94"/>
      <c r="F69" s="94"/>
    </row>
    <row r="70" spans="2:6" ht="13.5" customHeight="1" x14ac:dyDescent="0.3">
      <c r="B70" s="94" t="s">
        <v>2093</v>
      </c>
      <c r="C70" s="94"/>
      <c r="D70" s="94"/>
      <c r="E70" s="94"/>
      <c r="F70" s="94"/>
    </row>
    <row r="71" spans="2:6" ht="13.5" customHeight="1" x14ac:dyDescent="0.3">
      <c r="B71" s="94" t="s">
        <v>2094</v>
      </c>
      <c r="C71" s="94"/>
      <c r="D71" s="94"/>
      <c r="E71" s="94"/>
      <c r="F71" s="94"/>
    </row>
    <row r="72" spans="2:6" ht="13.5" customHeight="1" x14ac:dyDescent="0.3">
      <c r="B72" s="137" t="s">
        <v>2095</v>
      </c>
      <c r="C72" s="137"/>
      <c r="D72" s="137"/>
      <c r="E72" s="137"/>
      <c r="F72" s="137"/>
    </row>
    <row r="73" spans="2:6" ht="13.5" customHeight="1" x14ac:dyDescent="0.3">
      <c r="B73" s="94" t="s">
        <v>2096</v>
      </c>
      <c r="C73" s="94"/>
      <c r="D73" s="94"/>
      <c r="E73" s="94"/>
      <c r="F73" s="94"/>
    </row>
    <row r="74" spans="2:6" ht="13.5" customHeight="1" x14ac:dyDescent="0.3">
      <c r="B74" s="94" t="s">
        <v>2097</v>
      </c>
      <c r="C74" s="94"/>
      <c r="D74" s="94"/>
      <c r="E74" s="94"/>
      <c r="F74" s="94"/>
    </row>
    <row r="75" spans="2:6" ht="13.5" customHeight="1" x14ac:dyDescent="0.3">
      <c r="B75" s="94" t="s">
        <v>2098</v>
      </c>
      <c r="C75" s="94"/>
      <c r="D75" s="94"/>
      <c r="E75" s="94"/>
      <c r="F75" s="94"/>
    </row>
    <row r="76" spans="2:6" ht="27" customHeight="1" x14ac:dyDescent="0.3">
      <c r="B76" s="94" t="s">
        <v>2099</v>
      </c>
      <c r="C76" s="94"/>
      <c r="D76" s="94"/>
      <c r="E76" s="94"/>
      <c r="F76" s="94"/>
    </row>
    <row r="77" spans="2:6" ht="13.5" customHeight="1" x14ac:dyDescent="0.3">
      <c r="B77" s="94" t="s">
        <v>2100</v>
      </c>
      <c r="C77" s="94"/>
      <c r="D77" s="94"/>
      <c r="E77" s="94"/>
      <c r="F77" s="94"/>
    </row>
    <row r="78" spans="2:6" ht="13.5" customHeight="1" x14ac:dyDescent="0.3">
      <c r="B78" s="94" t="s">
        <v>2101</v>
      </c>
      <c r="C78" s="94"/>
      <c r="D78" s="94"/>
      <c r="E78" s="94"/>
      <c r="F78" s="94"/>
    </row>
    <row r="79" spans="2:6" ht="13.5" customHeight="1" x14ac:dyDescent="0.3">
      <c r="B79" s="94" t="s">
        <v>1994</v>
      </c>
      <c r="C79" s="94"/>
      <c r="D79" s="94"/>
      <c r="E79" s="94"/>
      <c r="F79" s="94"/>
    </row>
    <row r="80" spans="2:6" x14ac:dyDescent="0.3">
      <c r="B80" s="84"/>
      <c r="C80" s="84"/>
      <c r="D80" s="84"/>
      <c r="E80" s="84"/>
      <c r="F80" s="84"/>
    </row>
    <row r="81" spans="2:6" ht="13.5" customHeight="1" x14ac:dyDescent="0.3">
      <c r="B81" s="136" t="s">
        <v>2102</v>
      </c>
      <c r="C81" s="136"/>
      <c r="D81" s="136"/>
      <c r="E81" s="136"/>
      <c r="F81" s="136"/>
    </row>
    <row r="82" spans="2:6" ht="13.5" customHeight="1" x14ac:dyDescent="0.3">
      <c r="B82" s="137" t="s">
        <v>2103</v>
      </c>
      <c r="C82" s="137"/>
      <c r="D82" s="137"/>
      <c r="E82" s="137"/>
      <c r="F82" s="137"/>
    </row>
    <row r="83" spans="2:6" ht="13.5" customHeight="1" x14ac:dyDescent="0.3">
      <c r="B83" s="94" t="s">
        <v>2104</v>
      </c>
      <c r="C83" s="94"/>
      <c r="D83" s="94"/>
      <c r="E83" s="94"/>
      <c r="F83" s="94"/>
    </row>
    <row r="84" spans="2:6" ht="13.5" customHeight="1" x14ac:dyDescent="0.3">
      <c r="B84" s="94" t="s">
        <v>2105</v>
      </c>
      <c r="C84" s="94"/>
      <c r="D84" s="94"/>
      <c r="E84" s="94"/>
      <c r="F84" s="94"/>
    </row>
    <row r="85" spans="2:6" ht="13.5" customHeight="1" x14ac:dyDescent="0.3">
      <c r="B85" s="94" t="s">
        <v>2106</v>
      </c>
      <c r="C85" s="94"/>
      <c r="D85" s="94"/>
      <c r="E85" s="94"/>
      <c r="F85" s="94"/>
    </row>
    <row r="86" spans="2:6" ht="13.5" customHeight="1" x14ac:dyDescent="0.3">
      <c r="B86" s="94" t="s">
        <v>2107</v>
      </c>
      <c r="C86" s="94"/>
      <c r="D86" s="94"/>
      <c r="E86" s="94"/>
      <c r="F86" s="94"/>
    </row>
    <row r="87" spans="2:6" ht="13.5" customHeight="1" x14ac:dyDescent="0.3">
      <c r="B87" s="94" t="s">
        <v>2108</v>
      </c>
      <c r="C87" s="94"/>
      <c r="D87" s="94"/>
      <c r="E87" s="94"/>
      <c r="F87" s="94"/>
    </row>
    <row r="88" spans="2:6" ht="13.5" customHeight="1" x14ac:dyDescent="0.3">
      <c r="B88" s="137" t="s">
        <v>2109</v>
      </c>
      <c r="C88" s="137"/>
      <c r="D88" s="137"/>
      <c r="E88" s="137"/>
      <c r="F88" s="137"/>
    </row>
    <row r="89" spans="2:6" ht="13.5" customHeight="1" x14ac:dyDescent="0.3">
      <c r="B89" s="94" t="s">
        <v>2110</v>
      </c>
      <c r="C89" s="94"/>
      <c r="D89" s="94"/>
      <c r="E89" s="94"/>
      <c r="F89" s="94"/>
    </row>
    <row r="90" spans="2:6" ht="13.5" customHeight="1" x14ac:dyDescent="0.3">
      <c r="B90" s="94" t="s">
        <v>2111</v>
      </c>
      <c r="C90" s="94"/>
      <c r="D90" s="94"/>
      <c r="E90" s="94"/>
      <c r="F90" s="94"/>
    </row>
    <row r="91" spans="2:6" ht="13.5" customHeight="1" x14ac:dyDescent="0.3">
      <c r="B91" s="94" t="s">
        <v>2112</v>
      </c>
      <c r="C91" s="94"/>
      <c r="D91" s="94"/>
      <c r="E91" s="94"/>
      <c r="F91" s="94"/>
    </row>
    <row r="92" spans="2:6" ht="13.5" customHeight="1" x14ac:dyDescent="0.3">
      <c r="B92" s="94" t="s">
        <v>2113</v>
      </c>
      <c r="C92" s="94"/>
      <c r="D92" s="94"/>
      <c r="E92" s="94"/>
      <c r="F92" s="94"/>
    </row>
    <row r="93" spans="2:6" ht="13.5" customHeight="1" x14ac:dyDescent="0.3">
      <c r="B93" s="94" t="s">
        <v>2114</v>
      </c>
      <c r="C93" s="94"/>
      <c r="D93" s="94"/>
      <c r="E93" s="94"/>
      <c r="F93" s="94"/>
    </row>
    <row r="94" spans="2:6" ht="13.5" customHeight="1" x14ac:dyDescent="0.3">
      <c r="B94" s="94" t="s">
        <v>2115</v>
      </c>
      <c r="C94" s="94"/>
      <c r="D94" s="94"/>
      <c r="E94" s="94"/>
      <c r="F94" s="94"/>
    </row>
    <row r="95" spans="2:6" ht="13.5" customHeight="1" x14ac:dyDescent="0.3">
      <c r="B95" s="94" t="s">
        <v>2116</v>
      </c>
      <c r="C95" s="94"/>
      <c r="D95" s="94"/>
      <c r="E95" s="94"/>
      <c r="F95" s="94"/>
    </row>
    <row r="96" spans="2:6" ht="13.5" customHeight="1" x14ac:dyDescent="0.3">
      <c r="B96" s="94" t="s">
        <v>2117</v>
      </c>
      <c r="C96" s="94"/>
      <c r="D96" s="94"/>
      <c r="E96" s="94"/>
      <c r="F96" s="94"/>
    </row>
    <row r="97" spans="2:6" ht="13.5" customHeight="1" x14ac:dyDescent="0.3">
      <c r="B97" s="94" t="s">
        <v>2118</v>
      </c>
      <c r="C97" s="94"/>
      <c r="D97" s="94"/>
      <c r="E97" s="94"/>
      <c r="F97" s="94"/>
    </row>
    <row r="98" spans="2:6" ht="27" customHeight="1" x14ac:dyDescent="0.3">
      <c r="B98" s="94" t="s">
        <v>2119</v>
      </c>
      <c r="C98" s="94"/>
      <c r="D98" s="94"/>
      <c r="E98" s="94"/>
      <c r="F98" s="94"/>
    </row>
    <row r="99" spans="2:6" ht="27" customHeight="1" x14ac:dyDescent="0.3">
      <c r="B99" s="94" t="s">
        <v>2120</v>
      </c>
      <c r="C99" s="94"/>
      <c r="D99" s="94"/>
      <c r="E99" s="94"/>
      <c r="F99" s="94"/>
    </row>
    <row r="100" spans="2:6" ht="27" customHeight="1" x14ac:dyDescent="0.3">
      <c r="B100" s="134" t="s">
        <v>2121</v>
      </c>
      <c r="C100" s="134"/>
      <c r="D100" s="134"/>
      <c r="E100" s="134"/>
      <c r="F100" s="134"/>
    </row>
    <row r="101" spans="2:6" ht="13.5" customHeight="1" x14ac:dyDescent="0.3">
      <c r="B101" s="137" t="s">
        <v>2122</v>
      </c>
      <c r="C101" s="137"/>
      <c r="D101" s="137"/>
      <c r="E101" s="137"/>
      <c r="F101" s="137"/>
    </row>
    <row r="102" spans="2:6" ht="27" customHeight="1" x14ac:dyDescent="0.3">
      <c r="B102" s="94" t="s">
        <v>2123</v>
      </c>
      <c r="C102" s="94"/>
      <c r="D102" s="94"/>
      <c r="E102" s="94"/>
      <c r="F102" s="94"/>
    </row>
    <row r="103" spans="2:6" ht="13.5" customHeight="1" x14ac:dyDescent="0.3">
      <c r="B103" s="94" t="s">
        <v>2124</v>
      </c>
      <c r="C103" s="94"/>
      <c r="D103" s="94"/>
      <c r="E103" s="94"/>
      <c r="F103" s="94"/>
    </row>
    <row r="104" spans="2:6" ht="13.5" customHeight="1" x14ac:dyDescent="0.3">
      <c r="B104" s="94" t="s">
        <v>2125</v>
      </c>
      <c r="C104" s="94"/>
      <c r="D104" s="94"/>
      <c r="E104" s="94"/>
      <c r="F104" s="94"/>
    </row>
    <row r="105" spans="2:6" ht="13.5" customHeight="1" x14ac:dyDescent="0.3">
      <c r="B105" s="94" t="s">
        <v>2126</v>
      </c>
      <c r="C105" s="94"/>
      <c r="D105" s="94"/>
      <c r="E105" s="94"/>
      <c r="F105" s="94"/>
    </row>
    <row r="106" spans="2:6" ht="13.5" customHeight="1" x14ac:dyDescent="0.3">
      <c r="B106" s="94" t="s">
        <v>1994</v>
      </c>
      <c r="C106" s="94"/>
      <c r="D106" s="94"/>
      <c r="E106" s="94"/>
      <c r="F106" s="94"/>
    </row>
    <row r="107" spans="2:6" x14ac:dyDescent="0.3">
      <c r="B107" s="84"/>
      <c r="C107" s="84"/>
      <c r="D107" s="84"/>
      <c r="E107" s="84"/>
      <c r="F107" s="84"/>
    </row>
    <row r="108" spans="2:6" ht="13.5" customHeight="1" x14ac:dyDescent="0.3">
      <c r="B108" s="136" t="s">
        <v>2127</v>
      </c>
      <c r="C108" s="136"/>
      <c r="D108" s="136"/>
      <c r="E108" s="136"/>
      <c r="F108" s="136"/>
    </row>
    <row r="109" spans="2:6" ht="13.5" customHeight="1" x14ac:dyDescent="0.3">
      <c r="B109" s="94" t="s">
        <v>2128</v>
      </c>
      <c r="C109" s="94"/>
      <c r="D109" s="94"/>
      <c r="E109" s="94"/>
      <c r="F109" s="94"/>
    </row>
    <row r="110" spans="2:6" ht="13.5" customHeight="1" x14ac:dyDescent="0.3">
      <c r="B110" s="94" t="s">
        <v>2129</v>
      </c>
      <c r="C110" s="94"/>
      <c r="D110" s="94"/>
      <c r="E110" s="94"/>
      <c r="F110" s="94"/>
    </row>
    <row r="111" spans="2:6" ht="13.5" customHeight="1" x14ac:dyDescent="0.3">
      <c r="B111" s="94" t="s">
        <v>2130</v>
      </c>
      <c r="C111" s="94"/>
      <c r="D111" s="94"/>
      <c r="E111" s="94"/>
      <c r="F111" s="94"/>
    </row>
    <row r="112" spans="2:6" ht="13.5" customHeight="1" x14ac:dyDescent="0.3">
      <c r="B112" s="94" t="s">
        <v>2131</v>
      </c>
      <c r="C112" s="94"/>
      <c r="D112" s="94"/>
      <c r="E112" s="94"/>
      <c r="F112" s="94"/>
    </row>
    <row r="113" spans="2:6" ht="13.5" customHeight="1" x14ac:dyDescent="0.3">
      <c r="B113" s="94" t="s">
        <v>2132</v>
      </c>
      <c r="C113" s="94"/>
      <c r="D113" s="94"/>
      <c r="E113" s="94"/>
      <c r="F113" s="94"/>
    </row>
    <row r="114" spans="2:6" ht="13.5" customHeight="1" x14ac:dyDescent="0.3">
      <c r="B114" s="94" t="s">
        <v>2133</v>
      </c>
      <c r="C114" s="94"/>
      <c r="D114" s="94"/>
      <c r="E114" s="94"/>
      <c r="F114" s="94"/>
    </row>
    <row r="115" spans="2:6" ht="13.5" customHeight="1" x14ac:dyDescent="0.3">
      <c r="B115" s="94" t="s">
        <v>2134</v>
      </c>
      <c r="C115" s="94"/>
      <c r="D115" s="94"/>
      <c r="E115" s="94"/>
      <c r="F115" s="94"/>
    </row>
    <row r="116" spans="2:6" ht="40.5" customHeight="1" x14ac:dyDescent="0.3">
      <c r="B116" s="94" t="s">
        <v>2135</v>
      </c>
      <c r="C116" s="94"/>
      <c r="D116" s="94"/>
      <c r="E116" s="94"/>
      <c r="F116" s="94"/>
    </row>
    <row r="117" spans="2:6" ht="27" customHeight="1" x14ac:dyDescent="0.3">
      <c r="B117" s="94" t="s">
        <v>2136</v>
      </c>
      <c r="C117" s="94"/>
      <c r="D117" s="94"/>
      <c r="E117" s="94"/>
      <c r="F117" s="94"/>
    </row>
    <row r="118" spans="2:6" ht="13.5" customHeight="1" x14ac:dyDescent="0.3">
      <c r="B118" s="94" t="s">
        <v>2137</v>
      </c>
      <c r="C118" s="94"/>
      <c r="D118" s="94"/>
      <c r="E118" s="94"/>
      <c r="F118" s="94"/>
    </row>
    <row r="119" spans="2:6" ht="27" customHeight="1" x14ac:dyDescent="0.3">
      <c r="B119" s="94" t="s">
        <v>2138</v>
      </c>
      <c r="C119" s="94"/>
      <c r="D119" s="94"/>
      <c r="E119" s="94"/>
      <c r="F119" s="94"/>
    </row>
    <row r="120" spans="2:6" ht="27" customHeight="1" x14ac:dyDescent="0.3">
      <c r="B120" s="94" t="s">
        <v>2139</v>
      </c>
      <c r="C120" s="94"/>
      <c r="D120" s="94"/>
      <c r="E120" s="94"/>
      <c r="F120" s="94"/>
    </row>
    <row r="121" spans="2:6" ht="13.5" customHeight="1" x14ac:dyDescent="0.3">
      <c r="B121" s="94" t="s">
        <v>2140</v>
      </c>
      <c r="C121" s="94"/>
      <c r="D121" s="94"/>
      <c r="E121" s="94"/>
      <c r="F121" s="94"/>
    </row>
    <row r="122" spans="2:6" ht="27" customHeight="1" x14ac:dyDescent="0.3">
      <c r="B122" s="94" t="s">
        <v>2141</v>
      </c>
      <c r="C122" s="94"/>
      <c r="D122" s="94"/>
      <c r="E122" s="94"/>
      <c r="F122" s="94"/>
    </row>
    <row r="123" spans="2:6" ht="13.5" customHeight="1" x14ac:dyDescent="0.3">
      <c r="B123" s="94" t="s">
        <v>1994</v>
      </c>
      <c r="C123" s="94"/>
      <c r="D123" s="94"/>
      <c r="E123" s="94"/>
      <c r="F123" s="94"/>
    </row>
    <row r="124" spans="2:6" x14ac:dyDescent="0.3">
      <c r="B124" s="84"/>
      <c r="C124" s="84"/>
      <c r="D124" s="84"/>
      <c r="E124" s="84"/>
      <c r="F124" s="84"/>
    </row>
    <row r="125" spans="2:6" ht="13.5" customHeight="1" x14ac:dyDescent="0.3">
      <c r="B125" s="136" t="s">
        <v>2142</v>
      </c>
      <c r="C125" s="136"/>
      <c r="D125" s="136"/>
      <c r="E125" s="136"/>
      <c r="F125" s="136"/>
    </row>
    <row r="126" spans="2:6" ht="13.5" customHeight="1" x14ac:dyDescent="0.3">
      <c r="B126" s="94" t="s">
        <v>2143</v>
      </c>
      <c r="C126" s="94"/>
      <c r="D126" s="94"/>
      <c r="E126" s="94"/>
      <c r="F126" s="94"/>
    </row>
    <row r="127" spans="2:6" ht="27" customHeight="1" x14ac:dyDescent="0.3">
      <c r="B127" s="94" t="s">
        <v>2144</v>
      </c>
      <c r="C127" s="94"/>
      <c r="D127" s="94"/>
      <c r="E127" s="94"/>
      <c r="F127" s="94"/>
    </row>
    <row r="128" spans="2:6" ht="13.5" customHeight="1" x14ac:dyDescent="0.3">
      <c r="B128" s="94" t="s">
        <v>2145</v>
      </c>
      <c r="C128" s="94"/>
      <c r="D128" s="94"/>
      <c r="E128" s="94"/>
      <c r="F128" s="94"/>
    </row>
    <row r="129" spans="2:6" ht="13.5" customHeight="1" x14ac:dyDescent="0.3">
      <c r="B129" s="94" t="s">
        <v>2146</v>
      </c>
      <c r="C129" s="94"/>
      <c r="D129" s="94"/>
      <c r="E129" s="94"/>
      <c r="F129" s="94"/>
    </row>
    <row r="130" spans="2:6" ht="13.5" customHeight="1" x14ac:dyDescent="0.3">
      <c r="B130" s="94" t="s">
        <v>2147</v>
      </c>
      <c r="C130" s="94"/>
      <c r="D130" s="94"/>
      <c r="E130" s="94"/>
      <c r="F130" s="94"/>
    </row>
    <row r="131" spans="2:6" ht="13.5" customHeight="1" x14ac:dyDescent="0.3">
      <c r="B131" s="94" t="s">
        <v>2148</v>
      </c>
      <c r="C131" s="94"/>
      <c r="D131" s="94"/>
      <c r="E131" s="94"/>
      <c r="F131" s="94"/>
    </row>
    <row r="132" spans="2:6" ht="13.5" customHeight="1" x14ac:dyDescent="0.3">
      <c r="B132" s="94" t="s">
        <v>1994</v>
      </c>
      <c r="C132" s="94"/>
      <c r="D132" s="94"/>
      <c r="E132" s="94"/>
      <c r="F132" s="94"/>
    </row>
    <row r="133" spans="2:6" x14ac:dyDescent="0.3">
      <c r="B133" s="84"/>
      <c r="C133" s="84"/>
      <c r="D133" s="84"/>
      <c r="E133" s="84"/>
      <c r="F133" s="84"/>
    </row>
    <row r="134" spans="2:6" ht="13.5" customHeight="1" x14ac:dyDescent="0.3">
      <c r="B134" s="136" t="s">
        <v>2149</v>
      </c>
      <c r="C134" s="136"/>
      <c r="D134" s="136"/>
      <c r="E134" s="136"/>
      <c r="F134" s="136"/>
    </row>
    <row r="135" spans="2:6" ht="13.5" customHeight="1" x14ac:dyDescent="0.3">
      <c r="B135" s="94" t="s">
        <v>2150</v>
      </c>
      <c r="C135" s="94"/>
      <c r="D135" s="94"/>
      <c r="E135" s="94"/>
      <c r="F135" s="94"/>
    </row>
    <row r="136" spans="2:6" ht="13.5" customHeight="1" x14ac:dyDescent="0.3">
      <c r="B136" s="94" t="s">
        <v>2151</v>
      </c>
      <c r="C136" s="94"/>
      <c r="D136" s="94"/>
      <c r="E136" s="94"/>
      <c r="F136" s="94"/>
    </row>
    <row r="137" spans="2:6" ht="13.5" customHeight="1" x14ac:dyDescent="0.3">
      <c r="B137" s="94" t="s">
        <v>2152</v>
      </c>
      <c r="C137" s="94"/>
      <c r="D137" s="94"/>
      <c r="E137" s="94"/>
      <c r="F137" s="94"/>
    </row>
    <row r="138" spans="2:6" ht="13.5" customHeight="1" x14ac:dyDescent="0.3">
      <c r="B138" s="94" t="s">
        <v>2153</v>
      </c>
      <c r="C138" s="94"/>
      <c r="D138" s="94"/>
      <c r="E138" s="94"/>
      <c r="F138" s="94"/>
    </row>
    <row r="139" spans="2:6" ht="13.5" customHeight="1" x14ac:dyDescent="0.3">
      <c r="B139" s="94" t="s">
        <v>2154</v>
      </c>
      <c r="C139" s="94"/>
      <c r="D139" s="94"/>
      <c r="E139" s="94"/>
      <c r="F139" s="94"/>
    </row>
    <row r="140" spans="2:6" ht="13.5" customHeight="1" x14ac:dyDescent="0.3">
      <c r="B140" s="94" t="s">
        <v>2155</v>
      </c>
      <c r="C140" s="94"/>
      <c r="D140" s="94"/>
      <c r="E140" s="94"/>
      <c r="F140" s="94"/>
    </row>
    <row r="141" spans="2:6" ht="13.5" customHeight="1" x14ac:dyDescent="0.3">
      <c r="B141" s="94" t="s">
        <v>2156</v>
      </c>
      <c r="C141" s="94"/>
      <c r="D141" s="94"/>
      <c r="E141" s="94"/>
      <c r="F141" s="94"/>
    </row>
    <row r="142" spans="2:6" ht="13.5" customHeight="1" x14ac:dyDescent="0.3">
      <c r="B142" s="94" t="s">
        <v>2157</v>
      </c>
      <c r="C142" s="94"/>
      <c r="D142" s="94"/>
      <c r="E142" s="94"/>
      <c r="F142" s="94"/>
    </row>
    <row r="143" spans="2:6" ht="13.5" customHeight="1" x14ac:dyDescent="0.3">
      <c r="B143" s="94" t="s">
        <v>2158</v>
      </c>
      <c r="C143" s="94"/>
      <c r="D143" s="94"/>
      <c r="E143" s="94"/>
      <c r="F143" s="94"/>
    </row>
    <row r="144" spans="2:6" ht="40.5" customHeight="1" x14ac:dyDescent="0.3">
      <c r="B144" s="94" t="s">
        <v>2159</v>
      </c>
      <c r="C144" s="94"/>
      <c r="D144" s="94"/>
      <c r="E144" s="94"/>
      <c r="F144" s="94"/>
    </row>
    <row r="145" spans="2:6" ht="13.5" customHeight="1" x14ac:dyDescent="0.3">
      <c r="B145" s="94" t="s">
        <v>2160</v>
      </c>
      <c r="C145" s="94"/>
      <c r="D145" s="94"/>
      <c r="E145" s="94"/>
      <c r="F145" s="94"/>
    </row>
    <row r="146" spans="2:6" ht="13.5" customHeight="1" x14ac:dyDescent="0.3">
      <c r="B146" s="94" t="s">
        <v>2161</v>
      </c>
      <c r="C146" s="94"/>
      <c r="D146" s="94"/>
      <c r="E146" s="94"/>
      <c r="F146" s="94"/>
    </row>
    <row r="147" spans="2:6" ht="13.5" customHeight="1" x14ac:dyDescent="0.3">
      <c r="B147" s="94" t="s">
        <v>1994</v>
      </c>
      <c r="C147" s="94"/>
      <c r="D147" s="94"/>
      <c r="E147" s="94"/>
      <c r="F147" s="94"/>
    </row>
    <row r="148" spans="2:6" x14ac:dyDescent="0.3">
      <c r="B148" s="84"/>
      <c r="C148" s="84"/>
      <c r="D148" s="84"/>
      <c r="E148" s="84"/>
      <c r="F148" s="84"/>
    </row>
    <row r="149" spans="2:6" ht="13.5" customHeight="1" x14ac:dyDescent="0.3">
      <c r="B149" s="136" t="s">
        <v>2162</v>
      </c>
      <c r="C149" s="136"/>
      <c r="D149" s="136"/>
      <c r="E149" s="136"/>
      <c r="F149" s="136"/>
    </row>
    <row r="150" spans="2:6" ht="13.5" customHeight="1" x14ac:dyDescent="0.3">
      <c r="B150" s="137" t="s">
        <v>2163</v>
      </c>
      <c r="C150" s="137"/>
      <c r="D150" s="137"/>
      <c r="E150" s="137"/>
      <c r="F150" s="137"/>
    </row>
    <row r="151" spans="2:6" ht="13.5" customHeight="1" x14ac:dyDescent="0.3">
      <c r="B151" s="94" t="s">
        <v>2164</v>
      </c>
      <c r="C151" s="94"/>
      <c r="D151" s="94"/>
      <c r="E151" s="94"/>
      <c r="F151" s="94"/>
    </row>
    <row r="152" spans="2:6" ht="13.5" customHeight="1" x14ac:dyDescent="0.3">
      <c r="B152" s="94" t="s">
        <v>2165</v>
      </c>
      <c r="C152" s="94"/>
      <c r="D152" s="94"/>
      <c r="E152" s="94"/>
      <c r="F152" s="94"/>
    </row>
    <row r="153" spans="2:6" ht="13.5" customHeight="1" x14ac:dyDescent="0.3">
      <c r="B153" s="94" t="s">
        <v>2166</v>
      </c>
      <c r="C153" s="94"/>
      <c r="D153" s="94"/>
      <c r="E153" s="94"/>
      <c r="F153" s="94"/>
    </row>
    <row r="154" spans="2:6" ht="13.5" customHeight="1" x14ac:dyDescent="0.3">
      <c r="B154" s="94" t="s">
        <v>2167</v>
      </c>
      <c r="C154" s="94"/>
      <c r="D154" s="94"/>
      <c r="E154" s="94"/>
      <c r="F154" s="94"/>
    </row>
    <row r="155" spans="2:6" ht="13.5" customHeight="1" x14ac:dyDescent="0.3">
      <c r="B155" s="94" t="s">
        <v>2168</v>
      </c>
      <c r="C155" s="94"/>
      <c r="D155" s="94"/>
      <c r="E155" s="94"/>
      <c r="F155" s="94"/>
    </row>
    <row r="156" spans="2:6" ht="13.5" customHeight="1" x14ac:dyDescent="0.3">
      <c r="B156" s="137" t="s">
        <v>2169</v>
      </c>
      <c r="C156" s="137"/>
      <c r="D156" s="137"/>
      <c r="E156" s="137"/>
      <c r="F156" s="137"/>
    </row>
    <row r="157" spans="2:6" ht="13.5" customHeight="1" x14ac:dyDescent="0.3">
      <c r="B157" s="94" t="s">
        <v>2170</v>
      </c>
      <c r="C157" s="94"/>
      <c r="D157" s="94"/>
      <c r="E157" s="94"/>
      <c r="F157" s="94"/>
    </row>
    <row r="158" spans="2:6" ht="13.5" customHeight="1" x14ac:dyDescent="0.3">
      <c r="B158" s="94" t="s">
        <v>2171</v>
      </c>
      <c r="C158" s="94"/>
      <c r="D158" s="94"/>
      <c r="E158" s="94"/>
      <c r="F158" s="94"/>
    </row>
    <row r="159" spans="2:6" ht="13.5" customHeight="1" x14ac:dyDescent="0.3">
      <c r="B159" s="137" t="s">
        <v>2172</v>
      </c>
      <c r="C159" s="137"/>
      <c r="D159" s="137"/>
      <c r="E159" s="137"/>
      <c r="F159" s="137"/>
    </row>
    <row r="160" spans="2:6" ht="13.5" customHeight="1" x14ac:dyDescent="0.3">
      <c r="B160" s="94" t="s">
        <v>2173</v>
      </c>
      <c r="C160" s="94"/>
      <c r="D160" s="94"/>
      <c r="E160" s="94"/>
      <c r="F160" s="94"/>
    </row>
    <row r="161" spans="2:6" ht="13.5" customHeight="1" x14ac:dyDescent="0.3">
      <c r="B161" s="94" t="s">
        <v>2174</v>
      </c>
      <c r="C161" s="94"/>
      <c r="D161" s="94"/>
      <c r="E161" s="94"/>
      <c r="F161" s="94"/>
    </row>
    <row r="162" spans="2:6" ht="27" customHeight="1" x14ac:dyDescent="0.3">
      <c r="B162" s="94" t="s">
        <v>2175</v>
      </c>
      <c r="C162" s="94"/>
      <c r="D162" s="94"/>
      <c r="E162" s="94"/>
      <c r="F162" s="94"/>
    </row>
    <row r="163" spans="2:6" ht="13.5" customHeight="1" x14ac:dyDescent="0.3">
      <c r="B163" s="94" t="s">
        <v>2176</v>
      </c>
      <c r="C163" s="94"/>
      <c r="D163" s="94"/>
      <c r="E163" s="94"/>
      <c r="F163" s="94"/>
    </row>
    <row r="164" spans="2:6" ht="40.5" customHeight="1" x14ac:dyDescent="0.3">
      <c r="B164" s="94" t="s">
        <v>2177</v>
      </c>
      <c r="C164" s="94"/>
      <c r="D164" s="94"/>
      <c r="E164" s="94"/>
      <c r="F164" s="94"/>
    </row>
    <row r="165" spans="2:6" ht="13.5" customHeight="1" x14ac:dyDescent="0.3">
      <c r="B165" s="94" t="s">
        <v>2137</v>
      </c>
      <c r="C165" s="94"/>
      <c r="D165" s="94"/>
      <c r="E165" s="94"/>
      <c r="F165" s="94"/>
    </row>
    <row r="166" spans="2:6" ht="13.5" customHeight="1" x14ac:dyDescent="0.3">
      <c r="B166" s="94" t="s">
        <v>2178</v>
      </c>
      <c r="C166" s="94"/>
      <c r="D166" s="94"/>
      <c r="E166" s="94"/>
      <c r="F166" s="94"/>
    </row>
    <row r="167" spans="2:6" ht="13.5" customHeight="1" x14ac:dyDescent="0.3">
      <c r="B167" s="94" t="s">
        <v>2179</v>
      </c>
      <c r="C167" s="94"/>
      <c r="D167" s="94"/>
      <c r="E167" s="94"/>
      <c r="F167" s="94"/>
    </row>
    <row r="168" spans="2:6" ht="13.5" customHeight="1" x14ac:dyDescent="0.3">
      <c r="B168" s="94" t="s">
        <v>2180</v>
      </c>
      <c r="C168" s="94"/>
      <c r="D168" s="94"/>
      <c r="E168" s="94"/>
      <c r="F168" s="94"/>
    </row>
    <row r="169" spans="2:6" ht="13.5" customHeight="1" x14ac:dyDescent="0.3">
      <c r="B169" s="94" t="s">
        <v>2181</v>
      </c>
      <c r="C169" s="94"/>
      <c r="D169" s="94"/>
      <c r="E169" s="94"/>
      <c r="F169" s="94"/>
    </row>
    <row r="170" spans="2:6" ht="13.5" customHeight="1" x14ac:dyDescent="0.3">
      <c r="B170" s="94" t="s">
        <v>2182</v>
      </c>
      <c r="C170" s="94"/>
      <c r="D170" s="94"/>
      <c r="E170" s="94"/>
      <c r="F170" s="94"/>
    </row>
    <row r="171" spans="2:6" ht="27" customHeight="1" x14ac:dyDescent="0.3">
      <c r="B171" s="94" t="s">
        <v>2183</v>
      </c>
      <c r="C171" s="94"/>
      <c r="D171" s="94"/>
      <c r="E171" s="94"/>
      <c r="F171" s="94"/>
    </row>
    <row r="172" spans="2:6" ht="13.5" customHeight="1" x14ac:dyDescent="0.3">
      <c r="B172" s="94" t="s">
        <v>2184</v>
      </c>
      <c r="C172" s="94"/>
      <c r="D172" s="94"/>
      <c r="E172" s="94"/>
      <c r="F172" s="94"/>
    </row>
    <row r="173" spans="2:6" ht="13.5" customHeight="1" x14ac:dyDescent="0.3">
      <c r="B173" s="137" t="s">
        <v>2185</v>
      </c>
      <c r="C173" s="137"/>
      <c r="D173" s="137"/>
      <c r="E173" s="137"/>
      <c r="F173" s="137"/>
    </row>
    <row r="174" spans="2:6" ht="13.5" customHeight="1" x14ac:dyDescent="0.3">
      <c r="B174" s="94" t="s">
        <v>2186</v>
      </c>
      <c r="C174" s="94"/>
      <c r="D174" s="94"/>
      <c r="E174" s="94"/>
      <c r="F174" s="94"/>
    </row>
    <row r="175" spans="2:6" ht="27" customHeight="1" x14ac:dyDescent="0.3">
      <c r="B175" s="94" t="s">
        <v>2187</v>
      </c>
      <c r="C175" s="94"/>
      <c r="D175" s="94"/>
      <c r="E175" s="94"/>
      <c r="F175" s="94"/>
    </row>
    <row r="176" spans="2:6" ht="27" customHeight="1" x14ac:dyDescent="0.3">
      <c r="B176" s="94" t="s">
        <v>2188</v>
      </c>
      <c r="C176" s="94"/>
      <c r="D176" s="94"/>
      <c r="E176" s="94"/>
      <c r="F176" s="94"/>
    </row>
    <row r="177" spans="2:6" ht="13.5" customHeight="1" x14ac:dyDescent="0.3">
      <c r="B177" s="94" t="s">
        <v>2189</v>
      </c>
      <c r="C177" s="94"/>
      <c r="D177" s="94"/>
      <c r="E177" s="94"/>
      <c r="F177" s="94"/>
    </row>
    <row r="178" spans="2:6" ht="13.5" customHeight="1" x14ac:dyDescent="0.3">
      <c r="B178" s="137" t="s">
        <v>2190</v>
      </c>
      <c r="C178" s="137"/>
      <c r="D178" s="137"/>
      <c r="E178" s="137"/>
      <c r="F178" s="137"/>
    </row>
    <row r="179" spans="2:6" ht="40.5" customHeight="1" x14ac:dyDescent="0.3">
      <c r="B179" s="96" t="s">
        <v>2191</v>
      </c>
      <c r="C179" s="96"/>
      <c r="D179" s="96"/>
      <c r="E179" s="96"/>
      <c r="F179" s="96"/>
    </row>
    <row r="180" spans="2:6" ht="13.5" customHeight="1" x14ac:dyDescent="0.3">
      <c r="B180" s="94" t="s">
        <v>1994</v>
      </c>
      <c r="C180" s="94"/>
      <c r="D180" s="94"/>
      <c r="E180" s="94"/>
      <c r="F180" s="94"/>
    </row>
    <row r="181" spans="2:6" x14ac:dyDescent="0.3">
      <c r="B181" s="84"/>
      <c r="C181" s="84"/>
      <c r="D181" s="84"/>
      <c r="E181" s="84"/>
      <c r="F181" s="84"/>
    </row>
    <row r="182" spans="2:6" ht="13.5" customHeight="1" x14ac:dyDescent="0.3">
      <c r="B182" s="136" t="s">
        <v>2192</v>
      </c>
      <c r="C182" s="136"/>
      <c r="D182" s="136"/>
      <c r="E182" s="136"/>
      <c r="F182" s="136"/>
    </row>
    <row r="183" spans="2:6" ht="13.5" customHeight="1" x14ac:dyDescent="0.3">
      <c r="B183" s="137" t="s">
        <v>2193</v>
      </c>
      <c r="C183" s="137"/>
      <c r="D183" s="137"/>
      <c r="E183" s="137"/>
      <c r="F183" s="137"/>
    </row>
    <row r="184" spans="2:6" x14ac:dyDescent="0.3">
      <c r="B184" s="87" t="s">
        <v>876</v>
      </c>
      <c r="C184" s="87" t="s">
        <v>2194</v>
      </c>
      <c r="D184" s="87" t="s">
        <v>2195</v>
      </c>
    </row>
    <row r="185" spans="2:6" ht="26.4" x14ac:dyDescent="0.3">
      <c r="B185" s="89" t="s">
        <v>566</v>
      </c>
      <c r="C185" s="89" t="s">
        <v>2196</v>
      </c>
      <c r="D185" s="89" t="s">
        <v>2197</v>
      </c>
    </row>
    <row r="186" spans="2:6" ht="52.8" x14ac:dyDescent="0.3">
      <c r="B186" s="89" t="s">
        <v>602</v>
      </c>
      <c r="C186" s="89" t="s">
        <v>2198</v>
      </c>
      <c r="D186" s="89" t="s">
        <v>2199</v>
      </c>
    </row>
    <row r="187" spans="2:6" ht="26.4" x14ac:dyDescent="0.3">
      <c r="B187" s="89" t="s">
        <v>577</v>
      </c>
      <c r="C187" s="89" t="s">
        <v>2200</v>
      </c>
      <c r="D187" s="89" t="s">
        <v>2201</v>
      </c>
    </row>
    <row r="188" spans="2:6" x14ac:dyDescent="0.3">
      <c r="B188" s="89" t="s">
        <v>551</v>
      </c>
      <c r="C188" s="89" t="s">
        <v>2202</v>
      </c>
      <c r="D188" s="89" t="s">
        <v>2203</v>
      </c>
    </row>
    <row r="189" spans="2:6" ht="26.4" x14ac:dyDescent="0.3">
      <c r="B189" s="89" t="s">
        <v>4</v>
      </c>
      <c r="C189" s="89" t="s">
        <v>2204</v>
      </c>
      <c r="D189" s="89" t="s">
        <v>2205</v>
      </c>
    </row>
    <row r="191" spans="2:6" ht="13.5" customHeight="1" x14ac:dyDescent="0.3">
      <c r="B191" s="137" t="s">
        <v>2206</v>
      </c>
      <c r="C191" s="137"/>
      <c r="D191" s="137"/>
      <c r="E191" s="137"/>
      <c r="F191" s="137"/>
    </row>
    <row r="192" spans="2:6" ht="13.5" customHeight="1" x14ac:dyDescent="0.3">
      <c r="B192" s="94" t="s">
        <v>2207</v>
      </c>
      <c r="C192" s="94"/>
      <c r="D192" s="94"/>
      <c r="E192" s="94"/>
      <c r="F192" s="94"/>
    </row>
    <row r="193" spans="2:6" ht="13.5" customHeight="1" x14ac:dyDescent="0.3">
      <c r="B193" s="94" t="s">
        <v>2208</v>
      </c>
      <c r="C193" s="94"/>
      <c r="D193" s="94"/>
      <c r="E193" s="94"/>
      <c r="F193" s="94"/>
    </row>
    <row r="194" spans="2:6" x14ac:dyDescent="0.3">
      <c r="B194" s="87" t="s">
        <v>545</v>
      </c>
      <c r="C194" s="87" t="s">
        <v>2209</v>
      </c>
      <c r="D194" s="87">
        <v>20</v>
      </c>
      <c r="E194" s="87">
        <v>30</v>
      </c>
      <c r="F194" s="87">
        <v>40</v>
      </c>
    </row>
    <row r="195" spans="2:6" x14ac:dyDescent="0.3">
      <c r="B195" s="89" t="s">
        <v>533</v>
      </c>
      <c r="C195" s="89" t="s">
        <v>2210</v>
      </c>
      <c r="D195" s="89" t="s">
        <v>2211</v>
      </c>
      <c r="E195" s="89" t="s">
        <v>2212</v>
      </c>
      <c r="F195" s="89" t="s">
        <v>2213</v>
      </c>
    </row>
    <row r="197" spans="2:6" ht="13.5" customHeight="1" x14ac:dyDescent="0.3">
      <c r="B197" s="94" t="s">
        <v>2214</v>
      </c>
      <c r="C197" s="94"/>
      <c r="D197" s="94"/>
      <c r="E197" s="94"/>
      <c r="F197" s="94"/>
    </row>
    <row r="198" spans="2:6" ht="13.5" customHeight="1" x14ac:dyDescent="0.3">
      <c r="B198" s="94" t="s">
        <v>2174</v>
      </c>
      <c r="C198" s="94"/>
      <c r="D198" s="94"/>
      <c r="E198" s="94"/>
      <c r="F198" s="94"/>
    </row>
    <row r="199" spans="2:6" ht="13.5" customHeight="1" x14ac:dyDescent="0.3">
      <c r="B199" s="94" t="s">
        <v>2215</v>
      </c>
      <c r="C199" s="94"/>
      <c r="D199" s="94"/>
      <c r="E199" s="94"/>
      <c r="F199" s="94"/>
    </row>
    <row r="200" spans="2:6" ht="27" customHeight="1" x14ac:dyDescent="0.3">
      <c r="B200" s="94" t="s">
        <v>2216</v>
      </c>
      <c r="C200" s="94"/>
      <c r="D200" s="94"/>
      <c r="E200" s="94"/>
      <c r="F200" s="94"/>
    </row>
    <row r="201" spans="2:6" ht="13.5" customHeight="1" x14ac:dyDescent="0.3">
      <c r="B201" s="94" t="s">
        <v>2217</v>
      </c>
      <c r="C201" s="94"/>
      <c r="D201" s="94"/>
      <c r="E201" s="94"/>
      <c r="F201" s="94"/>
    </row>
    <row r="202" spans="2:6" ht="27" customHeight="1" x14ac:dyDescent="0.3">
      <c r="B202" s="94" t="s">
        <v>2218</v>
      </c>
      <c r="C202" s="94"/>
      <c r="D202" s="94"/>
      <c r="E202" s="94"/>
      <c r="F202" s="94"/>
    </row>
    <row r="203" spans="2:6" ht="40.5" customHeight="1" x14ac:dyDescent="0.3">
      <c r="B203" s="94" t="s">
        <v>2219</v>
      </c>
      <c r="C203" s="94"/>
      <c r="D203" s="94"/>
      <c r="E203" s="94"/>
      <c r="F203" s="94"/>
    </row>
    <row r="204" spans="2:6" ht="13.5" customHeight="1" x14ac:dyDescent="0.3">
      <c r="B204" s="94" t="s">
        <v>2220</v>
      </c>
      <c r="C204" s="94"/>
      <c r="D204" s="94"/>
      <c r="E204" s="94"/>
      <c r="F204" s="94"/>
    </row>
    <row r="205" spans="2:6" ht="13.5" customHeight="1" x14ac:dyDescent="0.3">
      <c r="B205" s="94" t="s">
        <v>2221</v>
      </c>
      <c r="C205" s="94"/>
      <c r="D205" s="94"/>
      <c r="E205" s="94"/>
      <c r="F205" s="94"/>
    </row>
    <row r="206" spans="2:6" ht="13.5" customHeight="1" x14ac:dyDescent="0.3">
      <c r="B206" s="94" t="s">
        <v>2222</v>
      </c>
      <c r="C206" s="94"/>
      <c r="D206" s="94"/>
      <c r="E206" s="94"/>
      <c r="F206" s="94"/>
    </row>
    <row r="207" spans="2:6" ht="27" customHeight="1" x14ac:dyDescent="0.3">
      <c r="B207" s="94" t="s">
        <v>2223</v>
      </c>
      <c r="C207" s="94"/>
      <c r="D207" s="94"/>
      <c r="E207" s="94"/>
      <c r="F207" s="94"/>
    </row>
    <row r="208" spans="2:6" ht="27" customHeight="1" x14ac:dyDescent="0.3">
      <c r="B208" s="94" t="s">
        <v>2224</v>
      </c>
      <c r="C208" s="94"/>
      <c r="D208" s="94"/>
      <c r="E208" s="94"/>
      <c r="F208" s="94"/>
    </row>
    <row r="209" spans="2:6" ht="13.5" customHeight="1" x14ac:dyDescent="0.3">
      <c r="B209" s="94" t="s">
        <v>2225</v>
      </c>
      <c r="C209" s="94"/>
      <c r="D209" s="94"/>
      <c r="E209" s="94"/>
      <c r="F209" s="94"/>
    </row>
    <row r="210" spans="2:6" ht="13.5" customHeight="1" x14ac:dyDescent="0.3">
      <c r="B210" s="94" t="s">
        <v>2226</v>
      </c>
      <c r="C210" s="94"/>
      <c r="D210" s="94"/>
      <c r="E210" s="94"/>
      <c r="F210" s="94"/>
    </row>
    <row r="211" spans="2:6" ht="27" customHeight="1" x14ac:dyDescent="0.3">
      <c r="B211" s="94" t="s">
        <v>2227</v>
      </c>
      <c r="C211" s="94"/>
      <c r="D211" s="94"/>
      <c r="E211" s="94"/>
      <c r="F211" s="94"/>
    </row>
    <row r="212" spans="2:6" ht="13.5" customHeight="1" x14ac:dyDescent="0.3">
      <c r="B212" s="94" t="s">
        <v>2228</v>
      </c>
      <c r="C212" s="94"/>
      <c r="D212" s="94"/>
      <c r="E212" s="94"/>
      <c r="F212" s="94"/>
    </row>
    <row r="213" spans="2:6" ht="13.5" customHeight="1" x14ac:dyDescent="0.3">
      <c r="B213" s="94" t="s">
        <v>2229</v>
      </c>
      <c r="C213" s="94"/>
      <c r="D213" s="94"/>
      <c r="E213" s="94"/>
      <c r="F213" s="94"/>
    </row>
    <row r="214" spans="2:6" ht="13.5" customHeight="1" x14ac:dyDescent="0.3">
      <c r="B214" s="94" t="s">
        <v>2230</v>
      </c>
      <c r="C214" s="94"/>
      <c r="D214" s="94"/>
      <c r="E214" s="94"/>
      <c r="F214" s="94"/>
    </row>
    <row r="215" spans="2:6" ht="13.5" customHeight="1" x14ac:dyDescent="0.3">
      <c r="B215" s="137" t="s">
        <v>2231</v>
      </c>
      <c r="C215" s="137"/>
      <c r="D215" s="137"/>
      <c r="E215" s="137"/>
      <c r="F215" s="137"/>
    </row>
    <row r="216" spans="2:6" ht="27" customHeight="1" x14ac:dyDescent="0.3">
      <c r="B216" s="94" t="s">
        <v>2232</v>
      </c>
      <c r="C216" s="94"/>
      <c r="D216" s="94"/>
      <c r="E216" s="94"/>
      <c r="F216" s="94"/>
    </row>
    <row r="217" spans="2:6" ht="13.5" customHeight="1" x14ac:dyDescent="0.3">
      <c r="B217" s="94" t="s">
        <v>2233</v>
      </c>
      <c r="C217" s="94"/>
      <c r="D217" s="94"/>
      <c r="E217" s="94"/>
      <c r="F217" s="94"/>
    </row>
    <row r="218" spans="2:6" ht="13.5" customHeight="1" x14ac:dyDescent="0.3">
      <c r="B218" s="94" t="s">
        <v>2234</v>
      </c>
      <c r="C218" s="94"/>
      <c r="D218" s="94"/>
      <c r="E218" s="94"/>
      <c r="F218" s="94"/>
    </row>
    <row r="219" spans="2:6" ht="13.5" customHeight="1" x14ac:dyDescent="0.3">
      <c r="B219" s="94" t="s">
        <v>2235</v>
      </c>
      <c r="C219" s="94"/>
      <c r="D219" s="94"/>
      <c r="E219" s="94"/>
      <c r="F219" s="94"/>
    </row>
    <row r="220" spans="2:6" ht="27" customHeight="1" x14ac:dyDescent="0.3">
      <c r="B220" s="94" t="s">
        <v>2236</v>
      </c>
      <c r="C220" s="94"/>
      <c r="D220" s="94"/>
      <c r="E220" s="94"/>
      <c r="F220" s="94"/>
    </row>
    <row r="221" spans="2:6" ht="13.5" customHeight="1" x14ac:dyDescent="0.3">
      <c r="B221" s="137" t="s">
        <v>2237</v>
      </c>
      <c r="C221" s="137"/>
      <c r="D221" s="137"/>
      <c r="E221" s="137"/>
      <c r="F221" s="137"/>
    </row>
    <row r="222" spans="2:6" ht="13.5" customHeight="1" x14ac:dyDescent="0.3">
      <c r="B222" s="94" t="s">
        <v>2238</v>
      </c>
      <c r="C222" s="94"/>
      <c r="D222" s="94"/>
      <c r="E222" s="94"/>
      <c r="F222" s="94"/>
    </row>
    <row r="223" spans="2:6" ht="40.5" customHeight="1" x14ac:dyDescent="0.3">
      <c r="B223" s="94" t="s">
        <v>2239</v>
      </c>
      <c r="C223" s="94"/>
      <c r="D223" s="94"/>
      <c r="E223" s="94"/>
      <c r="F223" s="94"/>
    </row>
    <row r="224" spans="2:6" ht="13.5" customHeight="1" x14ac:dyDescent="0.3">
      <c r="B224" s="94" t="s">
        <v>2240</v>
      </c>
      <c r="C224" s="94"/>
      <c r="D224" s="94"/>
      <c r="E224" s="94"/>
      <c r="F224" s="94"/>
    </row>
    <row r="225" spans="2:6" ht="13.5" customHeight="1" x14ac:dyDescent="0.3">
      <c r="B225" s="94" t="s">
        <v>1994</v>
      </c>
      <c r="C225" s="94"/>
      <c r="D225" s="94"/>
      <c r="E225" s="94"/>
      <c r="F225" s="94"/>
    </row>
    <row r="226" spans="2:6" x14ac:dyDescent="0.3">
      <c r="B226" s="84"/>
      <c r="C226" s="84"/>
      <c r="D226" s="84"/>
      <c r="E226" s="84"/>
      <c r="F226" s="84"/>
    </row>
    <row r="227" spans="2:6" ht="13.5" customHeight="1" x14ac:dyDescent="0.3">
      <c r="B227" s="136" t="s">
        <v>2241</v>
      </c>
      <c r="C227" s="136"/>
      <c r="D227" s="136"/>
      <c r="E227" s="136"/>
      <c r="F227" s="136"/>
    </row>
    <row r="228" spans="2:6" x14ac:dyDescent="0.3">
      <c r="B228" s="87" t="s">
        <v>2242</v>
      </c>
      <c r="C228" s="87" t="s">
        <v>2243</v>
      </c>
      <c r="D228" s="87" t="s">
        <v>2244</v>
      </c>
      <c r="E228" s="87" t="s">
        <v>2245</v>
      </c>
      <c r="F228" s="87" t="s">
        <v>1997</v>
      </c>
    </row>
    <row r="229" spans="2:6" x14ac:dyDescent="0.3">
      <c r="B229" s="89" t="s">
        <v>2246</v>
      </c>
      <c r="C229" s="89" t="s">
        <v>2247</v>
      </c>
      <c r="D229" s="89" t="s">
        <v>2248</v>
      </c>
      <c r="E229" s="89" t="s">
        <v>2249</v>
      </c>
      <c r="F229" s="89" t="s">
        <v>724</v>
      </c>
    </row>
    <row r="230" spans="2:6" ht="52.8" x14ac:dyDescent="0.3">
      <c r="B230" s="89">
        <v>32</v>
      </c>
      <c r="C230" s="89" t="s">
        <v>808</v>
      </c>
      <c r="D230" s="89" t="s">
        <v>2250</v>
      </c>
      <c r="E230" s="89" t="s">
        <v>2251</v>
      </c>
      <c r="F230" s="89" t="s">
        <v>2001</v>
      </c>
    </row>
    <row r="231" spans="2:6" ht="26.4" x14ac:dyDescent="0.3">
      <c r="B231" s="89">
        <v>33</v>
      </c>
      <c r="C231" s="89" t="s">
        <v>1767</v>
      </c>
      <c r="D231" s="89" t="s">
        <v>2252</v>
      </c>
      <c r="E231" s="89" t="s">
        <v>2253</v>
      </c>
      <c r="F231" s="89" t="s">
        <v>2001</v>
      </c>
    </row>
    <row r="232" spans="2:6" x14ac:dyDescent="0.3">
      <c r="B232" s="89" t="s">
        <v>2254</v>
      </c>
      <c r="C232" s="89" t="s">
        <v>2255</v>
      </c>
      <c r="D232" s="89" t="s">
        <v>2256</v>
      </c>
      <c r="E232" s="89" t="s">
        <v>2257</v>
      </c>
      <c r="F232" s="89" t="s">
        <v>2005</v>
      </c>
    </row>
    <row r="233" spans="2:6" ht="52.8" x14ac:dyDescent="0.3">
      <c r="B233" s="89">
        <v>37</v>
      </c>
      <c r="C233" s="89" t="s">
        <v>2258</v>
      </c>
      <c r="D233" s="89" t="s">
        <v>2259</v>
      </c>
      <c r="E233" s="89" t="s">
        <v>2260</v>
      </c>
      <c r="F233" s="89" t="s">
        <v>2005</v>
      </c>
    </row>
    <row r="234" spans="2:6" x14ac:dyDescent="0.3">
      <c r="B234" s="89">
        <v>38</v>
      </c>
      <c r="C234" s="89" t="s">
        <v>2261</v>
      </c>
      <c r="D234" s="89"/>
      <c r="E234" s="89" t="s">
        <v>2262</v>
      </c>
      <c r="F234" s="89" t="s">
        <v>2001</v>
      </c>
    </row>
    <row r="235" spans="2:6" x14ac:dyDescent="0.3">
      <c r="B235" s="89">
        <v>39</v>
      </c>
      <c r="C235" s="89" t="s">
        <v>2263</v>
      </c>
      <c r="D235" s="89" t="s">
        <v>2264</v>
      </c>
      <c r="E235" s="89" t="s">
        <v>2265</v>
      </c>
      <c r="F235" s="89" t="s">
        <v>2001</v>
      </c>
    </row>
    <row r="236" spans="2:6" ht="66" x14ac:dyDescent="0.3">
      <c r="B236" s="89">
        <v>40</v>
      </c>
      <c r="C236" s="89" t="s">
        <v>2266</v>
      </c>
      <c r="D236" s="89" t="s">
        <v>2267</v>
      </c>
      <c r="E236" s="89" t="s">
        <v>2268</v>
      </c>
      <c r="F236" s="89" t="s">
        <v>2001</v>
      </c>
    </row>
    <row r="237" spans="2:6" ht="26.4" x14ac:dyDescent="0.3">
      <c r="B237" s="89">
        <v>41</v>
      </c>
      <c r="C237" s="89" t="s">
        <v>2269</v>
      </c>
      <c r="D237" s="89" t="s">
        <v>2270</v>
      </c>
      <c r="E237" s="89" t="s">
        <v>2271</v>
      </c>
      <c r="F237" s="89" t="s">
        <v>2005</v>
      </c>
    </row>
    <row r="239" spans="2:6" ht="13.5" customHeight="1" x14ac:dyDescent="0.3">
      <c r="B239" s="94" t="s">
        <v>2272</v>
      </c>
      <c r="C239" s="94"/>
      <c r="D239" s="94"/>
      <c r="E239" s="94"/>
      <c r="F239" s="94"/>
    </row>
    <row r="240" spans="2:6" ht="13.5" customHeight="1" x14ac:dyDescent="0.3">
      <c r="B240" s="94" t="s">
        <v>2273</v>
      </c>
      <c r="C240" s="94"/>
      <c r="D240" s="94"/>
      <c r="E240" s="94"/>
      <c r="F240" s="94"/>
    </row>
    <row r="241" spans="2:6" ht="13.5" customHeight="1" x14ac:dyDescent="0.3">
      <c r="B241" s="94" t="s">
        <v>2274</v>
      </c>
      <c r="C241" s="94"/>
      <c r="D241" s="94"/>
      <c r="E241" s="94"/>
      <c r="F241" s="94"/>
    </row>
    <row r="242" spans="2:6" ht="13.5" customHeight="1" x14ac:dyDescent="0.3">
      <c r="B242" s="94" t="s">
        <v>1994</v>
      </c>
      <c r="C242" s="94"/>
      <c r="D242" s="94"/>
      <c r="E242" s="94"/>
      <c r="F242" s="94"/>
    </row>
    <row r="243" spans="2:6" x14ac:dyDescent="0.3">
      <c r="B243" s="84"/>
      <c r="C243" s="84"/>
      <c r="D243" s="84"/>
      <c r="E243" s="84"/>
      <c r="F243" s="84"/>
    </row>
    <row r="244" spans="2:6" ht="13.5" customHeight="1" x14ac:dyDescent="0.3">
      <c r="B244" s="136" t="s">
        <v>2275</v>
      </c>
      <c r="C244" s="136"/>
      <c r="D244" s="136"/>
      <c r="E244" s="136"/>
      <c r="F244" s="136"/>
    </row>
    <row r="245" spans="2:6" ht="13.5" customHeight="1" x14ac:dyDescent="0.3">
      <c r="B245" s="94" t="s">
        <v>2276</v>
      </c>
      <c r="C245" s="94"/>
      <c r="D245" s="94"/>
      <c r="E245" s="94"/>
      <c r="F245" s="94"/>
    </row>
    <row r="246" spans="2:6" x14ac:dyDescent="0.3">
      <c r="B246" s="87" t="s">
        <v>911</v>
      </c>
      <c r="C246" s="87" t="s">
        <v>821</v>
      </c>
    </row>
    <row r="247" spans="2:6" ht="26.4" x14ac:dyDescent="0.3">
      <c r="B247" s="89" t="s">
        <v>912</v>
      </c>
      <c r="C247" s="89" t="s">
        <v>867</v>
      </c>
    </row>
    <row r="248" spans="2:6" ht="26.4" x14ac:dyDescent="0.3">
      <c r="B248" s="89" t="s">
        <v>2277</v>
      </c>
      <c r="C248" s="89" t="s">
        <v>818</v>
      </c>
    </row>
    <row r="249" spans="2:6" x14ac:dyDescent="0.3">
      <c r="B249" s="89" t="s">
        <v>913</v>
      </c>
      <c r="C249" s="89" t="s">
        <v>818</v>
      </c>
    </row>
    <row r="250" spans="2:6" x14ac:dyDescent="0.3">
      <c r="B250" s="89" t="s">
        <v>914</v>
      </c>
      <c r="C250" s="89" t="s">
        <v>866</v>
      </c>
    </row>
    <row r="251" spans="2:6" x14ac:dyDescent="0.3">
      <c r="B251" s="89" t="s">
        <v>2278</v>
      </c>
      <c r="C251" s="89" t="s">
        <v>865</v>
      </c>
    </row>
    <row r="253" spans="2:6" ht="13.5" customHeight="1" x14ac:dyDescent="0.3">
      <c r="B253" s="94" t="s">
        <v>2174</v>
      </c>
      <c r="C253" s="94"/>
      <c r="D253" s="94"/>
      <c r="E253" s="94"/>
      <c r="F253" s="94"/>
    </row>
    <row r="254" spans="2:6" ht="27" customHeight="1" x14ac:dyDescent="0.3">
      <c r="B254" s="94" t="s">
        <v>2279</v>
      </c>
      <c r="C254" s="94"/>
      <c r="D254" s="94"/>
      <c r="E254" s="94"/>
      <c r="F254" s="94"/>
    </row>
    <row r="255" spans="2:6" ht="27" customHeight="1" x14ac:dyDescent="0.3">
      <c r="B255" s="94" t="s">
        <v>2280</v>
      </c>
      <c r="C255" s="94"/>
      <c r="D255" s="94"/>
      <c r="E255" s="94"/>
      <c r="F255" s="94"/>
    </row>
    <row r="256" spans="2:6" ht="13.5" customHeight="1" x14ac:dyDescent="0.3">
      <c r="B256" s="94" t="s">
        <v>2281</v>
      </c>
      <c r="C256" s="94"/>
      <c r="D256" s="94"/>
      <c r="E256" s="94"/>
      <c r="F256" s="94"/>
    </row>
    <row r="257" spans="2:6" ht="13.5" customHeight="1" x14ac:dyDescent="0.3">
      <c r="B257" s="94" t="s">
        <v>2282</v>
      </c>
      <c r="C257" s="94"/>
      <c r="D257" s="94"/>
      <c r="E257" s="94"/>
      <c r="F257" s="94"/>
    </row>
    <row r="258" spans="2:6" ht="40.5" customHeight="1" x14ac:dyDescent="0.3">
      <c r="B258" s="94" t="s">
        <v>2283</v>
      </c>
      <c r="C258" s="94"/>
      <c r="D258" s="94"/>
      <c r="E258" s="94"/>
      <c r="F258" s="94"/>
    </row>
    <row r="259" spans="2:6" ht="13.5" customHeight="1" x14ac:dyDescent="0.3">
      <c r="B259" s="94" t="s">
        <v>2284</v>
      </c>
      <c r="C259" s="94"/>
      <c r="D259" s="94"/>
      <c r="E259" s="94"/>
      <c r="F259" s="94"/>
    </row>
    <row r="260" spans="2:6" ht="13.5" customHeight="1" x14ac:dyDescent="0.3">
      <c r="B260" s="94" t="s">
        <v>2285</v>
      </c>
      <c r="C260" s="94"/>
      <c r="D260" s="94"/>
      <c r="E260" s="94"/>
      <c r="F260" s="94"/>
    </row>
    <row r="261" spans="2:6" ht="13.5" customHeight="1" x14ac:dyDescent="0.3">
      <c r="B261" s="94" t="s">
        <v>2286</v>
      </c>
      <c r="C261" s="94"/>
      <c r="D261" s="94"/>
      <c r="E261" s="94"/>
      <c r="F261" s="94"/>
    </row>
    <row r="262" spans="2:6" ht="13.5" customHeight="1" x14ac:dyDescent="0.3">
      <c r="B262" s="94" t="s">
        <v>2287</v>
      </c>
      <c r="C262" s="94"/>
      <c r="D262" s="94"/>
      <c r="E262" s="94"/>
      <c r="F262" s="94"/>
    </row>
    <row r="263" spans="2:6" ht="13.5" customHeight="1" x14ac:dyDescent="0.3">
      <c r="B263" s="94" t="s">
        <v>2288</v>
      </c>
      <c r="C263" s="94"/>
      <c r="D263" s="94"/>
      <c r="E263" s="94"/>
      <c r="F263" s="94"/>
    </row>
    <row r="264" spans="2:6" ht="27" customHeight="1" x14ac:dyDescent="0.3">
      <c r="B264" s="94" t="s">
        <v>2289</v>
      </c>
      <c r="C264" s="94"/>
      <c r="D264" s="94"/>
      <c r="E264" s="94"/>
      <c r="F264" s="94"/>
    </row>
    <row r="265" spans="2:6" ht="13.5" customHeight="1" x14ac:dyDescent="0.3">
      <c r="B265" s="94" t="s">
        <v>1994</v>
      </c>
      <c r="C265" s="94"/>
      <c r="D265" s="94"/>
      <c r="E265" s="94"/>
      <c r="F265" s="94"/>
    </row>
    <row r="266" spans="2:6" x14ac:dyDescent="0.3">
      <c r="B266" s="84"/>
      <c r="C266" s="84"/>
      <c r="D266" s="84"/>
      <c r="E266" s="84"/>
      <c r="F266" s="84"/>
    </row>
    <row r="267" spans="2:6" ht="13.5" customHeight="1" x14ac:dyDescent="0.3">
      <c r="B267" s="136" t="s">
        <v>2290</v>
      </c>
      <c r="C267" s="136"/>
      <c r="D267" s="136"/>
      <c r="E267" s="136"/>
      <c r="F267" s="136"/>
    </row>
    <row r="268" spans="2:6" ht="27" customHeight="1" x14ac:dyDescent="0.3">
      <c r="B268" s="94" t="s">
        <v>2291</v>
      </c>
      <c r="C268" s="94"/>
      <c r="D268" s="94"/>
      <c r="E268" s="94"/>
      <c r="F268" s="94"/>
    </row>
    <row r="269" spans="2:6" ht="13.5" customHeight="1" x14ac:dyDescent="0.3">
      <c r="B269" s="94" t="s">
        <v>2292</v>
      </c>
      <c r="C269" s="94"/>
      <c r="D269" s="94"/>
      <c r="E269" s="94"/>
      <c r="F269" s="94"/>
    </row>
    <row r="270" spans="2:6" ht="40.5" customHeight="1" x14ac:dyDescent="0.3">
      <c r="B270" s="94" t="s">
        <v>2293</v>
      </c>
      <c r="C270" s="94"/>
      <c r="D270" s="94"/>
      <c r="E270" s="94"/>
      <c r="F270" s="94"/>
    </row>
    <row r="271" spans="2:6" ht="13.5" customHeight="1" x14ac:dyDescent="0.3">
      <c r="B271" s="94" t="s">
        <v>2294</v>
      </c>
      <c r="C271" s="94"/>
      <c r="D271" s="94"/>
      <c r="E271" s="94"/>
      <c r="F271" s="94"/>
    </row>
    <row r="272" spans="2:6" ht="13.5" customHeight="1" x14ac:dyDescent="0.3">
      <c r="B272" s="94" t="s">
        <v>1994</v>
      </c>
      <c r="C272" s="94"/>
      <c r="D272" s="94"/>
      <c r="E272" s="94"/>
      <c r="F272" s="94"/>
    </row>
    <row r="273" spans="2:6" x14ac:dyDescent="0.3">
      <c r="B273" s="84"/>
      <c r="C273" s="84"/>
      <c r="D273" s="84"/>
      <c r="E273" s="84"/>
      <c r="F273" s="84"/>
    </row>
    <row r="274" spans="2:6" ht="13.5" customHeight="1" x14ac:dyDescent="0.3">
      <c r="B274" s="136" t="s">
        <v>2295</v>
      </c>
      <c r="C274" s="136"/>
      <c r="D274" s="136"/>
      <c r="E274" s="136"/>
      <c r="F274" s="136"/>
    </row>
    <row r="275" spans="2:6" ht="27" customHeight="1" x14ac:dyDescent="0.3">
      <c r="B275" s="94" t="s">
        <v>2296</v>
      </c>
      <c r="C275" s="94"/>
      <c r="D275" s="94"/>
      <c r="E275" s="94"/>
      <c r="F275" s="94"/>
    </row>
    <row r="276" spans="2:6" ht="13.5" customHeight="1" x14ac:dyDescent="0.3">
      <c r="B276" s="94" t="s">
        <v>2297</v>
      </c>
      <c r="C276" s="94"/>
      <c r="D276" s="94"/>
      <c r="E276" s="94"/>
      <c r="F276" s="94"/>
    </row>
    <row r="277" spans="2:6" ht="13.5" customHeight="1" x14ac:dyDescent="0.3">
      <c r="B277" s="94" t="s">
        <v>1994</v>
      </c>
      <c r="C277" s="94"/>
      <c r="D277" s="94"/>
      <c r="E277" s="94"/>
      <c r="F277" s="94"/>
    </row>
    <row r="278" spans="2:6" x14ac:dyDescent="0.3">
      <c r="B278" s="84"/>
      <c r="C278" s="84"/>
      <c r="D278" s="84"/>
      <c r="E278" s="84"/>
      <c r="F278" s="84"/>
    </row>
    <row r="279" spans="2:6" ht="13.5" customHeight="1" x14ac:dyDescent="0.3">
      <c r="B279" s="136" t="s">
        <v>2298</v>
      </c>
      <c r="C279" s="136"/>
      <c r="D279" s="136"/>
      <c r="E279" s="136"/>
      <c r="F279" s="136"/>
    </row>
    <row r="280" spans="2:6" ht="27" customHeight="1" x14ac:dyDescent="0.3">
      <c r="B280" s="94" t="s">
        <v>2299</v>
      </c>
      <c r="C280" s="94"/>
      <c r="D280" s="94"/>
      <c r="E280" s="94"/>
      <c r="F280" s="94"/>
    </row>
    <row r="281" spans="2:6" ht="13.5" customHeight="1" x14ac:dyDescent="0.3">
      <c r="B281" s="94" t="s">
        <v>2300</v>
      </c>
      <c r="C281" s="94"/>
      <c r="D281" s="94"/>
      <c r="E281" s="94"/>
      <c r="F281" s="94"/>
    </row>
    <row r="282" spans="2:6" ht="13.5" customHeight="1" x14ac:dyDescent="0.3">
      <c r="B282" s="94" t="s">
        <v>1994</v>
      </c>
      <c r="C282" s="94"/>
      <c r="D282" s="94"/>
      <c r="E282" s="94"/>
      <c r="F282" s="94"/>
    </row>
    <row r="283" spans="2:6" x14ac:dyDescent="0.3">
      <c r="B283" s="84"/>
      <c r="C283" s="84"/>
      <c r="D283" s="84"/>
      <c r="E283" s="84"/>
      <c r="F283" s="84"/>
    </row>
    <row r="284" spans="2:6" ht="13.5" customHeight="1" x14ac:dyDescent="0.3">
      <c r="B284" s="136" t="s">
        <v>2301</v>
      </c>
      <c r="C284" s="136"/>
      <c r="D284" s="136"/>
      <c r="E284" s="136"/>
      <c r="F284" s="136"/>
    </row>
    <row r="285" spans="2:6" ht="27" customHeight="1" x14ac:dyDescent="0.3">
      <c r="B285" s="94" t="s">
        <v>2302</v>
      </c>
      <c r="C285" s="94"/>
      <c r="D285" s="94"/>
      <c r="E285" s="94"/>
      <c r="F285" s="94"/>
    </row>
    <row r="286" spans="2:6" x14ac:dyDescent="0.3">
      <c r="B286" s="87" t="s">
        <v>2303</v>
      </c>
      <c r="C286" s="87" t="s">
        <v>1996</v>
      </c>
      <c r="D286" s="87" t="s">
        <v>2304</v>
      </c>
      <c r="E286" s="87" t="s">
        <v>2305</v>
      </c>
    </row>
    <row r="287" spans="2:6" x14ac:dyDescent="0.3">
      <c r="B287" s="89" t="s">
        <v>5</v>
      </c>
      <c r="C287" s="89" t="s">
        <v>2306</v>
      </c>
      <c r="D287" s="89" t="s">
        <v>2307</v>
      </c>
      <c r="E287" s="89" t="s">
        <v>2308</v>
      </c>
    </row>
    <row r="288" spans="2:6" x14ac:dyDescent="0.3">
      <c r="B288" s="89" t="s">
        <v>2309</v>
      </c>
      <c r="C288" s="89" t="s">
        <v>2310</v>
      </c>
      <c r="D288" s="89" t="s">
        <v>2311</v>
      </c>
      <c r="E288" s="89" t="s">
        <v>2312</v>
      </c>
    </row>
    <row r="289" spans="2:6" x14ac:dyDescent="0.3">
      <c r="B289" s="89" t="s">
        <v>2313</v>
      </c>
      <c r="C289" s="89" t="s">
        <v>2314</v>
      </c>
      <c r="D289" s="89" t="s">
        <v>2315</v>
      </c>
      <c r="E289" s="89" t="s">
        <v>2316</v>
      </c>
    </row>
    <row r="290" spans="2:6" ht="26.4" x14ac:dyDescent="0.3">
      <c r="B290" s="89" t="s">
        <v>2317</v>
      </c>
      <c r="C290" s="89" t="s">
        <v>2318</v>
      </c>
      <c r="D290" s="89" t="s">
        <v>2319</v>
      </c>
      <c r="E290" s="89" t="s">
        <v>2320</v>
      </c>
    </row>
    <row r="291" spans="2:6" ht="26.4" x14ac:dyDescent="0.3">
      <c r="B291" s="89" t="s">
        <v>2321</v>
      </c>
      <c r="C291" s="89" t="s">
        <v>2322</v>
      </c>
      <c r="D291" s="89" t="s">
        <v>2323</v>
      </c>
      <c r="E291" s="89" t="s">
        <v>2324</v>
      </c>
    </row>
    <row r="292" spans="2:6" x14ac:dyDescent="0.3">
      <c r="B292" s="89" t="s">
        <v>2325</v>
      </c>
      <c r="C292" s="89" t="s">
        <v>2326</v>
      </c>
      <c r="D292" s="89" t="s">
        <v>2327</v>
      </c>
      <c r="E292" s="89" t="s">
        <v>2328</v>
      </c>
    </row>
    <row r="293" spans="2:6" x14ac:dyDescent="0.3">
      <c r="B293" s="89" t="s">
        <v>2329</v>
      </c>
      <c r="C293" s="89" t="s">
        <v>2330</v>
      </c>
      <c r="D293" s="89" t="s">
        <v>724</v>
      </c>
      <c r="E293" s="89" t="s">
        <v>2331</v>
      </c>
    </row>
    <row r="295" spans="2:6" ht="13.5" customHeight="1" x14ac:dyDescent="0.3">
      <c r="B295" s="94" t="s">
        <v>2332</v>
      </c>
      <c r="C295" s="94"/>
      <c r="D295" s="94"/>
      <c r="E295" s="94"/>
      <c r="F295" s="94"/>
    </row>
    <row r="296" spans="2:6" ht="27" customHeight="1" x14ac:dyDescent="0.3">
      <c r="B296" s="94" t="s">
        <v>2333</v>
      </c>
      <c r="C296" s="94"/>
      <c r="D296" s="94"/>
      <c r="E296" s="94"/>
      <c r="F296" s="94"/>
    </row>
    <row r="297" spans="2:6" ht="27" customHeight="1" x14ac:dyDescent="0.3">
      <c r="B297" s="94" t="s">
        <v>2334</v>
      </c>
      <c r="C297" s="94"/>
      <c r="D297" s="94"/>
      <c r="E297" s="94"/>
      <c r="F297" s="94"/>
    </row>
    <row r="298" spans="2:6" ht="27" customHeight="1" x14ac:dyDescent="0.3">
      <c r="B298" s="94" t="s">
        <v>2335</v>
      </c>
      <c r="C298" s="94"/>
      <c r="D298" s="94"/>
      <c r="E298" s="94"/>
      <c r="F298" s="94"/>
    </row>
    <row r="299" spans="2:6" ht="40.5" customHeight="1" x14ac:dyDescent="0.3">
      <c r="B299" s="96" t="s">
        <v>2336</v>
      </c>
      <c r="C299" s="96"/>
      <c r="D299" s="96"/>
      <c r="E299" s="96"/>
      <c r="F299" s="96"/>
    </row>
    <row r="300" spans="2:6" ht="13.5" customHeight="1" x14ac:dyDescent="0.3">
      <c r="B300" s="94" t="s">
        <v>1994</v>
      </c>
      <c r="C300" s="94"/>
      <c r="D300" s="94"/>
      <c r="E300" s="94"/>
      <c r="F300" s="94"/>
    </row>
    <row r="301" spans="2:6" x14ac:dyDescent="0.3">
      <c r="B301" s="84"/>
      <c r="C301" s="84"/>
      <c r="D301" s="84"/>
      <c r="E301" s="84"/>
      <c r="F301" s="84"/>
    </row>
    <row r="302" spans="2:6" ht="13.5" customHeight="1" x14ac:dyDescent="0.3">
      <c r="B302" s="136" t="s">
        <v>2337</v>
      </c>
      <c r="C302" s="136"/>
      <c r="D302" s="136"/>
      <c r="E302" s="136"/>
      <c r="F302" s="136"/>
    </row>
    <row r="303" spans="2:6" ht="13.5" customHeight="1" x14ac:dyDescent="0.3">
      <c r="B303" s="94" t="s">
        <v>2338</v>
      </c>
      <c r="C303" s="94"/>
      <c r="D303" s="94"/>
      <c r="E303" s="94"/>
      <c r="F303" s="94"/>
    </row>
    <row r="304" spans="2:6" ht="13.5" customHeight="1" x14ac:dyDescent="0.3">
      <c r="B304" s="94" t="s">
        <v>2339</v>
      </c>
      <c r="C304" s="94"/>
      <c r="D304" s="94"/>
      <c r="E304" s="94"/>
      <c r="F304" s="94"/>
    </row>
    <row r="305" spans="2:6" ht="13.5" customHeight="1" x14ac:dyDescent="0.3">
      <c r="B305" s="94" t="s">
        <v>2340</v>
      </c>
      <c r="C305" s="94"/>
      <c r="D305" s="94"/>
      <c r="E305" s="94"/>
      <c r="F305" s="94"/>
    </row>
    <row r="306" spans="2:6" ht="13.5" customHeight="1" x14ac:dyDescent="0.3">
      <c r="B306" s="94" t="s">
        <v>2341</v>
      </c>
      <c r="C306" s="94"/>
      <c r="D306" s="94"/>
      <c r="E306" s="94"/>
      <c r="F306" s="94"/>
    </row>
    <row r="307" spans="2:6" ht="13.5" customHeight="1" x14ac:dyDescent="0.3">
      <c r="B307" s="94" t="s">
        <v>2342</v>
      </c>
      <c r="C307" s="94"/>
      <c r="D307" s="94"/>
      <c r="E307" s="94"/>
      <c r="F307" s="94"/>
    </row>
    <row r="308" spans="2:6" ht="13.5" customHeight="1" x14ac:dyDescent="0.3">
      <c r="B308" s="94" t="s">
        <v>2343</v>
      </c>
      <c r="C308" s="94"/>
      <c r="D308" s="94"/>
      <c r="E308" s="94"/>
      <c r="F308" s="94"/>
    </row>
    <row r="309" spans="2:6" ht="13.5" customHeight="1" x14ac:dyDescent="0.3">
      <c r="B309" s="94" t="s">
        <v>1994</v>
      </c>
      <c r="C309" s="94"/>
      <c r="D309" s="94"/>
      <c r="E309" s="94"/>
      <c r="F309" s="94"/>
    </row>
    <row r="310" spans="2:6" x14ac:dyDescent="0.3">
      <c r="B310" s="84"/>
      <c r="C310" s="84"/>
      <c r="D310" s="84"/>
      <c r="E310" s="84"/>
      <c r="F310" s="84"/>
    </row>
    <row r="311" spans="2:6" ht="13.5" customHeight="1" x14ac:dyDescent="0.3">
      <c r="B311" s="136" t="s">
        <v>2344</v>
      </c>
      <c r="C311" s="136"/>
      <c r="D311" s="136"/>
      <c r="E311" s="136"/>
      <c r="F311" s="136"/>
    </row>
    <row r="312" spans="2:6" ht="27" customHeight="1" x14ac:dyDescent="0.3">
      <c r="B312" s="94" t="s">
        <v>2345</v>
      </c>
      <c r="C312" s="94"/>
      <c r="D312" s="94"/>
      <c r="E312" s="94"/>
      <c r="F312" s="94"/>
    </row>
    <row r="313" spans="2:6" x14ac:dyDescent="0.3">
      <c r="B313" s="87" t="s">
        <v>1996</v>
      </c>
      <c r="C313" s="87" t="s">
        <v>945</v>
      </c>
      <c r="D313" s="87" t="s">
        <v>2346</v>
      </c>
    </row>
    <row r="314" spans="2:6" ht="26.4" x14ac:dyDescent="0.3">
      <c r="B314" s="89" t="s">
        <v>2347</v>
      </c>
      <c r="C314" s="89" t="s">
        <v>2348</v>
      </c>
      <c r="D314" s="89" t="s">
        <v>2349</v>
      </c>
    </row>
    <row r="315" spans="2:6" ht="52.8" x14ac:dyDescent="0.3">
      <c r="B315" s="89" t="s">
        <v>2350</v>
      </c>
      <c r="C315" s="89">
        <v>1</v>
      </c>
      <c r="D315" s="89" t="s">
        <v>2351</v>
      </c>
    </row>
    <row r="316" spans="2:6" ht="52.8" x14ac:dyDescent="0.3">
      <c r="B316" s="89" t="s">
        <v>2036</v>
      </c>
      <c r="C316" s="89" t="s">
        <v>2352</v>
      </c>
      <c r="D316" s="89" t="s">
        <v>2353</v>
      </c>
    </row>
    <row r="317" spans="2:6" ht="39.6" x14ac:dyDescent="0.3">
      <c r="B317" s="89" t="s">
        <v>2354</v>
      </c>
      <c r="C317" s="89" t="s">
        <v>2355</v>
      </c>
      <c r="D317" s="89" t="s">
        <v>2356</v>
      </c>
    </row>
    <row r="318" spans="2:6" ht="39.6" x14ac:dyDescent="0.3">
      <c r="B318" s="89" t="s">
        <v>2357</v>
      </c>
      <c r="C318" s="89" t="s">
        <v>2358</v>
      </c>
      <c r="D318" s="89" t="s">
        <v>2359</v>
      </c>
    </row>
    <row r="319" spans="2:6" ht="26.4" x14ac:dyDescent="0.3">
      <c r="B319" s="89" t="s">
        <v>2360</v>
      </c>
      <c r="C319" s="89" t="s">
        <v>488</v>
      </c>
      <c r="D319" s="89" t="s">
        <v>2361</v>
      </c>
    </row>
    <row r="320" spans="2:6" ht="39.6" x14ac:dyDescent="0.3">
      <c r="B320" s="89" t="s">
        <v>2362</v>
      </c>
      <c r="C320" s="89" t="s">
        <v>2363</v>
      </c>
      <c r="D320" s="89" t="s">
        <v>2364</v>
      </c>
    </row>
    <row r="321" spans="2:6" ht="52.8" x14ac:dyDescent="0.3">
      <c r="B321" s="89" t="s">
        <v>2365</v>
      </c>
      <c r="C321" s="89" t="s">
        <v>2366</v>
      </c>
      <c r="D321" s="89" t="s">
        <v>2367</v>
      </c>
    </row>
    <row r="323" spans="2:6" ht="40.5" customHeight="1" x14ac:dyDescent="0.3">
      <c r="B323" s="94" t="s">
        <v>2368</v>
      </c>
      <c r="C323" s="94"/>
      <c r="D323" s="94"/>
      <c r="E323" s="94"/>
      <c r="F323" s="94"/>
    </row>
    <row r="324" spans="2:6" ht="40.5" customHeight="1" x14ac:dyDescent="0.3">
      <c r="B324" s="94" t="s">
        <v>2369</v>
      </c>
      <c r="C324" s="94"/>
      <c r="D324" s="94"/>
      <c r="E324" s="94"/>
      <c r="F324" s="94"/>
    </row>
    <row r="325" spans="2:6" ht="40.5" customHeight="1" x14ac:dyDescent="0.3">
      <c r="B325" s="94" t="s">
        <v>2370</v>
      </c>
      <c r="C325" s="94"/>
      <c r="D325" s="94"/>
      <c r="E325" s="94"/>
      <c r="F325" s="94"/>
    </row>
    <row r="326" spans="2:6" x14ac:dyDescent="0.3">
      <c r="B326" s="84"/>
      <c r="C326" s="84"/>
      <c r="D326" s="84"/>
      <c r="E326" s="84"/>
      <c r="F326" s="84"/>
    </row>
    <row r="327" spans="2:6" ht="13.5" customHeight="1" x14ac:dyDescent="0.3">
      <c r="B327" s="136" t="s">
        <v>2371</v>
      </c>
      <c r="C327" s="136"/>
      <c r="D327" s="136"/>
      <c r="E327" s="136"/>
      <c r="F327" s="136"/>
    </row>
    <row r="328" spans="2:6" ht="27" customHeight="1" x14ac:dyDescent="0.3">
      <c r="B328" s="94" t="s">
        <v>2372</v>
      </c>
      <c r="C328" s="94"/>
      <c r="D328" s="94"/>
      <c r="E328" s="94"/>
      <c r="F328" s="94"/>
    </row>
    <row r="329" spans="2:6" ht="27" customHeight="1" x14ac:dyDescent="0.3">
      <c r="B329" s="94" t="s">
        <v>2373</v>
      </c>
      <c r="C329" s="94"/>
      <c r="D329" s="94"/>
      <c r="E329" s="94"/>
      <c r="F329" s="94"/>
    </row>
    <row r="330" spans="2:6" ht="27" customHeight="1" x14ac:dyDescent="0.3">
      <c r="B330" s="94" t="s">
        <v>2374</v>
      </c>
      <c r="C330" s="94"/>
      <c r="D330" s="94"/>
      <c r="E330" s="94"/>
      <c r="F330" s="94"/>
    </row>
    <row r="331" spans="2:6" ht="13.5" customHeight="1" x14ac:dyDescent="0.3">
      <c r="B331" s="94" t="s">
        <v>2375</v>
      </c>
      <c r="C331" s="94"/>
      <c r="D331" s="94"/>
      <c r="E331" s="94"/>
      <c r="F331" s="94"/>
    </row>
    <row r="332" spans="2:6" ht="13.5" customHeight="1" x14ac:dyDescent="0.3">
      <c r="B332" s="94" t="s">
        <v>2376</v>
      </c>
      <c r="C332" s="94"/>
      <c r="D332" s="94"/>
      <c r="E332" s="94"/>
      <c r="F332" s="94"/>
    </row>
    <row r="333" spans="2:6" ht="27" customHeight="1" x14ac:dyDescent="0.3">
      <c r="B333" s="94" t="s">
        <v>2377</v>
      </c>
      <c r="C333" s="94"/>
      <c r="D333" s="94"/>
      <c r="E333" s="94"/>
      <c r="F333" s="94"/>
    </row>
    <row r="334" spans="2:6" ht="27" customHeight="1" x14ac:dyDescent="0.3">
      <c r="B334" s="94" t="s">
        <v>2378</v>
      </c>
      <c r="C334" s="94"/>
      <c r="D334" s="94"/>
      <c r="E334" s="94"/>
      <c r="F334" s="94"/>
    </row>
  </sheetData>
  <mergeCells count="226">
    <mergeCell ref="B331:F331"/>
    <mergeCell ref="B332:F332"/>
    <mergeCell ref="B333:F333"/>
    <mergeCell ref="B334:F334"/>
    <mergeCell ref="B325:F325"/>
    <mergeCell ref="B327:F327"/>
    <mergeCell ref="B328:F328"/>
    <mergeCell ref="B329:F329"/>
    <mergeCell ref="B330:F330"/>
    <mergeCell ref="B309:F309"/>
    <mergeCell ref="B311:F311"/>
    <mergeCell ref="B312:F312"/>
    <mergeCell ref="B323:F323"/>
    <mergeCell ref="B324:F324"/>
    <mergeCell ref="B303:F303"/>
    <mergeCell ref="B304:F304"/>
    <mergeCell ref="B305:F305"/>
    <mergeCell ref="B306:F306"/>
    <mergeCell ref="B307:F307"/>
    <mergeCell ref="B308:F308"/>
    <mergeCell ref="B297:F297"/>
    <mergeCell ref="B298:F298"/>
    <mergeCell ref="B299:F299"/>
    <mergeCell ref="B300:F300"/>
    <mergeCell ref="B302:F302"/>
    <mergeCell ref="B282:F282"/>
    <mergeCell ref="B284:F284"/>
    <mergeCell ref="B285:F285"/>
    <mergeCell ref="B295:F295"/>
    <mergeCell ref="B296:F296"/>
    <mergeCell ref="B276:F276"/>
    <mergeCell ref="B277:F277"/>
    <mergeCell ref="B279:F279"/>
    <mergeCell ref="B280:F280"/>
    <mergeCell ref="B281:F281"/>
    <mergeCell ref="B270:F270"/>
    <mergeCell ref="B271:F271"/>
    <mergeCell ref="B272:F272"/>
    <mergeCell ref="B274:F274"/>
    <mergeCell ref="B275:F275"/>
    <mergeCell ref="B264:F264"/>
    <mergeCell ref="B265:F265"/>
    <mergeCell ref="B267:F267"/>
    <mergeCell ref="B268:F268"/>
    <mergeCell ref="B269:F269"/>
    <mergeCell ref="B258:F258"/>
    <mergeCell ref="B259:F259"/>
    <mergeCell ref="B260:F260"/>
    <mergeCell ref="B261:F261"/>
    <mergeCell ref="B262:F262"/>
    <mergeCell ref="B263:F263"/>
    <mergeCell ref="B245:F245"/>
    <mergeCell ref="B253:F253"/>
    <mergeCell ref="B254:F254"/>
    <mergeCell ref="B255:F255"/>
    <mergeCell ref="B256:F256"/>
    <mergeCell ref="B257:F257"/>
    <mergeCell ref="B239:F239"/>
    <mergeCell ref="B240:F240"/>
    <mergeCell ref="B241:F241"/>
    <mergeCell ref="B242:F242"/>
    <mergeCell ref="B244:F244"/>
    <mergeCell ref="B222:F222"/>
    <mergeCell ref="B223:F223"/>
    <mergeCell ref="B224:F224"/>
    <mergeCell ref="B225:F225"/>
    <mergeCell ref="B227:F227"/>
    <mergeCell ref="B216:F216"/>
    <mergeCell ref="B217:F217"/>
    <mergeCell ref="B218:F218"/>
    <mergeCell ref="B219:F219"/>
    <mergeCell ref="B220:F220"/>
    <mergeCell ref="B221:F221"/>
    <mergeCell ref="B210:F210"/>
    <mergeCell ref="B211:F211"/>
    <mergeCell ref="B212:F212"/>
    <mergeCell ref="B213:F213"/>
    <mergeCell ref="B214:F214"/>
    <mergeCell ref="B215:F215"/>
    <mergeCell ref="B204:F204"/>
    <mergeCell ref="B205:F205"/>
    <mergeCell ref="B206:F206"/>
    <mergeCell ref="B207:F207"/>
    <mergeCell ref="B208:F208"/>
    <mergeCell ref="B209:F209"/>
    <mergeCell ref="B198:F198"/>
    <mergeCell ref="B199:F199"/>
    <mergeCell ref="B200:F200"/>
    <mergeCell ref="B201:F201"/>
    <mergeCell ref="B202:F202"/>
    <mergeCell ref="B203:F203"/>
    <mergeCell ref="B182:F182"/>
    <mergeCell ref="B183:F183"/>
    <mergeCell ref="B191:F191"/>
    <mergeCell ref="B192:F192"/>
    <mergeCell ref="B193:F193"/>
    <mergeCell ref="B197:F197"/>
    <mergeCell ref="B176:F176"/>
    <mergeCell ref="B177:F177"/>
    <mergeCell ref="B178:F178"/>
    <mergeCell ref="B179:F179"/>
    <mergeCell ref="B180:F180"/>
    <mergeCell ref="B170:F170"/>
    <mergeCell ref="B171:F171"/>
    <mergeCell ref="B172:F172"/>
    <mergeCell ref="B173:F173"/>
    <mergeCell ref="B174:F174"/>
    <mergeCell ref="B175:F175"/>
    <mergeCell ref="B164:F164"/>
    <mergeCell ref="B165:F165"/>
    <mergeCell ref="B166:F166"/>
    <mergeCell ref="B167:F167"/>
    <mergeCell ref="B168:F168"/>
    <mergeCell ref="B169:F169"/>
    <mergeCell ref="B158:F158"/>
    <mergeCell ref="B159:F159"/>
    <mergeCell ref="B160:F160"/>
    <mergeCell ref="B161:F161"/>
    <mergeCell ref="B162:F162"/>
    <mergeCell ref="B163:F163"/>
    <mergeCell ref="B152:F152"/>
    <mergeCell ref="B153:F153"/>
    <mergeCell ref="B154:F154"/>
    <mergeCell ref="B155:F155"/>
    <mergeCell ref="B156:F156"/>
    <mergeCell ref="B157:F157"/>
    <mergeCell ref="B146:F146"/>
    <mergeCell ref="B147:F147"/>
    <mergeCell ref="B149:F149"/>
    <mergeCell ref="B150:F150"/>
    <mergeCell ref="B151:F151"/>
    <mergeCell ref="B140:F140"/>
    <mergeCell ref="B141:F141"/>
    <mergeCell ref="B142:F142"/>
    <mergeCell ref="B143:F143"/>
    <mergeCell ref="B144:F144"/>
    <mergeCell ref="B145:F145"/>
    <mergeCell ref="B134:F134"/>
    <mergeCell ref="B135:F135"/>
    <mergeCell ref="B136:F136"/>
    <mergeCell ref="B137:F137"/>
    <mergeCell ref="B138:F138"/>
    <mergeCell ref="B139:F139"/>
    <mergeCell ref="B128:F128"/>
    <mergeCell ref="B129:F129"/>
    <mergeCell ref="B130:F130"/>
    <mergeCell ref="B131:F131"/>
    <mergeCell ref="B132:F132"/>
    <mergeCell ref="B122:F122"/>
    <mergeCell ref="B123:F123"/>
    <mergeCell ref="B125:F125"/>
    <mergeCell ref="B126:F126"/>
    <mergeCell ref="B127:F127"/>
    <mergeCell ref="B116:F116"/>
    <mergeCell ref="B117:F117"/>
    <mergeCell ref="B118:F118"/>
    <mergeCell ref="B119:F119"/>
    <mergeCell ref="B120:F120"/>
    <mergeCell ref="B121:F121"/>
    <mergeCell ref="B110:F110"/>
    <mergeCell ref="B111:F111"/>
    <mergeCell ref="B112:F112"/>
    <mergeCell ref="B113:F113"/>
    <mergeCell ref="B114:F114"/>
    <mergeCell ref="B115:F115"/>
    <mergeCell ref="B104:F104"/>
    <mergeCell ref="B105:F105"/>
    <mergeCell ref="B106:F106"/>
    <mergeCell ref="B108:F108"/>
    <mergeCell ref="B109:F109"/>
    <mergeCell ref="B98:F98"/>
    <mergeCell ref="B99:F99"/>
    <mergeCell ref="B100:F100"/>
    <mergeCell ref="B101:F101"/>
    <mergeCell ref="B102:F102"/>
    <mergeCell ref="B103:F103"/>
    <mergeCell ref="B92:F92"/>
    <mergeCell ref="B93:F93"/>
    <mergeCell ref="B94:F94"/>
    <mergeCell ref="B95:F95"/>
    <mergeCell ref="B96:F96"/>
    <mergeCell ref="B97:F97"/>
    <mergeCell ref="B86:F86"/>
    <mergeCell ref="B87:F87"/>
    <mergeCell ref="B88:F88"/>
    <mergeCell ref="B89:F89"/>
    <mergeCell ref="B90:F90"/>
    <mergeCell ref="B91:F91"/>
    <mergeCell ref="B81:F81"/>
    <mergeCell ref="B82:F82"/>
    <mergeCell ref="B83:F83"/>
    <mergeCell ref="B84:F84"/>
    <mergeCell ref="B85:F85"/>
    <mergeCell ref="B74:F74"/>
    <mergeCell ref="B75:F75"/>
    <mergeCell ref="B76:F76"/>
    <mergeCell ref="B77:F77"/>
    <mergeCell ref="B78:F78"/>
    <mergeCell ref="B79:F79"/>
    <mergeCell ref="B68:F68"/>
    <mergeCell ref="B69:F69"/>
    <mergeCell ref="B70:F70"/>
    <mergeCell ref="B71:F71"/>
    <mergeCell ref="B72:F72"/>
    <mergeCell ref="B73:F73"/>
    <mergeCell ref="B62:F62"/>
    <mergeCell ref="B63:F63"/>
    <mergeCell ref="B65:F65"/>
    <mergeCell ref="B66:F66"/>
    <mergeCell ref="B67:F67"/>
    <mergeCell ref="B23:F23"/>
    <mergeCell ref="B46:F46"/>
    <mergeCell ref="B48:F48"/>
    <mergeCell ref="B49:F49"/>
    <mergeCell ref="B50:F50"/>
    <mergeCell ref="B7:F7"/>
    <mergeCell ref="B8:F8"/>
    <mergeCell ref="B9:F9"/>
    <mergeCell ref="B20:F20"/>
    <mergeCell ref="B21:F21"/>
    <mergeCell ref="B1:F1"/>
    <mergeCell ref="B2:F2"/>
    <mergeCell ref="B3:F3"/>
    <mergeCell ref="B4:F4"/>
    <mergeCell ref="B5:F5"/>
    <mergeCell ref="B6:F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A4DD2-CE3E-49FC-9737-C2896BBDF5F2}">
  <sheetPr>
    <tabColor rgb="FF4472C4"/>
  </sheetPr>
  <dimension ref="A1:CA193"/>
  <sheetViews>
    <sheetView topLeftCell="Z1" zoomScale="70" zoomScaleNormal="70" workbookViewId="0">
      <selection activeCell="AE6" sqref="AE6"/>
    </sheetView>
  </sheetViews>
  <sheetFormatPr defaultRowHeight="14.4" x14ac:dyDescent="0.3"/>
  <cols>
    <col min="13" max="13" width="22" style="20" bestFit="1" customWidth="1"/>
    <col min="14" max="14" width="14" customWidth="1"/>
    <col min="17" max="17" width="38.109375" bestFit="1" customWidth="1"/>
    <col min="18" max="18" width="8.109375" customWidth="1"/>
    <col min="19" max="25" width="17.44140625" customWidth="1"/>
    <col min="26" max="26" width="22" customWidth="1"/>
    <col min="27" max="27" width="17.44140625" customWidth="1"/>
    <col min="28" max="28" width="25.6640625" bestFit="1" customWidth="1"/>
    <col min="31" max="31" width="17.88671875" customWidth="1"/>
    <col min="33" max="33" width="12.6640625" customWidth="1"/>
    <col min="36" max="36" width="28.44140625" customWidth="1"/>
    <col min="43" max="43" width="25.88671875" customWidth="1"/>
    <col min="44" max="44" width="20.33203125" customWidth="1"/>
    <col min="45" max="45" width="24.109375" customWidth="1"/>
    <col min="46" max="46" width="3" customWidth="1"/>
    <col min="47" max="47" width="12" customWidth="1"/>
    <col min="48" max="48" width="26" customWidth="1"/>
    <col min="49" max="49" width="7" customWidth="1"/>
    <col min="50" max="50" width="10" customWidth="1"/>
    <col min="51" max="51" width="12" customWidth="1"/>
    <col min="52" max="52" width="10" customWidth="1"/>
    <col min="53" max="53" width="28" customWidth="1"/>
    <col min="54" max="54" width="30" customWidth="1"/>
    <col min="55" max="55" width="14" customWidth="1"/>
    <col min="56" max="56" width="14.77734375" customWidth="1"/>
    <col min="57" max="57" width="48" customWidth="1"/>
    <col min="58" max="58" width="10" customWidth="1"/>
    <col min="59" max="59" width="3" customWidth="1"/>
    <col min="60" max="60" width="8" customWidth="1"/>
    <col min="61" max="61" width="9" customWidth="1"/>
    <col min="62" max="62" width="14" customWidth="1"/>
    <col min="63" max="63" width="9" customWidth="1"/>
    <col min="64" max="64" width="11" customWidth="1"/>
    <col min="65" max="66" width="10" customWidth="1"/>
    <col min="67" max="67" width="3" customWidth="1"/>
    <col min="68" max="68" width="13" customWidth="1"/>
    <col min="69" max="69" width="8" customWidth="1"/>
    <col min="70" max="70" width="110" customWidth="1"/>
    <col min="71" max="71" width="3" customWidth="1"/>
    <col min="72" max="72" width="40" customWidth="1"/>
    <col min="73" max="73" width="12" customWidth="1"/>
    <col min="74" max="74" width="60" customWidth="1"/>
    <col min="75" max="75" width="3" customWidth="1"/>
    <col min="76" max="76" width="10" customWidth="1"/>
    <col min="77" max="77" width="12" customWidth="1"/>
    <col min="78" max="79" width="16" customWidth="1"/>
  </cols>
  <sheetData>
    <row r="1" spans="1:79" ht="15" thickBot="1" x14ac:dyDescent="0.35">
      <c r="A1" s="141" t="s">
        <v>2399</v>
      </c>
    </row>
    <row r="2" spans="1:79" ht="15" thickBot="1" x14ac:dyDescent="0.35">
      <c r="I2" s="37"/>
      <c r="L2" s="98" t="s">
        <v>54</v>
      </c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100"/>
      <c r="AJ2" s="15" t="s">
        <v>63</v>
      </c>
      <c r="AK2" s="15"/>
      <c r="AQ2" s="101" t="s">
        <v>524</v>
      </c>
      <c r="AR2" s="101"/>
      <c r="AS2" s="101"/>
      <c r="AU2" s="73"/>
      <c r="AZ2" s="35"/>
      <c r="BA2" s="73" t="s">
        <v>534</v>
      </c>
      <c r="BD2" s="78"/>
      <c r="BE2" s="36" t="s">
        <v>535</v>
      </c>
      <c r="BP2" s="36" t="s">
        <v>536</v>
      </c>
      <c r="BT2" s="36"/>
      <c r="BX2" s="36" t="s">
        <v>537</v>
      </c>
    </row>
    <row r="3" spans="1:79" ht="28.05" customHeight="1" x14ac:dyDescent="0.3">
      <c r="B3" s="2" t="s">
        <v>3</v>
      </c>
      <c r="C3" s="2" t="s">
        <v>15</v>
      </c>
      <c r="D3" s="2" t="s">
        <v>538</v>
      </c>
      <c r="F3" s="2" t="s">
        <v>5</v>
      </c>
      <c r="G3" s="2" t="s">
        <v>7</v>
      </c>
      <c r="I3" s="2"/>
      <c r="J3" s="2"/>
      <c r="L3" s="11"/>
      <c r="M3" s="24"/>
      <c r="N3" s="12"/>
      <c r="P3" s="64"/>
      <c r="Q3" s="64"/>
      <c r="R3" s="64"/>
      <c r="S3" s="64"/>
      <c r="T3" s="65"/>
      <c r="U3" s="63"/>
      <c r="V3" s="63"/>
      <c r="W3" s="63"/>
      <c r="X3" s="63"/>
      <c r="Y3" s="63"/>
      <c r="Z3" s="35"/>
      <c r="AA3" s="11" t="s">
        <v>10</v>
      </c>
      <c r="AB3" s="11" t="s">
        <v>181</v>
      </c>
      <c r="AD3" s="11"/>
      <c r="AE3" s="11"/>
      <c r="AF3" s="11"/>
      <c r="AG3" s="12"/>
      <c r="AJ3" s="15" t="s">
        <v>9</v>
      </c>
      <c r="AK3" s="15" t="s">
        <v>64</v>
      </c>
      <c r="AL3" t="s">
        <v>148</v>
      </c>
      <c r="AM3" t="s">
        <v>14</v>
      </c>
      <c r="AN3" t="s">
        <v>3</v>
      </c>
      <c r="AO3" t="s">
        <v>149</v>
      </c>
      <c r="AQ3" s="67" t="s">
        <v>525</v>
      </c>
      <c r="AR3" s="67" t="s">
        <v>6</v>
      </c>
      <c r="AS3" s="67" t="s">
        <v>526</v>
      </c>
      <c r="AU3" s="64"/>
      <c r="AV3" s="64"/>
      <c r="AW3" s="64"/>
      <c r="AX3" s="64"/>
      <c r="AY3" s="64"/>
      <c r="AZ3" s="35"/>
      <c r="BA3" s="64" t="s">
        <v>540</v>
      </c>
      <c r="BB3" s="64" t="s">
        <v>541</v>
      </c>
      <c r="BC3" s="64" t="s">
        <v>542</v>
      </c>
      <c r="BD3" s="78"/>
      <c r="BE3" s="35" t="s">
        <v>543</v>
      </c>
      <c r="BF3" s="35"/>
      <c r="BH3" s="35" t="s">
        <v>544</v>
      </c>
      <c r="BI3" s="35"/>
      <c r="BJ3" s="35"/>
      <c r="BK3" s="35"/>
      <c r="BL3" s="35"/>
      <c r="BM3" s="35"/>
      <c r="BN3" s="35"/>
      <c r="BP3" s="35" t="s">
        <v>545</v>
      </c>
      <c r="BQ3" s="35" t="s">
        <v>533</v>
      </c>
      <c r="BR3" s="35" t="s">
        <v>546</v>
      </c>
      <c r="BT3" s="35"/>
      <c r="BU3" s="35"/>
      <c r="BV3" s="35"/>
      <c r="BX3" s="35" t="s">
        <v>547</v>
      </c>
      <c r="BY3" s="35" t="s">
        <v>548</v>
      </c>
      <c r="BZ3" s="35" t="s">
        <v>549</v>
      </c>
      <c r="CA3" s="35" t="s">
        <v>550</v>
      </c>
    </row>
    <row r="4" spans="1:79" ht="27.6" x14ac:dyDescent="0.3">
      <c r="B4" s="14">
        <v>0.75</v>
      </c>
      <c r="C4" s="14">
        <v>0.13</v>
      </c>
      <c r="D4" s="14">
        <v>2.2499999999999999E-2</v>
      </c>
      <c r="F4" s="14">
        <v>0</v>
      </c>
      <c r="G4" s="14">
        <v>6</v>
      </c>
      <c r="I4" s="14"/>
      <c r="J4" s="14"/>
      <c r="L4" s="16"/>
      <c r="M4" s="16"/>
      <c r="N4" s="16"/>
      <c r="O4" s="17"/>
      <c r="P4" s="26"/>
      <c r="Q4" s="26"/>
      <c r="R4" s="26"/>
      <c r="S4" s="26"/>
      <c r="T4" s="26"/>
      <c r="U4" s="26"/>
      <c r="V4" s="26"/>
      <c r="W4" s="26"/>
      <c r="X4" s="26"/>
      <c r="Y4" s="26"/>
      <c r="Z4" s="74"/>
      <c r="AA4" s="16" t="s">
        <v>182</v>
      </c>
      <c r="AB4" s="16" t="s">
        <v>184</v>
      </c>
      <c r="AC4" s="17"/>
      <c r="AD4" s="18"/>
      <c r="AE4" s="16"/>
      <c r="AF4" s="16"/>
      <c r="AG4" s="16"/>
      <c r="AJ4" s="13" t="str">
        <f>AL4&amp;" ("&amp;AM4&amp;"х"&amp;AN4&amp;") "&amp;AO4</f>
        <v>ВВГнг(А)-LS (2х1,5) 1</v>
      </c>
      <c r="AK4" s="14" t="s">
        <v>65</v>
      </c>
      <c r="AL4" t="s">
        <v>12</v>
      </c>
      <c r="AM4">
        <v>2</v>
      </c>
      <c r="AN4">
        <v>1.5</v>
      </c>
      <c r="AO4">
        <v>1</v>
      </c>
      <c r="AQ4" s="68" t="s">
        <v>519</v>
      </c>
      <c r="AR4" s="68" t="s">
        <v>527</v>
      </c>
      <c r="AS4" s="69"/>
      <c r="AU4" s="26"/>
      <c r="AY4" s="26"/>
      <c r="AZ4" s="74"/>
      <c r="BA4" s="26" t="s">
        <v>552</v>
      </c>
      <c r="BB4" s="26" t="s">
        <v>553</v>
      </c>
      <c r="BC4" s="26" t="s">
        <v>487</v>
      </c>
      <c r="BD4" s="79"/>
      <c r="BE4" s="37" t="s">
        <v>554</v>
      </c>
      <c r="BF4" s="74">
        <v>17</v>
      </c>
      <c r="BH4" s="35" t="s">
        <v>4</v>
      </c>
      <c r="BI4" s="35" t="s">
        <v>436</v>
      </c>
      <c r="BJ4" s="35" t="s">
        <v>484</v>
      </c>
      <c r="BK4" s="35" t="s">
        <v>485</v>
      </c>
      <c r="BL4" s="35" t="s">
        <v>555</v>
      </c>
      <c r="BM4" s="35" t="s">
        <v>556</v>
      </c>
      <c r="BN4" s="35" t="s">
        <v>557</v>
      </c>
      <c r="BP4" s="74">
        <v>0</v>
      </c>
      <c r="BQ4" s="74">
        <v>0.8</v>
      </c>
      <c r="BR4" s="37" t="s">
        <v>558</v>
      </c>
      <c r="BT4" s="74"/>
      <c r="BU4" s="74"/>
      <c r="BV4" s="37"/>
      <c r="BX4" s="74">
        <v>1.5</v>
      </c>
      <c r="BY4" s="74">
        <v>23</v>
      </c>
      <c r="BZ4" s="74">
        <v>19</v>
      </c>
      <c r="CA4" s="74">
        <v>19</v>
      </c>
    </row>
    <row r="5" spans="1:79" x14ac:dyDescent="0.3">
      <c r="B5" s="14">
        <v>1</v>
      </c>
      <c r="C5" s="14">
        <v>0.11</v>
      </c>
      <c r="D5" s="14">
        <v>2.2499999999999999E-2</v>
      </c>
      <c r="F5" s="14">
        <v>5.4</v>
      </c>
      <c r="G5" s="14">
        <v>10</v>
      </c>
      <c r="I5" s="14"/>
      <c r="J5" s="14"/>
      <c r="L5" s="16"/>
      <c r="M5" s="16"/>
      <c r="N5" s="16"/>
      <c r="O5" s="17"/>
      <c r="P5" s="26"/>
      <c r="Q5" s="26"/>
      <c r="R5" s="26"/>
      <c r="S5" s="26"/>
      <c r="T5" s="26"/>
      <c r="U5" s="26"/>
      <c r="V5" s="26"/>
      <c r="W5" s="26"/>
      <c r="X5" s="26"/>
      <c r="Y5" s="26"/>
      <c r="Z5" s="74"/>
      <c r="AA5" s="16" t="s">
        <v>183</v>
      </c>
      <c r="AB5" s="16" t="s">
        <v>185</v>
      </c>
      <c r="AC5" s="17"/>
      <c r="AD5" s="18"/>
      <c r="AE5" s="16"/>
      <c r="AF5" s="16"/>
      <c r="AG5" s="16"/>
      <c r="AJ5" s="13" t="str">
        <f t="shared" ref="AJ5:AJ68" si="0">AL5&amp;" ("&amp;AM5&amp;"х"&amp;AN5&amp;") "&amp;AO5</f>
        <v>ВВГнг(А)-LS (2х1,5) 2</v>
      </c>
      <c r="AK5" s="14" t="s">
        <v>66</v>
      </c>
      <c r="AL5" t="s">
        <v>12</v>
      </c>
      <c r="AM5">
        <v>2</v>
      </c>
      <c r="AN5">
        <v>1.5</v>
      </c>
      <c r="AO5">
        <v>2</v>
      </c>
      <c r="AQ5" s="68" t="s">
        <v>229</v>
      </c>
      <c r="AR5" s="68" t="s">
        <v>229</v>
      </c>
      <c r="AS5" s="70"/>
      <c r="AU5" s="26"/>
      <c r="AY5" s="26"/>
      <c r="AZ5" s="74"/>
      <c r="BA5" s="26" t="s">
        <v>560</v>
      </c>
      <c r="BB5" s="26" t="s">
        <v>561</v>
      </c>
      <c r="BC5" s="26" t="s">
        <v>496</v>
      </c>
      <c r="BD5" s="79"/>
      <c r="BE5" s="37" t="s">
        <v>489</v>
      </c>
      <c r="BF5" s="74">
        <v>10</v>
      </c>
      <c r="BH5" s="38" t="str">
        <f>IFERROR(INDEX(Однолинейка!$A$1:$A$1000,(MATCH(1,Однолинейка!$BS$1:$BS$1000,0))),"")</f>
        <v/>
      </c>
      <c r="BI5" s="38" t="str">
        <f>IFERROR(INDEX(Однолинейка!$AW$1:$AW$1000,(MATCH(1,Однолинейка!$BS$1:$BS$1000,0))),"")</f>
        <v/>
      </c>
      <c r="BJ5" s="38" t="str">
        <f>IF(BI5="","",INDEX(Однолинейка!$AI$1:$AI$1000,(MATCH(1,Однолинейка!$BS$1:$BS$1000,0))))</f>
        <v/>
      </c>
      <c r="BK5" s="38" t="str">
        <f t="shared" ref="BK5:BK39" si="1">IF(BI5="","",IFERROR(VLOOKUP(BJ5,Модули_спр,3,FALSE),""))</f>
        <v/>
      </c>
      <c r="BL5" s="38" t="str">
        <f>IF(BI5="","",_xlfn.MAXIFS(Однолинейка!$O$3:$O$1000,Однолинейка!$AH$3:$AH$1000,BI5,Однолинейка!$A$3:$A$1000,BH5))</f>
        <v/>
      </c>
      <c r="BM5" s="38" t="str">
        <f>IF(BI5="","",COUNTIFS(Однолинейка!$AH$3:$AH$1000,BI5,Однолинейка!$A$3:$A$1000,BH5,Однолинейка!$N$3:$N$1000,"р"))</f>
        <v/>
      </c>
      <c r="BN5" s="38" t="str">
        <f t="shared" ref="BN5:BN39" si="2">IF(OR(BI5="",BK5=""),"",BK5-BL5)</f>
        <v/>
      </c>
      <c r="BP5" s="74">
        <v>14</v>
      </c>
      <c r="BQ5" s="74">
        <v>0.8</v>
      </c>
      <c r="BT5" s="74"/>
      <c r="BU5" s="74"/>
      <c r="BV5" s="37"/>
      <c r="BX5" s="74">
        <v>2.5</v>
      </c>
      <c r="BY5" s="74">
        <v>30</v>
      </c>
      <c r="BZ5" s="74">
        <v>27</v>
      </c>
      <c r="CA5" s="74">
        <v>25</v>
      </c>
    </row>
    <row r="6" spans="1:79" x14ac:dyDescent="0.3">
      <c r="B6" s="14">
        <v>1.5</v>
      </c>
      <c r="C6" s="14">
        <v>0.11</v>
      </c>
      <c r="D6" s="14">
        <v>2.2499999999999999E-2</v>
      </c>
      <c r="F6" s="14">
        <v>9</v>
      </c>
      <c r="G6" s="14">
        <v>16</v>
      </c>
      <c r="I6" s="14"/>
      <c r="J6" s="14"/>
      <c r="L6" s="16"/>
      <c r="M6" s="16"/>
      <c r="N6" s="16"/>
      <c r="O6" s="17"/>
      <c r="P6" s="26"/>
      <c r="Q6" s="26"/>
      <c r="R6" s="26"/>
      <c r="S6" s="26"/>
      <c r="T6" s="26"/>
      <c r="U6" s="26"/>
      <c r="V6" s="26"/>
      <c r="W6" s="26"/>
      <c r="X6" s="26"/>
      <c r="Y6" s="26"/>
      <c r="Z6" s="74"/>
      <c r="AA6" s="16" t="s">
        <v>186</v>
      </c>
      <c r="AB6" s="16" t="s">
        <v>187</v>
      </c>
      <c r="AC6" s="17"/>
      <c r="AD6" s="18"/>
      <c r="AE6" s="16"/>
      <c r="AF6" s="16"/>
      <c r="AG6" s="16"/>
      <c r="AJ6" s="13" t="str">
        <f t="shared" si="0"/>
        <v>ВВГнг(А)-LS (2х2,5) 1</v>
      </c>
      <c r="AK6" s="14" t="s">
        <v>67</v>
      </c>
      <c r="AL6" t="s">
        <v>12</v>
      </c>
      <c r="AM6">
        <v>2</v>
      </c>
      <c r="AN6">
        <v>2.5</v>
      </c>
      <c r="AO6">
        <v>1</v>
      </c>
      <c r="AQ6" s="68" t="s">
        <v>528</v>
      </c>
      <c r="AR6" s="68" t="s">
        <v>529</v>
      </c>
      <c r="AS6" s="71"/>
      <c r="AU6" s="26"/>
      <c r="AY6" s="26"/>
      <c r="AZ6" s="74"/>
      <c r="BA6" s="26" t="s">
        <v>562</v>
      </c>
      <c r="BB6" s="26" t="s">
        <v>563</v>
      </c>
      <c r="BC6" s="26" t="s">
        <v>510</v>
      </c>
      <c r="BD6" s="79"/>
      <c r="BH6" s="38" t="str">
        <f>IFERROR(INDEX(Однолинейка!$A$1:$A$1000,(MATCH(2,Однолинейка!$BS$1:$BS$1000,0))),"")</f>
        <v/>
      </c>
      <c r="BI6" s="38" t="str">
        <f>IFERROR(INDEX(Однолинейка!$AW$1:$AW$1000,(MATCH(2,Однолинейка!$BS$1:$BS$1000,0))),"")</f>
        <v/>
      </c>
      <c r="BJ6" s="38" t="str">
        <f>IF(BI6="","",INDEX(Однолинейка!$AI$1:$AI$1000,(MATCH(2,Однолинейка!$BS$1:$BS$1000,0))))</f>
        <v/>
      </c>
      <c r="BK6" s="38" t="str">
        <f t="shared" si="1"/>
        <v/>
      </c>
      <c r="BL6" s="38" t="str">
        <f>IF(BI6="","",_xlfn.MAXIFS(Однолинейка!$O$3:$O$1000,Однолинейка!$AH$3:$AH$1000,BI6,Однолинейка!$A$3:$A$1000,BH6))</f>
        <v/>
      </c>
      <c r="BM6" s="38" t="str">
        <f>IF(BI6="","",COUNTIFS(Однолинейка!$AH$3:$AH$1000,BI6,Однолинейка!$A$3:$A$1000,BH6,Однолинейка!$N$3:$N$1000,"р"))</f>
        <v/>
      </c>
      <c r="BN6" s="38" t="str">
        <f t="shared" si="2"/>
        <v/>
      </c>
      <c r="BP6" s="74">
        <v>20</v>
      </c>
      <c r="BQ6" s="74">
        <v>0.65</v>
      </c>
      <c r="BT6" s="74"/>
      <c r="BU6" s="74"/>
      <c r="BX6" s="74">
        <v>4</v>
      </c>
      <c r="BY6" s="74">
        <v>41</v>
      </c>
      <c r="BZ6" s="74">
        <v>38</v>
      </c>
      <c r="CA6" s="74">
        <v>35</v>
      </c>
    </row>
    <row r="7" spans="1:79" ht="31.2" customHeight="1" x14ac:dyDescent="0.3">
      <c r="B7" s="14">
        <v>2.5</v>
      </c>
      <c r="C7" s="14">
        <v>0.1</v>
      </c>
      <c r="D7" s="14">
        <v>2.2499999999999999E-2</v>
      </c>
      <c r="F7" s="14">
        <v>14.4</v>
      </c>
      <c r="G7" s="14">
        <v>20</v>
      </c>
      <c r="I7" s="14"/>
      <c r="J7" s="14"/>
      <c r="L7" s="16"/>
      <c r="M7" s="16"/>
      <c r="N7" s="16"/>
      <c r="O7" s="17"/>
      <c r="P7" s="26"/>
      <c r="Q7" s="26"/>
      <c r="R7" s="26"/>
      <c r="S7" s="26"/>
      <c r="T7" s="26"/>
      <c r="U7" s="26"/>
      <c r="V7" s="26"/>
      <c r="W7" s="26"/>
      <c r="X7" s="26"/>
      <c r="Y7" s="26"/>
      <c r="Z7" s="74"/>
      <c r="AA7" s="16" t="s">
        <v>188</v>
      </c>
      <c r="AB7" s="16" t="s">
        <v>189</v>
      </c>
      <c r="AC7" s="17"/>
      <c r="AD7" s="18"/>
      <c r="AE7" s="16"/>
      <c r="AF7" s="16"/>
      <c r="AG7" s="16"/>
      <c r="AJ7" s="13" t="str">
        <f t="shared" si="0"/>
        <v>ВВГнг(А)-LS (2х2,5) 2</v>
      </c>
      <c r="AK7" s="14" t="s">
        <v>68</v>
      </c>
      <c r="AL7" t="s">
        <v>12</v>
      </c>
      <c r="AM7">
        <v>2</v>
      </c>
      <c r="AN7">
        <v>2.5</v>
      </c>
      <c r="AO7">
        <v>2</v>
      </c>
      <c r="AQ7" s="102" t="s">
        <v>530</v>
      </c>
      <c r="AR7" s="102"/>
      <c r="AS7" s="102"/>
      <c r="AU7" s="26"/>
      <c r="AV7" s="26"/>
      <c r="AW7" s="26"/>
      <c r="AX7" s="26"/>
      <c r="AY7" s="26"/>
      <c r="AZ7" s="74"/>
      <c r="BA7" s="26" t="s">
        <v>567</v>
      </c>
      <c r="BB7" s="26" t="s">
        <v>568</v>
      </c>
      <c r="BC7" s="26" t="s">
        <v>507</v>
      </c>
      <c r="BD7" s="79"/>
      <c r="BE7" s="35" t="s">
        <v>569</v>
      </c>
      <c r="BF7" s="35"/>
      <c r="BH7" s="38" t="str">
        <f>IFERROR(INDEX(Однолинейка!$A$1:$A$1000,(MATCH(3,Однолинейка!$BS$1:$BS$1000,0))),"")</f>
        <v/>
      </c>
      <c r="BI7" s="38" t="str">
        <f>IFERROR(INDEX(Однолинейка!$AW$1:$AW$1000,(MATCH(3,Однолинейка!$BS$1:$BS$1000,0))),"")</f>
        <v/>
      </c>
      <c r="BJ7" s="38" t="str">
        <f>IF(BI7="","",INDEX(Однолинейка!$AI$1:$AI$1000,(MATCH(3,Однолинейка!$BS$1:$BS$1000,0))))</f>
        <v/>
      </c>
      <c r="BK7" s="38" t="str">
        <f t="shared" si="1"/>
        <v/>
      </c>
      <c r="BL7" s="38" t="str">
        <f>IF(BI7="","",_xlfn.MAXIFS(Однолинейка!$O$3:$O$1000,Однолинейка!$AH$3:$AH$1000,BI7,Однолинейка!$A$3:$A$1000,BH7))</f>
        <v/>
      </c>
      <c r="BM7" s="38" t="str">
        <f>IF(BI7="","",COUNTIFS(Однолинейка!$AH$3:$AH$1000,BI7,Однолинейка!$A$3:$A$1000,BH7,Однолинейка!$N$3:$N$1000,"р"))</f>
        <v/>
      </c>
      <c r="BN7" s="38" t="str">
        <f t="shared" si="2"/>
        <v/>
      </c>
      <c r="BP7" s="74">
        <v>30</v>
      </c>
      <c r="BQ7" s="74">
        <v>0.6</v>
      </c>
      <c r="BT7" s="74"/>
      <c r="BU7" s="74"/>
      <c r="BX7" s="74">
        <v>6</v>
      </c>
      <c r="BY7" s="74">
        <v>50</v>
      </c>
      <c r="BZ7" s="74">
        <v>50</v>
      </c>
      <c r="CA7" s="74">
        <v>42</v>
      </c>
    </row>
    <row r="8" spans="1:79" x14ac:dyDescent="0.3">
      <c r="B8" s="14">
        <v>4</v>
      </c>
      <c r="C8" s="14">
        <v>9.5000000000000001E-2</v>
      </c>
      <c r="D8" s="14">
        <v>2.2499999999999999E-2</v>
      </c>
      <c r="F8" s="14">
        <v>18</v>
      </c>
      <c r="G8" s="14">
        <v>25</v>
      </c>
      <c r="I8" s="14"/>
      <c r="J8" s="14"/>
      <c r="L8" s="16"/>
      <c r="M8" s="16"/>
      <c r="N8" s="16"/>
      <c r="O8" s="17"/>
      <c r="P8" s="26"/>
      <c r="Q8" s="26"/>
      <c r="R8" s="26"/>
      <c r="S8" s="26"/>
      <c r="T8" s="26"/>
      <c r="U8" s="26"/>
      <c r="V8" s="26"/>
      <c r="W8" s="26"/>
      <c r="X8" s="26"/>
      <c r="Y8" s="26"/>
      <c r="Z8" s="74"/>
      <c r="AA8" s="16"/>
      <c r="AB8" s="16"/>
      <c r="AC8" s="17"/>
      <c r="AD8" s="18"/>
      <c r="AE8" s="16"/>
      <c r="AF8" s="16"/>
      <c r="AG8" s="16"/>
      <c r="AJ8" s="13" t="str">
        <f t="shared" si="0"/>
        <v>ВВГнг(А)-LS (3х1,5) 1</v>
      </c>
      <c r="AK8" s="14" t="s">
        <v>69</v>
      </c>
      <c r="AL8" t="s">
        <v>12</v>
      </c>
      <c r="AM8">
        <v>3</v>
      </c>
      <c r="AN8">
        <v>1.5</v>
      </c>
      <c r="AO8">
        <v>1</v>
      </c>
      <c r="AQ8" s="72"/>
      <c r="AR8" s="72"/>
      <c r="AS8" s="72"/>
      <c r="AU8" s="26"/>
      <c r="AV8" s="26"/>
      <c r="AW8" s="26"/>
      <c r="AX8" s="26"/>
      <c r="AY8" s="26"/>
      <c r="AZ8" s="74"/>
      <c r="BA8" s="26" t="s">
        <v>570</v>
      </c>
      <c r="BB8" s="26" t="s">
        <v>571</v>
      </c>
      <c r="BC8" s="26" t="s">
        <v>502</v>
      </c>
      <c r="BD8" s="79"/>
      <c r="BE8" s="37" t="s">
        <v>493</v>
      </c>
      <c r="BF8" s="38">
        <f>COUNTIF(Однолинейка!$E$3:$E$1000,"?*")</f>
        <v>288</v>
      </c>
      <c r="BH8" s="38" t="str">
        <f>IFERROR(INDEX(Однолинейка!$A$1:$A$1000,(MATCH(4,Однолинейка!$BS$1:$BS$1000,0))),"")</f>
        <v/>
      </c>
      <c r="BI8" s="38" t="str">
        <f>IFERROR(INDEX(Однолинейка!$AW$1:$AW$1000,(MATCH(4,Однолинейка!$BS$1:$BS$1000,0))),"")</f>
        <v/>
      </c>
      <c r="BJ8" s="38" t="str">
        <f>IF(BI8="","",INDEX(Однолинейка!$AI$1:$AI$1000,(MATCH(4,Однолинейка!$BS$1:$BS$1000,0))))</f>
        <v/>
      </c>
      <c r="BK8" s="38" t="str">
        <f t="shared" si="1"/>
        <v/>
      </c>
      <c r="BL8" s="38" t="str">
        <f>IF(BI8="","",_xlfn.MAXIFS(Однолинейка!$O$3:$O$1000,Однолинейка!$AH$3:$AH$1000,BI8,Однолинейка!$A$3:$A$1000,BH8))</f>
        <v/>
      </c>
      <c r="BM8" s="38" t="str">
        <f>IF(BI8="","",COUNTIFS(Однолинейка!$AH$3:$AH$1000,BI8,Однолинейка!$A$3:$A$1000,BH8,Однолинейка!$N$3:$N$1000,"р"))</f>
        <v/>
      </c>
      <c r="BN8" s="38" t="str">
        <f t="shared" si="2"/>
        <v/>
      </c>
      <c r="BP8" s="74">
        <v>40</v>
      </c>
      <c r="BQ8" s="74">
        <v>0.55000000000000004</v>
      </c>
      <c r="BT8" s="74"/>
      <c r="BU8" s="74"/>
      <c r="BX8" s="74">
        <v>10</v>
      </c>
      <c r="BY8" s="74">
        <v>80</v>
      </c>
      <c r="BZ8" s="74">
        <v>70</v>
      </c>
      <c r="CA8" s="74">
        <v>55</v>
      </c>
    </row>
    <row r="9" spans="1:79" x14ac:dyDescent="0.3">
      <c r="B9" s="14">
        <v>6</v>
      </c>
      <c r="C9" s="14">
        <v>0.09</v>
      </c>
      <c r="D9" s="14">
        <v>2.2499999999999999E-2</v>
      </c>
      <c r="F9" s="14">
        <v>22.5</v>
      </c>
      <c r="G9" s="14">
        <v>32</v>
      </c>
      <c r="I9" s="14"/>
      <c r="J9" s="14"/>
      <c r="L9" s="16"/>
      <c r="M9" s="16"/>
      <c r="N9" s="16"/>
      <c r="O9" s="17"/>
      <c r="P9" s="26"/>
      <c r="Q9" s="26"/>
      <c r="R9" s="26"/>
      <c r="S9" s="26"/>
      <c r="T9" s="26"/>
      <c r="U9" s="26"/>
      <c r="V9" s="26"/>
      <c r="W9" s="26"/>
      <c r="X9" s="26"/>
      <c r="Y9" s="26"/>
      <c r="Z9" s="74"/>
      <c r="AA9" s="16"/>
      <c r="AB9" s="16"/>
      <c r="AC9" s="17"/>
      <c r="AD9" s="18"/>
      <c r="AE9" s="16"/>
      <c r="AF9" s="16"/>
      <c r="AG9" s="16"/>
      <c r="AJ9" s="13" t="str">
        <f t="shared" si="0"/>
        <v>ВВГнг(А)-LS (3х1,5) 2</v>
      </c>
      <c r="AK9" s="14" t="s">
        <v>70</v>
      </c>
      <c r="AL9" t="s">
        <v>12</v>
      </c>
      <c r="AM9">
        <v>3</v>
      </c>
      <c r="AN9">
        <v>1.5</v>
      </c>
      <c r="AO9">
        <v>2</v>
      </c>
      <c r="AQ9" s="72"/>
      <c r="AR9" s="72"/>
      <c r="AS9" s="72"/>
      <c r="AU9" s="26"/>
      <c r="AV9" s="26"/>
      <c r="AW9" s="26"/>
      <c r="AX9" s="26"/>
      <c r="AY9" s="26"/>
      <c r="AZ9" s="74"/>
      <c r="BA9" s="26" t="s">
        <v>573</v>
      </c>
      <c r="BB9" s="26" t="s">
        <v>574</v>
      </c>
      <c r="BC9" s="26" t="s">
        <v>505</v>
      </c>
      <c r="BD9" s="79"/>
      <c r="BE9" s="37" t="s">
        <v>497</v>
      </c>
      <c r="BF9" s="38">
        <f>COUNTIF(Однолинейка!$AJ$3:$AJ$1000,"QFD*")</f>
        <v>143</v>
      </c>
      <c r="BH9" s="38" t="str">
        <f>IFERROR(INDEX(Однолинейка!$A$1:$A$1000,(MATCH(5,Однолинейка!$BS$1:$BS$1000,0))),"")</f>
        <v/>
      </c>
      <c r="BI9" s="38" t="str">
        <f>IFERROR(INDEX(Однолинейка!$AW$1:$AW$1000,(MATCH(5,Однолинейка!$BS$1:$BS$1000,0))),"")</f>
        <v/>
      </c>
      <c r="BJ9" s="38" t="str">
        <f>IF(BI9="","",INDEX(Однолинейка!$AI$1:$AI$1000,(MATCH(5,Однолинейка!$BS$1:$BS$1000,0))))</f>
        <v/>
      </c>
      <c r="BK9" s="38" t="str">
        <f t="shared" si="1"/>
        <v/>
      </c>
      <c r="BL9" s="38" t="str">
        <f>IF(BI9="","",_xlfn.MAXIFS(Однолинейка!$O$3:$O$1000,Однолинейка!$AH$3:$AH$1000,BI9,Однолинейка!$A$3:$A$1000,BH9))</f>
        <v/>
      </c>
      <c r="BM9" s="38" t="str">
        <f>IF(BI9="","",COUNTIFS(Однолинейка!$AH$3:$AH$1000,BI9,Однолинейка!$A$3:$A$1000,BH9,Однолинейка!$N$3:$N$1000,"р"))</f>
        <v/>
      </c>
      <c r="BN9" s="38" t="str">
        <f t="shared" si="2"/>
        <v/>
      </c>
      <c r="BP9" s="74">
        <v>50</v>
      </c>
      <c r="BQ9" s="74">
        <v>0.5</v>
      </c>
      <c r="BT9" s="74"/>
      <c r="BU9" s="74"/>
      <c r="BX9" s="74">
        <v>16</v>
      </c>
      <c r="BY9" s="74">
        <v>100</v>
      </c>
      <c r="BZ9" s="74">
        <v>90</v>
      </c>
      <c r="CA9" s="74">
        <v>75</v>
      </c>
    </row>
    <row r="10" spans="1:79" x14ac:dyDescent="0.3">
      <c r="B10" s="14">
        <v>10</v>
      </c>
      <c r="C10" s="14">
        <v>7.2999999999999995E-2</v>
      </c>
      <c r="D10" s="14">
        <v>2.2499999999999999E-2</v>
      </c>
      <c r="F10" s="14">
        <v>28.8</v>
      </c>
      <c r="G10" s="14">
        <v>40</v>
      </c>
      <c r="I10" s="14"/>
      <c r="J10" s="14"/>
      <c r="L10" s="16"/>
      <c r="M10" s="16"/>
      <c r="N10" s="16"/>
      <c r="O10" s="17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74"/>
      <c r="AA10" s="16"/>
      <c r="AB10" s="16"/>
      <c r="AC10" s="17"/>
      <c r="AD10" s="18"/>
      <c r="AE10" s="16"/>
      <c r="AF10" s="16"/>
      <c r="AG10" s="16"/>
      <c r="AJ10" s="13" t="str">
        <f t="shared" si="0"/>
        <v>ВВГнг(А)-LS (3х2,5) 1</v>
      </c>
      <c r="AK10" s="14" t="s">
        <v>71</v>
      </c>
      <c r="AL10" t="s">
        <v>12</v>
      </c>
      <c r="AM10">
        <v>3</v>
      </c>
      <c r="AN10">
        <v>2.5</v>
      </c>
      <c r="AO10">
        <v>1</v>
      </c>
      <c r="AU10" s="26"/>
      <c r="AV10" s="26"/>
      <c r="AW10" s="26"/>
      <c r="AX10" s="26"/>
      <c r="AY10" s="26"/>
      <c r="AZ10" s="74"/>
      <c r="BA10" s="26" t="s">
        <v>578</v>
      </c>
      <c r="BB10" s="26" t="s">
        <v>574</v>
      </c>
      <c r="BC10" s="26" t="s">
        <v>512</v>
      </c>
      <c r="BD10" s="79"/>
      <c r="BE10" s="37" t="s">
        <v>579</v>
      </c>
      <c r="BF10" s="38">
        <f>COUNTIF(Однолинейка!$AY$3:$AY$1000,1)</f>
        <v>310</v>
      </c>
      <c r="BH10" s="38" t="str">
        <f>IFERROR(INDEX(Однолинейка!$A$1:$A$1000,(MATCH(6,Однолинейка!$BS$1:$BS$1000,0))),"")</f>
        <v/>
      </c>
      <c r="BI10" s="38" t="str">
        <f>IFERROR(INDEX(Однолинейка!$AW$1:$AW$1000,(MATCH(6,Однолинейка!$BS$1:$BS$1000,0))),"")</f>
        <v/>
      </c>
      <c r="BJ10" s="38" t="str">
        <f>IF(BI10="","",INDEX(Однолинейка!$AI$1:$AI$1000,(MATCH(6,Однолинейка!$BS$1:$BS$1000,0))))</f>
        <v/>
      </c>
      <c r="BK10" s="38" t="str">
        <f t="shared" si="1"/>
        <v/>
      </c>
      <c r="BL10" s="38" t="str">
        <f>IF(BI10="","",_xlfn.MAXIFS(Однолинейка!$O$3:$O$1000,Однолинейка!$AH$3:$AH$1000,BI10,Однолинейка!$A$3:$A$1000,BH10))</f>
        <v/>
      </c>
      <c r="BM10" s="38" t="str">
        <f>IF(BI10="","",COUNTIFS(Однолинейка!$AH$3:$AH$1000,BI10,Однолинейка!$A$3:$A$1000,BH10,Однолинейка!$N$3:$N$1000,"р"))</f>
        <v/>
      </c>
      <c r="BN10" s="38" t="str">
        <f t="shared" si="2"/>
        <v/>
      </c>
      <c r="BP10" s="74">
        <v>60</v>
      </c>
      <c r="BQ10" s="74">
        <v>0.48</v>
      </c>
      <c r="BT10" s="74"/>
      <c r="BU10" s="74"/>
      <c r="BX10" s="74">
        <v>25</v>
      </c>
      <c r="BY10" s="74">
        <v>140</v>
      </c>
      <c r="BZ10" s="74">
        <v>115</v>
      </c>
      <c r="CA10" s="74">
        <v>95</v>
      </c>
    </row>
    <row r="11" spans="1:79" x14ac:dyDescent="0.3">
      <c r="B11" s="14">
        <v>16</v>
      </c>
      <c r="C11" s="14">
        <v>6.7500000000000004E-2</v>
      </c>
      <c r="D11" s="14">
        <v>2.2499999999999999E-2</v>
      </c>
      <c r="F11" s="14">
        <v>36</v>
      </c>
      <c r="G11" s="14">
        <v>50</v>
      </c>
      <c r="I11" s="14"/>
      <c r="J11" s="14"/>
      <c r="L11" s="16"/>
      <c r="M11" s="16"/>
      <c r="N11" s="16"/>
      <c r="O11" s="17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74"/>
      <c r="AA11" s="16"/>
      <c r="AB11" s="16"/>
      <c r="AC11" s="17"/>
      <c r="AD11" s="18"/>
      <c r="AE11" s="16"/>
      <c r="AF11" s="16"/>
      <c r="AG11" s="16"/>
      <c r="AJ11" s="13" t="str">
        <f t="shared" si="0"/>
        <v>ВВГнг(А)-LS (3х2,5) 2</v>
      </c>
      <c r="AK11" s="14" t="s">
        <v>72</v>
      </c>
      <c r="AL11" t="s">
        <v>12</v>
      </c>
      <c r="AM11">
        <v>3</v>
      </c>
      <c r="AN11">
        <v>2.5</v>
      </c>
      <c r="AO11">
        <v>2</v>
      </c>
      <c r="AU11" s="26"/>
      <c r="AV11" s="26"/>
      <c r="AW11" s="26"/>
      <c r="AX11" s="26"/>
      <c r="AY11" s="26"/>
      <c r="AZ11" s="74"/>
      <c r="BA11" s="26"/>
      <c r="BB11" s="26"/>
      <c r="BC11" s="26"/>
      <c r="BD11" s="79"/>
      <c r="BE11" s="37" t="s">
        <v>582</v>
      </c>
      <c r="BF11" s="38">
        <f>SUM(Однолинейка!$BW$3:$BW$1000)</f>
        <v>310</v>
      </c>
      <c r="BH11" s="38" t="str">
        <f>IFERROR(INDEX(Однолинейка!$A$1:$A$1000,(MATCH(7,Однолинейка!$BS$1:$BS$1000,0))),"")</f>
        <v/>
      </c>
      <c r="BI11" s="38" t="str">
        <f>IFERROR(INDEX(Однолинейка!$AW$1:$AW$1000,(MATCH(7,Однолинейка!$BS$1:$BS$1000,0))),"")</f>
        <v/>
      </c>
      <c r="BJ11" s="38" t="str">
        <f>IF(BI11="","",INDEX(Однолинейка!$AI$1:$AI$1000,(MATCH(7,Однолинейка!$BS$1:$BS$1000,0))))</f>
        <v/>
      </c>
      <c r="BK11" s="38" t="str">
        <f t="shared" si="1"/>
        <v/>
      </c>
      <c r="BL11" s="38" t="str">
        <f>IF(BI11="","",_xlfn.MAXIFS(Однолинейка!$O$3:$O$1000,Однолинейка!$AH$3:$AH$1000,BI11,Однолинейка!$A$3:$A$1000,BH11))</f>
        <v/>
      </c>
      <c r="BM11" s="38" t="str">
        <f>IF(BI11="","",COUNTIFS(Однолинейка!$AH$3:$AH$1000,BI11,Однолинейка!$A$3:$A$1000,BH11,Однолинейка!$N$3:$N$1000,"р"))</f>
        <v/>
      </c>
      <c r="BN11" s="38" t="str">
        <f t="shared" si="2"/>
        <v/>
      </c>
      <c r="BP11" s="74">
        <v>70</v>
      </c>
      <c r="BQ11" s="74">
        <v>0.45</v>
      </c>
      <c r="BR11" s="37" t="s">
        <v>583</v>
      </c>
      <c r="BT11" s="74"/>
      <c r="BU11" s="74"/>
      <c r="BX11" s="74">
        <v>35</v>
      </c>
      <c r="BY11" s="74">
        <v>170</v>
      </c>
      <c r="BZ11" s="74">
        <v>140</v>
      </c>
      <c r="CA11" s="74">
        <v>120</v>
      </c>
    </row>
    <row r="12" spans="1:79" x14ac:dyDescent="0.3">
      <c r="B12" s="14">
        <v>25</v>
      </c>
      <c r="C12" s="14">
        <v>6.6199999999999995E-2</v>
      </c>
      <c r="D12" s="14">
        <v>2.2499999999999999E-2</v>
      </c>
      <c r="F12" s="14">
        <v>45</v>
      </c>
      <c r="G12" s="14">
        <v>63</v>
      </c>
      <c r="I12" s="14"/>
      <c r="J12" s="14"/>
      <c r="L12" s="16"/>
      <c r="M12" s="16"/>
      <c r="N12" s="16"/>
      <c r="O12" s="17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74"/>
      <c r="AA12" s="16"/>
      <c r="AB12" s="16"/>
      <c r="AC12" s="17"/>
      <c r="AD12" s="18"/>
      <c r="AE12" s="16"/>
      <c r="AF12" s="16"/>
      <c r="AG12" s="16"/>
      <c r="AJ12" s="13" t="str">
        <f t="shared" si="0"/>
        <v>ВВГнг(А)-LS (3х4) 1</v>
      </c>
      <c r="AK12" s="14" t="s">
        <v>73</v>
      </c>
      <c r="AL12" t="s">
        <v>12</v>
      </c>
      <c r="AM12">
        <v>3</v>
      </c>
      <c r="AN12">
        <v>4</v>
      </c>
      <c r="AO12">
        <v>1</v>
      </c>
      <c r="AU12" s="26"/>
      <c r="AV12" s="26"/>
      <c r="AW12" s="26"/>
      <c r="AY12" s="26"/>
      <c r="AZ12" s="74"/>
      <c r="BA12" s="26"/>
      <c r="BB12" s="26"/>
      <c r="BC12" s="26"/>
      <c r="BD12" s="79"/>
      <c r="BE12" s="37" t="s">
        <v>585</v>
      </c>
      <c r="BF12" s="38">
        <f>SUM(Однолинейка!$BX$3:$BX$1000)</f>
        <v>60</v>
      </c>
      <c r="BH12" s="38" t="str">
        <f>IFERROR(INDEX(Однолинейка!$A$1:$A$1000,(MATCH(8,Однолинейка!$BS$1:$BS$1000,0))),"")</f>
        <v/>
      </c>
      <c r="BI12" s="38" t="str">
        <f>IFERROR(INDEX(Однолинейка!$AW$1:$AW$1000,(MATCH(8,Однолинейка!$BS$1:$BS$1000,0))),"")</f>
        <v/>
      </c>
      <c r="BJ12" s="38" t="str">
        <f>IF(BI12="","",INDEX(Однолинейка!$AI$1:$AI$1000,(MATCH(8,Однолинейка!$BS$1:$BS$1000,0))))</f>
        <v/>
      </c>
      <c r="BK12" s="38" t="str">
        <f t="shared" si="1"/>
        <v/>
      </c>
      <c r="BL12" s="38" t="str">
        <f>IF(BI12="","",_xlfn.MAXIFS(Однолинейка!$O$3:$O$1000,Однолинейка!$AH$3:$AH$1000,BI12,Однолинейка!$A$3:$A$1000,BH12))</f>
        <v/>
      </c>
      <c r="BM12" s="38" t="str">
        <f>IF(BI12="","",COUNTIFS(Однолинейка!$AH$3:$AH$1000,BI12,Однолинейка!$A$3:$A$1000,BH12,Однолинейка!$N$3:$N$1000,"р"))</f>
        <v/>
      </c>
      <c r="BN12" s="38" t="str">
        <f t="shared" si="2"/>
        <v/>
      </c>
      <c r="BT12" s="74"/>
      <c r="BU12" s="74"/>
      <c r="BX12" s="74">
        <v>50</v>
      </c>
      <c r="BY12" s="74">
        <v>215</v>
      </c>
      <c r="BZ12" s="74">
        <v>175</v>
      </c>
      <c r="CA12" s="74">
        <v>145</v>
      </c>
    </row>
    <row r="13" spans="1:79" x14ac:dyDescent="0.3">
      <c r="B13" s="14">
        <v>35</v>
      </c>
      <c r="C13" s="14">
        <v>6.3700000000000007E-2</v>
      </c>
      <c r="D13" s="14">
        <v>2.2499999999999999E-2</v>
      </c>
      <c r="F13" s="14">
        <v>56.7</v>
      </c>
      <c r="G13" s="14">
        <v>80</v>
      </c>
      <c r="I13" s="14"/>
      <c r="J13" s="14"/>
      <c r="L13" s="16"/>
      <c r="M13" s="3"/>
      <c r="N13" s="16"/>
      <c r="O13" s="17"/>
      <c r="P13" s="26"/>
      <c r="Q13" s="19"/>
      <c r="R13" s="26"/>
      <c r="S13" s="26"/>
      <c r="T13" s="26"/>
      <c r="U13" s="26"/>
      <c r="V13" s="26"/>
      <c r="W13" s="26"/>
      <c r="X13" s="26"/>
      <c r="Y13" s="26"/>
      <c r="Z13" s="74"/>
      <c r="AA13" s="16"/>
      <c r="AB13" s="16"/>
      <c r="AC13" s="17"/>
      <c r="AD13" s="18"/>
      <c r="AE13" s="16"/>
      <c r="AF13" s="16"/>
      <c r="AG13" s="16"/>
      <c r="AJ13" s="13" t="str">
        <f t="shared" si="0"/>
        <v>ВВГнг(А)-LS (3х4) 2</v>
      </c>
      <c r="AK13" s="14" t="s">
        <v>74</v>
      </c>
      <c r="AL13" t="s">
        <v>12</v>
      </c>
      <c r="AM13">
        <v>3</v>
      </c>
      <c r="AN13">
        <v>4</v>
      </c>
      <c r="AO13">
        <v>2</v>
      </c>
      <c r="AU13" s="26"/>
      <c r="AY13" s="26"/>
      <c r="AZ13" s="74"/>
      <c r="BA13" s="26"/>
      <c r="BB13" s="26"/>
      <c r="BC13" s="26"/>
      <c r="BD13" s="79"/>
      <c r="BE13" s="37" t="s">
        <v>503</v>
      </c>
      <c r="BF13" s="38">
        <f>COUNTIF(Однолинейка!$AW$3:$AW$1000,"?*")</f>
        <v>0</v>
      </c>
      <c r="BH13" s="38" t="str">
        <f>IFERROR(INDEX(Однолинейка!$A$1:$A$1000,(MATCH(9,Однолинейка!$BS$1:$BS$1000,0))),"")</f>
        <v/>
      </c>
      <c r="BI13" s="38" t="str">
        <f>IFERROR(INDEX(Однолинейка!$AW$1:$AW$1000,(MATCH(9,Однолинейка!$BS$1:$BS$1000,0))),"")</f>
        <v/>
      </c>
      <c r="BJ13" s="38" t="str">
        <f>IF(BI13="","",INDEX(Однолинейка!$AI$1:$AI$1000,(MATCH(9,Однолинейка!$BS$1:$BS$1000,0))))</f>
        <v/>
      </c>
      <c r="BK13" s="38" t="str">
        <f t="shared" si="1"/>
        <v/>
      </c>
      <c r="BL13" s="38" t="str">
        <f>IF(BI13="","",_xlfn.MAXIFS(Однолинейка!$O$3:$O$1000,Однолинейка!$AH$3:$AH$1000,BI13,Однолинейка!$A$3:$A$1000,BH13))</f>
        <v/>
      </c>
      <c r="BM13" s="38" t="str">
        <f>IF(BI13="","",COUNTIFS(Однолинейка!$AH$3:$AH$1000,BI13,Однолинейка!$A$3:$A$1000,BH13,Однолинейка!$N$3:$N$1000,"р"))</f>
        <v/>
      </c>
      <c r="BN13" s="38" t="str">
        <f t="shared" si="2"/>
        <v/>
      </c>
      <c r="BP13" s="35" t="s">
        <v>587</v>
      </c>
      <c r="BQ13" s="35"/>
      <c r="BT13" s="74"/>
      <c r="BU13" s="74"/>
      <c r="BX13" s="74">
        <v>70</v>
      </c>
      <c r="BY13" s="74">
        <v>270</v>
      </c>
      <c r="BZ13" s="74">
        <v>215</v>
      </c>
      <c r="CA13" s="74">
        <v>180</v>
      </c>
    </row>
    <row r="14" spans="1:79" x14ac:dyDescent="0.3">
      <c r="B14" s="14">
        <v>50</v>
      </c>
      <c r="C14" s="14">
        <v>6.25E-2</v>
      </c>
      <c r="D14" s="14">
        <v>2.2499999999999999E-2</v>
      </c>
      <c r="F14" s="14">
        <v>72</v>
      </c>
      <c r="G14" s="14">
        <v>100</v>
      </c>
      <c r="I14" s="14"/>
      <c r="J14" s="14"/>
      <c r="L14" s="16"/>
      <c r="M14" s="16"/>
      <c r="N14" s="16"/>
      <c r="O14" s="17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74"/>
      <c r="AA14" s="16"/>
      <c r="AB14" s="16"/>
      <c r="AC14" s="17"/>
      <c r="AD14" s="18"/>
      <c r="AE14" s="16"/>
      <c r="AF14" s="16"/>
      <c r="AG14" s="16"/>
      <c r="AJ14" s="13" t="str">
        <f t="shared" si="0"/>
        <v>ВВГнг(А)-LS (3х6) 1</v>
      </c>
      <c r="AK14" s="14" t="s">
        <v>75</v>
      </c>
      <c r="AL14" t="s">
        <v>12</v>
      </c>
      <c r="AM14">
        <v>3</v>
      </c>
      <c r="AN14">
        <v>6</v>
      </c>
      <c r="AO14">
        <v>1</v>
      </c>
      <c r="AU14" s="26"/>
      <c r="AV14" s="26"/>
      <c r="AW14" s="26"/>
      <c r="AY14" s="26"/>
      <c r="AZ14" s="74"/>
      <c r="BA14" s="26"/>
      <c r="BB14" s="26"/>
      <c r="BC14" s="26"/>
      <c r="BD14" s="79"/>
      <c r="BE14" s="37" t="s">
        <v>589</v>
      </c>
      <c r="BF14" s="38">
        <f>COUNTIF(Однолинейка!$BU$3:$BU$1000,2)</f>
        <v>0</v>
      </c>
      <c r="BH14" s="38" t="str">
        <f>IFERROR(INDEX(Однолинейка!$A$1:$A$1000,(MATCH(10,Однолинейка!$BS$1:$BS$1000,0))),"")</f>
        <v/>
      </c>
      <c r="BI14" s="38" t="str">
        <f>IFERROR(INDEX(Однолинейка!$AW$1:$AW$1000,(MATCH(10,Однолинейка!$BS$1:$BS$1000,0))),"")</f>
        <v/>
      </c>
      <c r="BJ14" s="38" t="str">
        <f>IF(BI14="","",INDEX(Однолинейка!$AI$1:$AI$1000,(MATCH(10,Однолинейка!$BS$1:$BS$1000,0))))</f>
        <v/>
      </c>
      <c r="BK14" s="38" t="str">
        <f t="shared" si="1"/>
        <v/>
      </c>
      <c r="BL14" s="38" t="str">
        <f>IF(BI14="","",_xlfn.MAXIFS(Однолинейка!$O$3:$O$1000,Однолинейка!$AH$3:$AH$1000,BI14,Однолинейка!$A$3:$A$1000,BH14))</f>
        <v/>
      </c>
      <c r="BM14" s="38" t="str">
        <f>IF(BI14="","",COUNTIFS(Однолинейка!$AH$3:$AH$1000,BI14,Однолинейка!$A$3:$A$1000,BH14,Однолинейка!$N$3:$N$1000,"р"))</f>
        <v/>
      </c>
      <c r="BN14" s="38" t="str">
        <f t="shared" si="2"/>
        <v/>
      </c>
      <c r="BP14" s="37" t="s">
        <v>590</v>
      </c>
      <c r="BQ14" s="74">
        <v>0.9</v>
      </c>
      <c r="BR14" s="37" t="s">
        <v>591</v>
      </c>
      <c r="BT14" s="74"/>
      <c r="BU14" s="74"/>
      <c r="BX14" s="74">
        <v>95</v>
      </c>
      <c r="BY14" s="74">
        <v>325</v>
      </c>
      <c r="BZ14" s="74">
        <v>260</v>
      </c>
      <c r="CA14" s="74">
        <v>220</v>
      </c>
    </row>
    <row r="15" spans="1:79" x14ac:dyDescent="0.3">
      <c r="B15" s="14">
        <v>70</v>
      </c>
      <c r="C15" s="14">
        <v>6.1199999999999997E-2</v>
      </c>
      <c r="D15" s="14">
        <v>2.2499999999999999E-2</v>
      </c>
      <c r="F15" s="14">
        <v>90</v>
      </c>
      <c r="G15" s="14">
        <v>125</v>
      </c>
      <c r="I15" s="14"/>
      <c r="J15" s="14"/>
      <c r="L15" s="16"/>
      <c r="M15" s="16"/>
      <c r="N15" s="16"/>
      <c r="O15" s="17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74"/>
      <c r="AA15" s="16"/>
      <c r="AB15" s="16"/>
      <c r="AC15" s="17"/>
      <c r="AD15" s="18"/>
      <c r="AE15" s="16"/>
      <c r="AF15" s="16"/>
      <c r="AG15" s="16"/>
      <c r="AJ15" s="13" t="str">
        <f t="shared" si="0"/>
        <v>ВВГнг(А)-LS (3х6) 2</v>
      </c>
      <c r="AK15" s="14" t="s">
        <v>76</v>
      </c>
      <c r="AL15" t="s">
        <v>12</v>
      </c>
      <c r="AM15">
        <v>3</v>
      </c>
      <c r="AN15">
        <v>6</v>
      </c>
      <c r="AO15">
        <v>2</v>
      </c>
      <c r="AU15" s="26"/>
      <c r="AV15" s="26"/>
      <c r="AW15" s="26"/>
      <c r="AY15" s="26"/>
      <c r="AZ15" s="74"/>
      <c r="BA15" s="26"/>
      <c r="BB15" s="26"/>
      <c r="BC15" s="26"/>
      <c r="BD15" s="79"/>
      <c r="BE15" s="37" t="s">
        <v>592</v>
      </c>
      <c r="BF15" s="38">
        <f>COUNTIF(Однолинейка!$BU$3:$BU$1000,1)</f>
        <v>25</v>
      </c>
      <c r="BH15" s="38" t="str">
        <f>IFERROR(INDEX(Однолинейка!$A$1:$A$1000,(MATCH(11,Однолинейка!$BS$1:$BS$1000,0))),"")</f>
        <v/>
      </c>
      <c r="BI15" s="38" t="str">
        <f>IFERROR(INDEX(Однолинейка!$AW$1:$AW$1000,(MATCH(11,Однолинейка!$BS$1:$BS$1000,0))),"")</f>
        <v/>
      </c>
      <c r="BJ15" s="38" t="str">
        <f>IF(BI15="","",INDEX(Однолинейка!$AI$1:$AI$1000,(MATCH(11,Однолинейка!$BS$1:$BS$1000,0))))</f>
        <v/>
      </c>
      <c r="BK15" s="38" t="str">
        <f t="shared" si="1"/>
        <v/>
      </c>
      <c r="BL15" s="38" t="str">
        <f>IF(BI15="","",_xlfn.MAXIFS(Однолинейка!$O$3:$O$1000,Однолинейка!$AH$3:$AH$1000,BI15,Однолинейка!$A$3:$A$1000,BH15))</f>
        <v/>
      </c>
      <c r="BM15" s="38" t="str">
        <f>IF(BI15="","",COUNTIFS(Однолинейка!$AH$3:$AH$1000,BI15,Однолинейка!$A$3:$A$1000,BH15,Однолинейка!$N$3:$N$1000,"р"))</f>
        <v/>
      </c>
      <c r="BN15" s="38" t="str">
        <f t="shared" si="2"/>
        <v/>
      </c>
      <c r="BT15" s="74"/>
      <c r="BU15" s="74"/>
      <c r="BX15" s="74">
        <v>120</v>
      </c>
      <c r="BY15" s="74">
        <v>385</v>
      </c>
      <c r="BZ15" s="74">
        <v>300</v>
      </c>
      <c r="CA15" s="74">
        <v>260</v>
      </c>
    </row>
    <row r="16" spans="1:79" x14ac:dyDescent="0.3">
      <c r="B16" s="14">
        <v>95</v>
      </c>
      <c r="C16" s="14">
        <v>6.0199999999999997E-2</v>
      </c>
      <c r="D16" s="14">
        <v>2.2499999999999999E-2</v>
      </c>
      <c r="F16" s="14">
        <v>112.5</v>
      </c>
      <c r="G16" s="14">
        <v>160</v>
      </c>
      <c r="I16" s="14"/>
      <c r="J16" s="14"/>
      <c r="L16" s="16"/>
      <c r="M16" s="21"/>
      <c r="N16" s="16"/>
      <c r="O16" s="17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74"/>
      <c r="AA16" s="16"/>
      <c r="AB16" s="16"/>
      <c r="AC16" s="17"/>
      <c r="AD16" s="18"/>
      <c r="AE16" s="16"/>
      <c r="AF16" s="16"/>
      <c r="AG16" s="16"/>
      <c r="AJ16" s="13" t="str">
        <f t="shared" si="0"/>
        <v>ВВГнг(А)-LS (5х1,5) 1</v>
      </c>
      <c r="AK16" s="14" t="s">
        <v>77</v>
      </c>
      <c r="AL16" t="s">
        <v>12</v>
      </c>
      <c r="AM16">
        <v>5</v>
      </c>
      <c r="AN16">
        <v>1.5</v>
      </c>
      <c r="AO16">
        <v>1</v>
      </c>
      <c r="AU16" s="26"/>
      <c r="AV16" s="26"/>
      <c r="AW16" s="26"/>
      <c r="AY16" s="26"/>
      <c r="AZ16" s="74"/>
      <c r="BA16" s="26"/>
      <c r="BB16" s="26"/>
      <c r="BC16" s="26"/>
      <c r="BD16" s="79"/>
      <c r="BE16" s="37" t="s">
        <v>844</v>
      </c>
      <c r="BF16" s="38" t="e">
        <f>COUNTIF(#REF!,"НЕ ОБЕСПЕЧЕНА")</f>
        <v>#REF!</v>
      </c>
      <c r="BH16" s="38" t="str">
        <f>IFERROR(INDEX(Однолинейка!$A$1:$A$1000,(MATCH(12,Однолинейка!$BS$1:$BS$1000,0))),"")</f>
        <v/>
      </c>
      <c r="BI16" s="38" t="str">
        <f>IFERROR(INDEX(Однолинейка!$AW$1:$AW$1000,(MATCH(12,Однолинейка!$BS$1:$BS$1000,0))),"")</f>
        <v/>
      </c>
      <c r="BJ16" s="38" t="str">
        <f>IF(BI16="","",INDEX(Однолинейка!$AI$1:$AI$1000,(MATCH(12,Однолинейка!$BS$1:$BS$1000,0))))</f>
        <v/>
      </c>
      <c r="BK16" s="38" t="str">
        <f t="shared" si="1"/>
        <v/>
      </c>
      <c r="BL16" s="38" t="str">
        <f>IF(BI16="","",_xlfn.MAXIFS(Однолинейка!$O$3:$O$1000,Однолинейка!$AH$3:$AH$1000,BI16,Однолинейка!$A$3:$A$1000,BH16))</f>
        <v/>
      </c>
      <c r="BM16" s="38" t="str">
        <f>IF(BI16="","",COUNTIFS(Однолинейка!$AH$3:$AH$1000,BI16,Однолинейка!$A$3:$A$1000,BH16,Однолинейка!$N$3:$N$1000,"р"))</f>
        <v/>
      </c>
      <c r="BN16" s="38" t="str">
        <f t="shared" si="2"/>
        <v/>
      </c>
      <c r="BP16" s="35" t="s">
        <v>593</v>
      </c>
      <c r="BQ16" s="35"/>
      <c r="BR16" s="35" t="s">
        <v>594</v>
      </c>
      <c r="BT16" s="74"/>
      <c r="BU16" s="74"/>
      <c r="BX16" s="74">
        <v>150</v>
      </c>
      <c r="BY16" s="74">
        <v>440</v>
      </c>
      <c r="BZ16" s="74">
        <v>350</v>
      </c>
      <c r="CA16" s="74">
        <v>305</v>
      </c>
    </row>
    <row r="17" spans="2:79" x14ac:dyDescent="0.3">
      <c r="B17" s="14">
        <v>150</v>
      </c>
      <c r="C17" s="14">
        <v>5.96E-2</v>
      </c>
      <c r="D17" s="14">
        <v>2.2499999999999999E-2</v>
      </c>
      <c r="F17" s="14">
        <v>144</v>
      </c>
      <c r="G17" s="14">
        <v>200</v>
      </c>
      <c r="I17" s="14"/>
      <c r="J17" s="14"/>
      <c r="L17" s="16"/>
      <c r="M17" s="16"/>
      <c r="N17" s="16"/>
      <c r="O17" s="17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74"/>
      <c r="AA17" s="23"/>
      <c r="AB17" s="23"/>
      <c r="AC17" s="17"/>
      <c r="AD17" s="18"/>
      <c r="AE17" s="16"/>
      <c r="AF17" s="16"/>
      <c r="AG17" s="16"/>
      <c r="AJ17" s="13" t="str">
        <f t="shared" si="0"/>
        <v>ВВГнг(А)-LS (5х1,5) 2</v>
      </c>
      <c r="AK17" s="14" t="s">
        <v>78</v>
      </c>
      <c r="AL17" t="s">
        <v>12</v>
      </c>
      <c r="AM17">
        <v>5</v>
      </c>
      <c r="AN17">
        <v>1.5</v>
      </c>
      <c r="AO17">
        <v>2</v>
      </c>
      <c r="AU17" s="26"/>
      <c r="AY17" s="26"/>
      <c r="AZ17" s="74"/>
      <c r="BA17" s="26"/>
      <c r="BB17" s="26"/>
      <c r="BC17" s="26"/>
      <c r="BD17" s="79"/>
      <c r="BH17" s="38" t="str">
        <f>IFERROR(INDEX(Однолинейка!$A$1:$A$1000,(MATCH(13,Однолинейка!$BS$1:$BS$1000,0))),"")</f>
        <v/>
      </c>
      <c r="BI17" s="38" t="str">
        <f>IFERROR(INDEX(Однолинейка!$AW$1:$AW$1000,(MATCH(13,Однолинейка!$BS$1:$BS$1000,0))),"")</f>
        <v/>
      </c>
      <c r="BJ17" s="38" t="str">
        <f>IF(BI17="","",INDEX(Однолинейка!$AI$1:$AI$1000,(MATCH(13,Однолинейка!$BS$1:$BS$1000,0))))</f>
        <v/>
      </c>
      <c r="BK17" s="38" t="str">
        <f t="shared" si="1"/>
        <v/>
      </c>
      <c r="BL17" s="38" t="str">
        <f>IF(BI17="","",_xlfn.MAXIFS(Однолинейка!$O$3:$O$1000,Однолинейка!$AH$3:$AH$1000,BI17,Однолинейка!$A$3:$A$1000,BH17))</f>
        <v/>
      </c>
      <c r="BM17" s="38" t="str">
        <f>IF(BI17="","",COUNTIFS(Однолинейка!$AH$3:$AH$1000,BI17,Однолинейка!$A$3:$A$1000,BH17,Однолинейка!$N$3:$N$1000,"р"))</f>
        <v/>
      </c>
      <c r="BN17" s="38" t="str">
        <f t="shared" si="2"/>
        <v/>
      </c>
      <c r="BP17" s="38" t="s">
        <v>566</v>
      </c>
      <c r="BR17" s="37" t="s">
        <v>597</v>
      </c>
      <c r="BT17" s="74"/>
      <c r="BU17" s="74"/>
      <c r="BX17" s="74">
        <v>185</v>
      </c>
      <c r="BY17" s="74">
        <v>510</v>
      </c>
      <c r="BZ17" s="74">
        <v>405</v>
      </c>
      <c r="CA17" s="74">
        <v>350</v>
      </c>
    </row>
    <row r="18" spans="2:79" x14ac:dyDescent="0.3">
      <c r="B18" s="14">
        <v>185</v>
      </c>
      <c r="C18" s="14">
        <v>5.96E-2</v>
      </c>
      <c r="D18" s="14">
        <v>2.2499999999999999E-2</v>
      </c>
      <c r="F18" s="14">
        <v>180</v>
      </c>
      <c r="G18" s="14">
        <v>250</v>
      </c>
      <c r="I18" s="14"/>
      <c r="J18" s="14"/>
      <c r="L18" s="16"/>
      <c r="M18" s="16"/>
      <c r="N18" s="16"/>
      <c r="O18" s="17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74"/>
      <c r="AA18" s="23"/>
      <c r="AB18" s="23"/>
      <c r="AC18" s="17"/>
      <c r="AD18" s="18"/>
      <c r="AE18" s="16"/>
      <c r="AF18" s="16"/>
      <c r="AG18" s="16"/>
      <c r="AJ18" s="13" t="str">
        <f t="shared" si="0"/>
        <v>ВВГнг(А)-LS (5х2,5) 1</v>
      </c>
      <c r="AK18" s="14" t="s">
        <v>79</v>
      </c>
      <c r="AL18" t="s">
        <v>12</v>
      </c>
      <c r="AM18">
        <v>5</v>
      </c>
      <c r="AN18">
        <v>2.5</v>
      </c>
      <c r="AO18">
        <v>1</v>
      </c>
      <c r="AU18" s="26"/>
      <c r="AV18" s="26"/>
      <c r="AW18" s="26"/>
      <c r="AY18" s="26"/>
      <c r="AZ18" s="74"/>
      <c r="BA18" s="26"/>
      <c r="BB18" s="26"/>
      <c r="BC18" s="26"/>
      <c r="BD18" s="79"/>
      <c r="BE18" s="35" t="s">
        <v>601</v>
      </c>
      <c r="BF18" s="35"/>
      <c r="BH18" s="38" t="str">
        <f>IFERROR(INDEX(Однолинейка!$A$1:$A$1000,(MATCH(14,Однолинейка!$BS$1:$BS$1000,0))),"")</f>
        <v/>
      </c>
      <c r="BI18" s="38" t="str">
        <f>IFERROR(INDEX(Однолинейка!$AW$1:$AW$1000,(MATCH(14,Однолинейка!$BS$1:$BS$1000,0))),"")</f>
        <v/>
      </c>
      <c r="BJ18" s="38" t="str">
        <f>IF(BI18="","",INDEX(Однолинейка!$AI$1:$AI$1000,(MATCH(14,Однолинейка!$BS$1:$BS$1000,0))))</f>
        <v/>
      </c>
      <c r="BK18" s="38" t="str">
        <f t="shared" si="1"/>
        <v/>
      </c>
      <c r="BL18" s="38" t="str">
        <f>IF(BI18="","",_xlfn.MAXIFS(Однолинейка!$O$3:$O$1000,Однолинейка!$AH$3:$AH$1000,BI18,Однолинейка!$A$3:$A$1000,BH18))</f>
        <v/>
      </c>
      <c r="BM18" s="38" t="str">
        <f>IF(BI18="","",COUNTIFS(Однолинейка!$AH$3:$AH$1000,BI18,Однолинейка!$A$3:$A$1000,BH18,Однолинейка!$N$3:$N$1000,"р"))</f>
        <v/>
      </c>
      <c r="BN18" s="38" t="str">
        <f t="shared" si="2"/>
        <v/>
      </c>
      <c r="BP18" s="38" t="s">
        <v>602</v>
      </c>
      <c r="BR18" s="37" t="s">
        <v>603</v>
      </c>
      <c r="BT18" s="74"/>
      <c r="BU18" s="74"/>
      <c r="BX18" s="74">
        <v>240</v>
      </c>
      <c r="BY18" s="74">
        <v>605</v>
      </c>
      <c r="BZ18" s="74"/>
      <c r="CA18" s="74"/>
    </row>
    <row r="19" spans="2:79" x14ac:dyDescent="0.3">
      <c r="B19" s="14">
        <v>240</v>
      </c>
      <c r="C19" s="14">
        <v>5.8700000000000002E-2</v>
      </c>
      <c r="D19" s="14">
        <v>2.2499999999999999E-2</v>
      </c>
      <c r="F19" s="14">
        <v>225</v>
      </c>
      <c r="G19" s="14">
        <v>315</v>
      </c>
      <c r="I19" s="14"/>
      <c r="J19" s="14"/>
      <c r="L19" s="16"/>
      <c r="M19" s="16"/>
      <c r="N19" s="16"/>
      <c r="O19" s="17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74"/>
      <c r="AA19" s="23"/>
      <c r="AB19" s="23"/>
      <c r="AC19" s="17"/>
      <c r="AD19" s="18"/>
      <c r="AE19" s="16"/>
      <c r="AF19" s="16"/>
      <c r="AG19" s="16"/>
      <c r="AJ19" s="13" t="str">
        <f t="shared" si="0"/>
        <v>ВВГнг(А)-LS (5х2,5) 2</v>
      </c>
      <c r="AK19" s="14" t="s">
        <v>80</v>
      </c>
      <c r="AL19" t="s">
        <v>12</v>
      </c>
      <c r="AM19">
        <v>5</v>
      </c>
      <c r="AN19">
        <v>2.5</v>
      </c>
      <c r="AO19">
        <v>2</v>
      </c>
      <c r="AU19" s="26"/>
      <c r="AV19" s="26"/>
      <c r="AW19" s="26"/>
      <c r="AX19" s="26"/>
      <c r="AY19" s="26"/>
      <c r="AZ19" s="74"/>
      <c r="BA19" s="26"/>
      <c r="BB19" s="26"/>
      <c r="BC19" s="26"/>
      <c r="BD19" s="79"/>
      <c r="BE19" s="37" t="s">
        <v>506</v>
      </c>
      <c r="BH19" s="38" t="str">
        <f>IFERROR(INDEX(Однолинейка!$A$1:$A$1000,(MATCH(15,Однолинейка!$BS$1:$BS$1000,0))),"")</f>
        <v/>
      </c>
      <c r="BI19" s="38" t="str">
        <f>IFERROR(INDEX(Однолинейка!$AW$1:$AW$1000,(MATCH(15,Однолинейка!$BS$1:$BS$1000,0))),"")</f>
        <v/>
      </c>
      <c r="BJ19" s="38" t="str">
        <f>IF(BI19="","",INDEX(Однолинейка!$AI$1:$AI$1000,(MATCH(15,Однолинейка!$BS$1:$BS$1000,0))))</f>
        <v/>
      </c>
      <c r="BK19" s="38" t="str">
        <f t="shared" si="1"/>
        <v/>
      </c>
      <c r="BL19" s="38" t="str">
        <f>IF(BI19="","",_xlfn.MAXIFS(Однолинейка!$O$3:$O$1000,Однолинейка!$AH$3:$AH$1000,BI19,Однолинейка!$A$3:$A$1000,BH19))</f>
        <v/>
      </c>
      <c r="BM19" s="38" t="str">
        <f>IF(BI19="","",COUNTIFS(Однолинейка!$AH$3:$AH$1000,BI19,Однолинейка!$A$3:$A$1000,BH19,Однолинейка!$N$3:$N$1000,"р"))</f>
        <v/>
      </c>
      <c r="BN19" s="38" t="str">
        <f t="shared" si="2"/>
        <v/>
      </c>
      <c r="BP19" s="38" t="s">
        <v>577</v>
      </c>
      <c r="BR19" s="37" t="s">
        <v>607</v>
      </c>
      <c r="BT19" s="74"/>
      <c r="BU19" s="74"/>
    </row>
    <row r="20" spans="2:79" x14ac:dyDescent="0.3">
      <c r="F20" s="14">
        <v>283.5</v>
      </c>
      <c r="G20" s="14">
        <v>400</v>
      </c>
      <c r="L20" s="16"/>
      <c r="M20" s="16"/>
      <c r="N20" s="16"/>
      <c r="O20" s="17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74"/>
      <c r="AA20" s="23"/>
      <c r="AB20" s="23"/>
      <c r="AC20" s="17"/>
      <c r="AD20" s="18"/>
      <c r="AE20" s="16"/>
      <c r="AF20" s="16"/>
      <c r="AG20" s="16"/>
      <c r="AJ20" s="13" t="str">
        <f t="shared" si="0"/>
        <v>ВВГнг(А)-LS (5х4) 1</v>
      </c>
      <c r="AK20" s="14" t="s">
        <v>81</v>
      </c>
      <c r="AL20" t="s">
        <v>12</v>
      </c>
      <c r="AM20">
        <v>5</v>
      </c>
      <c r="AN20">
        <v>4</v>
      </c>
      <c r="AO20">
        <v>1</v>
      </c>
      <c r="AU20" s="26"/>
      <c r="AV20" s="26"/>
      <c r="AW20" s="26"/>
      <c r="AX20" s="26"/>
      <c r="AY20" s="26"/>
      <c r="AZ20" s="74"/>
      <c r="BA20" s="26"/>
      <c r="BB20" s="26"/>
      <c r="BC20" s="26"/>
      <c r="BD20" s="79"/>
      <c r="BE20" s="37" t="s">
        <v>611</v>
      </c>
      <c r="BH20" s="38" t="str">
        <f>IFERROR(INDEX(Однолинейка!$A$1:$A$1000,(MATCH(16,Однолинейка!$BS$1:$BS$1000,0))),"")</f>
        <v/>
      </c>
      <c r="BI20" s="38" t="str">
        <f>IFERROR(INDEX(Однолинейка!$AW$1:$AW$1000,(MATCH(16,Однолинейка!$BS$1:$BS$1000,0))),"")</f>
        <v/>
      </c>
      <c r="BJ20" s="38" t="str">
        <f>IF(BI20="","",INDEX(Однолинейка!$AI$1:$AI$1000,(MATCH(16,Однолинейка!$BS$1:$BS$1000,0))))</f>
        <v/>
      </c>
      <c r="BK20" s="38" t="str">
        <f t="shared" si="1"/>
        <v/>
      </c>
      <c r="BL20" s="38" t="str">
        <f>IF(BI20="","",_xlfn.MAXIFS(Однолинейка!$O$3:$O$1000,Однолинейка!$AH$3:$AH$1000,BI20,Однолинейка!$A$3:$A$1000,BH20))</f>
        <v/>
      </c>
      <c r="BM20" s="38" t="str">
        <f>IF(BI20="","",COUNTIFS(Однолинейка!$AH$3:$AH$1000,BI20,Однолинейка!$A$3:$A$1000,BH20,Однолинейка!$N$3:$N$1000,"р"))</f>
        <v/>
      </c>
      <c r="BN20" s="38" t="str">
        <f t="shared" si="2"/>
        <v/>
      </c>
      <c r="BP20" s="38" t="s">
        <v>551</v>
      </c>
      <c r="BR20" s="37" t="s">
        <v>612</v>
      </c>
      <c r="BT20" s="74"/>
      <c r="BU20" s="74"/>
      <c r="BX20" s="37" t="s">
        <v>614</v>
      </c>
    </row>
    <row r="21" spans="2:79" x14ac:dyDescent="0.3">
      <c r="F21" s="14">
        <v>360</v>
      </c>
      <c r="G21" s="14">
        <v>500</v>
      </c>
      <c r="L21" s="16"/>
      <c r="M21" s="16"/>
      <c r="N21" s="16"/>
      <c r="O21" s="17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74"/>
      <c r="AA21" s="23"/>
      <c r="AB21" s="23"/>
      <c r="AC21" s="17"/>
      <c r="AD21" s="18"/>
      <c r="AE21" s="16"/>
      <c r="AF21" s="16"/>
      <c r="AG21" s="16"/>
      <c r="AJ21" s="13" t="str">
        <f t="shared" si="0"/>
        <v>ВВГнг(А)-LS (5х4) 2</v>
      </c>
      <c r="AK21" s="14" t="s">
        <v>82</v>
      </c>
      <c r="AL21" t="s">
        <v>12</v>
      </c>
      <c r="AM21">
        <v>5</v>
      </c>
      <c r="AN21">
        <v>4</v>
      </c>
      <c r="AO21">
        <v>2</v>
      </c>
      <c r="AU21" s="26"/>
      <c r="AY21" s="26"/>
      <c r="AZ21" s="74"/>
      <c r="BA21" s="26"/>
      <c r="BB21" s="26"/>
      <c r="BC21" s="26"/>
      <c r="BD21" s="79"/>
      <c r="BE21" s="37" t="s">
        <v>617</v>
      </c>
      <c r="BH21" s="38" t="str">
        <f>IFERROR(INDEX(Однолинейка!$A$1:$A$1000,(MATCH(17,Однолинейка!$BS$1:$BS$1000,0))),"")</f>
        <v/>
      </c>
      <c r="BI21" s="38" t="str">
        <f>IFERROR(INDEX(Однолинейка!$AW$1:$AW$1000,(MATCH(17,Однолинейка!$BS$1:$BS$1000,0))),"")</f>
        <v/>
      </c>
      <c r="BJ21" s="38" t="str">
        <f>IF(BI21="","",INDEX(Однолинейка!$AI$1:$AI$1000,(MATCH(17,Однолинейка!$BS$1:$BS$1000,0))))</f>
        <v/>
      </c>
      <c r="BK21" s="38" t="str">
        <f t="shared" si="1"/>
        <v/>
      </c>
      <c r="BL21" s="38" t="str">
        <f>IF(BI21="","",_xlfn.MAXIFS(Однолинейка!$O$3:$O$1000,Однолинейка!$AH$3:$AH$1000,BI21,Однолинейка!$A$3:$A$1000,BH21))</f>
        <v/>
      </c>
      <c r="BM21" s="38" t="str">
        <f>IF(BI21="","",COUNTIFS(Однолинейка!$AH$3:$AH$1000,BI21,Однолинейка!$A$3:$A$1000,BH21,Однолинейка!$N$3:$N$1000,"р"))</f>
        <v/>
      </c>
      <c r="BN21" s="38" t="str">
        <f t="shared" si="2"/>
        <v/>
      </c>
      <c r="BT21" s="74"/>
      <c r="BU21" s="74"/>
    </row>
    <row r="22" spans="2:79" x14ac:dyDescent="0.3">
      <c r="F22" s="14">
        <v>450</v>
      </c>
      <c r="G22" s="14">
        <v>630</v>
      </c>
      <c r="L22" s="16"/>
      <c r="M22" s="16"/>
      <c r="N22" s="16"/>
      <c r="O22" s="17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74"/>
      <c r="AA22" s="23"/>
      <c r="AB22" s="23"/>
      <c r="AC22" s="17"/>
      <c r="AD22" s="18"/>
      <c r="AE22" s="16"/>
      <c r="AF22" s="16"/>
      <c r="AG22" s="16"/>
      <c r="AJ22" s="13" t="str">
        <f t="shared" si="0"/>
        <v>ВВГнг(А)-LS (5х6) 1</v>
      </c>
      <c r="AK22" s="14" t="s">
        <v>83</v>
      </c>
      <c r="AL22" t="s">
        <v>12</v>
      </c>
      <c r="AM22">
        <v>5</v>
      </c>
      <c r="AN22">
        <v>6</v>
      </c>
      <c r="AO22">
        <v>1</v>
      </c>
      <c r="AU22" s="26"/>
      <c r="AV22" s="26"/>
      <c r="AW22" s="26"/>
      <c r="AY22" s="26"/>
      <c r="AZ22" s="74"/>
      <c r="BA22" s="26"/>
      <c r="BB22" s="26"/>
      <c r="BC22" s="26"/>
      <c r="BD22" s="79"/>
      <c r="BE22" s="37" t="s">
        <v>619</v>
      </c>
      <c r="BH22" s="38" t="str">
        <f>IFERROR(INDEX(Однолинейка!$A$1:$A$1000,(MATCH(18,Однолинейка!$BS$1:$BS$1000,0))),"")</f>
        <v/>
      </c>
      <c r="BI22" s="38" t="str">
        <f>IFERROR(INDEX(Однолинейка!$AW$1:$AW$1000,(MATCH(18,Однолинейка!$BS$1:$BS$1000,0))),"")</f>
        <v/>
      </c>
      <c r="BJ22" s="38" t="str">
        <f>IF(BI22="","",INDEX(Однолинейка!$AI$1:$AI$1000,(MATCH(18,Однолинейка!$BS$1:$BS$1000,0))))</f>
        <v/>
      </c>
      <c r="BK22" s="38" t="str">
        <f t="shared" si="1"/>
        <v/>
      </c>
      <c r="BL22" s="38" t="str">
        <f>IF(BI22="","",_xlfn.MAXIFS(Однолинейка!$O$3:$O$1000,Однолинейка!$AH$3:$AH$1000,BI22,Однолинейка!$A$3:$A$1000,BH22))</f>
        <v/>
      </c>
      <c r="BM22" s="38" t="str">
        <f>IF(BI22="","",COUNTIFS(Однолинейка!$AH$3:$AH$1000,BI22,Однолинейка!$A$3:$A$1000,BH22,Однолинейка!$N$3:$N$1000,"р"))</f>
        <v/>
      </c>
      <c r="BN22" s="38" t="str">
        <f t="shared" si="2"/>
        <v/>
      </c>
      <c r="BP22" s="35" t="s">
        <v>620</v>
      </c>
      <c r="BQ22" s="35"/>
      <c r="BT22" s="74"/>
      <c r="BU22" s="74"/>
    </row>
    <row r="23" spans="2:79" x14ac:dyDescent="0.3">
      <c r="F23" s="14">
        <v>567</v>
      </c>
      <c r="G23" s="14" t="s">
        <v>8</v>
      </c>
      <c r="L23" s="16"/>
      <c r="M23" s="16"/>
      <c r="N23" s="16"/>
      <c r="O23" s="17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74"/>
      <c r="AA23" s="23"/>
      <c r="AB23" s="23"/>
      <c r="AC23" s="17"/>
      <c r="AD23" s="18"/>
      <c r="AE23" s="16"/>
      <c r="AF23" s="16"/>
      <c r="AG23" s="16"/>
      <c r="AJ23" s="13" t="str">
        <f t="shared" si="0"/>
        <v>ВВГнг(А)-LS (5х6) 2</v>
      </c>
      <c r="AK23" s="14" t="s">
        <v>84</v>
      </c>
      <c r="AL23" t="s">
        <v>12</v>
      </c>
      <c r="AM23">
        <v>5</v>
      </c>
      <c r="AN23">
        <v>6</v>
      </c>
      <c r="AO23">
        <v>2</v>
      </c>
      <c r="AU23" s="26"/>
      <c r="AY23" s="26"/>
      <c r="AZ23" s="74"/>
      <c r="BA23" s="26"/>
      <c r="BB23" s="26"/>
      <c r="BC23" s="26"/>
      <c r="BD23" s="79"/>
      <c r="BE23" s="37" t="s">
        <v>622</v>
      </c>
      <c r="BH23" s="38" t="str">
        <f>IFERROR(INDEX(Однолинейка!$A$1:$A$1000,(MATCH(19,Однолинейка!$BS$1:$BS$1000,0))),"")</f>
        <v/>
      </c>
      <c r="BI23" s="38" t="str">
        <f>IFERROR(INDEX(Однолинейка!$AW$1:$AW$1000,(MATCH(19,Однолинейка!$BS$1:$BS$1000,0))),"")</f>
        <v/>
      </c>
      <c r="BJ23" s="38" t="str">
        <f>IF(BI23="","",INDEX(Однолинейка!$AI$1:$AI$1000,(MATCH(19,Однолинейка!$BS$1:$BS$1000,0))))</f>
        <v/>
      </c>
      <c r="BK23" s="38" t="str">
        <f t="shared" si="1"/>
        <v/>
      </c>
      <c r="BL23" s="38" t="str">
        <f>IF(BI23="","",_xlfn.MAXIFS(Однолинейка!$O$3:$O$1000,Однолинейка!$AH$3:$AH$1000,BI23,Однолинейка!$A$3:$A$1000,BH23))</f>
        <v/>
      </c>
      <c r="BM23" s="38" t="str">
        <f>IF(BI23="","",COUNTIFS(Однолинейка!$AH$3:$AH$1000,BI23,Однолинейка!$A$3:$A$1000,BH23,Однолинейка!$N$3:$N$1000,"р"))</f>
        <v/>
      </c>
      <c r="BN23" s="38" t="str">
        <f t="shared" si="2"/>
        <v/>
      </c>
      <c r="BR23" s="37" t="s">
        <v>623</v>
      </c>
      <c r="BT23" s="74"/>
      <c r="BU23" s="74"/>
    </row>
    <row r="24" spans="2:79" x14ac:dyDescent="0.3">
      <c r="L24" s="16"/>
      <c r="M24" s="16"/>
      <c r="N24" s="16"/>
      <c r="O24" s="17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74"/>
      <c r="AA24" s="23"/>
      <c r="AB24" s="23"/>
      <c r="AC24" s="17"/>
      <c r="AD24" s="18"/>
      <c r="AE24" s="16"/>
      <c r="AF24" s="16"/>
      <c r="AG24" s="16"/>
      <c r="AJ24" s="13" t="str">
        <f t="shared" si="0"/>
        <v>ВВГнг(А)-LS (5х10) 1</v>
      </c>
      <c r="AK24" s="14" t="s">
        <v>85</v>
      </c>
      <c r="AL24" t="s">
        <v>12</v>
      </c>
      <c r="AM24">
        <v>5</v>
      </c>
      <c r="AN24">
        <v>10</v>
      </c>
      <c r="AO24">
        <v>1</v>
      </c>
      <c r="AU24" s="26"/>
      <c r="AV24" s="26"/>
      <c r="AW24" s="26"/>
      <c r="AY24" s="26"/>
      <c r="AZ24" s="74"/>
      <c r="BA24" s="26"/>
      <c r="BB24" s="26"/>
      <c r="BC24" s="26"/>
      <c r="BD24" s="79"/>
      <c r="BE24" s="37" t="s">
        <v>625</v>
      </c>
      <c r="BH24" s="38" t="str">
        <f>IFERROR(INDEX(Однолинейка!$A$1:$A$1000,(MATCH(20,Однолинейка!$BS$1:$BS$1000,0))),"")</f>
        <v/>
      </c>
      <c r="BI24" s="38" t="str">
        <f>IFERROR(INDEX(Однолинейка!$AW$1:$AW$1000,(MATCH(20,Однолинейка!$BS$1:$BS$1000,0))),"")</f>
        <v/>
      </c>
      <c r="BJ24" s="38" t="str">
        <f>IF(BI24="","",INDEX(Однолинейка!$AI$1:$AI$1000,(MATCH(20,Однолинейка!$BS$1:$BS$1000,0))))</f>
        <v/>
      </c>
      <c r="BK24" s="38" t="str">
        <f t="shared" si="1"/>
        <v/>
      </c>
      <c r="BL24" s="38" t="str">
        <f>IF(BI24="","",_xlfn.MAXIFS(Однолинейка!$O$3:$O$1000,Однолинейка!$AH$3:$AH$1000,BI24,Однолинейка!$A$3:$A$1000,BH24))</f>
        <v/>
      </c>
      <c r="BM24" s="38" t="str">
        <f>IF(BI24="","",COUNTIFS(Однолинейка!$AH$3:$AH$1000,BI24,Однолинейка!$A$3:$A$1000,BH24,Однолинейка!$N$3:$N$1000,"р"))</f>
        <v/>
      </c>
      <c r="BN24" s="38" t="str">
        <f t="shared" si="2"/>
        <v/>
      </c>
      <c r="BR24" s="37" t="s">
        <v>626</v>
      </c>
      <c r="BT24" s="74"/>
      <c r="BU24" s="74"/>
    </row>
    <row r="25" spans="2:79" x14ac:dyDescent="0.3">
      <c r="L25" s="16"/>
      <c r="M25" s="16"/>
      <c r="N25" s="16"/>
      <c r="O25" s="17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74"/>
      <c r="AA25" s="23"/>
      <c r="AB25" s="23"/>
      <c r="AC25" s="17"/>
      <c r="AD25" s="18"/>
      <c r="AE25" s="16"/>
      <c r="AF25" s="16"/>
      <c r="AG25" s="16"/>
      <c r="AJ25" s="13" t="str">
        <f t="shared" si="0"/>
        <v>ВВГнг(А)-LS (5х10) 2</v>
      </c>
      <c r="AK25" s="14" t="s">
        <v>86</v>
      </c>
      <c r="AL25" t="s">
        <v>12</v>
      </c>
      <c r="AM25">
        <v>5</v>
      </c>
      <c r="AN25">
        <v>10</v>
      </c>
      <c r="AO25">
        <v>2</v>
      </c>
      <c r="AU25" s="26"/>
      <c r="AV25" s="26"/>
      <c r="AW25" s="26"/>
      <c r="AY25" s="26"/>
      <c r="AZ25" s="74"/>
      <c r="BA25" s="26"/>
      <c r="BB25" s="26"/>
      <c r="BC25" s="26"/>
      <c r="BD25" s="79"/>
      <c r="BE25" s="37" t="s">
        <v>627</v>
      </c>
      <c r="BH25" s="38" t="str">
        <f>IFERROR(INDEX(Однолинейка!$A$1:$A$1000,(MATCH(21,Однолинейка!$BS$1:$BS$1000,0))),"")</f>
        <v/>
      </c>
      <c r="BI25" s="38" t="str">
        <f>IFERROR(INDEX(Однолинейка!$AW$1:$AW$1000,(MATCH(21,Однолинейка!$BS$1:$BS$1000,0))),"")</f>
        <v/>
      </c>
      <c r="BJ25" s="38" t="str">
        <f>IF(BI25="","",INDEX(Однолинейка!$AI$1:$AI$1000,(MATCH(21,Однолинейка!$BS$1:$BS$1000,0))))</f>
        <v/>
      </c>
      <c r="BK25" s="38" t="str">
        <f t="shared" si="1"/>
        <v/>
      </c>
      <c r="BL25" s="38" t="str">
        <f>IF(BI25="","",_xlfn.MAXIFS(Однолинейка!$O$3:$O$1000,Однолинейка!$AH$3:$AH$1000,BI25,Однолинейка!$A$3:$A$1000,BH25))</f>
        <v/>
      </c>
      <c r="BM25" s="38" t="str">
        <f>IF(BI25="","",COUNTIFS(Однолинейка!$AH$3:$AH$1000,BI25,Однолинейка!$A$3:$A$1000,BH25,Однолинейка!$N$3:$N$1000,"р"))</f>
        <v/>
      </c>
      <c r="BN25" s="38" t="str">
        <f t="shared" si="2"/>
        <v/>
      </c>
      <c r="BR25" s="37" t="s">
        <v>628</v>
      </c>
      <c r="BT25" s="74"/>
      <c r="BU25" s="74"/>
    </row>
    <row r="26" spans="2:79" x14ac:dyDescent="0.3">
      <c r="L26" s="16"/>
      <c r="M26" s="16"/>
      <c r="N26" s="16"/>
      <c r="O26" s="17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74"/>
      <c r="AA26" s="23"/>
      <c r="AB26" s="23"/>
      <c r="AC26" s="17"/>
      <c r="AD26" s="17"/>
      <c r="AE26" s="17"/>
      <c r="AF26" s="17"/>
      <c r="AG26" s="17"/>
      <c r="AJ26" s="13" t="str">
        <f t="shared" si="0"/>
        <v>ВВГнг(А)-LS (5х16) 1</v>
      </c>
      <c r="AK26" s="14" t="s">
        <v>87</v>
      </c>
      <c r="AL26" t="s">
        <v>12</v>
      </c>
      <c r="AM26">
        <v>5</v>
      </c>
      <c r="AN26">
        <v>16</v>
      </c>
      <c r="AO26">
        <v>1</v>
      </c>
      <c r="AU26" s="26"/>
      <c r="AY26" s="26"/>
      <c r="AZ26" s="74"/>
      <c r="BA26" s="26"/>
      <c r="BB26" s="26"/>
      <c r="BC26" s="26"/>
      <c r="BD26" s="79"/>
      <c r="BE26" s="37" t="s">
        <v>629</v>
      </c>
      <c r="BH26" s="38" t="str">
        <f>IFERROR(INDEX(Однолинейка!$A$1:$A$1000,(MATCH(22,Однолинейка!$BS$1:$BS$1000,0))),"")</f>
        <v/>
      </c>
      <c r="BI26" s="38" t="str">
        <f>IFERROR(INDEX(Однолинейка!$AW$1:$AW$1000,(MATCH(22,Однолинейка!$BS$1:$BS$1000,0))),"")</f>
        <v/>
      </c>
      <c r="BJ26" s="38" t="str">
        <f>IF(BI26="","",INDEX(Однолинейка!$AI$1:$AI$1000,(MATCH(22,Однолинейка!$BS$1:$BS$1000,0))))</f>
        <v/>
      </c>
      <c r="BK26" s="38" t="str">
        <f t="shared" si="1"/>
        <v/>
      </c>
      <c r="BL26" s="38" t="str">
        <f>IF(BI26="","",_xlfn.MAXIFS(Однолинейка!$O$3:$O$1000,Однолинейка!$AH$3:$AH$1000,BI26,Однолинейка!$A$3:$A$1000,BH26))</f>
        <v/>
      </c>
      <c r="BM26" s="38" t="str">
        <f>IF(BI26="","",COUNTIFS(Однолинейка!$AH$3:$AH$1000,BI26,Однолинейка!$A$3:$A$1000,BH26,Однолинейка!$N$3:$N$1000,"р"))</f>
        <v/>
      </c>
      <c r="BN26" s="38" t="str">
        <f t="shared" si="2"/>
        <v/>
      </c>
      <c r="BR26" s="37" t="s">
        <v>630</v>
      </c>
      <c r="BT26" s="74"/>
      <c r="BU26" s="74"/>
    </row>
    <row r="27" spans="2:79" x14ac:dyDescent="0.3">
      <c r="L27" s="16"/>
      <c r="M27" s="16"/>
      <c r="N27" s="16"/>
      <c r="O27" s="17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74"/>
      <c r="AA27" s="23"/>
      <c r="AB27" s="23"/>
      <c r="AC27" s="17"/>
      <c r="AD27" s="17"/>
      <c r="AE27" s="17"/>
      <c r="AF27" s="17"/>
      <c r="AG27" s="17"/>
      <c r="AJ27" s="13" t="str">
        <f t="shared" si="0"/>
        <v>ВВГнг(А)-LS (5х16) 2</v>
      </c>
      <c r="AK27" s="14" t="s">
        <v>88</v>
      </c>
      <c r="AL27" t="s">
        <v>12</v>
      </c>
      <c r="AM27">
        <v>5</v>
      </c>
      <c r="AN27">
        <v>16</v>
      </c>
      <c r="AO27">
        <v>2</v>
      </c>
      <c r="AU27" s="26"/>
      <c r="AY27" s="26"/>
      <c r="AZ27" s="74"/>
      <c r="BA27" s="26"/>
      <c r="BB27" s="26"/>
      <c r="BC27" s="26"/>
      <c r="BD27" s="79"/>
      <c r="BH27" s="38" t="str">
        <f>IFERROR(INDEX(Однолинейка!$A$1:$A$1000,(MATCH(23,Однолинейка!$BS$1:$BS$1000,0))),"")</f>
        <v/>
      </c>
      <c r="BI27" s="38" t="str">
        <f>IFERROR(INDEX(Однолинейка!$AW$1:$AW$1000,(MATCH(23,Однолинейка!$BS$1:$BS$1000,0))),"")</f>
        <v/>
      </c>
      <c r="BJ27" s="38" t="str">
        <f>IF(BI27="","",INDEX(Однолинейка!$AI$1:$AI$1000,(MATCH(23,Однолинейка!$BS$1:$BS$1000,0))))</f>
        <v/>
      </c>
      <c r="BK27" s="38" t="str">
        <f t="shared" si="1"/>
        <v/>
      </c>
      <c r="BL27" s="38" t="str">
        <f>IF(BI27="","",_xlfn.MAXIFS(Однолинейка!$O$3:$O$1000,Однолинейка!$AH$3:$AH$1000,BI27,Однолинейка!$A$3:$A$1000,BH27))</f>
        <v/>
      </c>
      <c r="BM27" s="38" t="str">
        <f>IF(BI27="","",COUNTIFS(Однолинейка!$AH$3:$AH$1000,BI27,Однолинейка!$A$3:$A$1000,BH27,Однолинейка!$N$3:$N$1000,"р"))</f>
        <v/>
      </c>
      <c r="BN27" s="38" t="str">
        <f t="shared" si="2"/>
        <v/>
      </c>
      <c r="BT27" s="74"/>
      <c r="BU27" s="74"/>
    </row>
    <row r="28" spans="2:79" ht="27.6" x14ac:dyDescent="0.3">
      <c r="L28" s="16"/>
      <c r="M28" s="16"/>
      <c r="N28" s="16"/>
      <c r="O28" s="17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74"/>
      <c r="AA28" s="23"/>
      <c r="AB28" s="23"/>
      <c r="AC28" s="17"/>
      <c r="AD28" s="17"/>
      <c r="AE28" s="17"/>
      <c r="AF28" s="17"/>
      <c r="AG28" s="17"/>
      <c r="AJ28" s="13" t="str">
        <f t="shared" si="0"/>
        <v>ВВГнг(А)-LS (5х25) 1</v>
      </c>
      <c r="AK28" s="14" t="s">
        <v>89</v>
      </c>
      <c r="AL28" t="s">
        <v>12</v>
      </c>
      <c r="AM28">
        <v>5</v>
      </c>
      <c r="AN28">
        <v>25</v>
      </c>
      <c r="AO28">
        <v>1</v>
      </c>
      <c r="AU28" s="26"/>
      <c r="AY28" s="26"/>
      <c r="AZ28" s="74"/>
      <c r="BA28" s="26"/>
      <c r="BB28" s="26"/>
      <c r="BC28" s="26"/>
      <c r="BD28" s="79"/>
      <c r="BH28" s="38" t="str">
        <f>IFERROR(INDEX(Однолинейка!$A$1:$A$1000,(MATCH(24,Однолинейка!$BS$1:$BS$1000,0))),"")</f>
        <v/>
      </c>
      <c r="BI28" s="38" t="str">
        <f>IFERROR(INDEX(Однолинейка!$AW$1:$AW$1000,(MATCH(24,Однолинейка!$BS$1:$BS$1000,0))),"")</f>
        <v/>
      </c>
      <c r="BJ28" s="38" t="str">
        <f>IF(BI28="","",INDEX(Однолинейка!$AI$1:$AI$1000,(MATCH(24,Однолинейка!$BS$1:$BS$1000,0))))</f>
        <v/>
      </c>
      <c r="BK28" s="38" t="str">
        <f t="shared" si="1"/>
        <v/>
      </c>
      <c r="BL28" s="38" t="str">
        <f>IF(BI28="","",_xlfn.MAXIFS(Однолинейка!$O$3:$O$1000,Однолинейка!$AH$3:$AH$1000,BI28,Однолинейка!$A$3:$A$1000,BH28))</f>
        <v/>
      </c>
      <c r="BM28" s="38" t="str">
        <f>IF(BI28="","",COUNTIFS(Однолинейка!$AH$3:$AH$1000,BI28,Однолинейка!$A$3:$A$1000,BH28,Однолинейка!$N$3:$N$1000,"р"))</f>
        <v/>
      </c>
      <c r="BN28" s="38" t="str">
        <f t="shared" si="2"/>
        <v/>
      </c>
      <c r="BP28" s="35" t="s">
        <v>631</v>
      </c>
      <c r="BQ28" s="35"/>
      <c r="BT28" s="74"/>
      <c r="BU28" s="74"/>
    </row>
    <row r="29" spans="2:79" x14ac:dyDescent="0.3">
      <c r="L29" s="16"/>
      <c r="M29" s="16"/>
      <c r="N29" s="16"/>
      <c r="O29" s="17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74"/>
      <c r="AA29" s="23"/>
      <c r="AB29" s="23"/>
      <c r="AC29" s="17"/>
      <c r="AD29" s="17"/>
      <c r="AE29" s="17"/>
      <c r="AF29" s="17"/>
      <c r="AG29" s="17"/>
      <c r="AJ29" s="13" t="str">
        <f t="shared" si="0"/>
        <v>ВВГнг(А)-LS (5х25) 2</v>
      </c>
      <c r="AK29" s="14" t="s">
        <v>90</v>
      </c>
      <c r="AL29" t="s">
        <v>12</v>
      </c>
      <c r="AM29">
        <v>5</v>
      </c>
      <c r="AN29">
        <v>25</v>
      </c>
      <c r="AO29">
        <v>2</v>
      </c>
      <c r="AU29" s="26"/>
      <c r="AY29" s="26"/>
      <c r="AZ29" s="74"/>
      <c r="BA29" s="26"/>
      <c r="BB29" s="26"/>
      <c r="BC29" s="26"/>
      <c r="BD29" s="79"/>
      <c r="BH29" s="38" t="str">
        <f>IFERROR(INDEX(Однолинейка!$A$1:$A$1000,(MATCH(25,Однолинейка!$BS$1:$BS$1000,0))),"")</f>
        <v/>
      </c>
      <c r="BI29" s="38" t="str">
        <f>IFERROR(INDEX(Однолинейка!$AW$1:$AW$1000,(MATCH(25,Однолинейка!$BS$1:$BS$1000,0))),"")</f>
        <v/>
      </c>
      <c r="BJ29" s="38" t="str">
        <f>IF(BI29="","",INDEX(Однолинейка!$AI$1:$AI$1000,(MATCH(25,Однолинейка!$BS$1:$BS$1000,0))))</f>
        <v/>
      </c>
      <c r="BK29" s="38" t="str">
        <f t="shared" si="1"/>
        <v/>
      </c>
      <c r="BL29" s="38" t="str">
        <f>IF(BI29="","",_xlfn.MAXIFS(Однолинейка!$O$3:$O$1000,Однолинейка!$AH$3:$AH$1000,BI29,Однолинейка!$A$3:$A$1000,BH29))</f>
        <v/>
      </c>
      <c r="BM29" s="38" t="str">
        <f>IF(BI29="","",COUNTIFS(Однолинейка!$AH$3:$AH$1000,BI29,Однолинейка!$A$3:$A$1000,BH29,Однолинейка!$N$3:$N$1000,"р"))</f>
        <v/>
      </c>
      <c r="BN29" s="38" t="str">
        <f t="shared" si="2"/>
        <v/>
      </c>
      <c r="BP29" s="37" t="s">
        <v>632</v>
      </c>
      <c r="BQ29" s="74">
        <v>0.4</v>
      </c>
      <c r="BR29" s="37" t="s">
        <v>633</v>
      </c>
      <c r="BT29" s="74"/>
      <c r="BU29" s="74"/>
    </row>
    <row r="30" spans="2:79" x14ac:dyDescent="0.3">
      <c r="L30" s="16"/>
      <c r="M30" s="16"/>
      <c r="N30" s="16"/>
      <c r="O30" s="17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74"/>
      <c r="AA30" s="23"/>
      <c r="AB30" s="23"/>
      <c r="AC30" s="17"/>
      <c r="AD30" s="17"/>
      <c r="AE30" s="17"/>
      <c r="AF30" s="17"/>
      <c r="AG30" s="17"/>
      <c r="AJ30" s="13" t="str">
        <f t="shared" si="0"/>
        <v>ВВГнг(А)-LS (5х35) 1</v>
      </c>
      <c r="AK30" s="14" t="s">
        <v>91</v>
      </c>
      <c r="AL30" t="s">
        <v>12</v>
      </c>
      <c r="AM30">
        <v>5</v>
      </c>
      <c r="AN30">
        <v>35</v>
      </c>
      <c r="AO30">
        <v>1</v>
      </c>
      <c r="AU30" s="26"/>
      <c r="AV30" s="26"/>
      <c r="AW30" s="26"/>
      <c r="AX30" s="26"/>
      <c r="AY30" s="26"/>
      <c r="AZ30" s="74"/>
      <c r="BA30" s="26"/>
      <c r="BB30" s="26"/>
      <c r="BC30" s="26"/>
      <c r="BD30" s="79"/>
      <c r="BH30" s="38" t="str">
        <f>IFERROR(INDEX(Однолинейка!$A$1:$A$1000,(MATCH(26,Однолинейка!$BS$1:$BS$1000,0))),"")</f>
        <v/>
      </c>
      <c r="BI30" s="38" t="str">
        <f>IFERROR(INDEX(Однолинейка!$AW$1:$AW$1000,(MATCH(26,Однолинейка!$BS$1:$BS$1000,0))),"")</f>
        <v/>
      </c>
      <c r="BJ30" s="38" t="str">
        <f>IF(BI30="","",INDEX(Однолинейка!$AI$1:$AI$1000,(MATCH(26,Однолинейка!$BS$1:$BS$1000,0))))</f>
        <v/>
      </c>
      <c r="BK30" s="38" t="str">
        <f t="shared" si="1"/>
        <v/>
      </c>
      <c r="BL30" s="38" t="str">
        <f>IF(BI30="","",_xlfn.MAXIFS(Однолинейка!$O$3:$O$1000,Однолинейка!$AH$3:$AH$1000,BI30,Однолинейка!$A$3:$A$1000,BH30))</f>
        <v/>
      </c>
      <c r="BM30" s="38" t="str">
        <f>IF(BI30="","",COUNTIFS(Однолинейка!$AH$3:$AH$1000,BI30,Однолинейка!$A$3:$A$1000,BH30,Однолинейка!$N$3:$N$1000,"р"))</f>
        <v/>
      </c>
      <c r="BN30" s="38" t="str">
        <f t="shared" si="2"/>
        <v/>
      </c>
      <c r="BP30" s="37" t="s">
        <v>634</v>
      </c>
      <c r="BQ30" s="74">
        <v>1</v>
      </c>
      <c r="BR30" s="37" t="s">
        <v>635</v>
      </c>
      <c r="BT30" s="74"/>
      <c r="BU30" s="74"/>
    </row>
    <row r="31" spans="2:79" x14ac:dyDescent="0.3">
      <c r="L31" s="16"/>
      <c r="M31" s="16"/>
      <c r="N31" s="16"/>
      <c r="O31" s="17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74"/>
      <c r="AA31" s="23"/>
      <c r="AB31" s="23"/>
      <c r="AC31" s="17"/>
      <c r="AD31" s="17"/>
      <c r="AE31" s="17"/>
      <c r="AF31" s="17"/>
      <c r="AG31" s="17"/>
      <c r="AJ31" s="13" t="str">
        <f t="shared" si="0"/>
        <v>ВВГнг(А)-LS (5х35) 2</v>
      </c>
      <c r="AK31" s="14" t="s">
        <v>92</v>
      </c>
      <c r="AL31" t="s">
        <v>12</v>
      </c>
      <c r="AM31">
        <v>5</v>
      </c>
      <c r="AN31">
        <v>35</v>
      </c>
      <c r="AO31">
        <v>2</v>
      </c>
      <c r="AU31" s="26"/>
      <c r="AY31" s="26"/>
      <c r="AZ31" s="74"/>
      <c r="BD31" s="79"/>
      <c r="BH31" s="38" t="str">
        <f>IFERROR(INDEX(Однолинейка!$A$1:$A$1000,(MATCH(27,Однолинейка!$BS$1:$BS$1000,0))),"")</f>
        <v/>
      </c>
      <c r="BI31" s="38" t="str">
        <f>IFERROR(INDEX(Однолинейка!$AW$1:$AW$1000,(MATCH(27,Однолинейка!$BS$1:$BS$1000,0))),"")</f>
        <v/>
      </c>
      <c r="BJ31" s="38" t="str">
        <f>IF(BI31="","",INDEX(Однолинейка!$AI$1:$AI$1000,(MATCH(27,Однолинейка!$BS$1:$BS$1000,0))))</f>
        <v/>
      </c>
      <c r="BK31" s="38" t="str">
        <f t="shared" si="1"/>
        <v/>
      </c>
      <c r="BL31" s="38" t="str">
        <f>IF(BI31="","",_xlfn.MAXIFS(Однолинейка!$O$3:$O$1000,Однолинейка!$AH$3:$AH$1000,BI31,Однолинейка!$A$3:$A$1000,BH31))</f>
        <v/>
      </c>
      <c r="BM31" s="38" t="str">
        <f>IF(BI31="","",COUNTIFS(Однолинейка!$AH$3:$AH$1000,BI31,Однолинейка!$A$3:$A$1000,BH31,Однолинейка!$N$3:$N$1000,"р"))</f>
        <v/>
      </c>
      <c r="BN31" s="38" t="str">
        <f t="shared" si="2"/>
        <v/>
      </c>
      <c r="BP31" s="37"/>
      <c r="BQ31" s="74"/>
      <c r="BR31" s="37" t="s">
        <v>636</v>
      </c>
      <c r="BT31" s="74"/>
      <c r="BU31" s="74"/>
    </row>
    <row r="32" spans="2:79" x14ac:dyDescent="0.3">
      <c r="L32" s="16"/>
      <c r="M32" s="16"/>
      <c r="N32" s="16"/>
      <c r="O32" s="17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74"/>
      <c r="AA32" s="23"/>
      <c r="AB32" s="23"/>
      <c r="AC32" s="17"/>
      <c r="AD32" s="17"/>
      <c r="AE32" s="17"/>
      <c r="AF32" s="17"/>
      <c r="AG32" s="17"/>
      <c r="AJ32" s="13" t="str">
        <f t="shared" si="0"/>
        <v>ВВГнг(А)-LS (5х50) 1</v>
      </c>
      <c r="AK32" s="14" t="s">
        <v>93</v>
      </c>
      <c r="AL32" t="s">
        <v>12</v>
      </c>
      <c r="AM32">
        <v>5</v>
      </c>
      <c r="AN32">
        <v>50</v>
      </c>
      <c r="AO32">
        <v>1</v>
      </c>
      <c r="AU32" s="26"/>
      <c r="AV32" s="26"/>
      <c r="AW32" s="26"/>
      <c r="AY32" s="26"/>
      <c r="AZ32" s="74"/>
      <c r="BA32" s="26" t="s">
        <v>637</v>
      </c>
      <c r="BD32" s="79"/>
      <c r="BH32" s="38" t="str">
        <f>IFERROR(INDEX(Однолинейка!$A$1:$A$1000,(MATCH(28,Однолинейка!$BS$1:$BS$1000,0))),"")</f>
        <v/>
      </c>
      <c r="BI32" s="38" t="str">
        <f>IFERROR(INDEX(Однолинейка!$AW$1:$AW$1000,(MATCH(28,Однолинейка!$BS$1:$BS$1000,0))),"")</f>
        <v/>
      </c>
      <c r="BJ32" s="38" t="str">
        <f>IF(BI32="","",INDEX(Однолинейка!$AI$1:$AI$1000,(MATCH(28,Однолинейка!$BS$1:$BS$1000,0))))</f>
        <v/>
      </c>
      <c r="BK32" s="38" t="str">
        <f t="shared" si="1"/>
        <v/>
      </c>
      <c r="BL32" s="38" t="str">
        <f>IF(BI32="","",_xlfn.MAXIFS(Однолинейка!$O$3:$O$1000,Однолинейка!$AH$3:$AH$1000,BI32,Однолинейка!$A$3:$A$1000,BH32))</f>
        <v/>
      </c>
      <c r="BM32" s="38" t="str">
        <f>IF(BI32="","",COUNTIFS(Однолинейка!$AH$3:$AH$1000,BI32,Однолинейка!$A$3:$A$1000,BH32,Однолинейка!$N$3:$N$1000,"р"))</f>
        <v/>
      </c>
      <c r="BN32" s="38" t="str">
        <f t="shared" si="2"/>
        <v/>
      </c>
      <c r="BT32" s="74"/>
      <c r="BU32" s="74"/>
    </row>
    <row r="33" spans="12:73" x14ac:dyDescent="0.3">
      <c r="L33" s="16"/>
      <c r="M33" s="16"/>
      <c r="N33" s="16"/>
      <c r="O33" s="17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74"/>
      <c r="AA33" s="23"/>
      <c r="AB33" s="23"/>
      <c r="AC33" s="17"/>
      <c r="AD33" s="17"/>
      <c r="AE33" s="17"/>
      <c r="AF33" s="17"/>
      <c r="AG33" s="17"/>
      <c r="AJ33" s="13" t="str">
        <f t="shared" si="0"/>
        <v>ВВГнг(А)-LS (5х50) 2</v>
      </c>
      <c r="AK33" s="14" t="s">
        <v>94</v>
      </c>
      <c r="AL33" t="s">
        <v>12</v>
      </c>
      <c r="AM33">
        <v>5</v>
      </c>
      <c r="AN33">
        <v>50</v>
      </c>
      <c r="AO33">
        <v>2</v>
      </c>
      <c r="AU33" s="26"/>
      <c r="AV33" s="26"/>
      <c r="AW33" s="26"/>
      <c r="AX33" s="26"/>
      <c r="AY33" s="26"/>
      <c r="AZ33" s="74"/>
      <c r="BD33" s="79"/>
      <c r="BH33" s="38" t="str">
        <f>IFERROR(INDEX(Однолинейка!$A$1:$A$1000,(MATCH(29,Однолинейка!$BS$1:$BS$1000,0))),"")</f>
        <v/>
      </c>
      <c r="BI33" s="38" t="str">
        <f>IFERROR(INDEX(Однолинейка!$AW$1:$AW$1000,(MATCH(29,Однолинейка!$BS$1:$BS$1000,0))),"")</f>
        <v/>
      </c>
      <c r="BJ33" s="38" t="str">
        <f>IF(BI33="","",INDEX(Однолинейка!$AI$1:$AI$1000,(MATCH(29,Однолинейка!$BS$1:$BS$1000,0))))</f>
        <v/>
      </c>
      <c r="BK33" s="38" t="str">
        <f t="shared" si="1"/>
        <v/>
      </c>
      <c r="BL33" s="38" t="str">
        <f>IF(BI33="","",_xlfn.MAXIFS(Однолинейка!$O$3:$O$1000,Однолинейка!$AH$3:$AH$1000,BI33,Однолинейка!$A$3:$A$1000,BH33))</f>
        <v/>
      </c>
      <c r="BM33" s="38" t="str">
        <f>IF(BI33="","",COUNTIFS(Однолинейка!$AH$3:$AH$1000,BI33,Однолинейка!$A$3:$A$1000,BH33,Однолинейка!$N$3:$N$1000,"р"))</f>
        <v/>
      </c>
      <c r="BN33" s="38" t="str">
        <f t="shared" si="2"/>
        <v/>
      </c>
      <c r="BT33" s="74"/>
      <c r="BU33" s="74"/>
    </row>
    <row r="34" spans="12:73" x14ac:dyDescent="0.3">
      <c r="L34" s="16"/>
      <c r="M34" s="16"/>
      <c r="N34" s="16"/>
      <c r="O34" s="17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74"/>
      <c r="AA34" s="23"/>
      <c r="AB34" s="23"/>
      <c r="AC34" s="17"/>
      <c r="AD34" s="17"/>
      <c r="AE34" s="17"/>
      <c r="AF34" s="17"/>
      <c r="AG34" s="17"/>
      <c r="AJ34" s="13" t="str">
        <f t="shared" si="0"/>
        <v>ВВГнг(А)-LS (5х95) 1</v>
      </c>
      <c r="AK34" s="14" t="s">
        <v>95</v>
      </c>
      <c r="AL34" t="s">
        <v>12</v>
      </c>
      <c r="AM34">
        <v>5</v>
      </c>
      <c r="AN34">
        <v>95</v>
      </c>
      <c r="AO34">
        <v>1</v>
      </c>
      <c r="AU34" s="26"/>
      <c r="AV34" s="26"/>
      <c r="AW34" s="26"/>
      <c r="AY34" s="26"/>
      <c r="AZ34" s="74"/>
      <c r="BD34" s="79"/>
      <c r="BH34" s="38" t="str">
        <f>IFERROR(INDEX(Однолинейка!$A$1:$A$1000,(MATCH(30,Однолинейка!$BS$1:$BS$1000,0))),"")</f>
        <v/>
      </c>
      <c r="BI34" s="38" t="str">
        <f>IFERROR(INDEX(Однолинейка!$AW$1:$AW$1000,(MATCH(30,Однолинейка!$BS$1:$BS$1000,0))),"")</f>
        <v/>
      </c>
      <c r="BJ34" s="38" t="str">
        <f>IF(BI34="","",INDEX(Однолинейка!$AI$1:$AI$1000,(MATCH(30,Однолинейка!$BS$1:$BS$1000,0))))</f>
        <v/>
      </c>
      <c r="BK34" s="38" t="str">
        <f t="shared" si="1"/>
        <v/>
      </c>
      <c r="BL34" s="38" t="str">
        <f>IF(BI34="","",_xlfn.MAXIFS(Однолинейка!$O$3:$O$1000,Однолинейка!$AH$3:$AH$1000,BI34,Однолинейка!$A$3:$A$1000,BH34))</f>
        <v/>
      </c>
      <c r="BM34" s="38" t="str">
        <f>IF(BI34="","",COUNTIFS(Однолинейка!$AH$3:$AH$1000,BI34,Однолинейка!$A$3:$A$1000,BH34,Однолинейка!$N$3:$N$1000,"р"))</f>
        <v/>
      </c>
      <c r="BN34" s="38" t="str">
        <f t="shared" si="2"/>
        <v/>
      </c>
    </row>
    <row r="35" spans="12:73" x14ac:dyDescent="0.3">
      <c r="L35" s="16"/>
      <c r="M35" s="16"/>
      <c r="N35" s="16"/>
      <c r="O35" s="17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74"/>
      <c r="AA35" s="23"/>
      <c r="AB35" s="23"/>
      <c r="AC35" s="17"/>
      <c r="AD35" s="17"/>
      <c r="AE35" s="17"/>
      <c r="AF35" s="17"/>
      <c r="AG35" s="17"/>
      <c r="AJ35" s="13" t="str">
        <f t="shared" si="0"/>
        <v>ВВГнг(А)-LS (5х95) 2</v>
      </c>
      <c r="AK35" s="14" t="s">
        <v>96</v>
      </c>
      <c r="AL35" t="s">
        <v>12</v>
      </c>
      <c r="AM35">
        <v>5</v>
      </c>
      <c r="AN35">
        <v>95</v>
      </c>
      <c r="AO35">
        <v>2</v>
      </c>
      <c r="AU35" s="26"/>
      <c r="AY35" s="26"/>
      <c r="AZ35" s="74"/>
      <c r="BD35" s="79"/>
      <c r="BH35" s="38" t="str">
        <f>IFERROR(INDEX(Однолинейка!$A$1:$A$1000,(MATCH(31,Однолинейка!$BS$1:$BS$1000,0))),"")</f>
        <v/>
      </c>
      <c r="BI35" s="38" t="str">
        <f>IFERROR(INDEX(Однолинейка!$AW$1:$AW$1000,(MATCH(31,Однолинейка!$BS$1:$BS$1000,0))),"")</f>
        <v/>
      </c>
      <c r="BJ35" s="38" t="str">
        <f>IF(BI35="","",INDEX(Однолинейка!$AI$1:$AI$1000,(MATCH(31,Однолинейка!$BS$1:$BS$1000,0))))</f>
        <v/>
      </c>
      <c r="BK35" s="38" t="str">
        <f t="shared" si="1"/>
        <v/>
      </c>
      <c r="BL35" s="38" t="str">
        <f>IF(BI35="","",_xlfn.MAXIFS(Однолинейка!$O$3:$O$1000,Однолинейка!$AH$3:$AH$1000,BI35,Однолинейка!$A$3:$A$1000,BH35))</f>
        <v/>
      </c>
      <c r="BM35" s="38" t="str">
        <f>IF(BI35="","",COUNTIFS(Однолинейка!$AH$3:$AH$1000,BI35,Однолинейка!$A$3:$A$1000,BH35,Однолинейка!$N$3:$N$1000,"р"))</f>
        <v/>
      </c>
      <c r="BN35" s="38" t="str">
        <f t="shared" si="2"/>
        <v/>
      </c>
    </row>
    <row r="36" spans="12:73" x14ac:dyDescent="0.3">
      <c r="L36" s="16"/>
      <c r="M36" s="16"/>
      <c r="N36" s="16"/>
      <c r="O36" s="17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74"/>
      <c r="AA36" s="23"/>
      <c r="AB36" s="23"/>
      <c r="AC36" s="17"/>
      <c r="AD36" s="17"/>
      <c r="AE36" s="17"/>
      <c r="AF36" s="17"/>
      <c r="AG36" s="17"/>
      <c r="AJ36" s="13" t="str">
        <f t="shared" si="0"/>
        <v>ВВГнг(А)-LS (5х120) 1</v>
      </c>
      <c r="AK36" s="14" t="s">
        <v>97</v>
      </c>
      <c r="AL36" t="s">
        <v>12</v>
      </c>
      <c r="AM36">
        <v>5</v>
      </c>
      <c r="AN36">
        <v>120</v>
      </c>
      <c r="AO36">
        <v>1</v>
      </c>
      <c r="AU36" s="26"/>
      <c r="AY36" s="26"/>
      <c r="AZ36" s="74"/>
      <c r="BD36" s="79"/>
      <c r="BH36" s="38" t="str">
        <f>IFERROR(INDEX(Однолинейка!$A$1:$A$1000,(MATCH(32,Однолинейка!$BS$1:$BS$1000,0))),"")</f>
        <v/>
      </c>
      <c r="BI36" s="38" t="str">
        <f>IFERROR(INDEX(Однолинейка!$AW$1:$AW$1000,(MATCH(32,Однолинейка!$BS$1:$BS$1000,0))),"")</f>
        <v/>
      </c>
      <c r="BJ36" s="38" t="str">
        <f>IF(BI36="","",INDEX(Однолинейка!$AI$1:$AI$1000,(MATCH(32,Однолинейка!$BS$1:$BS$1000,0))))</f>
        <v/>
      </c>
      <c r="BK36" s="38" t="str">
        <f t="shared" si="1"/>
        <v/>
      </c>
      <c r="BL36" s="38" t="str">
        <f>IF(BI36="","",_xlfn.MAXIFS(Однолинейка!$O$3:$O$1000,Однолинейка!$AH$3:$AH$1000,BI36,Однолинейка!$A$3:$A$1000,BH36))</f>
        <v/>
      </c>
      <c r="BM36" s="38" t="str">
        <f>IF(BI36="","",COUNTIFS(Однолинейка!$AH$3:$AH$1000,BI36,Однолинейка!$A$3:$A$1000,BH36,Однолинейка!$N$3:$N$1000,"р"))</f>
        <v/>
      </c>
      <c r="BN36" s="38" t="str">
        <f t="shared" si="2"/>
        <v/>
      </c>
    </row>
    <row r="37" spans="12:73" x14ac:dyDescent="0.3">
      <c r="L37" s="16"/>
      <c r="M37" s="16"/>
      <c r="N37" s="16"/>
      <c r="O37" s="17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74"/>
      <c r="AA37" s="23"/>
      <c r="AB37" s="23"/>
      <c r="AC37" s="17"/>
      <c r="AD37" s="17"/>
      <c r="AE37" s="17"/>
      <c r="AF37" s="17"/>
      <c r="AG37" s="17"/>
      <c r="AJ37" s="13" t="str">
        <f t="shared" si="0"/>
        <v>ВВГнг(А)-LS (5х120) 2</v>
      </c>
      <c r="AK37" s="14" t="s">
        <v>98</v>
      </c>
      <c r="AL37" t="s">
        <v>12</v>
      </c>
      <c r="AM37">
        <v>5</v>
      </c>
      <c r="AN37">
        <v>120</v>
      </c>
      <c r="AO37">
        <v>2</v>
      </c>
      <c r="AU37" s="26"/>
      <c r="AY37" s="26"/>
      <c r="AZ37" s="74"/>
      <c r="BD37" s="79"/>
      <c r="BH37" s="38" t="str">
        <f>IFERROR(INDEX(Однолинейка!$A$1:$A$1000,(MATCH(33,Однолинейка!$BS$1:$BS$1000,0))),"")</f>
        <v/>
      </c>
      <c r="BI37" s="38" t="str">
        <f>IFERROR(INDEX(Однолинейка!$AW$1:$AW$1000,(MATCH(33,Однолинейка!$BS$1:$BS$1000,0))),"")</f>
        <v/>
      </c>
      <c r="BJ37" s="38" t="str">
        <f>IF(BI37="","",INDEX(Однолинейка!$AI$1:$AI$1000,(MATCH(33,Однолинейка!$BS$1:$BS$1000,0))))</f>
        <v/>
      </c>
      <c r="BK37" s="38" t="str">
        <f t="shared" si="1"/>
        <v/>
      </c>
      <c r="BL37" s="38" t="str">
        <f>IF(BI37="","",_xlfn.MAXIFS(Однолинейка!$O$3:$O$1000,Однолинейка!$AH$3:$AH$1000,BI37,Однолинейка!$A$3:$A$1000,BH37))</f>
        <v/>
      </c>
      <c r="BM37" s="38" t="str">
        <f>IF(BI37="","",COUNTIFS(Однолинейка!$AH$3:$AH$1000,BI37,Однолинейка!$A$3:$A$1000,BH37,Однолинейка!$N$3:$N$1000,"р"))</f>
        <v/>
      </c>
      <c r="BN37" s="38" t="str">
        <f t="shared" si="2"/>
        <v/>
      </c>
    </row>
    <row r="38" spans="12:73" x14ac:dyDescent="0.3">
      <c r="L38" s="16"/>
      <c r="M38" s="16"/>
      <c r="N38" s="16"/>
      <c r="O38" s="17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74"/>
      <c r="AA38" s="23"/>
      <c r="AB38" s="23"/>
      <c r="AC38" s="17"/>
      <c r="AD38" s="17"/>
      <c r="AE38" s="17"/>
      <c r="AF38" s="17"/>
      <c r="AG38" s="17"/>
      <c r="AJ38" s="13" t="str">
        <f t="shared" si="0"/>
        <v>ВВГнг(А)-LS (5х95) 1</v>
      </c>
      <c r="AK38" s="14" t="s">
        <v>99</v>
      </c>
      <c r="AL38" t="s">
        <v>12</v>
      </c>
      <c r="AM38">
        <v>5</v>
      </c>
      <c r="AN38">
        <v>95</v>
      </c>
      <c r="AO38">
        <v>1</v>
      </c>
      <c r="AU38" s="26"/>
      <c r="AY38" s="26"/>
      <c r="AZ38" s="74"/>
      <c r="BD38" s="79"/>
      <c r="BH38" s="38" t="str">
        <f>IFERROR(INDEX(Однолинейка!$A$1:$A$1000,(MATCH(34,Однолинейка!$BS$1:$BS$1000,0))),"")</f>
        <v/>
      </c>
      <c r="BI38" s="38" t="str">
        <f>IFERROR(INDEX(Однолинейка!$AW$1:$AW$1000,(MATCH(34,Однолинейка!$BS$1:$BS$1000,0))),"")</f>
        <v/>
      </c>
      <c r="BJ38" s="38" t="str">
        <f>IF(BI38="","",INDEX(Однолинейка!$AI$1:$AI$1000,(MATCH(34,Однолинейка!$BS$1:$BS$1000,0))))</f>
        <v/>
      </c>
      <c r="BK38" s="38" t="str">
        <f t="shared" si="1"/>
        <v/>
      </c>
      <c r="BL38" s="38" t="str">
        <f>IF(BI38="","",_xlfn.MAXIFS(Однолинейка!$O$3:$O$1000,Однолинейка!$AH$3:$AH$1000,BI38,Однолинейка!$A$3:$A$1000,BH38))</f>
        <v/>
      </c>
      <c r="BM38" s="38" t="str">
        <f>IF(BI38="","",COUNTIFS(Однолинейка!$AH$3:$AH$1000,BI38,Однолинейка!$A$3:$A$1000,BH38,Однолинейка!$N$3:$N$1000,"р"))</f>
        <v/>
      </c>
      <c r="BN38" s="38" t="str">
        <f t="shared" si="2"/>
        <v/>
      </c>
    </row>
    <row r="39" spans="12:73" x14ac:dyDescent="0.3">
      <c r="L39" s="16"/>
      <c r="M39" s="16"/>
      <c r="N39" s="16"/>
      <c r="O39" s="17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74"/>
      <c r="AA39" s="23"/>
      <c r="AB39" s="23"/>
      <c r="AC39" s="17"/>
      <c r="AD39" s="17"/>
      <c r="AE39" s="17"/>
      <c r="AF39" s="17"/>
      <c r="AG39" s="17"/>
      <c r="AJ39" s="13" t="str">
        <f t="shared" si="0"/>
        <v>ВВГнг(А)-LS (5х95) 2</v>
      </c>
      <c r="AK39" s="14" t="s">
        <v>100</v>
      </c>
      <c r="AL39" t="s">
        <v>12</v>
      </c>
      <c r="AM39">
        <v>5</v>
      </c>
      <c r="AN39">
        <v>95</v>
      </c>
      <c r="AO39">
        <v>2</v>
      </c>
      <c r="AU39" s="26"/>
      <c r="AY39" s="26"/>
      <c r="AZ39" s="74"/>
      <c r="BD39" s="79"/>
      <c r="BH39" s="38" t="str">
        <f>IFERROR(INDEX(Однолинейка!$A$1:$A$1000,(MATCH(35,Однолинейка!$BS$1:$BS$1000,0))),"")</f>
        <v/>
      </c>
      <c r="BI39" s="38" t="str">
        <f>IFERROR(INDEX(Однолинейка!$AW$1:$AW$1000,(MATCH(35,Однолинейка!$BS$1:$BS$1000,0))),"")</f>
        <v/>
      </c>
      <c r="BJ39" s="38" t="str">
        <f>IF(BI39="","",INDEX(Однолинейка!$AI$1:$AI$1000,(MATCH(35,Однолинейка!$BS$1:$BS$1000,0))))</f>
        <v/>
      </c>
      <c r="BK39" s="38" t="str">
        <f t="shared" si="1"/>
        <v/>
      </c>
      <c r="BL39" s="38" t="str">
        <f>IF(BI39="","",_xlfn.MAXIFS(Однолинейка!$O$3:$O$1000,Однолинейка!$AH$3:$AH$1000,BI39,Однолинейка!$A$3:$A$1000,BH39))</f>
        <v/>
      </c>
      <c r="BM39" s="38" t="str">
        <f>IF(BI39="","",COUNTIFS(Однолинейка!$AH$3:$AH$1000,BI39,Однолинейка!$A$3:$A$1000,BH39,Однолинейка!$N$3:$N$1000,"р"))</f>
        <v/>
      </c>
      <c r="BN39" s="38" t="str">
        <f t="shared" si="2"/>
        <v/>
      </c>
    </row>
    <row r="40" spans="12:73" x14ac:dyDescent="0.3">
      <c r="L40" s="16"/>
      <c r="M40" s="16"/>
      <c r="N40" s="16"/>
      <c r="O40" s="17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74"/>
      <c r="AA40" s="23"/>
      <c r="AB40" s="23"/>
      <c r="AC40" s="17"/>
      <c r="AD40" s="17"/>
      <c r="AE40" s="17"/>
      <c r="AF40" s="17"/>
      <c r="AG40" s="17"/>
      <c r="AJ40" s="13" t="str">
        <f t="shared" si="0"/>
        <v>ВВГнг(А)-LS (5х120) 1</v>
      </c>
      <c r="AK40" s="14" t="s">
        <v>101</v>
      </c>
      <c r="AL40" t="s">
        <v>12</v>
      </c>
      <c r="AM40">
        <v>5</v>
      </c>
      <c r="AN40">
        <v>120</v>
      </c>
      <c r="AO40">
        <v>1</v>
      </c>
      <c r="AU40" s="26"/>
      <c r="AY40" s="26"/>
      <c r="AZ40" s="74"/>
      <c r="BD40" s="79"/>
    </row>
    <row r="41" spans="12:73" ht="55.2" x14ac:dyDescent="0.3">
      <c r="L41" s="16"/>
      <c r="M41" s="16"/>
      <c r="N41" s="16"/>
      <c r="O41" s="17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74"/>
      <c r="AA41" s="23"/>
      <c r="AB41" s="23"/>
      <c r="AC41" s="17"/>
      <c r="AD41" s="17"/>
      <c r="AE41" s="17"/>
      <c r="AF41" s="17"/>
      <c r="AG41" s="17"/>
      <c r="AJ41" s="13" t="str">
        <f t="shared" si="0"/>
        <v>ВВГнг(А)-LS (5х120) 2</v>
      </c>
      <c r="AK41" s="14" t="s">
        <v>102</v>
      </c>
      <c r="AL41" t="s">
        <v>12</v>
      </c>
      <c r="AM41">
        <v>5</v>
      </c>
      <c r="AN41">
        <v>120</v>
      </c>
      <c r="AO41">
        <v>2</v>
      </c>
      <c r="AU41" s="26"/>
      <c r="AY41" s="26"/>
      <c r="AZ41" s="74"/>
      <c r="BD41" s="79"/>
      <c r="BH41" s="35" t="s">
        <v>638</v>
      </c>
      <c r="BI41" s="35"/>
      <c r="BJ41" s="35"/>
      <c r="BK41" s="35"/>
      <c r="BL41" s="35"/>
      <c r="BM41" s="35"/>
      <c r="BN41" s="35">
        <f>SUM(BN5:BN39)</f>
        <v>0</v>
      </c>
    </row>
    <row r="42" spans="12:73" x14ac:dyDescent="0.3">
      <c r="L42" s="16"/>
      <c r="M42" s="16"/>
      <c r="N42" s="16"/>
      <c r="O42" s="17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74"/>
      <c r="AA42" s="23"/>
      <c r="AB42" s="23"/>
      <c r="AC42" s="17"/>
      <c r="AD42" s="17"/>
      <c r="AE42" s="17"/>
      <c r="AF42" s="17"/>
      <c r="AG42" s="17"/>
      <c r="AJ42" s="13" t="str">
        <f t="shared" si="0"/>
        <v>ВБШВнг(А)-LS (5х10) 1</v>
      </c>
      <c r="AK42" s="14" t="s">
        <v>140</v>
      </c>
      <c r="AL42" t="s">
        <v>151</v>
      </c>
      <c r="AM42">
        <v>5</v>
      </c>
      <c r="AN42">
        <v>10</v>
      </c>
      <c r="AO42">
        <v>1</v>
      </c>
      <c r="AU42" s="26"/>
      <c r="AY42" s="26"/>
      <c r="AZ42" s="74"/>
      <c r="BD42" s="79"/>
    </row>
    <row r="43" spans="12:73" x14ac:dyDescent="0.3">
      <c r="L43" s="16"/>
      <c r="M43" s="16"/>
      <c r="N43" s="16"/>
      <c r="O43" s="17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74"/>
      <c r="AA43" s="23"/>
      <c r="AB43" s="23"/>
      <c r="AC43" s="17"/>
      <c r="AD43" s="17"/>
      <c r="AE43" s="17"/>
      <c r="AF43" s="17"/>
      <c r="AG43" s="17"/>
      <c r="AJ43" s="13" t="str">
        <f t="shared" si="0"/>
        <v>ВБШВнг(А)-LS (5х10) 2</v>
      </c>
      <c r="AK43" s="14" t="s">
        <v>103</v>
      </c>
      <c r="AL43" t="s">
        <v>151</v>
      </c>
      <c r="AM43">
        <v>5</v>
      </c>
      <c r="AN43">
        <v>10</v>
      </c>
      <c r="AO43">
        <v>2</v>
      </c>
      <c r="AU43" s="26"/>
      <c r="AY43" s="26"/>
      <c r="AZ43" s="74"/>
      <c r="BD43" s="79"/>
    </row>
    <row r="44" spans="12:73" x14ac:dyDescent="0.3">
      <c r="L44" s="16"/>
      <c r="M44" s="16"/>
      <c r="N44" s="16"/>
      <c r="O44" s="17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74"/>
      <c r="AA44" s="23"/>
      <c r="AB44" s="23"/>
      <c r="AC44" s="17"/>
      <c r="AD44" s="17"/>
      <c r="AE44" s="17"/>
      <c r="AF44" s="17"/>
      <c r="AG44" s="17"/>
      <c r="AJ44" s="13" t="str">
        <f t="shared" si="0"/>
        <v>ВБШВнг(А)-LS (5х16) 1</v>
      </c>
      <c r="AK44" s="14" t="s">
        <v>104</v>
      </c>
      <c r="AL44" t="s">
        <v>151</v>
      </c>
      <c r="AM44">
        <v>5</v>
      </c>
      <c r="AN44">
        <v>16</v>
      </c>
      <c r="AO44">
        <v>1</v>
      </c>
      <c r="AU44" s="26"/>
      <c r="AY44" s="26"/>
      <c r="AZ44" s="74"/>
      <c r="BD44" s="79"/>
    </row>
    <row r="45" spans="12:73" x14ac:dyDescent="0.3">
      <c r="L45" s="16"/>
      <c r="M45" s="16"/>
      <c r="N45" s="16"/>
      <c r="O45" s="17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74"/>
      <c r="AA45" s="23"/>
      <c r="AB45" s="23"/>
      <c r="AC45" s="17"/>
      <c r="AD45" s="17"/>
      <c r="AE45" s="17"/>
      <c r="AF45" s="17"/>
      <c r="AG45" s="17"/>
      <c r="AJ45" s="13" t="str">
        <f t="shared" si="0"/>
        <v>ВБШВнг(А)-LS (5х16) 2</v>
      </c>
      <c r="AK45" s="14" t="s">
        <v>105</v>
      </c>
      <c r="AL45" t="s">
        <v>151</v>
      </c>
      <c r="AM45">
        <v>5</v>
      </c>
      <c r="AN45">
        <v>16</v>
      </c>
      <c r="AO45">
        <v>2</v>
      </c>
      <c r="AU45" s="26"/>
      <c r="AY45" s="26"/>
      <c r="AZ45" s="74"/>
      <c r="BD45" s="79"/>
    </row>
    <row r="46" spans="12:73" x14ac:dyDescent="0.3">
      <c r="L46" s="16"/>
      <c r="M46" s="16"/>
      <c r="N46" s="16"/>
      <c r="O46" s="17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74"/>
      <c r="AA46" s="23"/>
      <c r="AB46" s="23"/>
      <c r="AC46" s="17"/>
      <c r="AD46" s="17"/>
      <c r="AE46" s="17"/>
      <c r="AF46" s="17"/>
      <c r="AG46" s="17"/>
      <c r="AJ46" s="13" t="str">
        <f t="shared" si="0"/>
        <v>ВБШВнг(А)-LS (5х25) 1</v>
      </c>
      <c r="AK46" s="14" t="s">
        <v>106</v>
      </c>
      <c r="AL46" t="s">
        <v>151</v>
      </c>
      <c r="AM46">
        <v>5</v>
      </c>
      <c r="AN46">
        <v>25</v>
      </c>
      <c r="AO46">
        <v>1</v>
      </c>
      <c r="AU46" s="26"/>
      <c r="AY46" s="26"/>
      <c r="AZ46" s="74"/>
      <c r="BD46" s="79"/>
    </row>
    <row r="47" spans="12:73" x14ac:dyDescent="0.3">
      <c r="L47" s="16"/>
      <c r="M47" s="16"/>
      <c r="N47" s="16"/>
      <c r="O47" s="17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74"/>
      <c r="AA47" s="23"/>
      <c r="AB47" s="23"/>
      <c r="AC47" s="17"/>
      <c r="AD47" s="17"/>
      <c r="AE47" s="17"/>
      <c r="AF47" s="17"/>
      <c r="AG47" s="17"/>
      <c r="AJ47" s="13" t="str">
        <f t="shared" si="0"/>
        <v>ВБШВнг(А)-LS (5х25) 2</v>
      </c>
      <c r="AK47" s="14" t="s">
        <v>107</v>
      </c>
      <c r="AL47" t="s">
        <v>151</v>
      </c>
      <c r="AM47">
        <v>5</v>
      </c>
      <c r="AN47">
        <v>25</v>
      </c>
      <c r="AO47">
        <v>2</v>
      </c>
      <c r="AU47" s="26"/>
      <c r="AY47" s="26"/>
      <c r="AZ47" s="74"/>
      <c r="BD47" s="79"/>
    </row>
    <row r="48" spans="12:73" x14ac:dyDescent="0.3">
      <c r="L48" s="16"/>
      <c r="M48" s="16"/>
      <c r="N48" s="16"/>
      <c r="O48" s="17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74"/>
      <c r="AA48" s="23"/>
      <c r="AB48" s="23"/>
      <c r="AC48" s="17"/>
      <c r="AD48" s="17"/>
      <c r="AE48" s="17"/>
      <c r="AF48" s="17"/>
      <c r="AG48" s="17"/>
      <c r="AJ48" s="13" t="str">
        <f t="shared" si="0"/>
        <v>ВБШВнг(А)-LS (5х35) 1</v>
      </c>
      <c r="AK48" s="14" t="s">
        <v>108</v>
      </c>
      <c r="AL48" t="s">
        <v>151</v>
      </c>
      <c r="AM48">
        <v>5</v>
      </c>
      <c r="AN48">
        <v>35</v>
      </c>
      <c r="AO48">
        <v>1</v>
      </c>
      <c r="AU48" s="26"/>
      <c r="AY48" s="26"/>
      <c r="AZ48" s="74"/>
      <c r="BD48" s="79"/>
    </row>
    <row r="49" spans="12:56" x14ac:dyDescent="0.3">
      <c r="L49" s="16"/>
      <c r="M49" s="16"/>
      <c r="N49" s="16"/>
      <c r="O49" s="17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74"/>
      <c r="AA49" s="23"/>
      <c r="AB49" s="23"/>
      <c r="AC49" s="17"/>
      <c r="AD49" s="17"/>
      <c r="AE49" s="17"/>
      <c r="AF49" s="17"/>
      <c r="AG49" s="17"/>
      <c r="AJ49" s="13" t="str">
        <f t="shared" si="0"/>
        <v>ВБШВнг(А)-LS (5х35) 2</v>
      </c>
      <c r="AK49" s="14" t="s">
        <v>109</v>
      </c>
      <c r="AL49" t="s">
        <v>151</v>
      </c>
      <c r="AM49">
        <v>5</v>
      </c>
      <c r="AN49">
        <v>35</v>
      </c>
      <c r="AO49">
        <v>2</v>
      </c>
      <c r="AU49" s="26"/>
      <c r="AY49" s="26"/>
      <c r="AZ49" s="74"/>
      <c r="BD49" s="79"/>
    </row>
    <row r="50" spans="12:56" x14ac:dyDescent="0.3">
      <c r="L50" s="16"/>
      <c r="M50" s="16"/>
      <c r="N50" s="16"/>
      <c r="O50" s="17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74"/>
      <c r="AA50" s="23"/>
      <c r="AB50" s="23"/>
      <c r="AC50" s="17"/>
      <c r="AD50" s="17"/>
      <c r="AE50" s="17"/>
      <c r="AF50" s="17"/>
      <c r="AG50" s="17"/>
      <c r="AJ50" s="13" t="str">
        <f t="shared" si="0"/>
        <v>ВБШВнг(А)-LS (5х50) 1</v>
      </c>
      <c r="AK50" s="14" t="s">
        <v>110</v>
      </c>
      <c r="AL50" t="s">
        <v>151</v>
      </c>
      <c r="AM50">
        <v>5</v>
      </c>
      <c r="AN50">
        <v>50</v>
      </c>
      <c r="AO50">
        <v>1</v>
      </c>
      <c r="AU50" s="26"/>
      <c r="AY50" s="26"/>
      <c r="AZ50" s="74"/>
      <c r="BD50" s="79"/>
    </row>
    <row r="51" spans="12:56" x14ac:dyDescent="0.3">
      <c r="L51" s="16"/>
      <c r="M51" s="16"/>
      <c r="N51" s="16"/>
      <c r="O51" s="17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74"/>
      <c r="AA51" s="23"/>
      <c r="AB51" s="23"/>
      <c r="AC51" s="17"/>
      <c r="AD51" s="17"/>
      <c r="AE51" s="17"/>
      <c r="AF51" s="17"/>
      <c r="AG51" s="17"/>
      <c r="AJ51" s="13" t="str">
        <f t="shared" si="0"/>
        <v>ВБШВнг(А)-LS (5х50) 2</v>
      </c>
      <c r="AK51" s="14" t="s">
        <v>111</v>
      </c>
      <c r="AL51" t="s">
        <v>151</v>
      </c>
      <c r="AM51">
        <v>5</v>
      </c>
      <c r="AN51">
        <v>50</v>
      </c>
      <c r="AO51">
        <v>2</v>
      </c>
      <c r="AU51" s="26"/>
      <c r="AY51" s="26"/>
      <c r="AZ51" s="74"/>
      <c r="BD51" s="79"/>
    </row>
    <row r="52" spans="12:56" x14ac:dyDescent="0.3">
      <c r="AJ52" s="13" t="str">
        <f t="shared" si="0"/>
        <v>ВБШВнг(А)-LS (5х95) 1</v>
      </c>
      <c r="AK52" s="14" t="s">
        <v>112</v>
      </c>
      <c r="AL52" t="s">
        <v>151</v>
      </c>
      <c r="AM52">
        <v>5</v>
      </c>
      <c r="AN52">
        <v>95</v>
      </c>
      <c r="AO52">
        <v>1</v>
      </c>
      <c r="AY52" s="26"/>
      <c r="BD52" s="80"/>
    </row>
    <row r="53" spans="12:56" x14ac:dyDescent="0.3">
      <c r="AJ53" s="13" t="str">
        <f t="shared" si="0"/>
        <v>ВБШВнг(А)-LS (5х95) 2</v>
      </c>
      <c r="AK53" s="14" t="s">
        <v>113</v>
      </c>
      <c r="AL53" t="s">
        <v>151</v>
      </c>
      <c r="AM53">
        <v>5</v>
      </c>
      <c r="AN53">
        <v>95</v>
      </c>
      <c r="AO53">
        <v>2</v>
      </c>
      <c r="AU53" s="64"/>
    </row>
    <row r="54" spans="12:56" x14ac:dyDescent="0.3">
      <c r="AJ54" s="13" t="str">
        <f t="shared" si="0"/>
        <v>ВБШВнг(А)-LS (5х120) 1</v>
      </c>
      <c r="AK54" s="14" t="s">
        <v>114</v>
      </c>
      <c r="AL54" t="s">
        <v>151</v>
      </c>
      <c r="AM54">
        <v>5</v>
      </c>
      <c r="AN54">
        <v>120</v>
      </c>
      <c r="AO54">
        <v>1</v>
      </c>
      <c r="AU54" s="26"/>
      <c r="AV54" s="26"/>
      <c r="AW54" s="26"/>
      <c r="AY54" s="26"/>
    </row>
    <row r="55" spans="12:56" x14ac:dyDescent="0.3">
      <c r="AJ55" s="13" t="str">
        <f t="shared" si="0"/>
        <v>ВБШВнг(А)-LS (5х120) 2</v>
      </c>
      <c r="AK55" s="14" t="s">
        <v>115</v>
      </c>
      <c r="AL55" t="s">
        <v>151</v>
      </c>
      <c r="AM55">
        <v>5</v>
      </c>
      <c r="AN55">
        <v>120</v>
      </c>
      <c r="AO55">
        <v>2</v>
      </c>
      <c r="AU55" s="26"/>
      <c r="AV55" s="26"/>
      <c r="AW55" s="26"/>
      <c r="AY55" s="26"/>
    </row>
    <row r="56" spans="12:56" x14ac:dyDescent="0.3">
      <c r="AJ56" s="13" t="str">
        <f t="shared" si="0"/>
        <v>КГВВнг(А)-LS (2х0,75) 1</v>
      </c>
      <c r="AK56" s="14" t="s">
        <v>116</v>
      </c>
      <c r="AL56" t="s">
        <v>141</v>
      </c>
      <c r="AM56">
        <v>2</v>
      </c>
      <c r="AN56">
        <v>0.75</v>
      </c>
      <c r="AO56">
        <v>1</v>
      </c>
      <c r="AU56" s="26"/>
      <c r="AV56" s="26"/>
      <c r="AW56" s="26"/>
      <c r="AY56" s="26"/>
    </row>
    <row r="57" spans="12:56" x14ac:dyDescent="0.3">
      <c r="AJ57" s="13" t="str">
        <f t="shared" si="0"/>
        <v>КГВВнг(А)-LS (2х0,75) 2</v>
      </c>
      <c r="AK57" s="14" t="s">
        <v>117</v>
      </c>
      <c r="AL57" t="s">
        <v>141</v>
      </c>
      <c r="AM57">
        <v>2</v>
      </c>
      <c r="AN57">
        <v>0.75</v>
      </c>
      <c r="AO57">
        <v>2</v>
      </c>
      <c r="AU57" s="26"/>
      <c r="AV57" s="26"/>
      <c r="AW57" s="26"/>
      <c r="AY57" s="26"/>
    </row>
    <row r="58" spans="12:56" x14ac:dyDescent="0.3">
      <c r="AJ58" s="13" t="str">
        <f t="shared" si="0"/>
        <v>КГВВнг(А)-LS (2х1,5) 1</v>
      </c>
      <c r="AK58" s="14" t="s">
        <v>116</v>
      </c>
      <c r="AL58" t="s">
        <v>141</v>
      </c>
      <c r="AM58">
        <v>2</v>
      </c>
      <c r="AN58">
        <v>1.5</v>
      </c>
      <c r="AO58">
        <v>1</v>
      </c>
      <c r="AY58" s="26"/>
    </row>
    <row r="59" spans="12:56" x14ac:dyDescent="0.3">
      <c r="AJ59" s="13" t="str">
        <f t="shared" si="0"/>
        <v>КГВВнг(А)-LS (2х1,5) 2</v>
      </c>
      <c r="AK59" s="14" t="s">
        <v>117</v>
      </c>
      <c r="AL59" t="s">
        <v>141</v>
      </c>
      <c r="AM59">
        <v>2</v>
      </c>
      <c r="AN59">
        <v>1.5</v>
      </c>
      <c r="AO59">
        <v>2</v>
      </c>
      <c r="AY59" s="26"/>
    </row>
    <row r="60" spans="12:56" x14ac:dyDescent="0.3">
      <c r="AJ60" s="13" t="str">
        <f t="shared" si="0"/>
        <v>КГВВнг(А)-LS (2х2,5) 1</v>
      </c>
      <c r="AK60" s="14" t="s">
        <v>118</v>
      </c>
      <c r="AL60" t="s">
        <v>141</v>
      </c>
      <c r="AM60">
        <v>2</v>
      </c>
      <c r="AN60">
        <v>2.5</v>
      </c>
      <c r="AO60">
        <v>1</v>
      </c>
      <c r="AY60" s="26"/>
    </row>
    <row r="61" spans="12:56" x14ac:dyDescent="0.3">
      <c r="AJ61" s="13" t="str">
        <f t="shared" si="0"/>
        <v>КГВВнг(А)-LS (2х2,5) 2</v>
      </c>
      <c r="AK61" s="14" t="s">
        <v>119</v>
      </c>
      <c r="AL61" t="s">
        <v>141</v>
      </c>
      <c r="AM61">
        <v>2</v>
      </c>
      <c r="AN61">
        <v>2.5</v>
      </c>
      <c r="AO61">
        <v>2</v>
      </c>
      <c r="AY61" s="26"/>
    </row>
    <row r="62" spans="12:56" x14ac:dyDescent="0.3">
      <c r="AJ62" s="13" t="str">
        <f t="shared" si="0"/>
        <v>КГВВнг(А)-LS (3х1,5) 1</v>
      </c>
      <c r="AK62" s="14" t="s">
        <v>120</v>
      </c>
      <c r="AL62" t="s">
        <v>141</v>
      </c>
      <c r="AM62">
        <v>3</v>
      </c>
      <c r="AN62">
        <v>1.5</v>
      </c>
      <c r="AO62">
        <v>1</v>
      </c>
      <c r="AY62" s="26"/>
    </row>
    <row r="63" spans="12:56" x14ac:dyDescent="0.3">
      <c r="AJ63" s="13" t="str">
        <f t="shared" si="0"/>
        <v>КГВВнг(А)-LS (3х1,5) 2</v>
      </c>
      <c r="AK63" s="14" t="s">
        <v>121</v>
      </c>
      <c r="AL63" t="s">
        <v>141</v>
      </c>
      <c r="AM63">
        <v>3</v>
      </c>
      <c r="AN63">
        <v>1.5</v>
      </c>
      <c r="AO63">
        <v>2</v>
      </c>
      <c r="AY63" s="26"/>
    </row>
    <row r="64" spans="12:56" x14ac:dyDescent="0.3">
      <c r="AJ64" s="13" t="str">
        <f t="shared" si="0"/>
        <v>КГВВнг(А)-LS (3х2,5) 1</v>
      </c>
      <c r="AK64" s="14" t="s">
        <v>122</v>
      </c>
      <c r="AL64" t="s">
        <v>141</v>
      </c>
      <c r="AM64">
        <v>3</v>
      </c>
      <c r="AN64">
        <v>2.5</v>
      </c>
      <c r="AO64">
        <v>1</v>
      </c>
      <c r="AY64" s="26"/>
    </row>
    <row r="65" spans="36:51" x14ac:dyDescent="0.3">
      <c r="AJ65" s="13" t="str">
        <f t="shared" si="0"/>
        <v>КГВВнг(А)-LS (3х2,5) 2</v>
      </c>
      <c r="AK65" s="14" t="s">
        <v>123</v>
      </c>
      <c r="AL65" t="s">
        <v>141</v>
      </c>
      <c r="AM65">
        <v>3</v>
      </c>
      <c r="AN65">
        <v>2.5</v>
      </c>
      <c r="AO65">
        <v>2</v>
      </c>
      <c r="AY65" s="26"/>
    </row>
    <row r="66" spans="36:51" x14ac:dyDescent="0.3">
      <c r="AJ66" s="13" t="str">
        <f t="shared" si="0"/>
        <v>КГВВнг(А)-LS (5х1,5) 1</v>
      </c>
      <c r="AK66" s="14" t="s">
        <v>124</v>
      </c>
      <c r="AL66" t="s">
        <v>141</v>
      </c>
      <c r="AM66">
        <v>5</v>
      </c>
      <c r="AN66">
        <v>1.5</v>
      </c>
      <c r="AO66">
        <v>1</v>
      </c>
      <c r="AY66" s="26"/>
    </row>
    <row r="67" spans="36:51" x14ac:dyDescent="0.3">
      <c r="AJ67" s="13" t="str">
        <f t="shared" si="0"/>
        <v>КГВВнг(А)-LS (5х1,5) 2</v>
      </c>
      <c r="AK67" s="14" t="s">
        <v>125</v>
      </c>
      <c r="AL67" t="s">
        <v>141</v>
      </c>
      <c r="AM67">
        <v>5</v>
      </c>
      <c r="AN67">
        <v>1.5</v>
      </c>
      <c r="AO67">
        <v>2</v>
      </c>
      <c r="AY67" s="26"/>
    </row>
    <row r="68" spans="36:51" x14ac:dyDescent="0.3">
      <c r="AJ68" s="13" t="str">
        <f t="shared" si="0"/>
        <v>КГВВнг(А)-LS (5х2,5) 1</v>
      </c>
      <c r="AK68" s="14" t="s">
        <v>126</v>
      </c>
      <c r="AL68" t="s">
        <v>141</v>
      </c>
      <c r="AM68">
        <v>5</v>
      </c>
      <c r="AN68">
        <v>2.5</v>
      </c>
      <c r="AO68">
        <v>1</v>
      </c>
      <c r="AY68" s="26"/>
    </row>
    <row r="69" spans="36:51" x14ac:dyDescent="0.3">
      <c r="AJ69" s="13" t="str">
        <f t="shared" ref="AJ69:AJ132" si="3">AL69&amp;" ("&amp;AM69&amp;"х"&amp;AN69&amp;") "&amp;AO69</f>
        <v>КГВВнг(А)-LS (5х2,5) 2</v>
      </c>
      <c r="AK69" s="14" t="s">
        <v>127</v>
      </c>
      <c r="AL69" t="s">
        <v>141</v>
      </c>
      <c r="AM69">
        <v>5</v>
      </c>
      <c r="AN69">
        <v>2.5</v>
      </c>
      <c r="AO69">
        <v>2</v>
      </c>
      <c r="AY69" s="26"/>
    </row>
    <row r="70" spans="36:51" x14ac:dyDescent="0.3">
      <c r="AJ70" s="13" t="str">
        <f t="shared" si="3"/>
        <v>КГВВнг(А)-LS (5х4) 1</v>
      </c>
      <c r="AK70" s="14" t="s">
        <v>128</v>
      </c>
      <c r="AL70" t="s">
        <v>141</v>
      </c>
      <c r="AM70">
        <v>5</v>
      </c>
      <c r="AN70">
        <v>4</v>
      </c>
      <c r="AO70">
        <v>1</v>
      </c>
      <c r="AY70" s="26"/>
    </row>
    <row r="71" spans="36:51" x14ac:dyDescent="0.3">
      <c r="AJ71" s="13" t="str">
        <f t="shared" si="3"/>
        <v>КГВВнг(А)-LS (5х4) 2</v>
      </c>
      <c r="AK71" s="14" t="s">
        <v>129</v>
      </c>
      <c r="AL71" t="s">
        <v>141</v>
      </c>
      <c r="AM71">
        <v>5</v>
      </c>
      <c r="AN71">
        <v>4</v>
      </c>
      <c r="AO71">
        <v>2</v>
      </c>
      <c r="AY71" s="26"/>
    </row>
    <row r="72" spans="36:51" x14ac:dyDescent="0.3">
      <c r="AJ72" s="13" t="str">
        <f t="shared" si="3"/>
        <v>КГВВнг(А)-LS (5х6) 1</v>
      </c>
      <c r="AK72" s="14" t="s">
        <v>130</v>
      </c>
      <c r="AL72" t="s">
        <v>141</v>
      </c>
      <c r="AM72">
        <v>5</v>
      </c>
      <c r="AN72">
        <v>6</v>
      </c>
      <c r="AO72">
        <v>1</v>
      </c>
      <c r="AY72" s="26"/>
    </row>
    <row r="73" spans="36:51" x14ac:dyDescent="0.3">
      <c r="AJ73" s="13" t="str">
        <f t="shared" si="3"/>
        <v>КГВВнг(А)-LS (5х6) 2</v>
      </c>
      <c r="AK73" s="14" t="s">
        <v>131</v>
      </c>
      <c r="AL73" t="s">
        <v>141</v>
      </c>
      <c r="AM73">
        <v>5</v>
      </c>
      <c r="AN73">
        <v>6</v>
      </c>
      <c r="AO73">
        <v>2</v>
      </c>
    </row>
    <row r="74" spans="36:51" x14ac:dyDescent="0.3">
      <c r="AJ74" s="13" t="str">
        <f t="shared" si="3"/>
        <v>КГВВнг(А)-LS (4х0,75) 1</v>
      </c>
      <c r="AK74" s="14" t="s">
        <v>132</v>
      </c>
      <c r="AL74" t="s">
        <v>141</v>
      </c>
      <c r="AM74">
        <v>4</v>
      </c>
      <c r="AN74">
        <v>0.75</v>
      </c>
      <c r="AO74">
        <v>1</v>
      </c>
    </row>
    <row r="75" spans="36:51" x14ac:dyDescent="0.3">
      <c r="AJ75" s="13" t="str">
        <f t="shared" si="3"/>
        <v>КГВВнг(А)-LS (4х0,75) 2</v>
      </c>
      <c r="AK75" s="14" t="s">
        <v>133</v>
      </c>
      <c r="AL75" t="s">
        <v>141</v>
      </c>
      <c r="AM75">
        <v>4</v>
      </c>
      <c r="AN75">
        <v>0.75</v>
      </c>
      <c r="AO75">
        <v>2</v>
      </c>
      <c r="AU75" s="26"/>
    </row>
    <row r="76" spans="36:51" x14ac:dyDescent="0.3">
      <c r="AJ76" s="13" t="str">
        <f t="shared" si="3"/>
        <v>ПУГВ (1х2,5) 1</v>
      </c>
      <c r="AK76" s="14" t="s">
        <v>134</v>
      </c>
      <c r="AL76" t="s">
        <v>61</v>
      </c>
      <c r="AM76">
        <v>1</v>
      </c>
      <c r="AN76">
        <v>2.5</v>
      </c>
      <c r="AO76">
        <v>1</v>
      </c>
    </row>
    <row r="77" spans="36:51" x14ac:dyDescent="0.3">
      <c r="AJ77" s="13" t="str">
        <f t="shared" si="3"/>
        <v>ПУГВ (1х2,5) 2</v>
      </c>
      <c r="AK77" s="14" t="s">
        <v>135</v>
      </c>
      <c r="AL77" t="s">
        <v>61</v>
      </c>
      <c r="AM77">
        <v>1</v>
      </c>
      <c r="AN77">
        <v>2.5</v>
      </c>
      <c r="AO77">
        <v>2</v>
      </c>
    </row>
    <row r="78" spans="36:51" x14ac:dyDescent="0.3">
      <c r="AJ78" s="13" t="str">
        <f t="shared" si="3"/>
        <v>ПУГВ (1х4) 1</v>
      </c>
      <c r="AK78" s="14" t="s">
        <v>134</v>
      </c>
      <c r="AL78" t="s">
        <v>61</v>
      </c>
      <c r="AM78">
        <v>1</v>
      </c>
      <c r="AN78">
        <v>4</v>
      </c>
      <c r="AO78">
        <v>1</v>
      </c>
    </row>
    <row r="79" spans="36:51" x14ac:dyDescent="0.3">
      <c r="AJ79" s="13" t="str">
        <f t="shared" si="3"/>
        <v>ПУГВ (1х4) 2</v>
      </c>
      <c r="AK79" s="14" t="s">
        <v>135</v>
      </c>
      <c r="AL79" t="s">
        <v>61</v>
      </c>
      <c r="AM79">
        <v>1</v>
      </c>
      <c r="AN79">
        <v>4</v>
      </c>
      <c r="AO79">
        <v>2</v>
      </c>
    </row>
    <row r="80" spans="36:51" x14ac:dyDescent="0.3">
      <c r="AJ80" s="13" t="str">
        <f t="shared" si="3"/>
        <v>ПУГВ (1х6) 1</v>
      </c>
      <c r="AK80" s="14" t="s">
        <v>134</v>
      </c>
      <c r="AL80" t="s">
        <v>61</v>
      </c>
      <c r="AM80">
        <v>1</v>
      </c>
      <c r="AN80">
        <v>6</v>
      </c>
      <c r="AO80">
        <v>1</v>
      </c>
    </row>
    <row r="81" spans="36:41" x14ac:dyDescent="0.3">
      <c r="AJ81" s="13" t="str">
        <f t="shared" si="3"/>
        <v>ПУГВ (1х6) 2</v>
      </c>
      <c r="AK81" s="14" t="s">
        <v>135</v>
      </c>
      <c r="AL81" t="s">
        <v>61</v>
      </c>
      <c r="AM81">
        <v>1</v>
      </c>
      <c r="AN81">
        <v>6</v>
      </c>
      <c r="AO81">
        <v>2</v>
      </c>
    </row>
    <row r="82" spans="36:41" x14ac:dyDescent="0.3">
      <c r="AJ82" s="13" t="str">
        <f t="shared" si="3"/>
        <v>ПУГВ (1х10) 1</v>
      </c>
      <c r="AK82" s="14" t="s">
        <v>136</v>
      </c>
      <c r="AL82" t="s">
        <v>61</v>
      </c>
      <c r="AM82">
        <v>1</v>
      </c>
      <c r="AN82">
        <v>10</v>
      </c>
      <c r="AO82">
        <v>1</v>
      </c>
    </row>
    <row r="83" spans="36:41" x14ac:dyDescent="0.3">
      <c r="AJ83" s="13" t="str">
        <f t="shared" si="3"/>
        <v>ПУГВ (1х10) 2</v>
      </c>
      <c r="AK83" s="14" t="s">
        <v>137</v>
      </c>
      <c r="AL83" t="s">
        <v>61</v>
      </c>
      <c r="AM83">
        <v>1</v>
      </c>
      <c r="AN83">
        <v>10</v>
      </c>
      <c r="AO83">
        <v>2</v>
      </c>
    </row>
    <row r="84" spans="36:41" x14ac:dyDescent="0.3">
      <c r="AJ84" s="13" t="str">
        <f t="shared" si="3"/>
        <v>ПУГВ (1х25) 1</v>
      </c>
      <c r="AK84" s="14" t="s">
        <v>136</v>
      </c>
      <c r="AL84" t="s">
        <v>61</v>
      </c>
      <c r="AM84">
        <v>1</v>
      </c>
      <c r="AN84">
        <v>25</v>
      </c>
      <c r="AO84">
        <v>1</v>
      </c>
    </row>
    <row r="85" spans="36:41" x14ac:dyDescent="0.3">
      <c r="AJ85" s="13" t="str">
        <f t="shared" si="3"/>
        <v>ПУГВ (1х25) 2</v>
      </c>
      <c r="AK85" s="14" t="s">
        <v>137</v>
      </c>
      <c r="AL85" t="s">
        <v>61</v>
      </c>
      <c r="AM85">
        <v>1</v>
      </c>
      <c r="AN85">
        <v>25</v>
      </c>
      <c r="AO85">
        <v>2</v>
      </c>
    </row>
    <row r="86" spans="36:41" x14ac:dyDescent="0.3">
      <c r="AJ86" s="13" t="str">
        <f t="shared" si="3"/>
        <v>КВБбШвнг(А)-LS (14х2,5) 1</v>
      </c>
      <c r="AK86" s="14" t="s">
        <v>67</v>
      </c>
      <c r="AL86" t="s">
        <v>152</v>
      </c>
      <c r="AM86">
        <v>14</v>
      </c>
      <c r="AN86">
        <v>2.5</v>
      </c>
      <c r="AO86">
        <v>1</v>
      </c>
    </row>
    <row r="87" spans="36:41" x14ac:dyDescent="0.3">
      <c r="AJ87" s="13" t="str">
        <f t="shared" si="3"/>
        <v>КВБбШвнг(А)-LS (14х2,5) 2</v>
      </c>
      <c r="AK87" s="14" t="s">
        <v>68</v>
      </c>
      <c r="AL87" t="s">
        <v>152</v>
      </c>
      <c r="AM87">
        <v>14</v>
      </c>
      <c r="AN87">
        <v>2.5</v>
      </c>
      <c r="AO87">
        <v>2</v>
      </c>
    </row>
    <row r="88" spans="36:41" x14ac:dyDescent="0.3">
      <c r="AJ88" s="13" t="str">
        <f t="shared" si="3"/>
        <v>ППГнг(А)-FRHF (2х1,5) 1</v>
      </c>
      <c r="AK88" s="14" t="s">
        <v>65</v>
      </c>
      <c r="AL88" t="s">
        <v>145</v>
      </c>
      <c r="AM88">
        <v>2</v>
      </c>
      <c r="AN88">
        <v>1.5</v>
      </c>
      <c r="AO88">
        <v>1</v>
      </c>
    </row>
    <row r="89" spans="36:41" x14ac:dyDescent="0.3">
      <c r="AJ89" s="13" t="str">
        <f t="shared" si="3"/>
        <v>ППГнг(А)-FRHF (2х1,5) 2</v>
      </c>
      <c r="AK89" s="14" t="s">
        <v>66</v>
      </c>
      <c r="AL89" t="s">
        <v>145</v>
      </c>
      <c r="AM89">
        <v>2</v>
      </c>
      <c r="AN89">
        <v>1.5</v>
      </c>
      <c r="AO89">
        <v>2</v>
      </c>
    </row>
    <row r="90" spans="36:41" x14ac:dyDescent="0.3">
      <c r="AJ90" s="13" t="str">
        <f t="shared" si="3"/>
        <v>ППГнг(А)-FRHF (2х2,5) 1</v>
      </c>
      <c r="AK90" s="14" t="s">
        <v>67</v>
      </c>
      <c r="AL90" t="s">
        <v>145</v>
      </c>
      <c r="AM90">
        <v>2</v>
      </c>
      <c r="AN90">
        <v>2.5</v>
      </c>
      <c r="AO90">
        <v>1</v>
      </c>
    </row>
    <row r="91" spans="36:41" x14ac:dyDescent="0.3">
      <c r="AJ91" s="13" t="str">
        <f t="shared" si="3"/>
        <v>ППГнг(А)-FRHF (2х2,5) 2</v>
      </c>
      <c r="AK91" s="14" t="s">
        <v>68</v>
      </c>
      <c r="AL91" t="s">
        <v>145</v>
      </c>
      <c r="AM91">
        <v>2</v>
      </c>
      <c r="AN91">
        <v>2.5</v>
      </c>
      <c r="AO91">
        <v>2</v>
      </c>
    </row>
    <row r="92" spans="36:41" x14ac:dyDescent="0.3">
      <c r="AJ92" s="13" t="str">
        <f t="shared" si="3"/>
        <v>ППГнг(А)-FRHF (3х1,5) 1</v>
      </c>
      <c r="AK92" s="14" t="s">
        <v>69</v>
      </c>
      <c r="AL92" t="s">
        <v>145</v>
      </c>
      <c r="AM92">
        <v>3</v>
      </c>
      <c r="AN92">
        <v>1.5</v>
      </c>
      <c r="AO92">
        <v>1</v>
      </c>
    </row>
    <row r="93" spans="36:41" x14ac:dyDescent="0.3">
      <c r="AJ93" s="13" t="str">
        <f t="shared" si="3"/>
        <v>ППГнг(А)-FRHF (3х1,5) 2</v>
      </c>
      <c r="AK93" s="14" t="s">
        <v>70</v>
      </c>
      <c r="AL93" t="s">
        <v>145</v>
      </c>
      <c r="AM93">
        <v>3</v>
      </c>
      <c r="AN93">
        <v>1.5</v>
      </c>
      <c r="AO93">
        <v>2</v>
      </c>
    </row>
    <row r="94" spans="36:41" x14ac:dyDescent="0.3">
      <c r="AJ94" s="13" t="str">
        <f t="shared" si="3"/>
        <v>ППГнг(А)-FRHF (3х2,5) 1</v>
      </c>
      <c r="AK94" s="14" t="s">
        <v>71</v>
      </c>
      <c r="AL94" t="s">
        <v>145</v>
      </c>
      <c r="AM94">
        <v>3</v>
      </c>
      <c r="AN94">
        <v>2.5</v>
      </c>
      <c r="AO94">
        <v>1</v>
      </c>
    </row>
    <row r="95" spans="36:41" x14ac:dyDescent="0.3">
      <c r="AJ95" s="13" t="str">
        <f t="shared" si="3"/>
        <v>ППГнг(А)-FRHF (3х2,5) 2</v>
      </c>
      <c r="AK95" s="14" t="s">
        <v>72</v>
      </c>
      <c r="AL95" t="s">
        <v>145</v>
      </c>
      <c r="AM95">
        <v>3</v>
      </c>
      <c r="AN95">
        <v>2.5</v>
      </c>
      <c r="AO95">
        <v>2</v>
      </c>
    </row>
    <row r="96" spans="36:41" x14ac:dyDescent="0.3">
      <c r="AJ96" s="13" t="str">
        <f t="shared" si="3"/>
        <v>ППГнг(А)-FRHF (3х4) 1</v>
      </c>
      <c r="AK96" s="14" t="s">
        <v>73</v>
      </c>
      <c r="AL96" t="s">
        <v>145</v>
      </c>
      <c r="AM96">
        <v>3</v>
      </c>
      <c r="AN96">
        <v>4</v>
      </c>
      <c r="AO96">
        <v>1</v>
      </c>
    </row>
    <row r="97" spans="36:41" x14ac:dyDescent="0.3">
      <c r="AJ97" s="13" t="str">
        <f t="shared" si="3"/>
        <v>ППГнг(А)-FRHF (3х4) 2</v>
      </c>
      <c r="AK97" s="14" t="s">
        <v>74</v>
      </c>
      <c r="AL97" t="s">
        <v>145</v>
      </c>
      <c r="AM97">
        <v>3</v>
      </c>
      <c r="AN97">
        <v>4</v>
      </c>
      <c r="AO97">
        <v>2</v>
      </c>
    </row>
    <row r="98" spans="36:41" x14ac:dyDescent="0.3">
      <c r="AJ98" s="13" t="str">
        <f t="shared" si="3"/>
        <v>ППГнг(А)-FRHF (3х6) 1</v>
      </c>
      <c r="AK98" s="14" t="s">
        <v>75</v>
      </c>
      <c r="AL98" t="s">
        <v>145</v>
      </c>
      <c r="AM98">
        <v>3</v>
      </c>
      <c r="AN98">
        <v>6</v>
      </c>
      <c r="AO98">
        <v>1</v>
      </c>
    </row>
    <row r="99" spans="36:41" x14ac:dyDescent="0.3">
      <c r="AJ99" s="13" t="str">
        <f t="shared" si="3"/>
        <v>ППГнг(А)-FRHF (3х6) 2</v>
      </c>
      <c r="AK99" s="14" t="s">
        <v>76</v>
      </c>
      <c r="AL99" t="s">
        <v>145</v>
      </c>
      <c r="AM99">
        <v>3</v>
      </c>
      <c r="AN99">
        <v>6</v>
      </c>
      <c r="AO99">
        <v>2</v>
      </c>
    </row>
    <row r="100" spans="36:41" x14ac:dyDescent="0.3">
      <c r="AJ100" s="13" t="str">
        <f t="shared" si="3"/>
        <v>ППГнг(А)-FRHF (5х1,5) 1</v>
      </c>
      <c r="AK100" s="14" t="s">
        <v>77</v>
      </c>
      <c r="AL100" t="s">
        <v>145</v>
      </c>
      <c r="AM100">
        <v>5</v>
      </c>
      <c r="AN100">
        <v>1.5</v>
      </c>
      <c r="AO100">
        <v>1</v>
      </c>
    </row>
    <row r="101" spans="36:41" x14ac:dyDescent="0.3">
      <c r="AJ101" s="13" t="str">
        <f t="shared" si="3"/>
        <v>ППГнг(А)-FRHF (5х1,5) 2</v>
      </c>
      <c r="AK101" s="14" t="s">
        <v>78</v>
      </c>
      <c r="AL101" t="s">
        <v>145</v>
      </c>
      <c r="AM101">
        <v>5</v>
      </c>
      <c r="AN101">
        <v>1.5</v>
      </c>
      <c r="AO101">
        <v>2</v>
      </c>
    </row>
    <row r="102" spans="36:41" x14ac:dyDescent="0.3">
      <c r="AJ102" s="13" t="str">
        <f t="shared" si="3"/>
        <v>ППГнг(А)-FRHF (5х2,5) 1</v>
      </c>
      <c r="AK102" s="14" t="s">
        <v>79</v>
      </c>
      <c r="AL102" t="s">
        <v>145</v>
      </c>
      <c r="AM102">
        <v>5</v>
      </c>
      <c r="AN102">
        <v>2.5</v>
      </c>
      <c r="AO102">
        <v>1</v>
      </c>
    </row>
    <row r="103" spans="36:41" x14ac:dyDescent="0.3">
      <c r="AJ103" s="13" t="str">
        <f t="shared" si="3"/>
        <v>ППГнг(А)-FRHF (5х2,5) 2</v>
      </c>
      <c r="AK103" s="14" t="s">
        <v>80</v>
      </c>
      <c r="AL103" t="s">
        <v>145</v>
      </c>
      <c r="AM103">
        <v>5</v>
      </c>
      <c r="AN103">
        <v>2.5</v>
      </c>
      <c r="AO103">
        <v>2</v>
      </c>
    </row>
    <row r="104" spans="36:41" x14ac:dyDescent="0.3">
      <c r="AJ104" s="13" t="str">
        <f t="shared" si="3"/>
        <v>ППГнг(А)-FRHF (5х4) 1</v>
      </c>
      <c r="AK104" s="14" t="s">
        <v>81</v>
      </c>
      <c r="AL104" t="s">
        <v>145</v>
      </c>
      <c r="AM104">
        <v>5</v>
      </c>
      <c r="AN104">
        <v>4</v>
      </c>
      <c r="AO104">
        <v>1</v>
      </c>
    </row>
    <row r="105" spans="36:41" x14ac:dyDescent="0.3">
      <c r="AJ105" s="13" t="str">
        <f t="shared" si="3"/>
        <v>ППГнг(А)-FRHF (5х4) 2</v>
      </c>
      <c r="AK105" s="14" t="s">
        <v>82</v>
      </c>
      <c r="AL105" t="s">
        <v>145</v>
      </c>
      <c r="AM105">
        <v>5</v>
      </c>
      <c r="AN105">
        <v>4</v>
      </c>
      <c r="AO105">
        <v>2</v>
      </c>
    </row>
    <row r="106" spans="36:41" x14ac:dyDescent="0.3">
      <c r="AJ106" s="13" t="str">
        <f t="shared" si="3"/>
        <v>ППГнг(А)-FRHF (5х6) 1</v>
      </c>
      <c r="AK106" s="14" t="s">
        <v>83</v>
      </c>
      <c r="AL106" t="s">
        <v>145</v>
      </c>
      <c r="AM106">
        <v>5</v>
      </c>
      <c r="AN106">
        <v>6</v>
      </c>
      <c r="AO106">
        <v>1</v>
      </c>
    </row>
    <row r="107" spans="36:41" x14ac:dyDescent="0.3">
      <c r="AJ107" s="13" t="str">
        <f t="shared" si="3"/>
        <v>ППГнг(А)-FRHF (5х6) 2</v>
      </c>
      <c r="AK107" s="14" t="s">
        <v>84</v>
      </c>
      <c r="AL107" t="s">
        <v>145</v>
      </c>
      <c r="AM107">
        <v>5</v>
      </c>
      <c r="AN107">
        <v>6</v>
      </c>
      <c r="AO107">
        <v>2</v>
      </c>
    </row>
    <row r="108" spans="36:41" x14ac:dyDescent="0.3">
      <c r="AJ108" s="13" t="str">
        <f t="shared" si="3"/>
        <v>ППГнг(А)-FRHF (5х10) 1</v>
      </c>
      <c r="AK108" s="14" t="s">
        <v>85</v>
      </c>
      <c r="AL108" t="s">
        <v>145</v>
      </c>
      <c r="AM108">
        <v>5</v>
      </c>
      <c r="AN108">
        <v>10</v>
      </c>
      <c r="AO108">
        <v>1</v>
      </c>
    </row>
    <row r="109" spans="36:41" x14ac:dyDescent="0.3">
      <c r="AJ109" s="13" t="str">
        <f t="shared" si="3"/>
        <v>ППГнг(А)-FRHF (5х10) 2</v>
      </c>
      <c r="AK109" s="14" t="s">
        <v>86</v>
      </c>
      <c r="AL109" t="s">
        <v>145</v>
      </c>
      <c r="AM109">
        <v>5</v>
      </c>
      <c r="AN109">
        <v>10</v>
      </c>
      <c r="AO109">
        <v>2</v>
      </c>
    </row>
    <row r="110" spans="36:41" x14ac:dyDescent="0.3">
      <c r="AJ110" s="13" t="str">
        <f t="shared" si="3"/>
        <v>ППГнг(А)-FRHF (5х16) 1</v>
      </c>
      <c r="AK110" s="14" t="s">
        <v>87</v>
      </c>
      <c r="AL110" t="s">
        <v>145</v>
      </c>
      <c r="AM110">
        <v>5</v>
      </c>
      <c r="AN110">
        <v>16</v>
      </c>
      <c r="AO110">
        <v>1</v>
      </c>
    </row>
    <row r="111" spans="36:41" x14ac:dyDescent="0.3">
      <c r="AJ111" s="13" t="str">
        <f t="shared" si="3"/>
        <v>ППГнг(А)-FRHF (5х16) 2</v>
      </c>
      <c r="AK111" s="14" t="s">
        <v>88</v>
      </c>
      <c r="AL111" t="s">
        <v>145</v>
      </c>
      <c r="AM111">
        <v>5</v>
      </c>
      <c r="AN111">
        <v>16</v>
      </c>
      <c r="AO111">
        <v>2</v>
      </c>
    </row>
    <row r="112" spans="36:41" x14ac:dyDescent="0.3">
      <c r="AJ112" s="13" t="str">
        <f t="shared" si="3"/>
        <v>ППГнг(А)-FRHF (5х25) 1</v>
      </c>
      <c r="AK112" s="14" t="s">
        <v>89</v>
      </c>
      <c r="AL112" t="s">
        <v>145</v>
      </c>
      <c r="AM112">
        <v>5</v>
      </c>
      <c r="AN112">
        <v>25</v>
      </c>
      <c r="AO112">
        <v>1</v>
      </c>
    </row>
    <row r="113" spans="36:41" x14ac:dyDescent="0.3">
      <c r="AJ113" s="13" t="str">
        <f t="shared" si="3"/>
        <v>ППГнг(А)-FRHF (5х25) 2</v>
      </c>
      <c r="AK113" s="14" t="s">
        <v>90</v>
      </c>
      <c r="AL113" t="s">
        <v>145</v>
      </c>
      <c r="AM113">
        <v>5</v>
      </c>
      <c r="AN113">
        <v>25</v>
      </c>
      <c r="AO113">
        <v>2</v>
      </c>
    </row>
    <row r="114" spans="36:41" x14ac:dyDescent="0.3">
      <c r="AJ114" s="13" t="str">
        <f t="shared" si="3"/>
        <v>ППГнг(А)-FRHF (5х35) 1</v>
      </c>
      <c r="AK114" s="14" t="s">
        <v>91</v>
      </c>
      <c r="AL114" t="s">
        <v>145</v>
      </c>
      <c r="AM114">
        <v>5</v>
      </c>
      <c r="AN114">
        <v>35</v>
      </c>
      <c r="AO114">
        <v>1</v>
      </c>
    </row>
    <row r="115" spans="36:41" x14ac:dyDescent="0.3">
      <c r="AJ115" s="13" t="str">
        <f t="shared" si="3"/>
        <v>ППГнг(А)-FRHF (5х35) 1</v>
      </c>
      <c r="AK115" s="14" t="s">
        <v>92</v>
      </c>
      <c r="AL115" t="s">
        <v>145</v>
      </c>
      <c r="AM115">
        <v>5</v>
      </c>
      <c r="AN115">
        <v>35</v>
      </c>
      <c r="AO115">
        <v>1</v>
      </c>
    </row>
    <row r="116" spans="36:41" x14ac:dyDescent="0.3">
      <c r="AJ116" s="13" t="str">
        <f t="shared" si="3"/>
        <v>ППГнг(А)-FRHF (5х50) 1</v>
      </c>
      <c r="AK116" s="14" t="s">
        <v>93</v>
      </c>
      <c r="AL116" t="s">
        <v>145</v>
      </c>
      <c r="AM116">
        <v>5</v>
      </c>
      <c r="AN116">
        <v>50</v>
      </c>
      <c r="AO116">
        <v>1</v>
      </c>
    </row>
    <row r="117" spans="36:41" x14ac:dyDescent="0.3">
      <c r="AJ117" s="13" t="str">
        <f t="shared" si="3"/>
        <v>ППГнг(А)-FRHF (5х50) 2</v>
      </c>
      <c r="AK117" s="14" t="s">
        <v>94</v>
      </c>
      <c r="AL117" t="s">
        <v>145</v>
      </c>
      <c r="AM117">
        <v>5</v>
      </c>
      <c r="AN117">
        <v>50</v>
      </c>
      <c r="AO117">
        <v>2</v>
      </c>
    </row>
    <row r="118" spans="36:41" x14ac:dyDescent="0.3">
      <c r="AJ118" s="13" t="str">
        <f t="shared" si="3"/>
        <v>ППГнг(А)-FRHF (5х95) 1</v>
      </c>
      <c r="AK118" s="14" t="s">
        <v>95</v>
      </c>
      <c r="AL118" t="s">
        <v>145</v>
      </c>
      <c r="AM118">
        <v>5</v>
      </c>
      <c r="AN118">
        <v>95</v>
      </c>
      <c r="AO118">
        <v>1</v>
      </c>
    </row>
    <row r="119" spans="36:41" x14ac:dyDescent="0.3">
      <c r="AJ119" s="13" t="str">
        <f t="shared" si="3"/>
        <v>ППГнг(А)-FRHF (5х95) 2</v>
      </c>
      <c r="AK119" s="14" t="s">
        <v>96</v>
      </c>
      <c r="AL119" t="s">
        <v>145</v>
      </c>
      <c r="AM119">
        <v>5</v>
      </c>
      <c r="AN119">
        <v>95</v>
      </c>
      <c r="AO119">
        <v>2</v>
      </c>
    </row>
    <row r="120" spans="36:41" x14ac:dyDescent="0.3">
      <c r="AJ120" s="13" t="str">
        <f t="shared" si="3"/>
        <v>ППГнг(А)-FRHF (5х120) 1</v>
      </c>
      <c r="AK120" s="14" t="s">
        <v>97</v>
      </c>
      <c r="AL120" t="s">
        <v>145</v>
      </c>
      <c r="AM120">
        <v>5</v>
      </c>
      <c r="AN120">
        <v>120</v>
      </c>
      <c r="AO120">
        <v>1</v>
      </c>
    </row>
    <row r="121" spans="36:41" x14ac:dyDescent="0.3">
      <c r="AJ121" s="13" t="str">
        <f t="shared" si="3"/>
        <v>ППГнг(А)-FRHF (5х120) 2</v>
      </c>
      <c r="AK121" s="14" t="s">
        <v>98</v>
      </c>
      <c r="AL121" t="s">
        <v>145</v>
      </c>
      <c r="AM121">
        <v>5</v>
      </c>
      <c r="AN121">
        <v>120</v>
      </c>
      <c r="AO121">
        <v>2</v>
      </c>
    </row>
    <row r="122" spans="36:41" x14ac:dyDescent="0.3">
      <c r="AJ122" s="13" t="str">
        <f t="shared" si="3"/>
        <v>ППГнг(А)-HF (2х1,5) 1</v>
      </c>
      <c r="AK122" s="14" t="s">
        <v>65</v>
      </c>
      <c r="AL122" t="s">
        <v>147</v>
      </c>
      <c r="AM122">
        <v>2</v>
      </c>
      <c r="AN122">
        <v>1.5</v>
      </c>
      <c r="AO122">
        <v>1</v>
      </c>
    </row>
    <row r="123" spans="36:41" x14ac:dyDescent="0.3">
      <c r="AJ123" s="13" t="str">
        <f t="shared" si="3"/>
        <v>ППГнг(А)-HF (2х1,5) 2</v>
      </c>
      <c r="AK123" s="14" t="s">
        <v>66</v>
      </c>
      <c r="AL123" t="s">
        <v>147</v>
      </c>
      <c r="AM123">
        <v>2</v>
      </c>
      <c r="AN123">
        <v>1.5</v>
      </c>
      <c r="AO123">
        <v>2</v>
      </c>
    </row>
    <row r="124" spans="36:41" x14ac:dyDescent="0.3">
      <c r="AJ124" s="13" t="str">
        <f t="shared" si="3"/>
        <v>ППГнг(А)-HF (2х2,5) 1</v>
      </c>
      <c r="AK124" s="14" t="s">
        <v>67</v>
      </c>
      <c r="AL124" t="s">
        <v>147</v>
      </c>
      <c r="AM124">
        <v>2</v>
      </c>
      <c r="AN124">
        <v>2.5</v>
      </c>
      <c r="AO124">
        <v>1</v>
      </c>
    </row>
    <row r="125" spans="36:41" x14ac:dyDescent="0.3">
      <c r="AJ125" s="13" t="str">
        <f t="shared" si="3"/>
        <v>ППГнг(А)-HF (2х2,5) 2</v>
      </c>
      <c r="AK125" s="14" t="s">
        <v>68</v>
      </c>
      <c r="AL125" t="s">
        <v>147</v>
      </c>
      <c r="AM125">
        <v>2</v>
      </c>
      <c r="AN125">
        <v>2.5</v>
      </c>
      <c r="AO125">
        <v>2</v>
      </c>
    </row>
    <row r="126" spans="36:41" x14ac:dyDescent="0.3">
      <c r="AJ126" s="13" t="str">
        <f t="shared" si="3"/>
        <v>ППГнг(А)-HF (3х1,5) 1</v>
      </c>
      <c r="AK126" s="14" t="s">
        <v>69</v>
      </c>
      <c r="AL126" t="s">
        <v>147</v>
      </c>
      <c r="AM126">
        <v>3</v>
      </c>
      <c r="AN126">
        <v>1.5</v>
      </c>
      <c r="AO126">
        <v>1</v>
      </c>
    </row>
    <row r="127" spans="36:41" x14ac:dyDescent="0.3">
      <c r="AJ127" s="13" t="str">
        <f t="shared" si="3"/>
        <v>ППГнг(А)-HF (3х1,5) 2</v>
      </c>
      <c r="AK127" s="14" t="s">
        <v>70</v>
      </c>
      <c r="AL127" t="s">
        <v>147</v>
      </c>
      <c r="AM127">
        <v>3</v>
      </c>
      <c r="AN127">
        <v>1.5</v>
      </c>
      <c r="AO127">
        <v>2</v>
      </c>
    </row>
    <row r="128" spans="36:41" x14ac:dyDescent="0.3">
      <c r="AJ128" s="13" t="str">
        <f t="shared" si="3"/>
        <v>ППГнг(А)-HF (3х2,5) 1</v>
      </c>
      <c r="AK128" s="14" t="s">
        <v>71</v>
      </c>
      <c r="AL128" t="s">
        <v>147</v>
      </c>
      <c r="AM128">
        <v>3</v>
      </c>
      <c r="AN128">
        <v>2.5</v>
      </c>
      <c r="AO128">
        <v>1</v>
      </c>
    </row>
    <row r="129" spans="36:41" x14ac:dyDescent="0.3">
      <c r="AJ129" s="13" t="str">
        <f t="shared" si="3"/>
        <v>ППГнг(А)-HF (3х2,5) 2</v>
      </c>
      <c r="AK129" s="14" t="s">
        <v>72</v>
      </c>
      <c r="AL129" t="s">
        <v>147</v>
      </c>
      <c r="AM129">
        <v>3</v>
      </c>
      <c r="AN129">
        <v>2.5</v>
      </c>
      <c r="AO129">
        <v>2</v>
      </c>
    </row>
    <row r="130" spans="36:41" x14ac:dyDescent="0.3">
      <c r="AJ130" s="13" t="str">
        <f t="shared" si="3"/>
        <v>ППГнг(А)-HF (3х4) 1</v>
      </c>
      <c r="AK130" s="14" t="s">
        <v>73</v>
      </c>
      <c r="AL130" t="s">
        <v>147</v>
      </c>
      <c r="AM130">
        <v>3</v>
      </c>
      <c r="AN130">
        <v>4</v>
      </c>
      <c r="AO130">
        <v>1</v>
      </c>
    </row>
    <row r="131" spans="36:41" x14ac:dyDescent="0.3">
      <c r="AJ131" s="13" t="str">
        <f t="shared" si="3"/>
        <v>ППГнг(А)-HF (3х4) 2</v>
      </c>
      <c r="AK131" s="14" t="s">
        <v>74</v>
      </c>
      <c r="AL131" t="s">
        <v>147</v>
      </c>
      <c r="AM131">
        <v>3</v>
      </c>
      <c r="AN131">
        <v>4</v>
      </c>
      <c r="AO131">
        <v>2</v>
      </c>
    </row>
    <row r="132" spans="36:41" x14ac:dyDescent="0.3">
      <c r="AJ132" s="13" t="str">
        <f t="shared" si="3"/>
        <v>ППГнг(А)-HF (3х6) 1</v>
      </c>
      <c r="AK132" s="14" t="s">
        <v>75</v>
      </c>
      <c r="AL132" t="s">
        <v>147</v>
      </c>
      <c r="AM132">
        <v>3</v>
      </c>
      <c r="AN132">
        <v>6</v>
      </c>
      <c r="AO132">
        <v>1</v>
      </c>
    </row>
    <row r="133" spans="36:41" x14ac:dyDescent="0.3">
      <c r="AJ133" s="13" t="str">
        <f t="shared" ref="AJ133:AJ193" si="4">AL133&amp;" ("&amp;AM133&amp;"х"&amp;AN133&amp;") "&amp;AO133</f>
        <v>ППГнг(А)-HF (3х6) 2</v>
      </c>
      <c r="AK133" s="14" t="s">
        <v>76</v>
      </c>
      <c r="AL133" t="s">
        <v>147</v>
      </c>
      <c r="AM133">
        <v>3</v>
      </c>
      <c r="AN133">
        <v>6</v>
      </c>
      <c r="AO133">
        <v>2</v>
      </c>
    </row>
    <row r="134" spans="36:41" x14ac:dyDescent="0.3">
      <c r="AJ134" s="13" t="str">
        <f t="shared" si="4"/>
        <v>ППГнг(А)-HF (5х1,5) 1</v>
      </c>
      <c r="AK134" s="14" t="s">
        <v>77</v>
      </c>
      <c r="AL134" t="s">
        <v>147</v>
      </c>
      <c r="AM134">
        <v>5</v>
      </c>
      <c r="AN134">
        <v>1.5</v>
      </c>
      <c r="AO134">
        <v>1</v>
      </c>
    </row>
    <row r="135" spans="36:41" x14ac:dyDescent="0.3">
      <c r="AJ135" s="13" t="str">
        <f t="shared" si="4"/>
        <v>ППГнг(А)-HF (5х1,5) 2</v>
      </c>
      <c r="AK135" s="14" t="s">
        <v>78</v>
      </c>
      <c r="AL135" t="s">
        <v>147</v>
      </c>
      <c r="AM135">
        <v>5</v>
      </c>
      <c r="AN135">
        <v>1.5</v>
      </c>
      <c r="AO135">
        <v>2</v>
      </c>
    </row>
    <row r="136" spans="36:41" x14ac:dyDescent="0.3">
      <c r="AJ136" s="13" t="str">
        <f t="shared" si="4"/>
        <v>ППГнг(А)-HF (5х2,5) 1</v>
      </c>
      <c r="AK136" s="14" t="s">
        <v>79</v>
      </c>
      <c r="AL136" t="s">
        <v>147</v>
      </c>
      <c r="AM136">
        <v>5</v>
      </c>
      <c r="AN136">
        <v>2.5</v>
      </c>
      <c r="AO136">
        <v>1</v>
      </c>
    </row>
    <row r="137" spans="36:41" x14ac:dyDescent="0.3">
      <c r="AJ137" s="13" t="str">
        <f t="shared" si="4"/>
        <v>ППГнг(А)-HF (5х2,5) 2</v>
      </c>
      <c r="AK137" s="14" t="s">
        <v>80</v>
      </c>
      <c r="AL137" t="s">
        <v>147</v>
      </c>
      <c r="AM137">
        <v>5</v>
      </c>
      <c r="AN137">
        <v>2.5</v>
      </c>
      <c r="AO137">
        <v>2</v>
      </c>
    </row>
    <row r="138" spans="36:41" x14ac:dyDescent="0.3">
      <c r="AJ138" s="13" t="str">
        <f t="shared" si="4"/>
        <v>ППГнг(А)-HF (5х4) 1</v>
      </c>
      <c r="AK138" s="14" t="s">
        <v>81</v>
      </c>
      <c r="AL138" t="s">
        <v>147</v>
      </c>
      <c r="AM138">
        <v>5</v>
      </c>
      <c r="AN138">
        <v>4</v>
      </c>
      <c r="AO138">
        <v>1</v>
      </c>
    </row>
    <row r="139" spans="36:41" x14ac:dyDescent="0.3">
      <c r="AJ139" s="13" t="str">
        <f t="shared" si="4"/>
        <v>ППГнг(А)-HF (5х4) 2</v>
      </c>
      <c r="AK139" s="14" t="s">
        <v>82</v>
      </c>
      <c r="AL139" t="s">
        <v>147</v>
      </c>
      <c r="AM139">
        <v>5</v>
      </c>
      <c r="AN139">
        <v>4</v>
      </c>
      <c r="AO139">
        <v>2</v>
      </c>
    </row>
    <row r="140" spans="36:41" x14ac:dyDescent="0.3">
      <c r="AJ140" s="13" t="str">
        <f t="shared" si="4"/>
        <v>ППГнг(А)-HF (5х6) 1</v>
      </c>
      <c r="AK140" s="14" t="s">
        <v>83</v>
      </c>
      <c r="AL140" t="s">
        <v>147</v>
      </c>
      <c r="AM140">
        <v>5</v>
      </c>
      <c r="AN140">
        <v>6</v>
      </c>
      <c r="AO140">
        <v>1</v>
      </c>
    </row>
    <row r="141" spans="36:41" x14ac:dyDescent="0.3">
      <c r="AJ141" s="13" t="str">
        <f t="shared" si="4"/>
        <v>ППГнг(А)-HF (5х6) 2</v>
      </c>
      <c r="AK141" s="14" t="s">
        <v>84</v>
      </c>
      <c r="AL141" t="s">
        <v>147</v>
      </c>
      <c r="AM141">
        <v>5</v>
      </c>
      <c r="AN141">
        <v>6</v>
      </c>
      <c r="AO141">
        <v>2</v>
      </c>
    </row>
    <row r="142" spans="36:41" x14ac:dyDescent="0.3">
      <c r="AJ142" s="13" t="str">
        <f t="shared" si="4"/>
        <v>ППГнг(А)-HF (5х10) 1</v>
      </c>
      <c r="AK142" s="14" t="s">
        <v>85</v>
      </c>
      <c r="AL142" t="s">
        <v>147</v>
      </c>
      <c r="AM142">
        <v>5</v>
      </c>
      <c r="AN142">
        <v>10</v>
      </c>
      <c r="AO142">
        <v>1</v>
      </c>
    </row>
    <row r="143" spans="36:41" x14ac:dyDescent="0.3">
      <c r="AJ143" s="13" t="str">
        <f t="shared" si="4"/>
        <v>ППГнг(А)-HF (5х10) 2</v>
      </c>
      <c r="AK143" s="14" t="s">
        <v>86</v>
      </c>
      <c r="AL143" t="s">
        <v>147</v>
      </c>
      <c r="AM143">
        <v>5</v>
      </c>
      <c r="AN143">
        <v>10</v>
      </c>
      <c r="AO143">
        <v>2</v>
      </c>
    </row>
    <row r="144" spans="36:41" x14ac:dyDescent="0.3">
      <c r="AJ144" s="13" t="str">
        <f t="shared" si="4"/>
        <v>ППГнг(А)-HF (5х16) 1</v>
      </c>
      <c r="AK144" s="14" t="s">
        <v>87</v>
      </c>
      <c r="AL144" t="s">
        <v>147</v>
      </c>
      <c r="AM144">
        <v>5</v>
      </c>
      <c r="AN144">
        <v>16</v>
      </c>
      <c r="AO144">
        <v>1</v>
      </c>
    </row>
    <row r="145" spans="36:41" x14ac:dyDescent="0.3">
      <c r="AJ145" s="13" t="str">
        <f t="shared" si="4"/>
        <v>ППГнг(А)-HF (5х16) 2</v>
      </c>
      <c r="AK145" s="14" t="s">
        <v>88</v>
      </c>
      <c r="AL145" t="s">
        <v>147</v>
      </c>
      <c r="AM145">
        <v>5</v>
      </c>
      <c r="AN145">
        <v>16</v>
      </c>
      <c r="AO145">
        <v>2</v>
      </c>
    </row>
    <row r="146" spans="36:41" x14ac:dyDescent="0.3">
      <c r="AJ146" s="13" t="str">
        <f t="shared" si="4"/>
        <v>ППГнг(А)-HF (5х25) 1</v>
      </c>
      <c r="AK146" s="14" t="s">
        <v>89</v>
      </c>
      <c r="AL146" t="s">
        <v>147</v>
      </c>
      <c r="AM146">
        <v>5</v>
      </c>
      <c r="AN146">
        <v>25</v>
      </c>
      <c r="AO146">
        <v>1</v>
      </c>
    </row>
    <row r="147" spans="36:41" x14ac:dyDescent="0.3">
      <c r="AJ147" s="13" t="str">
        <f t="shared" si="4"/>
        <v>ППГнг(А)-HF (5х25) 2</v>
      </c>
      <c r="AK147" s="14" t="s">
        <v>90</v>
      </c>
      <c r="AL147" t="s">
        <v>147</v>
      </c>
      <c r="AM147">
        <v>5</v>
      </c>
      <c r="AN147">
        <v>25</v>
      </c>
      <c r="AO147">
        <v>2</v>
      </c>
    </row>
    <row r="148" spans="36:41" x14ac:dyDescent="0.3">
      <c r="AJ148" s="13" t="str">
        <f t="shared" si="4"/>
        <v>ППГнг(А)-HF (5х35) 1</v>
      </c>
      <c r="AK148" s="14" t="s">
        <v>91</v>
      </c>
      <c r="AL148" t="s">
        <v>147</v>
      </c>
      <c r="AM148">
        <v>5</v>
      </c>
      <c r="AN148">
        <v>35</v>
      </c>
      <c r="AO148">
        <v>1</v>
      </c>
    </row>
    <row r="149" spans="36:41" x14ac:dyDescent="0.3">
      <c r="AJ149" s="13" t="str">
        <f t="shared" si="4"/>
        <v>ППГнг(А)-HF (5х35) 2</v>
      </c>
      <c r="AK149" s="14" t="s">
        <v>92</v>
      </c>
      <c r="AL149" t="s">
        <v>147</v>
      </c>
      <c r="AM149">
        <v>5</v>
      </c>
      <c r="AN149">
        <v>35</v>
      </c>
      <c r="AO149">
        <v>2</v>
      </c>
    </row>
    <row r="150" spans="36:41" x14ac:dyDescent="0.3">
      <c r="AJ150" s="13" t="str">
        <f t="shared" si="4"/>
        <v>ППГнг(А)-HF (5х50) 1</v>
      </c>
      <c r="AK150" s="14" t="s">
        <v>93</v>
      </c>
      <c r="AL150" t="s">
        <v>147</v>
      </c>
      <c r="AM150">
        <v>5</v>
      </c>
      <c r="AN150">
        <v>50</v>
      </c>
      <c r="AO150">
        <v>1</v>
      </c>
    </row>
    <row r="151" spans="36:41" x14ac:dyDescent="0.3">
      <c r="AJ151" s="13" t="str">
        <f t="shared" si="4"/>
        <v>ППГнг(А)-HF (5х50) 2</v>
      </c>
      <c r="AK151" s="14" t="s">
        <v>94</v>
      </c>
      <c r="AL151" t="s">
        <v>147</v>
      </c>
      <c r="AM151">
        <v>5</v>
      </c>
      <c r="AN151">
        <v>50</v>
      </c>
      <c r="AO151">
        <v>2</v>
      </c>
    </row>
    <row r="152" spans="36:41" x14ac:dyDescent="0.3">
      <c r="AJ152" s="13" t="str">
        <f t="shared" si="4"/>
        <v>ППГнг(А)-HF (5х95) 1</v>
      </c>
      <c r="AK152" s="14" t="s">
        <v>95</v>
      </c>
      <c r="AL152" t="s">
        <v>147</v>
      </c>
      <c r="AM152">
        <v>5</v>
      </c>
      <c r="AN152">
        <v>95</v>
      </c>
      <c r="AO152">
        <v>1</v>
      </c>
    </row>
    <row r="153" spans="36:41" x14ac:dyDescent="0.3">
      <c r="AJ153" s="13" t="str">
        <f t="shared" si="4"/>
        <v>ППГнг(А)-HF (5х95) 2</v>
      </c>
      <c r="AK153" s="14" t="s">
        <v>96</v>
      </c>
      <c r="AL153" t="s">
        <v>147</v>
      </c>
      <c r="AM153">
        <v>5</v>
      </c>
      <c r="AN153">
        <v>95</v>
      </c>
      <c r="AO153">
        <v>2</v>
      </c>
    </row>
    <row r="154" spans="36:41" x14ac:dyDescent="0.3">
      <c r="AJ154" s="13" t="str">
        <f t="shared" si="4"/>
        <v>ППГнг(А)-HF (5х120) 1</v>
      </c>
      <c r="AK154" s="14" t="s">
        <v>97</v>
      </c>
      <c r="AL154" t="s">
        <v>147</v>
      </c>
      <c r="AM154">
        <v>5</v>
      </c>
      <c r="AN154">
        <v>120</v>
      </c>
      <c r="AO154">
        <v>1</v>
      </c>
    </row>
    <row r="155" spans="36:41" x14ac:dyDescent="0.3">
      <c r="AJ155" s="13" t="str">
        <f t="shared" si="4"/>
        <v>ППГнг(А)-HF (5х120) 2</v>
      </c>
      <c r="AK155" s="14" t="s">
        <v>98</v>
      </c>
      <c r="AL155" t="s">
        <v>147</v>
      </c>
      <c r="AM155">
        <v>5</v>
      </c>
      <c r="AN155">
        <v>120</v>
      </c>
      <c r="AO155">
        <v>2</v>
      </c>
    </row>
    <row r="156" spans="36:41" x14ac:dyDescent="0.3">
      <c r="AJ156" s="13" t="str">
        <f t="shared" si="4"/>
        <v>ВВГнг(А)-FRLS (2х1,5) 1</v>
      </c>
      <c r="AK156" s="14" t="s">
        <v>65</v>
      </c>
      <c r="AL156" t="s">
        <v>150</v>
      </c>
      <c r="AM156">
        <v>2</v>
      </c>
      <c r="AN156">
        <v>1.5</v>
      </c>
      <c r="AO156">
        <v>1</v>
      </c>
    </row>
    <row r="157" spans="36:41" x14ac:dyDescent="0.3">
      <c r="AJ157" s="13" t="str">
        <f t="shared" si="4"/>
        <v>ВВГнг(А)-FRLS (2х1,5) 2</v>
      </c>
      <c r="AK157" s="14" t="s">
        <v>66</v>
      </c>
      <c r="AL157" t="s">
        <v>150</v>
      </c>
      <c r="AM157">
        <v>2</v>
      </c>
      <c r="AN157">
        <v>1.5</v>
      </c>
      <c r="AO157">
        <v>2</v>
      </c>
    </row>
    <row r="158" spans="36:41" x14ac:dyDescent="0.3">
      <c r="AJ158" s="13" t="str">
        <f t="shared" si="4"/>
        <v>ВВГнг(А)-FRLS (2х2,5) 1</v>
      </c>
      <c r="AK158" s="14" t="s">
        <v>67</v>
      </c>
      <c r="AL158" t="s">
        <v>150</v>
      </c>
      <c r="AM158">
        <v>2</v>
      </c>
      <c r="AN158">
        <v>2.5</v>
      </c>
      <c r="AO158">
        <v>1</v>
      </c>
    </row>
    <row r="159" spans="36:41" x14ac:dyDescent="0.3">
      <c r="AJ159" s="13" t="str">
        <f t="shared" si="4"/>
        <v>ВВГнг(А)-FRLS (2х2,5) 2</v>
      </c>
      <c r="AK159" s="14" t="s">
        <v>68</v>
      </c>
      <c r="AL159" t="s">
        <v>150</v>
      </c>
      <c r="AM159">
        <v>2</v>
      </c>
      <c r="AN159">
        <v>2.5</v>
      </c>
      <c r="AO159">
        <v>2</v>
      </c>
    </row>
    <row r="160" spans="36:41" x14ac:dyDescent="0.3">
      <c r="AJ160" s="13" t="str">
        <f t="shared" si="4"/>
        <v>ВВГнг(А)-FRLS (3х1,5) 1</v>
      </c>
      <c r="AK160" s="14" t="s">
        <v>69</v>
      </c>
      <c r="AL160" t="s">
        <v>150</v>
      </c>
      <c r="AM160">
        <v>3</v>
      </c>
      <c r="AN160">
        <v>1.5</v>
      </c>
      <c r="AO160">
        <v>1</v>
      </c>
    </row>
    <row r="161" spans="36:41" x14ac:dyDescent="0.3">
      <c r="AJ161" s="13" t="str">
        <f t="shared" si="4"/>
        <v>ВВГнг(А)-FRLS (3х1,5) 2</v>
      </c>
      <c r="AK161" s="14" t="s">
        <v>70</v>
      </c>
      <c r="AL161" t="s">
        <v>150</v>
      </c>
      <c r="AM161">
        <v>3</v>
      </c>
      <c r="AN161">
        <v>1.5</v>
      </c>
      <c r="AO161">
        <v>2</v>
      </c>
    </row>
    <row r="162" spans="36:41" x14ac:dyDescent="0.3">
      <c r="AJ162" s="13" t="str">
        <f t="shared" si="4"/>
        <v>ВВГнг(А)-FRLS (3х2,5) 1</v>
      </c>
      <c r="AK162" s="14" t="s">
        <v>71</v>
      </c>
      <c r="AL162" t="s">
        <v>150</v>
      </c>
      <c r="AM162">
        <v>3</v>
      </c>
      <c r="AN162">
        <v>2.5</v>
      </c>
      <c r="AO162">
        <v>1</v>
      </c>
    </row>
    <row r="163" spans="36:41" x14ac:dyDescent="0.3">
      <c r="AJ163" s="13" t="str">
        <f t="shared" si="4"/>
        <v>ВВГнг(А)-FRLS (3х2,5) 2</v>
      </c>
      <c r="AK163" s="14" t="s">
        <v>72</v>
      </c>
      <c r="AL163" t="s">
        <v>150</v>
      </c>
      <c r="AM163">
        <v>3</v>
      </c>
      <c r="AN163">
        <v>2.5</v>
      </c>
      <c r="AO163">
        <v>2</v>
      </c>
    </row>
    <row r="164" spans="36:41" x14ac:dyDescent="0.3">
      <c r="AJ164" s="13" t="str">
        <f t="shared" si="4"/>
        <v>ВВГнг(А)-FRLS (3х4) 1</v>
      </c>
      <c r="AK164" s="14" t="s">
        <v>73</v>
      </c>
      <c r="AL164" t="s">
        <v>150</v>
      </c>
      <c r="AM164">
        <v>3</v>
      </c>
      <c r="AN164">
        <v>4</v>
      </c>
      <c r="AO164">
        <v>1</v>
      </c>
    </row>
    <row r="165" spans="36:41" x14ac:dyDescent="0.3">
      <c r="AJ165" s="13" t="str">
        <f t="shared" si="4"/>
        <v>ВВГнг(А)-FRLS (3х4) 2</v>
      </c>
      <c r="AK165" s="14" t="s">
        <v>74</v>
      </c>
      <c r="AL165" t="s">
        <v>150</v>
      </c>
      <c r="AM165">
        <v>3</v>
      </c>
      <c r="AN165">
        <v>4</v>
      </c>
      <c r="AO165">
        <v>2</v>
      </c>
    </row>
    <row r="166" spans="36:41" x14ac:dyDescent="0.3">
      <c r="AJ166" s="13" t="str">
        <f t="shared" si="4"/>
        <v>ВВГнг(А)-FRLS (3х6) 1</v>
      </c>
      <c r="AK166" s="14" t="s">
        <v>75</v>
      </c>
      <c r="AL166" t="s">
        <v>150</v>
      </c>
      <c r="AM166">
        <v>3</v>
      </c>
      <c r="AN166">
        <v>6</v>
      </c>
      <c r="AO166">
        <v>1</v>
      </c>
    </row>
    <row r="167" spans="36:41" x14ac:dyDescent="0.3">
      <c r="AJ167" s="13" t="str">
        <f t="shared" si="4"/>
        <v>ВВГнг(А)-FRLS (3х6) 2</v>
      </c>
      <c r="AK167" s="14" t="s">
        <v>76</v>
      </c>
      <c r="AL167" t="s">
        <v>150</v>
      </c>
      <c r="AM167">
        <v>3</v>
      </c>
      <c r="AN167">
        <v>6</v>
      </c>
      <c r="AO167">
        <v>2</v>
      </c>
    </row>
    <row r="168" spans="36:41" x14ac:dyDescent="0.3">
      <c r="AJ168" s="13" t="str">
        <f t="shared" si="4"/>
        <v>ВВГнг(А)-FRLS (5х1,5) 1</v>
      </c>
      <c r="AK168" s="14" t="s">
        <v>77</v>
      </c>
      <c r="AL168" t="s">
        <v>150</v>
      </c>
      <c r="AM168">
        <v>5</v>
      </c>
      <c r="AN168">
        <v>1.5</v>
      </c>
      <c r="AO168">
        <v>1</v>
      </c>
    </row>
    <row r="169" spans="36:41" x14ac:dyDescent="0.3">
      <c r="AJ169" s="13" t="str">
        <f t="shared" si="4"/>
        <v>ВВГнг(А)-FRLS (5х1,5) 2</v>
      </c>
      <c r="AK169" s="14" t="s">
        <v>78</v>
      </c>
      <c r="AL169" t="s">
        <v>150</v>
      </c>
      <c r="AM169">
        <v>5</v>
      </c>
      <c r="AN169">
        <v>1.5</v>
      </c>
      <c r="AO169">
        <v>2</v>
      </c>
    </row>
    <row r="170" spans="36:41" x14ac:dyDescent="0.3">
      <c r="AJ170" s="13" t="str">
        <f t="shared" si="4"/>
        <v>ВВГнг(А)-FRLS (5х2,5) 1</v>
      </c>
      <c r="AK170" s="14" t="s">
        <v>79</v>
      </c>
      <c r="AL170" t="s">
        <v>150</v>
      </c>
      <c r="AM170">
        <v>5</v>
      </c>
      <c r="AN170">
        <v>2.5</v>
      </c>
      <c r="AO170">
        <v>1</v>
      </c>
    </row>
    <row r="171" spans="36:41" x14ac:dyDescent="0.3">
      <c r="AJ171" s="13" t="str">
        <f t="shared" si="4"/>
        <v>ВВГнг(А)-FRLS (5х2,5) 2</v>
      </c>
      <c r="AK171" s="14" t="s">
        <v>80</v>
      </c>
      <c r="AL171" t="s">
        <v>150</v>
      </c>
      <c r="AM171">
        <v>5</v>
      </c>
      <c r="AN171">
        <v>2.5</v>
      </c>
      <c r="AO171">
        <v>2</v>
      </c>
    </row>
    <row r="172" spans="36:41" x14ac:dyDescent="0.3">
      <c r="AJ172" s="13" t="str">
        <f t="shared" si="4"/>
        <v>ВВГнг(А)-FRLS (5х4) 1</v>
      </c>
      <c r="AK172" s="14" t="s">
        <v>81</v>
      </c>
      <c r="AL172" t="s">
        <v>150</v>
      </c>
      <c r="AM172">
        <v>5</v>
      </c>
      <c r="AN172">
        <v>4</v>
      </c>
      <c r="AO172">
        <v>1</v>
      </c>
    </row>
    <row r="173" spans="36:41" x14ac:dyDescent="0.3">
      <c r="AJ173" s="13" t="str">
        <f t="shared" si="4"/>
        <v>ВВГнг(А)-FRLS (5х4) 1</v>
      </c>
      <c r="AK173" s="14" t="s">
        <v>82</v>
      </c>
      <c r="AL173" t="s">
        <v>150</v>
      </c>
      <c r="AM173">
        <v>5</v>
      </c>
      <c r="AN173">
        <v>4</v>
      </c>
      <c r="AO173">
        <v>1</v>
      </c>
    </row>
    <row r="174" spans="36:41" x14ac:dyDescent="0.3">
      <c r="AJ174" s="13" t="str">
        <f t="shared" si="4"/>
        <v>ВВГнг(А)-FRLS (5х6) 1</v>
      </c>
      <c r="AK174" s="14" t="s">
        <v>83</v>
      </c>
      <c r="AL174" t="s">
        <v>150</v>
      </c>
      <c r="AM174">
        <v>5</v>
      </c>
      <c r="AN174">
        <v>6</v>
      </c>
      <c r="AO174">
        <v>1</v>
      </c>
    </row>
    <row r="175" spans="36:41" x14ac:dyDescent="0.3">
      <c r="AJ175" s="13" t="str">
        <f t="shared" si="4"/>
        <v>ВВГнг(А)-FRLS (5х6) 2</v>
      </c>
      <c r="AK175" s="14" t="s">
        <v>84</v>
      </c>
      <c r="AL175" t="s">
        <v>150</v>
      </c>
      <c r="AM175">
        <v>5</v>
      </c>
      <c r="AN175">
        <v>6</v>
      </c>
      <c r="AO175">
        <v>2</v>
      </c>
    </row>
    <row r="176" spans="36:41" x14ac:dyDescent="0.3">
      <c r="AJ176" s="13" t="str">
        <f t="shared" si="4"/>
        <v>ВВГнг(А)-FRLS (5х10) 1</v>
      </c>
      <c r="AK176" s="14" t="s">
        <v>85</v>
      </c>
      <c r="AL176" t="s">
        <v>150</v>
      </c>
      <c r="AM176">
        <v>5</v>
      </c>
      <c r="AN176">
        <v>10</v>
      </c>
      <c r="AO176">
        <v>1</v>
      </c>
    </row>
    <row r="177" spans="36:41" x14ac:dyDescent="0.3">
      <c r="AJ177" s="13" t="str">
        <f t="shared" si="4"/>
        <v>ВВГнг(А)-FRLS (5х10) 2</v>
      </c>
      <c r="AK177" s="14" t="s">
        <v>86</v>
      </c>
      <c r="AL177" t="s">
        <v>150</v>
      </c>
      <c r="AM177">
        <v>5</v>
      </c>
      <c r="AN177">
        <v>10</v>
      </c>
      <c r="AO177">
        <v>2</v>
      </c>
    </row>
    <row r="178" spans="36:41" x14ac:dyDescent="0.3">
      <c r="AJ178" s="13" t="str">
        <f t="shared" si="4"/>
        <v>ВВГнг(А)-FRLS (5х16) 1</v>
      </c>
      <c r="AK178" s="14" t="s">
        <v>87</v>
      </c>
      <c r="AL178" t="s">
        <v>150</v>
      </c>
      <c r="AM178">
        <v>5</v>
      </c>
      <c r="AN178">
        <v>16</v>
      </c>
      <c r="AO178">
        <v>1</v>
      </c>
    </row>
    <row r="179" spans="36:41" x14ac:dyDescent="0.3">
      <c r="AJ179" s="13" t="str">
        <f t="shared" si="4"/>
        <v>ВВГнг(А)-FRLS (5х16) 2</v>
      </c>
      <c r="AK179" s="14" t="s">
        <v>88</v>
      </c>
      <c r="AL179" t="s">
        <v>150</v>
      </c>
      <c r="AM179">
        <v>5</v>
      </c>
      <c r="AN179">
        <v>16</v>
      </c>
      <c r="AO179">
        <v>2</v>
      </c>
    </row>
    <row r="180" spans="36:41" x14ac:dyDescent="0.3">
      <c r="AJ180" s="13" t="str">
        <f t="shared" si="4"/>
        <v>ВВГнг(А)-FRLS (5х25) 1</v>
      </c>
      <c r="AK180" s="14" t="s">
        <v>89</v>
      </c>
      <c r="AL180" t="s">
        <v>150</v>
      </c>
      <c r="AM180">
        <v>5</v>
      </c>
      <c r="AN180">
        <v>25</v>
      </c>
      <c r="AO180">
        <v>1</v>
      </c>
    </row>
    <row r="181" spans="36:41" x14ac:dyDescent="0.3">
      <c r="AJ181" s="13" t="str">
        <f t="shared" si="4"/>
        <v>ВВГнг(А)-FRLS (5х25) 2</v>
      </c>
      <c r="AK181" s="14" t="s">
        <v>90</v>
      </c>
      <c r="AL181" t="s">
        <v>150</v>
      </c>
      <c r="AM181">
        <v>5</v>
      </c>
      <c r="AN181">
        <v>25</v>
      </c>
      <c r="AO181">
        <v>2</v>
      </c>
    </row>
    <row r="182" spans="36:41" x14ac:dyDescent="0.3">
      <c r="AJ182" s="13" t="str">
        <f t="shared" si="4"/>
        <v>ВВГнг(А)-FRLS (5х35) 1</v>
      </c>
      <c r="AK182" s="14" t="s">
        <v>91</v>
      </c>
      <c r="AL182" t="s">
        <v>150</v>
      </c>
      <c r="AM182">
        <v>5</v>
      </c>
      <c r="AN182">
        <v>35</v>
      </c>
      <c r="AO182">
        <v>1</v>
      </c>
    </row>
    <row r="183" spans="36:41" x14ac:dyDescent="0.3">
      <c r="AJ183" s="13" t="str">
        <f t="shared" si="4"/>
        <v>ВВГнг(А)-FRLS (5х35) 2</v>
      </c>
      <c r="AK183" s="14" t="s">
        <v>92</v>
      </c>
      <c r="AL183" t="s">
        <v>150</v>
      </c>
      <c r="AM183">
        <v>5</v>
      </c>
      <c r="AN183">
        <v>35</v>
      </c>
      <c r="AO183">
        <v>2</v>
      </c>
    </row>
    <row r="184" spans="36:41" x14ac:dyDescent="0.3">
      <c r="AJ184" s="13" t="str">
        <f t="shared" si="4"/>
        <v>ВВГнг(А)-FRLS (5х50) 1</v>
      </c>
      <c r="AK184" s="14" t="s">
        <v>93</v>
      </c>
      <c r="AL184" t="s">
        <v>150</v>
      </c>
      <c r="AM184">
        <v>5</v>
      </c>
      <c r="AN184">
        <v>50</v>
      </c>
      <c r="AO184">
        <v>1</v>
      </c>
    </row>
    <row r="185" spans="36:41" x14ac:dyDescent="0.3">
      <c r="AJ185" s="13" t="str">
        <f t="shared" si="4"/>
        <v>ВВГнг(А)-FRLS (5х50) 2</v>
      </c>
      <c r="AK185" s="14" t="s">
        <v>94</v>
      </c>
      <c r="AL185" t="s">
        <v>150</v>
      </c>
      <c r="AM185">
        <v>5</v>
      </c>
      <c r="AN185">
        <v>50</v>
      </c>
      <c r="AO185">
        <v>2</v>
      </c>
    </row>
    <row r="186" spans="36:41" x14ac:dyDescent="0.3">
      <c r="AJ186" s="13" t="str">
        <f t="shared" si="4"/>
        <v>ВВГнг(А)-FRLS (5х95) 1</v>
      </c>
      <c r="AK186" s="14" t="s">
        <v>95</v>
      </c>
      <c r="AL186" t="s">
        <v>150</v>
      </c>
      <c r="AM186">
        <v>5</v>
      </c>
      <c r="AN186">
        <v>95</v>
      </c>
      <c r="AO186">
        <v>1</v>
      </c>
    </row>
    <row r="187" spans="36:41" x14ac:dyDescent="0.3">
      <c r="AJ187" s="13" t="str">
        <f t="shared" si="4"/>
        <v>ВВГнг(А)-FRLS (5х95) 2</v>
      </c>
      <c r="AK187" s="14" t="s">
        <v>96</v>
      </c>
      <c r="AL187" t="s">
        <v>150</v>
      </c>
      <c r="AM187">
        <v>5</v>
      </c>
      <c r="AN187">
        <v>95</v>
      </c>
      <c r="AO187">
        <v>2</v>
      </c>
    </row>
    <row r="188" spans="36:41" x14ac:dyDescent="0.3">
      <c r="AJ188" s="13" t="str">
        <f t="shared" si="4"/>
        <v>ВВГнг(А)-FRLS (5х120) 1</v>
      </c>
      <c r="AK188" s="14" t="s">
        <v>97</v>
      </c>
      <c r="AL188" t="s">
        <v>150</v>
      </c>
      <c r="AM188">
        <v>5</v>
      </c>
      <c r="AN188">
        <v>120</v>
      </c>
      <c r="AO188">
        <v>1</v>
      </c>
    </row>
    <row r="189" spans="36:41" x14ac:dyDescent="0.3">
      <c r="AJ189" s="13" t="str">
        <f t="shared" si="4"/>
        <v>ВВГнг(А)-FRLS (5х120) 2</v>
      </c>
      <c r="AK189" s="14" t="s">
        <v>98</v>
      </c>
      <c r="AL189" t="s">
        <v>150</v>
      </c>
      <c r="AM189">
        <v>5</v>
      </c>
      <c r="AN189">
        <v>120</v>
      </c>
      <c r="AO189">
        <v>2</v>
      </c>
    </row>
    <row r="190" spans="36:41" x14ac:dyDescent="0.3">
      <c r="AJ190" s="13" t="str">
        <f t="shared" si="4"/>
        <v>ВВГнг(А)-FRLS (5х95) 1</v>
      </c>
      <c r="AK190" s="14" t="s">
        <v>99</v>
      </c>
      <c r="AL190" t="s">
        <v>150</v>
      </c>
      <c r="AM190">
        <v>5</v>
      </c>
      <c r="AN190">
        <v>95</v>
      </c>
      <c r="AO190">
        <v>1</v>
      </c>
    </row>
    <row r="191" spans="36:41" x14ac:dyDescent="0.3">
      <c r="AJ191" s="13" t="str">
        <f t="shared" si="4"/>
        <v>ВВГнг(А)-FRLS (5х95) 2</v>
      </c>
      <c r="AK191" s="14" t="s">
        <v>100</v>
      </c>
      <c r="AL191" t="s">
        <v>150</v>
      </c>
      <c r="AM191">
        <v>5</v>
      </c>
      <c r="AN191">
        <v>95</v>
      </c>
      <c r="AO191">
        <v>2</v>
      </c>
    </row>
    <row r="192" spans="36:41" x14ac:dyDescent="0.3">
      <c r="AJ192" s="13" t="str">
        <f t="shared" si="4"/>
        <v>ВВГнг(А)-FRLS (5х120) 1</v>
      </c>
      <c r="AK192" s="14" t="s">
        <v>101</v>
      </c>
      <c r="AL192" t="s">
        <v>150</v>
      </c>
      <c r="AM192">
        <v>5</v>
      </c>
      <c r="AN192">
        <v>120</v>
      </c>
      <c r="AO192">
        <v>1</v>
      </c>
    </row>
    <row r="193" spans="36:41" x14ac:dyDescent="0.3">
      <c r="AJ193" s="13" t="str">
        <f t="shared" si="4"/>
        <v>ВВГнг(А)-FRLS (5х120) 2</v>
      </c>
      <c r="AK193" s="14" t="s">
        <v>102</v>
      </c>
      <c r="AL193" t="s">
        <v>150</v>
      </c>
      <c r="AM193">
        <v>5</v>
      </c>
      <c r="AN193">
        <v>120</v>
      </c>
      <c r="AO193">
        <v>2</v>
      </c>
    </row>
  </sheetData>
  <sheetProtection formatCells="0" formatColumns="0" formatRows="0"/>
  <mergeCells count="3">
    <mergeCell ref="L2:AG2"/>
    <mergeCell ref="AQ2:AS2"/>
    <mergeCell ref="AQ7:AS7"/>
  </mergeCells>
  <conditionalFormatting sqref="P9">
    <cfRule type="duplicateValues" dxfId="42" priority="23"/>
    <cfRule type="expression" dxfId="41" priority="24">
      <formula>_xlfn.ISFORMULA(P9)=TRUE</formula>
    </cfRule>
    <cfRule type="duplicateValues" dxfId="40" priority="25"/>
    <cfRule type="expression" dxfId="39" priority="26">
      <formula>_xlfn.ISFORMULA(P9)=TRUE</formula>
    </cfRule>
  </conditionalFormatting>
  <conditionalFormatting sqref="P12">
    <cfRule type="duplicateValues" dxfId="38" priority="18"/>
    <cfRule type="duplicateValues" dxfId="37" priority="19"/>
    <cfRule type="duplicateValues" dxfId="36" priority="20"/>
    <cfRule type="duplicateValues" dxfId="35" priority="21"/>
    <cfRule type="expression" dxfId="34" priority="22">
      <formula>_xlfn.ISFORMULA(P12)=TRUE</formula>
    </cfRule>
  </conditionalFormatting>
  <conditionalFormatting sqref="P14">
    <cfRule type="duplicateValues" dxfId="33" priority="14"/>
    <cfRule type="duplicateValues" dxfId="32" priority="15"/>
    <cfRule type="duplicateValues" dxfId="31" priority="16"/>
    <cfRule type="expression" dxfId="30" priority="17">
      <formula>_xlfn.ISFORMULA(P14)=TRUE</formula>
    </cfRule>
  </conditionalFormatting>
  <conditionalFormatting sqref="P18">
    <cfRule type="duplicateValues" dxfId="29" priority="6"/>
    <cfRule type="duplicateValues" dxfId="28" priority="7"/>
    <cfRule type="duplicateValues" dxfId="27" priority="8"/>
    <cfRule type="expression" dxfId="26" priority="9">
      <formula>_xlfn.ISFORMULA(P18)=TRUE</formula>
    </cfRule>
  </conditionalFormatting>
  <conditionalFormatting sqref="P45">
    <cfRule type="duplicateValues" dxfId="25" priority="31"/>
    <cfRule type="duplicateValues" dxfId="24" priority="32"/>
    <cfRule type="duplicateValues" dxfId="23" priority="33"/>
    <cfRule type="expression" dxfId="22" priority="34">
      <formula>_xlfn.ISFORMULA(P45)=TRUE</formula>
    </cfRule>
  </conditionalFormatting>
  <conditionalFormatting sqref="Q14">
    <cfRule type="duplicateValues" dxfId="21" priority="10"/>
    <cfRule type="duplicateValues" dxfId="20" priority="11"/>
    <cfRule type="duplicateValues" dxfId="19" priority="12"/>
    <cfRule type="expression" dxfId="18" priority="13">
      <formula>_xlfn.ISFORMULA(Q14)=TRUE</formula>
    </cfRule>
  </conditionalFormatting>
  <conditionalFormatting sqref="Q22:Q25">
    <cfRule type="expression" dxfId="17" priority="2">
      <formula>_xlfn.ISFORMULA(Q22)=TRUE</formula>
    </cfRule>
  </conditionalFormatting>
  <conditionalFormatting sqref="Q28">
    <cfRule type="expression" dxfId="16" priority="1">
      <formula>_xlfn.ISFORMULA(Q28)=TRUE</formula>
    </cfRule>
  </conditionalFormatting>
  <conditionalFormatting sqref="AV4:AV51">
    <cfRule type="expression" dxfId="15" priority="35">
      <formula>AND($AU4&lt;&gt;"",$AV4="")</formula>
    </cfRule>
  </conditionalFormatting>
  <dataValidations count="3">
    <dataValidation type="list" allowBlank="1" sqref="AV4:AV72" xr:uid="{00000000-0002-0000-0100-000000000000}">
      <formula1>$BA$4:$BA$30</formula1>
    </dataValidation>
    <dataValidation type="list" allowBlank="1" sqref="AW4:AW72" xr:uid="{00000000-0002-0000-0100-000001000000}">
      <formula1>"да,нет"</formula1>
    </dataValidation>
    <dataValidation type="list" allowBlank="1" showInputMessage="1" showErrorMessage="1" sqref="BD4:BD51" xr:uid="{AAC5CEFD-CD4F-4B7C-BC57-8D7418F9F485}">
      <formula1>"да,нет"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460DF-5547-4C44-98CC-F4B5A8B0B139}">
  <sheetPr>
    <tabColor rgb="FFA6A6A6"/>
  </sheetPr>
  <dimension ref="B1:AF503"/>
  <sheetViews>
    <sheetView workbookViewId="0"/>
  </sheetViews>
  <sheetFormatPr defaultRowHeight="14.4" x14ac:dyDescent="0.3"/>
  <cols>
    <col min="2" max="2" width="18.109375" customWidth="1"/>
    <col min="3" max="3" width="7" bestFit="1" customWidth="1"/>
    <col min="4" max="4" width="9" bestFit="1" customWidth="1"/>
    <col min="5" max="6" width="6.109375" bestFit="1" customWidth="1"/>
    <col min="8" max="8" width="8.5546875" bestFit="1" customWidth="1"/>
    <col min="10" max="10" width="8.5546875" bestFit="1" customWidth="1"/>
    <col min="11" max="11" width="9.5546875" bestFit="1" customWidth="1"/>
    <col min="13" max="13" width="14.5546875" bestFit="1" customWidth="1"/>
    <col min="17" max="17" width="19.33203125" customWidth="1"/>
    <col min="18" max="18" width="15" customWidth="1"/>
    <col min="20" max="20" width="20.88671875" style="22" bestFit="1" customWidth="1"/>
    <col min="21" max="21" width="19" bestFit="1" customWidth="1"/>
    <col min="22" max="22" width="17.33203125" bestFit="1" customWidth="1"/>
    <col min="23" max="24" width="17.33203125" customWidth="1"/>
    <col min="26" max="26" width="10.88671875" bestFit="1" customWidth="1"/>
    <col min="27" max="27" width="7.88671875" bestFit="1" customWidth="1"/>
    <col min="30" max="30" width="11.33203125" bestFit="1" customWidth="1"/>
    <col min="31" max="31" width="10.88671875" bestFit="1" customWidth="1"/>
  </cols>
  <sheetData>
    <row r="1" spans="2:32" x14ac:dyDescent="0.3">
      <c r="T1" s="22">
        <v>1</v>
      </c>
      <c r="U1">
        <v>2</v>
      </c>
      <c r="V1">
        <v>3</v>
      </c>
      <c r="W1">
        <v>4</v>
      </c>
      <c r="X1">
        <v>5</v>
      </c>
    </row>
    <row r="2" spans="2:32" x14ac:dyDescent="0.3">
      <c r="B2" s="3" t="s">
        <v>160</v>
      </c>
      <c r="C2" s="20"/>
      <c r="D2" s="20"/>
      <c r="E2" s="20"/>
      <c r="F2" s="20"/>
      <c r="M2" s="3" t="s">
        <v>161</v>
      </c>
      <c r="Q2" s="3" t="s">
        <v>171</v>
      </c>
      <c r="Z2" s="3" t="s">
        <v>178</v>
      </c>
      <c r="AA2" t="s">
        <v>179</v>
      </c>
      <c r="AD2" s="3" t="s">
        <v>177</v>
      </c>
      <c r="AE2" t="s">
        <v>180</v>
      </c>
    </row>
    <row r="3" spans="2:32" x14ac:dyDescent="0.3">
      <c r="B3" s="3" t="s">
        <v>1</v>
      </c>
      <c r="C3" s="3" t="s">
        <v>166</v>
      </c>
      <c r="D3" s="3" t="s">
        <v>167</v>
      </c>
      <c r="E3" s="3" t="s">
        <v>168</v>
      </c>
      <c r="F3" s="3" t="s">
        <v>169</v>
      </c>
      <c r="G3" s="3" t="s">
        <v>157</v>
      </c>
      <c r="H3" s="3" t="s">
        <v>163</v>
      </c>
      <c r="I3" s="3" t="s">
        <v>158</v>
      </c>
      <c r="J3" s="3" t="s">
        <v>162</v>
      </c>
      <c r="K3" s="3" t="s">
        <v>159</v>
      </c>
      <c r="M3" s="3" t="s">
        <v>1</v>
      </c>
      <c r="N3" s="3" t="s">
        <v>164</v>
      </c>
      <c r="O3" s="3" t="s">
        <v>165</v>
      </c>
      <c r="Q3" s="3" t="s">
        <v>29</v>
      </c>
      <c r="R3" s="3" t="s">
        <v>172</v>
      </c>
      <c r="S3" s="3" t="s">
        <v>3</v>
      </c>
      <c r="T3" s="3" t="s">
        <v>9</v>
      </c>
      <c r="U3" s="3" t="s">
        <v>173</v>
      </c>
      <c r="V3" s="3" t="s">
        <v>191</v>
      </c>
      <c r="W3" s="3" t="s">
        <v>201</v>
      </c>
      <c r="X3" s="3" t="s">
        <v>202</v>
      </c>
      <c r="Z3" s="3" t="s">
        <v>176</v>
      </c>
      <c r="AA3" s="3" t="s">
        <v>156</v>
      </c>
      <c r="AB3" s="3" t="s">
        <v>175</v>
      </c>
      <c r="AD3" s="3" t="s">
        <v>176</v>
      </c>
      <c r="AE3" s="3" t="s">
        <v>156</v>
      </c>
      <c r="AF3" s="3" t="s">
        <v>175</v>
      </c>
    </row>
    <row r="4" spans="2:32" x14ac:dyDescent="0.3">
      <c r="B4" s="3">
        <v>0.09</v>
      </c>
      <c r="C4" s="3">
        <v>0.37</v>
      </c>
      <c r="D4" s="3">
        <v>1.67</v>
      </c>
      <c r="E4" s="3">
        <f>ROUNDUP(B4/G4/K4/0.22,2)</f>
        <v>0.85</v>
      </c>
      <c r="F4" s="3">
        <f>ROUNDUP(E4*J4,2)</f>
        <v>2.98</v>
      </c>
      <c r="G4" s="3">
        <v>0.56999999999999995</v>
      </c>
      <c r="H4" s="3">
        <v>4.5</v>
      </c>
      <c r="I4" s="3">
        <v>0.65</v>
      </c>
      <c r="J4" s="3">
        <v>3.5</v>
      </c>
      <c r="K4" s="3">
        <v>0.85</v>
      </c>
      <c r="M4" s="3">
        <v>0.01</v>
      </c>
      <c r="N4" s="3">
        <v>40</v>
      </c>
      <c r="O4" s="3">
        <v>0.11</v>
      </c>
      <c r="Q4" s="3" t="s">
        <v>12</v>
      </c>
      <c r="R4" s="3">
        <v>1</v>
      </c>
      <c r="S4" s="3">
        <v>1.5</v>
      </c>
      <c r="T4" s="21" t="str">
        <f>Q4&amp;" ("&amp;R4&amp;"х"&amp;S4&amp;")"</f>
        <v>ВВГнг(А)-LS (1х1,5)</v>
      </c>
      <c r="U4" s="3">
        <v>5.4</v>
      </c>
      <c r="V4" s="3">
        <f>IF((U4*1.2)&lt;14,14,U4*1.2)</f>
        <v>14</v>
      </c>
      <c r="W4" s="3" t="str">
        <f>"Ø"&amp;VLOOKUP(V4,$Z$4:$AA$10,2,TRUE)</f>
        <v>Ø20</v>
      </c>
      <c r="X4" s="3" t="str">
        <f>"Ø"&amp;VLOOKUP(V4,$AD$4:$AE$10,2,TRUE)</f>
        <v>Ø20</v>
      </c>
      <c r="Z4" s="3">
        <v>0</v>
      </c>
      <c r="AA4" s="3">
        <v>16</v>
      </c>
      <c r="AB4" s="3">
        <v>16</v>
      </c>
      <c r="AD4" s="3">
        <v>0</v>
      </c>
      <c r="AE4" s="3">
        <v>16</v>
      </c>
      <c r="AF4" s="3">
        <v>16</v>
      </c>
    </row>
    <row r="5" spans="2:32" x14ac:dyDescent="0.3">
      <c r="B5" s="3">
        <v>0.12</v>
      </c>
      <c r="C5" s="3">
        <v>0.49</v>
      </c>
      <c r="D5" s="3">
        <v>2.4500000000000002</v>
      </c>
      <c r="E5" s="3">
        <f t="shared" ref="E5:E16" si="0">ROUNDUP(B5/G5/K5/0.22,2)</f>
        <v>1.1300000000000001</v>
      </c>
      <c r="F5" s="3">
        <f t="shared" ref="F5:F16" si="1">ROUNDUP(E5*J5,2)</f>
        <v>3.96</v>
      </c>
      <c r="G5" s="3">
        <v>0.56999999999999995</v>
      </c>
      <c r="H5" s="3">
        <v>5</v>
      </c>
      <c r="I5" s="3">
        <v>0.66</v>
      </c>
      <c r="J5" s="3">
        <v>3.5</v>
      </c>
      <c r="K5" s="3">
        <v>0.85</v>
      </c>
      <c r="M5" s="3">
        <v>1.2E-2</v>
      </c>
      <c r="N5" s="3">
        <v>40</v>
      </c>
      <c r="O5" s="3">
        <v>0.13</v>
      </c>
      <c r="Q5" s="3" t="s">
        <v>12</v>
      </c>
      <c r="R5" s="3">
        <v>2</v>
      </c>
      <c r="S5" s="3">
        <v>1.5</v>
      </c>
      <c r="T5" s="21" t="str">
        <f t="shared" ref="T5:T23" si="2">Q5&amp;" ("&amp;R5&amp;"х"&amp;S5&amp;")"</f>
        <v>ВВГнг(А)-LS (2х1,5)</v>
      </c>
      <c r="U5" s="3">
        <v>9</v>
      </c>
      <c r="V5" s="3">
        <f t="shared" ref="V5:V68" si="3">IF((U5*1.2)&lt;14,14,U5*1.2)</f>
        <v>14</v>
      </c>
      <c r="W5" s="3" t="str">
        <f t="shared" ref="W5:W68" si="4">"Ø"&amp;VLOOKUP(V5,$Z$4:$AA$10,2,TRUE)</f>
        <v>Ø20</v>
      </c>
      <c r="X5" s="3" t="str">
        <f t="shared" ref="X5:X68" si="5">"Ø"&amp;VLOOKUP(V5,$AD$4:$AE$10,2,TRUE)</f>
        <v>Ø20</v>
      </c>
      <c r="Z5" s="3">
        <v>11.5</v>
      </c>
      <c r="AA5" s="3">
        <v>20</v>
      </c>
      <c r="AB5" s="3">
        <v>20</v>
      </c>
      <c r="AD5" s="3">
        <v>11.3</v>
      </c>
      <c r="AE5" s="3">
        <v>20</v>
      </c>
      <c r="AF5" s="3">
        <v>20</v>
      </c>
    </row>
    <row r="6" spans="2:32" x14ac:dyDescent="0.3">
      <c r="B6" s="3">
        <v>0.18</v>
      </c>
      <c r="C6" s="3">
        <v>0.67</v>
      </c>
      <c r="D6" s="3">
        <v>3.35</v>
      </c>
      <c r="E6" s="3">
        <f t="shared" si="0"/>
        <v>1.57</v>
      </c>
      <c r="F6" s="3">
        <f t="shared" si="1"/>
        <v>5.5</v>
      </c>
      <c r="G6" s="3">
        <v>0.6</v>
      </c>
      <c r="H6" s="3">
        <v>5</v>
      </c>
      <c r="I6" s="3">
        <v>0.68</v>
      </c>
      <c r="J6" s="3">
        <v>3.5</v>
      </c>
      <c r="K6" s="3">
        <v>0.87</v>
      </c>
      <c r="M6" s="3">
        <v>1.4999999999999999E-2</v>
      </c>
      <c r="N6" s="3">
        <v>45</v>
      </c>
      <c r="O6" s="3">
        <v>0.16</v>
      </c>
      <c r="Q6" s="3" t="s">
        <v>12</v>
      </c>
      <c r="R6" s="3">
        <v>3</v>
      </c>
      <c r="S6" s="3">
        <v>1.5</v>
      </c>
      <c r="T6" s="21" t="str">
        <f t="shared" si="2"/>
        <v>ВВГнг(А)-LS (3х1,5)</v>
      </c>
      <c r="U6" s="3">
        <v>9.4</v>
      </c>
      <c r="V6" s="3">
        <f t="shared" si="3"/>
        <v>14</v>
      </c>
      <c r="W6" s="3" t="str">
        <f t="shared" si="4"/>
        <v>Ø20</v>
      </c>
      <c r="X6" s="3" t="str">
        <f t="shared" si="5"/>
        <v>Ø20</v>
      </c>
      <c r="Z6" s="3">
        <v>14.9</v>
      </c>
      <c r="AA6" s="3">
        <v>25</v>
      </c>
      <c r="AB6" s="3">
        <v>25</v>
      </c>
      <c r="AD6" s="3">
        <v>14.5</v>
      </c>
      <c r="AE6" s="3">
        <v>25</v>
      </c>
      <c r="AF6" s="3">
        <v>25</v>
      </c>
    </row>
    <row r="7" spans="2:32" x14ac:dyDescent="0.3">
      <c r="B7" s="3">
        <v>0.25</v>
      </c>
      <c r="C7" s="3">
        <v>0.87</v>
      </c>
      <c r="D7" s="3">
        <v>4.3499999999999996</v>
      </c>
      <c r="E7" s="3">
        <f t="shared" si="0"/>
        <v>1.95</v>
      </c>
      <c r="F7" s="3">
        <f t="shared" si="1"/>
        <v>6.83</v>
      </c>
      <c r="G7" s="3">
        <v>0.65</v>
      </c>
      <c r="H7" s="3">
        <v>5</v>
      </c>
      <c r="I7" s="3">
        <v>0.67</v>
      </c>
      <c r="J7" s="3">
        <v>3.5</v>
      </c>
      <c r="K7" s="3">
        <v>0.9</v>
      </c>
      <c r="M7" s="3">
        <v>0.02</v>
      </c>
      <c r="N7" s="3">
        <v>45</v>
      </c>
      <c r="O7" s="3">
        <v>0.22</v>
      </c>
      <c r="Q7" s="3" t="s">
        <v>12</v>
      </c>
      <c r="R7" s="3">
        <v>4</v>
      </c>
      <c r="S7" s="3">
        <v>1.5</v>
      </c>
      <c r="T7" s="21" t="str">
        <f t="shared" si="2"/>
        <v>ВВГнг(А)-LS (4х1,5)</v>
      </c>
      <c r="U7" s="3">
        <v>10.199999999999999</v>
      </c>
      <c r="V7" s="3">
        <f t="shared" si="3"/>
        <v>14</v>
      </c>
      <c r="W7" s="3" t="str">
        <f t="shared" si="4"/>
        <v>Ø20</v>
      </c>
      <c r="X7" s="3" t="str">
        <f t="shared" si="5"/>
        <v>Ø20</v>
      </c>
      <c r="Z7" s="3">
        <v>19</v>
      </c>
      <c r="AA7" s="3">
        <v>32</v>
      </c>
      <c r="AB7" s="3">
        <v>32</v>
      </c>
      <c r="AD7" s="3">
        <v>18.7</v>
      </c>
      <c r="AE7" s="3">
        <v>32</v>
      </c>
      <c r="AF7" s="3">
        <v>32</v>
      </c>
    </row>
    <row r="8" spans="2:32" x14ac:dyDescent="0.3">
      <c r="B8" s="3">
        <v>0.37</v>
      </c>
      <c r="C8" s="3">
        <v>1.18</v>
      </c>
      <c r="D8" s="3">
        <v>5.8999999999999995</v>
      </c>
      <c r="E8" s="3">
        <f t="shared" si="0"/>
        <v>2.69</v>
      </c>
      <c r="F8" s="3">
        <f t="shared" si="1"/>
        <v>9.42</v>
      </c>
      <c r="G8" s="3">
        <v>0.68</v>
      </c>
      <c r="H8" s="3">
        <v>5</v>
      </c>
      <c r="I8" s="3">
        <v>0.7</v>
      </c>
      <c r="J8" s="3">
        <v>3.5</v>
      </c>
      <c r="K8" s="3">
        <v>0.92</v>
      </c>
      <c r="M8" s="3">
        <v>0.03</v>
      </c>
      <c r="N8" s="3">
        <v>50</v>
      </c>
      <c r="O8" s="3">
        <v>0.31</v>
      </c>
      <c r="Q8" s="3" t="s">
        <v>12</v>
      </c>
      <c r="R8" s="3">
        <v>5</v>
      </c>
      <c r="S8" s="3">
        <v>1.5</v>
      </c>
      <c r="T8" s="21" t="str">
        <f t="shared" si="2"/>
        <v>ВВГнг(А)-LS (5х1,5)</v>
      </c>
      <c r="U8" s="3">
        <v>11</v>
      </c>
      <c r="V8" s="3">
        <f t="shared" si="3"/>
        <v>14</v>
      </c>
      <c r="W8" s="3" t="str">
        <f t="shared" si="4"/>
        <v>Ø20</v>
      </c>
      <c r="X8" s="3" t="str">
        <f t="shared" si="5"/>
        <v>Ø20</v>
      </c>
      <c r="Z8" s="3">
        <v>24.9</v>
      </c>
      <c r="AA8" s="3">
        <v>40</v>
      </c>
      <c r="AB8" s="3">
        <v>40</v>
      </c>
      <c r="AD8" s="3">
        <v>24.3</v>
      </c>
      <c r="AE8" s="3">
        <v>40</v>
      </c>
      <c r="AF8" s="3">
        <v>40</v>
      </c>
    </row>
    <row r="9" spans="2:32" x14ac:dyDescent="0.3">
      <c r="B9" s="3">
        <v>0.55000000000000004</v>
      </c>
      <c r="C9" s="3">
        <v>1.66</v>
      </c>
      <c r="D9" s="3">
        <v>8.2999999999999989</v>
      </c>
      <c r="E9" s="3">
        <f t="shared" si="0"/>
        <v>3.7899999999999996</v>
      </c>
      <c r="F9" s="3">
        <f t="shared" si="1"/>
        <v>13.27</v>
      </c>
      <c r="G9" s="3">
        <v>0.71</v>
      </c>
      <c r="H9" s="3">
        <v>5</v>
      </c>
      <c r="I9" s="3">
        <v>0.71</v>
      </c>
      <c r="J9" s="3">
        <v>3.5</v>
      </c>
      <c r="K9" s="3">
        <v>0.93</v>
      </c>
      <c r="M9" s="3">
        <v>3.5999999999999997E-2</v>
      </c>
      <c r="N9" s="3">
        <v>50</v>
      </c>
      <c r="O9" s="3">
        <v>0.38</v>
      </c>
      <c r="Q9" s="3" t="s">
        <v>12</v>
      </c>
      <c r="R9" s="3">
        <v>1</v>
      </c>
      <c r="S9" s="3">
        <v>2.5</v>
      </c>
      <c r="T9" s="21" t="str">
        <f t="shared" si="2"/>
        <v>ВВГнг(А)-LS (1х2,5)</v>
      </c>
      <c r="U9" s="3">
        <v>5.8</v>
      </c>
      <c r="V9" s="3">
        <f t="shared" si="3"/>
        <v>14</v>
      </c>
      <c r="W9" s="3" t="str">
        <f t="shared" si="4"/>
        <v>Ø20</v>
      </c>
      <c r="X9" s="3" t="str">
        <f t="shared" si="5"/>
        <v>Ø20</v>
      </c>
      <c r="Z9" s="3">
        <v>31.8</v>
      </c>
      <c r="AA9" s="3">
        <v>50</v>
      </c>
      <c r="AB9" s="3">
        <v>50</v>
      </c>
      <c r="AD9" s="3">
        <v>30.7</v>
      </c>
      <c r="AE9" s="3">
        <v>50</v>
      </c>
      <c r="AF9" s="3">
        <v>50</v>
      </c>
    </row>
    <row r="10" spans="2:32" x14ac:dyDescent="0.3">
      <c r="B10" s="3">
        <v>0.75</v>
      </c>
      <c r="C10" s="3">
        <v>2.08</v>
      </c>
      <c r="D10" s="3">
        <v>10.4</v>
      </c>
      <c r="E10" s="3">
        <f t="shared" si="0"/>
        <v>4.97</v>
      </c>
      <c r="F10" s="3">
        <f t="shared" si="1"/>
        <v>17.400000000000002</v>
      </c>
      <c r="G10" s="3">
        <v>0.73</v>
      </c>
      <c r="H10" s="3">
        <v>5</v>
      </c>
      <c r="I10" s="3">
        <v>0.75</v>
      </c>
      <c r="J10" s="3">
        <v>3.5</v>
      </c>
      <c r="K10" s="3">
        <v>0.94</v>
      </c>
      <c r="M10" s="3">
        <v>0.04</v>
      </c>
      <c r="N10" s="3">
        <v>50</v>
      </c>
      <c r="O10" s="3">
        <v>0.4</v>
      </c>
      <c r="Q10" s="3" t="s">
        <v>12</v>
      </c>
      <c r="R10" s="3">
        <v>2</v>
      </c>
      <c r="S10" s="3">
        <v>2.5</v>
      </c>
      <c r="T10" s="21" t="str">
        <f t="shared" si="2"/>
        <v>ВВГнг(А)-LS (2х2,5)</v>
      </c>
      <c r="U10" s="3">
        <v>9.6999999999999993</v>
      </c>
      <c r="V10" s="3">
        <f t="shared" si="3"/>
        <v>14</v>
      </c>
      <c r="W10" s="3" t="str">
        <f t="shared" si="4"/>
        <v>Ø20</v>
      </c>
      <c r="X10" s="3" t="str">
        <f t="shared" si="5"/>
        <v>Ø20</v>
      </c>
      <c r="Z10" s="3">
        <v>40.200000000000003</v>
      </c>
      <c r="AA10" s="3" t="s">
        <v>203</v>
      </c>
      <c r="AB10" s="3" t="s">
        <v>203</v>
      </c>
      <c r="AD10" s="3">
        <v>38.9</v>
      </c>
      <c r="AE10" s="3" t="s">
        <v>203</v>
      </c>
      <c r="AF10" s="3" t="s">
        <v>203</v>
      </c>
    </row>
    <row r="11" spans="2:32" x14ac:dyDescent="0.3">
      <c r="B11" s="3">
        <v>1.1000000000000001</v>
      </c>
      <c r="C11" s="3">
        <v>2.85</v>
      </c>
      <c r="D11" s="3">
        <v>14.25</v>
      </c>
      <c r="E11" s="3">
        <f t="shared" si="0"/>
        <v>6.91</v>
      </c>
      <c r="F11" s="3">
        <f t="shared" si="1"/>
        <v>24.19</v>
      </c>
      <c r="G11" s="3">
        <v>0.76200000000000001</v>
      </c>
      <c r="H11" s="3">
        <v>5</v>
      </c>
      <c r="I11" s="3">
        <v>0.77</v>
      </c>
      <c r="J11" s="3">
        <v>3.5</v>
      </c>
      <c r="K11" s="3">
        <v>0.95</v>
      </c>
      <c r="M11" s="3">
        <v>4.4999999999999998E-2</v>
      </c>
      <c r="N11" s="3">
        <v>50</v>
      </c>
      <c r="O11" s="3">
        <v>0.45</v>
      </c>
      <c r="Q11" s="3" t="s">
        <v>12</v>
      </c>
      <c r="R11" s="3">
        <v>3</v>
      </c>
      <c r="S11" s="3">
        <v>2.5</v>
      </c>
      <c r="T11" s="21" t="str">
        <f t="shared" si="2"/>
        <v>ВВГнг(А)-LS (3х2,5)</v>
      </c>
      <c r="U11" s="3">
        <v>10.199999999999999</v>
      </c>
      <c r="V11" s="3">
        <f t="shared" si="3"/>
        <v>14</v>
      </c>
      <c r="W11" s="3" t="str">
        <f t="shared" si="4"/>
        <v>Ø20</v>
      </c>
      <c r="X11" s="3" t="str">
        <f t="shared" si="5"/>
        <v>Ø20</v>
      </c>
    </row>
    <row r="12" spans="2:32" x14ac:dyDescent="0.3">
      <c r="B12" s="3">
        <v>1.5</v>
      </c>
      <c r="C12" s="3">
        <v>3.63</v>
      </c>
      <c r="D12" s="3">
        <v>19.239999999999998</v>
      </c>
      <c r="E12" s="3">
        <f t="shared" si="0"/>
        <v>9.15</v>
      </c>
      <c r="F12" s="3">
        <f t="shared" si="1"/>
        <v>32.03</v>
      </c>
      <c r="G12" s="3">
        <v>0.78500000000000003</v>
      </c>
      <c r="H12" s="3">
        <v>5.3</v>
      </c>
      <c r="I12" s="3">
        <v>0.8</v>
      </c>
      <c r="J12" s="3">
        <v>3.5</v>
      </c>
      <c r="K12" s="3">
        <v>0.95</v>
      </c>
      <c r="M12" s="3">
        <v>0.06</v>
      </c>
      <c r="N12" s="3">
        <v>50</v>
      </c>
      <c r="O12" s="3">
        <v>0.75</v>
      </c>
      <c r="Q12" s="3" t="s">
        <v>12</v>
      </c>
      <c r="R12" s="3">
        <v>4</v>
      </c>
      <c r="S12" s="3">
        <v>2.5</v>
      </c>
      <c r="T12" s="21" t="str">
        <f t="shared" si="2"/>
        <v>ВВГнг(А)-LS (4х2,5)</v>
      </c>
      <c r="U12" s="3">
        <v>11.1</v>
      </c>
      <c r="V12" s="3">
        <f t="shared" si="3"/>
        <v>14</v>
      </c>
      <c r="W12" s="3" t="str">
        <f t="shared" si="4"/>
        <v>Ø20</v>
      </c>
      <c r="X12" s="3" t="str">
        <f t="shared" si="5"/>
        <v>Ø20</v>
      </c>
    </row>
    <row r="13" spans="2:32" x14ac:dyDescent="0.3">
      <c r="B13" s="3">
        <v>2.2000000000000002</v>
      </c>
      <c r="C13" s="3">
        <v>5.29</v>
      </c>
      <c r="D13" s="3">
        <v>31.740000000000002</v>
      </c>
      <c r="E13" s="3">
        <f t="shared" si="0"/>
        <v>13.16</v>
      </c>
      <c r="F13" s="3">
        <f t="shared" si="1"/>
        <v>46.06</v>
      </c>
      <c r="G13" s="3">
        <v>0.8</v>
      </c>
      <c r="H13" s="3">
        <v>6</v>
      </c>
      <c r="I13" s="3">
        <v>0.79</v>
      </c>
      <c r="J13" s="3">
        <v>3.5</v>
      </c>
      <c r="K13" s="3">
        <v>0.95</v>
      </c>
      <c r="M13" s="3">
        <v>0.08</v>
      </c>
      <c r="N13" s="3">
        <v>50</v>
      </c>
      <c r="O13" s="3">
        <v>0.81</v>
      </c>
      <c r="Q13" s="3" t="s">
        <v>12</v>
      </c>
      <c r="R13" s="3">
        <v>5</v>
      </c>
      <c r="S13" s="3">
        <v>2.5</v>
      </c>
      <c r="T13" s="21" t="str">
        <f t="shared" si="2"/>
        <v>ВВГнг(А)-LS (5х2,5)</v>
      </c>
      <c r="U13" s="3">
        <v>12</v>
      </c>
      <c r="V13" s="3">
        <f t="shared" si="3"/>
        <v>14.399999999999999</v>
      </c>
      <c r="W13" s="3" t="str">
        <f t="shared" si="4"/>
        <v>Ø20</v>
      </c>
      <c r="X13" s="3" t="str">
        <f t="shared" si="5"/>
        <v>Ø20</v>
      </c>
    </row>
    <row r="14" spans="2:32" x14ac:dyDescent="0.3">
      <c r="B14" s="3">
        <v>3</v>
      </c>
      <c r="C14" s="3">
        <v>6.73</v>
      </c>
      <c r="D14" s="3">
        <v>47.11</v>
      </c>
      <c r="E14" s="3">
        <f t="shared" si="0"/>
        <v>17.380000000000003</v>
      </c>
      <c r="F14" s="3">
        <f t="shared" si="1"/>
        <v>60.83</v>
      </c>
      <c r="G14" s="3">
        <v>0.82599999999999996</v>
      </c>
      <c r="H14" s="3">
        <v>7</v>
      </c>
      <c r="I14" s="3">
        <v>0.82</v>
      </c>
      <c r="J14" s="3">
        <v>3.5</v>
      </c>
      <c r="K14" s="3">
        <v>0.95</v>
      </c>
      <c r="M14" s="3">
        <v>0.1</v>
      </c>
      <c r="N14" s="3">
        <v>50</v>
      </c>
      <c r="O14" s="3">
        <v>1</v>
      </c>
      <c r="Q14" s="3" t="s">
        <v>12</v>
      </c>
      <c r="R14" s="3">
        <v>1</v>
      </c>
      <c r="S14" s="3">
        <v>4</v>
      </c>
      <c r="T14" s="21" t="str">
        <f t="shared" si="2"/>
        <v>ВВГнг(А)-LS (1х4)</v>
      </c>
      <c r="U14" s="3">
        <v>6.6</v>
      </c>
      <c r="V14" s="3">
        <f t="shared" si="3"/>
        <v>14</v>
      </c>
      <c r="W14" s="3" t="str">
        <f t="shared" si="4"/>
        <v>Ø20</v>
      </c>
      <c r="X14" s="3" t="str">
        <f t="shared" si="5"/>
        <v>Ø20</v>
      </c>
    </row>
    <row r="15" spans="2:32" x14ac:dyDescent="0.3">
      <c r="B15" s="3">
        <v>3.7</v>
      </c>
      <c r="C15" s="3">
        <v>8.1199999999999992</v>
      </c>
      <c r="D15" s="3">
        <v>56.839999999999996</v>
      </c>
      <c r="E15" s="3">
        <f t="shared" si="0"/>
        <v>21.23</v>
      </c>
      <c r="F15" s="3">
        <f t="shared" si="1"/>
        <v>74.31</v>
      </c>
      <c r="G15" s="3">
        <v>0.83400000000000007</v>
      </c>
      <c r="H15" s="3">
        <v>7</v>
      </c>
      <c r="I15" s="3">
        <v>0.83</v>
      </c>
      <c r="J15" s="3">
        <v>3.5</v>
      </c>
      <c r="K15" s="3">
        <v>0.95</v>
      </c>
      <c r="M15" s="3">
        <v>0.15</v>
      </c>
      <c r="N15" s="3">
        <v>65</v>
      </c>
      <c r="O15" s="3">
        <v>1.6</v>
      </c>
      <c r="Q15" s="3" t="s">
        <v>12</v>
      </c>
      <c r="R15" s="3">
        <v>2</v>
      </c>
      <c r="S15" s="3">
        <v>4</v>
      </c>
      <c r="T15" s="21" t="str">
        <f t="shared" si="2"/>
        <v>ВВГнг(А)-LS (2х4)</v>
      </c>
      <c r="U15" s="3">
        <v>11.4</v>
      </c>
      <c r="V15" s="3">
        <f t="shared" si="3"/>
        <v>14</v>
      </c>
      <c r="W15" s="3" t="str">
        <f t="shared" si="4"/>
        <v>Ø20</v>
      </c>
      <c r="X15" s="3" t="str">
        <f t="shared" si="5"/>
        <v>Ø20</v>
      </c>
    </row>
    <row r="16" spans="2:32" x14ac:dyDescent="0.3">
      <c r="B16" s="3">
        <v>4</v>
      </c>
      <c r="C16" s="3">
        <v>8.59</v>
      </c>
      <c r="D16" s="3">
        <v>60.129999999999995</v>
      </c>
      <c r="E16" s="3">
        <f t="shared" si="0"/>
        <v>22.740000000000002</v>
      </c>
      <c r="F16" s="3">
        <f t="shared" si="1"/>
        <v>79.59</v>
      </c>
      <c r="G16" s="3">
        <v>0.84200000000000008</v>
      </c>
      <c r="H16" s="3">
        <v>7</v>
      </c>
      <c r="I16" s="3">
        <v>0.84</v>
      </c>
      <c r="J16" s="3">
        <v>3.5</v>
      </c>
      <c r="K16" s="3">
        <v>0.95</v>
      </c>
      <c r="M16" s="3">
        <v>0.2</v>
      </c>
      <c r="N16" s="3">
        <v>65</v>
      </c>
      <c r="O16" s="3">
        <v>2</v>
      </c>
      <c r="Q16" s="3" t="s">
        <v>12</v>
      </c>
      <c r="R16" s="3">
        <v>3</v>
      </c>
      <c r="S16" s="3">
        <v>4</v>
      </c>
      <c r="T16" s="21" t="str">
        <f t="shared" si="2"/>
        <v>ВВГнг(А)-LS (3х4)</v>
      </c>
      <c r="U16" s="3">
        <v>12.1</v>
      </c>
      <c r="V16" s="3">
        <f t="shared" si="3"/>
        <v>14.52</v>
      </c>
      <c r="W16" s="3" t="str">
        <f t="shared" si="4"/>
        <v>Ø20</v>
      </c>
      <c r="X16" s="3" t="str">
        <f t="shared" si="5"/>
        <v>Ø25</v>
      </c>
    </row>
    <row r="17" spans="2:24" x14ac:dyDescent="0.3">
      <c r="B17" s="3">
        <v>5.5</v>
      </c>
      <c r="C17" s="3">
        <v>11.34</v>
      </c>
      <c r="D17" s="3">
        <v>79.38</v>
      </c>
      <c r="E17" s="3">
        <f t="shared" ref="E17" si="6">ROUNDUP(B17/G17/K17/0.22,2)</f>
        <v>30.71</v>
      </c>
      <c r="F17" s="3">
        <f t="shared" ref="F17" si="7">ROUNDUP(E17*J17,2)</f>
        <v>199.62</v>
      </c>
      <c r="G17" s="3">
        <v>0.85699999999999998</v>
      </c>
      <c r="H17" s="3">
        <v>7</v>
      </c>
      <c r="I17" s="3">
        <v>0.86</v>
      </c>
      <c r="J17" s="3">
        <v>6.5</v>
      </c>
      <c r="K17" s="3">
        <v>0.95</v>
      </c>
      <c r="M17" s="3">
        <v>0.25</v>
      </c>
      <c r="N17" s="3">
        <v>65</v>
      </c>
      <c r="O17" s="3">
        <v>2.6</v>
      </c>
      <c r="Q17" s="3" t="s">
        <v>12</v>
      </c>
      <c r="R17" s="3">
        <v>4</v>
      </c>
      <c r="S17" s="3">
        <v>4</v>
      </c>
      <c r="T17" s="21" t="str">
        <f t="shared" si="2"/>
        <v>ВВГнг(А)-LS (4х4)</v>
      </c>
      <c r="U17" s="3">
        <v>13.2</v>
      </c>
      <c r="V17" s="3">
        <f t="shared" si="3"/>
        <v>15.839999999999998</v>
      </c>
      <c r="W17" s="3" t="str">
        <f t="shared" si="4"/>
        <v>Ø25</v>
      </c>
      <c r="X17" s="3" t="str">
        <f t="shared" si="5"/>
        <v>Ø25</v>
      </c>
    </row>
    <row r="18" spans="2:24" x14ac:dyDescent="0.3">
      <c r="B18" s="3">
        <v>7.5</v>
      </c>
      <c r="C18" s="3">
        <v>15.23</v>
      </c>
      <c r="D18" s="3">
        <v>114.26</v>
      </c>
      <c r="E18" s="3"/>
      <c r="F18" s="3"/>
      <c r="G18" s="3">
        <v>0.87</v>
      </c>
      <c r="H18" s="3">
        <v>7.5</v>
      </c>
      <c r="I18" s="3">
        <v>0.86</v>
      </c>
      <c r="J18" s="3"/>
      <c r="K18" s="3"/>
      <c r="M18" s="3">
        <v>0.3</v>
      </c>
      <c r="N18" s="3">
        <v>70</v>
      </c>
      <c r="O18" s="3">
        <v>2.8</v>
      </c>
      <c r="Q18" s="3" t="s">
        <v>12</v>
      </c>
      <c r="R18" s="3">
        <v>5</v>
      </c>
      <c r="S18" s="3">
        <v>4</v>
      </c>
      <c r="T18" s="21" t="str">
        <f t="shared" si="2"/>
        <v>ВВГнг(А)-LS (5х4)</v>
      </c>
      <c r="U18" s="3">
        <v>14.4</v>
      </c>
      <c r="V18" s="3">
        <f t="shared" si="3"/>
        <v>17.28</v>
      </c>
      <c r="W18" s="3" t="str">
        <f t="shared" si="4"/>
        <v>Ø25</v>
      </c>
      <c r="X18" s="3" t="str">
        <f t="shared" si="5"/>
        <v>Ø25</v>
      </c>
    </row>
    <row r="19" spans="2:24" x14ac:dyDescent="0.3">
      <c r="B19" s="3">
        <v>9.1999999999999993</v>
      </c>
      <c r="C19" s="3">
        <v>18.79</v>
      </c>
      <c r="D19" s="3">
        <v>131.53</v>
      </c>
      <c r="E19" s="3"/>
      <c r="F19" s="3"/>
      <c r="G19" s="3">
        <v>0.875</v>
      </c>
      <c r="H19" s="3">
        <v>7</v>
      </c>
      <c r="I19" s="3">
        <v>0.85</v>
      </c>
      <c r="J19" s="3"/>
      <c r="K19" s="3"/>
      <c r="M19" s="3">
        <v>0.4</v>
      </c>
      <c r="N19" s="3">
        <v>70</v>
      </c>
      <c r="O19" s="3">
        <v>3.6</v>
      </c>
      <c r="Q19" s="3" t="s">
        <v>12</v>
      </c>
      <c r="R19" s="3">
        <v>1</v>
      </c>
      <c r="S19" s="3">
        <v>6</v>
      </c>
      <c r="T19" s="21" t="str">
        <f t="shared" si="2"/>
        <v>ВВГнг(А)-LS (1х6)</v>
      </c>
      <c r="U19" s="3">
        <v>7.1</v>
      </c>
      <c r="V19" s="3">
        <f t="shared" si="3"/>
        <v>14</v>
      </c>
      <c r="W19" s="3" t="str">
        <f t="shared" si="4"/>
        <v>Ø20</v>
      </c>
      <c r="X19" s="3" t="str">
        <f t="shared" si="5"/>
        <v>Ø20</v>
      </c>
    </row>
    <row r="20" spans="2:24" x14ac:dyDescent="0.3">
      <c r="B20" s="3">
        <v>11</v>
      </c>
      <c r="C20" s="3">
        <v>22.24</v>
      </c>
      <c r="D20" s="3">
        <v>166.79999999999998</v>
      </c>
      <c r="E20" s="3"/>
      <c r="F20" s="3"/>
      <c r="G20" s="3">
        <v>0.88400000000000001</v>
      </c>
      <c r="H20" s="3">
        <v>7.5</v>
      </c>
      <c r="I20" s="3">
        <v>0.85</v>
      </c>
      <c r="J20" s="3"/>
      <c r="K20" s="3"/>
      <c r="Q20" s="3" t="s">
        <v>12</v>
      </c>
      <c r="R20" s="3">
        <v>2</v>
      </c>
      <c r="S20" s="3">
        <v>6</v>
      </c>
      <c r="T20" s="21" t="str">
        <f t="shared" si="2"/>
        <v>ВВГнг(А)-LS (2х6)</v>
      </c>
      <c r="U20" s="3">
        <v>12.4</v>
      </c>
      <c r="V20" s="3">
        <f t="shared" si="3"/>
        <v>14.879999999999999</v>
      </c>
      <c r="W20" s="3" t="str">
        <f t="shared" si="4"/>
        <v>Ø20</v>
      </c>
      <c r="X20" s="3" t="str">
        <f t="shared" si="5"/>
        <v>Ø25</v>
      </c>
    </row>
    <row r="21" spans="2:24" x14ac:dyDescent="0.3">
      <c r="B21" s="3">
        <v>15</v>
      </c>
      <c r="C21" s="3">
        <v>29.3</v>
      </c>
      <c r="D21" s="3">
        <v>205.1</v>
      </c>
      <c r="E21" s="3"/>
      <c r="F21" s="3"/>
      <c r="G21" s="3">
        <v>0.89400000000000002</v>
      </c>
      <c r="H21" s="3">
        <v>7</v>
      </c>
      <c r="I21" s="3">
        <v>0.87</v>
      </c>
      <c r="J21" s="3"/>
      <c r="K21" s="3"/>
      <c r="Q21" s="3" t="s">
        <v>12</v>
      </c>
      <c r="R21" s="3">
        <v>3</v>
      </c>
      <c r="S21" s="3">
        <v>6</v>
      </c>
      <c r="T21" s="21" t="str">
        <f t="shared" si="2"/>
        <v>ВВГнг(А)-LS (3х6)</v>
      </c>
      <c r="U21" s="3">
        <v>13.1</v>
      </c>
      <c r="V21" s="3">
        <f t="shared" si="3"/>
        <v>15.719999999999999</v>
      </c>
      <c r="W21" s="3" t="str">
        <f t="shared" si="4"/>
        <v>Ø25</v>
      </c>
      <c r="X21" s="3" t="str">
        <f t="shared" si="5"/>
        <v>Ø25</v>
      </c>
    </row>
    <row r="22" spans="2:24" x14ac:dyDescent="0.3">
      <c r="B22" s="3">
        <v>18.5</v>
      </c>
      <c r="C22" s="3">
        <v>35.9</v>
      </c>
      <c r="D22" s="3">
        <v>251.29999999999998</v>
      </c>
      <c r="E22" s="3"/>
      <c r="F22" s="3"/>
      <c r="G22" s="3">
        <v>0.9</v>
      </c>
      <c r="H22" s="3">
        <v>7</v>
      </c>
      <c r="I22" s="3">
        <v>0.87</v>
      </c>
      <c r="J22" s="3"/>
      <c r="K22" s="3"/>
      <c r="Q22" s="3" t="s">
        <v>12</v>
      </c>
      <c r="R22" s="3">
        <v>4</v>
      </c>
      <c r="S22" s="3">
        <v>6</v>
      </c>
      <c r="T22" s="21" t="str">
        <f t="shared" si="2"/>
        <v>ВВГнг(А)-LS (4х6)</v>
      </c>
      <c r="U22" s="3">
        <v>14.4</v>
      </c>
      <c r="V22" s="3">
        <f t="shared" si="3"/>
        <v>17.28</v>
      </c>
      <c r="W22" s="3" t="str">
        <f t="shared" si="4"/>
        <v>Ø25</v>
      </c>
      <c r="X22" s="3" t="str">
        <f t="shared" si="5"/>
        <v>Ø25</v>
      </c>
    </row>
    <row r="23" spans="2:24" x14ac:dyDescent="0.3">
      <c r="B23" s="3">
        <v>22</v>
      </c>
      <c r="C23" s="3">
        <v>42.45</v>
      </c>
      <c r="D23" s="3">
        <v>297.15000000000003</v>
      </c>
      <c r="E23" s="3"/>
      <c r="F23" s="3"/>
      <c r="G23" s="3">
        <v>0.90500000000000003</v>
      </c>
      <c r="H23" s="3">
        <v>7</v>
      </c>
      <c r="I23" s="3">
        <v>0.87</v>
      </c>
      <c r="J23" s="3"/>
      <c r="K23" s="3"/>
      <c r="Q23" s="3" t="s">
        <v>12</v>
      </c>
      <c r="R23" s="3">
        <v>5</v>
      </c>
      <c r="S23" s="3">
        <v>6</v>
      </c>
      <c r="T23" s="21" t="str">
        <f t="shared" si="2"/>
        <v>ВВГнг(А)-LS (5х6)</v>
      </c>
      <c r="U23" s="3">
        <v>15.7</v>
      </c>
      <c r="V23" s="3">
        <f t="shared" si="3"/>
        <v>18.84</v>
      </c>
      <c r="W23" s="3" t="str">
        <f t="shared" si="4"/>
        <v>Ø25</v>
      </c>
      <c r="X23" s="3" t="str">
        <f t="shared" si="5"/>
        <v>Ø32</v>
      </c>
    </row>
    <row r="24" spans="2:24" x14ac:dyDescent="0.3">
      <c r="B24" s="3">
        <v>27</v>
      </c>
      <c r="C24" s="3">
        <v>51.82</v>
      </c>
      <c r="D24" s="3">
        <v>362.74</v>
      </c>
      <c r="E24" s="3"/>
      <c r="F24" s="3"/>
      <c r="G24" s="3">
        <v>0.91</v>
      </c>
      <c r="H24" s="3">
        <v>7</v>
      </c>
      <c r="I24" s="3">
        <v>0.87</v>
      </c>
      <c r="J24" s="3"/>
      <c r="K24" s="3"/>
      <c r="Q24" s="3" t="s">
        <v>150</v>
      </c>
      <c r="R24" s="3">
        <v>1</v>
      </c>
      <c r="S24" s="3">
        <v>1.5</v>
      </c>
      <c r="T24" s="21" t="str">
        <f>Q24&amp;" ("&amp;R24&amp;"х"&amp;S24&amp;")"</f>
        <v>ВВГнг(А)-FRLS (1х1,5)</v>
      </c>
      <c r="U24" s="3">
        <v>7.2</v>
      </c>
      <c r="V24" s="3">
        <f t="shared" si="3"/>
        <v>14</v>
      </c>
      <c r="W24" s="3" t="str">
        <f t="shared" si="4"/>
        <v>Ø20</v>
      </c>
      <c r="X24" s="3" t="str">
        <f t="shared" si="5"/>
        <v>Ø20</v>
      </c>
    </row>
    <row r="25" spans="2:24" x14ac:dyDescent="0.3">
      <c r="B25" s="3">
        <v>30</v>
      </c>
      <c r="C25" s="3">
        <v>56.03</v>
      </c>
      <c r="D25" s="3">
        <v>392.21000000000004</v>
      </c>
      <c r="E25" s="3"/>
      <c r="F25" s="3"/>
      <c r="G25" s="3">
        <v>0.91400000000000003</v>
      </c>
      <c r="H25" s="3">
        <v>7</v>
      </c>
      <c r="I25" s="3">
        <v>0.89</v>
      </c>
      <c r="J25" s="3"/>
      <c r="K25" s="3"/>
      <c r="Q25" s="3" t="s">
        <v>150</v>
      </c>
      <c r="R25" s="3">
        <v>2</v>
      </c>
      <c r="S25" s="3">
        <v>1.5</v>
      </c>
      <c r="T25" s="21" t="str">
        <f t="shared" ref="T25:T43" si="8">Q25&amp;" ("&amp;R25&amp;"х"&amp;S25&amp;")"</f>
        <v>ВВГнг(А)-FRLS (2х1,5)</v>
      </c>
      <c r="U25" s="3">
        <v>14.1</v>
      </c>
      <c r="V25" s="3">
        <f t="shared" si="3"/>
        <v>16.919999999999998</v>
      </c>
      <c r="W25" s="3" t="str">
        <f t="shared" si="4"/>
        <v>Ø25</v>
      </c>
      <c r="X25" s="3" t="str">
        <f t="shared" si="5"/>
        <v>Ø25</v>
      </c>
    </row>
    <row r="26" spans="2:24" x14ac:dyDescent="0.3">
      <c r="B26" s="3">
        <v>37</v>
      </c>
      <c r="C26" s="3">
        <v>68.66</v>
      </c>
      <c r="D26" s="3">
        <v>514.94999999999993</v>
      </c>
      <c r="E26" s="3"/>
      <c r="F26" s="3"/>
      <c r="G26" s="3">
        <v>0.92</v>
      </c>
      <c r="H26" s="3">
        <v>7.5</v>
      </c>
      <c r="I26" s="3">
        <v>0.89</v>
      </c>
      <c r="J26" s="3"/>
      <c r="K26" s="3"/>
      <c r="Q26" s="3" t="s">
        <v>150</v>
      </c>
      <c r="R26" s="3">
        <v>3</v>
      </c>
      <c r="S26" s="3">
        <v>1.5</v>
      </c>
      <c r="T26" s="21" t="str">
        <f t="shared" si="8"/>
        <v>ВВГнг(А)-FRLS (3х1,5)</v>
      </c>
      <c r="U26" s="3">
        <v>14.8</v>
      </c>
      <c r="V26" s="3">
        <f t="shared" si="3"/>
        <v>17.760000000000002</v>
      </c>
      <c r="W26" s="3" t="str">
        <f t="shared" si="4"/>
        <v>Ø25</v>
      </c>
      <c r="X26" s="3" t="str">
        <f t="shared" si="5"/>
        <v>Ø25</v>
      </c>
    </row>
    <row r="27" spans="2:24" x14ac:dyDescent="0.3">
      <c r="B27" s="3">
        <v>45</v>
      </c>
      <c r="C27" s="3">
        <v>83.05</v>
      </c>
      <c r="D27" s="3">
        <v>622.86</v>
      </c>
      <c r="E27" s="3"/>
      <c r="F27" s="3"/>
      <c r="G27" s="3">
        <v>0.92500000000000004</v>
      </c>
      <c r="H27" s="3">
        <v>7.5</v>
      </c>
      <c r="I27" s="3">
        <v>0.89</v>
      </c>
      <c r="J27" s="3"/>
      <c r="K27" s="3"/>
      <c r="Q27" s="3" t="s">
        <v>150</v>
      </c>
      <c r="R27" s="3">
        <v>4</v>
      </c>
      <c r="S27" s="3">
        <v>1.5</v>
      </c>
      <c r="T27" s="21" t="str">
        <f t="shared" si="8"/>
        <v>ВВГнг(А)-FRLS (4х1,5)</v>
      </c>
      <c r="U27" s="3">
        <v>15.9</v>
      </c>
      <c r="V27" s="3">
        <f t="shared" si="3"/>
        <v>19.079999999999998</v>
      </c>
      <c r="W27" s="3" t="str">
        <f t="shared" si="4"/>
        <v>Ø32</v>
      </c>
      <c r="X27" s="3" t="str">
        <f t="shared" si="5"/>
        <v>Ø32</v>
      </c>
    </row>
    <row r="28" spans="2:24" x14ac:dyDescent="0.3">
      <c r="B28" s="3">
        <v>55</v>
      </c>
      <c r="C28" s="3">
        <v>100.96</v>
      </c>
      <c r="D28" s="3">
        <v>706.71999999999991</v>
      </c>
      <c r="E28" s="3"/>
      <c r="F28" s="3"/>
      <c r="G28" s="3">
        <v>0.93</v>
      </c>
      <c r="H28" s="3">
        <v>7</v>
      </c>
      <c r="I28" s="3">
        <v>0.89</v>
      </c>
      <c r="J28" s="3"/>
      <c r="K28" s="3"/>
      <c r="Q28" s="3" t="s">
        <v>150</v>
      </c>
      <c r="R28" s="3">
        <v>5</v>
      </c>
      <c r="S28" s="3">
        <v>1.5</v>
      </c>
      <c r="T28" s="21" t="str">
        <f t="shared" si="8"/>
        <v>ВВГнг(А)-FRLS (5х1,5)</v>
      </c>
      <c r="U28" s="3">
        <v>17.2</v>
      </c>
      <c r="V28" s="3">
        <f t="shared" si="3"/>
        <v>20.639999999999997</v>
      </c>
      <c r="W28" s="3" t="str">
        <f t="shared" si="4"/>
        <v>Ø32</v>
      </c>
      <c r="X28" s="3" t="str">
        <f t="shared" si="5"/>
        <v>Ø32</v>
      </c>
    </row>
    <row r="29" spans="2:24" x14ac:dyDescent="0.3">
      <c r="B29" s="3">
        <v>75</v>
      </c>
      <c r="C29" s="3">
        <v>138.35</v>
      </c>
      <c r="D29" s="3">
        <v>1037.6300000000001</v>
      </c>
      <c r="E29" s="3"/>
      <c r="F29" s="3"/>
      <c r="G29" s="3">
        <v>0.93599999999999994</v>
      </c>
      <c r="H29" s="3">
        <v>7.5</v>
      </c>
      <c r="I29" s="3">
        <v>0.88</v>
      </c>
      <c r="J29" s="3"/>
      <c r="K29" s="3"/>
      <c r="Q29" s="3" t="s">
        <v>150</v>
      </c>
      <c r="R29" s="3">
        <v>1</v>
      </c>
      <c r="S29" s="3">
        <v>2.5</v>
      </c>
      <c r="T29" s="21" t="str">
        <f t="shared" si="8"/>
        <v>ВВГнг(А)-FRLS (1х2,5)</v>
      </c>
      <c r="U29" s="3">
        <v>7.6</v>
      </c>
      <c r="V29" s="3">
        <f t="shared" si="3"/>
        <v>14</v>
      </c>
      <c r="W29" s="3" t="str">
        <f t="shared" si="4"/>
        <v>Ø20</v>
      </c>
      <c r="X29" s="3" t="str">
        <f t="shared" si="5"/>
        <v>Ø20</v>
      </c>
    </row>
    <row r="30" spans="2:24" x14ac:dyDescent="0.3">
      <c r="B30" s="3">
        <v>76</v>
      </c>
      <c r="C30" s="3">
        <v>140.19</v>
      </c>
      <c r="D30" s="3">
        <v>1051.43</v>
      </c>
      <c r="E30" s="3"/>
      <c r="F30" s="3"/>
      <c r="G30" s="3">
        <v>0.93599999999999994</v>
      </c>
      <c r="H30" s="3">
        <v>7.5</v>
      </c>
      <c r="I30" s="3">
        <v>0.88</v>
      </c>
      <c r="J30" s="3"/>
      <c r="K30" s="3"/>
      <c r="Q30" s="3" t="s">
        <v>150</v>
      </c>
      <c r="R30" s="3">
        <v>2</v>
      </c>
      <c r="S30" s="3">
        <v>2.5</v>
      </c>
      <c r="T30" s="21" t="str">
        <f t="shared" si="8"/>
        <v>ВВГнг(А)-FRLS (2х2,5)</v>
      </c>
      <c r="U30" s="3">
        <v>14.9</v>
      </c>
      <c r="V30" s="3">
        <f t="shared" si="3"/>
        <v>17.88</v>
      </c>
      <c r="W30" s="3" t="str">
        <f t="shared" si="4"/>
        <v>Ø25</v>
      </c>
      <c r="X30" s="3" t="str">
        <f t="shared" si="5"/>
        <v>Ø25</v>
      </c>
    </row>
    <row r="31" spans="2:24" x14ac:dyDescent="0.3">
      <c r="B31" s="3">
        <v>90</v>
      </c>
      <c r="C31" s="3">
        <v>163.63</v>
      </c>
      <c r="D31" s="3">
        <v>1227.23</v>
      </c>
      <c r="E31" s="3"/>
      <c r="F31" s="3"/>
      <c r="G31" s="3">
        <v>0.93900000000000006</v>
      </c>
      <c r="H31" s="3">
        <v>7.5</v>
      </c>
      <c r="I31" s="3">
        <v>0.89</v>
      </c>
      <c r="J31" s="3"/>
      <c r="K31" s="3"/>
      <c r="Q31" s="3" t="s">
        <v>150</v>
      </c>
      <c r="R31" s="3">
        <v>3</v>
      </c>
      <c r="S31" s="3">
        <v>2.5</v>
      </c>
      <c r="T31" s="21" t="str">
        <f t="shared" si="8"/>
        <v>ВВГнг(А)-FRLS (3х2,5)</v>
      </c>
      <c r="U31" s="3">
        <v>15.6</v>
      </c>
      <c r="V31" s="3">
        <f t="shared" si="3"/>
        <v>18.72</v>
      </c>
      <c r="W31" s="3" t="str">
        <f t="shared" si="4"/>
        <v>Ø25</v>
      </c>
      <c r="X31" s="3" t="str">
        <f t="shared" si="5"/>
        <v>Ø32</v>
      </c>
    </row>
    <row r="32" spans="2:24" x14ac:dyDescent="0.3">
      <c r="B32" s="3">
        <v>110</v>
      </c>
      <c r="C32" s="3">
        <v>198.72</v>
      </c>
      <c r="D32" s="3">
        <v>1291.68</v>
      </c>
      <c r="E32" s="3"/>
      <c r="F32" s="3"/>
      <c r="G32" s="3">
        <v>0.94499999999999995</v>
      </c>
      <c r="H32" s="3">
        <v>6.5</v>
      </c>
      <c r="I32" s="3">
        <v>0.89</v>
      </c>
      <c r="J32" s="3"/>
      <c r="K32" s="3"/>
      <c r="Q32" s="3" t="s">
        <v>150</v>
      </c>
      <c r="R32" s="3">
        <v>4</v>
      </c>
      <c r="S32" s="3">
        <v>2.5</v>
      </c>
      <c r="T32" s="21" t="str">
        <f t="shared" si="8"/>
        <v>ВВГнг(А)-FRLS (4х2,5)</v>
      </c>
      <c r="U32" s="3">
        <v>16.8</v>
      </c>
      <c r="V32" s="3">
        <f t="shared" si="3"/>
        <v>20.16</v>
      </c>
      <c r="W32" s="3" t="str">
        <f t="shared" si="4"/>
        <v>Ø32</v>
      </c>
      <c r="X32" s="3" t="str">
        <f t="shared" si="5"/>
        <v>Ø32</v>
      </c>
    </row>
    <row r="33" spans="2:24" x14ac:dyDescent="0.3">
      <c r="B33" s="3">
        <v>132</v>
      </c>
      <c r="C33" s="3">
        <v>237.71</v>
      </c>
      <c r="D33" s="3">
        <v>1545.12</v>
      </c>
      <c r="E33" s="3"/>
      <c r="F33" s="3"/>
      <c r="G33" s="3">
        <v>0.94799999999999995</v>
      </c>
      <c r="H33" s="3">
        <v>6.5</v>
      </c>
      <c r="I33" s="3">
        <v>0.89</v>
      </c>
      <c r="J33" s="3"/>
      <c r="K33" s="3"/>
      <c r="Q33" s="3" t="s">
        <v>150</v>
      </c>
      <c r="R33" s="3">
        <v>5</v>
      </c>
      <c r="S33" s="3">
        <v>2.5</v>
      </c>
      <c r="T33" s="21" t="str">
        <f t="shared" si="8"/>
        <v>ВВГнг(А)-FRLS (5х2,5)</v>
      </c>
      <c r="U33" s="3">
        <v>18.2</v>
      </c>
      <c r="V33" s="3">
        <f t="shared" si="3"/>
        <v>21.84</v>
      </c>
      <c r="W33" s="3" t="str">
        <f t="shared" si="4"/>
        <v>Ø32</v>
      </c>
      <c r="X33" s="3" t="str">
        <f t="shared" si="5"/>
        <v>Ø32</v>
      </c>
    </row>
    <row r="34" spans="2:24" x14ac:dyDescent="0.3">
      <c r="B34" s="3">
        <v>160</v>
      </c>
      <c r="C34" s="3">
        <v>281.5</v>
      </c>
      <c r="D34" s="3">
        <v>1548.25</v>
      </c>
      <c r="E34" s="3"/>
      <c r="F34" s="3"/>
      <c r="G34" s="3">
        <v>0.94900000000000007</v>
      </c>
      <c r="H34" s="3">
        <v>5.5</v>
      </c>
      <c r="I34" s="3">
        <v>0.91</v>
      </c>
      <c r="J34" s="3"/>
      <c r="K34" s="3"/>
      <c r="Q34" s="3" t="s">
        <v>150</v>
      </c>
      <c r="R34" s="3">
        <v>1</v>
      </c>
      <c r="S34" s="3">
        <v>4</v>
      </c>
      <c r="T34" s="21" t="str">
        <f t="shared" si="8"/>
        <v>ВВГнг(А)-FRLS (1х4)</v>
      </c>
      <c r="U34" s="3">
        <v>8.5</v>
      </c>
      <c r="V34" s="3">
        <f t="shared" si="3"/>
        <v>14</v>
      </c>
      <c r="W34" s="3" t="str">
        <f t="shared" si="4"/>
        <v>Ø20</v>
      </c>
      <c r="X34" s="3" t="str">
        <f t="shared" si="5"/>
        <v>Ø20</v>
      </c>
    </row>
    <row r="35" spans="2:24" x14ac:dyDescent="0.3">
      <c r="B35" s="3">
        <v>200</v>
      </c>
      <c r="C35" s="3">
        <v>348.05</v>
      </c>
      <c r="D35" s="3">
        <v>1914.26</v>
      </c>
      <c r="E35" s="3"/>
      <c r="F35" s="3"/>
      <c r="G35" s="3">
        <v>0.94900000000000007</v>
      </c>
      <c r="H35" s="3">
        <v>5.5</v>
      </c>
      <c r="I35" s="3">
        <v>0.92</v>
      </c>
      <c r="J35" s="3"/>
      <c r="K35" s="3"/>
      <c r="Q35" s="3" t="s">
        <v>150</v>
      </c>
      <c r="R35" s="3">
        <v>2</v>
      </c>
      <c r="S35" s="3">
        <v>4</v>
      </c>
      <c r="T35" s="21" t="str">
        <f t="shared" si="8"/>
        <v>ВВГнг(А)-FRLS (2х4)</v>
      </c>
      <c r="U35" s="3">
        <v>16.600000000000001</v>
      </c>
      <c r="V35" s="3">
        <f t="shared" si="3"/>
        <v>19.920000000000002</v>
      </c>
      <c r="W35" s="3" t="str">
        <f t="shared" si="4"/>
        <v>Ø32</v>
      </c>
      <c r="X35" s="3" t="str">
        <f t="shared" si="5"/>
        <v>Ø32</v>
      </c>
    </row>
    <row r="36" spans="2:24" x14ac:dyDescent="0.3">
      <c r="B36" s="3">
        <v>250</v>
      </c>
      <c r="C36" s="3">
        <v>433.69</v>
      </c>
      <c r="D36" s="3">
        <v>2992.46</v>
      </c>
      <c r="E36" s="3"/>
      <c r="F36" s="3"/>
      <c r="G36" s="3">
        <v>0.95200000000000007</v>
      </c>
      <c r="H36" s="3">
        <v>6.9</v>
      </c>
      <c r="I36" s="3">
        <v>0.92</v>
      </c>
      <c r="J36" s="3"/>
      <c r="K36" s="3"/>
      <c r="Q36" s="3" t="s">
        <v>150</v>
      </c>
      <c r="R36" s="3">
        <v>3</v>
      </c>
      <c r="S36" s="3">
        <v>4</v>
      </c>
      <c r="T36" s="21" t="str">
        <f t="shared" si="8"/>
        <v>ВВГнг(А)-FRLS (3х4)</v>
      </c>
      <c r="U36" s="3">
        <v>17.5</v>
      </c>
      <c r="V36" s="3">
        <f t="shared" si="3"/>
        <v>21</v>
      </c>
      <c r="W36" s="3" t="str">
        <f t="shared" si="4"/>
        <v>Ø32</v>
      </c>
      <c r="X36" s="3" t="str">
        <f t="shared" si="5"/>
        <v>Ø32</v>
      </c>
    </row>
    <row r="37" spans="2:24" x14ac:dyDescent="0.3">
      <c r="B37" s="3">
        <v>315</v>
      </c>
      <c r="C37" s="3">
        <v>546.45000000000005</v>
      </c>
      <c r="D37" s="3">
        <v>3770.51</v>
      </c>
      <c r="E37" s="3"/>
      <c r="F37" s="3"/>
      <c r="G37" s="3">
        <v>0.95200000000000007</v>
      </c>
      <c r="H37" s="3">
        <v>6.9</v>
      </c>
      <c r="I37" s="3">
        <v>0.92</v>
      </c>
      <c r="J37" s="3"/>
      <c r="K37" s="3"/>
      <c r="Q37" s="3" t="s">
        <v>150</v>
      </c>
      <c r="R37" s="3">
        <v>4</v>
      </c>
      <c r="S37" s="3">
        <v>4</v>
      </c>
      <c r="T37" s="21" t="str">
        <f t="shared" si="8"/>
        <v>ВВГнг(А)-FRLS (4х4)</v>
      </c>
      <c r="U37" s="3">
        <v>18.899999999999999</v>
      </c>
      <c r="V37" s="3">
        <f t="shared" si="3"/>
        <v>22.679999999999996</v>
      </c>
      <c r="W37" s="3" t="str">
        <f t="shared" si="4"/>
        <v>Ø32</v>
      </c>
      <c r="X37" s="3" t="str">
        <f t="shared" si="5"/>
        <v>Ø32</v>
      </c>
    </row>
    <row r="38" spans="2:24" x14ac:dyDescent="0.3">
      <c r="Q38" s="3" t="s">
        <v>150</v>
      </c>
      <c r="R38" s="3">
        <v>5</v>
      </c>
      <c r="S38" s="3">
        <v>4</v>
      </c>
      <c r="T38" s="21" t="str">
        <f t="shared" si="8"/>
        <v>ВВГнг(А)-FRLS (5х4)</v>
      </c>
      <c r="U38" s="3">
        <v>20.6</v>
      </c>
      <c r="V38" s="3">
        <f t="shared" si="3"/>
        <v>24.720000000000002</v>
      </c>
      <c r="W38" s="3" t="str">
        <f t="shared" si="4"/>
        <v>Ø32</v>
      </c>
      <c r="X38" s="3" t="str">
        <f t="shared" si="5"/>
        <v>Ø40</v>
      </c>
    </row>
    <row r="39" spans="2:24" x14ac:dyDescent="0.3">
      <c r="Q39" s="3" t="s">
        <v>150</v>
      </c>
      <c r="R39" s="3">
        <v>1</v>
      </c>
      <c r="S39" s="3">
        <v>6</v>
      </c>
      <c r="T39" s="21" t="str">
        <f t="shared" si="8"/>
        <v>ВВГнг(А)-FRLS (1х6)</v>
      </c>
      <c r="U39" s="3">
        <v>9.1999999999999993</v>
      </c>
      <c r="V39" s="3">
        <f t="shared" si="3"/>
        <v>14</v>
      </c>
      <c r="W39" s="3" t="str">
        <f t="shared" si="4"/>
        <v>Ø20</v>
      </c>
      <c r="X39" s="3" t="str">
        <f t="shared" si="5"/>
        <v>Ø20</v>
      </c>
    </row>
    <row r="40" spans="2:24" x14ac:dyDescent="0.3">
      <c r="Q40" s="3" t="s">
        <v>150</v>
      </c>
      <c r="R40" s="3">
        <v>2</v>
      </c>
      <c r="S40" s="3">
        <v>6</v>
      </c>
      <c r="T40" s="21" t="str">
        <f t="shared" si="8"/>
        <v>ВВГнг(А)-FRLS (2х6)</v>
      </c>
      <c r="U40" s="3">
        <v>17.600000000000001</v>
      </c>
      <c r="V40" s="3">
        <f t="shared" si="3"/>
        <v>21.12</v>
      </c>
      <c r="W40" s="3" t="str">
        <f t="shared" si="4"/>
        <v>Ø32</v>
      </c>
      <c r="X40" s="3" t="str">
        <f t="shared" si="5"/>
        <v>Ø32</v>
      </c>
    </row>
    <row r="41" spans="2:24" x14ac:dyDescent="0.3">
      <c r="Q41" s="3" t="s">
        <v>150</v>
      </c>
      <c r="R41" s="3">
        <v>3</v>
      </c>
      <c r="S41" s="3">
        <v>6</v>
      </c>
      <c r="T41" s="21" t="str">
        <f t="shared" si="8"/>
        <v>ВВГнг(А)-FRLS (3х6)</v>
      </c>
      <c r="U41" s="3">
        <v>18.5</v>
      </c>
      <c r="V41" s="3">
        <f t="shared" si="3"/>
        <v>22.2</v>
      </c>
      <c r="W41" s="3" t="str">
        <f t="shared" si="4"/>
        <v>Ø32</v>
      </c>
      <c r="X41" s="3" t="str">
        <f t="shared" si="5"/>
        <v>Ø32</v>
      </c>
    </row>
    <row r="42" spans="2:24" x14ac:dyDescent="0.3">
      <c r="Q42" s="3" t="s">
        <v>150</v>
      </c>
      <c r="R42" s="3">
        <v>4</v>
      </c>
      <c r="S42" s="3">
        <v>6</v>
      </c>
      <c r="T42" s="21" t="str">
        <f t="shared" si="8"/>
        <v>ВВГнг(А)-FRLS (4х6)</v>
      </c>
      <c r="U42" s="3">
        <v>20.100000000000001</v>
      </c>
      <c r="V42" s="3">
        <f t="shared" si="3"/>
        <v>24.12</v>
      </c>
      <c r="W42" s="3" t="str">
        <f t="shared" si="4"/>
        <v>Ø32</v>
      </c>
      <c r="X42" s="3" t="str">
        <f t="shared" si="5"/>
        <v>Ø32</v>
      </c>
    </row>
    <row r="43" spans="2:24" x14ac:dyDescent="0.3">
      <c r="Q43" s="3" t="s">
        <v>150</v>
      </c>
      <c r="R43" s="3">
        <v>5</v>
      </c>
      <c r="S43" s="3">
        <v>6</v>
      </c>
      <c r="T43" s="21" t="str">
        <f t="shared" si="8"/>
        <v>ВВГнг(А)-FRLS (5х6)</v>
      </c>
      <c r="U43" s="3">
        <v>21.9</v>
      </c>
      <c r="V43" s="3">
        <f t="shared" si="3"/>
        <v>26.279999999999998</v>
      </c>
      <c r="W43" s="3" t="str">
        <f t="shared" si="4"/>
        <v>Ø40</v>
      </c>
      <c r="X43" s="3" t="str">
        <f t="shared" si="5"/>
        <v>Ø40</v>
      </c>
    </row>
    <row r="44" spans="2:24" x14ac:dyDescent="0.3">
      <c r="Q44" s="3" t="s">
        <v>147</v>
      </c>
      <c r="R44" s="3">
        <v>1</v>
      </c>
      <c r="S44" s="3">
        <v>1.5</v>
      </c>
      <c r="T44" s="21" t="str">
        <f>Q44&amp;" ("&amp;R44&amp;"х"&amp;S44&amp;")"</f>
        <v>ППГнг(А)-HF (1х1,5)</v>
      </c>
      <c r="U44" s="3">
        <v>5.5</v>
      </c>
      <c r="V44" s="3">
        <f t="shared" si="3"/>
        <v>14</v>
      </c>
      <c r="W44" s="3" t="str">
        <f t="shared" si="4"/>
        <v>Ø20</v>
      </c>
      <c r="X44" s="3" t="str">
        <f t="shared" si="5"/>
        <v>Ø20</v>
      </c>
    </row>
    <row r="45" spans="2:24" x14ac:dyDescent="0.3">
      <c r="Q45" s="3" t="s">
        <v>147</v>
      </c>
      <c r="R45" s="3">
        <v>2</v>
      </c>
      <c r="S45" s="3">
        <v>1.5</v>
      </c>
      <c r="T45" s="21" t="str">
        <f t="shared" ref="T45:T63" si="9">Q45&amp;" ("&amp;R45&amp;"х"&amp;S45&amp;")"</f>
        <v>ППГнг(А)-HF (2х1,5)</v>
      </c>
      <c r="U45" s="3">
        <v>9</v>
      </c>
      <c r="V45" s="3">
        <f t="shared" si="3"/>
        <v>14</v>
      </c>
      <c r="W45" s="3" t="str">
        <f t="shared" si="4"/>
        <v>Ø20</v>
      </c>
      <c r="X45" s="3" t="str">
        <f t="shared" si="5"/>
        <v>Ø20</v>
      </c>
    </row>
    <row r="46" spans="2:24" x14ac:dyDescent="0.3">
      <c r="Q46" s="3" t="s">
        <v>147</v>
      </c>
      <c r="R46" s="3">
        <v>3</v>
      </c>
      <c r="S46" s="3">
        <v>1.5</v>
      </c>
      <c r="T46" s="21" t="str">
        <f t="shared" si="9"/>
        <v>ППГнг(А)-HF (3х1,5)</v>
      </c>
      <c r="U46" s="3">
        <v>9.4</v>
      </c>
      <c r="V46" s="3">
        <f t="shared" si="3"/>
        <v>14</v>
      </c>
      <c r="W46" s="3" t="str">
        <f t="shared" si="4"/>
        <v>Ø20</v>
      </c>
      <c r="X46" s="3" t="str">
        <f t="shared" si="5"/>
        <v>Ø20</v>
      </c>
    </row>
    <row r="47" spans="2:24" x14ac:dyDescent="0.3">
      <c r="Q47" s="3" t="s">
        <v>147</v>
      </c>
      <c r="R47" s="3">
        <v>4</v>
      </c>
      <c r="S47" s="3">
        <v>1.5</v>
      </c>
      <c r="T47" s="21" t="str">
        <f t="shared" si="9"/>
        <v>ППГнг(А)-HF (4х1,5)</v>
      </c>
      <c r="U47" s="3">
        <v>10.1</v>
      </c>
      <c r="V47" s="3">
        <f t="shared" si="3"/>
        <v>14</v>
      </c>
      <c r="W47" s="3" t="str">
        <f t="shared" si="4"/>
        <v>Ø20</v>
      </c>
      <c r="X47" s="3" t="str">
        <f t="shared" si="5"/>
        <v>Ø20</v>
      </c>
    </row>
    <row r="48" spans="2:24" x14ac:dyDescent="0.3">
      <c r="Q48" s="3" t="s">
        <v>147</v>
      </c>
      <c r="R48" s="3">
        <v>5</v>
      </c>
      <c r="S48" s="3">
        <v>1.5</v>
      </c>
      <c r="T48" s="21" t="str">
        <f t="shared" si="9"/>
        <v>ППГнг(А)-HF (5х1,5)</v>
      </c>
      <c r="U48" s="3">
        <v>10.8</v>
      </c>
      <c r="V48" s="3">
        <f t="shared" si="3"/>
        <v>14</v>
      </c>
      <c r="W48" s="3" t="str">
        <f t="shared" si="4"/>
        <v>Ø20</v>
      </c>
      <c r="X48" s="3" t="str">
        <f t="shared" si="5"/>
        <v>Ø20</v>
      </c>
    </row>
    <row r="49" spans="17:24" x14ac:dyDescent="0.3">
      <c r="Q49" s="3" t="s">
        <v>147</v>
      </c>
      <c r="R49" s="3">
        <v>1</v>
      </c>
      <c r="S49" s="3">
        <v>2.5</v>
      </c>
      <c r="T49" s="21" t="str">
        <f t="shared" si="9"/>
        <v>ППГнг(А)-HF (1х2,5)</v>
      </c>
      <c r="U49" s="3">
        <v>5.9</v>
      </c>
      <c r="V49" s="3">
        <f t="shared" si="3"/>
        <v>14</v>
      </c>
      <c r="W49" s="3" t="str">
        <f t="shared" si="4"/>
        <v>Ø20</v>
      </c>
      <c r="X49" s="3" t="str">
        <f t="shared" si="5"/>
        <v>Ø20</v>
      </c>
    </row>
    <row r="50" spans="17:24" x14ac:dyDescent="0.3">
      <c r="Q50" s="3" t="s">
        <v>147</v>
      </c>
      <c r="R50" s="3">
        <v>2</v>
      </c>
      <c r="S50" s="3">
        <v>2.5</v>
      </c>
      <c r="T50" s="21" t="str">
        <f t="shared" si="9"/>
        <v>ППГнг(А)-HF (2х2,5)</v>
      </c>
      <c r="U50" s="3">
        <v>9.6999999999999993</v>
      </c>
      <c r="V50" s="3">
        <f t="shared" si="3"/>
        <v>14</v>
      </c>
      <c r="W50" s="3" t="str">
        <f t="shared" si="4"/>
        <v>Ø20</v>
      </c>
      <c r="X50" s="3" t="str">
        <f t="shared" si="5"/>
        <v>Ø20</v>
      </c>
    </row>
    <row r="51" spans="17:24" x14ac:dyDescent="0.3">
      <c r="Q51" s="3" t="s">
        <v>147</v>
      </c>
      <c r="R51" s="3">
        <v>3</v>
      </c>
      <c r="S51" s="3">
        <v>2.5</v>
      </c>
      <c r="T51" s="21" t="str">
        <f t="shared" si="9"/>
        <v>ППГнг(А)-HF (3х2,5)</v>
      </c>
      <c r="U51" s="3">
        <v>10.199999999999999</v>
      </c>
      <c r="V51" s="3">
        <f t="shared" si="3"/>
        <v>14</v>
      </c>
      <c r="W51" s="3" t="str">
        <f t="shared" si="4"/>
        <v>Ø20</v>
      </c>
      <c r="X51" s="3" t="str">
        <f t="shared" si="5"/>
        <v>Ø20</v>
      </c>
    </row>
    <row r="52" spans="17:24" x14ac:dyDescent="0.3">
      <c r="Q52" s="3" t="s">
        <v>147</v>
      </c>
      <c r="R52" s="3">
        <v>4</v>
      </c>
      <c r="S52" s="3">
        <v>2.5</v>
      </c>
      <c r="T52" s="21" t="str">
        <f t="shared" si="9"/>
        <v>ППГнг(А)-HF (4х2,5)</v>
      </c>
      <c r="U52" s="3">
        <v>11</v>
      </c>
      <c r="V52" s="3">
        <f t="shared" si="3"/>
        <v>14</v>
      </c>
      <c r="W52" s="3" t="str">
        <f t="shared" si="4"/>
        <v>Ø20</v>
      </c>
      <c r="X52" s="3" t="str">
        <f t="shared" si="5"/>
        <v>Ø20</v>
      </c>
    </row>
    <row r="53" spans="17:24" x14ac:dyDescent="0.3">
      <c r="Q53" s="3" t="s">
        <v>147</v>
      </c>
      <c r="R53" s="3">
        <v>5</v>
      </c>
      <c r="S53" s="3">
        <v>2.5</v>
      </c>
      <c r="T53" s="21" t="str">
        <f t="shared" si="9"/>
        <v>ППГнг(А)-HF (5х2,5)</v>
      </c>
      <c r="U53" s="3">
        <v>11.9</v>
      </c>
      <c r="V53" s="3">
        <f t="shared" si="3"/>
        <v>14.28</v>
      </c>
      <c r="W53" s="3" t="str">
        <f t="shared" si="4"/>
        <v>Ø20</v>
      </c>
      <c r="X53" s="3" t="str">
        <f t="shared" si="5"/>
        <v>Ø20</v>
      </c>
    </row>
    <row r="54" spans="17:24" x14ac:dyDescent="0.3">
      <c r="Q54" s="3" t="s">
        <v>147</v>
      </c>
      <c r="R54" s="3">
        <v>1</v>
      </c>
      <c r="S54" s="3">
        <v>4</v>
      </c>
      <c r="T54" s="21" t="str">
        <f t="shared" si="9"/>
        <v>ППГнг(А)-HF (1х4)</v>
      </c>
      <c r="U54" s="3">
        <v>6.5</v>
      </c>
      <c r="V54" s="3">
        <f t="shared" si="3"/>
        <v>14</v>
      </c>
      <c r="W54" s="3" t="str">
        <f t="shared" si="4"/>
        <v>Ø20</v>
      </c>
      <c r="X54" s="3" t="str">
        <f t="shared" si="5"/>
        <v>Ø20</v>
      </c>
    </row>
    <row r="55" spans="17:24" x14ac:dyDescent="0.3">
      <c r="Q55" s="3" t="s">
        <v>147</v>
      </c>
      <c r="R55" s="3">
        <v>2</v>
      </c>
      <c r="S55" s="3">
        <v>4</v>
      </c>
      <c r="T55" s="21" t="str">
        <f t="shared" si="9"/>
        <v>ППГнг(А)-HF (2х4)</v>
      </c>
      <c r="U55" s="3">
        <v>11.1</v>
      </c>
      <c r="V55" s="3">
        <f t="shared" si="3"/>
        <v>14</v>
      </c>
      <c r="W55" s="3" t="str">
        <f t="shared" si="4"/>
        <v>Ø20</v>
      </c>
      <c r="X55" s="3" t="str">
        <f t="shared" si="5"/>
        <v>Ø20</v>
      </c>
    </row>
    <row r="56" spans="17:24" x14ac:dyDescent="0.3">
      <c r="Q56" s="3" t="s">
        <v>147</v>
      </c>
      <c r="R56" s="3">
        <v>3</v>
      </c>
      <c r="S56" s="3">
        <v>4</v>
      </c>
      <c r="T56" s="21" t="str">
        <f t="shared" si="9"/>
        <v>ППГнг(А)-HF (3х4)</v>
      </c>
      <c r="U56" s="3">
        <v>11.6</v>
      </c>
      <c r="V56" s="3">
        <f t="shared" si="3"/>
        <v>14</v>
      </c>
      <c r="W56" s="3" t="str">
        <f t="shared" si="4"/>
        <v>Ø20</v>
      </c>
      <c r="X56" s="3" t="str">
        <f t="shared" si="5"/>
        <v>Ø20</v>
      </c>
    </row>
    <row r="57" spans="17:24" x14ac:dyDescent="0.3">
      <c r="Q57" s="3" t="s">
        <v>147</v>
      </c>
      <c r="R57" s="3">
        <v>4</v>
      </c>
      <c r="S57" s="3">
        <v>4</v>
      </c>
      <c r="T57" s="21" t="str">
        <f t="shared" si="9"/>
        <v>ППГнг(А)-HF (4х4)</v>
      </c>
      <c r="U57" s="3">
        <v>12.6</v>
      </c>
      <c r="V57" s="3">
        <f t="shared" si="3"/>
        <v>15.12</v>
      </c>
      <c r="W57" s="3" t="str">
        <f t="shared" si="4"/>
        <v>Ø25</v>
      </c>
      <c r="X57" s="3" t="str">
        <f t="shared" si="5"/>
        <v>Ø25</v>
      </c>
    </row>
    <row r="58" spans="17:24" x14ac:dyDescent="0.3">
      <c r="Q58" s="3" t="s">
        <v>147</v>
      </c>
      <c r="R58" s="3">
        <v>5</v>
      </c>
      <c r="S58" s="3">
        <v>4</v>
      </c>
      <c r="T58" s="21" t="str">
        <f t="shared" si="9"/>
        <v>ППГнг(А)-HF (5х4)</v>
      </c>
      <c r="U58" s="3">
        <v>13.7</v>
      </c>
      <c r="V58" s="3">
        <f t="shared" si="3"/>
        <v>16.439999999999998</v>
      </c>
      <c r="W58" s="3" t="str">
        <f t="shared" si="4"/>
        <v>Ø25</v>
      </c>
      <c r="X58" s="3" t="str">
        <f t="shared" si="5"/>
        <v>Ø25</v>
      </c>
    </row>
    <row r="59" spans="17:24" x14ac:dyDescent="0.3">
      <c r="Q59" s="3" t="s">
        <v>147</v>
      </c>
      <c r="R59" s="3">
        <v>1</v>
      </c>
      <c r="S59" s="3">
        <v>6</v>
      </c>
      <c r="T59" s="21" t="str">
        <f t="shared" si="9"/>
        <v>ППГнг(А)-HF (1х6)</v>
      </c>
      <c r="U59" s="3">
        <v>7</v>
      </c>
      <c r="V59" s="3">
        <f t="shared" si="3"/>
        <v>14</v>
      </c>
      <c r="W59" s="3" t="str">
        <f t="shared" si="4"/>
        <v>Ø20</v>
      </c>
      <c r="X59" s="3" t="str">
        <f t="shared" si="5"/>
        <v>Ø20</v>
      </c>
    </row>
    <row r="60" spans="17:24" x14ac:dyDescent="0.3">
      <c r="Q60" s="3" t="s">
        <v>147</v>
      </c>
      <c r="R60" s="3">
        <v>2</v>
      </c>
      <c r="S60" s="3">
        <v>6</v>
      </c>
      <c r="T60" s="21" t="str">
        <f t="shared" si="9"/>
        <v>ППГнг(А)-HF (2х6)</v>
      </c>
      <c r="U60" s="3">
        <v>12.1</v>
      </c>
      <c r="V60" s="3">
        <f t="shared" si="3"/>
        <v>14.52</v>
      </c>
      <c r="W60" s="3" t="str">
        <f t="shared" si="4"/>
        <v>Ø20</v>
      </c>
      <c r="X60" s="3" t="str">
        <f t="shared" si="5"/>
        <v>Ø25</v>
      </c>
    </row>
    <row r="61" spans="17:24" x14ac:dyDescent="0.3">
      <c r="Q61" s="3" t="s">
        <v>147</v>
      </c>
      <c r="R61" s="3">
        <v>3</v>
      </c>
      <c r="S61" s="3">
        <v>6</v>
      </c>
      <c r="T61" s="21" t="str">
        <f t="shared" si="9"/>
        <v>ППГнг(А)-HF (3х6)</v>
      </c>
      <c r="U61" s="3">
        <v>12.7</v>
      </c>
      <c r="V61" s="3">
        <f t="shared" si="3"/>
        <v>15.239999999999998</v>
      </c>
      <c r="W61" s="3" t="str">
        <f t="shared" si="4"/>
        <v>Ø25</v>
      </c>
      <c r="X61" s="3" t="str">
        <f t="shared" si="5"/>
        <v>Ø25</v>
      </c>
    </row>
    <row r="62" spans="17:24" x14ac:dyDescent="0.3">
      <c r="Q62" s="3" t="s">
        <v>147</v>
      </c>
      <c r="R62" s="3">
        <v>4</v>
      </c>
      <c r="S62" s="3">
        <v>6</v>
      </c>
      <c r="T62" s="21" t="str">
        <f t="shared" si="9"/>
        <v>ППГнг(А)-HF (4х6)</v>
      </c>
      <c r="U62" s="3">
        <v>13.8</v>
      </c>
      <c r="V62" s="3">
        <f t="shared" si="3"/>
        <v>16.559999999999999</v>
      </c>
      <c r="W62" s="3" t="str">
        <f t="shared" si="4"/>
        <v>Ø25</v>
      </c>
      <c r="X62" s="3" t="str">
        <f t="shared" si="5"/>
        <v>Ø25</v>
      </c>
    </row>
    <row r="63" spans="17:24" x14ac:dyDescent="0.3">
      <c r="Q63" s="3" t="s">
        <v>147</v>
      </c>
      <c r="R63" s="3">
        <v>5</v>
      </c>
      <c r="S63" s="3">
        <v>6</v>
      </c>
      <c r="T63" s="21" t="str">
        <f t="shared" si="9"/>
        <v>ППГнг(А)-HF (5х6)</v>
      </c>
      <c r="U63" s="3">
        <v>15</v>
      </c>
      <c r="V63" s="3">
        <f t="shared" si="3"/>
        <v>18</v>
      </c>
      <c r="W63" s="3" t="str">
        <f t="shared" si="4"/>
        <v>Ø25</v>
      </c>
      <c r="X63" s="3" t="str">
        <f t="shared" si="5"/>
        <v>Ø25</v>
      </c>
    </row>
    <row r="64" spans="17:24" x14ac:dyDescent="0.3">
      <c r="Q64" s="3" t="s">
        <v>145</v>
      </c>
      <c r="R64" s="3">
        <v>1</v>
      </c>
      <c r="S64" s="3">
        <v>1.5</v>
      </c>
      <c r="T64" s="21" t="str">
        <f>Q64&amp;" ("&amp;R64&amp;"х"&amp;S64&amp;")"</f>
        <v>ППГнг(А)-FRHF (1х1,5)</v>
      </c>
      <c r="U64" s="3">
        <v>6.5</v>
      </c>
      <c r="V64" s="3">
        <f t="shared" si="3"/>
        <v>14</v>
      </c>
      <c r="W64" s="3" t="str">
        <f t="shared" si="4"/>
        <v>Ø20</v>
      </c>
      <c r="X64" s="3" t="str">
        <f t="shared" si="5"/>
        <v>Ø20</v>
      </c>
    </row>
    <row r="65" spans="17:24" x14ac:dyDescent="0.3">
      <c r="Q65" s="3" t="s">
        <v>145</v>
      </c>
      <c r="R65" s="3">
        <v>2</v>
      </c>
      <c r="S65" s="3">
        <v>1.5</v>
      </c>
      <c r="T65" s="21" t="str">
        <f t="shared" ref="T65:T91" si="10">Q65&amp;" ("&amp;R65&amp;"х"&amp;S65&amp;")"</f>
        <v>ППГнг(А)-FRHF (2х1,5)</v>
      </c>
      <c r="U65" s="3">
        <v>10.3</v>
      </c>
      <c r="V65" s="3">
        <f t="shared" si="3"/>
        <v>14</v>
      </c>
      <c r="W65" s="3" t="str">
        <f t="shared" si="4"/>
        <v>Ø20</v>
      </c>
      <c r="X65" s="3" t="str">
        <f t="shared" si="5"/>
        <v>Ø20</v>
      </c>
    </row>
    <row r="66" spans="17:24" x14ac:dyDescent="0.3">
      <c r="Q66" s="3" t="s">
        <v>145</v>
      </c>
      <c r="R66" s="3">
        <v>3</v>
      </c>
      <c r="S66" s="3">
        <v>1.5</v>
      </c>
      <c r="T66" s="21" t="str">
        <f t="shared" si="10"/>
        <v>ППГнг(А)-FRHF (3х1,5)</v>
      </c>
      <c r="U66" s="3">
        <v>10.8</v>
      </c>
      <c r="V66" s="3">
        <f t="shared" si="3"/>
        <v>14</v>
      </c>
      <c r="W66" s="3" t="str">
        <f t="shared" si="4"/>
        <v>Ø20</v>
      </c>
      <c r="X66" s="3" t="str">
        <f t="shared" si="5"/>
        <v>Ø20</v>
      </c>
    </row>
    <row r="67" spans="17:24" x14ac:dyDescent="0.3">
      <c r="Q67" s="3" t="s">
        <v>145</v>
      </c>
      <c r="R67" s="3">
        <v>4</v>
      </c>
      <c r="S67" s="3">
        <v>1.5</v>
      </c>
      <c r="T67" s="21" t="str">
        <f t="shared" si="10"/>
        <v>ППГнг(А)-FRHF (4х1,5)</v>
      </c>
      <c r="U67" s="3">
        <v>11.7</v>
      </c>
      <c r="V67" s="3">
        <f t="shared" si="3"/>
        <v>14.04</v>
      </c>
      <c r="W67" s="3" t="str">
        <f t="shared" si="4"/>
        <v>Ø20</v>
      </c>
      <c r="X67" s="3" t="str">
        <f t="shared" si="5"/>
        <v>Ø20</v>
      </c>
    </row>
    <row r="68" spans="17:24" x14ac:dyDescent="0.3">
      <c r="Q68" s="3" t="s">
        <v>145</v>
      </c>
      <c r="R68" s="3">
        <v>5</v>
      </c>
      <c r="S68" s="3">
        <v>1.5</v>
      </c>
      <c r="T68" s="21" t="str">
        <f t="shared" si="10"/>
        <v>ППГнг(А)-FRHF (5х1,5)</v>
      </c>
      <c r="U68" s="3">
        <v>13.1</v>
      </c>
      <c r="V68" s="3">
        <f t="shared" si="3"/>
        <v>15.719999999999999</v>
      </c>
      <c r="W68" s="3" t="str">
        <f t="shared" si="4"/>
        <v>Ø25</v>
      </c>
      <c r="X68" s="3" t="str">
        <f t="shared" si="5"/>
        <v>Ø25</v>
      </c>
    </row>
    <row r="69" spans="17:24" x14ac:dyDescent="0.3">
      <c r="Q69" s="3" t="s">
        <v>145</v>
      </c>
      <c r="R69" s="3">
        <v>1</v>
      </c>
      <c r="S69" s="3">
        <v>2.5</v>
      </c>
      <c r="T69" s="21" t="str">
        <f t="shared" si="10"/>
        <v>ППГнг(А)-FRHF (1х2,5)</v>
      </c>
      <c r="U69" s="3">
        <v>6.9</v>
      </c>
      <c r="V69" s="3">
        <f t="shared" ref="V69:V132" si="11">IF((U69*1.2)&lt;14,14,U69*1.2)</f>
        <v>14</v>
      </c>
      <c r="W69" s="3" t="str">
        <f t="shared" ref="W69:W132" si="12">"Ø"&amp;VLOOKUP(V69,$Z$4:$AA$10,2,TRUE)</f>
        <v>Ø20</v>
      </c>
      <c r="X69" s="3" t="str">
        <f t="shared" ref="X69:X132" si="13">"Ø"&amp;VLOOKUP(V69,$AD$4:$AE$10,2,TRUE)</f>
        <v>Ø20</v>
      </c>
    </row>
    <row r="70" spans="17:24" x14ac:dyDescent="0.3">
      <c r="Q70" s="3" t="s">
        <v>145</v>
      </c>
      <c r="R70" s="3">
        <v>2</v>
      </c>
      <c r="S70" s="3">
        <v>2.5</v>
      </c>
      <c r="T70" s="21" t="str">
        <f t="shared" si="10"/>
        <v>ППГнг(А)-FRHF (2х2,5)</v>
      </c>
      <c r="U70" s="3">
        <v>11.1</v>
      </c>
      <c r="V70" s="3">
        <f t="shared" si="11"/>
        <v>14</v>
      </c>
      <c r="W70" s="3" t="str">
        <f t="shared" si="12"/>
        <v>Ø20</v>
      </c>
      <c r="X70" s="3" t="str">
        <f t="shared" si="13"/>
        <v>Ø20</v>
      </c>
    </row>
    <row r="71" spans="17:24" x14ac:dyDescent="0.3">
      <c r="Q71" s="3" t="s">
        <v>145</v>
      </c>
      <c r="R71" s="3">
        <v>3</v>
      </c>
      <c r="S71" s="3">
        <v>2.5</v>
      </c>
      <c r="T71" s="21" t="str">
        <f t="shared" si="10"/>
        <v>ППГнг(А)-FRHF (3х2,5)</v>
      </c>
      <c r="U71" s="3">
        <v>11.6</v>
      </c>
      <c r="V71" s="3">
        <f t="shared" si="11"/>
        <v>14</v>
      </c>
      <c r="W71" s="3" t="str">
        <f t="shared" si="12"/>
        <v>Ø20</v>
      </c>
      <c r="X71" s="3" t="str">
        <f t="shared" si="13"/>
        <v>Ø20</v>
      </c>
    </row>
    <row r="72" spans="17:24" x14ac:dyDescent="0.3">
      <c r="Q72" s="3" t="s">
        <v>145</v>
      </c>
      <c r="R72" s="3">
        <v>4</v>
      </c>
      <c r="S72" s="3">
        <v>2.5</v>
      </c>
      <c r="T72" s="21" t="str">
        <f t="shared" si="10"/>
        <v>ППГнг(А)-FRHF (4х2,5)</v>
      </c>
      <c r="U72" s="3">
        <v>12.5</v>
      </c>
      <c r="V72" s="3">
        <f t="shared" si="11"/>
        <v>15</v>
      </c>
      <c r="W72" s="3" t="str">
        <f t="shared" si="12"/>
        <v>Ø25</v>
      </c>
      <c r="X72" s="3" t="str">
        <f t="shared" si="13"/>
        <v>Ø25</v>
      </c>
    </row>
    <row r="73" spans="17:24" x14ac:dyDescent="0.3">
      <c r="Q73" s="3" t="s">
        <v>145</v>
      </c>
      <c r="R73" s="3">
        <v>5</v>
      </c>
      <c r="S73" s="3">
        <v>2.5</v>
      </c>
      <c r="T73" s="21" t="str">
        <f t="shared" si="10"/>
        <v>ППГнг(А)-FRHF (5х2,5)</v>
      </c>
      <c r="U73" s="3">
        <v>13.6</v>
      </c>
      <c r="V73" s="3">
        <f t="shared" si="11"/>
        <v>16.32</v>
      </c>
      <c r="W73" s="3" t="str">
        <f t="shared" si="12"/>
        <v>Ø25</v>
      </c>
      <c r="X73" s="3" t="str">
        <f t="shared" si="13"/>
        <v>Ø25</v>
      </c>
    </row>
    <row r="74" spans="17:24" x14ac:dyDescent="0.3">
      <c r="Q74" s="3" t="s">
        <v>145</v>
      </c>
      <c r="R74" s="3">
        <v>1</v>
      </c>
      <c r="S74" s="3">
        <v>4</v>
      </c>
      <c r="T74" s="21" t="str">
        <f t="shared" si="10"/>
        <v>ППГнг(А)-FRHF (1х4)</v>
      </c>
      <c r="U74" s="3">
        <v>7.6</v>
      </c>
      <c r="V74" s="3">
        <f t="shared" si="11"/>
        <v>14</v>
      </c>
      <c r="W74" s="3" t="str">
        <f t="shared" si="12"/>
        <v>Ø20</v>
      </c>
      <c r="X74" s="3" t="str">
        <f t="shared" si="13"/>
        <v>Ø20</v>
      </c>
    </row>
    <row r="75" spans="17:24" x14ac:dyDescent="0.3">
      <c r="Q75" s="3" t="s">
        <v>145</v>
      </c>
      <c r="R75" s="3">
        <v>2</v>
      </c>
      <c r="S75" s="3">
        <v>4</v>
      </c>
      <c r="T75" s="21" t="str">
        <f t="shared" si="10"/>
        <v>ППГнг(А)-FRHF (2х4)</v>
      </c>
      <c r="U75" s="3">
        <v>12.4</v>
      </c>
      <c r="V75" s="3">
        <f t="shared" si="11"/>
        <v>14.879999999999999</v>
      </c>
      <c r="W75" s="3" t="str">
        <f t="shared" si="12"/>
        <v>Ø20</v>
      </c>
      <c r="X75" s="3" t="str">
        <f t="shared" si="13"/>
        <v>Ø25</v>
      </c>
    </row>
    <row r="76" spans="17:24" x14ac:dyDescent="0.3">
      <c r="Q76" s="3" t="s">
        <v>145</v>
      </c>
      <c r="R76" s="3">
        <v>3</v>
      </c>
      <c r="S76" s="3">
        <v>4</v>
      </c>
      <c r="T76" s="21" t="str">
        <f t="shared" si="10"/>
        <v>ППГнг(А)-FRHF (3х4)</v>
      </c>
      <c r="U76" s="3">
        <v>13.1</v>
      </c>
      <c r="V76" s="3">
        <f t="shared" si="11"/>
        <v>15.719999999999999</v>
      </c>
      <c r="W76" s="3" t="str">
        <f t="shared" si="12"/>
        <v>Ø25</v>
      </c>
      <c r="X76" s="3" t="str">
        <f t="shared" si="13"/>
        <v>Ø25</v>
      </c>
    </row>
    <row r="77" spans="17:24" x14ac:dyDescent="0.3">
      <c r="Q77" s="3" t="s">
        <v>145</v>
      </c>
      <c r="R77" s="3">
        <v>4</v>
      </c>
      <c r="S77" s="3">
        <v>4</v>
      </c>
      <c r="T77" s="21" t="str">
        <f t="shared" si="10"/>
        <v>ППГнг(А)-FRHF (4х4)</v>
      </c>
      <c r="U77" s="3">
        <v>14.2</v>
      </c>
      <c r="V77" s="3">
        <f t="shared" si="11"/>
        <v>17.04</v>
      </c>
      <c r="W77" s="3" t="str">
        <f t="shared" si="12"/>
        <v>Ø25</v>
      </c>
      <c r="X77" s="3" t="str">
        <f t="shared" si="13"/>
        <v>Ø25</v>
      </c>
    </row>
    <row r="78" spans="17:24" x14ac:dyDescent="0.3">
      <c r="Q78" s="3" t="s">
        <v>145</v>
      </c>
      <c r="R78" s="3">
        <v>5</v>
      </c>
      <c r="S78" s="3">
        <v>4</v>
      </c>
      <c r="T78" s="21" t="str">
        <f t="shared" si="10"/>
        <v>ППГнг(А)-FRHF (5х4)</v>
      </c>
      <c r="U78" s="3">
        <v>15.4</v>
      </c>
      <c r="V78" s="3">
        <f t="shared" si="11"/>
        <v>18.48</v>
      </c>
      <c r="W78" s="3" t="str">
        <f t="shared" si="12"/>
        <v>Ø25</v>
      </c>
      <c r="X78" s="3" t="str">
        <f t="shared" si="13"/>
        <v>Ø25</v>
      </c>
    </row>
    <row r="79" spans="17:24" x14ac:dyDescent="0.3">
      <c r="Q79" s="3" t="s">
        <v>145</v>
      </c>
      <c r="R79" s="3">
        <v>1</v>
      </c>
      <c r="S79" s="3">
        <v>6</v>
      </c>
      <c r="T79" s="21" t="str">
        <f t="shared" si="10"/>
        <v>ППГнг(А)-FRHF (1х6)</v>
      </c>
      <c r="U79" s="3">
        <v>9</v>
      </c>
      <c r="V79" s="3">
        <f t="shared" si="11"/>
        <v>14</v>
      </c>
      <c r="W79" s="3" t="str">
        <f t="shared" si="12"/>
        <v>Ø20</v>
      </c>
      <c r="X79" s="3" t="str">
        <f t="shared" si="13"/>
        <v>Ø20</v>
      </c>
    </row>
    <row r="80" spans="17:24" x14ac:dyDescent="0.3">
      <c r="Q80" s="3" t="s">
        <v>145</v>
      </c>
      <c r="R80" s="3">
        <v>2</v>
      </c>
      <c r="S80" s="3">
        <v>6</v>
      </c>
      <c r="T80" s="21" t="str">
        <f t="shared" si="10"/>
        <v>ППГнг(А)-FRHF (2х6)</v>
      </c>
      <c r="U80" s="3">
        <v>14</v>
      </c>
      <c r="V80" s="3">
        <f t="shared" si="11"/>
        <v>16.8</v>
      </c>
      <c r="W80" s="3" t="str">
        <f t="shared" si="12"/>
        <v>Ø25</v>
      </c>
      <c r="X80" s="3" t="str">
        <f t="shared" si="13"/>
        <v>Ø25</v>
      </c>
    </row>
    <row r="81" spans="17:24" x14ac:dyDescent="0.3">
      <c r="Q81" s="3" t="s">
        <v>145</v>
      </c>
      <c r="R81" s="3">
        <v>3</v>
      </c>
      <c r="S81" s="3">
        <v>6</v>
      </c>
      <c r="T81" s="21" t="str">
        <f t="shared" si="10"/>
        <v>ППГнг(А)-FRHF (3х6)</v>
      </c>
      <c r="U81" s="3">
        <v>14.8</v>
      </c>
      <c r="V81" s="3">
        <f t="shared" si="11"/>
        <v>17.760000000000002</v>
      </c>
      <c r="W81" s="3" t="str">
        <f t="shared" si="12"/>
        <v>Ø25</v>
      </c>
      <c r="X81" s="3" t="str">
        <f t="shared" si="13"/>
        <v>Ø25</v>
      </c>
    </row>
    <row r="82" spans="17:24" x14ac:dyDescent="0.3">
      <c r="Q82" s="3" t="s">
        <v>145</v>
      </c>
      <c r="R82" s="3">
        <v>4</v>
      </c>
      <c r="S82" s="3">
        <v>6</v>
      </c>
      <c r="T82" s="21" t="str">
        <f t="shared" si="10"/>
        <v>ППГнг(А)-FRHF (4х6)</v>
      </c>
      <c r="U82" s="3">
        <v>16.100000000000001</v>
      </c>
      <c r="V82" s="3">
        <f t="shared" si="11"/>
        <v>19.32</v>
      </c>
      <c r="W82" s="3" t="str">
        <f t="shared" si="12"/>
        <v>Ø32</v>
      </c>
      <c r="X82" s="3" t="str">
        <f t="shared" si="13"/>
        <v>Ø32</v>
      </c>
    </row>
    <row r="83" spans="17:24" x14ac:dyDescent="0.3">
      <c r="Q83" s="3" t="s">
        <v>145</v>
      </c>
      <c r="R83" s="3">
        <v>5</v>
      </c>
      <c r="S83" s="3">
        <v>6</v>
      </c>
      <c r="T83" s="21" t="str">
        <f t="shared" si="10"/>
        <v>ППГнг(А)-FRHF (5х6)</v>
      </c>
      <c r="U83" s="3">
        <v>17.600000000000001</v>
      </c>
      <c r="V83" s="3">
        <f t="shared" si="11"/>
        <v>21.12</v>
      </c>
      <c r="W83" s="3" t="str">
        <f t="shared" si="12"/>
        <v>Ø32</v>
      </c>
      <c r="X83" s="3" t="str">
        <f t="shared" si="13"/>
        <v>Ø32</v>
      </c>
    </row>
    <row r="84" spans="17:24" x14ac:dyDescent="0.3">
      <c r="Q84" s="3" t="s">
        <v>141</v>
      </c>
      <c r="R84" s="3">
        <v>1</v>
      </c>
      <c r="S84" s="3">
        <v>0.75</v>
      </c>
      <c r="T84" s="21" t="str">
        <f t="shared" si="10"/>
        <v>КГВВнг(А)-LS (1х0,75)</v>
      </c>
      <c r="U84" s="3">
        <v>2.2999999999999998</v>
      </c>
      <c r="V84" s="3">
        <f t="shared" si="11"/>
        <v>14</v>
      </c>
      <c r="W84" s="3" t="str">
        <f t="shared" si="12"/>
        <v>Ø20</v>
      </c>
      <c r="X84" s="3" t="str">
        <f t="shared" si="13"/>
        <v>Ø20</v>
      </c>
    </row>
    <row r="85" spans="17:24" x14ac:dyDescent="0.3">
      <c r="Q85" s="25" t="s">
        <v>141</v>
      </c>
      <c r="R85" s="3">
        <v>2</v>
      </c>
      <c r="S85" s="3">
        <v>0.75</v>
      </c>
      <c r="T85" s="21" t="str">
        <f t="shared" si="10"/>
        <v>КГВВнг(А)-LS (2х0,75)</v>
      </c>
      <c r="U85" s="3">
        <v>7</v>
      </c>
      <c r="V85" s="3">
        <f t="shared" si="11"/>
        <v>14</v>
      </c>
      <c r="W85" s="3" t="str">
        <f t="shared" si="12"/>
        <v>Ø20</v>
      </c>
      <c r="X85" s="3" t="str">
        <f t="shared" si="13"/>
        <v>Ø20</v>
      </c>
    </row>
    <row r="86" spans="17:24" x14ac:dyDescent="0.3">
      <c r="Q86" s="25" t="s">
        <v>141</v>
      </c>
      <c r="R86" s="3">
        <v>3</v>
      </c>
      <c r="S86" s="3">
        <v>0.75</v>
      </c>
      <c r="T86" s="21" t="str">
        <f t="shared" si="10"/>
        <v>КГВВнг(А)-LS (3х0,75)</v>
      </c>
      <c r="U86" s="3">
        <v>7.3</v>
      </c>
      <c r="V86" s="3">
        <f t="shared" si="11"/>
        <v>14</v>
      </c>
      <c r="W86" s="3" t="str">
        <f t="shared" si="12"/>
        <v>Ø20</v>
      </c>
      <c r="X86" s="3" t="str">
        <f t="shared" si="13"/>
        <v>Ø20</v>
      </c>
    </row>
    <row r="87" spans="17:24" x14ac:dyDescent="0.3">
      <c r="Q87" s="25" t="s">
        <v>141</v>
      </c>
      <c r="R87" s="3">
        <v>4</v>
      </c>
      <c r="S87" s="3">
        <v>0.75</v>
      </c>
      <c r="T87" s="21" t="str">
        <f t="shared" si="10"/>
        <v>КГВВнг(А)-LS (4х0,75)</v>
      </c>
      <c r="U87" s="3">
        <v>7.9</v>
      </c>
      <c r="V87" s="3">
        <f t="shared" si="11"/>
        <v>14</v>
      </c>
      <c r="W87" s="3" t="str">
        <f t="shared" si="12"/>
        <v>Ø20</v>
      </c>
      <c r="X87" s="3" t="str">
        <f t="shared" si="13"/>
        <v>Ø20</v>
      </c>
    </row>
    <row r="88" spans="17:24" x14ac:dyDescent="0.3">
      <c r="Q88" s="25" t="s">
        <v>141</v>
      </c>
      <c r="R88" s="3">
        <v>5</v>
      </c>
      <c r="S88" s="3">
        <v>0.75</v>
      </c>
      <c r="T88" s="21" t="str">
        <f t="shared" si="10"/>
        <v>КГВВнг(А)-LS (5х0,75)</v>
      </c>
      <c r="U88" s="3">
        <v>9.1999999999999993</v>
      </c>
      <c r="V88" s="3">
        <f t="shared" si="11"/>
        <v>14</v>
      </c>
      <c r="W88" s="3" t="str">
        <f t="shared" si="12"/>
        <v>Ø20</v>
      </c>
      <c r="X88" s="3" t="str">
        <f t="shared" si="13"/>
        <v>Ø20</v>
      </c>
    </row>
    <row r="89" spans="17:24" x14ac:dyDescent="0.3">
      <c r="Q89" s="25" t="s">
        <v>141</v>
      </c>
      <c r="R89" s="3">
        <v>6</v>
      </c>
      <c r="S89" s="3">
        <v>0.75</v>
      </c>
      <c r="T89" s="21" t="str">
        <f t="shared" si="10"/>
        <v>КГВВнг(А)-LS (6х0,75)</v>
      </c>
      <c r="U89" s="3">
        <v>9.6</v>
      </c>
      <c r="V89" s="3">
        <f t="shared" si="11"/>
        <v>14</v>
      </c>
      <c r="W89" s="3" t="str">
        <f t="shared" si="12"/>
        <v>Ø20</v>
      </c>
      <c r="X89" s="3" t="str">
        <f t="shared" si="13"/>
        <v>Ø20</v>
      </c>
    </row>
    <row r="90" spans="17:24" x14ac:dyDescent="0.3">
      <c r="Q90" s="25" t="s">
        <v>141</v>
      </c>
      <c r="R90" s="3">
        <v>7</v>
      </c>
      <c r="S90" s="3">
        <v>0.75</v>
      </c>
      <c r="T90" s="21" t="str">
        <f t="shared" si="10"/>
        <v>КГВВнг(А)-LS (7х0,75)</v>
      </c>
      <c r="U90" s="3">
        <v>9.9</v>
      </c>
      <c r="V90" s="3">
        <f t="shared" si="11"/>
        <v>14</v>
      </c>
      <c r="W90" s="3" t="str">
        <f t="shared" si="12"/>
        <v>Ø20</v>
      </c>
      <c r="X90" s="3" t="str">
        <f t="shared" si="13"/>
        <v>Ø20</v>
      </c>
    </row>
    <row r="91" spans="17:24" x14ac:dyDescent="0.3">
      <c r="Q91" s="25" t="s">
        <v>141</v>
      </c>
      <c r="R91" s="3">
        <v>10</v>
      </c>
      <c r="S91" s="3">
        <v>0.75</v>
      </c>
      <c r="T91" s="21" t="str">
        <f t="shared" si="10"/>
        <v>КГВВнг(А)-LS (10х0,75)</v>
      </c>
      <c r="U91" s="3">
        <v>11.6</v>
      </c>
      <c r="V91" s="3">
        <f t="shared" si="11"/>
        <v>14</v>
      </c>
      <c r="W91" s="3" t="str">
        <f t="shared" si="12"/>
        <v>Ø20</v>
      </c>
      <c r="X91" s="3" t="str">
        <f t="shared" si="13"/>
        <v>Ø20</v>
      </c>
    </row>
    <row r="92" spans="17:24" x14ac:dyDescent="0.3">
      <c r="Q92" s="25" t="s">
        <v>141</v>
      </c>
      <c r="R92" s="3">
        <v>14</v>
      </c>
      <c r="S92" s="3">
        <v>0.75</v>
      </c>
      <c r="T92" s="21" t="str">
        <f t="shared" ref="T92:T96" si="14">Q92&amp;" ("&amp;R92&amp;"х"&amp;S92&amp;")"</f>
        <v>КГВВнг(А)-LS (14х0,75)</v>
      </c>
      <c r="U92" s="3">
        <v>13.1</v>
      </c>
      <c r="V92" s="3">
        <f t="shared" si="11"/>
        <v>15.719999999999999</v>
      </c>
      <c r="W92" s="3" t="str">
        <f t="shared" si="12"/>
        <v>Ø25</v>
      </c>
      <c r="X92" s="3" t="str">
        <f t="shared" si="13"/>
        <v>Ø25</v>
      </c>
    </row>
    <row r="93" spans="17:24" x14ac:dyDescent="0.3">
      <c r="Q93" s="25" t="s">
        <v>141</v>
      </c>
      <c r="R93" s="3">
        <v>19</v>
      </c>
      <c r="S93" s="3">
        <v>0.75</v>
      </c>
      <c r="T93" s="21" t="str">
        <f t="shared" si="14"/>
        <v>КГВВнг(А)-LS (19х0,75)</v>
      </c>
      <c r="U93" s="3">
        <v>14.5</v>
      </c>
      <c r="V93" s="3">
        <f t="shared" si="11"/>
        <v>17.399999999999999</v>
      </c>
      <c r="W93" s="3" t="str">
        <f t="shared" si="12"/>
        <v>Ø25</v>
      </c>
      <c r="X93" s="3" t="str">
        <f t="shared" si="13"/>
        <v>Ø25</v>
      </c>
    </row>
    <row r="94" spans="17:24" x14ac:dyDescent="0.3">
      <c r="Q94" s="25" t="s">
        <v>141</v>
      </c>
      <c r="R94" s="3">
        <v>27</v>
      </c>
      <c r="S94" s="3">
        <v>0.75</v>
      </c>
      <c r="T94" s="21" t="str">
        <f t="shared" si="14"/>
        <v>КГВВнг(А)-LS (27х0,75)</v>
      </c>
      <c r="U94" s="3">
        <v>17.2</v>
      </c>
      <c r="V94" s="3">
        <f t="shared" si="11"/>
        <v>20.639999999999997</v>
      </c>
      <c r="W94" s="3" t="str">
        <f t="shared" si="12"/>
        <v>Ø32</v>
      </c>
      <c r="X94" s="3" t="str">
        <f t="shared" si="13"/>
        <v>Ø32</v>
      </c>
    </row>
    <row r="95" spans="17:24" x14ac:dyDescent="0.3">
      <c r="Q95" s="25" t="s">
        <v>141</v>
      </c>
      <c r="R95" s="3">
        <v>37</v>
      </c>
      <c r="S95" s="3">
        <v>0.75</v>
      </c>
      <c r="T95" s="21" t="str">
        <f t="shared" si="14"/>
        <v>КГВВнг(А)-LS (37х0,75)</v>
      </c>
      <c r="U95" s="3">
        <v>18.5</v>
      </c>
      <c r="V95" s="3">
        <f t="shared" si="11"/>
        <v>22.2</v>
      </c>
      <c r="W95" s="3" t="str">
        <f t="shared" si="12"/>
        <v>Ø32</v>
      </c>
      <c r="X95" s="3" t="str">
        <f t="shared" si="13"/>
        <v>Ø32</v>
      </c>
    </row>
    <row r="96" spans="17:24" x14ac:dyDescent="0.3">
      <c r="Q96" s="25" t="s">
        <v>141</v>
      </c>
      <c r="R96" s="3">
        <v>52</v>
      </c>
      <c r="S96" s="3">
        <v>0.75</v>
      </c>
      <c r="T96" s="21" t="str">
        <f t="shared" si="14"/>
        <v>КГВВнг(А)-LS (52х0,75)</v>
      </c>
      <c r="U96" s="3">
        <v>21.6</v>
      </c>
      <c r="V96" s="3">
        <f t="shared" si="11"/>
        <v>25.92</v>
      </c>
      <c r="W96" s="3" t="str">
        <f t="shared" si="12"/>
        <v>Ø40</v>
      </c>
      <c r="X96" s="3" t="str">
        <f t="shared" si="13"/>
        <v>Ø40</v>
      </c>
    </row>
    <row r="97" spans="17:24" x14ac:dyDescent="0.3">
      <c r="Q97" s="25" t="s">
        <v>141</v>
      </c>
      <c r="R97" s="3">
        <v>1</v>
      </c>
      <c r="S97" s="3">
        <v>1</v>
      </c>
      <c r="T97" s="21" t="str">
        <f t="shared" ref="T97:T101" si="15">Q97&amp;" ("&amp;R97&amp;"х"&amp;S97&amp;")"</f>
        <v>КГВВнг(А)-LS (1х1)</v>
      </c>
      <c r="U97" s="3">
        <v>2.8</v>
      </c>
      <c r="V97" s="3">
        <f t="shared" si="11"/>
        <v>14</v>
      </c>
      <c r="W97" s="3" t="str">
        <f t="shared" si="12"/>
        <v>Ø20</v>
      </c>
      <c r="X97" s="3" t="str">
        <f t="shared" si="13"/>
        <v>Ø20</v>
      </c>
    </row>
    <row r="98" spans="17:24" x14ac:dyDescent="0.3">
      <c r="Q98" s="25" t="s">
        <v>141</v>
      </c>
      <c r="R98" s="3">
        <v>2</v>
      </c>
      <c r="S98" s="3">
        <v>1</v>
      </c>
      <c r="T98" s="21" t="str">
        <f t="shared" si="15"/>
        <v>КГВВнг(А)-LS (2х1)</v>
      </c>
      <c r="U98" s="3">
        <v>7.3</v>
      </c>
      <c r="V98" s="3">
        <f t="shared" si="11"/>
        <v>14</v>
      </c>
      <c r="W98" s="3" t="str">
        <f t="shared" si="12"/>
        <v>Ø20</v>
      </c>
      <c r="X98" s="3" t="str">
        <f t="shared" si="13"/>
        <v>Ø20</v>
      </c>
    </row>
    <row r="99" spans="17:24" x14ac:dyDescent="0.3">
      <c r="Q99" s="25" t="s">
        <v>141</v>
      </c>
      <c r="R99" s="3">
        <v>3</v>
      </c>
      <c r="S99" s="3">
        <v>1</v>
      </c>
      <c r="T99" s="21" t="str">
        <f t="shared" si="15"/>
        <v>КГВВнг(А)-LS (3х1)</v>
      </c>
      <c r="U99" s="3">
        <v>7.7</v>
      </c>
      <c r="V99" s="3">
        <f t="shared" si="11"/>
        <v>14</v>
      </c>
      <c r="W99" s="3" t="str">
        <f t="shared" si="12"/>
        <v>Ø20</v>
      </c>
      <c r="X99" s="3" t="str">
        <f t="shared" si="13"/>
        <v>Ø20</v>
      </c>
    </row>
    <row r="100" spans="17:24" x14ac:dyDescent="0.3">
      <c r="Q100" s="25" t="s">
        <v>141</v>
      </c>
      <c r="R100" s="3">
        <v>4</v>
      </c>
      <c r="S100" s="3">
        <v>1</v>
      </c>
      <c r="T100" s="21" t="str">
        <f t="shared" si="15"/>
        <v>КГВВнг(А)-LS (4х1)</v>
      </c>
      <c r="U100" s="3">
        <v>8.3000000000000007</v>
      </c>
      <c r="V100" s="3">
        <f t="shared" si="11"/>
        <v>14</v>
      </c>
      <c r="W100" s="3" t="str">
        <f t="shared" si="12"/>
        <v>Ø20</v>
      </c>
      <c r="X100" s="3" t="str">
        <f t="shared" si="13"/>
        <v>Ø20</v>
      </c>
    </row>
    <row r="101" spans="17:24" x14ac:dyDescent="0.3">
      <c r="Q101" s="25" t="s">
        <v>141</v>
      </c>
      <c r="R101" s="3">
        <v>5</v>
      </c>
      <c r="S101" s="3">
        <v>1</v>
      </c>
      <c r="T101" s="21" t="str">
        <f t="shared" si="15"/>
        <v>КГВВнг(А)-LS (5х1)</v>
      </c>
      <c r="U101" s="3">
        <v>9.6</v>
      </c>
      <c r="V101" s="3">
        <f t="shared" si="11"/>
        <v>14</v>
      </c>
      <c r="W101" s="3" t="str">
        <f t="shared" si="12"/>
        <v>Ø20</v>
      </c>
      <c r="X101" s="3" t="str">
        <f t="shared" si="13"/>
        <v>Ø20</v>
      </c>
    </row>
    <row r="102" spans="17:24" x14ac:dyDescent="0.3">
      <c r="Q102" s="25" t="s">
        <v>141</v>
      </c>
      <c r="R102" s="3">
        <v>7</v>
      </c>
      <c r="S102" s="3">
        <v>1</v>
      </c>
      <c r="T102" s="21" t="str">
        <f t="shared" ref="T102:T113" si="16">Q102&amp;" ("&amp;R102&amp;"х"&amp;S102&amp;")"</f>
        <v>КГВВнг(А)-LS (7х1)</v>
      </c>
      <c r="U102" s="3">
        <v>10.4</v>
      </c>
      <c r="V102" s="3">
        <f t="shared" si="11"/>
        <v>14</v>
      </c>
      <c r="W102" s="3" t="str">
        <f t="shared" si="12"/>
        <v>Ø20</v>
      </c>
      <c r="X102" s="3" t="str">
        <f t="shared" si="13"/>
        <v>Ø20</v>
      </c>
    </row>
    <row r="103" spans="17:24" x14ac:dyDescent="0.3">
      <c r="Q103" s="25" t="s">
        <v>141</v>
      </c>
      <c r="R103" s="3">
        <v>10</v>
      </c>
      <c r="S103" s="3">
        <v>1</v>
      </c>
      <c r="T103" s="21" t="str">
        <f t="shared" si="16"/>
        <v>КГВВнг(А)-LS (10х1)</v>
      </c>
      <c r="U103" s="3">
        <v>12.8</v>
      </c>
      <c r="V103" s="3">
        <f t="shared" si="11"/>
        <v>15.36</v>
      </c>
      <c r="W103" s="3" t="str">
        <f t="shared" si="12"/>
        <v>Ø25</v>
      </c>
      <c r="X103" s="3" t="str">
        <f t="shared" si="13"/>
        <v>Ø25</v>
      </c>
    </row>
    <row r="104" spans="17:24" x14ac:dyDescent="0.3">
      <c r="Q104" s="25" t="s">
        <v>141</v>
      </c>
      <c r="R104" s="3">
        <v>14</v>
      </c>
      <c r="S104" s="3">
        <v>1</v>
      </c>
      <c r="T104" s="21" t="str">
        <f t="shared" si="16"/>
        <v>КГВВнг(А)-LS (14х1)</v>
      </c>
      <c r="U104" s="3">
        <v>13.9</v>
      </c>
      <c r="V104" s="3">
        <f t="shared" si="11"/>
        <v>16.68</v>
      </c>
      <c r="W104" s="3" t="str">
        <f t="shared" si="12"/>
        <v>Ø25</v>
      </c>
      <c r="X104" s="3" t="str">
        <f t="shared" si="13"/>
        <v>Ø25</v>
      </c>
    </row>
    <row r="105" spans="17:24" x14ac:dyDescent="0.3">
      <c r="Q105" s="25" t="s">
        <v>141</v>
      </c>
      <c r="R105" s="3">
        <v>19</v>
      </c>
      <c r="S105" s="3">
        <v>1</v>
      </c>
      <c r="T105" s="21" t="str">
        <f t="shared" si="16"/>
        <v>КГВВнг(А)-LS (19х1)</v>
      </c>
      <c r="U105" s="3">
        <v>14.6</v>
      </c>
      <c r="V105" s="3">
        <f t="shared" si="11"/>
        <v>17.52</v>
      </c>
      <c r="W105" s="3" t="str">
        <f t="shared" si="12"/>
        <v>Ø25</v>
      </c>
      <c r="X105" s="3" t="str">
        <f t="shared" si="13"/>
        <v>Ø25</v>
      </c>
    </row>
    <row r="106" spans="17:24" x14ac:dyDescent="0.3">
      <c r="Q106" s="25" t="s">
        <v>141</v>
      </c>
      <c r="R106" s="3">
        <v>27</v>
      </c>
      <c r="S106" s="3">
        <v>1</v>
      </c>
      <c r="T106" s="21" t="str">
        <f t="shared" si="16"/>
        <v>КГВВнг(А)-LS (27х1)</v>
      </c>
      <c r="U106" s="3">
        <v>17.3</v>
      </c>
      <c r="V106" s="3">
        <f t="shared" si="11"/>
        <v>20.76</v>
      </c>
      <c r="W106" s="3" t="str">
        <f t="shared" si="12"/>
        <v>Ø32</v>
      </c>
      <c r="X106" s="3" t="str">
        <f t="shared" si="13"/>
        <v>Ø32</v>
      </c>
    </row>
    <row r="107" spans="17:24" x14ac:dyDescent="0.3">
      <c r="Q107" s="25" t="s">
        <v>141</v>
      </c>
      <c r="R107" s="3">
        <v>37</v>
      </c>
      <c r="S107" s="3">
        <v>1</v>
      </c>
      <c r="T107" s="21" t="str">
        <f t="shared" si="16"/>
        <v>КГВВнг(А)-LS (37х1)</v>
      </c>
      <c r="U107" s="3">
        <v>19.600000000000001</v>
      </c>
      <c r="V107" s="3">
        <f t="shared" si="11"/>
        <v>23.52</v>
      </c>
      <c r="W107" s="3" t="str">
        <f t="shared" si="12"/>
        <v>Ø32</v>
      </c>
      <c r="X107" s="3" t="str">
        <f t="shared" si="13"/>
        <v>Ø32</v>
      </c>
    </row>
    <row r="108" spans="17:24" x14ac:dyDescent="0.3">
      <c r="Q108" s="25" t="s">
        <v>141</v>
      </c>
      <c r="R108" s="3">
        <v>52</v>
      </c>
      <c r="S108" s="3">
        <v>1</v>
      </c>
      <c r="T108" s="21" t="str">
        <f t="shared" si="16"/>
        <v>КГВВнг(А)-LS (52х1)</v>
      </c>
      <c r="U108" s="3">
        <v>22.9</v>
      </c>
      <c r="V108" s="3">
        <f t="shared" si="11"/>
        <v>27.479999999999997</v>
      </c>
      <c r="W108" s="3" t="str">
        <f t="shared" si="12"/>
        <v>Ø40</v>
      </c>
      <c r="X108" s="3" t="str">
        <f t="shared" si="13"/>
        <v>Ø40</v>
      </c>
    </row>
    <row r="109" spans="17:24" x14ac:dyDescent="0.3">
      <c r="Q109" s="25" t="s">
        <v>141</v>
      </c>
      <c r="R109" s="3">
        <v>1</v>
      </c>
      <c r="S109" s="3">
        <v>1.5</v>
      </c>
      <c r="T109" s="21" t="str">
        <f t="shared" si="16"/>
        <v>КГВВнг(А)-LS (1х1,5)</v>
      </c>
      <c r="U109" s="3">
        <v>5.6</v>
      </c>
      <c r="V109" s="3">
        <f t="shared" si="11"/>
        <v>14</v>
      </c>
      <c r="W109" s="3" t="str">
        <f t="shared" si="12"/>
        <v>Ø20</v>
      </c>
      <c r="X109" s="3" t="str">
        <f t="shared" si="13"/>
        <v>Ø20</v>
      </c>
    </row>
    <row r="110" spans="17:24" x14ac:dyDescent="0.3">
      <c r="Q110" s="25" t="s">
        <v>141</v>
      </c>
      <c r="R110" s="3">
        <v>2</v>
      </c>
      <c r="S110" s="3">
        <v>1.5</v>
      </c>
      <c r="T110" s="21" t="str">
        <f t="shared" si="16"/>
        <v>КГВВнг(А)-LS (2х1,5)</v>
      </c>
      <c r="U110" s="3">
        <v>8.1999999999999993</v>
      </c>
      <c r="V110" s="3">
        <f t="shared" si="11"/>
        <v>14</v>
      </c>
      <c r="W110" s="3" t="str">
        <f t="shared" si="12"/>
        <v>Ø20</v>
      </c>
      <c r="X110" s="3" t="str">
        <f t="shared" si="13"/>
        <v>Ø20</v>
      </c>
    </row>
    <row r="111" spans="17:24" x14ac:dyDescent="0.3">
      <c r="Q111" s="25" t="s">
        <v>141</v>
      </c>
      <c r="R111" s="3">
        <v>3</v>
      </c>
      <c r="S111" s="3">
        <v>1.5</v>
      </c>
      <c r="T111" s="21" t="str">
        <f t="shared" si="16"/>
        <v>КГВВнг(А)-LS (3х1,5)</v>
      </c>
      <c r="U111" s="3">
        <v>9.3000000000000007</v>
      </c>
      <c r="V111" s="3">
        <f t="shared" si="11"/>
        <v>14</v>
      </c>
      <c r="W111" s="3" t="str">
        <f t="shared" si="12"/>
        <v>Ø20</v>
      </c>
      <c r="X111" s="3" t="str">
        <f t="shared" si="13"/>
        <v>Ø20</v>
      </c>
    </row>
    <row r="112" spans="17:24" x14ac:dyDescent="0.3">
      <c r="Q112" s="25" t="s">
        <v>141</v>
      </c>
      <c r="R112" s="3">
        <v>4</v>
      </c>
      <c r="S112" s="3">
        <v>1.5</v>
      </c>
      <c r="T112" s="21" t="str">
        <f t="shared" si="16"/>
        <v>КГВВнг(А)-LS (4х1,5)</v>
      </c>
      <c r="U112" s="3">
        <v>10</v>
      </c>
      <c r="V112" s="3">
        <f t="shared" si="11"/>
        <v>14</v>
      </c>
      <c r="W112" s="3" t="str">
        <f t="shared" si="12"/>
        <v>Ø20</v>
      </c>
      <c r="X112" s="3" t="str">
        <f t="shared" si="13"/>
        <v>Ø20</v>
      </c>
    </row>
    <row r="113" spans="17:24" x14ac:dyDescent="0.3">
      <c r="Q113" s="25" t="s">
        <v>141</v>
      </c>
      <c r="R113" s="3">
        <v>5</v>
      </c>
      <c r="S113" s="3">
        <v>1.5</v>
      </c>
      <c r="T113" s="21" t="str">
        <f t="shared" si="16"/>
        <v>КГВВнг(А)-LS (5х1,5)</v>
      </c>
      <c r="U113" s="3">
        <v>11.2</v>
      </c>
      <c r="V113" s="3">
        <f t="shared" si="11"/>
        <v>14</v>
      </c>
      <c r="W113" s="3" t="str">
        <f t="shared" si="12"/>
        <v>Ø20</v>
      </c>
      <c r="X113" s="3" t="str">
        <f t="shared" si="13"/>
        <v>Ø20</v>
      </c>
    </row>
    <row r="114" spans="17:24" x14ac:dyDescent="0.3">
      <c r="Q114" s="25" t="s">
        <v>141</v>
      </c>
      <c r="R114" s="3">
        <v>7</v>
      </c>
      <c r="S114" s="3">
        <v>1.5</v>
      </c>
      <c r="T114" s="21" t="str">
        <f t="shared" ref="T114:T158" si="17">Q114&amp;" ("&amp;R114&amp;"х"&amp;S114&amp;")"</f>
        <v>КГВВнг(А)-LS (7х1,5)</v>
      </c>
      <c r="U114" s="3">
        <v>11.8</v>
      </c>
      <c r="V114" s="3">
        <f t="shared" si="11"/>
        <v>14.16</v>
      </c>
      <c r="W114" s="3" t="str">
        <f t="shared" si="12"/>
        <v>Ø20</v>
      </c>
      <c r="X114" s="3" t="str">
        <f t="shared" si="13"/>
        <v>Ø20</v>
      </c>
    </row>
    <row r="115" spans="17:24" x14ac:dyDescent="0.3">
      <c r="Q115" s="25" t="s">
        <v>141</v>
      </c>
      <c r="R115" s="3">
        <v>10</v>
      </c>
      <c r="S115" s="3">
        <v>1.5</v>
      </c>
      <c r="T115" s="21" t="str">
        <f t="shared" si="17"/>
        <v>КГВВнг(А)-LS (10х1,5)</v>
      </c>
      <c r="U115" s="3">
        <v>14.7</v>
      </c>
      <c r="V115" s="3">
        <f t="shared" si="11"/>
        <v>17.639999999999997</v>
      </c>
      <c r="W115" s="3" t="str">
        <f t="shared" si="12"/>
        <v>Ø25</v>
      </c>
      <c r="X115" s="3" t="str">
        <f t="shared" si="13"/>
        <v>Ø25</v>
      </c>
    </row>
    <row r="116" spans="17:24" x14ac:dyDescent="0.3">
      <c r="Q116" s="25" t="s">
        <v>141</v>
      </c>
      <c r="R116" s="3">
        <v>14</v>
      </c>
      <c r="S116" s="3">
        <v>1.5</v>
      </c>
      <c r="T116" s="21" t="str">
        <f t="shared" si="17"/>
        <v>КГВВнг(А)-LS (14х1,5)</v>
      </c>
      <c r="U116" s="3">
        <v>15.9</v>
      </c>
      <c r="V116" s="3">
        <f t="shared" si="11"/>
        <v>19.079999999999998</v>
      </c>
      <c r="W116" s="3" t="str">
        <f t="shared" si="12"/>
        <v>Ø32</v>
      </c>
      <c r="X116" s="3" t="str">
        <f t="shared" si="13"/>
        <v>Ø32</v>
      </c>
    </row>
    <row r="117" spans="17:24" x14ac:dyDescent="0.3">
      <c r="Q117" s="25" t="s">
        <v>141</v>
      </c>
      <c r="R117" s="3">
        <v>19</v>
      </c>
      <c r="S117" s="3">
        <v>1.5</v>
      </c>
      <c r="T117" s="21" t="str">
        <f t="shared" si="17"/>
        <v>КГВВнг(А)-LS (19х1,5)</v>
      </c>
      <c r="U117" s="3">
        <v>17.600000000000001</v>
      </c>
      <c r="V117" s="3">
        <f t="shared" si="11"/>
        <v>21.12</v>
      </c>
      <c r="W117" s="3" t="str">
        <f t="shared" si="12"/>
        <v>Ø32</v>
      </c>
      <c r="X117" s="3" t="str">
        <f t="shared" si="13"/>
        <v>Ø32</v>
      </c>
    </row>
    <row r="118" spans="17:24" x14ac:dyDescent="0.3">
      <c r="Q118" s="25" t="s">
        <v>141</v>
      </c>
      <c r="R118" s="3">
        <v>27</v>
      </c>
      <c r="S118" s="3">
        <v>1.5</v>
      </c>
      <c r="T118" s="21" t="str">
        <f t="shared" si="17"/>
        <v>КГВВнг(А)-LS (27х1,5)</v>
      </c>
      <c r="U118" s="3">
        <v>21.4</v>
      </c>
      <c r="V118" s="3">
        <f t="shared" si="11"/>
        <v>25.679999999999996</v>
      </c>
      <c r="W118" s="3" t="str">
        <f t="shared" si="12"/>
        <v>Ø40</v>
      </c>
      <c r="X118" s="3" t="str">
        <f t="shared" si="13"/>
        <v>Ø40</v>
      </c>
    </row>
    <row r="119" spans="17:24" x14ac:dyDescent="0.3">
      <c r="Q119" s="25" t="s">
        <v>141</v>
      </c>
      <c r="R119" s="3">
        <v>37</v>
      </c>
      <c r="S119" s="3">
        <v>1.5</v>
      </c>
      <c r="T119" s="21" t="str">
        <f t="shared" si="17"/>
        <v>КГВВнг(А)-LS (37х1,5)</v>
      </c>
      <c r="U119" s="3">
        <v>22.3</v>
      </c>
      <c r="V119" s="3">
        <f t="shared" si="11"/>
        <v>26.76</v>
      </c>
      <c r="W119" s="3" t="str">
        <f t="shared" si="12"/>
        <v>Ø40</v>
      </c>
      <c r="X119" s="3" t="str">
        <f t="shared" si="13"/>
        <v>Ø40</v>
      </c>
    </row>
    <row r="120" spans="17:24" x14ac:dyDescent="0.3">
      <c r="Q120" s="25" t="s">
        <v>141</v>
      </c>
      <c r="R120" s="3">
        <v>52</v>
      </c>
      <c r="S120" s="3">
        <v>1.5</v>
      </c>
      <c r="T120" s="21" t="str">
        <f t="shared" si="17"/>
        <v>КГВВнг(А)-LS (52х1,5)</v>
      </c>
      <c r="U120" s="3">
        <v>25.3</v>
      </c>
      <c r="V120" s="3">
        <f t="shared" si="11"/>
        <v>30.36</v>
      </c>
      <c r="W120" s="3" t="str">
        <f t="shared" si="12"/>
        <v>Ø40</v>
      </c>
      <c r="X120" s="3" t="str">
        <f t="shared" si="13"/>
        <v>Ø40</v>
      </c>
    </row>
    <row r="121" spans="17:24" x14ac:dyDescent="0.3">
      <c r="Q121" s="25" t="s">
        <v>141</v>
      </c>
      <c r="R121" s="3">
        <v>1</v>
      </c>
      <c r="S121" s="3">
        <v>2.5</v>
      </c>
      <c r="T121" s="21" t="str">
        <f t="shared" si="17"/>
        <v>КГВВнг(А)-LS (1х2,5)</v>
      </c>
      <c r="U121" s="3">
        <v>6.1</v>
      </c>
      <c r="V121" s="3">
        <f t="shared" si="11"/>
        <v>14</v>
      </c>
      <c r="W121" s="3" t="str">
        <f t="shared" si="12"/>
        <v>Ø20</v>
      </c>
      <c r="X121" s="3" t="str">
        <f t="shared" si="13"/>
        <v>Ø20</v>
      </c>
    </row>
    <row r="122" spans="17:24" x14ac:dyDescent="0.3">
      <c r="Q122" s="25" t="s">
        <v>141</v>
      </c>
      <c r="R122" s="3">
        <v>2</v>
      </c>
      <c r="S122" s="3">
        <v>2.5</v>
      </c>
      <c r="T122" s="21" t="str">
        <f t="shared" si="17"/>
        <v>КГВВнг(А)-LS (2х2,5)</v>
      </c>
      <c r="U122" s="3">
        <v>10.1</v>
      </c>
      <c r="V122" s="3">
        <f t="shared" si="11"/>
        <v>14</v>
      </c>
      <c r="W122" s="3" t="str">
        <f t="shared" si="12"/>
        <v>Ø20</v>
      </c>
      <c r="X122" s="3" t="str">
        <f t="shared" si="13"/>
        <v>Ø20</v>
      </c>
    </row>
    <row r="123" spans="17:24" x14ac:dyDescent="0.3">
      <c r="Q123" s="25" t="s">
        <v>141</v>
      </c>
      <c r="R123" s="3">
        <v>3</v>
      </c>
      <c r="S123" s="3">
        <v>2.5</v>
      </c>
      <c r="T123" s="21" t="str">
        <f t="shared" si="17"/>
        <v>КГВВнг(А)-LS (3х2,5)</v>
      </c>
      <c r="U123" s="3">
        <v>10.6</v>
      </c>
      <c r="V123" s="3">
        <f t="shared" si="11"/>
        <v>14</v>
      </c>
      <c r="W123" s="3" t="str">
        <f t="shared" si="12"/>
        <v>Ø20</v>
      </c>
      <c r="X123" s="3" t="str">
        <f t="shared" si="13"/>
        <v>Ø20</v>
      </c>
    </row>
    <row r="124" spans="17:24" x14ac:dyDescent="0.3">
      <c r="Q124" s="25" t="s">
        <v>141</v>
      </c>
      <c r="R124" s="3">
        <v>4</v>
      </c>
      <c r="S124" s="3">
        <v>2.5</v>
      </c>
      <c r="T124" s="21" t="str">
        <f t="shared" si="17"/>
        <v>КГВВнг(А)-LS (4х2,5)</v>
      </c>
      <c r="U124" s="3">
        <v>11.6</v>
      </c>
      <c r="V124" s="3">
        <f t="shared" si="11"/>
        <v>14</v>
      </c>
      <c r="W124" s="3" t="str">
        <f t="shared" si="12"/>
        <v>Ø20</v>
      </c>
      <c r="X124" s="3" t="str">
        <f t="shared" si="13"/>
        <v>Ø20</v>
      </c>
    </row>
    <row r="125" spans="17:24" x14ac:dyDescent="0.3">
      <c r="Q125" s="25" t="s">
        <v>141</v>
      </c>
      <c r="R125" s="3">
        <v>5</v>
      </c>
      <c r="S125" s="3">
        <v>2.5</v>
      </c>
      <c r="T125" s="21" t="str">
        <f t="shared" si="17"/>
        <v>КГВВнг(А)-LS (5х2,5)</v>
      </c>
      <c r="U125" s="3">
        <v>11</v>
      </c>
      <c r="V125" s="3">
        <f t="shared" si="11"/>
        <v>14</v>
      </c>
      <c r="W125" s="3" t="str">
        <f t="shared" si="12"/>
        <v>Ø20</v>
      </c>
      <c r="X125" s="3" t="str">
        <f t="shared" si="13"/>
        <v>Ø20</v>
      </c>
    </row>
    <row r="126" spans="17:24" x14ac:dyDescent="0.3">
      <c r="Q126" s="25" t="s">
        <v>141</v>
      </c>
      <c r="R126" s="3">
        <v>7</v>
      </c>
      <c r="S126" s="3">
        <v>2.5</v>
      </c>
      <c r="T126" s="21" t="str">
        <f t="shared" si="17"/>
        <v>КГВВнг(А)-LS (7х2,5)</v>
      </c>
      <c r="U126" s="3">
        <v>11.8</v>
      </c>
      <c r="V126" s="3">
        <f t="shared" si="11"/>
        <v>14.16</v>
      </c>
      <c r="W126" s="3" t="str">
        <f t="shared" si="12"/>
        <v>Ø20</v>
      </c>
      <c r="X126" s="3" t="str">
        <f t="shared" si="13"/>
        <v>Ø20</v>
      </c>
    </row>
    <row r="127" spans="17:24" x14ac:dyDescent="0.3">
      <c r="Q127" s="25" t="s">
        <v>141</v>
      </c>
      <c r="R127" s="3">
        <v>10</v>
      </c>
      <c r="S127" s="3">
        <v>2.5</v>
      </c>
      <c r="T127" s="21" t="str">
        <f t="shared" si="17"/>
        <v>КГВВнг(А)-LS (10х2,5)</v>
      </c>
      <c r="U127" s="3">
        <v>14.8</v>
      </c>
      <c r="V127" s="3">
        <f t="shared" si="11"/>
        <v>17.760000000000002</v>
      </c>
      <c r="W127" s="3" t="str">
        <f t="shared" si="12"/>
        <v>Ø25</v>
      </c>
      <c r="X127" s="3" t="str">
        <f t="shared" si="13"/>
        <v>Ø25</v>
      </c>
    </row>
    <row r="128" spans="17:24" x14ac:dyDescent="0.3">
      <c r="Q128" s="25" t="s">
        <v>141</v>
      </c>
      <c r="R128" s="3">
        <v>14</v>
      </c>
      <c r="S128" s="3">
        <v>2.5</v>
      </c>
      <c r="T128" s="21" t="str">
        <f t="shared" si="17"/>
        <v>КГВВнг(А)-LS (14х2,5)</v>
      </c>
      <c r="U128" s="3">
        <v>16</v>
      </c>
      <c r="V128" s="3">
        <f t="shared" si="11"/>
        <v>19.2</v>
      </c>
      <c r="W128" s="3" t="str">
        <f t="shared" si="12"/>
        <v>Ø32</v>
      </c>
      <c r="X128" s="3" t="str">
        <f t="shared" si="13"/>
        <v>Ø32</v>
      </c>
    </row>
    <row r="129" spans="17:24" x14ac:dyDescent="0.3">
      <c r="Q129" s="25" t="s">
        <v>141</v>
      </c>
      <c r="R129" s="3">
        <v>19</v>
      </c>
      <c r="S129" s="3">
        <v>2.5</v>
      </c>
      <c r="T129" s="21" t="str">
        <f t="shared" si="17"/>
        <v>КГВВнг(А)-LS (19х2,5)</v>
      </c>
      <c r="U129" s="3">
        <v>17.7</v>
      </c>
      <c r="V129" s="3">
        <f t="shared" si="11"/>
        <v>21.24</v>
      </c>
      <c r="W129" s="3" t="str">
        <f t="shared" si="12"/>
        <v>Ø32</v>
      </c>
      <c r="X129" s="3" t="str">
        <f t="shared" si="13"/>
        <v>Ø32</v>
      </c>
    </row>
    <row r="130" spans="17:24" x14ac:dyDescent="0.3">
      <c r="Q130" s="25" t="s">
        <v>141</v>
      </c>
      <c r="R130" s="3">
        <v>27</v>
      </c>
      <c r="S130" s="3">
        <v>2.5</v>
      </c>
      <c r="T130" s="21" t="str">
        <f t="shared" si="17"/>
        <v>КГВВнг(А)-LS (27х2,5)</v>
      </c>
      <c r="U130" s="3">
        <v>21.5</v>
      </c>
      <c r="V130" s="3">
        <f t="shared" si="11"/>
        <v>25.8</v>
      </c>
      <c r="W130" s="3" t="str">
        <f t="shared" si="12"/>
        <v>Ø40</v>
      </c>
      <c r="X130" s="3" t="str">
        <f t="shared" si="13"/>
        <v>Ø40</v>
      </c>
    </row>
    <row r="131" spans="17:24" x14ac:dyDescent="0.3">
      <c r="Q131" s="25" t="s">
        <v>141</v>
      </c>
      <c r="R131" s="3">
        <v>37</v>
      </c>
      <c r="S131" s="3">
        <v>2.5</v>
      </c>
      <c r="T131" s="21" t="str">
        <f t="shared" si="17"/>
        <v>КГВВнг(А)-LS (37х2,5)</v>
      </c>
      <c r="U131" s="3">
        <v>24.4</v>
      </c>
      <c r="V131" s="3">
        <f t="shared" si="11"/>
        <v>29.279999999999998</v>
      </c>
      <c r="W131" s="3" t="str">
        <f t="shared" si="12"/>
        <v>Ø40</v>
      </c>
      <c r="X131" s="3" t="str">
        <f t="shared" si="13"/>
        <v>Ø40</v>
      </c>
    </row>
    <row r="132" spans="17:24" x14ac:dyDescent="0.3">
      <c r="Q132" s="25" t="s">
        <v>141</v>
      </c>
      <c r="R132" s="3">
        <v>1</v>
      </c>
      <c r="S132" s="3">
        <v>4</v>
      </c>
      <c r="T132" s="21" t="str">
        <f t="shared" si="17"/>
        <v>КГВВнг(А)-LS (1х4)</v>
      </c>
      <c r="U132" s="3">
        <v>6.8</v>
      </c>
      <c r="V132" s="3">
        <f t="shared" si="11"/>
        <v>14</v>
      </c>
      <c r="W132" s="3" t="str">
        <f t="shared" si="12"/>
        <v>Ø20</v>
      </c>
      <c r="X132" s="3" t="str">
        <f t="shared" si="13"/>
        <v>Ø20</v>
      </c>
    </row>
    <row r="133" spans="17:24" x14ac:dyDescent="0.3">
      <c r="Q133" s="25" t="s">
        <v>141</v>
      </c>
      <c r="R133" s="3">
        <v>2</v>
      </c>
      <c r="S133" s="3">
        <v>4</v>
      </c>
      <c r="T133" s="21" t="str">
        <f t="shared" si="17"/>
        <v>КГВВнг(А)-LS (2х4)</v>
      </c>
      <c r="U133" s="3">
        <v>11.1</v>
      </c>
      <c r="V133" s="3">
        <f t="shared" ref="V133:V158" si="18">IF((U133*1.2)&lt;14,14,U133*1.2)</f>
        <v>14</v>
      </c>
      <c r="W133" s="3" t="str">
        <f t="shared" ref="W133:W196" si="19">"Ø"&amp;VLOOKUP(V133,$Z$4:$AA$10,2,TRUE)</f>
        <v>Ø20</v>
      </c>
      <c r="X133" s="3" t="str">
        <f t="shared" ref="X133:X196" si="20">"Ø"&amp;VLOOKUP(V133,$AD$4:$AE$10,2,TRUE)</f>
        <v>Ø20</v>
      </c>
    </row>
    <row r="134" spans="17:24" x14ac:dyDescent="0.3">
      <c r="Q134" s="25" t="s">
        <v>141</v>
      </c>
      <c r="R134" s="3">
        <v>3</v>
      </c>
      <c r="S134" s="3">
        <v>4</v>
      </c>
      <c r="T134" s="21" t="str">
        <f t="shared" si="17"/>
        <v>КГВВнг(А)-LS (3х4)</v>
      </c>
      <c r="U134" s="3">
        <v>11.8</v>
      </c>
      <c r="V134" s="3">
        <f t="shared" si="18"/>
        <v>14.16</v>
      </c>
      <c r="W134" s="3" t="str">
        <f t="shared" si="19"/>
        <v>Ø20</v>
      </c>
      <c r="X134" s="3" t="str">
        <f t="shared" si="20"/>
        <v>Ø20</v>
      </c>
    </row>
    <row r="135" spans="17:24" x14ac:dyDescent="0.3">
      <c r="Q135" s="25" t="s">
        <v>141</v>
      </c>
      <c r="R135" s="3">
        <v>4</v>
      </c>
      <c r="S135" s="3">
        <v>4</v>
      </c>
      <c r="T135" s="21" t="str">
        <f t="shared" si="17"/>
        <v>КГВВнг(А)-LS (4х4)</v>
      </c>
      <c r="U135" s="3">
        <v>12.8</v>
      </c>
      <c r="V135" s="3">
        <f t="shared" si="18"/>
        <v>15.36</v>
      </c>
      <c r="W135" s="3" t="str">
        <f t="shared" si="19"/>
        <v>Ø25</v>
      </c>
      <c r="X135" s="3" t="str">
        <f t="shared" si="20"/>
        <v>Ø25</v>
      </c>
    </row>
    <row r="136" spans="17:24" x14ac:dyDescent="0.3">
      <c r="Q136" s="25" t="s">
        <v>141</v>
      </c>
      <c r="R136" s="3">
        <v>5</v>
      </c>
      <c r="S136" s="3">
        <v>4</v>
      </c>
      <c r="T136" s="21" t="str">
        <f t="shared" si="17"/>
        <v>КГВВнг(А)-LS (5х4)</v>
      </c>
      <c r="U136" s="3">
        <v>14</v>
      </c>
      <c r="V136" s="3">
        <f t="shared" si="18"/>
        <v>16.8</v>
      </c>
      <c r="W136" s="3" t="str">
        <f t="shared" si="19"/>
        <v>Ø25</v>
      </c>
      <c r="X136" s="3" t="str">
        <f t="shared" si="20"/>
        <v>Ø25</v>
      </c>
    </row>
    <row r="137" spans="17:24" x14ac:dyDescent="0.3">
      <c r="Q137" s="25" t="s">
        <v>141</v>
      </c>
      <c r="R137" s="3">
        <v>7</v>
      </c>
      <c r="S137" s="3">
        <v>4</v>
      </c>
      <c r="T137" s="21" t="str">
        <f t="shared" si="17"/>
        <v>КГВВнг(А)-LS (7х4)</v>
      </c>
      <c r="U137" s="3">
        <v>15.1</v>
      </c>
      <c r="V137" s="3">
        <f t="shared" si="18"/>
        <v>18.119999999999997</v>
      </c>
      <c r="W137" s="3" t="str">
        <f t="shared" si="19"/>
        <v>Ø25</v>
      </c>
      <c r="X137" s="3" t="str">
        <f t="shared" si="20"/>
        <v>Ø25</v>
      </c>
    </row>
    <row r="138" spans="17:24" x14ac:dyDescent="0.3">
      <c r="Q138" s="25" t="s">
        <v>141</v>
      </c>
      <c r="R138" s="3">
        <v>10</v>
      </c>
      <c r="S138" s="3">
        <v>4</v>
      </c>
      <c r="T138" s="21" t="str">
        <f t="shared" si="17"/>
        <v>КГВВнг(А)-LS (10х4)</v>
      </c>
      <c r="U138" s="3">
        <v>17.600000000000001</v>
      </c>
      <c r="V138" s="3">
        <f t="shared" si="18"/>
        <v>21.12</v>
      </c>
      <c r="W138" s="3" t="str">
        <f t="shared" si="19"/>
        <v>Ø32</v>
      </c>
      <c r="X138" s="3" t="str">
        <f t="shared" si="20"/>
        <v>Ø32</v>
      </c>
    </row>
    <row r="139" spans="17:24" x14ac:dyDescent="0.3">
      <c r="Q139" s="25" t="s">
        <v>141</v>
      </c>
      <c r="R139" s="3">
        <v>1</v>
      </c>
      <c r="S139" s="3">
        <v>6</v>
      </c>
      <c r="T139" s="21" t="str">
        <f t="shared" si="17"/>
        <v>КГВВнг(А)-LS (1х6)</v>
      </c>
      <c r="U139" s="3">
        <v>7.3</v>
      </c>
      <c r="V139" s="3">
        <f t="shared" si="18"/>
        <v>14</v>
      </c>
      <c r="W139" s="3" t="str">
        <f t="shared" si="19"/>
        <v>Ø20</v>
      </c>
      <c r="X139" s="3" t="str">
        <f t="shared" si="20"/>
        <v>Ø20</v>
      </c>
    </row>
    <row r="140" spans="17:24" x14ac:dyDescent="0.3">
      <c r="Q140" s="25" t="s">
        <v>141</v>
      </c>
      <c r="R140" s="3">
        <v>2</v>
      </c>
      <c r="S140" s="3">
        <v>6</v>
      </c>
      <c r="T140" s="21" t="str">
        <f t="shared" si="17"/>
        <v>КГВВнг(А)-LS (2х6)</v>
      </c>
      <c r="U140" s="3">
        <v>12.3</v>
      </c>
      <c r="V140" s="3">
        <f t="shared" si="18"/>
        <v>14.76</v>
      </c>
      <c r="W140" s="3" t="str">
        <f t="shared" si="19"/>
        <v>Ø20</v>
      </c>
      <c r="X140" s="3" t="str">
        <f t="shared" si="20"/>
        <v>Ø25</v>
      </c>
    </row>
    <row r="141" spans="17:24" x14ac:dyDescent="0.3">
      <c r="Q141" s="25" t="s">
        <v>141</v>
      </c>
      <c r="R141" s="3">
        <v>3</v>
      </c>
      <c r="S141" s="3">
        <v>6</v>
      </c>
      <c r="T141" s="21" t="str">
        <f t="shared" si="17"/>
        <v>КГВВнг(А)-LS (3х6)</v>
      </c>
      <c r="U141" s="3">
        <v>13</v>
      </c>
      <c r="V141" s="3">
        <f t="shared" si="18"/>
        <v>15.6</v>
      </c>
      <c r="W141" s="3" t="str">
        <f t="shared" si="19"/>
        <v>Ø25</v>
      </c>
      <c r="X141" s="3" t="str">
        <f t="shared" si="20"/>
        <v>Ø25</v>
      </c>
    </row>
    <row r="142" spans="17:24" x14ac:dyDescent="0.3">
      <c r="Q142" s="25" t="s">
        <v>141</v>
      </c>
      <c r="R142" s="3">
        <v>4</v>
      </c>
      <c r="S142" s="3">
        <v>6</v>
      </c>
      <c r="T142" s="21" t="str">
        <f t="shared" si="17"/>
        <v>КГВВнг(А)-LS (4х6)</v>
      </c>
      <c r="U142" s="3">
        <v>14.2</v>
      </c>
      <c r="V142" s="3">
        <f t="shared" si="18"/>
        <v>17.04</v>
      </c>
      <c r="W142" s="3" t="str">
        <f t="shared" si="19"/>
        <v>Ø25</v>
      </c>
      <c r="X142" s="3" t="str">
        <f t="shared" si="20"/>
        <v>Ø25</v>
      </c>
    </row>
    <row r="143" spans="17:24" x14ac:dyDescent="0.3">
      <c r="Q143" s="25" t="s">
        <v>141</v>
      </c>
      <c r="R143" s="3">
        <v>5</v>
      </c>
      <c r="S143" s="3">
        <v>6</v>
      </c>
      <c r="T143" s="21" t="str">
        <f t="shared" si="17"/>
        <v>КГВВнг(А)-LS (5х6)</v>
      </c>
      <c r="U143" s="3">
        <v>15.6</v>
      </c>
      <c r="V143" s="3">
        <f t="shared" si="18"/>
        <v>18.72</v>
      </c>
      <c r="W143" s="3" t="str">
        <f t="shared" si="19"/>
        <v>Ø25</v>
      </c>
      <c r="X143" s="3" t="str">
        <f t="shared" si="20"/>
        <v>Ø32</v>
      </c>
    </row>
    <row r="144" spans="17:24" x14ac:dyDescent="0.3">
      <c r="Q144" s="3" t="s">
        <v>174</v>
      </c>
      <c r="R144" s="3">
        <v>1</v>
      </c>
      <c r="S144" s="3">
        <v>1.5</v>
      </c>
      <c r="T144" s="21" t="str">
        <f t="shared" si="17"/>
        <v>ПуГВ (1х1,5)</v>
      </c>
      <c r="U144" s="3">
        <v>3</v>
      </c>
      <c r="V144" s="3">
        <f t="shared" si="18"/>
        <v>14</v>
      </c>
      <c r="W144" s="3" t="str">
        <f t="shared" si="19"/>
        <v>Ø20</v>
      </c>
      <c r="X144" s="3" t="str">
        <f t="shared" si="20"/>
        <v>Ø20</v>
      </c>
    </row>
    <row r="145" spans="17:24" x14ac:dyDescent="0.3">
      <c r="Q145" s="3" t="s">
        <v>174</v>
      </c>
      <c r="R145" s="3">
        <v>1</v>
      </c>
      <c r="S145" s="3">
        <v>2.5</v>
      </c>
      <c r="T145" s="21" t="str">
        <f t="shared" si="17"/>
        <v>ПуГВ (1х2,5)</v>
      </c>
      <c r="U145" s="3">
        <v>3.6</v>
      </c>
      <c r="V145" s="3">
        <f t="shared" si="18"/>
        <v>14</v>
      </c>
      <c r="W145" s="3" t="str">
        <f t="shared" si="19"/>
        <v>Ø20</v>
      </c>
      <c r="X145" s="3" t="str">
        <f t="shared" si="20"/>
        <v>Ø20</v>
      </c>
    </row>
    <row r="146" spans="17:24" x14ac:dyDescent="0.3">
      <c r="Q146" s="3" t="s">
        <v>174</v>
      </c>
      <c r="R146" s="3">
        <v>1</v>
      </c>
      <c r="S146" s="3">
        <v>4</v>
      </c>
      <c r="T146" s="21" t="str">
        <f t="shared" si="17"/>
        <v>ПуГВ (1х4)</v>
      </c>
      <c r="U146" s="3">
        <v>3.9</v>
      </c>
      <c r="V146" s="3">
        <f t="shared" si="18"/>
        <v>14</v>
      </c>
      <c r="W146" s="3" t="str">
        <f t="shared" si="19"/>
        <v>Ø20</v>
      </c>
      <c r="X146" s="3" t="str">
        <f t="shared" si="20"/>
        <v>Ø20</v>
      </c>
    </row>
    <row r="147" spans="17:24" x14ac:dyDescent="0.3">
      <c r="Q147" s="3" t="s">
        <v>174</v>
      </c>
      <c r="R147" s="3">
        <v>1</v>
      </c>
      <c r="S147" s="3">
        <v>6</v>
      </c>
      <c r="T147" s="21" t="str">
        <f t="shared" si="17"/>
        <v>ПуГВ (1х6)</v>
      </c>
      <c r="U147" s="3">
        <v>4.7</v>
      </c>
      <c r="V147" s="3">
        <f t="shared" si="18"/>
        <v>14</v>
      </c>
      <c r="W147" s="3" t="str">
        <f t="shared" si="19"/>
        <v>Ø20</v>
      </c>
      <c r="X147" s="3" t="str">
        <f t="shared" si="20"/>
        <v>Ø20</v>
      </c>
    </row>
    <row r="148" spans="17:24" x14ac:dyDescent="0.3">
      <c r="Q148" s="3" t="s">
        <v>174</v>
      </c>
      <c r="R148" s="3">
        <v>1</v>
      </c>
      <c r="S148" s="3">
        <v>10</v>
      </c>
      <c r="T148" s="21" t="str">
        <f t="shared" si="17"/>
        <v>ПуГВ (1х10)</v>
      </c>
      <c r="U148" s="3">
        <v>6</v>
      </c>
      <c r="V148" s="3">
        <f t="shared" si="18"/>
        <v>14</v>
      </c>
      <c r="W148" s="3" t="str">
        <f t="shared" si="19"/>
        <v>Ø20</v>
      </c>
      <c r="X148" s="3" t="str">
        <f t="shared" si="20"/>
        <v>Ø20</v>
      </c>
    </row>
    <row r="149" spans="17:24" x14ac:dyDescent="0.3">
      <c r="Q149" s="3" t="s">
        <v>174</v>
      </c>
      <c r="R149" s="3">
        <v>1</v>
      </c>
      <c r="S149" s="3">
        <v>16</v>
      </c>
      <c r="T149" s="21" t="str">
        <f t="shared" si="17"/>
        <v>ПуГВ (1х16)</v>
      </c>
      <c r="U149" s="3">
        <v>7.6</v>
      </c>
      <c r="V149" s="3">
        <f t="shared" si="18"/>
        <v>14</v>
      </c>
      <c r="W149" s="3" t="str">
        <f t="shared" si="19"/>
        <v>Ø20</v>
      </c>
      <c r="X149" s="3" t="str">
        <f t="shared" si="20"/>
        <v>Ø20</v>
      </c>
    </row>
    <row r="150" spans="17:24" x14ac:dyDescent="0.3">
      <c r="Q150" s="3" t="s">
        <v>174</v>
      </c>
      <c r="R150" s="3">
        <v>1</v>
      </c>
      <c r="S150" s="3">
        <v>25</v>
      </c>
      <c r="T150" s="21" t="str">
        <f t="shared" si="17"/>
        <v>ПуГВ (1х25)</v>
      </c>
      <c r="U150" s="3">
        <v>9.6</v>
      </c>
      <c r="V150" s="3">
        <f t="shared" si="18"/>
        <v>14</v>
      </c>
      <c r="W150" s="3" t="str">
        <f t="shared" si="19"/>
        <v>Ø20</v>
      </c>
      <c r="X150" s="3" t="str">
        <f t="shared" si="20"/>
        <v>Ø20</v>
      </c>
    </row>
    <row r="151" spans="17:24" x14ac:dyDescent="0.3">
      <c r="Q151" s="3" t="s">
        <v>174</v>
      </c>
      <c r="R151" s="3">
        <v>1</v>
      </c>
      <c r="S151" s="3">
        <v>35</v>
      </c>
      <c r="T151" s="21" t="str">
        <f t="shared" si="17"/>
        <v>ПуГВ (1х35)</v>
      </c>
      <c r="U151" s="3">
        <v>10.9</v>
      </c>
      <c r="V151" s="3">
        <f t="shared" si="18"/>
        <v>14</v>
      </c>
      <c r="W151" s="3" t="str">
        <f t="shared" si="19"/>
        <v>Ø20</v>
      </c>
      <c r="X151" s="3" t="str">
        <f t="shared" si="20"/>
        <v>Ø20</v>
      </c>
    </row>
    <row r="152" spans="17:24" x14ac:dyDescent="0.3">
      <c r="Q152" s="3" t="s">
        <v>174</v>
      </c>
      <c r="R152" s="3">
        <v>1</v>
      </c>
      <c r="S152" s="3">
        <v>50</v>
      </c>
      <c r="T152" s="21" t="str">
        <f t="shared" si="17"/>
        <v>ПуГВ (1х50)</v>
      </c>
      <c r="U152" s="3">
        <v>12.6</v>
      </c>
      <c r="V152" s="3">
        <f t="shared" si="18"/>
        <v>15.12</v>
      </c>
      <c r="W152" s="3" t="str">
        <f t="shared" si="19"/>
        <v>Ø25</v>
      </c>
      <c r="X152" s="3" t="str">
        <f t="shared" si="20"/>
        <v>Ø25</v>
      </c>
    </row>
    <row r="153" spans="17:24" x14ac:dyDescent="0.3">
      <c r="Q153" s="3" t="s">
        <v>174</v>
      </c>
      <c r="R153" s="3">
        <v>1</v>
      </c>
      <c r="S153" s="3">
        <v>70</v>
      </c>
      <c r="T153" s="21" t="str">
        <f t="shared" si="17"/>
        <v>ПуГВ (1х70)</v>
      </c>
      <c r="U153" s="3">
        <v>14.6</v>
      </c>
      <c r="V153" s="3">
        <f t="shared" si="18"/>
        <v>17.52</v>
      </c>
      <c r="W153" s="3" t="str">
        <f t="shared" si="19"/>
        <v>Ø25</v>
      </c>
      <c r="X153" s="3" t="str">
        <f t="shared" si="20"/>
        <v>Ø25</v>
      </c>
    </row>
    <row r="154" spans="17:24" x14ac:dyDescent="0.3">
      <c r="Q154" s="3" t="s">
        <v>174</v>
      </c>
      <c r="R154" s="3">
        <v>1</v>
      </c>
      <c r="S154" s="3">
        <v>95</v>
      </c>
      <c r="T154" s="21" t="str">
        <f t="shared" si="17"/>
        <v>ПуГВ (1х95)</v>
      </c>
      <c r="U154" s="3">
        <v>17.2</v>
      </c>
      <c r="V154" s="3">
        <f t="shared" si="18"/>
        <v>20.639999999999997</v>
      </c>
      <c r="W154" s="3" t="str">
        <f t="shared" si="19"/>
        <v>Ø32</v>
      </c>
      <c r="X154" s="3" t="str">
        <f t="shared" si="20"/>
        <v>Ø32</v>
      </c>
    </row>
    <row r="155" spans="17:24" x14ac:dyDescent="0.3">
      <c r="Q155" s="3" t="s">
        <v>174</v>
      </c>
      <c r="R155" s="3">
        <v>1</v>
      </c>
      <c r="S155" s="3">
        <v>120</v>
      </c>
      <c r="T155" s="21" t="str">
        <f t="shared" si="17"/>
        <v>ПуГВ (1х120)</v>
      </c>
      <c r="U155" s="3">
        <v>18.8</v>
      </c>
      <c r="V155" s="3">
        <f t="shared" si="18"/>
        <v>22.56</v>
      </c>
      <c r="W155" s="3" t="str">
        <f t="shared" si="19"/>
        <v>Ø32</v>
      </c>
      <c r="X155" s="3" t="str">
        <f t="shared" si="20"/>
        <v>Ø32</v>
      </c>
    </row>
    <row r="156" spans="17:24" x14ac:dyDescent="0.3">
      <c r="Q156" s="3" t="s">
        <v>174</v>
      </c>
      <c r="R156" s="3">
        <v>1</v>
      </c>
      <c r="S156" s="3">
        <v>150</v>
      </c>
      <c r="T156" s="21" t="str">
        <f t="shared" si="17"/>
        <v>ПуГВ (1х150)</v>
      </c>
      <c r="U156" s="3">
        <v>21</v>
      </c>
      <c r="V156" s="3">
        <f t="shared" si="18"/>
        <v>25.2</v>
      </c>
      <c r="W156" s="3" t="str">
        <f t="shared" si="19"/>
        <v>Ø40</v>
      </c>
      <c r="X156" s="3" t="str">
        <f t="shared" si="20"/>
        <v>Ø40</v>
      </c>
    </row>
    <row r="157" spans="17:24" x14ac:dyDescent="0.3">
      <c r="Q157" s="3" t="s">
        <v>174</v>
      </c>
      <c r="R157" s="3">
        <v>1</v>
      </c>
      <c r="S157" s="3">
        <v>185</v>
      </c>
      <c r="T157" s="21" t="str">
        <f t="shared" si="17"/>
        <v>ПуГВ (1х185)</v>
      </c>
      <c r="U157" s="3">
        <v>23.4</v>
      </c>
      <c r="V157" s="3">
        <f t="shared" si="18"/>
        <v>28.08</v>
      </c>
      <c r="W157" s="3" t="str">
        <f t="shared" si="19"/>
        <v>Ø40</v>
      </c>
      <c r="X157" s="3" t="str">
        <f t="shared" si="20"/>
        <v>Ø40</v>
      </c>
    </row>
    <row r="158" spans="17:24" x14ac:dyDescent="0.3">
      <c r="Q158" s="3" t="s">
        <v>174</v>
      </c>
      <c r="R158" s="3">
        <v>1</v>
      </c>
      <c r="S158" s="3">
        <v>240</v>
      </c>
      <c r="T158" s="21" t="str">
        <f t="shared" si="17"/>
        <v>ПуГВ (1х240)</v>
      </c>
      <c r="U158" s="3">
        <v>27.3</v>
      </c>
      <c r="V158" s="3">
        <f t="shared" si="18"/>
        <v>32.76</v>
      </c>
      <c r="W158" s="3" t="str">
        <f t="shared" si="19"/>
        <v>Ø50</v>
      </c>
      <c r="X158" s="3" t="str">
        <f t="shared" si="20"/>
        <v>Ø50</v>
      </c>
    </row>
    <row r="159" spans="17:24" x14ac:dyDescent="0.3">
      <c r="Q159" s="3"/>
      <c r="R159" s="3"/>
      <c r="S159" s="3"/>
      <c r="T159" s="21" t="s">
        <v>226</v>
      </c>
      <c r="U159" s="3">
        <v>4.9000000000000004</v>
      </c>
      <c r="V159" s="3">
        <f t="shared" ref="V159:V196" si="21">U159*1.2</f>
        <v>5.88</v>
      </c>
      <c r="W159" s="3" t="str">
        <f t="shared" si="19"/>
        <v>Ø16</v>
      </c>
      <c r="X159" s="3" t="str">
        <f t="shared" si="20"/>
        <v>Ø16</v>
      </c>
    </row>
    <row r="160" spans="17:24" x14ac:dyDescent="0.3">
      <c r="Q160" s="3"/>
      <c r="R160" s="3"/>
      <c r="S160" s="3"/>
      <c r="T160" s="21" t="s">
        <v>207</v>
      </c>
      <c r="U160" s="3">
        <v>7</v>
      </c>
      <c r="V160" s="3">
        <f t="shared" si="21"/>
        <v>8.4</v>
      </c>
      <c r="W160" s="3" t="str">
        <f t="shared" si="19"/>
        <v>Ø16</v>
      </c>
      <c r="X160" s="3" t="str">
        <f t="shared" si="20"/>
        <v>Ø16</v>
      </c>
    </row>
    <row r="161" spans="17:24" x14ac:dyDescent="0.3">
      <c r="Q161" s="3"/>
      <c r="R161" s="3"/>
      <c r="S161" s="3"/>
      <c r="T161" s="21" t="s">
        <v>197</v>
      </c>
      <c r="U161" s="3"/>
      <c r="V161" s="3">
        <f t="shared" si="21"/>
        <v>0</v>
      </c>
      <c r="W161" s="3" t="str">
        <f t="shared" si="19"/>
        <v>Ø16</v>
      </c>
      <c r="X161" s="3" t="str">
        <f t="shared" si="20"/>
        <v>Ø16</v>
      </c>
    </row>
    <row r="162" spans="17:24" x14ac:dyDescent="0.3">
      <c r="Q162" s="3"/>
      <c r="R162" s="3"/>
      <c r="S162" s="3"/>
      <c r="T162" s="21" t="s">
        <v>198</v>
      </c>
      <c r="U162" s="3"/>
      <c r="V162" s="3">
        <f t="shared" si="21"/>
        <v>0</v>
      </c>
      <c r="W162" s="3" t="str">
        <f t="shared" si="19"/>
        <v>Ø16</v>
      </c>
      <c r="X162" s="3" t="str">
        <f t="shared" si="20"/>
        <v>Ø16</v>
      </c>
    </row>
    <row r="163" spans="17:24" x14ac:dyDescent="0.3">
      <c r="Q163" s="3"/>
      <c r="R163" s="3"/>
      <c r="S163" s="3"/>
      <c r="T163" s="21" t="s">
        <v>209</v>
      </c>
      <c r="U163" s="3"/>
      <c r="V163" s="3">
        <f t="shared" si="21"/>
        <v>0</v>
      </c>
      <c r="W163" s="3" t="str">
        <f t="shared" si="19"/>
        <v>Ø16</v>
      </c>
      <c r="X163" s="3" t="str">
        <f t="shared" si="20"/>
        <v>Ø16</v>
      </c>
    </row>
    <row r="164" spans="17:24" x14ac:dyDescent="0.3">
      <c r="Q164" s="3" t="s">
        <v>193</v>
      </c>
      <c r="R164" s="3"/>
      <c r="S164" s="3"/>
      <c r="T164" s="21"/>
      <c r="U164" s="3"/>
      <c r="V164" s="3">
        <f t="shared" si="21"/>
        <v>0</v>
      </c>
      <c r="W164" s="3" t="str">
        <f t="shared" si="19"/>
        <v>Ø16</v>
      </c>
      <c r="X164" s="3" t="str">
        <f t="shared" si="20"/>
        <v>Ø16</v>
      </c>
    </row>
    <row r="165" spans="17:24" x14ac:dyDescent="0.3">
      <c r="Q165" s="3"/>
      <c r="R165" s="3"/>
      <c r="S165" s="3"/>
      <c r="T165" s="21"/>
      <c r="U165" s="3"/>
      <c r="V165" s="3">
        <f t="shared" si="21"/>
        <v>0</v>
      </c>
      <c r="W165" s="3" t="str">
        <f t="shared" si="19"/>
        <v>Ø16</v>
      </c>
      <c r="X165" s="3" t="str">
        <f t="shared" si="20"/>
        <v>Ø16</v>
      </c>
    </row>
    <row r="166" spans="17:24" x14ac:dyDescent="0.3">
      <c r="Q166" s="3"/>
      <c r="R166" s="3"/>
      <c r="S166" s="3"/>
      <c r="T166" s="21"/>
      <c r="U166" s="3"/>
      <c r="V166" s="3">
        <f t="shared" si="21"/>
        <v>0</v>
      </c>
      <c r="W166" s="3" t="str">
        <f t="shared" si="19"/>
        <v>Ø16</v>
      </c>
      <c r="X166" s="3" t="str">
        <f t="shared" si="20"/>
        <v>Ø16</v>
      </c>
    </row>
    <row r="167" spans="17:24" x14ac:dyDescent="0.3">
      <c r="Q167" s="3" t="s">
        <v>194</v>
      </c>
      <c r="R167" s="3"/>
      <c r="S167" s="3"/>
      <c r="T167" s="21"/>
      <c r="U167" s="3"/>
      <c r="V167" s="3">
        <f t="shared" si="21"/>
        <v>0</v>
      </c>
      <c r="W167" s="3" t="str">
        <f t="shared" si="19"/>
        <v>Ø16</v>
      </c>
      <c r="X167" s="3" t="str">
        <f t="shared" si="20"/>
        <v>Ø16</v>
      </c>
    </row>
    <row r="168" spans="17:24" x14ac:dyDescent="0.3">
      <c r="Q168" s="3" t="s">
        <v>196</v>
      </c>
      <c r="R168" s="3"/>
      <c r="S168" s="3"/>
      <c r="T168" s="21"/>
      <c r="U168" s="3"/>
      <c r="V168" s="3">
        <f t="shared" si="21"/>
        <v>0</v>
      </c>
      <c r="W168" s="3" t="str">
        <f t="shared" si="19"/>
        <v>Ø16</v>
      </c>
      <c r="X168" s="3" t="str">
        <f t="shared" si="20"/>
        <v>Ø16</v>
      </c>
    </row>
    <row r="169" spans="17:24" x14ac:dyDescent="0.3">
      <c r="Q169" s="3"/>
      <c r="R169" s="3"/>
      <c r="S169" s="3"/>
      <c r="T169" s="21"/>
      <c r="U169" s="3"/>
      <c r="V169" s="3">
        <f t="shared" si="21"/>
        <v>0</v>
      </c>
      <c r="W169" s="3" t="str">
        <f t="shared" si="19"/>
        <v>Ø16</v>
      </c>
      <c r="X169" s="3" t="str">
        <f t="shared" si="20"/>
        <v>Ø16</v>
      </c>
    </row>
    <row r="170" spans="17:24" x14ac:dyDescent="0.3">
      <c r="Q170" s="3"/>
      <c r="R170" s="3"/>
      <c r="S170" s="3"/>
      <c r="T170" s="21" t="s">
        <v>195</v>
      </c>
      <c r="U170" s="3"/>
      <c r="V170" s="3">
        <f t="shared" si="21"/>
        <v>0</v>
      </c>
      <c r="W170" s="3" t="str">
        <f t="shared" si="19"/>
        <v>Ø16</v>
      </c>
      <c r="X170" s="3" t="str">
        <f t="shared" si="20"/>
        <v>Ø16</v>
      </c>
    </row>
    <row r="171" spans="17:24" x14ac:dyDescent="0.3">
      <c r="Q171" s="3"/>
      <c r="R171" s="3"/>
      <c r="S171" s="3"/>
      <c r="T171" s="21"/>
      <c r="U171" s="3"/>
      <c r="V171" s="3">
        <f t="shared" si="21"/>
        <v>0</v>
      </c>
      <c r="W171" s="3" t="str">
        <f t="shared" si="19"/>
        <v>Ø16</v>
      </c>
      <c r="X171" s="3" t="str">
        <f t="shared" si="20"/>
        <v>Ø16</v>
      </c>
    </row>
    <row r="172" spans="17:24" x14ac:dyDescent="0.3">
      <c r="Q172" s="3"/>
      <c r="R172" s="3"/>
      <c r="S172" s="3"/>
      <c r="T172" s="21"/>
      <c r="U172" s="25"/>
      <c r="V172" s="25"/>
      <c r="W172" s="25"/>
      <c r="X172" s="25"/>
    </row>
    <row r="173" spans="17:24" x14ac:dyDescent="0.3">
      <c r="Q173" s="3"/>
      <c r="R173" s="3"/>
      <c r="S173" s="3"/>
      <c r="T173" s="21"/>
      <c r="U173" s="3"/>
      <c r="V173" s="3">
        <f t="shared" si="21"/>
        <v>0</v>
      </c>
      <c r="W173" s="3" t="str">
        <f t="shared" si="19"/>
        <v>Ø16</v>
      </c>
      <c r="X173" s="3" t="str">
        <f t="shared" si="20"/>
        <v>Ø16</v>
      </c>
    </row>
    <row r="174" spans="17:24" x14ac:dyDescent="0.3">
      <c r="Q174" s="3"/>
      <c r="R174" s="3"/>
      <c r="S174" s="3"/>
      <c r="T174" s="21"/>
      <c r="U174" s="3"/>
      <c r="V174" s="3">
        <f t="shared" si="21"/>
        <v>0</v>
      </c>
      <c r="W174" s="3" t="str">
        <f t="shared" si="19"/>
        <v>Ø16</v>
      </c>
      <c r="X174" s="3" t="str">
        <f t="shared" si="20"/>
        <v>Ø16</v>
      </c>
    </row>
    <row r="175" spans="17:24" x14ac:dyDescent="0.3">
      <c r="Q175" s="3"/>
      <c r="R175" s="3"/>
      <c r="S175" s="3"/>
      <c r="T175" s="21"/>
      <c r="U175" s="3"/>
      <c r="V175" s="3">
        <f t="shared" si="21"/>
        <v>0</v>
      </c>
      <c r="W175" s="3" t="str">
        <f t="shared" si="19"/>
        <v>Ø16</v>
      </c>
      <c r="X175" s="3" t="str">
        <f t="shared" si="20"/>
        <v>Ø16</v>
      </c>
    </row>
    <row r="176" spans="17:24" x14ac:dyDescent="0.3">
      <c r="Q176" s="3"/>
      <c r="R176" s="3"/>
      <c r="S176" s="3"/>
      <c r="T176" s="21"/>
      <c r="U176" s="3"/>
      <c r="V176" s="3">
        <f t="shared" si="21"/>
        <v>0</v>
      </c>
      <c r="W176" s="3" t="str">
        <f t="shared" si="19"/>
        <v>Ø16</v>
      </c>
      <c r="X176" s="3" t="str">
        <f t="shared" si="20"/>
        <v>Ø16</v>
      </c>
    </row>
    <row r="177" spans="17:24" x14ac:dyDescent="0.3">
      <c r="Q177" s="3"/>
      <c r="R177" s="3"/>
      <c r="S177" s="3"/>
      <c r="T177" s="21"/>
      <c r="U177" s="3"/>
      <c r="V177" s="3">
        <f t="shared" si="21"/>
        <v>0</v>
      </c>
      <c r="W177" s="3" t="str">
        <f t="shared" si="19"/>
        <v>Ø16</v>
      </c>
      <c r="X177" s="3" t="str">
        <f t="shared" si="20"/>
        <v>Ø16</v>
      </c>
    </row>
    <row r="178" spans="17:24" x14ac:dyDescent="0.3">
      <c r="Q178" s="3"/>
      <c r="R178" s="3"/>
      <c r="S178" s="3"/>
      <c r="T178" s="21"/>
      <c r="U178" s="3"/>
      <c r="V178" s="3">
        <f t="shared" si="21"/>
        <v>0</v>
      </c>
      <c r="W178" s="3" t="str">
        <f t="shared" si="19"/>
        <v>Ø16</v>
      </c>
      <c r="X178" s="3" t="str">
        <f t="shared" si="20"/>
        <v>Ø16</v>
      </c>
    </row>
    <row r="179" spans="17:24" x14ac:dyDescent="0.3">
      <c r="Q179" s="3"/>
      <c r="R179" s="3"/>
      <c r="S179" s="3"/>
      <c r="T179" s="21"/>
      <c r="U179" s="3"/>
      <c r="V179" s="3">
        <f t="shared" si="21"/>
        <v>0</v>
      </c>
      <c r="W179" s="3" t="str">
        <f t="shared" si="19"/>
        <v>Ø16</v>
      </c>
      <c r="X179" s="3" t="str">
        <f t="shared" si="20"/>
        <v>Ø16</v>
      </c>
    </row>
    <row r="180" spans="17:24" x14ac:dyDescent="0.3">
      <c r="Q180" s="3"/>
      <c r="R180" s="3"/>
      <c r="S180" s="3"/>
      <c r="T180" s="21"/>
      <c r="U180" s="3"/>
      <c r="V180" s="3">
        <f t="shared" si="21"/>
        <v>0</v>
      </c>
      <c r="W180" s="3" t="str">
        <f t="shared" si="19"/>
        <v>Ø16</v>
      </c>
      <c r="X180" s="3" t="str">
        <f t="shared" si="20"/>
        <v>Ø16</v>
      </c>
    </row>
    <row r="181" spans="17:24" x14ac:dyDescent="0.3">
      <c r="Q181" s="3"/>
      <c r="R181" s="3"/>
      <c r="S181" s="3"/>
      <c r="T181" s="21"/>
      <c r="U181" s="3"/>
      <c r="V181" s="3">
        <f t="shared" si="21"/>
        <v>0</v>
      </c>
      <c r="W181" s="3" t="str">
        <f t="shared" si="19"/>
        <v>Ø16</v>
      </c>
      <c r="X181" s="3" t="str">
        <f t="shared" si="20"/>
        <v>Ø16</v>
      </c>
    </row>
    <row r="182" spans="17:24" x14ac:dyDescent="0.3">
      <c r="Q182" s="3"/>
      <c r="R182" s="3"/>
      <c r="S182" s="3"/>
      <c r="T182" s="21"/>
      <c r="U182" s="3"/>
      <c r="V182" s="3">
        <f t="shared" si="21"/>
        <v>0</v>
      </c>
      <c r="W182" s="3" t="str">
        <f t="shared" si="19"/>
        <v>Ø16</v>
      </c>
      <c r="X182" s="3" t="str">
        <f t="shared" si="20"/>
        <v>Ø16</v>
      </c>
    </row>
    <row r="183" spans="17:24" x14ac:dyDescent="0.3">
      <c r="Q183" s="3"/>
      <c r="R183" s="3"/>
      <c r="S183" s="3"/>
      <c r="T183" s="21"/>
      <c r="U183" s="3"/>
      <c r="V183" s="3">
        <f t="shared" si="21"/>
        <v>0</v>
      </c>
      <c r="W183" s="3" t="str">
        <f t="shared" si="19"/>
        <v>Ø16</v>
      </c>
      <c r="X183" s="3" t="str">
        <f t="shared" si="20"/>
        <v>Ø16</v>
      </c>
    </row>
    <row r="184" spans="17:24" x14ac:dyDescent="0.3">
      <c r="Q184" s="3"/>
      <c r="R184" s="3"/>
      <c r="S184" s="3"/>
      <c r="T184" s="21"/>
      <c r="U184" s="3"/>
      <c r="V184" s="3">
        <f t="shared" si="21"/>
        <v>0</v>
      </c>
      <c r="W184" s="3" t="str">
        <f t="shared" si="19"/>
        <v>Ø16</v>
      </c>
      <c r="X184" s="3" t="str">
        <f t="shared" si="20"/>
        <v>Ø16</v>
      </c>
    </row>
    <row r="185" spans="17:24" x14ac:dyDescent="0.3">
      <c r="Q185" s="3"/>
      <c r="R185" s="3"/>
      <c r="S185" s="3"/>
      <c r="T185" s="21"/>
      <c r="U185" s="3"/>
      <c r="V185" s="3">
        <f t="shared" si="21"/>
        <v>0</v>
      </c>
      <c r="W185" s="3" t="str">
        <f t="shared" si="19"/>
        <v>Ø16</v>
      </c>
      <c r="X185" s="3" t="str">
        <f t="shared" si="20"/>
        <v>Ø16</v>
      </c>
    </row>
    <row r="186" spans="17:24" x14ac:dyDescent="0.3">
      <c r="Q186" s="3"/>
      <c r="R186" s="3"/>
      <c r="S186" s="3"/>
      <c r="T186" s="21"/>
      <c r="U186" s="3"/>
      <c r="V186" s="3">
        <f t="shared" si="21"/>
        <v>0</v>
      </c>
      <c r="W186" s="3" t="str">
        <f t="shared" si="19"/>
        <v>Ø16</v>
      </c>
      <c r="X186" s="3" t="str">
        <f t="shared" si="20"/>
        <v>Ø16</v>
      </c>
    </row>
    <row r="187" spans="17:24" x14ac:dyDescent="0.3">
      <c r="Q187" s="3"/>
      <c r="R187" s="3"/>
      <c r="S187" s="3"/>
      <c r="T187" s="21"/>
      <c r="U187" s="3"/>
      <c r="V187" s="3">
        <f t="shared" si="21"/>
        <v>0</v>
      </c>
      <c r="W187" s="3" t="str">
        <f t="shared" si="19"/>
        <v>Ø16</v>
      </c>
      <c r="X187" s="3" t="str">
        <f t="shared" si="20"/>
        <v>Ø16</v>
      </c>
    </row>
    <row r="188" spans="17:24" x14ac:dyDescent="0.3">
      <c r="Q188" s="3"/>
      <c r="R188" s="3"/>
      <c r="S188" s="3"/>
      <c r="T188" s="21"/>
      <c r="U188" s="3"/>
      <c r="V188" s="3">
        <f t="shared" si="21"/>
        <v>0</v>
      </c>
      <c r="W188" s="3" t="str">
        <f t="shared" si="19"/>
        <v>Ø16</v>
      </c>
      <c r="X188" s="3" t="str">
        <f t="shared" si="20"/>
        <v>Ø16</v>
      </c>
    </row>
    <row r="189" spans="17:24" x14ac:dyDescent="0.3">
      <c r="Q189" s="3"/>
      <c r="R189" s="3"/>
      <c r="S189" s="3"/>
      <c r="T189" s="21"/>
      <c r="U189" s="3"/>
      <c r="V189" s="3">
        <f t="shared" si="21"/>
        <v>0</v>
      </c>
      <c r="W189" s="3" t="str">
        <f t="shared" si="19"/>
        <v>Ø16</v>
      </c>
      <c r="X189" s="3" t="str">
        <f t="shared" si="20"/>
        <v>Ø16</v>
      </c>
    </row>
    <row r="190" spans="17:24" x14ac:dyDescent="0.3">
      <c r="Q190" s="3"/>
      <c r="R190" s="3"/>
      <c r="S190" s="3"/>
      <c r="T190" s="21"/>
      <c r="U190" s="3"/>
      <c r="V190" s="3">
        <f t="shared" si="21"/>
        <v>0</v>
      </c>
      <c r="W190" s="3" t="str">
        <f t="shared" si="19"/>
        <v>Ø16</v>
      </c>
      <c r="X190" s="3" t="str">
        <f t="shared" si="20"/>
        <v>Ø16</v>
      </c>
    </row>
    <row r="191" spans="17:24" x14ac:dyDescent="0.3">
      <c r="Q191" s="3"/>
      <c r="R191" s="3"/>
      <c r="S191" s="3"/>
      <c r="T191" s="21"/>
      <c r="U191" s="3"/>
      <c r="V191" s="3">
        <f t="shared" si="21"/>
        <v>0</v>
      </c>
      <c r="W191" s="3" t="str">
        <f t="shared" si="19"/>
        <v>Ø16</v>
      </c>
      <c r="X191" s="3" t="str">
        <f t="shared" si="20"/>
        <v>Ø16</v>
      </c>
    </row>
    <row r="192" spans="17:24" x14ac:dyDescent="0.3">
      <c r="Q192" s="3"/>
      <c r="R192" s="3"/>
      <c r="S192" s="3"/>
      <c r="T192" s="21"/>
      <c r="U192" s="3"/>
      <c r="V192" s="3">
        <f t="shared" si="21"/>
        <v>0</v>
      </c>
      <c r="W192" s="3" t="str">
        <f t="shared" si="19"/>
        <v>Ø16</v>
      </c>
      <c r="X192" s="3" t="str">
        <f t="shared" si="20"/>
        <v>Ø16</v>
      </c>
    </row>
    <row r="193" spans="17:24" x14ac:dyDescent="0.3">
      <c r="Q193" s="3"/>
      <c r="R193" s="3"/>
      <c r="S193" s="3"/>
      <c r="T193" s="21"/>
      <c r="U193" s="3"/>
      <c r="V193" s="3">
        <f t="shared" si="21"/>
        <v>0</v>
      </c>
      <c r="W193" s="3" t="str">
        <f t="shared" si="19"/>
        <v>Ø16</v>
      </c>
      <c r="X193" s="3" t="str">
        <f t="shared" si="20"/>
        <v>Ø16</v>
      </c>
    </row>
    <row r="194" spans="17:24" x14ac:dyDescent="0.3">
      <c r="Q194" s="3"/>
      <c r="R194" s="3"/>
      <c r="S194" s="3"/>
      <c r="T194" s="21"/>
      <c r="U194" s="3"/>
      <c r="V194" s="3">
        <f t="shared" si="21"/>
        <v>0</v>
      </c>
      <c r="W194" s="3" t="str">
        <f t="shared" si="19"/>
        <v>Ø16</v>
      </c>
      <c r="X194" s="3" t="str">
        <f t="shared" si="20"/>
        <v>Ø16</v>
      </c>
    </row>
    <row r="195" spans="17:24" x14ac:dyDescent="0.3">
      <c r="Q195" s="3"/>
      <c r="R195" s="3"/>
      <c r="S195" s="3"/>
      <c r="T195" s="21"/>
      <c r="U195" s="3"/>
      <c r="V195" s="3">
        <f t="shared" si="21"/>
        <v>0</v>
      </c>
      <c r="W195" s="3" t="str">
        <f t="shared" si="19"/>
        <v>Ø16</v>
      </c>
      <c r="X195" s="3" t="str">
        <f t="shared" si="20"/>
        <v>Ø16</v>
      </c>
    </row>
    <row r="196" spans="17:24" x14ac:dyDescent="0.3">
      <c r="Q196" s="3"/>
      <c r="R196" s="3"/>
      <c r="S196" s="3"/>
      <c r="T196" s="21"/>
      <c r="U196" s="3"/>
      <c r="V196" s="3">
        <f t="shared" si="21"/>
        <v>0</v>
      </c>
      <c r="W196" s="3" t="str">
        <f t="shared" si="19"/>
        <v>Ø16</v>
      </c>
      <c r="X196" s="3" t="str">
        <f t="shared" si="20"/>
        <v>Ø16</v>
      </c>
    </row>
    <row r="197" spans="17:24" x14ac:dyDescent="0.3">
      <c r="Q197" s="3"/>
      <c r="R197" s="3"/>
      <c r="S197" s="3"/>
      <c r="T197" s="21"/>
      <c r="U197" s="3"/>
      <c r="V197" s="3">
        <f t="shared" ref="V197:V260" si="22">U197*1.2</f>
        <v>0</v>
      </c>
      <c r="W197" s="3" t="str">
        <f t="shared" ref="W197:W260" si="23">"Ø"&amp;VLOOKUP(V197,$Z$4:$AA$10,2,TRUE)</f>
        <v>Ø16</v>
      </c>
      <c r="X197" s="3" t="str">
        <f t="shared" ref="X197:X260" si="24">"Ø"&amp;VLOOKUP(V197,$AD$4:$AE$10,2,TRUE)</f>
        <v>Ø16</v>
      </c>
    </row>
    <row r="198" spans="17:24" x14ac:dyDescent="0.3">
      <c r="Q198" s="3"/>
      <c r="R198" s="3"/>
      <c r="S198" s="3"/>
      <c r="T198" s="21"/>
      <c r="U198" s="3"/>
      <c r="V198" s="3">
        <f t="shared" si="22"/>
        <v>0</v>
      </c>
      <c r="W198" s="3" t="str">
        <f t="shared" si="23"/>
        <v>Ø16</v>
      </c>
      <c r="X198" s="3" t="str">
        <f t="shared" si="24"/>
        <v>Ø16</v>
      </c>
    </row>
    <row r="199" spans="17:24" x14ac:dyDescent="0.3">
      <c r="Q199" s="3"/>
      <c r="R199" s="3"/>
      <c r="S199" s="3"/>
      <c r="T199" s="21"/>
      <c r="U199" s="3"/>
      <c r="V199" s="3">
        <f t="shared" si="22"/>
        <v>0</v>
      </c>
      <c r="W199" s="3" t="str">
        <f t="shared" si="23"/>
        <v>Ø16</v>
      </c>
      <c r="X199" s="3" t="str">
        <f t="shared" si="24"/>
        <v>Ø16</v>
      </c>
    </row>
    <row r="200" spans="17:24" x14ac:dyDescent="0.3">
      <c r="Q200" s="3"/>
      <c r="R200" s="3"/>
      <c r="S200" s="3"/>
      <c r="T200" s="21"/>
      <c r="U200" s="3"/>
      <c r="V200" s="3">
        <f t="shared" si="22"/>
        <v>0</v>
      </c>
      <c r="W200" s="3" t="str">
        <f t="shared" si="23"/>
        <v>Ø16</v>
      </c>
      <c r="X200" s="3" t="str">
        <f t="shared" si="24"/>
        <v>Ø16</v>
      </c>
    </row>
    <row r="201" spans="17:24" x14ac:dyDescent="0.3">
      <c r="Q201" s="3"/>
      <c r="R201" s="3"/>
      <c r="S201" s="3"/>
      <c r="T201" s="21"/>
      <c r="U201" s="3"/>
      <c r="V201" s="3">
        <f t="shared" si="22"/>
        <v>0</v>
      </c>
      <c r="W201" s="3" t="str">
        <f t="shared" si="23"/>
        <v>Ø16</v>
      </c>
      <c r="X201" s="3" t="str">
        <f t="shared" si="24"/>
        <v>Ø16</v>
      </c>
    </row>
    <row r="202" spans="17:24" x14ac:dyDescent="0.3">
      <c r="Q202" s="3"/>
      <c r="R202" s="3"/>
      <c r="S202" s="3"/>
      <c r="T202" s="21"/>
      <c r="U202" s="3"/>
      <c r="V202" s="3">
        <f t="shared" si="22"/>
        <v>0</v>
      </c>
      <c r="W202" s="3" t="str">
        <f t="shared" si="23"/>
        <v>Ø16</v>
      </c>
      <c r="X202" s="3" t="str">
        <f t="shared" si="24"/>
        <v>Ø16</v>
      </c>
    </row>
    <row r="203" spans="17:24" x14ac:dyDescent="0.3">
      <c r="Q203" s="3"/>
      <c r="R203" s="3"/>
      <c r="S203" s="3"/>
      <c r="T203" s="21"/>
      <c r="U203" s="3"/>
      <c r="V203" s="3">
        <f t="shared" si="22"/>
        <v>0</v>
      </c>
      <c r="W203" s="3" t="str">
        <f t="shared" si="23"/>
        <v>Ø16</v>
      </c>
      <c r="X203" s="3" t="str">
        <f t="shared" si="24"/>
        <v>Ø16</v>
      </c>
    </row>
    <row r="204" spans="17:24" x14ac:dyDescent="0.3">
      <c r="Q204" s="3"/>
      <c r="R204" s="3"/>
      <c r="S204" s="3"/>
      <c r="T204" s="21"/>
      <c r="U204" s="3"/>
      <c r="V204" s="3">
        <f t="shared" si="22"/>
        <v>0</v>
      </c>
      <c r="W204" s="3" t="str">
        <f t="shared" si="23"/>
        <v>Ø16</v>
      </c>
      <c r="X204" s="3" t="str">
        <f t="shared" si="24"/>
        <v>Ø16</v>
      </c>
    </row>
    <row r="205" spans="17:24" x14ac:dyDescent="0.3">
      <c r="Q205" s="3"/>
      <c r="R205" s="3"/>
      <c r="S205" s="3"/>
      <c r="T205" s="21"/>
      <c r="U205" s="3"/>
      <c r="V205" s="3">
        <f t="shared" si="22"/>
        <v>0</v>
      </c>
      <c r="W205" s="3" t="str">
        <f t="shared" si="23"/>
        <v>Ø16</v>
      </c>
      <c r="X205" s="3" t="str">
        <f t="shared" si="24"/>
        <v>Ø16</v>
      </c>
    </row>
    <row r="206" spans="17:24" x14ac:dyDescent="0.3">
      <c r="Q206" s="3"/>
      <c r="R206" s="3"/>
      <c r="S206" s="3"/>
      <c r="T206" s="21"/>
      <c r="U206" s="3"/>
      <c r="V206" s="3">
        <f t="shared" si="22"/>
        <v>0</v>
      </c>
      <c r="W206" s="3" t="str">
        <f t="shared" si="23"/>
        <v>Ø16</v>
      </c>
      <c r="X206" s="3" t="str">
        <f t="shared" si="24"/>
        <v>Ø16</v>
      </c>
    </row>
    <row r="207" spans="17:24" x14ac:dyDescent="0.3">
      <c r="Q207" s="3"/>
      <c r="R207" s="3"/>
      <c r="S207" s="3"/>
      <c r="T207" s="21"/>
      <c r="U207" s="3"/>
      <c r="V207" s="3">
        <f t="shared" si="22"/>
        <v>0</v>
      </c>
      <c r="W207" s="3" t="str">
        <f t="shared" si="23"/>
        <v>Ø16</v>
      </c>
      <c r="X207" s="3" t="str">
        <f t="shared" si="24"/>
        <v>Ø16</v>
      </c>
    </row>
    <row r="208" spans="17:24" x14ac:dyDescent="0.3">
      <c r="Q208" s="3"/>
      <c r="R208" s="3"/>
      <c r="S208" s="3"/>
      <c r="T208" s="21"/>
      <c r="U208" s="3"/>
      <c r="V208" s="3">
        <f t="shared" si="22"/>
        <v>0</v>
      </c>
      <c r="W208" s="3" t="str">
        <f t="shared" si="23"/>
        <v>Ø16</v>
      </c>
      <c r="X208" s="3" t="str">
        <f t="shared" si="24"/>
        <v>Ø16</v>
      </c>
    </row>
    <row r="209" spans="17:24" x14ac:dyDescent="0.3">
      <c r="Q209" s="3"/>
      <c r="R209" s="3"/>
      <c r="S209" s="3"/>
      <c r="T209" s="21"/>
      <c r="U209" s="3"/>
      <c r="V209" s="3">
        <f t="shared" si="22"/>
        <v>0</v>
      </c>
      <c r="W209" s="3" t="str">
        <f t="shared" si="23"/>
        <v>Ø16</v>
      </c>
      <c r="X209" s="3" t="str">
        <f t="shared" si="24"/>
        <v>Ø16</v>
      </c>
    </row>
    <row r="210" spans="17:24" x14ac:dyDescent="0.3">
      <c r="Q210" s="3"/>
      <c r="R210" s="3"/>
      <c r="S210" s="3"/>
      <c r="T210" s="21"/>
      <c r="U210" s="3"/>
      <c r="V210" s="3">
        <f t="shared" si="22"/>
        <v>0</v>
      </c>
      <c r="W210" s="3" t="str">
        <f t="shared" si="23"/>
        <v>Ø16</v>
      </c>
      <c r="X210" s="3" t="str">
        <f t="shared" si="24"/>
        <v>Ø16</v>
      </c>
    </row>
    <row r="211" spans="17:24" x14ac:dyDescent="0.3">
      <c r="Q211" s="3"/>
      <c r="R211" s="3"/>
      <c r="S211" s="3"/>
      <c r="T211" s="21"/>
      <c r="U211" s="3"/>
      <c r="V211" s="3">
        <f t="shared" si="22"/>
        <v>0</v>
      </c>
      <c r="W211" s="3" t="str">
        <f t="shared" si="23"/>
        <v>Ø16</v>
      </c>
      <c r="X211" s="3" t="str">
        <f t="shared" si="24"/>
        <v>Ø16</v>
      </c>
    </row>
    <row r="212" spans="17:24" x14ac:dyDescent="0.3">
      <c r="Q212" s="3"/>
      <c r="R212" s="3"/>
      <c r="S212" s="3"/>
      <c r="T212" s="21"/>
      <c r="U212" s="3"/>
      <c r="V212" s="3">
        <f t="shared" si="22"/>
        <v>0</v>
      </c>
      <c r="W212" s="3" t="str">
        <f t="shared" si="23"/>
        <v>Ø16</v>
      </c>
      <c r="X212" s="3" t="str">
        <f t="shared" si="24"/>
        <v>Ø16</v>
      </c>
    </row>
    <row r="213" spans="17:24" x14ac:dyDescent="0.3">
      <c r="Q213" s="3"/>
      <c r="R213" s="3"/>
      <c r="S213" s="3"/>
      <c r="T213" s="21"/>
      <c r="U213" s="3"/>
      <c r="V213" s="3">
        <f t="shared" si="22"/>
        <v>0</v>
      </c>
      <c r="W213" s="3" t="str">
        <f t="shared" si="23"/>
        <v>Ø16</v>
      </c>
      <c r="X213" s="3" t="str">
        <f t="shared" si="24"/>
        <v>Ø16</v>
      </c>
    </row>
    <row r="214" spans="17:24" x14ac:dyDescent="0.3">
      <c r="Q214" s="3"/>
      <c r="R214" s="3"/>
      <c r="S214" s="3"/>
      <c r="T214" s="21"/>
      <c r="U214" s="3"/>
      <c r="V214" s="3">
        <f t="shared" si="22"/>
        <v>0</v>
      </c>
      <c r="W214" s="3" t="str">
        <f t="shared" si="23"/>
        <v>Ø16</v>
      </c>
      <c r="X214" s="3" t="str">
        <f t="shared" si="24"/>
        <v>Ø16</v>
      </c>
    </row>
    <row r="215" spans="17:24" x14ac:dyDescent="0.3">
      <c r="Q215" s="3"/>
      <c r="R215" s="3"/>
      <c r="S215" s="3"/>
      <c r="T215" s="21"/>
      <c r="U215" s="3"/>
      <c r="V215" s="3">
        <f t="shared" si="22"/>
        <v>0</v>
      </c>
      <c r="W215" s="3" t="str">
        <f t="shared" si="23"/>
        <v>Ø16</v>
      </c>
      <c r="X215" s="3" t="str">
        <f t="shared" si="24"/>
        <v>Ø16</v>
      </c>
    </row>
    <row r="216" spans="17:24" x14ac:dyDescent="0.3">
      <c r="Q216" s="3"/>
      <c r="R216" s="3"/>
      <c r="S216" s="3"/>
      <c r="T216" s="21"/>
      <c r="U216" s="3"/>
      <c r="V216" s="3">
        <f t="shared" si="22"/>
        <v>0</v>
      </c>
      <c r="W216" s="3" t="str">
        <f t="shared" si="23"/>
        <v>Ø16</v>
      </c>
      <c r="X216" s="3" t="str">
        <f t="shared" si="24"/>
        <v>Ø16</v>
      </c>
    </row>
    <row r="217" spans="17:24" x14ac:dyDescent="0.3">
      <c r="Q217" s="3"/>
      <c r="R217" s="3"/>
      <c r="S217" s="3"/>
      <c r="T217" s="21"/>
      <c r="U217" s="3"/>
      <c r="V217" s="3">
        <f t="shared" si="22"/>
        <v>0</v>
      </c>
      <c r="W217" s="3" t="str">
        <f t="shared" si="23"/>
        <v>Ø16</v>
      </c>
      <c r="X217" s="3" t="str">
        <f t="shared" si="24"/>
        <v>Ø16</v>
      </c>
    </row>
    <row r="218" spans="17:24" x14ac:dyDescent="0.3">
      <c r="Q218" s="3"/>
      <c r="R218" s="3"/>
      <c r="S218" s="3"/>
      <c r="T218" s="21"/>
      <c r="U218" s="3"/>
      <c r="V218" s="3">
        <f t="shared" si="22"/>
        <v>0</v>
      </c>
      <c r="W218" s="3" t="str">
        <f t="shared" si="23"/>
        <v>Ø16</v>
      </c>
      <c r="X218" s="3" t="str">
        <f t="shared" si="24"/>
        <v>Ø16</v>
      </c>
    </row>
    <row r="219" spans="17:24" x14ac:dyDescent="0.3">
      <c r="Q219" s="3"/>
      <c r="R219" s="3"/>
      <c r="S219" s="3"/>
      <c r="T219" s="21"/>
      <c r="U219" s="3"/>
      <c r="V219" s="3">
        <f t="shared" si="22"/>
        <v>0</v>
      </c>
      <c r="W219" s="3" t="str">
        <f t="shared" si="23"/>
        <v>Ø16</v>
      </c>
      <c r="X219" s="3" t="str">
        <f t="shared" si="24"/>
        <v>Ø16</v>
      </c>
    </row>
    <row r="220" spans="17:24" x14ac:dyDescent="0.3">
      <c r="Q220" s="3"/>
      <c r="R220" s="3"/>
      <c r="S220" s="3"/>
      <c r="T220" s="21"/>
      <c r="U220" s="3"/>
      <c r="V220" s="3">
        <f t="shared" si="22"/>
        <v>0</v>
      </c>
      <c r="W220" s="3" t="str">
        <f t="shared" si="23"/>
        <v>Ø16</v>
      </c>
      <c r="X220" s="3" t="str">
        <f t="shared" si="24"/>
        <v>Ø16</v>
      </c>
    </row>
    <row r="221" spans="17:24" x14ac:dyDescent="0.3">
      <c r="Q221" s="3"/>
      <c r="R221" s="3"/>
      <c r="S221" s="3"/>
      <c r="T221" s="21"/>
      <c r="U221" s="3"/>
      <c r="V221" s="3">
        <f t="shared" si="22"/>
        <v>0</v>
      </c>
      <c r="W221" s="3" t="str">
        <f t="shared" si="23"/>
        <v>Ø16</v>
      </c>
      <c r="X221" s="3" t="str">
        <f t="shared" si="24"/>
        <v>Ø16</v>
      </c>
    </row>
    <row r="222" spans="17:24" x14ac:dyDescent="0.3">
      <c r="Q222" s="3"/>
      <c r="R222" s="3"/>
      <c r="S222" s="3"/>
      <c r="T222" s="21"/>
      <c r="U222" s="3"/>
      <c r="V222" s="3">
        <f t="shared" si="22"/>
        <v>0</v>
      </c>
      <c r="W222" s="3" t="str">
        <f t="shared" si="23"/>
        <v>Ø16</v>
      </c>
      <c r="X222" s="3" t="str">
        <f t="shared" si="24"/>
        <v>Ø16</v>
      </c>
    </row>
    <row r="223" spans="17:24" x14ac:dyDescent="0.3">
      <c r="Q223" s="3"/>
      <c r="R223" s="3"/>
      <c r="S223" s="3"/>
      <c r="T223" s="21"/>
      <c r="U223" s="3"/>
      <c r="V223" s="3">
        <f t="shared" si="22"/>
        <v>0</v>
      </c>
      <c r="W223" s="3" t="str">
        <f t="shared" si="23"/>
        <v>Ø16</v>
      </c>
      <c r="X223" s="3" t="str">
        <f t="shared" si="24"/>
        <v>Ø16</v>
      </c>
    </row>
    <row r="224" spans="17:24" x14ac:dyDescent="0.3">
      <c r="Q224" s="3"/>
      <c r="R224" s="3"/>
      <c r="S224" s="3"/>
      <c r="T224" s="21"/>
      <c r="U224" s="3"/>
      <c r="V224" s="3">
        <f t="shared" si="22"/>
        <v>0</v>
      </c>
      <c r="W224" s="3" t="str">
        <f t="shared" si="23"/>
        <v>Ø16</v>
      </c>
      <c r="X224" s="3" t="str">
        <f t="shared" si="24"/>
        <v>Ø16</v>
      </c>
    </row>
    <row r="225" spans="17:24" x14ac:dyDescent="0.3">
      <c r="Q225" s="3"/>
      <c r="R225" s="3"/>
      <c r="S225" s="3"/>
      <c r="T225" s="21"/>
      <c r="U225" s="3"/>
      <c r="V225" s="3">
        <f t="shared" si="22"/>
        <v>0</v>
      </c>
      <c r="W225" s="3" t="str">
        <f t="shared" si="23"/>
        <v>Ø16</v>
      </c>
      <c r="X225" s="3" t="str">
        <f t="shared" si="24"/>
        <v>Ø16</v>
      </c>
    </row>
    <row r="226" spans="17:24" x14ac:dyDescent="0.3">
      <c r="Q226" s="3"/>
      <c r="R226" s="3"/>
      <c r="S226" s="3"/>
      <c r="T226" s="21"/>
      <c r="U226" s="3"/>
      <c r="V226" s="3">
        <f t="shared" si="22"/>
        <v>0</v>
      </c>
      <c r="W226" s="3" t="str">
        <f t="shared" si="23"/>
        <v>Ø16</v>
      </c>
      <c r="X226" s="3" t="str">
        <f t="shared" si="24"/>
        <v>Ø16</v>
      </c>
    </row>
    <row r="227" spans="17:24" x14ac:dyDescent="0.3">
      <c r="Q227" s="3"/>
      <c r="R227" s="3"/>
      <c r="S227" s="3"/>
      <c r="T227" s="21"/>
      <c r="U227" s="3"/>
      <c r="V227" s="3">
        <f t="shared" si="22"/>
        <v>0</v>
      </c>
      <c r="W227" s="3" t="str">
        <f t="shared" si="23"/>
        <v>Ø16</v>
      </c>
      <c r="X227" s="3" t="str">
        <f t="shared" si="24"/>
        <v>Ø16</v>
      </c>
    </row>
    <row r="228" spans="17:24" x14ac:dyDescent="0.3">
      <c r="Q228" s="3"/>
      <c r="R228" s="3"/>
      <c r="S228" s="3"/>
      <c r="T228" s="21"/>
      <c r="U228" s="3"/>
      <c r="V228" s="3">
        <f t="shared" si="22"/>
        <v>0</v>
      </c>
      <c r="W228" s="3" t="str">
        <f t="shared" si="23"/>
        <v>Ø16</v>
      </c>
      <c r="X228" s="3" t="str">
        <f t="shared" si="24"/>
        <v>Ø16</v>
      </c>
    </row>
    <row r="229" spans="17:24" x14ac:dyDescent="0.3">
      <c r="Q229" s="3"/>
      <c r="R229" s="3"/>
      <c r="S229" s="3"/>
      <c r="T229" s="21"/>
      <c r="U229" s="3"/>
      <c r="V229" s="3">
        <f t="shared" si="22"/>
        <v>0</v>
      </c>
      <c r="W229" s="3" t="str">
        <f t="shared" si="23"/>
        <v>Ø16</v>
      </c>
      <c r="X229" s="3" t="str">
        <f t="shared" si="24"/>
        <v>Ø16</v>
      </c>
    </row>
    <row r="230" spans="17:24" x14ac:dyDescent="0.3">
      <c r="Q230" s="3"/>
      <c r="R230" s="3"/>
      <c r="S230" s="3"/>
      <c r="T230" s="21"/>
      <c r="U230" s="3"/>
      <c r="V230" s="3">
        <f t="shared" si="22"/>
        <v>0</v>
      </c>
      <c r="W230" s="3" t="str">
        <f t="shared" si="23"/>
        <v>Ø16</v>
      </c>
      <c r="X230" s="3" t="str">
        <f t="shared" si="24"/>
        <v>Ø16</v>
      </c>
    </row>
    <row r="231" spans="17:24" x14ac:dyDescent="0.3">
      <c r="Q231" s="3"/>
      <c r="R231" s="3"/>
      <c r="S231" s="3"/>
      <c r="T231" s="21"/>
      <c r="U231" s="3"/>
      <c r="V231" s="3">
        <f t="shared" si="22"/>
        <v>0</v>
      </c>
      <c r="W231" s="3" t="str">
        <f t="shared" si="23"/>
        <v>Ø16</v>
      </c>
      <c r="X231" s="3" t="str">
        <f t="shared" si="24"/>
        <v>Ø16</v>
      </c>
    </row>
    <row r="232" spans="17:24" x14ac:dyDescent="0.3">
      <c r="Q232" s="3"/>
      <c r="R232" s="3"/>
      <c r="S232" s="3"/>
      <c r="T232" s="21"/>
      <c r="U232" s="3"/>
      <c r="V232" s="3">
        <f t="shared" si="22"/>
        <v>0</v>
      </c>
      <c r="W232" s="3" t="str">
        <f t="shared" si="23"/>
        <v>Ø16</v>
      </c>
      <c r="X232" s="3" t="str">
        <f t="shared" si="24"/>
        <v>Ø16</v>
      </c>
    </row>
    <row r="233" spans="17:24" x14ac:dyDescent="0.3">
      <c r="Q233" s="3"/>
      <c r="R233" s="3"/>
      <c r="S233" s="3"/>
      <c r="T233" s="21"/>
      <c r="U233" s="3"/>
      <c r="V233" s="3">
        <f t="shared" si="22"/>
        <v>0</v>
      </c>
      <c r="W233" s="3" t="str">
        <f t="shared" si="23"/>
        <v>Ø16</v>
      </c>
      <c r="X233" s="3" t="str">
        <f t="shared" si="24"/>
        <v>Ø16</v>
      </c>
    </row>
    <row r="234" spans="17:24" x14ac:dyDescent="0.3">
      <c r="Q234" s="3"/>
      <c r="R234" s="3"/>
      <c r="S234" s="3"/>
      <c r="T234" s="21"/>
      <c r="U234" s="3"/>
      <c r="V234" s="3">
        <f t="shared" si="22"/>
        <v>0</v>
      </c>
      <c r="W234" s="3" t="str">
        <f t="shared" si="23"/>
        <v>Ø16</v>
      </c>
      <c r="X234" s="3" t="str">
        <f t="shared" si="24"/>
        <v>Ø16</v>
      </c>
    </row>
    <row r="235" spans="17:24" x14ac:dyDescent="0.3">
      <c r="Q235" s="3"/>
      <c r="R235" s="3"/>
      <c r="S235" s="3"/>
      <c r="T235" s="21"/>
      <c r="U235" s="3"/>
      <c r="V235" s="3">
        <f t="shared" si="22"/>
        <v>0</v>
      </c>
      <c r="W235" s="3" t="str">
        <f t="shared" si="23"/>
        <v>Ø16</v>
      </c>
      <c r="X235" s="3" t="str">
        <f t="shared" si="24"/>
        <v>Ø16</v>
      </c>
    </row>
    <row r="236" spans="17:24" x14ac:dyDescent="0.3">
      <c r="Q236" s="3"/>
      <c r="R236" s="3"/>
      <c r="S236" s="3"/>
      <c r="T236" s="21"/>
      <c r="U236" s="3"/>
      <c r="V236" s="3">
        <f t="shared" si="22"/>
        <v>0</v>
      </c>
      <c r="W236" s="3" t="str">
        <f t="shared" si="23"/>
        <v>Ø16</v>
      </c>
      <c r="X236" s="3" t="str">
        <f t="shared" si="24"/>
        <v>Ø16</v>
      </c>
    </row>
    <row r="237" spans="17:24" x14ac:dyDescent="0.3">
      <c r="Q237" s="3"/>
      <c r="R237" s="3"/>
      <c r="S237" s="3"/>
      <c r="T237" s="21"/>
      <c r="U237" s="3"/>
      <c r="V237" s="3">
        <f t="shared" si="22"/>
        <v>0</v>
      </c>
      <c r="W237" s="3" t="str">
        <f t="shared" si="23"/>
        <v>Ø16</v>
      </c>
      <c r="X237" s="3" t="str">
        <f t="shared" si="24"/>
        <v>Ø16</v>
      </c>
    </row>
    <row r="238" spans="17:24" x14ac:dyDescent="0.3">
      <c r="Q238" s="3"/>
      <c r="R238" s="3"/>
      <c r="S238" s="3"/>
      <c r="T238" s="21"/>
      <c r="U238" s="3"/>
      <c r="V238" s="3">
        <f t="shared" si="22"/>
        <v>0</v>
      </c>
      <c r="W238" s="3" t="str">
        <f t="shared" si="23"/>
        <v>Ø16</v>
      </c>
      <c r="X238" s="3" t="str">
        <f t="shared" si="24"/>
        <v>Ø16</v>
      </c>
    </row>
    <row r="239" spans="17:24" x14ac:dyDescent="0.3">
      <c r="Q239" s="3"/>
      <c r="R239" s="3"/>
      <c r="S239" s="3"/>
      <c r="T239" s="21"/>
      <c r="U239" s="3"/>
      <c r="V239" s="3">
        <f t="shared" si="22"/>
        <v>0</v>
      </c>
      <c r="W239" s="3" t="str">
        <f t="shared" si="23"/>
        <v>Ø16</v>
      </c>
      <c r="X239" s="3" t="str">
        <f t="shared" si="24"/>
        <v>Ø16</v>
      </c>
    </row>
    <row r="240" spans="17:24" x14ac:dyDescent="0.3">
      <c r="Q240" s="3"/>
      <c r="R240" s="3"/>
      <c r="S240" s="3"/>
      <c r="T240" s="21"/>
      <c r="U240" s="3"/>
      <c r="V240" s="3">
        <f t="shared" si="22"/>
        <v>0</v>
      </c>
      <c r="W240" s="3" t="str">
        <f t="shared" si="23"/>
        <v>Ø16</v>
      </c>
      <c r="X240" s="3" t="str">
        <f t="shared" si="24"/>
        <v>Ø16</v>
      </c>
    </row>
    <row r="241" spans="17:24" x14ac:dyDescent="0.3">
      <c r="Q241" s="3"/>
      <c r="R241" s="3"/>
      <c r="S241" s="3"/>
      <c r="T241" s="21"/>
      <c r="U241" s="3"/>
      <c r="V241" s="3">
        <f t="shared" si="22"/>
        <v>0</v>
      </c>
      <c r="W241" s="3" t="str">
        <f t="shared" si="23"/>
        <v>Ø16</v>
      </c>
      <c r="X241" s="3" t="str">
        <f t="shared" si="24"/>
        <v>Ø16</v>
      </c>
    </row>
    <row r="242" spans="17:24" x14ac:dyDescent="0.3">
      <c r="Q242" s="3"/>
      <c r="R242" s="3"/>
      <c r="S242" s="3"/>
      <c r="T242" s="21"/>
      <c r="U242" s="3"/>
      <c r="V242" s="3">
        <f t="shared" si="22"/>
        <v>0</v>
      </c>
      <c r="W242" s="3" t="str">
        <f t="shared" si="23"/>
        <v>Ø16</v>
      </c>
      <c r="X242" s="3" t="str">
        <f t="shared" si="24"/>
        <v>Ø16</v>
      </c>
    </row>
    <row r="243" spans="17:24" x14ac:dyDescent="0.3">
      <c r="Q243" s="3"/>
      <c r="R243" s="3"/>
      <c r="S243" s="3"/>
      <c r="T243" s="21"/>
      <c r="U243" s="3"/>
      <c r="V243" s="3">
        <f t="shared" si="22"/>
        <v>0</v>
      </c>
      <c r="W243" s="3" t="str">
        <f t="shared" si="23"/>
        <v>Ø16</v>
      </c>
      <c r="X243" s="3" t="str">
        <f t="shared" si="24"/>
        <v>Ø16</v>
      </c>
    </row>
    <row r="244" spans="17:24" x14ac:dyDescent="0.3">
      <c r="Q244" s="3"/>
      <c r="R244" s="3"/>
      <c r="S244" s="3"/>
      <c r="T244" s="21"/>
      <c r="U244" s="3"/>
      <c r="V244" s="3">
        <f t="shared" si="22"/>
        <v>0</v>
      </c>
      <c r="W244" s="3" t="str">
        <f t="shared" si="23"/>
        <v>Ø16</v>
      </c>
      <c r="X244" s="3" t="str">
        <f t="shared" si="24"/>
        <v>Ø16</v>
      </c>
    </row>
    <row r="245" spans="17:24" x14ac:dyDescent="0.3">
      <c r="Q245" s="3"/>
      <c r="R245" s="3"/>
      <c r="S245" s="3"/>
      <c r="T245" s="21"/>
      <c r="U245" s="3"/>
      <c r="V245" s="3">
        <f t="shared" si="22"/>
        <v>0</v>
      </c>
      <c r="W245" s="3" t="str">
        <f t="shared" si="23"/>
        <v>Ø16</v>
      </c>
      <c r="X245" s="3" t="str">
        <f t="shared" si="24"/>
        <v>Ø16</v>
      </c>
    </row>
    <row r="246" spans="17:24" x14ac:dyDescent="0.3">
      <c r="Q246" s="3"/>
      <c r="R246" s="3"/>
      <c r="S246" s="3"/>
      <c r="T246" s="21"/>
      <c r="U246" s="3"/>
      <c r="V246" s="3">
        <f t="shared" si="22"/>
        <v>0</v>
      </c>
      <c r="W246" s="3" t="str">
        <f t="shared" si="23"/>
        <v>Ø16</v>
      </c>
      <c r="X246" s="3" t="str">
        <f t="shared" si="24"/>
        <v>Ø16</v>
      </c>
    </row>
    <row r="247" spans="17:24" x14ac:dyDescent="0.3">
      <c r="Q247" s="3"/>
      <c r="R247" s="3"/>
      <c r="S247" s="3"/>
      <c r="T247" s="21"/>
      <c r="U247" s="3"/>
      <c r="V247" s="3">
        <f t="shared" si="22"/>
        <v>0</v>
      </c>
      <c r="W247" s="3" t="str">
        <f t="shared" si="23"/>
        <v>Ø16</v>
      </c>
      <c r="X247" s="3" t="str">
        <f t="shared" si="24"/>
        <v>Ø16</v>
      </c>
    </row>
    <row r="248" spans="17:24" x14ac:dyDescent="0.3">
      <c r="Q248" s="3"/>
      <c r="R248" s="3"/>
      <c r="S248" s="3"/>
      <c r="T248" s="21"/>
      <c r="U248" s="3"/>
      <c r="V248" s="3">
        <f t="shared" si="22"/>
        <v>0</v>
      </c>
      <c r="W248" s="3" t="str">
        <f t="shared" si="23"/>
        <v>Ø16</v>
      </c>
      <c r="X248" s="3" t="str">
        <f t="shared" si="24"/>
        <v>Ø16</v>
      </c>
    </row>
    <row r="249" spans="17:24" x14ac:dyDescent="0.3">
      <c r="Q249" s="3"/>
      <c r="R249" s="3"/>
      <c r="S249" s="3"/>
      <c r="T249" s="21"/>
      <c r="U249" s="3"/>
      <c r="V249" s="3">
        <f t="shared" si="22"/>
        <v>0</v>
      </c>
      <c r="W249" s="3" t="str">
        <f t="shared" si="23"/>
        <v>Ø16</v>
      </c>
      <c r="X249" s="3" t="str">
        <f t="shared" si="24"/>
        <v>Ø16</v>
      </c>
    </row>
    <row r="250" spans="17:24" x14ac:dyDescent="0.3">
      <c r="Q250" s="3"/>
      <c r="R250" s="3"/>
      <c r="S250" s="3"/>
      <c r="T250" s="21"/>
      <c r="U250" s="3"/>
      <c r="V250" s="3">
        <f t="shared" si="22"/>
        <v>0</v>
      </c>
      <c r="W250" s="3" t="str">
        <f t="shared" si="23"/>
        <v>Ø16</v>
      </c>
      <c r="X250" s="3" t="str">
        <f t="shared" si="24"/>
        <v>Ø16</v>
      </c>
    </row>
    <row r="251" spans="17:24" x14ac:dyDescent="0.3">
      <c r="Q251" s="3"/>
      <c r="R251" s="3"/>
      <c r="S251" s="3"/>
      <c r="T251" s="21"/>
      <c r="U251" s="3"/>
      <c r="V251" s="3">
        <f t="shared" si="22"/>
        <v>0</v>
      </c>
      <c r="W251" s="3" t="str">
        <f t="shared" si="23"/>
        <v>Ø16</v>
      </c>
      <c r="X251" s="3" t="str">
        <f t="shared" si="24"/>
        <v>Ø16</v>
      </c>
    </row>
    <row r="252" spans="17:24" x14ac:dyDescent="0.3">
      <c r="Q252" s="3"/>
      <c r="R252" s="3"/>
      <c r="S252" s="3"/>
      <c r="T252" s="21"/>
      <c r="U252" s="3"/>
      <c r="V252" s="3">
        <f t="shared" si="22"/>
        <v>0</v>
      </c>
      <c r="W252" s="3" t="str">
        <f t="shared" si="23"/>
        <v>Ø16</v>
      </c>
      <c r="X252" s="3" t="str">
        <f t="shared" si="24"/>
        <v>Ø16</v>
      </c>
    </row>
    <row r="253" spans="17:24" x14ac:dyDescent="0.3">
      <c r="Q253" s="3"/>
      <c r="R253" s="3"/>
      <c r="S253" s="3"/>
      <c r="T253" s="21"/>
      <c r="U253" s="3"/>
      <c r="V253" s="3">
        <f t="shared" si="22"/>
        <v>0</v>
      </c>
      <c r="W253" s="3" t="str">
        <f t="shared" si="23"/>
        <v>Ø16</v>
      </c>
      <c r="X253" s="3" t="str">
        <f t="shared" si="24"/>
        <v>Ø16</v>
      </c>
    </row>
    <row r="254" spans="17:24" x14ac:dyDescent="0.3">
      <c r="Q254" s="3"/>
      <c r="R254" s="3"/>
      <c r="S254" s="3"/>
      <c r="T254" s="21"/>
      <c r="U254" s="3"/>
      <c r="V254" s="3">
        <f t="shared" si="22"/>
        <v>0</v>
      </c>
      <c r="W254" s="3" t="str">
        <f t="shared" si="23"/>
        <v>Ø16</v>
      </c>
      <c r="X254" s="3" t="str">
        <f t="shared" si="24"/>
        <v>Ø16</v>
      </c>
    </row>
    <row r="255" spans="17:24" x14ac:dyDescent="0.3">
      <c r="Q255" s="3"/>
      <c r="R255" s="3"/>
      <c r="S255" s="3"/>
      <c r="T255" s="21"/>
      <c r="U255" s="3"/>
      <c r="V255" s="3">
        <f t="shared" si="22"/>
        <v>0</v>
      </c>
      <c r="W255" s="3" t="str">
        <f t="shared" si="23"/>
        <v>Ø16</v>
      </c>
      <c r="X255" s="3" t="str">
        <f t="shared" si="24"/>
        <v>Ø16</v>
      </c>
    </row>
    <row r="256" spans="17:24" x14ac:dyDescent="0.3">
      <c r="Q256" s="3"/>
      <c r="R256" s="3"/>
      <c r="S256" s="3"/>
      <c r="T256" s="21"/>
      <c r="U256" s="3"/>
      <c r="V256" s="3">
        <f t="shared" si="22"/>
        <v>0</v>
      </c>
      <c r="W256" s="3" t="str">
        <f t="shared" si="23"/>
        <v>Ø16</v>
      </c>
      <c r="X256" s="3" t="str">
        <f t="shared" si="24"/>
        <v>Ø16</v>
      </c>
    </row>
    <row r="257" spans="17:24" x14ac:dyDescent="0.3">
      <c r="Q257" s="3"/>
      <c r="R257" s="3"/>
      <c r="S257" s="3"/>
      <c r="T257" s="21"/>
      <c r="U257" s="3"/>
      <c r="V257" s="3">
        <f t="shared" si="22"/>
        <v>0</v>
      </c>
      <c r="W257" s="3" t="str">
        <f t="shared" si="23"/>
        <v>Ø16</v>
      </c>
      <c r="X257" s="3" t="str">
        <f t="shared" si="24"/>
        <v>Ø16</v>
      </c>
    </row>
    <row r="258" spans="17:24" x14ac:dyDescent="0.3">
      <c r="Q258" s="3"/>
      <c r="R258" s="3"/>
      <c r="S258" s="3"/>
      <c r="T258" s="21"/>
      <c r="U258" s="3"/>
      <c r="V258" s="3">
        <f t="shared" si="22"/>
        <v>0</v>
      </c>
      <c r="W258" s="3" t="str">
        <f t="shared" si="23"/>
        <v>Ø16</v>
      </c>
      <c r="X258" s="3" t="str">
        <f t="shared" si="24"/>
        <v>Ø16</v>
      </c>
    </row>
    <row r="259" spans="17:24" x14ac:dyDescent="0.3">
      <c r="Q259" s="3"/>
      <c r="R259" s="3"/>
      <c r="S259" s="3"/>
      <c r="T259" s="21"/>
      <c r="U259" s="3"/>
      <c r="V259" s="3">
        <f t="shared" si="22"/>
        <v>0</v>
      </c>
      <c r="W259" s="3" t="str">
        <f t="shared" si="23"/>
        <v>Ø16</v>
      </c>
      <c r="X259" s="3" t="str">
        <f t="shared" si="24"/>
        <v>Ø16</v>
      </c>
    </row>
    <row r="260" spans="17:24" x14ac:dyDescent="0.3">
      <c r="Q260" s="3"/>
      <c r="R260" s="3"/>
      <c r="S260" s="3"/>
      <c r="T260" s="21"/>
      <c r="U260" s="3"/>
      <c r="V260" s="3">
        <f t="shared" si="22"/>
        <v>0</v>
      </c>
      <c r="W260" s="3" t="str">
        <f t="shared" si="23"/>
        <v>Ø16</v>
      </c>
      <c r="X260" s="3" t="str">
        <f t="shared" si="24"/>
        <v>Ø16</v>
      </c>
    </row>
    <row r="261" spans="17:24" x14ac:dyDescent="0.3">
      <c r="Q261" s="3"/>
      <c r="R261" s="3"/>
      <c r="S261" s="3"/>
      <c r="T261" s="21"/>
      <c r="U261" s="3"/>
      <c r="V261" s="3">
        <f t="shared" ref="V261:V324" si="25">U261*1.2</f>
        <v>0</v>
      </c>
      <c r="W261" s="3" t="str">
        <f t="shared" ref="W261:W324" si="26">"Ø"&amp;VLOOKUP(V261,$Z$4:$AA$10,2,TRUE)</f>
        <v>Ø16</v>
      </c>
      <c r="X261" s="3" t="str">
        <f t="shared" ref="X261:X324" si="27">"Ø"&amp;VLOOKUP(V261,$AD$4:$AE$10,2,TRUE)</f>
        <v>Ø16</v>
      </c>
    </row>
    <row r="262" spans="17:24" x14ac:dyDescent="0.3">
      <c r="Q262" s="3"/>
      <c r="R262" s="3"/>
      <c r="S262" s="3"/>
      <c r="T262" s="21"/>
      <c r="U262" s="3"/>
      <c r="V262" s="3">
        <f t="shared" si="25"/>
        <v>0</v>
      </c>
      <c r="W262" s="3" t="str">
        <f t="shared" si="26"/>
        <v>Ø16</v>
      </c>
      <c r="X262" s="3" t="str">
        <f t="shared" si="27"/>
        <v>Ø16</v>
      </c>
    </row>
    <row r="263" spans="17:24" x14ac:dyDescent="0.3">
      <c r="Q263" s="3"/>
      <c r="R263" s="3"/>
      <c r="S263" s="3"/>
      <c r="T263" s="21"/>
      <c r="U263" s="3"/>
      <c r="V263" s="3">
        <f t="shared" si="25"/>
        <v>0</v>
      </c>
      <c r="W263" s="3" t="str">
        <f t="shared" si="26"/>
        <v>Ø16</v>
      </c>
      <c r="X263" s="3" t="str">
        <f t="shared" si="27"/>
        <v>Ø16</v>
      </c>
    </row>
    <row r="264" spans="17:24" x14ac:dyDescent="0.3">
      <c r="Q264" s="3"/>
      <c r="R264" s="3"/>
      <c r="S264" s="3"/>
      <c r="T264" s="21"/>
      <c r="U264" s="3"/>
      <c r="V264" s="3">
        <f t="shared" si="25"/>
        <v>0</v>
      </c>
      <c r="W264" s="3" t="str">
        <f t="shared" si="26"/>
        <v>Ø16</v>
      </c>
      <c r="X264" s="3" t="str">
        <f t="shared" si="27"/>
        <v>Ø16</v>
      </c>
    </row>
    <row r="265" spans="17:24" x14ac:dyDescent="0.3">
      <c r="Q265" s="3"/>
      <c r="R265" s="3"/>
      <c r="S265" s="3"/>
      <c r="T265" s="21"/>
      <c r="U265" s="3"/>
      <c r="V265" s="3">
        <f t="shared" si="25"/>
        <v>0</v>
      </c>
      <c r="W265" s="3" t="str">
        <f t="shared" si="26"/>
        <v>Ø16</v>
      </c>
      <c r="X265" s="3" t="str">
        <f t="shared" si="27"/>
        <v>Ø16</v>
      </c>
    </row>
    <row r="266" spans="17:24" x14ac:dyDescent="0.3">
      <c r="Q266" s="3"/>
      <c r="R266" s="3"/>
      <c r="S266" s="3"/>
      <c r="T266" s="21"/>
      <c r="U266" s="3"/>
      <c r="V266" s="3">
        <f t="shared" si="25"/>
        <v>0</v>
      </c>
      <c r="W266" s="3" t="str">
        <f t="shared" si="26"/>
        <v>Ø16</v>
      </c>
      <c r="X266" s="3" t="str">
        <f t="shared" si="27"/>
        <v>Ø16</v>
      </c>
    </row>
    <row r="267" spans="17:24" x14ac:dyDescent="0.3">
      <c r="Q267" s="3"/>
      <c r="R267" s="3"/>
      <c r="S267" s="3"/>
      <c r="T267" s="21"/>
      <c r="U267" s="3"/>
      <c r="V267" s="3">
        <f t="shared" si="25"/>
        <v>0</v>
      </c>
      <c r="W267" s="3" t="str">
        <f t="shared" si="26"/>
        <v>Ø16</v>
      </c>
      <c r="X267" s="3" t="str">
        <f t="shared" si="27"/>
        <v>Ø16</v>
      </c>
    </row>
    <row r="268" spans="17:24" x14ac:dyDescent="0.3">
      <c r="Q268" s="3"/>
      <c r="R268" s="3"/>
      <c r="S268" s="3"/>
      <c r="T268" s="21"/>
      <c r="U268" s="3"/>
      <c r="V268" s="3">
        <f t="shared" si="25"/>
        <v>0</v>
      </c>
      <c r="W268" s="3" t="str">
        <f t="shared" si="26"/>
        <v>Ø16</v>
      </c>
      <c r="X268" s="3" t="str">
        <f t="shared" si="27"/>
        <v>Ø16</v>
      </c>
    </row>
    <row r="269" spans="17:24" x14ac:dyDescent="0.3">
      <c r="Q269" s="3"/>
      <c r="R269" s="3"/>
      <c r="S269" s="3"/>
      <c r="T269" s="21"/>
      <c r="U269" s="3"/>
      <c r="V269" s="3">
        <f t="shared" si="25"/>
        <v>0</v>
      </c>
      <c r="W269" s="3" t="str">
        <f t="shared" si="26"/>
        <v>Ø16</v>
      </c>
      <c r="X269" s="3" t="str">
        <f t="shared" si="27"/>
        <v>Ø16</v>
      </c>
    </row>
    <row r="270" spans="17:24" x14ac:dyDescent="0.3">
      <c r="Q270" s="3"/>
      <c r="R270" s="3"/>
      <c r="S270" s="3"/>
      <c r="T270" s="21"/>
      <c r="U270" s="3"/>
      <c r="V270" s="3">
        <f t="shared" si="25"/>
        <v>0</v>
      </c>
      <c r="W270" s="3" t="str">
        <f t="shared" si="26"/>
        <v>Ø16</v>
      </c>
      <c r="X270" s="3" t="str">
        <f t="shared" si="27"/>
        <v>Ø16</v>
      </c>
    </row>
    <row r="271" spans="17:24" x14ac:dyDescent="0.3">
      <c r="Q271" s="3"/>
      <c r="R271" s="3"/>
      <c r="S271" s="3"/>
      <c r="T271" s="21"/>
      <c r="U271" s="3"/>
      <c r="V271" s="3">
        <f t="shared" si="25"/>
        <v>0</v>
      </c>
      <c r="W271" s="3" t="str">
        <f t="shared" si="26"/>
        <v>Ø16</v>
      </c>
      <c r="X271" s="3" t="str">
        <f t="shared" si="27"/>
        <v>Ø16</v>
      </c>
    </row>
    <row r="272" spans="17:24" x14ac:dyDescent="0.3">
      <c r="Q272" s="3"/>
      <c r="R272" s="3"/>
      <c r="S272" s="3"/>
      <c r="T272" s="21"/>
      <c r="U272" s="3"/>
      <c r="V272" s="3">
        <f t="shared" si="25"/>
        <v>0</v>
      </c>
      <c r="W272" s="3" t="str">
        <f t="shared" si="26"/>
        <v>Ø16</v>
      </c>
      <c r="X272" s="3" t="str">
        <f t="shared" si="27"/>
        <v>Ø16</v>
      </c>
    </row>
    <row r="273" spans="17:24" x14ac:dyDescent="0.3">
      <c r="Q273" s="3"/>
      <c r="R273" s="3"/>
      <c r="S273" s="3"/>
      <c r="T273" s="21"/>
      <c r="U273" s="3"/>
      <c r="V273" s="3">
        <f t="shared" si="25"/>
        <v>0</v>
      </c>
      <c r="W273" s="3" t="str">
        <f t="shared" si="26"/>
        <v>Ø16</v>
      </c>
      <c r="X273" s="3" t="str">
        <f t="shared" si="27"/>
        <v>Ø16</v>
      </c>
    </row>
    <row r="274" spans="17:24" x14ac:dyDescent="0.3">
      <c r="Q274" s="3"/>
      <c r="R274" s="3"/>
      <c r="S274" s="3"/>
      <c r="T274" s="21"/>
      <c r="U274" s="3"/>
      <c r="V274" s="3">
        <f t="shared" si="25"/>
        <v>0</v>
      </c>
      <c r="W274" s="3" t="str">
        <f t="shared" si="26"/>
        <v>Ø16</v>
      </c>
      <c r="X274" s="3" t="str">
        <f t="shared" si="27"/>
        <v>Ø16</v>
      </c>
    </row>
    <row r="275" spans="17:24" x14ac:dyDescent="0.3">
      <c r="Q275" s="3"/>
      <c r="R275" s="3"/>
      <c r="S275" s="3"/>
      <c r="T275" s="21"/>
      <c r="U275" s="3"/>
      <c r="V275" s="3">
        <f t="shared" si="25"/>
        <v>0</v>
      </c>
      <c r="W275" s="3" t="str">
        <f t="shared" si="26"/>
        <v>Ø16</v>
      </c>
      <c r="X275" s="3" t="str">
        <f t="shared" si="27"/>
        <v>Ø16</v>
      </c>
    </row>
    <row r="276" spans="17:24" x14ac:dyDescent="0.3">
      <c r="Q276" s="3"/>
      <c r="R276" s="3"/>
      <c r="S276" s="3"/>
      <c r="T276" s="21"/>
      <c r="U276" s="3"/>
      <c r="V276" s="3">
        <f t="shared" si="25"/>
        <v>0</v>
      </c>
      <c r="W276" s="3" t="str">
        <f t="shared" si="26"/>
        <v>Ø16</v>
      </c>
      <c r="X276" s="3" t="str">
        <f t="shared" si="27"/>
        <v>Ø16</v>
      </c>
    </row>
    <row r="277" spans="17:24" x14ac:dyDescent="0.3">
      <c r="Q277" s="3"/>
      <c r="R277" s="3"/>
      <c r="S277" s="3"/>
      <c r="T277" s="21"/>
      <c r="U277" s="3"/>
      <c r="V277" s="3">
        <f t="shared" si="25"/>
        <v>0</v>
      </c>
      <c r="W277" s="3" t="str">
        <f t="shared" si="26"/>
        <v>Ø16</v>
      </c>
      <c r="X277" s="3" t="str">
        <f t="shared" si="27"/>
        <v>Ø16</v>
      </c>
    </row>
    <row r="278" spans="17:24" x14ac:dyDescent="0.3">
      <c r="Q278" s="3"/>
      <c r="R278" s="3"/>
      <c r="S278" s="3"/>
      <c r="T278" s="21"/>
      <c r="U278" s="3"/>
      <c r="V278" s="3">
        <f t="shared" si="25"/>
        <v>0</v>
      </c>
      <c r="W278" s="3" t="str">
        <f t="shared" si="26"/>
        <v>Ø16</v>
      </c>
      <c r="X278" s="3" t="str">
        <f t="shared" si="27"/>
        <v>Ø16</v>
      </c>
    </row>
    <row r="279" spans="17:24" x14ac:dyDescent="0.3">
      <c r="Q279" s="3"/>
      <c r="R279" s="3"/>
      <c r="S279" s="3"/>
      <c r="T279" s="21"/>
      <c r="U279" s="3"/>
      <c r="V279" s="3">
        <f t="shared" si="25"/>
        <v>0</v>
      </c>
      <c r="W279" s="3" t="str">
        <f t="shared" si="26"/>
        <v>Ø16</v>
      </c>
      <c r="X279" s="3" t="str">
        <f t="shared" si="27"/>
        <v>Ø16</v>
      </c>
    </row>
    <row r="280" spans="17:24" x14ac:dyDescent="0.3">
      <c r="Q280" s="3"/>
      <c r="R280" s="3"/>
      <c r="S280" s="3"/>
      <c r="T280" s="21"/>
      <c r="U280" s="3"/>
      <c r="V280" s="3">
        <f t="shared" si="25"/>
        <v>0</v>
      </c>
      <c r="W280" s="3" t="str">
        <f t="shared" si="26"/>
        <v>Ø16</v>
      </c>
      <c r="X280" s="3" t="str">
        <f t="shared" si="27"/>
        <v>Ø16</v>
      </c>
    </row>
    <row r="281" spans="17:24" x14ac:dyDescent="0.3">
      <c r="Q281" s="3"/>
      <c r="R281" s="3"/>
      <c r="S281" s="3"/>
      <c r="T281" s="21"/>
      <c r="U281" s="3"/>
      <c r="V281" s="3">
        <f t="shared" si="25"/>
        <v>0</v>
      </c>
      <c r="W281" s="3" t="str">
        <f t="shared" si="26"/>
        <v>Ø16</v>
      </c>
      <c r="X281" s="3" t="str">
        <f t="shared" si="27"/>
        <v>Ø16</v>
      </c>
    </row>
    <row r="282" spans="17:24" x14ac:dyDescent="0.3">
      <c r="Q282" s="3"/>
      <c r="R282" s="3"/>
      <c r="S282" s="3"/>
      <c r="T282" s="21"/>
      <c r="U282" s="3"/>
      <c r="V282" s="3">
        <f t="shared" si="25"/>
        <v>0</v>
      </c>
      <c r="W282" s="3" t="str">
        <f t="shared" si="26"/>
        <v>Ø16</v>
      </c>
      <c r="X282" s="3" t="str">
        <f t="shared" si="27"/>
        <v>Ø16</v>
      </c>
    </row>
    <row r="283" spans="17:24" x14ac:dyDescent="0.3">
      <c r="Q283" s="3"/>
      <c r="R283" s="3"/>
      <c r="S283" s="3"/>
      <c r="T283" s="21"/>
      <c r="U283" s="3"/>
      <c r="V283" s="3">
        <f t="shared" si="25"/>
        <v>0</v>
      </c>
      <c r="W283" s="3" t="str">
        <f t="shared" si="26"/>
        <v>Ø16</v>
      </c>
      <c r="X283" s="3" t="str">
        <f t="shared" si="27"/>
        <v>Ø16</v>
      </c>
    </row>
    <row r="284" spans="17:24" x14ac:dyDescent="0.3">
      <c r="Q284" s="3"/>
      <c r="R284" s="3"/>
      <c r="S284" s="3"/>
      <c r="T284" s="21"/>
      <c r="U284" s="3"/>
      <c r="V284" s="3">
        <f t="shared" si="25"/>
        <v>0</v>
      </c>
      <c r="W284" s="3" t="str">
        <f t="shared" si="26"/>
        <v>Ø16</v>
      </c>
      <c r="X284" s="3" t="str">
        <f t="shared" si="27"/>
        <v>Ø16</v>
      </c>
    </row>
    <row r="285" spans="17:24" x14ac:dyDescent="0.3">
      <c r="Q285" s="3"/>
      <c r="R285" s="3"/>
      <c r="S285" s="3"/>
      <c r="T285" s="21"/>
      <c r="U285" s="3"/>
      <c r="V285" s="3">
        <f t="shared" si="25"/>
        <v>0</v>
      </c>
      <c r="W285" s="3" t="str">
        <f t="shared" si="26"/>
        <v>Ø16</v>
      </c>
      <c r="X285" s="3" t="str">
        <f t="shared" si="27"/>
        <v>Ø16</v>
      </c>
    </row>
    <row r="286" spans="17:24" x14ac:dyDescent="0.3">
      <c r="Q286" s="3"/>
      <c r="R286" s="3"/>
      <c r="S286" s="3"/>
      <c r="T286" s="21"/>
      <c r="U286" s="3"/>
      <c r="V286" s="3">
        <f t="shared" si="25"/>
        <v>0</v>
      </c>
      <c r="W286" s="3" t="str">
        <f t="shared" si="26"/>
        <v>Ø16</v>
      </c>
      <c r="X286" s="3" t="str">
        <f t="shared" si="27"/>
        <v>Ø16</v>
      </c>
    </row>
    <row r="287" spans="17:24" x14ac:dyDescent="0.3">
      <c r="Q287" s="3"/>
      <c r="R287" s="3"/>
      <c r="S287" s="3"/>
      <c r="T287" s="21"/>
      <c r="U287" s="3"/>
      <c r="V287" s="3">
        <f t="shared" si="25"/>
        <v>0</v>
      </c>
      <c r="W287" s="3" t="str">
        <f t="shared" si="26"/>
        <v>Ø16</v>
      </c>
      <c r="X287" s="3" t="str">
        <f t="shared" si="27"/>
        <v>Ø16</v>
      </c>
    </row>
    <row r="288" spans="17:24" x14ac:dyDescent="0.3">
      <c r="Q288" s="3"/>
      <c r="R288" s="3"/>
      <c r="S288" s="3"/>
      <c r="T288" s="21"/>
      <c r="U288" s="3"/>
      <c r="V288" s="3">
        <f t="shared" si="25"/>
        <v>0</v>
      </c>
      <c r="W288" s="3" t="str">
        <f t="shared" si="26"/>
        <v>Ø16</v>
      </c>
      <c r="X288" s="3" t="str">
        <f t="shared" si="27"/>
        <v>Ø16</v>
      </c>
    </row>
    <row r="289" spans="17:24" x14ac:dyDescent="0.3">
      <c r="Q289" s="3"/>
      <c r="R289" s="3"/>
      <c r="S289" s="3"/>
      <c r="T289" s="21"/>
      <c r="U289" s="3"/>
      <c r="V289" s="3">
        <f t="shared" si="25"/>
        <v>0</v>
      </c>
      <c r="W289" s="3" t="str">
        <f t="shared" si="26"/>
        <v>Ø16</v>
      </c>
      <c r="X289" s="3" t="str">
        <f t="shared" si="27"/>
        <v>Ø16</v>
      </c>
    </row>
    <row r="290" spans="17:24" x14ac:dyDescent="0.3">
      <c r="Q290" s="3"/>
      <c r="R290" s="3"/>
      <c r="S290" s="3"/>
      <c r="T290" s="21"/>
      <c r="U290" s="3"/>
      <c r="V290" s="3">
        <f t="shared" si="25"/>
        <v>0</v>
      </c>
      <c r="W290" s="3" t="str">
        <f t="shared" si="26"/>
        <v>Ø16</v>
      </c>
      <c r="X290" s="3" t="str">
        <f t="shared" si="27"/>
        <v>Ø16</v>
      </c>
    </row>
    <row r="291" spans="17:24" x14ac:dyDescent="0.3">
      <c r="Q291" s="3"/>
      <c r="R291" s="3"/>
      <c r="S291" s="3"/>
      <c r="T291" s="21"/>
      <c r="U291" s="3"/>
      <c r="V291" s="3">
        <f t="shared" si="25"/>
        <v>0</v>
      </c>
      <c r="W291" s="3" t="str">
        <f t="shared" si="26"/>
        <v>Ø16</v>
      </c>
      <c r="X291" s="3" t="str">
        <f t="shared" si="27"/>
        <v>Ø16</v>
      </c>
    </row>
    <row r="292" spans="17:24" x14ac:dyDescent="0.3">
      <c r="Q292" s="3"/>
      <c r="R292" s="3"/>
      <c r="S292" s="3"/>
      <c r="T292" s="21"/>
      <c r="U292" s="3"/>
      <c r="V292" s="3">
        <f t="shared" si="25"/>
        <v>0</v>
      </c>
      <c r="W292" s="3" t="str">
        <f t="shared" si="26"/>
        <v>Ø16</v>
      </c>
      <c r="X292" s="3" t="str">
        <f t="shared" si="27"/>
        <v>Ø16</v>
      </c>
    </row>
    <row r="293" spans="17:24" x14ac:dyDescent="0.3">
      <c r="Q293" s="3"/>
      <c r="R293" s="3"/>
      <c r="S293" s="3"/>
      <c r="T293" s="21"/>
      <c r="U293" s="3"/>
      <c r="V293" s="3">
        <f t="shared" si="25"/>
        <v>0</v>
      </c>
      <c r="W293" s="3" t="str">
        <f t="shared" si="26"/>
        <v>Ø16</v>
      </c>
      <c r="X293" s="3" t="str">
        <f t="shared" si="27"/>
        <v>Ø16</v>
      </c>
    </row>
    <row r="294" spans="17:24" x14ac:dyDescent="0.3">
      <c r="Q294" s="3"/>
      <c r="R294" s="3"/>
      <c r="S294" s="3"/>
      <c r="T294" s="21"/>
      <c r="U294" s="3"/>
      <c r="V294" s="3">
        <f t="shared" si="25"/>
        <v>0</v>
      </c>
      <c r="W294" s="3" t="str">
        <f t="shared" si="26"/>
        <v>Ø16</v>
      </c>
      <c r="X294" s="3" t="str">
        <f t="shared" si="27"/>
        <v>Ø16</v>
      </c>
    </row>
    <row r="295" spans="17:24" x14ac:dyDescent="0.3">
      <c r="Q295" s="3"/>
      <c r="R295" s="3"/>
      <c r="S295" s="3"/>
      <c r="T295" s="21"/>
      <c r="U295" s="3"/>
      <c r="V295" s="3">
        <f t="shared" si="25"/>
        <v>0</v>
      </c>
      <c r="W295" s="3" t="str">
        <f t="shared" si="26"/>
        <v>Ø16</v>
      </c>
      <c r="X295" s="3" t="str">
        <f t="shared" si="27"/>
        <v>Ø16</v>
      </c>
    </row>
    <row r="296" spans="17:24" x14ac:dyDescent="0.3">
      <c r="Q296" s="3"/>
      <c r="R296" s="3"/>
      <c r="S296" s="3"/>
      <c r="T296" s="21"/>
      <c r="U296" s="3"/>
      <c r="V296" s="3">
        <f t="shared" si="25"/>
        <v>0</v>
      </c>
      <c r="W296" s="3" t="str">
        <f t="shared" si="26"/>
        <v>Ø16</v>
      </c>
      <c r="X296" s="3" t="str">
        <f t="shared" si="27"/>
        <v>Ø16</v>
      </c>
    </row>
    <row r="297" spans="17:24" x14ac:dyDescent="0.3">
      <c r="Q297" s="3"/>
      <c r="R297" s="3"/>
      <c r="S297" s="3"/>
      <c r="T297" s="21"/>
      <c r="U297" s="3"/>
      <c r="V297" s="3">
        <f t="shared" si="25"/>
        <v>0</v>
      </c>
      <c r="W297" s="3" t="str">
        <f t="shared" si="26"/>
        <v>Ø16</v>
      </c>
      <c r="X297" s="3" t="str">
        <f t="shared" si="27"/>
        <v>Ø16</v>
      </c>
    </row>
    <row r="298" spans="17:24" x14ac:dyDescent="0.3">
      <c r="Q298" s="3"/>
      <c r="R298" s="3"/>
      <c r="S298" s="3"/>
      <c r="T298" s="21"/>
      <c r="U298" s="3"/>
      <c r="V298" s="3">
        <f t="shared" si="25"/>
        <v>0</v>
      </c>
      <c r="W298" s="3" t="str">
        <f t="shared" si="26"/>
        <v>Ø16</v>
      </c>
      <c r="X298" s="3" t="str">
        <f t="shared" si="27"/>
        <v>Ø16</v>
      </c>
    </row>
    <row r="299" spans="17:24" x14ac:dyDescent="0.3">
      <c r="Q299" s="3"/>
      <c r="R299" s="3"/>
      <c r="S299" s="3"/>
      <c r="T299" s="21"/>
      <c r="U299" s="3"/>
      <c r="V299" s="3">
        <f t="shared" si="25"/>
        <v>0</v>
      </c>
      <c r="W299" s="3" t="str">
        <f t="shared" si="26"/>
        <v>Ø16</v>
      </c>
      <c r="X299" s="3" t="str">
        <f t="shared" si="27"/>
        <v>Ø16</v>
      </c>
    </row>
    <row r="300" spans="17:24" x14ac:dyDescent="0.3">
      <c r="Q300" s="3"/>
      <c r="R300" s="3"/>
      <c r="S300" s="3"/>
      <c r="T300" s="21"/>
      <c r="U300" s="3"/>
      <c r="V300" s="3">
        <f t="shared" si="25"/>
        <v>0</v>
      </c>
      <c r="W300" s="3" t="str">
        <f t="shared" si="26"/>
        <v>Ø16</v>
      </c>
      <c r="X300" s="3" t="str">
        <f t="shared" si="27"/>
        <v>Ø16</v>
      </c>
    </row>
    <row r="301" spans="17:24" x14ac:dyDescent="0.3">
      <c r="Q301" s="3"/>
      <c r="R301" s="3"/>
      <c r="S301" s="3"/>
      <c r="T301" s="21"/>
      <c r="U301" s="3"/>
      <c r="V301" s="3">
        <f t="shared" si="25"/>
        <v>0</v>
      </c>
      <c r="W301" s="3" t="str">
        <f t="shared" si="26"/>
        <v>Ø16</v>
      </c>
      <c r="X301" s="3" t="str">
        <f t="shared" si="27"/>
        <v>Ø16</v>
      </c>
    </row>
    <row r="302" spans="17:24" x14ac:dyDescent="0.3">
      <c r="Q302" s="3"/>
      <c r="R302" s="3"/>
      <c r="S302" s="3"/>
      <c r="T302" s="21"/>
      <c r="U302" s="3"/>
      <c r="V302" s="3">
        <f t="shared" si="25"/>
        <v>0</v>
      </c>
      <c r="W302" s="3" t="str">
        <f t="shared" si="26"/>
        <v>Ø16</v>
      </c>
      <c r="X302" s="3" t="str">
        <f t="shared" si="27"/>
        <v>Ø16</v>
      </c>
    </row>
    <row r="303" spans="17:24" x14ac:dyDescent="0.3">
      <c r="Q303" s="3"/>
      <c r="R303" s="3"/>
      <c r="S303" s="3"/>
      <c r="T303" s="21"/>
      <c r="U303" s="3"/>
      <c r="V303" s="3">
        <f t="shared" si="25"/>
        <v>0</v>
      </c>
      <c r="W303" s="3" t="str">
        <f t="shared" si="26"/>
        <v>Ø16</v>
      </c>
      <c r="X303" s="3" t="str">
        <f t="shared" si="27"/>
        <v>Ø16</v>
      </c>
    </row>
    <row r="304" spans="17:24" x14ac:dyDescent="0.3">
      <c r="Q304" s="3"/>
      <c r="R304" s="3"/>
      <c r="S304" s="3"/>
      <c r="T304" s="21"/>
      <c r="U304" s="3"/>
      <c r="V304" s="3">
        <f t="shared" si="25"/>
        <v>0</v>
      </c>
      <c r="W304" s="3" t="str">
        <f t="shared" si="26"/>
        <v>Ø16</v>
      </c>
      <c r="X304" s="3" t="str">
        <f t="shared" si="27"/>
        <v>Ø16</v>
      </c>
    </row>
    <row r="305" spans="17:24" x14ac:dyDescent="0.3">
      <c r="Q305" s="3"/>
      <c r="R305" s="3"/>
      <c r="S305" s="3"/>
      <c r="T305" s="21"/>
      <c r="U305" s="3"/>
      <c r="V305" s="3">
        <f t="shared" si="25"/>
        <v>0</v>
      </c>
      <c r="W305" s="3" t="str">
        <f t="shared" si="26"/>
        <v>Ø16</v>
      </c>
      <c r="X305" s="3" t="str">
        <f t="shared" si="27"/>
        <v>Ø16</v>
      </c>
    </row>
    <row r="306" spans="17:24" x14ac:dyDescent="0.3">
      <c r="Q306" s="3"/>
      <c r="R306" s="3"/>
      <c r="S306" s="3"/>
      <c r="T306" s="21"/>
      <c r="U306" s="3"/>
      <c r="V306" s="3">
        <f t="shared" si="25"/>
        <v>0</v>
      </c>
      <c r="W306" s="3" t="str">
        <f t="shared" si="26"/>
        <v>Ø16</v>
      </c>
      <c r="X306" s="3" t="str">
        <f t="shared" si="27"/>
        <v>Ø16</v>
      </c>
    </row>
    <row r="307" spans="17:24" x14ac:dyDescent="0.3">
      <c r="Q307" s="3"/>
      <c r="R307" s="3"/>
      <c r="S307" s="3"/>
      <c r="T307" s="21"/>
      <c r="U307" s="3"/>
      <c r="V307" s="3">
        <f t="shared" si="25"/>
        <v>0</v>
      </c>
      <c r="W307" s="3" t="str">
        <f t="shared" si="26"/>
        <v>Ø16</v>
      </c>
      <c r="X307" s="3" t="str">
        <f t="shared" si="27"/>
        <v>Ø16</v>
      </c>
    </row>
    <row r="308" spans="17:24" x14ac:dyDescent="0.3">
      <c r="Q308" s="3"/>
      <c r="R308" s="3"/>
      <c r="S308" s="3"/>
      <c r="T308" s="21"/>
      <c r="U308" s="3"/>
      <c r="V308" s="3">
        <f t="shared" si="25"/>
        <v>0</v>
      </c>
      <c r="W308" s="3" t="str">
        <f t="shared" si="26"/>
        <v>Ø16</v>
      </c>
      <c r="X308" s="3" t="str">
        <f t="shared" si="27"/>
        <v>Ø16</v>
      </c>
    </row>
    <row r="309" spans="17:24" x14ac:dyDescent="0.3">
      <c r="Q309" s="3"/>
      <c r="R309" s="3"/>
      <c r="S309" s="3"/>
      <c r="T309" s="21"/>
      <c r="U309" s="3"/>
      <c r="V309" s="3">
        <f t="shared" si="25"/>
        <v>0</v>
      </c>
      <c r="W309" s="3" t="str">
        <f t="shared" si="26"/>
        <v>Ø16</v>
      </c>
      <c r="X309" s="3" t="str">
        <f t="shared" si="27"/>
        <v>Ø16</v>
      </c>
    </row>
    <row r="310" spans="17:24" x14ac:dyDescent="0.3">
      <c r="Q310" s="3"/>
      <c r="R310" s="3"/>
      <c r="S310" s="3"/>
      <c r="T310" s="21"/>
      <c r="U310" s="3"/>
      <c r="V310" s="3">
        <f t="shared" si="25"/>
        <v>0</v>
      </c>
      <c r="W310" s="3" t="str">
        <f t="shared" si="26"/>
        <v>Ø16</v>
      </c>
      <c r="X310" s="3" t="str">
        <f t="shared" si="27"/>
        <v>Ø16</v>
      </c>
    </row>
    <row r="311" spans="17:24" x14ac:dyDescent="0.3">
      <c r="Q311" s="3"/>
      <c r="R311" s="3"/>
      <c r="S311" s="3"/>
      <c r="T311" s="21"/>
      <c r="U311" s="3"/>
      <c r="V311" s="3">
        <f t="shared" si="25"/>
        <v>0</v>
      </c>
      <c r="W311" s="3" t="str">
        <f t="shared" si="26"/>
        <v>Ø16</v>
      </c>
      <c r="X311" s="3" t="str">
        <f t="shared" si="27"/>
        <v>Ø16</v>
      </c>
    </row>
    <row r="312" spans="17:24" x14ac:dyDescent="0.3">
      <c r="Q312" s="3"/>
      <c r="R312" s="3"/>
      <c r="S312" s="3"/>
      <c r="T312" s="21"/>
      <c r="U312" s="3"/>
      <c r="V312" s="3">
        <f t="shared" si="25"/>
        <v>0</v>
      </c>
      <c r="W312" s="3" t="str">
        <f t="shared" si="26"/>
        <v>Ø16</v>
      </c>
      <c r="X312" s="3" t="str">
        <f t="shared" si="27"/>
        <v>Ø16</v>
      </c>
    </row>
    <row r="313" spans="17:24" x14ac:dyDescent="0.3">
      <c r="Q313" s="3"/>
      <c r="R313" s="3"/>
      <c r="S313" s="3"/>
      <c r="T313" s="21"/>
      <c r="U313" s="3"/>
      <c r="V313" s="3">
        <f t="shared" si="25"/>
        <v>0</v>
      </c>
      <c r="W313" s="3" t="str">
        <f t="shared" si="26"/>
        <v>Ø16</v>
      </c>
      <c r="X313" s="3" t="str">
        <f t="shared" si="27"/>
        <v>Ø16</v>
      </c>
    </row>
    <row r="314" spans="17:24" x14ac:dyDescent="0.3">
      <c r="Q314" s="3"/>
      <c r="R314" s="3"/>
      <c r="S314" s="3"/>
      <c r="T314" s="21"/>
      <c r="U314" s="3"/>
      <c r="V314" s="3">
        <f t="shared" si="25"/>
        <v>0</v>
      </c>
      <c r="W314" s="3" t="str">
        <f t="shared" si="26"/>
        <v>Ø16</v>
      </c>
      <c r="X314" s="3" t="str">
        <f t="shared" si="27"/>
        <v>Ø16</v>
      </c>
    </row>
    <row r="315" spans="17:24" x14ac:dyDescent="0.3">
      <c r="Q315" s="3"/>
      <c r="R315" s="3"/>
      <c r="S315" s="3"/>
      <c r="T315" s="21"/>
      <c r="U315" s="3"/>
      <c r="V315" s="3">
        <f t="shared" si="25"/>
        <v>0</v>
      </c>
      <c r="W315" s="3" t="str">
        <f t="shared" si="26"/>
        <v>Ø16</v>
      </c>
      <c r="X315" s="3" t="str">
        <f t="shared" si="27"/>
        <v>Ø16</v>
      </c>
    </row>
    <row r="316" spans="17:24" x14ac:dyDescent="0.3">
      <c r="Q316" s="3"/>
      <c r="R316" s="3"/>
      <c r="S316" s="3"/>
      <c r="T316" s="21"/>
      <c r="U316" s="3"/>
      <c r="V316" s="3">
        <f t="shared" si="25"/>
        <v>0</v>
      </c>
      <c r="W316" s="3" t="str">
        <f t="shared" si="26"/>
        <v>Ø16</v>
      </c>
      <c r="X316" s="3" t="str">
        <f t="shared" si="27"/>
        <v>Ø16</v>
      </c>
    </row>
    <row r="317" spans="17:24" x14ac:dyDescent="0.3">
      <c r="Q317" s="3"/>
      <c r="R317" s="3"/>
      <c r="S317" s="3"/>
      <c r="T317" s="21"/>
      <c r="U317" s="3"/>
      <c r="V317" s="3">
        <f t="shared" si="25"/>
        <v>0</v>
      </c>
      <c r="W317" s="3" t="str">
        <f t="shared" si="26"/>
        <v>Ø16</v>
      </c>
      <c r="X317" s="3" t="str">
        <f t="shared" si="27"/>
        <v>Ø16</v>
      </c>
    </row>
    <row r="318" spans="17:24" x14ac:dyDescent="0.3">
      <c r="Q318" s="3"/>
      <c r="R318" s="3"/>
      <c r="S318" s="3"/>
      <c r="T318" s="21"/>
      <c r="U318" s="3"/>
      <c r="V318" s="3">
        <f t="shared" si="25"/>
        <v>0</v>
      </c>
      <c r="W318" s="3" t="str">
        <f t="shared" si="26"/>
        <v>Ø16</v>
      </c>
      <c r="X318" s="3" t="str">
        <f t="shared" si="27"/>
        <v>Ø16</v>
      </c>
    </row>
    <row r="319" spans="17:24" x14ac:dyDescent="0.3">
      <c r="Q319" s="3"/>
      <c r="R319" s="3"/>
      <c r="S319" s="3"/>
      <c r="T319" s="21"/>
      <c r="U319" s="3"/>
      <c r="V319" s="3">
        <f t="shared" si="25"/>
        <v>0</v>
      </c>
      <c r="W319" s="3" t="str">
        <f t="shared" si="26"/>
        <v>Ø16</v>
      </c>
      <c r="X319" s="3" t="str">
        <f t="shared" si="27"/>
        <v>Ø16</v>
      </c>
    </row>
    <row r="320" spans="17:24" x14ac:dyDescent="0.3">
      <c r="Q320" s="3"/>
      <c r="R320" s="3"/>
      <c r="S320" s="3"/>
      <c r="T320" s="21"/>
      <c r="U320" s="3"/>
      <c r="V320" s="3">
        <f t="shared" si="25"/>
        <v>0</v>
      </c>
      <c r="W320" s="3" t="str">
        <f t="shared" si="26"/>
        <v>Ø16</v>
      </c>
      <c r="X320" s="3" t="str">
        <f t="shared" si="27"/>
        <v>Ø16</v>
      </c>
    </row>
    <row r="321" spans="17:24" x14ac:dyDescent="0.3">
      <c r="Q321" s="3"/>
      <c r="R321" s="3"/>
      <c r="S321" s="3"/>
      <c r="T321" s="21"/>
      <c r="U321" s="3"/>
      <c r="V321" s="3">
        <f t="shared" si="25"/>
        <v>0</v>
      </c>
      <c r="W321" s="3" t="str">
        <f t="shared" si="26"/>
        <v>Ø16</v>
      </c>
      <c r="X321" s="3" t="str">
        <f t="shared" si="27"/>
        <v>Ø16</v>
      </c>
    </row>
    <row r="322" spans="17:24" x14ac:dyDescent="0.3">
      <c r="Q322" s="3"/>
      <c r="R322" s="3"/>
      <c r="S322" s="3"/>
      <c r="T322" s="21"/>
      <c r="U322" s="3"/>
      <c r="V322" s="3">
        <f t="shared" si="25"/>
        <v>0</v>
      </c>
      <c r="W322" s="3" t="str">
        <f t="shared" si="26"/>
        <v>Ø16</v>
      </c>
      <c r="X322" s="3" t="str">
        <f t="shared" si="27"/>
        <v>Ø16</v>
      </c>
    </row>
    <row r="323" spans="17:24" x14ac:dyDescent="0.3">
      <c r="Q323" s="3"/>
      <c r="R323" s="3"/>
      <c r="S323" s="3"/>
      <c r="T323" s="21"/>
      <c r="U323" s="3"/>
      <c r="V323" s="3">
        <f t="shared" si="25"/>
        <v>0</v>
      </c>
      <c r="W323" s="3" t="str">
        <f t="shared" si="26"/>
        <v>Ø16</v>
      </c>
      <c r="X323" s="3" t="str">
        <f t="shared" si="27"/>
        <v>Ø16</v>
      </c>
    </row>
    <row r="324" spans="17:24" x14ac:dyDescent="0.3">
      <c r="Q324" s="3"/>
      <c r="R324" s="3"/>
      <c r="S324" s="3"/>
      <c r="T324" s="21"/>
      <c r="U324" s="3"/>
      <c r="V324" s="3">
        <f t="shared" si="25"/>
        <v>0</v>
      </c>
      <c r="W324" s="3" t="str">
        <f t="shared" si="26"/>
        <v>Ø16</v>
      </c>
      <c r="X324" s="3" t="str">
        <f t="shared" si="27"/>
        <v>Ø16</v>
      </c>
    </row>
    <row r="325" spans="17:24" x14ac:dyDescent="0.3">
      <c r="Q325" s="3"/>
      <c r="R325" s="3"/>
      <c r="S325" s="3"/>
      <c r="T325" s="21"/>
      <c r="U325" s="3"/>
      <c r="V325" s="3">
        <f t="shared" ref="V325:V388" si="28">U325*1.2</f>
        <v>0</v>
      </c>
      <c r="W325" s="3" t="str">
        <f t="shared" ref="W325:W388" si="29">"Ø"&amp;VLOOKUP(V325,$Z$4:$AA$10,2,TRUE)</f>
        <v>Ø16</v>
      </c>
      <c r="X325" s="3" t="str">
        <f t="shared" ref="X325:X388" si="30">"Ø"&amp;VLOOKUP(V325,$AD$4:$AE$10,2,TRUE)</f>
        <v>Ø16</v>
      </c>
    </row>
    <row r="326" spans="17:24" x14ac:dyDescent="0.3">
      <c r="Q326" s="3"/>
      <c r="R326" s="3"/>
      <c r="S326" s="3"/>
      <c r="T326" s="21"/>
      <c r="U326" s="3"/>
      <c r="V326" s="3">
        <f t="shared" si="28"/>
        <v>0</v>
      </c>
      <c r="W326" s="3" t="str">
        <f t="shared" si="29"/>
        <v>Ø16</v>
      </c>
      <c r="X326" s="3" t="str">
        <f t="shared" si="30"/>
        <v>Ø16</v>
      </c>
    </row>
    <row r="327" spans="17:24" x14ac:dyDescent="0.3">
      <c r="Q327" s="3"/>
      <c r="R327" s="3"/>
      <c r="S327" s="3"/>
      <c r="T327" s="21"/>
      <c r="U327" s="3"/>
      <c r="V327" s="3">
        <f t="shared" si="28"/>
        <v>0</v>
      </c>
      <c r="W327" s="3" t="str">
        <f t="shared" si="29"/>
        <v>Ø16</v>
      </c>
      <c r="X327" s="3" t="str">
        <f t="shared" si="30"/>
        <v>Ø16</v>
      </c>
    </row>
    <row r="328" spans="17:24" x14ac:dyDescent="0.3">
      <c r="Q328" s="3"/>
      <c r="R328" s="3"/>
      <c r="S328" s="3"/>
      <c r="T328" s="21"/>
      <c r="U328" s="3"/>
      <c r="V328" s="3">
        <f t="shared" si="28"/>
        <v>0</v>
      </c>
      <c r="W328" s="3" t="str">
        <f t="shared" si="29"/>
        <v>Ø16</v>
      </c>
      <c r="X328" s="3" t="str">
        <f t="shared" si="30"/>
        <v>Ø16</v>
      </c>
    </row>
    <row r="329" spans="17:24" x14ac:dyDescent="0.3">
      <c r="Q329" s="3"/>
      <c r="R329" s="3"/>
      <c r="S329" s="3"/>
      <c r="T329" s="21"/>
      <c r="U329" s="3"/>
      <c r="V329" s="3">
        <f t="shared" si="28"/>
        <v>0</v>
      </c>
      <c r="W329" s="3" t="str">
        <f t="shared" si="29"/>
        <v>Ø16</v>
      </c>
      <c r="X329" s="3" t="str">
        <f t="shared" si="30"/>
        <v>Ø16</v>
      </c>
    </row>
    <row r="330" spans="17:24" x14ac:dyDescent="0.3">
      <c r="Q330" s="3"/>
      <c r="R330" s="3"/>
      <c r="S330" s="3"/>
      <c r="T330" s="21"/>
      <c r="U330" s="3"/>
      <c r="V330" s="3">
        <f t="shared" si="28"/>
        <v>0</v>
      </c>
      <c r="W330" s="3" t="str">
        <f t="shared" si="29"/>
        <v>Ø16</v>
      </c>
      <c r="X330" s="3" t="str">
        <f t="shared" si="30"/>
        <v>Ø16</v>
      </c>
    </row>
    <row r="331" spans="17:24" x14ac:dyDescent="0.3">
      <c r="Q331" s="3"/>
      <c r="R331" s="3"/>
      <c r="S331" s="3"/>
      <c r="T331" s="21"/>
      <c r="U331" s="3"/>
      <c r="V331" s="3">
        <f t="shared" si="28"/>
        <v>0</v>
      </c>
      <c r="W331" s="3" t="str">
        <f t="shared" si="29"/>
        <v>Ø16</v>
      </c>
      <c r="X331" s="3" t="str">
        <f t="shared" si="30"/>
        <v>Ø16</v>
      </c>
    </row>
    <row r="332" spans="17:24" x14ac:dyDescent="0.3">
      <c r="Q332" s="3"/>
      <c r="R332" s="3"/>
      <c r="S332" s="3"/>
      <c r="T332" s="21"/>
      <c r="U332" s="3"/>
      <c r="V332" s="3">
        <f t="shared" si="28"/>
        <v>0</v>
      </c>
      <c r="W332" s="3" t="str">
        <f t="shared" si="29"/>
        <v>Ø16</v>
      </c>
      <c r="X332" s="3" t="str">
        <f t="shared" si="30"/>
        <v>Ø16</v>
      </c>
    </row>
    <row r="333" spans="17:24" x14ac:dyDescent="0.3">
      <c r="Q333" s="3"/>
      <c r="R333" s="3"/>
      <c r="S333" s="3"/>
      <c r="T333" s="21"/>
      <c r="U333" s="3"/>
      <c r="V333" s="3">
        <f t="shared" si="28"/>
        <v>0</v>
      </c>
      <c r="W333" s="3" t="str">
        <f t="shared" si="29"/>
        <v>Ø16</v>
      </c>
      <c r="X333" s="3" t="str">
        <f t="shared" si="30"/>
        <v>Ø16</v>
      </c>
    </row>
    <row r="334" spans="17:24" x14ac:dyDescent="0.3">
      <c r="Q334" s="3"/>
      <c r="R334" s="3"/>
      <c r="S334" s="3"/>
      <c r="T334" s="21"/>
      <c r="U334" s="3"/>
      <c r="V334" s="3">
        <f t="shared" si="28"/>
        <v>0</v>
      </c>
      <c r="W334" s="3" t="str">
        <f t="shared" si="29"/>
        <v>Ø16</v>
      </c>
      <c r="X334" s="3" t="str">
        <f t="shared" si="30"/>
        <v>Ø16</v>
      </c>
    </row>
    <row r="335" spans="17:24" x14ac:dyDescent="0.3">
      <c r="Q335" s="3"/>
      <c r="R335" s="3"/>
      <c r="S335" s="3"/>
      <c r="T335" s="21"/>
      <c r="U335" s="3"/>
      <c r="V335" s="3">
        <f t="shared" si="28"/>
        <v>0</v>
      </c>
      <c r="W335" s="3" t="str">
        <f t="shared" si="29"/>
        <v>Ø16</v>
      </c>
      <c r="X335" s="3" t="str">
        <f t="shared" si="30"/>
        <v>Ø16</v>
      </c>
    </row>
    <row r="336" spans="17:24" x14ac:dyDescent="0.3">
      <c r="Q336" s="3"/>
      <c r="R336" s="3"/>
      <c r="S336" s="3"/>
      <c r="T336" s="21"/>
      <c r="U336" s="3"/>
      <c r="V336" s="3">
        <f t="shared" si="28"/>
        <v>0</v>
      </c>
      <c r="W336" s="3" t="str">
        <f t="shared" si="29"/>
        <v>Ø16</v>
      </c>
      <c r="X336" s="3" t="str">
        <f t="shared" si="30"/>
        <v>Ø16</v>
      </c>
    </row>
    <row r="337" spans="17:24" x14ac:dyDescent="0.3">
      <c r="Q337" s="3"/>
      <c r="R337" s="3"/>
      <c r="S337" s="3"/>
      <c r="T337" s="21"/>
      <c r="U337" s="3"/>
      <c r="V337" s="3">
        <f t="shared" si="28"/>
        <v>0</v>
      </c>
      <c r="W337" s="3" t="str">
        <f t="shared" si="29"/>
        <v>Ø16</v>
      </c>
      <c r="X337" s="3" t="str">
        <f t="shared" si="30"/>
        <v>Ø16</v>
      </c>
    </row>
    <row r="338" spans="17:24" x14ac:dyDescent="0.3">
      <c r="Q338" s="3"/>
      <c r="R338" s="3"/>
      <c r="S338" s="3"/>
      <c r="T338" s="21"/>
      <c r="U338" s="3"/>
      <c r="V338" s="3">
        <f t="shared" si="28"/>
        <v>0</v>
      </c>
      <c r="W338" s="3" t="str">
        <f t="shared" si="29"/>
        <v>Ø16</v>
      </c>
      <c r="X338" s="3" t="str">
        <f t="shared" si="30"/>
        <v>Ø16</v>
      </c>
    </row>
    <row r="339" spans="17:24" x14ac:dyDescent="0.3">
      <c r="Q339" s="3"/>
      <c r="R339" s="3"/>
      <c r="S339" s="3"/>
      <c r="T339" s="21"/>
      <c r="U339" s="3"/>
      <c r="V339" s="3">
        <f t="shared" si="28"/>
        <v>0</v>
      </c>
      <c r="W339" s="3" t="str">
        <f t="shared" si="29"/>
        <v>Ø16</v>
      </c>
      <c r="X339" s="3" t="str">
        <f t="shared" si="30"/>
        <v>Ø16</v>
      </c>
    </row>
    <row r="340" spans="17:24" x14ac:dyDescent="0.3">
      <c r="Q340" s="3"/>
      <c r="R340" s="3"/>
      <c r="S340" s="3"/>
      <c r="T340" s="21"/>
      <c r="U340" s="3"/>
      <c r="V340" s="3">
        <f t="shared" si="28"/>
        <v>0</v>
      </c>
      <c r="W340" s="3" t="str">
        <f t="shared" si="29"/>
        <v>Ø16</v>
      </c>
      <c r="X340" s="3" t="str">
        <f t="shared" si="30"/>
        <v>Ø16</v>
      </c>
    </row>
    <row r="341" spans="17:24" x14ac:dyDescent="0.3">
      <c r="Q341" s="3"/>
      <c r="R341" s="3"/>
      <c r="S341" s="3"/>
      <c r="T341" s="21"/>
      <c r="U341" s="3"/>
      <c r="V341" s="3">
        <f t="shared" si="28"/>
        <v>0</v>
      </c>
      <c r="W341" s="3" t="str">
        <f t="shared" si="29"/>
        <v>Ø16</v>
      </c>
      <c r="X341" s="3" t="str">
        <f t="shared" si="30"/>
        <v>Ø16</v>
      </c>
    </row>
    <row r="342" spans="17:24" x14ac:dyDescent="0.3">
      <c r="Q342" s="3"/>
      <c r="R342" s="3"/>
      <c r="S342" s="3"/>
      <c r="T342" s="21"/>
      <c r="U342" s="3"/>
      <c r="V342" s="3">
        <f t="shared" si="28"/>
        <v>0</v>
      </c>
      <c r="W342" s="3" t="str">
        <f t="shared" si="29"/>
        <v>Ø16</v>
      </c>
      <c r="X342" s="3" t="str">
        <f t="shared" si="30"/>
        <v>Ø16</v>
      </c>
    </row>
    <row r="343" spans="17:24" x14ac:dyDescent="0.3">
      <c r="Q343" s="3"/>
      <c r="R343" s="3"/>
      <c r="S343" s="3"/>
      <c r="T343" s="21"/>
      <c r="U343" s="3"/>
      <c r="V343" s="3">
        <f t="shared" si="28"/>
        <v>0</v>
      </c>
      <c r="W343" s="3" t="str">
        <f t="shared" si="29"/>
        <v>Ø16</v>
      </c>
      <c r="X343" s="3" t="str">
        <f t="shared" si="30"/>
        <v>Ø16</v>
      </c>
    </row>
    <row r="344" spans="17:24" x14ac:dyDescent="0.3">
      <c r="Q344" s="3"/>
      <c r="R344" s="3"/>
      <c r="S344" s="3"/>
      <c r="T344" s="21"/>
      <c r="U344" s="3"/>
      <c r="V344" s="3">
        <f t="shared" si="28"/>
        <v>0</v>
      </c>
      <c r="W344" s="3" t="str">
        <f t="shared" si="29"/>
        <v>Ø16</v>
      </c>
      <c r="X344" s="3" t="str">
        <f t="shared" si="30"/>
        <v>Ø16</v>
      </c>
    </row>
    <row r="345" spans="17:24" x14ac:dyDescent="0.3">
      <c r="Q345" s="3"/>
      <c r="R345" s="3"/>
      <c r="S345" s="3"/>
      <c r="T345" s="21"/>
      <c r="U345" s="3"/>
      <c r="V345" s="3">
        <f t="shared" si="28"/>
        <v>0</v>
      </c>
      <c r="W345" s="3" t="str">
        <f t="shared" si="29"/>
        <v>Ø16</v>
      </c>
      <c r="X345" s="3" t="str">
        <f t="shared" si="30"/>
        <v>Ø16</v>
      </c>
    </row>
    <row r="346" spans="17:24" x14ac:dyDescent="0.3">
      <c r="Q346" s="3"/>
      <c r="R346" s="3"/>
      <c r="S346" s="3"/>
      <c r="T346" s="21"/>
      <c r="U346" s="3"/>
      <c r="V346" s="3">
        <f t="shared" si="28"/>
        <v>0</v>
      </c>
      <c r="W346" s="3" t="str">
        <f t="shared" si="29"/>
        <v>Ø16</v>
      </c>
      <c r="X346" s="3" t="str">
        <f t="shared" si="30"/>
        <v>Ø16</v>
      </c>
    </row>
    <row r="347" spans="17:24" x14ac:dyDescent="0.3">
      <c r="Q347" s="3"/>
      <c r="R347" s="3"/>
      <c r="S347" s="3"/>
      <c r="T347" s="21"/>
      <c r="U347" s="3"/>
      <c r="V347" s="3">
        <f t="shared" si="28"/>
        <v>0</v>
      </c>
      <c r="W347" s="3" t="str">
        <f t="shared" si="29"/>
        <v>Ø16</v>
      </c>
      <c r="X347" s="3" t="str">
        <f t="shared" si="30"/>
        <v>Ø16</v>
      </c>
    </row>
    <row r="348" spans="17:24" x14ac:dyDescent="0.3">
      <c r="Q348" s="3"/>
      <c r="R348" s="3"/>
      <c r="S348" s="3"/>
      <c r="T348" s="21"/>
      <c r="U348" s="3"/>
      <c r="V348" s="3">
        <f t="shared" si="28"/>
        <v>0</v>
      </c>
      <c r="W348" s="3" t="str">
        <f t="shared" si="29"/>
        <v>Ø16</v>
      </c>
      <c r="X348" s="3" t="str">
        <f t="shared" si="30"/>
        <v>Ø16</v>
      </c>
    </row>
    <row r="349" spans="17:24" x14ac:dyDescent="0.3">
      <c r="Q349" s="3"/>
      <c r="R349" s="3"/>
      <c r="S349" s="3"/>
      <c r="T349" s="21"/>
      <c r="U349" s="3"/>
      <c r="V349" s="3">
        <f t="shared" si="28"/>
        <v>0</v>
      </c>
      <c r="W349" s="3" t="str">
        <f t="shared" si="29"/>
        <v>Ø16</v>
      </c>
      <c r="X349" s="3" t="str">
        <f t="shared" si="30"/>
        <v>Ø16</v>
      </c>
    </row>
    <row r="350" spans="17:24" x14ac:dyDescent="0.3">
      <c r="Q350" s="3"/>
      <c r="R350" s="3"/>
      <c r="S350" s="3"/>
      <c r="T350" s="21"/>
      <c r="U350" s="3"/>
      <c r="V350" s="3">
        <f t="shared" si="28"/>
        <v>0</v>
      </c>
      <c r="W350" s="3" t="str">
        <f t="shared" si="29"/>
        <v>Ø16</v>
      </c>
      <c r="X350" s="3" t="str">
        <f t="shared" si="30"/>
        <v>Ø16</v>
      </c>
    </row>
    <row r="351" spans="17:24" x14ac:dyDescent="0.3">
      <c r="Q351" s="3"/>
      <c r="R351" s="3"/>
      <c r="S351" s="3"/>
      <c r="T351" s="21"/>
      <c r="U351" s="3"/>
      <c r="V351" s="3">
        <f t="shared" si="28"/>
        <v>0</v>
      </c>
      <c r="W351" s="3" t="str">
        <f t="shared" si="29"/>
        <v>Ø16</v>
      </c>
      <c r="X351" s="3" t="str">
        <f t="shared" si="30"/>
        <v>Ø16</v>
      </c>
    </row>
    <row r="352" spans="17:24" x14ac:dyDescent="0.3">
      <c r="Q352" s="3"/>
      <c r="R352" s="3"/>
      <c r="S352" s="3"/>
      <c r="T352" s="21"/>
      <c r="U352" s="3"/>
      <c r="V352" s="3">
        <f t="shared" si="28"/>
        <v>0</v>
      </c>
      <c r="W352" s="3" t="str">
        <f t="shared" si="29"/>
        <v>Ø16</v>
      </c>
      <c r="X352" s="3" t="str">
        <f t="shared" si="30"/>
        <v>Ø16</v>
      </c>
    </row>
    <row r="353" spans="17:24" x14ac:dyDescent="0.3">
      <c r="Q353" s="3"/>
      <c r="R353" s="3"/>
      <c r="S353" s="3"/>
      <c r="T353" s="21"/>
      <c r="U353" s="3"/>
      <c r="V353" s="3">
        <f t="shared" si="28"/>
        <v>0</v>
      </c>
      <c r="W353" s="3" t="str">
        <f t="shared" si="29"/>
        <v>Ø16</v>
      </c>
      <c r="X353" s="3" t="str">
        <f t="shared" si="30"/>
        <v>Ø16</v>
      </c>
    </row>
    <row r="354" spans="17:24" x14ac:dyDescent="0.3">
      <c r="Q354" s="3"/>
      <c r="R354" s="3"/>
      <c r="S354" s="3"/>
      <c r="T354" s="21"/>
      <c r="U354" s="3"/>
      <c r="V354" s="3">
        <f t="shared" si="28"/>
        <v>0</v>
      </c>
      <c r="W354" s="3" t="str">
        <f t="shared" si="29"/>
        <v>Ø16</v>
      </c>
      <c r="X354" s="3" t="str">
        <f t="shared" si="30"/>
        <v>Ø16</v>
      </c>
    </row>
    <row r="355" spans="17:24" x14ac:dyDescent="0.3">
      <c r="Q355" s="3"/>
      <c r="R355" s="3"/>
      <c r="S355" s="3"/>
      <c r="T355" s="21"/>
      <c r="U355" s="3"/>
      <c r="V355" s="3">
        <f t="shared" si="28"/>
        <v>0</v>
      </c>
      <c r="W355" s="3" t="str">
        <f t="shared" si="29"/>
        <v>Ø16</v>
      </c>
      <c r="X355" s="3" t="str">
        <f t="shared" si="30"/>
        <v>Ø16</v>
      </c>
    </row>
    <row r="356" spans="17:24" x14ac:dyDescent="0.3">
      <c r="Q356" s="3"/>
      <c r="R356" s="3"/>
      <c r="S356" s="3"/>
      <c r="T356" s="21"/>
      <c r="U356" s="3"/>
      <c r="V356" s="3">
        <f t="shared" si="28"/>
        <v>0</v>
      </c>
      <c r="W356" s="3" t="str">
        <f t="shared" si="29"/>
        <v>Ø16</v>
      </c>
      <c r="X356" s="3" t="str">
        <f t="shared" si="30"/>
        <v>Ø16</v>
      </c>
    </row>
    <row r="357" spans="17:24" x14ac:dyDescent="0.3">
      <c r="Q357" s="3"/>
      <c r="R357" s="3"/>
      <c r="S357" s="3"/>
      <c r="T357" s="21"/>
      <c r="U357" s="3"/>
      <c r="V357" s="3">
        <f t="shared" si="28"/>
        <v>0</v>
      </c>
      <c r="W357" s="3" t="str">
        <f t="shared" si="29"/>
        <v>Ø16</v>
      </c>
      <c r="X357" s="3" t="str">
        <f t="shared" si="30"/>
        <v>Ø16</v>
      </c>
    </row>
    <row r="358" spans="17:24" x14ac:dyDescent="0.3">
      <c r="Q358" s="3"/>
      <c r="R358" s="3"/>
      <c r="S358" s="3"/>
      <c r="T358" s="21"/>
      <c r="U358" s="3"/>
      <c r="V358" s="3">
        <f t="shared" si="28"/>
        <v>0</v>
      </c>
      <c r="W358" s="3" t="str">
        <f t="shared" si="29"/>
        <v>Ø16</v>
      </c>
      <c r="X358" s="3" t="str">
        <f t="shared" si="30"/>
        <v>Ø16</v>
      </c>
    </row>
    <row r="359" spans="17:24" x14ac:dyDescent="0.3">
      <c r="Q359" s="3"/>
      <c r="R359" s="3"/>
      <c r="S359" s="3"/>
      <c r="T359" s="21"/>
      <c r="U359" s="3"/>
      <c r="V359" s="3">
        <f t="shared" si="28"/>
        <v>0</v>
      </c>
      <c r="W359" s="3" t="str">
        <f t="shared" si="29"/>
        <v>Ø16</v>
      </c>
      <c r="X359" s="3" t="str">
        <f t="shared" si="30"/>
        <v>Ø16</v>
      </c>
    </row>
    <row r="360" spans="17:24" x14ac:dyDescent="0.3">
      <c r="Q360" s="3"/>
      <c r="R360" s="3"/>
      <c r="S360" s="3"/>
      <c r="T360" s="21"/>
      <c r="U360" s="3"/>
      <c r="V360" s="3">
        <f t="shared" si="28"/>
        <v>0</v>
      </c>
      <c r="W360" s="3" t="str">
        <f t="shared" si="29"/>
        <v>Ø16</v>
      </c>
      <c r="X360" s="3" t="str">
        <f t="shared" si="30"/>
        <v>Ø16</v>
      </c>
    </row>
    <row r="361" spans="17:24" x14ac:dyDescent="0.3">
      <c r="Q361" s="3"/>
      <c r="R361" s="3"/>
      <c r="S361" s="3"/>
      <c r="T361" s="21"/>
      <c r="U361" s="3"/>
      <c r="V361" s="3">
        <f t="shared" si="28"/>
        <v>0</v>
      </c>
      <c r="W361" s="3" t="str">
        <f t="shared" si="29"/>
        <v>Ø16</v>
      </c>
      <c r="X361" s="3" t="str">
        <f t="shared" si="30"/>
        <v>Ø16</v>
      </c>
    </row>
    <row r="362" spans="17:24" x14ac:dyDescent="0.3">
      <c r="Q362" s="3"/>
      <c r="R362" s="3"/>
      <c r="S362" s="3"/>
      <c r="T362" s="21"/>
      <c r="U362" s="3"/>
      <c r="V362" s="3">
        <f t="shared" si="28"/>
        <v>0</v>
      </c>
      <c r="W362" s="3" t="str">
        <f t="shared" si="29"/>
        <v>Ø16</v>
      </c>
      <c r="X362" s="3" t="str">
        <f t="shared" si="30"/>
        <v>Ø16</v>
      </c>
    </row>
    <row r="363" spans="17:24" x14ac:dyDescent="0.3">
      <c r="Q363" s="3"/>
      <c r="R363" s="3"/>
      <c r="S363" s="3"/>
      <c r="T363" s="21"/>
      <c r="U363" s="3"/>
      <c r="V363" s="3">
        <f t="shared" si="28"/>
        <v>0</v>
      </c>
      <c r="W363" s="3" t="str">
        <f t="shared" si="29"/>
        <v>Ø16</v>
      </c>
      <c r="X363" s="3" t="str">
        <f t="shared" si="30"/>
        <v>Ø16</v>
      </c>
    </row>
    <row r="364" spans="17:24" x14ac:dyDescent="0.3">
      <c r="Q364" s="3"/>
      <c r="R364" s="3"/>
      <c r="S364" s="3"/>
      <c r="T364" s="21"/>
      <c r="U364" s="3"/>
      <c r="V364" s="3">
        <f t="shared" si="28"/>
        <v>0</v>
      </c>
      <c r="W364" s="3" t="str">
        <f t="shared" si="29"/>
        <v>Ø16</v>
      </c>
      <c r="X364" s="3" t="str">
        <f t="shared" si="30"/>
        <v>Ø16</v>
      </c>
    </row>
    <row r="365" spans="17:24" x14ac:dyDescent="0.3">
      <c r="Q365" s="3"/>
      <c r="R365" s="3"/>
      <c r="S365" s="3"/>
      <c r="T365" s="21"/>
      <c r="U365" s="3"/>
      <c r="V365" s="3">
        <f t="shared" si="28"/>
        <v>0</v>
      </c>
      <c r="W365" s="3" t="str">
        <f t="shared" si="29"/>
        <v>Ø16</v>
      </c>
      <c r="X365" s="3" t="str">
        <f t="shared" si="30"/>
        <v>Ø16</v>
      </c>
    </row>
    <row r="366" spans="17:24" x14ac:dyDescent="0.3">
      <c r="Q366" s="3"/>
      <c r="R366" s="3"/>
      <c r="S366" s="3"/>
      <c r="T366" s="21"/>
      <c r="U366" s="3"/>
      <c r="V366" s="3">
        <f t="shared" si="28"/>
        <v>0</v>
      </c>
      <c r="W366" s="3" t="str">
        <f t="shared" si="29"/>
        <v>Ø16</v>
      </c>
      <c r="X366" s="3" t="str">
        <f t="shared" si="30"/>
        <v>Ø16</v>
      </c>
    </row>
    <row r="367" spans="17:24" x14ac:dyDescent="0.3">
      <c r="Q367" s="3"/>
      <c r="R367" s="3"/>
      <c r="S367" s="3"/>
      <c r="T367" s="21"/>
      <c r="U367" s="3"/>
      <c r="V367" s="3">
        <f t="shared" si="28"/>
        <v>0</v>
      </c>
      <c r="W367" s="3" t="str">
        <f t="shared" si="29"/>
        <v>Ø16</v>
      </c>
      <c r="X367" s="3" t="str">
        <f t="shared" si="30"/>
        <v>Ø16</v>
      </c>
    </row>
    <row r="368" spans="17:24" x14ac:dyDescent="0.3">
      <c r="Q368" s="3"/>
      <c r="R368" s="3"/>
      <c r="S368" s="3"/>
      <c r="T368" s="21"/>
      <c r="U368" s="3"/>
      <c r="V368" s="3">
        <f t="shared" si="28"/>
        <v>0</v>
      </c>
      <c r="W368" s="3" t="str">
        <f t="shared" si="29"/>
        <v>Ø16</v>
      </c>
      <c r="X368" s="3" t="str">
        <f t="shared" si="30"/>
        <v>Ø16</v>
      </c>
    </row>
    <row r="369" spans="17:24" x14ac:dyDescent="0.3">
      <c r="Q369" s="3"/>
      <c r="R369" s="3"/>
      <c r="S369" s="3"/>
      <c r="T369" s="21"/>
      <c r="U369" s="3"/>
      <c r="V369" s="3">
        <f t="shared" si="28"/>
        <v>0</v>
      </c>
      <c r="W369" s="3" t="str">
        <f t="shared" si="29"/>
        <v>Ø16</v>
      </c>
      <c r="X369" s="3" t="str">
        <f t="shared" si="30"/>
        <v>Ø16</v>
      </c>
    </row>
    <row r="370" spans="17:24" x14ac:dyDescent="0.3">
      <c r="Q370" s="3"/>
      <c r="R370" s="3"/>
      <c r="S370" s="3"/>
      <c r="T370" s="21"/>
      <c r="U370" s="3"/>
      <c r="V370" s="3">
        <f t="shared" si="28"/>
        <v>0</v>
      </c>
      <c r="W370" s="3" t="str">
        <f t="shared" si="29"/>
        <v>Ø16</v>
      </c>
      <c r="X370" s="3" t="str">
        <f t="shared" si="30"/>
        <v>Ø16</v>
      </c>
    </row>
    <row r="371" spans="17:24" x14ac:dyDescent="0.3">
      <c r="Q371" s="3"/>
      <c r="R371" s="3"/>
      <c r="S371" s="3"/>
      <c r="T371" s="21"/>
      <c r="U371" s="3"/>
      <c r="V371" s="3">
        <f t="shared" si="28"/>
        <v>0</v>
      </c>
      <c r="W371" s="3" t="str">
        <f t="shared" si="29"/>
        <v>Ø16</v>
      </c>
      <c r="X371" s="3" t="str">
        <f t="shared" si="30"/>
        <v>Ø16</v>
      </c>
    </row>
    <row r="372" spans="17:24" x14ac:dyDescent="0.3">
      <c r="Q372" s="3"/>
      <c r="R372" s="3"/>
      <c r="S372" s="3"/>
      <c r="T372" s="21"/>
      <c r="U372" s="3"/>
      <c r="V372" s="3">
        <f t="shared" si="28"/>
        <v>0</v>
      </c>
      <c r="W372" s="3" t="str">
        <f t="shared" si="29"/>
        <v>Ø16</v>
      </c>
      <c r="X372" s="3" t="str">
        <f t="shared" si="30"/>
        <v>Ø16</v>
      </c>
    </row>
    <row r="373" spans="17:24" x14ac:dyDescent="0.3">
      <c r="Q373" s="3"/>
      <c r="R373" s="3"/>
      <c r="S373" s="3"/>
      <c r="T373" s="21"/>
      <c r="U373" s="3"/>
      <c r="V373" s="3">
        <f t="shared" si="28"/>
        <v>0</v>
      </c>
      <c r="W373" s="3" t="str">
        <f t="shared" si="29"/>
        <v>Ø16</v>
      </c>
      <c r="X373" s="3" t="str">
        <f t="shared" si="30"/>
        <v>Ø16</v>
      </c>
    </row>
    <row r="374" spans="17:24" x14ac:dyDescent="0.3">
      <c r="Q374" s="3"/>
      <c r="R374" s="3"/>
      <c r="S374" s="3"/>
      <c r="T374" s="21"/>
      <c r="U374" s="3"/>
      <c r="V374" s="3">
        <f t="shared" si="28"/>
        <v>0</v>
      </c>
      <c r="W374" s="3" t="str">
        <f t="shared" si="29"/>
        <v>Ø16</v>
      </c>
      <c r="X374" s="3" t="str">
        <f t="shared" si="30"/>
        <v>Ø16</v>
      </c>
    </row>
    <row r="375" spans="17:24" x14ac:dyDescent="0.3">
      <c r="Q375" s="3"/>
      <c r="R375" s="3"/>
      <c r="S375" s="3"/>
      <c r="T375" s="21"/>
      <c r="U375" s="3"/>
      <c r="V375" s="3">
        <f t="shared" si="28"/>
        <v>0</v>
      </c>
      <c r="W375" s="3" t="str">
        <f t="shared" si="29"/>
        <v>Ø16</v>
      </c>
      <c r="X375" s="3" t="str">
        <f t="shared" si="30"/>
        <v>Ø16</v>
      </c>
    </row>
    <row r="376" spans="17:24" x14ac:dyDescent="0.3">
      <c r="Q376" s="3"/>
      <c r="R376" s="3"/>
      <c r="S376" s="3"/>
      <c r="T376" s="21"/>
      <c r="U376" s="3"/>
      <c r="V376" s="3">
        <f t="shared" si="28"/>
        <v>0</v>
      </c>
      <c r="W376" s="3" t="str">
        <f t="shared" si="29"/>
        <v>Ø16</v>
      </c>
      <c r="X376" s="3" t="str">
        <f t="shared" si="30"/>
        <v>Ø16</v>
      </c>
    </row>
    <row r="377" spans="17:24" x14ac:dyDescent="0.3">
      <c r="Q377" s="3"/>
      <c r="R377" s="3"/>
      <c r="S377" s="3"/>
      <c r="T377" s="21"/>
      <c r="U377" s="3"/>
      <c r="V377" s="3">
        <f t="shared" si="28"/>
        <v>0</v>
      </c>
      <c r="W377" s="3" t="str">
        <f t="shared" si="29"/>
        <v>Ø16</v>
      </c>
      <c r="X377" s="3" t="str">
        <f t="shared" si="30"/>
        <v>Ø16</v>
      </c>
    </row>
    <row r="378" spans="17:24" x14ac:dyDescent="0.3">
      <c r="Q378" s="3"/>
      <c r="R378" s="3"/>
      <c r="S378" s="3"/>
      <c r="T378" s="21"/>
      <c r="U378" s="3"/>
      <c r="V378" s="3">
        <f t="shared" si="28"/>
        <v>0</v>
      </c>
      <c r="W378" s="3" t="str">
        <f t="shared" si="29"/>
        <v>Ø16</v>
      </c>
      <c r="X378" s="3" t="str">
        <f t="shared" si="30"/>
        <v>Ø16</v>
      </c>
    </row>
    <row r="379" spans="17:24" x14ac:dyDescent="0.3">
      <c r="Q379" s="3"/>
      <c r="R379" s="3"/>
      <c r="S379" s="3"/>
      <c r="T379" s="21"/>
      <c r="U379" s="3"/>
      <c r="V379" s="3">
        <f t="shared" si="28"/>
        <v>0</v>
      </c>
      <c r="W379" s="3" t="str">
        <f t="shared" si="29"/>
        <v>Ø16</v>
      </c>
      <c r="X379" s="3" t="str">
        <f t="shared" si="30"/>
        <v>Ø16</v>
      </c>
    </row>
    <row r="380" spans="17:24" x14ac:dyDescent="0.3">
      <c r="Q380" s="3"/>
      <c r="R380" s="3"/>
      <c r="S380" s="3"/>
      <c r="T380" s="21"/>
      <c r="U380" s="3"/>
      <c r="V380" s="3">
        <f t="shared" si="28"/>
        <v>0</v>
      </c>
      <c r="W380" s="3" t="str">
        <f t="shared" si="29"/>
        <v>Ø16</v>
      </c>
      <c r="X380" s="3" t="str">
        <f t="shared" si="30"/>
        <v>Ø16</v>
      </c>
    </row>
    <row r="381" spans="17:24" x14ac:dyDescent="0.3">
      <c r="Q381" s="3"/>
      <c r="R381" s="3"/>
      <c r="S381" s="3"/>
      <c r="T381" s="21"/>
      <c r="U381" s="3"/>
      <c r="V381" s="3">
        <f t="shared" si="28"/>
        <v>0</v>
      </c>
      <c r="W381" s="3" t="str">
        <f t="shared" si="29"/>
        <v>Ø16</v>
      </c>
      <c r="X381" s="3" t="str">
        <f t="shared" si="30"/>
        <v>Ø16</v>
      </c>
    </row>
    <row r="382" spans="17:24" x14ac:dyDescent="0.3">
      <c r="Q382" s="3"/>
      <c r="R382" s="3"/>
      <c r="S382" s="3"/>
      <c r="T382" s="21"/>
      <c r="U382" s="3"/>
      <c r="V382" s="3">
        <f t="shared" si="28"/>
        <v>0</v>
      </c>
      <c r="W382" s="3" t="str">
        <f t="shared" si="29"/>
        <v>Ø16</v>
      </c>
      <c r="X382" s="3" t="str">
        <f t="shared" si="30"/>
        <v>Ø16</v>
      </c>
    </row>
    <row r="383" spans="17:24" x14ac:dyDescent="0.3">
      <c r="Q383" s="3"/>
      <c r="R383" s="3"/>
      <c r="S383" s="3"/>
      <c r="T383" s="21"/>
      <c r="U383" s="3"/>
      <c r="V383" s="3">
        <f t="shared" si="28"/>
        <v>0</v>
      </c>
      <c r="W383" s="3" t="str">
        <f t="shared" si="29"/>
        <v>Ø16</v>
      </c>
      <c r="X383" s="3" t="str">
        <f t="shared" si="30"/>
        <v>Ø16</v>
      </c>
    </row>
    <row r="384" spans="17:24" x14ac:dyDescent="0.3">
      <c r="Q384" s="3"/>
      <c r="R384" s="3"/>
      <c r="S384" s="3"/>
      <c r="T384" s="21"/>
      <c r="U384" s="3"/>
      <c r="V384" s="3">
        <f t="shared" si="28"/>
        <v>0</v>
      </c>
      <c r="W384" s="3" t="str">
        <f t="shared" si="29"/>
        <v>Ø16</v>
      </c>
      <c r="X384" s="3" t="str">
        <f t="shared" si="30"/>
        <v>Ø16</v>
      </c>
    </row>
    <row r="385" spans="17:24" x14ac:dyDescent="0.3">
      <c r="Q385" s="3"/>
      <c r="R385" s="3"/>
      <c r="S385" s="3"/>
      <c r="T385" s="21"/>
      <c r="U385" s="3"/>
      <c r="V385" s="3">
        <f t="shared" si="28"/>
        <v>0</v>
      </c>
      <c r="W385" s="3" t="str">
        <f t="shared" si="29"/>
        <v>Ø16</v>
      </c>
      <c r="X385" s="3" t="str">
        <f t="shared" si="30"/>
        <v>Ø16</v>
      </c>
    </row>
    <row r="386" spans="17:24" x14ac:dyDescent="0.3">
      <c r="Q386" s="3"/>
      <c r="R386" s="3"/>
      <c r="S386" s="3"/>
      <c r="T386" s="21"/>
      <c r="U386" s="3"/>
      <c r="V386" s="3">
        <f t="shared" si="28"/>
        <v>0</v>
      </c>
      <c r="W386" s="3" t="str">
        <f t="shared" si="29"/>
        <v>Ø16</v>
      </c>
      <c r="X386" s="3" t="str">
        <f t="shared" si="30"/>
        <v>Ø16</v>
      </c>
    </row>
    <row r="387" spans="17:24" x14ac:dyDescent="0.3">
      <c r="Q387" s="3"/>
      <c r="R387" s="3"/>
      <c r="S387" s="3"/>
      <c r="T387" s="21"/>
      <c r="U387" s="3"/>
      <c r="V387" s="3">
        <f t="shared" si="28"/>
        <v>0</v>
      </c>
      <c r="W387" s="3" t="str">
        <f t="shared" si="29"/>
        <v>Ø16</v>
      </c>
      <c r="X387" s="3" t="str">
        <f t="shared" si="30"/>
        <v>Ø16</v>
      </c>
    </row>
    <row r="388" spans="17:24" x14ac:dyDescent="0.3">
      <c r="Q388" s="3"/>
      <c r="R388" s="3"/>
      <c r="S388" s="3"/>
      <c r="T388" s="21"/>
      <c r="U388" s="3"/>
      <c r="V388" s="3">
        <f t="shared" si="28"/>
        <v>0</v>
      </c>
      <c r="W388" s="3" t="str">
        <f t="shared" si="29"/>
        <v>Ø16</v>
      </c>
      <c r="X388" s="3" t="str">
        <f t="shared" si="30"/>
        <v>Ø16</v>
      </c>
    </row>
    <row r="389" spans="17:24" x14ac:dyDescent="0.3">
      <c r="Q389" s="3"/>
      <c r="R389" s="3"/>
      <c r="S389" s="3"/>
      <c r="T389" s="21"/>
      <c r="U389" s="3"/>
      <c r="V389" s="3">
        <f t="shared" ref="V389:V452" si="31">U389*1.2</f>
        <v>0</v>
      </c>
      <c r="W389" s="3" t="str">
        <f t="shared" ref="W389:W452" si="32">"Ø"&amp;VLOOKUP(V389,$Z$4:$AA$10,2,TRUE)</f>
        <v>Ø16</v>
      </c>
      <c r="X389" s="3" t="str">
        <f t="shared" ref="X389:X452" si="33">"Ø"&amp;VLOOKUP(V389,$AD$4:$AE$10,2,TRUE)</f>
        <v>Ø16</v>
      </c>
    </row>
    <row r="390" spans="17:24" x14ac:dyDescent="0.3">
      <c r="Q390" s="3"/>
      <c r="R390" s="3"/>
      <c r="S390" s="3"/>
      <c r="T390" s="21"/>
      <c r="U390" s="3"/>
      <c r="V390" s="3">
        <f t="shared" si="31"/>
        <v>0</v>
      </c>
      <c r="W390" s="3" t="str">
        <f t="shared" si="32"/>
        <v>Ø16</v>
      </c>
      <c r="X390" s="3" t="str">
        <f t="shared" si="33"/>
        <v>Ø16</v>
      </c>
    </row>
    <row r="391" spans="17:24" x14ac:dyDescent="0.3">
      <c r="Q391" s="3"/>
      <c r="R391" s="3"/>
      <c r="S391" s="3"/>
      <c r="T391" s="21"/>
      <c r="U391" s="3"/>
      <c r="V391" s="3">
        <f t="shared" si="31"/>
        <v>0</v>
      </c>
      <c r="W391" s="3" t="str">
        <f t="shared" si="32"/>
        <v>Ø16</v>
      </c>
      <c r="X391" s="3" t="str">
        <f t="shared" si="33"/>
        <v>Ø16</v>
      </c>
    </row>
    <row r="392" spans="17:24" x14ac:dyDescent="0.3">
      <c r="Q392" s="3"/>
      <c r="R392" s="3"/>
      <c r="S392" s="3"/>
      <c r="T392" s="21"/>
      <c r="U392" s="3"/>
      <c r="V392" s="3">
        <f t="shared" si="31"/>
        <v>0</v>
      </c>
      <c r="W392" s="3" t="str">
        <f t="shared" si="32"/>
        <v>Ø16</v>
      </c>
      <c r="X392" s="3" t="str">
        <f t="shared" si="33"/>
        <v>Ø16</v>
      </c>
    </row>
    <row r="393" spans="17:24" x14ac:dyDescent="0.3">
      <c r="Q393" s="3"/>
      <c r="R393" s="3"/>
      <c r="S393" s="3"/>
      <c r="T393" s="21"/>
      <c r="U393" s="3"/>
      <c r="V393" s="3">
        <f t="shared" si="31"/>
        <v>0</v>
      </c>
      <c r="W393" s="3" t="str">
        <f t="shared" si="32"/>
        <v>Ø16</v>
      </c>
      <c r="X393" s="3" t="str">
        <f t="shared" si="33"/>
        <v>Ø16</v>
      </c>
    </row>
    <row r="394" spans="17:24" x14ac:dyDescent="0.3">
      <c r="Q394" s="3"/>
      <c r="R394" s="3"/>
      <c r="S394" s="3"/>
      <c r="T394" s="21"/>
      <c r="U394" s="3"/>
      <c r="V394" s="3">
        <f t="shared" si="31"/>
        <v>0</v>
      </c>
      <c r="W394" s="3" t="str">
        <f t="shared" si="32"/>
        <v>Ø16</v>
      </c>
      <c r="X394" s="3" t="str">
        <f t="shared" si="33"/>
        <v>Ø16</v>
      </c>
    </row>
    <row r="395" spans="17:24" x14ac:dyDescent="0.3">
      <c r="Q395" s="3"/>
      <c r="R395" s="3"/>
      <c r="S395" s="3"/>
      <c r="T395" s="21"/>
      <c r="U395" s="3"/>
      <c r="V395" s="3">
        <f t="shared" si="31"/>
        <v>0</v>
      </c>
      <c r="W395" s="3" t="str">
        <f t="shared" si="32"/>
        <v>Ø16</v>
      </c>
      <c r="X395" s="3" t="str">
        <f t="shared" si="33"/>
        <v>Ø16</v>
      </c>
    </row>
    <row r="396" spans="17:24" x14ac:dyDescent="0.3">
      <c r="Q396" s="3"/>
      <c r="R396" s="3"/>
      <c r="S396" s="3"/>
      <c r="T396" s="21"/>
      <c r="U396" s="3"/>
      <c r="V396" s="3">
        <f t="shared" si="31"/>
        <v>0</v>
      </c>
      <c r="W396" s="3" t="str">
        <f t="shared" si="32"/>
        <v>Ø16</v>
      </c>
      <c r="X396" s="3" t="str">
        <f t="shared" si="33"/>
        <v>Ø16</v>
      </c>
    </row>
    <row r="397" spans="17:24" x14ac:dyDescent="0.3">
      <c r="Q397" s="3"/>
      <c r="R397" s="3"/>
      <c r="S397" s="3"/>
      <c r="T397" s="21"/>
      <c r="U397" s="3"/>
      <c r="V397" s="3">
        <f t="shared" si="31"/>
        <v>0</v>
      </c>
      <c r="W397" s="3" t="str">
        <f t="shared" si="32"/>
        <v>Ø16</v>
      </c>
      <c r="X397" s="3" t="str">
        <f t="shared" si="33"/>
        <v>Ø16</v>
      </c>
    </row>
    <row r="398" spans="17:24" x14ac:dyDescent="0.3">
      <c r="Q398" s="3"/>
      <c r="R398" s="3"/>
      <c r="S398" s="3"/>
      <c r="T398" s="21"/>
      <c r="U398" s="3"/>
      <c r="V398" s="3">
        <f t="shared" si="31"/>
        <v>0</v>
      </c>
      <c r="W398" s="3" t="str">
        <f t="shared" si="32"/>
        <v>Ø16</v>
      </c>
      <c r="X398" s="3" t="str">
        <f t="shared" si="33"/>
        <v>Ø16</v>
      </c>
    </row>
    <row r="399" spans="17:24" x14ac:dyDescent="0.3">
      <c r="Q399" s="3"/>
      <c r="R399" s="3"/>
      <c r="S399" s="3"/>
      <c r="T399" s="21"/>
      <c r="U399" s="3"/>
      <c r="V399" s="3">
        <f t="shared" si="31"/>
        <v>0</v>
      </c>
      <c r="W399" s="3" t="str">
        <f t="shared" si="32"/>
        <v>Ø16</v>
      </c>
      <c r="X399" s="3" t="str">
        <f t="shared" si="33"/>
        <v>Ø16</v>
      </c>
    </row>
    <row r="400" spans="17:24" x14ac:dyDescent="0.3">
      <c r="Q400" s="3"/>
      <c r="R400" s="3"/>
      <c r="S400" s="3"/>
      <c r="T400" s="21"/>
      <c r="U400" s="3"/>
      <c r="V400" s="3">
        <f t="shared" si="31"/>
        <v>0</v>
      </c>
      <c r="W400" s="3" t="str">
        <f t="shared" si="32"/>
        <v>Ø16</v>
      </c>
      <c r="X400" s="3" t="str">
        <f t="shared" si="33"/>
        <v>Ø16</v>
      </c>
    </row>
    <row r="401" spans="17:24" x14ac:dyDescent="0.3">
      <c r="Q401" s="3"/>
      <c r="R401" s="3"/>
      <c r="S401" s="3"/>
      <c r="T401" s="21"/>
      <c r="U401" s="3"/>
      <c r="V401" s="3">
        <f t="shared" si="31"/>
        <v>0</v>
      </c>
      <c r="W401" s="3" t="str">
        <f t="shared" si="32"/>
        <v>Ø16</v>
      </c>
      <c r="X401" s="3" t="str">
        <f t="shared" si="33"/>
        <v>Ø16</v>
      </c>
    </row>
    <row r="402" spans="17:24" x14ac:dyDescent="0.3">
      <c r="Q402" s="3"/>
      <c r="R402" s="3"/>
      <c r="S402" s="3"/>
      <c r="T402" s="21"/>
      <c r="U402" s="3"/>
      <c r="V402" s="3">
        <f t="shared" si="31"/>
        <v>0</v>
      </c>
      <c r="W402" s="3" t="str">
        <f t="shared" si="32"/>
        <v>Ø16</v>
      </c>
      <c r="X402" s="3" t="str">
        <f t="shared" si="33"/>
        <v>Ø16</v>
      </c>
    </row>
    <row r="403" spans="17:24" x14ac:dyDescent="0.3">
      <c r="Q403" s="3"/>
      <c r="R403" s="3"/>
      <c r="S403" s="3"/>
      <c r="T403" s="21"/>
      <c r="U403" s="3"/>
      <c r="V403" s="3">
        <f t="shared" si="31"/>
        <v>0</v>
      </c>
      <c r="W403" s="3" t="str">
        <f t="shared" si="32"/>
        <v>Ø16</v>
      </c>
      <c r="X403" s="3" t="str">
        <f t="shared" si="33"/>
        <v>Ø16</v>
      </c>
    </row>
    <row r="404" spans="17:24" x14ac:dyDescent="0.3">
      <c r="Q404" s="3"/>
      <c r="R404" s="3"/>
      <c r="S404" s="3"/>
      <c r="T404" s="21"/>
      <c r="U404" s="3"/>
      <c r="V404" s="3">
        <f t="shared" si="31"/>
        <v>0</v>
      </c>
      <c r="W404" s="3" t="str">
        <f t="shared" si="32"/>
        <v>Ø16</v>
      </c>
      <c r="X404" s="3" t="str">
        <f t="shared" si="33"/>
        <v>Ø16</v>
      </c>
    </row>
    <row r="405" spans="17:24" x14ac:dyDescent="0.3">
      <c r="Q405" s="3"/>
      <c r="R405" s="3"/>
      <c r="S405" s="3"/>
      <c r="T405" s="21"/>
      <c r="U405" s="3"/>
      <c r="V405" s="3">
        <f t="shared" si="31"/>
        <v>0</v>
      </c>
      <c r="W405" s="3" t="str">
        <f t="shared" si="32"/>
        <v>Ø16</v>
      </c>
      <c r="X405" s="3" t="str">
        <f t="shared" si="33"/>
        <v>Ø16</v>
      </c>
    </row>
    <row r="406" spans="17:24" x14ac:dyDescent="0.3">
      <c r="Q406" s="3"/>
      <c r="R406" s="3"/>
      <c r="S406" s="3"/>
      <c r="T406" s="21"/>
      <c r="U406" s="3"/>
      <c r="V406" s="3">
        <f t="shared" si="31"/>
        <v>0</v>
      </c>
      <c r="W406" s="3" t="str">
        <f t="shared" si="32"/>
        <v>Ø16</v>
      </c>
      <c r="X406" s="3" t="str">
        <f t="shared" si="33"/>
        <v>Ø16</v>
      </c>
    </row>
    <row r="407" spans="17:24" x14ac:dyDescent="0.3">
      <c r="Q407" s="3"/>
      <c r="R407" s="3"/>
      <c r="S407" s="3"/>
      <c r="T407" s="21"/>
      <c r="U407" s="3"/>
      <c r="V407" s="3">
        <f t="shared" si="31"/>
        <v>0</v>
      </c>
      <c r="W407" s="3" t="str">
        <f t="shared" si="32"/>
        <v>Ø16</v>
      </c>
      <c r="X407" s="3" t="str">
        <f t="shared" si="33"/>
        <v>Ø16</v>
      </c>
    </row>
    <row r="408" spans="17:24" x14ac:dyDescent="0.3">
      <c r="Q408" s="3"/>
      <c r="R408" s="3"/>
      <c r="S408" s="3"/>
      <c r="T408" s="21"/>
      <c r="U408" s="3"/>
      <c r="V408" s="3">
        <f t="shared" si="31"/>
        <v>0</v>
      </c>
      <c r="W408" s="3" t="str">
        <f t="shared" si="32"/>
        <v>Ø16</v>
      </c>
      <c r="X408" s="3" t="str">
        <f t="shared" si="33"/>
        <v>Ø16</v>
      </c>
    </row>
    <row r="409" spans="17:24" x14ac:dyDescent="0.3">
      <c r="Q409" s="3"/>
      <c r="R409" s="3"/>
      <c r="S409" s="3"/>
      <c r="T409" s="21"/>
      <c r="U409" s="3"/>
      <c r="V409" s="3">
        <f t="shared" si="31"/>
        <v>0</v>
      </c>
      <c r="W409" s="3" t="str">
        <f t="shared" si="32"/>
        <v>Ø16</v>
      </c>
      <c r="X409" s="3" t="str">
        <f t="shared" si="33"/>
        <v>Ø16</v>
      </c>
    </row>
    <row r="410" spans="17:24" x14ac:dyDescent="0.3">
      <c r="Q410" s="3"/>
      <c r="R410" s="3"/>
      <c r="S410" s="3"/>
      <c r="T410" s="21"/>
      <c r="U410" s="3"/>
      <c r="V410" s="3">
        <f t="shared" si="31"/>
        <v>0</v>
      </c>
      <c r="W410" s="3" t="str">
        <f t="shared" si="32"/>
        <v>Ø16</v>
      </c>
      <c r="X410" s="3" t="str">
        <f t="shared" si="33"/>
        <v>Ø16</v>
      </c>
    </row>
    <row r="411" spans="17:24" x14ac:dyDescent="0.3">
      <c r="Q411" s="3"/>
      <c r="R411" s="3"/>
      <c r="S411" s="3"/>
      <c r="T411" s="21"/>
      <c r="U411" s="3"/>
      <c r="V411" s="3">
        <f t="shared" si="31"/>
        <v>0</v>
      </c>
      <c r="W411" s="3" t="str">
        <f t="shared" si="32"/>
        <v>Ø16</v>
      </c>
      <c r="X411" s="3" t="str">
        <f t="shared" si="33"/>
        <v>Ø16</v>
      </c>
    </row>
    <row r="412" spans="17:24" x14ac:dyDescent="0.3">
      <c r="Q412" s="3"/>
      <c r="R412" s="3"/>
      <c r="S412" s="3"/>
      <c r="T412" s="21"/>
      <c r="U412" s="3"/>
      <c r="V412" s="3">
        <f t="shared" si="31"/>
        <v>0</v>
      </c>
      <c r="W412" s="3" t="str">
        <f t="shared" si="32"/>
        <v>Ø16</v>
      </c>
      <c r="X412" s="3" t="str">
        <f t="shared" si="33"/>
        <v>Ø16</v>
      </c>
    </row>
    <row r="413" spans="17:24" x14ac:dyDescent="0.3">
      <c r="Q413" s="3"/>
      <c r="R413" s="3"/>
      <c r="S413" s="3"/>
      <c r="T413" s="21"/>
      <c r="U413" s="3"/>
      <c r="V413" s="3">
        <f t="shared" si="31"/>
        <v>0</v>
      </c>
      <c r="W413" s="3" t="str">
        <f t="shared" si="32"/>
        <v>Ø16</v>
      </c>
      <c r="X413" s="3" t="str">
        <f t="shared" si="33"/>
        <v>Ø16</v>
      </c>
    </row>
    <row r="414" spans="17:24" x14ac:dyDescent="0.3">
      <c r="Q414" s="3"/>
      <c r="R414" s="3"/>
      <c r="S414" s="3"/>
      <c r="T414" s="21"/>
      <c r="U414" s="3"/>
      <c r="V414" s="3">
        <f t="shared" si="31"/>
        <v>0</v>
      </c>
      <c r="W414" s="3" t="str">
        <f t="shared" si="32"/>
        <v>Ø16</v>
      </c>
      <c r="X414" s="3" t="str">
        <f t="shared" si="33"/>
        <v>Ø16</v>
      </c>
    </row>
    <row r="415" spans="17:24" x14ac:dyDescent="0.3">
      <c r="Q415" s="3"/>
      <c r="R415" s="3"/>
      <c r="S415" s="3"/>
      <c r="T415" s="21"/>
      <c r="U415" s="3"/>
      <c r="V415" s="3">
        <f t="shared" si="31"/>
        <v>0</v>
      </c>
      <c r="W415" s="3" t="str">
        <f t="shared" si="32"/>
        <v>Ø16</v>
      </c>
      <c r="X415" s="3" t="str">
        <f t="shared" si="33"/>
        <v>Ø16</v>
      </c>
    </row>
    <row r="416" spans="17:24" x14ac:dyDescent="0.3">
      <c r="Q416" s="3"/>
      <c r="R416" s="3"/>
      <c r="S416" s="3"/>
      <c r="T416" s="21"/>
      <c r="U416" s="3"/>
      <c r="V416" s="3">
        <f t="shared" si="31"/>
        <v>0</v>
      </c>
      <c r="W416" s="3" t="str">
        <f t="shared" si="32"/>
        <v>Ø16</v>
      </c>
      <c r="X416" s="3" t="str">
        <f t="shared" si="33"/>
        <v>Ø16</v>
      </c>
    </row>
    <row r="417" spans="17:24" x14ac:dyDescent="0.3">
      <c r="Q417" s="3"/>
      <c r="R417" s="3"/>
      <c r="S417" s="3"/>
      <c r="T417" s="21"/>
      <c r="U417" s="3"/>
      <c r="V417" s="3">
        <f t="shared" si="31"/>
        <v>0</v>
      </c>
      <c r="W417" s="3" t="str">
        <f t="shared" si="32"/>
        <v>Ø16</v>
      </c>
      <c r="X417" s="3" t="str">
        <f t="shared" si="33"/>
        <v>Ø16</v>
      </c>
    </row>
    <row r="418" spans="17:24" x14ac:dyDescent="0.3">
      <c r="Q418" s="3"/>
      <c r="R418" s="3"/>
      <c r="S418" s="3"/>
      <c r="T418" s="21"/>
      <c r="U418" s="3"/>
      <c r="V418" s="3">
        <f t="shared" si="31"/>
        <v>0</v>
      </c>
      <c r="W418" s="3" t="str">
        <f t="shared" si="32"/>
        <v>Ø16</v>
      </c>
      <c r="X418" s="3" t="str">
        <f t="shared" si="33"/>
        <v>Ø16</v>
      </c>
    </row>
    <row r="419" spans="17:24" x14ac:dyDescent="0.3">
      <c r="Q419" s="3"/>
      <c r="R419" s="3"/>
      <c r="S419" s="3"/>
      <c r="T419" s="21"/>
      <c r="U419" s="3"/>
      <c r="V419" s="3">
        <f t="shared" si="31"/>
        <v>0</v>
      </c>
      <c r="W419" s="3" t="str">
        <f t="shared" si="32"/>
        <v>Ø16</v>
      </c>
      <c r="X419" s="3" t="str">
        <f t="shared" si="33"/>
        <v>Ø16</v>
      </c>
    </row>
    <row r="420" spans="17:24" x14ac:dyDescent="0.3">
      <c r="Q420" s="3"/>
      <c r="R420" s="3"/>
      <c r="S420" s="3"/>
      <c r="T420" s="21"/>
      <c r="U420" s="3"/>
      <c r="V420" s="3">
        <f t="shared" si="31"/>
        <v>0</v>
      </c>
      <c r="W420" s="3" t="str">
        <f t="shared" si="32"/>
        <v>Ø16</v>
      </c>
      <c r="X420" s="3" t="str">
        <f t="shared" si="33"/>
        <v>Ø16</v>
      </c>
    </row>
    <row r="421" spans="17:24" x14ac:dyDescent="0.3">
      <c r="Q421" s="3"/>
      <c r="R421" s="3"/>
      <c r="S421" s="3"/>
      <c r="T421" s="21"/>
      <c r="U421" s="3"/>
      <c r="V421" s="3">
        <f t="shared" si="31"/>
        <v>0</v>
      </c>
      <c r="W421" s="3" t="str">
        <f t="shared" si="32"/>
        <v>Ø16</v>
      </c>
      <c r="X421" s="3" t="str">
        <f t="shared" si="33"/>
        <v>Ø16</v>
      </c>
    </row>
    <row r="422" spans="17:24" x14ac:dyDescent="0.3">
      <c r="Q422" s="3"/>
      <c r="R422" s="3"/>
      <c r="S422" s="3"/>
      <c r="T422" s="21"/>
      <c r="U422" s="3"/>
      <c r="V422" s="3">
        <f t="shared" si="31"/>
        <v>0</v>
      </c>
      <c r="W422" s="3" t="str">
        <f t="shared" si="32"/>
        <v>Ø16</v>
      </c>
      <c r="X422" s="3" t="str">
        <f t="shared" si="33"/>
        <v>Ø16</v>
      </c>
    </row>
    <row r="423" spans="17:24" x14ac:dyDescent="0.3">
      <c r="Q423" s="3"/>
      <c r="R423" s="3"/>
      <c r="S423" s="3"/>
      <c r="T423" s="21"/>
      <c r="U423" s="3"/>
      <c r="V423" s="3">
        <f t="shared" si="31"/>
        <v>0</v>
      </c>
      <c r="W423" s="3" t="str">
        <f t="shared" si="32"/>
        <v>Ø16</v>
      </c>
      <c r="X423" s="3" t="str">
        <f t="shared" si="33"/>
        <v>Ø16</v>
      </c>
    </row>
    <row r="424" spans="17:24" x14ac:dyDescent="0.3">
      <c r="Q424" s="3"/>
      <c r="R424" s="3"/>
      <c r="S424" s="3"/>
      <c r="T424" s="21"/>
      <c r="U424" s="3"/>
      <c r="V424" s="3">
        <f t="shared" si="31"/>
        <v>0</v>
      </c>
      <c r="W424" s="3" t="str">
        <f t="shared" si="32"/>
        <v>Ø16</v>
      </c>
      <c r="X424" s="3" t="str">
        <f t="shared" si="33"/>
        <v>Ø16</v>
      </c>
    </row>
    <row r="425" spans="17:24" x14ac:dyDescent="0.3">
      <c r="Q425" s="3"/>
      <c r="R425" s="3"/>
      <c r="S425" s="3"/>
      <c r="T425" s="21"/>
      <c r="U425" s="3"/>
      <c r="V425" s="3">
        <f t="shared" si="31"/>
        <v>0</v>
      </c>
      <c r="W425" s="3" t="str">
        <f t="shared" si="32"/>
        <v>Ø16</v>
      </c>
      <c r="X425" s="3" t="str">
        <f t="shared" si="33"/>
        <v>Ø16</v>
      </c>
    </row>
    <row r="426" spans="17:24" x14ac:dyDescent="0.3">
      <c r="Q426" s="3"/>
      <c r="R426" s="3"/>
      <c r="S426" s="3"/>
      <c r="T426" s="21"/>
      <c r="U426" s="3"/>
      <c r="V426" s="3">
        <f t="shared" si="31"/>
        <v>0</v>
      </c>
      <c r="W426" s="3" t="str">
        <f t="shared" si="32"/>
        <v>Ø16</v>
      </c>
      <c r="X426" s="3" t="str">
        <f t="shared" si="33"/>
        <v>Ø16</v>
      </c>
    </row>
    <row r="427" spans="17:24" x14ac:dyDescent="0.3">
      <c r="Q427" s="3"/>
      <c r="R427" s="3"/>
      <c r="S427" s="3"/>
      <c r="T427" s="21"/>
      <c r="U427" s="3"/>
      <c r="V427" s="3">
        <f t="shared" si="31"/>
        <v>0</v>
      </c>
      <c r="W427" s="3" t="str">
        <f t="shared" si="32"/>
        <v>Ø16</v>
      </c>
      <c r="X427" s="3" t="str">
        <f t="shared" si="33"/>
        <v>Ø16</v>
      </c>
    </row>
    <row r="428" spans="17:24" x14ac:dyDescent="0.3">
      <c r="Q428" s="3"/>
      <c r="R428" s="3"/>
      <c r="S428" s="3"/>
      <c r="T428" s="21"/>
      <c r="U428" s="3"/>
      <c r="V428" s="3">
        <f t="shared" si="31"/>
        <v>0</v>
      </c>
      <c r="W428" s="3" t="str">
        <f t="shared" si="32"/>
        <v>Ø16</v>
      </c>
      <c r="X428" s="3" t="str">
        <f t="shared" si="33"/>
        <v>Ø16</v>
      </c>
    </row>
    <row r="429" spans="17:24" x14ac:dyDescent="0.3">
      <c r="Q429" s="3"/>
      <c r="R429" s="3"/>
      <c r="S429" s="3"/>
      <c r="T429" s="21"/>
      <c r="U429" s="3"/>
      <c r="V429" s="3">
        <f t="shared" si="31"/>
        <v>0</v>
      </c>
      <c r="W429" s="3" t="str">
        <f t="shared" si="32"/>
        <v>Ø16</v>
      </c>
      <c r="X429" s="3" t="str">
        <f t="shared" si="33"/>
        <v>Ø16</v>
      </c>
    </row>
    <row r="430" spans="17:24" x14ac:dyDescent="0.3">
      <c r="Q430" s="3"/>
      <c r="R430" s="3"/>
      <c r="S430" s="3"/>
      <c r="T430" s="21"/>
      <c r="U430" s="3"/>
      <c r="V430" s="3">
        <f t="shared" si="31"/>
        <v>0</v>
      </c>
      <c r="W430" s="3" t="str">
        <f t="shared" si="32"/>
        <v>Ø16</v>
      </c>
      <c r="X430" s="3" t="str">
        <f t="shared" si="33"/>
        <v>Ø16</v>
      </c>
    </row>
    <row r="431" spans="17:24" x14ac:dyDescent="0.3">
      <c r="Q431" s="3"/>
      <c r="R431" s="3"/>
      <c r="S431" s="3"/>
      <c r="T431" s="21"/>
      <c r="U431" s="3"/>
      <c r="V431" s="3">
        <f t="shared" si="31"/>
        <v>0</v>
      </c>
      <c r="W431" s="3" t="str">
        <f t="shared" si="32"/>
        <v>Ø16</v>
      </c>
      <c r="X431" s="3" t="str">
        <f t="shared" si="33"/>
        <v>Ø16</v>
      </c>
    </row>
    <row r="432" spans="17:24" x14ac:dyDescent="0.3">
      <c r="Q432" s="3"/>
      <c r="R432" s="3"/>
      <c r="S432" s="3"/>
      <c r="T432" s="21"/>
      <c r="U432" s="3"/>
      <c r="V432" s="3">
        <f t="shared" si="31"/>
        <v>0</v>
      </c>
      <c r="W432" s="3" t="str">
        <f t="shared" si="32"/>
        <v>Ø16</v>
      </c>
      <c r="X432" s="3" t="str">
        <f t="shared" si="33"/>
        <v>Ø16</v>
      </c>
    </row>
    <row r="433" spans="17:24" x14ac:dyDescent="0.3">
      <c r="Q433" s="3"/>
      <c r="R433" s="3"/>
      <c r="S433" s="3"/>
      <c r="T433" s="21"/>
      <c r="U433" s="3"/>
      <c r="V433" s="3">
        <f t="shared" si="31"/>
        <v>0</v>
      </c>
      <c r="W433" s="3" t="str">
        <f t="shared" si="32"/>
        <v>Ø16</v>
      </c>
      <c r="X433" s="3" t="str">
        <f t="shared" si="33"/>
        <v>Ø16</v>
      </c>
    </row>
    <row r="434" spans="17:24" x14ac:dyDescent="0.3">
      <c r="Q434" s="3"/>
      <c r="R434" s="3"/>
      <c r="S434" s="3"/>
      <c r="T434" s="21"/>
      <c r="U434" s="3"/>
      <c r="V434" s="3">
        <f t="shared" si="31"/>
        <v>0</v>
      </c>
      <c r="W434" s="3" t="str">
        <f t="shared" si="32"/>
        <v>Ø16</v>
      </c>
      <c r="X434" s="3" t="str">
        <f t="shared" si="33"/>
        <v>Ø16</v>
      </c>
    </row>
    <row r="435" spans="17:24" x14ac:dyDescent="0.3">
      <c r="Q435" s="3"/>
      <c r="R435" s="3"/>
      <c r="S435" s="3"/>
      <c r="T435" s="21"/>
      <c r="U435" s="3"/>
      <c r="V435" s="3">
        <f t="shared" si="31"/>
        <v>0</v>
      </c>
      <c r="W435" s="3" t="str">
        <f t="shared" si="32"/>
        <v>Ø16</v>
      </c>
      <c r="X435" s="3" t="str">
        <f t="shared" si="33"/>
        <v>Ø16</v>
      </c>
    </row>
    <row r="436" spans="17:24" x14ac:dyDescent="0.3">
      <c r="Q436" s="3"/>
      <c r="R436" s="3"/>
      <c r="S436" s="3"/>
      <c r="T436" s="21"/>
      <c r="U436" s="3"/>
      <c r="V436" s="3">
        <f t="shared" si="31"/>
        <v>0</v>
      </c>
      <c r="W436" s="3" t="str">
        <f t="shared" si="32"/>
        <v>Ø16</v>
      </c>
      <c r="X436" s="3" t="str">
        <f t="shared" si="33"/>
        <v>Ø16</v>
      </c>
    </row>
    <row r="437" spans="17:24" x14ac:dyDescent="0.3">
      <c r="Q437" s="3"/>
      <c r="R437" s="3"/>
      <c r="S437" s="3"/>
      <c r="T437" s="21"/>
      <c r="U437" s="3"/>
      <c r="V437" s="3">
        <f t="shared" si="31"/>
        <v>0</v>
      </c>
      <c r="W437" s="3" t="str">
        <f t="shared" si="32"/>
        <v>Ø16</v>
      </c>
      <c r="X437" s="3" t="str">
        <f t="shared" si="33"/>
        <v>Ø16</v>
      </c>
    </row>
    <row r="438" spans="17:24" x14ac:dyDescent="0.3">
      <c r="Q438" s="3"/>
      <c r="R438" s="3"/>
      <c r="S438" s="3"/>
      <c r="T438" s="21"/>
      <c r="U438" s="3"/>
      <c r="V438" s="3">
        <f t="shared" si="31"/>
        <v>0</v>
      </c>
      <c r="W438" s="3" t="str">
        <f t="shared" si="32"/>
        <v>Ø16</v>
      </c>
      <c r="X438" s="3" t="str">
        <f t="shared" si="33"/>
        <v>Ø16</v>
      </c>
    </row>
    <row r="439" spans="17:24" x14ac:dyDescent="0.3">
      <c r="Q439" s="3"/>
      <c r="R439" s="3"/>
      <c r="S439" s="3"/>
      <c r="T439" s="21"/>
      <c r="U439" s="3"/>
      <c r="V439" s="3">
        <f t="shared" si="31"/>
        <v>0</v>
      </c>
      <c r="W439" s="3" t="str">
        <f t="shared" si="32"/>
        <v>Ø16</v>
      </c>
      <c r="X439" s="3" t="str">
        <f t="shared" si="33"/>
        <v>Ø16</v>
      </c>
    </row>
    <row r="440" spans="17:24" x14ac:dyDescent="0.3">
      <c r="Q440" s="3"/>
      <c r="R440" s="3"/>
      <c r="S440" s="3"/>
      <c r="T440" s="21"/>
      <c r="U440" s="3"/>
      <c r="V440" s="3">
        <f t="shared" si="31"/>
        <v>0</v>
      </c>
      <c r="W440" s="3" t="str">
        <f t="shared" si="32"/>
        <v>Ø16</v>
      </c>
      <c r="X440" s="3" t="str">
        <f t="shared" si="33"/>
        <v>Ø16</v>
      </c>
    </row>
    <row r="441" spans="17:24" x14ac:dyDescent="0.3">
      <c r="Q441" s="3"/>
      <c r="R441" s="3"/>
      <c r="S441" s="3"/>
      <c r="T441" s="21"/>
      <c r="U441" s="3"/>
      <c r="V441" s="3">
        <f t="shared" si="31"/>
        <v>0</v>
      </c>
      <c r="W441" s="3" t="str">
        <f t="shared" si="32"/>
        <v>Ø16</v>
      </c>
      <c r="X441" s="3" t="str">
        <f t="shared" si="33"/>
        <v>Ø16</v>
      </c>
    </row>
    <row r="442" spans="17:24" x14ac:dyDescent="0.3">
      <c r="Q442" s="3"/>
      <c r="R442" s="3"/>
      <c r="S442" s="3"/>
      <c r="T442" s="21"/>
      <c r="U442" s="3"/>
      <c r="V442" s="3">
        <f t="shared" si="31"/>
        <v>0</v>
      </c>
      <c r="W442" s="3" t="str">
        <f t="shared" si="32"/>
        <v>Ø16</v>
      </c>
      <c r="X442" s="3" t="str">
        <f t="shared" si="33"/>
        <v>Ø16</v>
      </c>
    </row>
    <row r="443" spans="17:24" x14ac:dyDescent="0.3">
      <c r="Q443" s="3"/>
      <c r="R443" s="3"/>
      <c r="S443" s="3"/>
      <c r="T443" s="21"/>
      <c r="U443" s="3"/>
      <c r="V443" s="3">
        <f t="shared" si="31"/>
        <v>0</v>
      </c>
      <c r="W443" s="3" t="str">
        <f t="shared" si="32"/>
        <v>Ø16</v>
      </c>
      <c r="X443" s="3" t="str">
        <f t="shared" si="33"/>
        <v>Ø16</v>
      </c>
    </row>
    <row r="444" spans="17:24" x14ac:dyDescent="0.3">
      <c r="Q444" s="3"/>
      <c r="R444" s="3"/>
      <c r="S444" s="3"/>
      <c r="T444" s="21"/>
      <c r="U444" s="3"/>
      <c r="V444" s="3">
        <f t="shared" si="31"/>
        <v>0</v>
      </c>
      <c r="W444" s="3" t="str">
        <f t="shared" si="32"/>
        <v>Ø16</v>
      </c>
      <c r="X444" s="3" t="str">
        <f t="shared" si="33"/>
        <v>Ø16</v>
      </c>
    </row>
    <row r="445" spans="17:24" x14ac:dyDescent="0.3">
      <c r="Q445" s="3"/>
      <c r="R445" s="3"/>
      <c r="S445" s="3"/>
      <c r="T445" s="21"/>
      <c r="U445" s="3"/>
      <c r="V445" s="3">
        <f t="shared" si="31"/>
        <v>0</v>
      </c>
      <c r="W445" s="3" t="str">
        <f t="shared" si="32"/>
        <v>Ø16</v>
      </c>
      <c r="X445" s="3" t="str">
        <f t="shared" si="33"/>
        <v>Ø16</v>
      </c>
    </row>
    <row r="446" spans="17:24" x14ac:dyDescent="0.3">
      <c r="Q446" s="3"/>
      <c r="R446" s="3"/>
      <c r="S446" s="3"/>
      <c r="T446" s="21"/>
      <c r="U446" s="3"/>
      <c r="V446" s="3">
        <f t="shared" si="31"/>
        <v>0</v>
      </c>
      <c r="W446" s="3" t="str">
        <f t="shared" si="32"/>
        <v>Ø16</v>
      </c>
      <c r="X446" s="3" t="str">
        <f t="shared" si="33"/>
        <v>Ø16</v>
      </c>
    </row>
    <row r="447" spans="17:24" x14ac:dyDescent="0.3">
      <c r="Q447" s="3"/>
      <c r="R447" s="3"/>
      <c r="S447" s="3"/>
      <c r="T447" s="21"/>
      <c r="U447" s="3"/>
      <c r="V447" s="3">
        <f t="shared" si="31"/>
        <v>0</v>
      </c>
      <c r="W447" s="3" t="str">
        <f t="shared" si="32"/>
        <v>Ø16</v>
      </c>
      <c r="X447" s="3" t="str">
        <f t="shared" si="33"/>
        <v>Ø16</v>
      </c>
    </row>
    <row r="448" spans="17:24" x14ac:dyDescent="0.3">
      <c r="Q448" s="3"/>
      <c r="R448" s="3"/>
      <c r="S448" s="3"/>
      <c r="T448" s="21"/>
      <c r="U448" s="3"/>
      <c r="V448" s="3">
        <f t="shared" si="31"/>
        <v>0</v>
      </c>
      <c r="W448" s="3" t="str">
        <f t="shared" si="32"/>
        <v>Ø16</v>
      </c>
      <c r="X448" s="3" t="str">
        <f t="shared" si="33"/>
        <v>Ø16</v>
      </c>
    </row>
    <row r="449" spans="17:24" x14ac:dyDescent="0.3">
      <c r="Q449" s="3"/>
      <c r="R449" s="3"/>
      <c r="S449" s="3"/>
      <c r="T449" s="21"/>
      <c r="U449" s="3"/>
      <c r="V449" s="3">
        <f t="shared" si="31"/>
        <v>0</v>
      </c>
      <c r="W449" s="3" t="str">
        <f t="shared" si="32"/>
        <v>Ø16</v>
      </c>
      <c r="X449" s="3" t="str">
        <f t="shared" si="33"/>
        <v>Ø16</v>
      </c>
    </row>
    <row r="450" spans="17:24" x14ac:dyDescent="0.3">
      <c r="Q450" s="3"/>
      <c r="R450" s="3"/>
      <c r="S450" s="3"/>
      <c r="T450" s="21"/>
      <c r="U450" s="3"/>
      <c r="V450" s="3">
        <f t="shared" si="31"/>
        <v>0</v>
      </c>
      <c r="W450" s="3" t="str">
        <f t="shared" si="32"/>
        <v>Ø16</v>
      </c>
      <c r="X450" s="3" t="str">
        <f t="shared" si="33"/>
        <v>Ø16</v>
      </c>
    </row>
    <row r="451" spans="17:24" x14ac:dyDescent="0.3">
      <c r="Q451" s="3"/>
      <c r="R451" s="3"/>
      <c r="S451" s="3"/>
      <c r="T451" s="21"/>
      <c r="U451" s="3"/>
      <c r="V451" s="3">
        <f t="shared" si="31"/>
        <v>0</v>
      </c>
      <c r="W451" s="3" t="str">
        <f t="shared" si="32"/>
        <v>Ø16</v>
      </c>
      <c r="X451" s="3" t="str">
        <f t="shared" si="33"/>
        <v>Ø16</v>
      </c>
    </row>
    <row r="452" spans="17:24" x14ac:dyDescent="0.3">
      <c r="Q452" s="3"/>
      <c r="R452" s="3"/>
      <c r="S452" s="3"/>
      <c r="T452" s="21"/>
      <c r="U452" s="3"/>
      <c r="V452" s="3">
        <f t="shared" si="31"/>
        <v>0</v>
      </c>
      <c r="W452" s="3" t="str">
        <f t="shared" si="32"/>
        <v>Ø16</v>
      </c>
      <c r="X452" s="3" t="str">
        <f t="shared" si="33"/>
        <v>Ø16</v>
      </c>
    </row>
    <row r="453" spans="17:24" x14ac:dyDescent="0.3">
      <c r="Q453" s="3"/>
      <c r="R453" s="3"/>
      <c r="S453" s="3"/>
      <c r="T453" s="21"/>
      <c r="U453" s="3"/>
      <c r="V453" s="3">
        <f t="shared" ref="V453:V503" si="34">U453*1.2</f>
        <v>0</v>
      </c>
      <c r="W453" s="3" t="str">
        <f t="shared" ref="W453:W503" si="35">"Ø"&amp;VLOOKUP(V453,$Z$4:$AA$10,2,TRUE)</f>
        <v>Ø16</v>
      </c>
      <c r="X453" s="3" t="str">
        <f t="shared" ref="X453:X503" si="36">"Ø"&amp;VLOOKUP(V453,$AD$4:$AE$10,2,TRUE)</f>
        <v>Ø16</v>
      </c>
    </row>
    <row r="454" spans="17:24" x14ac:dyDescent="0.3">
      <c r="Q454" s="3"/>
      <c r="R454" s="3"/>
      <c r="S454" s="3"/>
      <c r="T454" s="21"/>
      <c r="U454" s="3"/>
      <c r="V454" s="3">
        <f t="shared" si="34"/>
        <v>0</v>
      </c>
      <c r="W454" s="3" t="str">
        <f t="shared" si="35"/>
        <v>Ø16</v>
      </c>
      <c r="X454" s="3" t="str">
        <f t="shared" si="36"/>
        <v>Ø16</v>
      </c>
    </row>
    <row r="455" spans="17:24" x14ac:dyDescent="0.3">
      <c r="Q455" s="3"/>
      <c r="R455" s="3"/>
      <c r="S455" s="3"/>
      <c r="T455" s="21"/>
      <c r="U455" s="3"/>
      <c r="V455" s="3">
        <f t="shared" si="34"/>
        <v>0</v>
      </c>
      <c r="W455" s="3" t="str">
        <f t="shared" si="35"/>
        <v>Ø16</v>
      </c>
      <c r="X455" s="3" t="str">
        <f t="shared" si="36"/>
        <v>Ø16</v>
      </c>
    </row>
    <row r="456" spans="17:24" x14ac:dyDescent="0.3">
      <c r="Q456" s="3"/>
      <c r="R456" s="3"/>
      <c r="S456" s="3"/>
      <c r="T456" s="21"/>
      <c r="U456" s="3"/>
      <c r="V456" s="3">
        <f t="shared" si="34"/>
        <v>0</v>
      </c>
      <c r="W456" s="3" t="str">
        <f t="shared" si="35"/>
        <v>Ø16</v>
      </c>
      <c r="X456" s="3" t="str">
        <f t="shared" si="36"/>
        <v>Ø16</v>
      </c>
    </row>
    <row r="457" spans="17:24" x14ac:dyDescent="0.3">
      <c r="Q457" s="3"/>
      <c r="R457" s="3"/>
      <c r="S457" s="3"/>
      <c r="T457" s="21"/>
      <c r="U457" s="3"/>
      <c r="V457" s="3">
        <f t="shared" si="34"/>
        <v>0</v>
      </c>
      <c r="W457" s="3" t="str">
        <f t="shared" si="35"/>
        <v>Ø16</v>
      </c>
      <c r="X457" s="3" t="str">
        <f t="shared" si="36"/>
        <v>Ø16</v>
      </c>
    </row>
    <row r="458" spans="17:24" x14ac:dyDescent="0.3">
      <c r="Q458" s="3"/>
      <c r="R458" s="3"/>
      <c r="S458" s="3"/>
      <c r="T458" s="21"/>
      <c r="U458" s="3"/>
      <c r="V458" s="3">
        <f t="shared" si="34"/>
        <v>0</v>
      </c>
      <c r="W458" s="3" t="str">
        <f t="shared" si="35"/>
        <v>Ø16</v>
      </c>
      <c r="X458" s="3" t="str">
        <f t="shared" si="36"/>
        <v>Ø16</v>
      </c>
    </row>
    <row r="459" spans="17:24" x14ac:dyDescent="0.3">
      <c r="Q459" s="3"/>
      <c r="R459" s="3"/>
      <c r="S459" s="3"/>
      <c r="T459" s="21"/>
      <c r="U459" s="3"/>
      <c r="V459" s="3">
        <f t="shared" si="34"/>
        <v>0</v>
      </c>
      <c r="W459" s="3" t="str">
        <f t="shared" si="35"/>
        <v>Ø16</v>
      </c>
      <c r="X459" s="3" t="str">
        <f t="shared" si="36"/>
        <v>Ø16</v>
      </c>
    </row>
    <row r="460" spans="17:24" x14ac:dyDescent="0.3">
      <c r="Q460" s="3"/>
      <c r="R460" s="3"/>
      <c r="S460" s="3"/>
      <c r="T460" s="21"/>
      <c r="U460" s="3"/>
      <c r="V460" s="3">
        <f t="shared" si="34"/>
        <v>0</v>
      </c>
      <c r="W460" s="3" t="str">
        <f t="shared" si="35"/>
        <v>Ø16</v>
      </c>
      <c r="X460" s="3" t="str">
        <f t="shared" si="36"/>
        <v>Ø16</v>
      </c>
    </row>
    <row r="461" spans="17:24" x14ac:dyDescent="0.3">
      <c r="Q461" s="3"/>
      <c r="R461" s="3"/>
      <c r="S461" s="3"/>
      <c r="T461" s="21"/>
      <c r="U461" s="3"/>
      <c r="V461" s="3">
        <f t="shared" si="34"/>
        <v>0</v>
      </c>
      <c r="W461" s="3" t="str">
        <f t="shared" si="35"/>
        <v>Ø16</v>
      </c>
      <c r="X461" s="3" t="str">
        <f t="shared" si="36"/>
        <v>Ø16</v>
      </c>
    </row>
    <row r="462" spans="17:24" x14ac:dyDescent="0.3">
      <c r="Q462" s="3"/>
      <c r="R462" s="3"/>
      <c r="S462" s="3"/>
      <c r="T462" s="21"/>
      <c r="U462" s="3"/>
      <c r="V462" s="3">
        <f t="shared" si="34"/>
        <v>0</v>
      </c>
      <c r="W462" s="3" t="str">
        <f t="shared" si="35"/>
        <v>Ø16</v>
      </c>
      <c r="X462" s="3" t="str">
        <f t="shared" si="36"/>
        <v>Ø16</v>
      </c>
    </row>
    <row r="463" spans="17:24" x14ac:dyDescent="0.3">
      <c r="Q463" s="3"/>
      <c r="R463" s="3"/>
      <c r="S463" s="3"/>
      <c r="T463" s="21"/>
      <c r="U463" s="3"/>
      <c r="V463" s="3">
        <f t="shared" si="34"/>
        <v>0</v>
      </c>
      <c r="W463" s="3" t="str">
        <f t="shared" si="35"/>
        <v>Ø16</v>
      </c>
      <c r="X463" s="3" t="str">
        <f t="shared" si="36"/>
        <v>Ø16</v>
      </c>
    </row>
    <row r="464" spans="17:24" x14ac:dyDescent="0.3">
      <c r="Q464" s="3"/>
      <c r="R464" s="3"/>
      <c r="S464" s="3"/>
      <c r="T464" s="21"/>
      <c r="U464" s="3"/>
      <c r="V464" s="3">
        <f t="shared" si="34"/>
        <v>0</v>
      </c>
      <c r="W464" s="3" t="str">
        <f t="shared" si="35"/>
        <v>Ø16</v>
      </c>
      <c r="X464" s="3" t="str">
        <f t="shared" si="36"/>
        <v>Ø16</v>
      </c>
    </row>
    <row r="465" spans="17:24" x14ac:dyDescent="0.3">
      <c r="Q465" s="3"/>
      <c r="R465" s="3"/>
      <c r="S465" s="3"/>
      <c r="T465" s="21"/>
      <c r="U465" s="3"/>
      <c r="V465" s="3">
        <f t="shared" si="34"/>
        <v>0</v>
      </c>
      <c r="W465" s="3" t="str">
        <f t="shared" si="35"/>
        <v>Ø16</v>
      </c>
      <c r="X465" s="3" t="str">
        <f t="shared" si="36"/>
        <v>Ø16</v>
      </c>
    </row>
    <row r="466" spans="17:24" x14ac:dyDescent="0.3">
      <c r="Q466" s="3"/>
      <c r="R466" s="3"/>
      <c r="S466" s="3"/>
      <c r="T466" s="21"/>
      <c r="U466" s="3"/>
      <c r="V466" s="3">
        <f t="shared" si="34"/>
        <v>0</v>
      </c>
      <c r="W466" s="3" t="str">
        <f t="shared" si="35"/>
        <v>Ø16</v>
      </c>
      <c r="X466" s="3" t="str">
        <f t="shared" si="36"/>
        <v>Ø16</v>
      </c>
    </row>
    <row r="467" spans="17:24" x14ac:dyDescent="0.3">
      <c r="Q467" s="3"/>
      <c r="R467" s="3"/>
      <c r="S467" s="3"/>
      <c r="T467" s="21"/>
      <c r="U467" s="3"/>
      <c r="V467" s="3">
        <f t="shared" si="34"/>
        <v>0</v>
      </c>
      <c r="W467" s="3" t="str">
        <f t="shared" si="35"/>
        <v>Ø16</v>
      </c>
      <c r="X467" s="3" t="str">
        <f t="shared" si="36"/>
        <v>Ø16</v>
      </c>
    </row>
    <row r="468" spans="17:24" x14ac:dyDescent="0.3">
      <c r="Q468" s="3"/>
      <c r="R468" s="3"/>
      <c r="S468" s="3"/>
      <c r="T468" s="21"/>
      <c r="U468" s="3"/>
      <c r="V468" s="3">
        <f t="shared" si="34"/>
        <v>0</v>
      </c>
      <c r="W468" s="3" t="str">
        <f t="shared" si="35"/>
        <v>Ø16</v>
      </c>
      <c r="X468" s="3" t="str">
        <f t="shared" si="36"/>
        <v>Ø16</v>
      </c>
    </row>
    <row r="469" spans="17:24" x14ac:dyDescent="0.3">
      <c r="Q469" s="3"/>
      <c r="R469" s="3"/>
      <c r="S469" s="3"/>
      <c r="T469" s="21"/>
      <c r="U469" s="3"/>
      <c r="V469" s="3">
        <f t="shared" si="34"/>
        <v>0</v>
      </c>
      <c r="W469" s="3" t="str">
        <f t="shared" si="35"/>
        <v>Ø16</v>
      </c>
      <c r="X469" s="3" t="str">
        <f t="shared" si="36"/>
        <v>Ø16</v>
      </c>
    </row>
    <row r="470" spans="17:24" x14ac:dyDescent="0.3">
      <c r="Q470" s="3"/>
      <c r="R470" s="3"/>
      <c r="S470" s="3"/>
      <c r="T470" s="21"/>
      <c r="U470" s="3"/>
      <c r="V470" s="3">
        <f t="shared" si="34"/>
        <v>0</v>
      </c>
      <c r="W470" s="3" t="str">
        <f t="shared" si="35"/>
        <v>Ø16</v>
      </c>
      <c r="X470" s="3" t="str">
        <f t="shared" si="36"/>
        <v>Ø16</v>
      </c>
    </row>
    <row r="471" spans="17:24" x14ac:dyDescent="0.3">
      <c r="Q471" s="3"/>
      <c r="R471" s="3"/>
      <c r="S471" s="3"/>
      <c r="T471" s="21"/>
      <c r="U471" s="3"/>
      <c r="V471" s="3">
        <f t="shared" si="34"/>
        <v>0</v>
      </c>
      <c r="W471" s="3" t="str">
        <f t="shared" si="35"/>
        <v>Ø16</v>
      </c>
      <c r="X471" s="3" t="str">
        <f t="shared" si="36"/>
        <v>Ø16</v>
      </c>
    </row>
    <row r="472" spans="17:24" x14ac:dyDescent="0.3">
      <c r="Q472" s="3"/>
      <c r="R472" s="3"/>
      <c r="S472" s="3"/>
      <c r="T472" s="21"/>
      <c r="U472" s="3"/>
      <c r="V472" s="3">
        <f t="shared" si="34"/>
        <v>0</v>
      </c>
      <c r="W472" s="3" t="str">
        <f t="shared" si="35"/>
        <v>Ø16</v>
      </c>
      <c r="X472" s="3" t="str">
        <f t="shared" si="36"/>
        <v>Ø16</v>
      </c>
    </row>
    <row r="473" spans="17:24" x14ac:dyDescent="0.3">
      <c r="Q473" s="3"/>
      <c r="R473" s="3"/>
      <c r="S473" s="3"/>
      <c r="T473" s="21"/>
      <c r="U473" s="3"/>
      <c r="V473" s="3">
        <f t="shared" si="34"/>
        <v>0</v>
      </c>
      <c r="W473" s="3" t="str">
        <f t="shared" si="35"/>
        <v>Ø16</v>
      </c>
      <c r="X473" s="3" t="str">
        <f t="shared" si="36"/>
        <v>Ø16</v>
      </c>
    </row>
    <row r="474" spans="17:24" x14ac:dyDescent="0.3">
      <c r="Q474" s="3"/>
      <c r="R474" s="3"/>
      <c r="S474" s="3"/>
      <c r="T474" s="21"/>
      <c r="U474" s="3"/>
      <c r="V474" s="3">
        <f t="shared" si="34"/>
        <v>0</v>
      </c>
      <c r="W474" s="3" t="str">
        <f t="shared" si="35"/>
        <v>Ø16</v>
      </c>
      <c r="X474" s="3" t="str">
        <f t="shared" si="36"/>
        <v>Ø16</v>
      </c>
    </row>
    <row r="475" spans="17:24" x14ac:dyDescent="0.3">
      <c r="Q475" s="3"/>
      <c r="R475" s="3"/>
      <c r="S475" s="3"/>
      <c r="T475" s="21"/>
      <c r="U475" s="3"/>
      <c r="V475" s="3">
        <f t="shared" si="34"/>
        <v>0</v>
      </c>
      <c r="W475" s="3" t="str">
        <f t="shared" si="35"/>
        <v>Ø16</v>
      </c>
      <c r="X475" s="3" t="str">
        <f t="shared" si="36"/>
        <v>Ø16</v>
      </c>
    </row>
    <row r="476" spans="17:24" x14ac:dyDescent="0.3">
      <c r="Q476" s="3"/>
      <c r="R476" s="3"/>
      <c r="S476" s="3"/>
      <c r="T476" s="21"/>
      <c r="U476" s="3"/>
      <c r="V476" s="3">
        <f t="shared" si="34"/>
        <v>0</v>
      </c>
      <c r="W476" s="3" t="str">
        <f t="shared" si="35"/>
        <v>Ø16</v>
      </c>
      <c r="X476" s="3" t="str">
        <f t="shared" si="36"/>
        <v>Ø16</v>
      </c>
    </row>
    <row r="477" spans="17:24" x14ac:dyDescent="0.3">
      <c r="Q477" s="3"/>
      <c r="R477" s="3"/>
      <c r="S477" s="3"/>
      <c r="T477" s="21"/>
      <c r="U477" s="3"/>
      <c r="V477" s="3">
        <f t="shared" si="34"/>
        <v>0</v>
      </c>
      <c r="W477" s="3" t="str">
        <f t="shared" si="35"/>
        <v>Ø16</v>
      </c>
      <c r="X477" s="3" t="str">
        <f t="shared" si="36"/>
        <v>Ø16</v>
      </c>
    </row>
    <row r="478" spans="17:24" x14ac:dyDescent="0.3">
      <c r="Q478" s="3"/>
      <c r="R478" s="3"/>
      <c r="S478" s="3"/>
      <c r="T478" s="21"/>
      <c r="U478" s="3"/>
      <c r="V478" s="3">
        <f t="shared" si="34"/>
        <v>0</v>
      </c>
      <c r="W478" s="3" t="str">
        <f t="shared" si="35"/>
        <v>Ø16</v>
      </c>
      <c r="X478" s="3" t="str">
        <f t="shared" si="36"/>
        <v>Ø16</v>
      </c>
    </row>
    <row r="479" spans="17:24" x14ac:dyDescent="0.3">
      <c r="Q479" s="3"/>
      <c r="R479" s="3"/>
      <c r="S479" s="3"/>
      <c r="T479" s="21"/>
      <c r="U479" s="3"/>
      <c r="V479" s="3">
        <f t="shared" si="34"/>
        <v>0</v>
      </c>
      <c r="W479" s="3" t="str">
        <f t="shared" si="35"/>
        <v>Ø16</v>
      </c>
      <c r="X479" s="3" t="str">
        <f t="shared" si="36"/>
        <v>Ø16</v>
      </c>
    </row>
    <row r="480" spans="17:24" x14ac:dyDescent="0.3">
      <c r="Q480" s="3"/>
      <c r="R480" s="3"/>
      <c r="S480" s="3"/>
      <c r="T480" s="21"/>
      <c r="U480" s="3"/>
      <c r="V480" s="3">
        <f t="shared" si="34"/>
        <v>0</v>
      </c>
      <c r="W480" s="3" t="str">
        <f t="shared" si="35"/>
        <v>Ø16</v>
      </c>
      <c r="X480" s="3" t="str">
        <f t="shared" si="36"/>
        <v>Ø16</v>
      </c>
    </row>
    <row r="481" spans="17:24" x14ac:dyDescent="0.3">
      <c r="Q481" s="3"/>
      <c r="R481" s="3"/>
      <c r="S481" s="3"/>
      <c r="T481" s="21"/>
      <c r="U481" s="3"/>
      <c r="V481" s="3">
        <f t="shared" si="34"/>
        <v>0</v>
      </c>
      <c r="W481" s="3" t="str">
        <f t="shared" si="35"/>
        <v>Ø16</v>
      </c>
      <c r="X481" s="3" t="str">
        <f t="shared" si="36"/>
        <v>Ø16</v>
      </c>
    </row>
    <row r="482" spans="17:24" x14ac:dyDescent="0.3">
      <c r="Q482" s="3"/>
      <c r="R482" s="3"/>
      <c r="S482" s="3"/>
      <c r="T482" s="21"/>
      <c r="U482" s="3"/>
      <c r="V482" s="3">
        <f t="shared" si="34"/>
        <v>0</v>
      </c>
      <c r="W482" s="3" t="str">
        <f t="shared" si="35"/>
        <v>Ø16</v>
      </c>
      <c r="X482" s="3" t="str">
        <f t="shared" si="36"/>
        <v>Ø16</v>
      </c>
    </row>
    <row r="483" spans="17:24" x14ac:dyDescent="0.3">
      <c r="Q483" s="3"/>
      <c r="R483" s="3"/>
      <c r="S483" s="3"/>
      <c r="T483" s="21"/>
      <c r="U483" s="3"/>
      <c r="V483" s="3">
        <f t="shared" si="34"/>
        <v>0</v>
      </c>
      <c r="W483" s="3" t="str">
        <f t="shared" si="35"/>
        <v>Ø16</v>
      </c>
      <c r="X483" s="3" t="str">
        <f t="shared" si="36"/>
        <v>Ø16</v>
      </c>
    </row>
    <row r="484" spans="17:24" x14ac:dyDescent="0.3">
      <c r="Q484" s="3"/>
      <c r="R484" s="3"/>
      <c r="S484" s="3"/>
      <c r="T484" s="21"/>
      <c r="U484" s="3"/>
      <c r="V484" s="3">
        <f t="shared" si="34"/>
        <v>0</v>
      </c>
      <c r="W484" s="3" t="str">
        <f t="shared" si="35"/>
        <v>Ø16</v>
      </c>
      <c r="X484" s="3" t="str">
        <f t="shared" si="36"/>
        <v>Ø16</v>
      </c>
    </row>
    <row r="485" spans="17:24" x14ac:dyDescent="0.3">
      <c r="Q485" s="3"/>
      <c r="R485" s="3"/>
      <c r="S485" s="3"/>
      <c r="T485" s="21"/>
      <c r="U485" s="3"/>
      <c r="V485" s="3">
        <f t="shared" si="34"/>
        <v>0</v>
      </c>
      <c r="W485" s="3" t="str">
        <f t="shared" si="35"/>
        <v>Ø16</v>
      </c>
      <c r="X485" s="3" t="str">
        <f t="shared" si="36"/>
        <v>Ø16</v>
      </c>
    </row>
    <row r="486" spans="17:24" x14ac:dyDescent="0.3">
      <c r="Q486" s="3"/>
      <c r="R486" s="3"/>
      <c r="S486" s="3"/>
      <c r="T486" s="21"/>
      <c r="U486" s="3"/>
      <c r="V486" s="3">
        <f t="shared" si="34"/>
        <v>0</v>
      </c>
      <c r="W486" s="3" t="str">
        <f t="shared" si="35"/>
        <v>Ø16</v>
      </c>
      <c r="X486" s="3" t="str">
        <f t="shared" si="36"/>
        <v>Ø16</v>
      </c>
    </row>
    <row r="487" spans="17:24" x14ac:dyDescent="0.3">
      <c r="Q487" s="3"/>
      <c r="R487" s="3"/>
      <c r="S487" s="3"/>
      <c r="T487" s="21"/>
      <c r="U487" s="3"/>
      <c r="V487" s="3">
        <f t="shared" si="34"/>
        <v>0</v>
      </c>
      <c r="W487" s="3" t="str">
        <f t="shared" si="35"/>
        <v>Ø16</v>
      </c>
      <c r="X487" s="3" t="str">
        <f t="shared" si="36"/>
        <v>Ø16</v>
      </c>
    </row>
    <row r="488" spans="17:24" x14ac:dyDescent="0.3">
      <c r="Q488" s="3"/>
      <c r="R488" s="3"/>
      <c r="S488" s="3"/>
      <c r="T488" s="21"/>
      <c r="U488" s="3"/>
      <c r="V488" s="3">
        <f t="shared" si="34"/>
        <v>0</v>
      </c>
      <c r="W488" s="3" t="str">
        <f t="shared" si="35"/>
        <v>Ø16</v>
      </c>
      <c r="X488" s="3" t="str">
        <f t="shared" si="36"/>
        <v>Ø16</v>
      </c>
    </row>
    <row r="489" spans="17:24" x14ac:dyDescent="0.3">
      <c r="Q489" s="3"/>
      <c r="R489" s="3"/>
      <c r="S489" s="3"/>
      <c r="T489" s="21"/>
      <c r="U489" s="3"/>
      <c r="V489" s="3">
        <f t="shared" si="34"/>
        <v>0</v>
      </c>
      <c r="W489" s="3" t="str">
        <f t="shared" si="35"/>
        <v>Ø16</v>
      </c>
      <c r="X489" s="3" t="str">
        <f t="shared" si="36"/>
        <v>Ø16</v>
      </c>
    </row>
    <row r="490" spans="17:24" x14ac:dyDescent="0.3">
      <c r="Q490" s="3"/>
      <c r="R490" s="3"/>
      <c r="S490" s="3"/>
      <c r="T490" s="21"/>
      <c r="U490" s="3"/>
      <c r="V490" s="3">
        <f t="shared" si="34"/>
        <v>0</v>
      </c>
      <c r="W490" s="3" t="str">
        <f t="shared" si="35"/>
        <v>Ø16</v>
      </c>
      <c r="X490" s="3" t="str">
        <f t="shared" si="36"/>
        <v>Ø16</v>
      </c>
    </row>
    <row r="491" spans="17:24" x14ac:dyDescent="0.3">
      <c r="Q491" s="3"/>
      <c r="R491" s="3"/>
      <c r="S491" s="3"/>
      <c r="T491" s="21"/>
      <c r="U491" s="3"/>
      <c r="V491" s="3">
        <f t="shared" si="34"/>
        <v>0</v>
      </c>
      <c r="W491" s="3" t="str">
        <f t="shared" si="35"/>
        <v>Ø16</v>
      </c>
      <c r="X491" s="3" t="str">
        <f t="shared" si="36"/>
        <v>Ø16</v>
      </c>
    </row>
    <row r="492" spans="17:24" x14ac:dyDescent="0.3">
      <c r="Q492" s="3"/>
      <c r="R492" s="3"/>
      <c r="S492" s="3"/>
      <c r="T492" s="21"/>
      <c r="U492" s="3"/>
      <c r="V492" s="3">
        <f t="shared" si="34"/>
        <v>0</v>
      </c>
      <c r="W492" s="3" t="str">
        <f t="shared" si="35"/>
        <v>Ø16</v>
      </c>
      <c r="X492" s="3" t="str">
        <f t="shared" si="36"/>
        <v>Ø16</v>
      </c>
    </row>
    <row r="493" spans="17:24" x14ac:dyDescent="0.3">
      <c r="Q493" s="3"/>
      <c r="R493" s="3"/>
      <c r="S493" s="3"/>
      <c r="T493" s="21"/>
      <c r="U493" s="3"/>
      <c r="V493" s="3">
        <f t="shared" si="34"/>
        <v>0</v>
      </c>
      <c r="W493" s="3" t="str">
        <f t="shared" si="35"/>
        <v>Ø16</v>
      </c>
      <c r="X493" s="3" t="str">
        <f t="shared" si="36"/>
        <v>Ø16</v>
      </c>
    </row>
    <row r="494" spans="17:24" x14ac:dyDescent="0.3">
      <c r="Q494" s="3"/>
      <c r="R494" s="3"/>
      <c r="S494" s="3"/>
      <c r="T494" s="21"/>
      <c r="U494" s="3"/>
      <c r="V494" s="3">
        <f t="shared" si="34"/>
        <v>0</v>
      </c>
      <c r="W494" s="3" t="str">
        <f t="shared" si="35"/>
        <v>Ø16</v>
      </c>
      <c r="X494" s="3" t="str">
        <f t="shared" si="36"/>
        <v>Ø16</v>
      </c>
    </row>
    <row r="495" spans="17:24" x14ac:dyDescent="0.3">
      <c r="Q495" s="3"/>
      <c r="R495" s="3"/>
      <c r="S495" s="3"/>
      <c r="T495" s="21"/>
      <c r="U495" s="3"/>
      <c r="V495" s="3">
        <f t="shared" si="34"/>
        <v>0</v>
      </c>
      <c r="W495" s="3" t="str">
        <f t="shared" si="35"/>
        <v>Ø16</v>
      </c>
      <c r="X495" s="3" t="str">
        <f t="shared" si="36"/>
        <v>Ø16</v>
      </c>
    </row>
    <row r="496" spans="17:24" x14ac:dyDescent="0.3">
      <c r="Q496" s="3"/>
      <c r="R496" s="3"/>
      <c r="S496" s="3"/>
      <c r="T496" s="21"/>
      <c r="U496" s="3"/>
      <c r="V496" s="3">
        <f t="shared" si="34"/>
        <v>0</v>
      </c>
      <c r="W496" s="3" t="str">
        <f t="shared" si="35"/>
        <v>Ø16</v>
      </c>
      <c r="X496" s="3" t="str">
        <f t="shared" si="36"/>
        <v>Ø16</v>
      </c>
    </row>
    <row r="497" spans="17:24" x14ac:dyDescent="0.3">
      <c r="Q497" s="3"/>
      <c r="R497" s="3"/>
      <c r="S497" s="3"/>
      <c r="T497" s="21"/>
      <c r="U497" s="3"/>
      <c r="V497" s="3">
        <f t="shared" si="34"/>
        <v>0</v>
      </c>
      <c r="W497" s="3" t="str">
        <f t="shared" si="35"/>
        <v>Ø16</v>
      </c>
      <c r="X497" s="3" t="str">
        <f t="shared" si="36"/>
        <v>Ø16</v>
      </c>
    </row>
    <row r="498" spans="17:24" x14ac:dyDescent="0.3">
      <c r="Q498" s="3"/>
      <c r="R498" s="3"/>
      <c r="S498" s="3"/>
      <c r="T498" s="21"/>
      <c r="U498" s="3"/>
      <c r="V498" s="3">
        <f t="shared" si="34"/>
        <v>0</v>
      </c>
      <c r="W498" s="3" t="str">
        <f t="shared" si="35"/>
        <v>Ø16</v>
      </c>
      <c r="X498" s="3" t="str">
        <f t="shared" si="36"/>
        <v>Ø16</v>
      </c>
    </row>
    <row r="499" spans="17:24" x14ac:dyDescent="0.3">
      <c r="Q499" s="3"/>
      <c r="R499" s="3"/>
      <c r="S499" s="3"/>
      <c r="T499" s="21"/>
      <c r="U499" s="3"/>
      <c r="V499" s="3">
        <f t="shared" si="34"/>
        <v>0</v>
      </c>
      <c r="W499" s="3" t="str">
        <f t="shared" si="35"/>
        <v>Ø16</v>
      </c>
      <c r="X499" s="3" t="str">
        <f t="shared" si="36"/>
        <v>Ø16</v>
      </c>
    </row>
    <row r="500" spans="17:24" x14ac:dyDescent="0.3">
      <c r="Q500" s="3"/>
      <c r="R500" s="3"/>
      <c r="S500" s="3"/>
      <c r="T500" s="21"/>
      <c r="U500" s="3"/>
      <c r="V500" s="3">
        <f t="shared" si="34"/>
        <v>0</v>
      </c>
      <c r="W500" s="3" t="str">
        <f t="shared" si="35"/>
        <v>Ø16</v>
      </c>
      <c r="X500" s="3" t="str">
        <f t="shared" si="36"/>
        <v>Ø16</v>
      </c>
    </row>
    <row r="501" spans="17:24" x14ac:dyDescent="0.3">
      <c r="Q501" s="3"/>
      <c r="R501" s="3"/>
      <c r="S501" s="3"/>
      <c r="T501" s="21"/>
      <c r="U501" s="3"/>
      <c r="V501" s="3">
        <f t="shared" si="34"/>
        <v>0</v>
      </c>
      <c r="W501" s="3" t="str">
        <f t="shared" si="35"/>
        <v>Ø16</v>
      </c>
      <c r="X501" s="3" t="str">
        <f t="shared" si="36"/>
        <v>Ø16</v>
      </c>
    </row>
    <row r="502" spans="17:24" x14ac:dyDescent="0.3">
      <c r="Q502" s="3"/>
      <c r="R502" s="3"/>
      <c r="S502" s="3"/>
      <c r="T502" s="21"/>
      <c r="U502" s="3"/>
      <c r="V502" s="3">
        <f t="shared" si="34"/>
        <v>0</v>
      </c>
      <c r="W502" s="3" t="str">
        <f t="shared" si="35"/>
        <v>Ø16</v>
      </c>
      <c r="X502" s="3" t="str">
        <f t="shared" si="36"/>
        <v>Ø16</v>
      </c>
    </row>
    <row r="503" spans="17:24" x14ac:dyDescent="0.3">
      <c r="Q503" s="3"/>
      <c r="R503" s="3"/>
      <c r="S503" s="3"/>
      <c r="T503" s="21"/>
      <c r="U503" s="3"/>
      <c r="V503" s="3">
        <f t="shared" si="34"/>
        <v>0</v>
      </c>
      <c r="W503" s="3" t="str">
        <f t="shared" si="35"/>
        <v>Ø16</v>
      </c>
      <c r="X503" s="3" t="str">
        <f t="shared" si="36"/>
        <v>Ø16</v>
      </c>
    </row>
  </sheetData>
  <sortState xmlns:xlrd2="http://schemas.microsoft.com/office/spreadsheetml/2017/richdata2" ref="B4:K38">
    <sortCondition ref="K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19</vt:i4>
      </vt:variant>
      <vt:variant>
        <vt:lpstr>Именованные диапазоны</vt:lpstr>
      </vt:variant>
      <vt:variant>
        <vt:i4>54</vt:i4>
      </vt:variant>
    </vt:vector>
  </HeadingPairs>
  <TitlesOfParts>
    <vt:vector size="73" baseType="lpstr">
      <vt:lpstr>Гайд</vt:lpstr>
      <vt:lpstr>Проверка</vt:lpstr>
      <vt:lpstr>Объект</vt:lpstr>
      <vt:lpstr>Коды</vt:lpstr>
      <vt:lpstr>Щиты</vt:lpstr>
      <vt:lpstr>Итоги_щитов</vt:lpstr>
      <vt:lpstr>Шины</vt:lpstr>
      <vt:lpstr>Линии</vt:lpstr>
      <vt:lpstr>Режимы</vt:lpstr>
      <vt:lpstr>Расчёт_нагрузок</vt:lpstr>
      <vt:lpstr>Кабельный_журнал</vt:lpstr>
      <vt:lpstr>Однолинейка</vt:lpstr>
      <vt:lpstr>Каталог</vt:lpstr>
      <vt:lpstr>Спецификация</vt:lpstr>
      <vt:lpstr>Спецификация_авто</vt:lpstr>
      <vt:lpstr>Бирки</vt:lpstr>
      <vt:lpstr>Методика</vt:lpstr>
      <vt:lpstr>Таблицы_норм</vt:lpstr>
      <vt:lpstr>Справочная_потребители</vt:lpstr>
      <vt:lpstr>c_min</vt:lpstr>
      <vt:lpstr>dU_пит</vt:lpstr>
      <vt:lpstr>Iдоп_1ж</vt:lpstr>
      <vt:lpstr>Iдоп_2ж</vt:lpstr>
      <vt:lpstr>Iдоп_3ж</vt:lpstr>
      <vt:lpstr>Iдоп_S</vt:lpstr>
      <vt:lpstr>k_пк</vt:lpstr>
      <vt:lpstr>R_пер</vt:lpstr>
      <vt:lpstr>Uн_лин</vt:lpstr>
      <vt:lpstr>ρкз_Al</vt:lpstr>
      <vt:lpstr>ρкз_Cu</vt:lpstr>
      <vt:lpstr>Автомат_номиналы</vt:lpstr>
      <vt:lpstr>гофра_пвх</vt:lpstr>
      <vt:lpstr>гофра_пнд</vt:lpstr>
      <vt:lpstr>Запас_кабеля</vt:lpstr>
      <vt:lpstr>ИБП_cos_вх</vt:lpstr>
      <vt:lpstr>ИБП_cos_вых</vt:lpstr>
      <vt:lpstr>ИБП_k</vt:lpstr>
      <vt:lpstr>ИБП_t</vt:lpstr>
      <vt:lpstr>ИБП_U</vt:lpstr>
      <vt:lpstr>ИБП_загрузка</vt:lpstr>
      <vt:lpstr>ИБП_заряд</vt:lpstr>
      <vt:lpstr>ИБП_КПД</vt:lpstr>
      <vt:lpstr>ИБП_ряд</vt:lpstr>
      <vt:lpstr>К_прокл</vt:lpstr>
      <vt:lpstr>Кабель_диаметр</vt:lpstr>
      <vt:lpstr>Кабель_номиналы</vt:lpstr>
      <vt:lpstr>Кабель_обозначение</vt:lpstr>
      <vt:lpstr>Кабель_сопротивление</vt:lpstr>
      <vt:lpstr>Категории_ПЗ</vt:lpstr>
      <vt:lpstr>Ко_сил</vt:lpstr>
      <vt:lpstr>Коды_вид</vt:lpstr>
      <vt:lpstr>Коды_группа</vt:lpstr>
      <vt:lpstr>Коды_код</vt:lpstr>
      <vt:lpstr>Коды_пожарная</vt:lpstr>
      <vt:lpstr>Кс_К</vt:lpstr>
      <vt:lpstr>Кс_Р</vt:lpstr>
      <vt:lpstr>Кс75_k</vt:lpstr>
      <vt:lpstr>Кс75_n</vt:lpstr>
      <vt:lpstr>Методика</vt:lpstr>
      <vt:lpstr>Мин_автомат_БП</vt:lpstr>
      <vt:lpstr>Модули_спр</vt:lpstr>
      <vt:lpstr>Потребители_обозначение</vt:lpstr>
      <vt:lpstr>Спецификация</vt:lpstr>
      <vt:lpstr>Список_щитов</vt:lpstr>
      <vt:lpstr>Справочная_двигатели</vt:lpstr>
      <vt:lpstr>Справочная_ЛЭД</vt:lpstr>
      <vt:lpstr>Справочная_ПТО</vt:lpstr>
      <vt:lpstr>Столбцов_на_лист</vt:lpstr>
      <vt:lpstr>УГО_блоки</vt:lpstr>
      <vt:lpstr>УГО_спр</vt:lpstr>
      <vt:lpstr>Управление_цвета</vt:lpstr>
      <vt:lpstr>Щит_спец</vt:lpstr>
      <vt:lpstr>Этаж_обозначение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Une-com</dc:creator>
  <cp:lastModifiedBy>marat</cp:lastModifiedBy>
  <dcterms:created xsi:type="dcterms:W3CDTF">2015-06-05T18:19:34Z</dcterms:created>
  <dcterms:modified xsi:type="dcterms:W3CDTF">2026-10-04T08:26:09Z</dcterms:modified>
</cp:coreProperties>
</file>